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C:\Users\Marcus Calixto\Downloads\"/>
    </mc:Choice>
  </mc:AlternateContent>
  <xr:revisionPtr revIDLastSave="0" documentId="13_ncr:1_{5BB50F4F-45AB-4C91-9C83-A6186783FA5B}" xr6:coauthVersionLast="47" xr6:coauthVersionMax="47" xr10:uidLastSave="{00000000-0000-0000-0000-000000000000}"/>
  <bookViews>
    <workbookView xWindow="-120" yWindow="-120" windowWidth="29040" windowHeight="15720" tabRatio="785" activeTab="3" xr2:uid="{00000000-000D-0000-FFFF-FFFF00000000}"/>
  </bookViews>
  <sheets>
    <sheet name="Projeção Completa" sheetId="1" r:id="rId1"/>
    <sheet name="2.0 - Total Revenue" sheetId="2" r:id="rId2"/>
    <sheet name="3.1 - Cap Table" sheetId="15" r:id="rId3"/>
    <sheet name="1.0 - Comercial" sheetId="7" r:id="rId4"/>
    <sheet name="1.1 - Farmer" sheetId="45" r:id="rId5"/>
    <sheet name="1.4 - Salários por Área" sheetId="11" state="hidden" r:id="rId6"/>
    <sheet name="1.2 - Marketing" sheetId="47" r:id="rId7"/>
    <sheet name="1.3 - Fornecedores" sheetId="13" r:id="rId8"/>
    <sheet name="PJs" sheetId="17" state="hidden" r:id="rId9"/>
    <sheet name="Pagamentos prioritários" sheetId="18" state="hidden" r:id="rId10"/>
    <sheet name="Cópia de BD_Omie" sheetId="19" state="hidden" r:id="rId11"/>
    <sheet name="Consolidação" sheetId="20" state="hidden" r:id="rId12"/>
    <sheet name="Fluxo de Caixa" sheetId="21" state="hidden" r:id="rId13"/>
    <sheet name="Eventos" sheetId="22" state="hidden" r:id="rId14"/>
    <sheet name="Tabela dinâmica 9" sheetId="23" state="hidden" r:id="rId15"/>
    <sheet name="Outras observações" sheetId="24" state="hidden" r:id="rId16"/>
    <sheet name="Franchise" sheetId="25" state="hidden" r:id="rId17"/>
    <sheet name="De-para" sheetId="26" state="hidden" r:id="rId18"/>
    <sheet name="Meta_old" sheetId="27" state="hidden" r:id="rId19"/>
    <sheet name="META - PRÓXIMO PASSO" sheetId="28" state="hidden" r:id="rId20"/>
    <sheet name="Página21" sheetId="29" state="hidden" r:id="rId21"/>
    <sheet name="Tabela dinâmica 8" sheetId="30" state="hidden" r:id="rId22"/>
    <sheet name="Composição" sheetId="31" state="hidden" r:id="rId23"/>
    <sheet name="Alterações" sheetId="32" state="hidden" r:id="rId24"/>
    <sheet name="Pgtos Marcus" sheetId="33" state="hidden" r:id="rId25"/>
    <sheet name="Cópia de Pgtos Marcus" sheetId="34" state="hidden" r:id="rId26"/>
    <sheet name="Página11" sheetId="35" state="hidden" r:id="rId27"/>
    <sheet name="Contabilidade" sheetId="36" state="hidden" r:id="rId28"/>
    <sheet name="Daily" sheetId="37" state="hidden" r:id="rId29"/>
    <sheet name="Página8" sheetId="38" state="hidden" r:id="rId30"/>
    <sheet name="Unibee e LB" sheetId="39" state="hidden" r:id="rId31"/>
    <sheet name="Tabela dinâmica 7" sheetId="40" state="hidden" r:id="rId32"/>
    <sheet name="Página7" sheetId="41" state="hidden" r:id="rId33"/>
    <sheet name="Página6" sheetId="42" state="hidden" r:id="rId34"/>
    <sheet name="Tabela dinâmica 1" sheetId="43" state="hidden" r:id="rId35"/>
    <sheet name="Cenários" sheetId="44" state="hidden" r:id="rId36"/>
  </sheets>
  <definedNames>
    <definedName name="_xlnm._FilterDatabase" localSheetId="10" hidden="1">'Cópia de BD_Omie'!$A$1:$AA$2934</definedName>
    <definedName name="_xlnm._FilterDatabase" localSheetId="17" hidden="1">'De-para'!$A$3:$H$114</definedName>
    <definedName name="_xlnm._FilterDatabase" localSheetId="12" hidden="1">'Fluxo de Caixa'!$F$19:$Z$300</definedName>
    <definedName name="_xlnm._FilterDatabase" localSheetId="30" hidden="1">'Unibee e LB'!$A$1:$W$642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5" i="1" l="1"/>
  <c r="Q25" i="1" s="1"/>
  <c r="T25" i="1" s="1"/>
  <c r="H25" i="1"/>
  <c r="G25" i="1"/>
  <c r="F25" i="1"/>
  <c r="E25" i="1"/>
  <c r="F26" i="1"/>
  <c r="H26" i="1"/>
  <c r="N26" i="1" s="1"/>
  <c r="Q26" i="1" s="1"/>
  <c r="T26" i="1" s="1"/>
  <c r="G26" i="1"/>
  <c r="E26" i="1"/>
  <c r="D26" i="1"/>
  <c r="K26" i="1" l="1"/>
  <c r="B22" i="13" l="1"/>
  <c r="H27" i="1" l="1"/>
  <c r="N27" i="1" s="1"/>
  <c r="Q27" i="1" s="1"/>
  <c r="T27" i="1" s="1"/>
  <c r="E27" i="1"/>
  <c r="D27" i="1"/>
  <c r="G27" i="1"/>
  <c r="F27" i="1"/>
  <c r="H24" i="1"/>
  <c r="G24" i="1"/>
  <c r="F24" i="1"/>
  <c r="E24" i="1"/>
  <c r="D24" i="1"/>
  <c r="D25" i="1"/>
  <c r="D8" i="15"/>
  <c r="F5" i="13"/>
  <c r="D19" i="1" s="1"/>
  <c r="F4" i="13"/>
  <c r="D18" i="1" s="1"/>
  <c r="F3" i="13"/>
  <c r="D17" i="1" s="1"/>
  <c r="G12" i="1"/>
  <c r="F12" i="1"/>
  <c r="E12" i="1"/>
  <c r="D12" i="1"/>
  <c r="C13" i="7"/>
  <c r="C14" i="7" s="1"/>
  <c r="K4" i="45"/>
  <c r="J5" i="7"/>
  <c r="I4" i="45"/>
  <c r="J4" i="45" s="1"/>
  <c r="H11" i="1"/>
  <c r="G11" i="1"/>
  <c r="F11" i="1"/>
  <c r="B6" i="47"/>
  <c r="N11" i="1" s="1"/>
  <c r="Q11" i="1" s="1"/>
  <c r="T11" i="1" s="1"/>
  <c r="C21" i="2"/>
  <c r="C25" i="2"/>
  <c r="AV31" i="2"/>
  <c r="AU31" i="2"/>
  <c r="AT31" i="2"/>
  <c r="AS31" i="2"/>
  <c r="AR31" i="2"/>
  <c r="AQ31" i="2"/>
  <c r="AP31" i="2"/>
  <c r="AO31" i="2"/>
  <c r="AN31" i="2"/>
  <c r="AM31" i="2"/>
  <c r="AL31" i="2"/>
  <c r="AK31" i="2"/>
  <c r="AJ31" i="2"/>
  <c r="AI31" i="2"/>
  <c r="AH31" i="2"/>
  <c r="AG31" i="2"/>
  <c r="AF31" i="2"/>
  <c r="AE31" i="2"/>
  <c r="AD31" i="2"/>
  <c r="AC31" i="2"/>
  <c r="AB31" i="2"/>
  <c r="AA31" i="2"/>
  <c r="Z31" i="2"/>
  <c r="Y31" i="2"/>
  <c r="X31" i="2"/>
  <c r="AV30" i="2"/>
  <c r="AU30" i="2"/>
  <c r="AT30" i="2"/>
  <c r="AS30" i="2"/>
  <c r="AR30" i="2"/>
  <c r="AQ30" i="2"/>
  <c r="AP30" i="2"/>
  <c r="AO30" i="2"/>
  <c r="AN30" i="2"/>
  <c r="AM30" i="2"/>
  <c r="AL30" i="2"/>
  <c r="AK30" i="2"/>
  <c r="AJ30" i="2"/>
  <c r="AI30" i="2"/>
  <c r="AH30" i="2"/>
  <c r="AG30" i="2"/>
  <c r="AF30" i="2"/>
  <c r="AE30" i="2"/>
  <c r="AD30" i="2"/>
  <c r="AC30" i="2"/>
  <c r="AB30" i="2"/>
  <c r="AA30" i="2"/>
  <c r="Z30" i="2"/>
  <c r="Y30" i="2"/>
  <c r="X30" i="2"/>
  <c r="W30" i="2"/>
  <c r="AV29" i="2"/>
  <c r="AU29" i="2"/>
  <c r="AT29" i="2"/>
  <c r="AS29" i="2"/>
  <c r="AR29" i="2"/>
  <c r="AQ29" i="2"/>
  <c r="AP29" i="2"/>
  <c r="AO29" i="2"/>
  <c r="AN29" i="2"/>
  <c r="AM29" i="2"/>
  <c r="AL29" i="2"/>
  <c r="AK29" i="2"/>
  <c r="AJ29" i="2"/>
  <c r="AI29" i="2"/>
  <c r="AH29" i="2"/>
  <c r="AG29" i="2"/>
  <c r="AF29" i="2"/>
  <c r="AE29" i="2"/>
  <c r="AD29" i="2"/>
  <c r="AC29" i="2"/>
  <c r="AB29" i="2"/>
  <c r="AA29" i="2"/>
  <c r="Z29" i="2"/>
  <c r="Y29" i="2"/>
  <c r="X29" i="2"/>
  <c r="W29" i="2"/>
  <c r="V29" i="2"/>
  <c r="AV28" i="2"/>
  <c r="AU28" i="2"/>
  <c r="AT28" i="2"/>
  <c r="AS28" i="2"/>
  <c r="AR28" i="2"/>
  <c r="AQ28" i="2"/>
  <c r="AP28" i="2"/>
  <c r="AO28" i="2"/>
  <c r="AN28" i="2"/>
  <c r="AM28" i="2"/>
  <c r="AL28" i="2"/>
  <c r="AK28" i="2"/>
  <c r="AJ28" i="2"/>
  <c r="AI28" i="2"/>
  <c r="AH28" i="2"/>
  <c r="AG28" i="2"/>
  <c r="AF28" i="2"/>
  <c r="AE28" i="2"/>
  <c r="AD28" i="2"/>
  <c r="AC28" i="2"/>
  <c r="AB28" i="2"/>
  <c r="AA28" i="2"/>
  <c r="Z28" i="2"/>
  <c r="Y28" i="2"/>
  <c r="X28" i="2"/>
  <c r="W28" i="2"/>
  <c r="V28" i="2"/>
  <c r="U28"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AV26" i="2"/>
  <c r="AU26" i="2"/>
  <c r="AT26" i="2"/>
  <c r="AS26" i="2"/>
  <c r="AR26" i="2"/>
  <c r="AQ26" i="2"/>
  <c r="AP26" i="2"/>
  <c r="AO26" i="2"/>
  <c r="AN26" i="2"/>
  <c r="AM26" i="2"/>
  <c r="AL26" i="2"/>
  <c r="AK26" i="2"/>
  <c r="AJ26" i="2"/>
  <c r="AI26" i="2"/>
  <c r="AH26" i="2"/>
  <c r="AG26" i="2"/>
  <c r="AF26" i="2"/>
  <c r="AE26" i="2"/>
  <c r="AD26" i="2"/>
  <c r="AC26" i="2"/>
  <c r="AB26" i="2"/>
  <c r="AA26" i="2"/>
  <c r="Z26" i="2"/>
  <c r="Y26" i="2"/>
  <c r="X26" i="2"/>
  <c r="W26" i="2"/>
  <c r="V26" i="2"/>
  <c r="U26" i="2"/>
  <c r="T26" i="2"/>
  <c r="S26"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AV18" i="2"/>
  <c r="AU18" i="2"/>
  <c r="AT18" i="2"/>
  <c r="AS18" i="2"/>
  <c r="AR18" i="2"/>
  <c r="AQ18" i="2"/>
  <c r="AP18"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AV17" i="2"/>
  <c r="AU17" i="2"/>
  <c r="AT17" i="2"/>
  <c r="AS17" i="2"/>
  <c r="AR17" i="2"/>
  <c r="AQ17" i="2"/>
  <c r="AP17" i="2"/>
  <c r="AO17"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J17"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J16" i="2"/>
  <c r="I16" i="2"/>
  <c r="AV15" i="2"/>
  <c r="AU15" i="2"/>
  <c r="AT15" i="2"/>
  <c r="AS15" i="2"/>
  <c r="AR15" i="2"/>
  <c r="AQ15" i="2"/>
  <c r="AP15" i="2"/>
  <c r="AO15" i="2"/>
  <c r="AN15"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I15" i="2"/>
  <c r="H15" i="2"/>
  <c r="H13" i="2" s="1"/>
  <c r="H9" i="2" s="1"/>
  <c r="K5" i="7" l="1"/>
  <c r="D20" i="7" s="1"/>
  <c r="D13" i="1" s="1"/>
  <c r="D11" i="1"/>
  <c r="K27" i="1"/>
  <c r="E11" i="1"/>
  <c r="AK13" i="2"/>
  <c r="AK8" i="2" s="1"/>
  <c r="K24" i="1"/>
  <c r="E14" i="7"/>
  <c r="E13" i="7"/>
  <c r="AN13" i="2"/>
  <c r="AN8" i="2" s="1"/>
  <c r="AV13" i="2"/>
  <c r="I13" i="2"/>
  <c r="L13" i="2"/>
  <c r="M13" i="2"/>
  <c r="Q13" i="2"/>
  <c r="AE13" i="2"/>
  <c r="AS13" i="2"/>
  <c r="R13" i="2"/>
  <c r="AF13" i="2"/>
  <c r="AT13" i="2"/>
  <c r="W13" i="2"/>
  <c r="S13" i="2"/>
  <c r="AG13" i="2"/>
  <c r="AU13" i="2"/>
  <c r="U13" i="2"/>
  <c r="AI13" i="2"/>
  <c r="J13" i="2"/>
  <c r="T13" i="2"/>
  <c r="AH13" i="2"/>
  <c r="V13" i="2"/>
  <c r="AJ13" i="2"/>
  <c r="K13" i="2"/>
  <c r="Z13" i="2"/>
  <c r="AM13" i="2"/>
  <c r="AB13" i="2"/>
  <c r="H8" i="2"/>
  <c r="H10" i="2"/>
  <c r="X13" i="2"/>
  <c r="AL13" i="2"/>
  <c r="Y13" i="2"/>
  <c r="AA13" i="2"/>
  <c r="AO13" i="2"/>
  <c r="N13" i="2"/>
  <c r="AP13" i="2"/>
  <c r="O13" i="2"/>
  <c r="AC13" i="2"/>
  <c r="AQ13" i="2"/>
  <c r="P13" i="2"/>
  <c r="AD13" i="2"/>
  <c r="AR13" i="2"/>
  <c r="K11" i="1" l="1"/>
  <c r="AN10" i="2"/>
  <c r="K22" i="7"/>
  <c r="K20" i="7"/>
  <c r="AU9" i="2"/>
  <c r="AQ22" i="7"/>
  <c r="AQ20" i="7"/>
  <c r="AG9" i="2"/>
  <c r="AC22" i="7"/>
  <c r="AC20" i="7"/>
  <c r="AT8" i="2"/>
  <c r="AP22" i="7"/>
  <c r="AP20" i="7"/>
  <c r="AV9" i="2"/>
  <c r="AR22" i="7"/>
  <c r="AR20" i="7"/>
  <c r="X22" i="7"/>
  <c r="X20" i="7"/>
  <c r="J22" i="7"/>
  <c r="J20" i="7"/>
  <c r="AI20" i="7"/>
  <c r="AI22" i="7"/>
  <c r="Z10" i="2"/>
  <c r="V20" i="7"/>
  <c r="V22" i="7"/>
  <c r="K10" i="2"/>
  <c r="G20" i="7"/>
  <c r="G13" i="1" s="1"/>
  <c r="G22" i="7"/>
  <c r="AJ8" i="2"/>
  <c r="AF20" i="7"/>
  <c r="AF22" i="7"/>
  <c r="Q9" i="2"/>
  <c r="M22" i="7"/>
  <c r="M20" i="7"/>
  <c r="AN9" i="2"/>
  <c r="AJ20" i="7"/>
  <c r="AJ22" i="7"/>
  <c r="AL22" i="7"/>
  <c r="AL20" i="7"/>
  <c r="AK9" i="2"/>
  <c r="AG20" i="7"/>
  <c r="T13" i="1" s="1"/>
  <c r="AG22" i="7"/>
  <c r="W10" i="2"/>
  <c r="S20" i="7"/>
  <c r="S22" i="7"/>
  <c r="AK20" i="7"/>
  <c r="AK22" i="7"/>
  <c r="W20" i="7"/>
  <c r="W22" i="7"/>
  <c r="AF9" i="2"/>
  <c r="AB22" i="7"/>
  <c r="AB20" i="7"/>
  <c r="U20" i="7"/>
  <c r="U22" i="7"/>
  <c r="R8" i="2"/>
  <c r="N22" i="7"/>
  <c r="N20" i="7"/>
  <c r="AH20" i="7"/>
  <c r="AH22" i="7"/>
  <c r="V10" i="2"/>
  <c r="R20" i="7"/>
  <c r="R22" i="7"/>
  <c r="AS8" i="2"/>
  <c r="AO22" i="7"/>
  <c r="AO20" i="7"/>
  <c r="T20" i="7"/>
  <c r="T22" i="7"/>
  <c r="AH10" i="2"/>
  <c r="AD22" i="7"/>
  <c r="AD20" i="7"/>
  <c r="AE9" i="2"/>
  <c r="AA22" i="7"/>
  <c r="AA20" i="7"/>
  <c r="T9" i="2"/>
  <c r="P22" i="7"/>
  <c r="P20" i="7"/>
  <c r="AN22" i="7"/>
  <c r="AN20" i="7"/>
  <c r="H6" i="2"/>
  <c r="H12" i="2" s="1"/>
  <c r="H5" i="2" s="1"/>
  <c r="H4" i="2" s="1"/>
  <c r="J8" i="2"/>
  <c r="F20" i="7"/>
  <c r="F13" i="1" s="1"/>
  <c r="F22" i="7"/>
  <c r="M8" i="2"/>
  <c r="I20" i="7"/>
  <c r="I22" i="7"/>
  <c r="Z22" i="7"/>
  <c r="Z20" i="7"/>
  <c r="AT10" i="2"/>
  <c r="AI10" i="2"/>
  <c r="AE20" i="7"/>
  <c r="AE22" i="7"/>
  <c r="L9" i="2"/>
  <c r="H20" i="7"/>
  <c r="H13" i="1" s="1"/>
  <c r="H22" i="7"/>
  <c r="AM22" i="7"/>
  <c r="AM20" i="7"/>
  <c r="Y22" i="7"/>
  <c r="Y20" i="7"/>
  <c r="S10" i="2"/>
  <c r="O22" i="7"/>
  <c r="O20" i="7"/>
  <c r="L22" i="7"/>
  <c r="L20" i="7"/>
  <c r="AT9" i="2"/>
  <c r="U8" i="2"/>
  <c r="Q20" i="7"/>
  <c r="Q22" i="7"/>
  <c r="I10" i="2"/>
  <c r="E22" i="7"/>
  <c r="E20" i="7"/>
  <c r="E13" i="1" s="1"/>
  <c r="M10" i="2"/>
  <c r="I9" i="2"/>
  <c r="I8" i="2"/>
  <c r="L10" i="2"/>
  <c r="L8" i="2"/>
  <c r="AV10" i="2"/>
  <c r="AV8" i="2"/>
  <c r="AE8" i="2"/>
  <c r="AJ10" i="2"/>
  <c r="AH8" i="2"/>
  <c r="AH9" i="2"/>
  <c r="T10" i="2"/>
  <c r="Q8" i="2"/>
  <c r="V8" i="2"/>
  <c r="AS10" i="2"/>
  <c r="AS9" i="2"/>
  <c r="M9" i="2"/>
  <c r="Q10" i="2"/>
  <c r="R10" i="2"/>
  <c r="T8" i="2"/>
  <c r="AU10" i="2"/>
  <c r="AG8" i="2"/>
  <c r="AU8" i="2"/>
  <c r="R9" i="2"/>
  <c r="AE10" i="2"/>
  <c r="K9" i="2"/>
  <c r="K8" i="2"/>
  <c r="AG10" i="2"/>
  <c r="AJ9" i="2"/>
  <c r="V9" i="2"/>
  <c r="AI8" i="2"/>
  <c r="AI9" i="2"/>
  <c r="AK10" i="2"/>
  <c r="S9" i="2"/>
  <c r="U10" i="2"/>
  <c r="J9" i="2"/>
  <c r="AF10" i="2"/>
  <c r="Z8" i="2"/>
  <c r="S8" i="2"/>
  <c r="U9" i="2"/>
  <c r="W9" i="2"/>
  <c r="W8" i="2"/>
  <c r="AF8" i="2"/>
  <c r="Z9" i="2"/>
  <c r="J10" i="2"/>
  <c r="AD8" i="2"/>
  <c r="AD9" i="2"/>
  <c r="AD10" i="2"/>
  <c r="AC8" i="2"/>
  <c r="AC9" i="2"/>
  <c r="AC10" i="2"/>
  <c r="P8" i="2"/>
  <c r="P9" i="2"/>
  <c r="P10" i="2"/>
  <c r="AQ8" i="2"/>
  <c r="AQ9" i="2"/>
  <c r="AQ10" i="2"/>
  <c r="Y8" i="2"/>
  <c r="Y9" i="2"/>
  <c r="Y10" i="2"/>
  <c r="O8" i="2"/>
  <c r="O9" i="2"/>
  <c r="O10" i="2"/>
  <c r="AL8" i="2"/>
  <c r="AL9" i="2"/>
  <c r="AL10" i="2"/>
  <c r="AP8" i="2"/>
  <c r="AP9" i="2"/>
  <c r="AP10" i="2"/>
  <c r="X8" i="2"/>
  <c r="X9" i="2"/>
  <c r="X10" i="2"/>
  <c r="AB8" i="2"/>
  <c r="AB9" i="2"/>
  <c r="AB10" i="2"/>
  <c r="N8" i="2"/>
  <c r="N9" i="2"/>
  <c r="N10" i="2"/>
  <c r="AM8" i="2"/>
  <c r="AM9" i="2"/>
  <c r="AM10" i="2"/>
  <c r="AO8" i="2"/>
  <c r="AO9" i="2"/>
  <c r="AO10" i="2"/>
  <c r="AA8" i="2"/>
  <c r="AA9" i="2"/>
  <c r="AA10" i="2"/>
  <c r="AR8" i="2"/>
  <c r="AR9" i="2"/>
  <c r="AR10" i="2"/>
  <c r="N13" i="1" l="1"/>
  <c r="Q13" i="1"/>
  <c r="I3" i="13"/>
  <c r="G17" i="1" s="1"/>
  <c r="I4" i="13"/>
  <c r="G18" i="1" s="1"/>
  <c r="I5" i="13"/>
  <c r="G19" i="1" s="1"/>
  <c r="K13" i="1"/>
  <c r="H3" i="13"/>
  <c r="F17" i="1" s="1"/>
  <c r="H4" i="13"/>
  <c r="F18" i="1" s="1"/>
  <c r="H5" i="13"/>
  <c r="F19" i="1" s="1"/>
  <c r="G4" i="13"/>
  <c r="E18" i="1" s="1"/>
  <c r="G3" i="13"/>
  <c r="E17" i="1" s="1"/>
  <c r="G5" i="13"/>
  <c r="E19" i="1" s="1"/>
  <c r="J4" i="13"/>
  <c r="H18" i="1" s="1"/>
  <c r="J5" i="13"/>
  <c r="H19" i="1" s="1"/>
  <c r="J3" i="13"/>
  <c r="H17" i="1" s="1"/>
  <c r="F8" i="13"/>
  <c r="D22" i="1" s="1"/>
  <c r="F7" i="13"/>
  <c r="D21" i="1" s="1"/>
  <c r="F9" i="13"/>
  <c r="D23" i="1" s="1"/>
  <c r="F6" i="13"/>
  <c r="D20" i="1" s="1"/>
  <c r="K17" i="1" l="1"/>
  <c r="K19" i="1"/>
  <c r="D29" i="1"/>
  <c r="K18" i="1"/>
  <c r="D5" i="44"/>
  <c r="D4" i="44"/>
  <c r="D3" i="44"/>
  <c r="D2" i="44"/>
  <c r="B5" i="42"/>
  <c r="D18" i="41"/>
  <c r="D17" i="41"/>
  <c r="D15" i="41"/>
  <c r="D14" i="41"/>
  <c r="D13" i="41"/>
  <c r="D11" i="41"/>
  <c r="D10" i="41"/>
  <c r="D9" i="41"/>
  <c r="U642" i="39"/>
  <c r="T642" i="39"/>
  <c r="U641" i="39"/>
  <c r="T641" i="39"/>
  <c r="U640" i="39"/>
  <c r="T640" i="39"/>
  <c r="U639" i="39"/>
  <c r="T639" i="39"/>
  <c r="U638" i="39"/>
  <c r="T638" i="39"/>
  <c r="U637" i="39"/>
  <c r="T637" i="39"/>
  <c r="U636" i="39"/>
  <c r="T636" i="39"/>
  <c r="U635" i="39"/>
  <c r="T635" i="39"/>
  <c r="U634" i="39"/>
  <c r="T634" i="39"/>
  <c r="U633" i="39"/>
  <c r="T633" i="39"/>
  <c r="U632" i="39"/>
  <c r="T632" i="39"/>
  <c r="U631" i="39"/>
  <c r="T631" i="39"/>
  <c r="U630" i="39"/>
  <c r="T630" i="39"/>
  <c r="U629" i="39"/>
  <c r="T629" i="39"/>
  <c r="U628" i="39"/>
  <c r="T628" i="39"/>
  <c r="U627" i="39"/>
  <c r="T627" i="39"/>
  <c r="U626" i="39"/>
  <c r="T626" i="39"/>
  <c r="U625" i="39"/>
  <c r="T625" i="39"/>
  <c r="U624" i="39"/>
  <c r="T624" i="39"/>
  <c r="U623" i="39"/>
  <c r="T623" i="39"/>
  <c r="U622" i="39"/>
  <c r="T622" i="39"/>
  <c r="U621" i="39"/>
  <c r="T621" i="39"/>
  <c r="U620" i="39"/>
  <c r="T620" i="39"/>
  <c r="U619" i="39"/>
  <c r="T619" i="39"/>
  <c r="U618" i="39"/>
  <c r="T618" i="39"/>
  <c r="U617" i="39"/>
  <c r="T617" i="39"/>
  <c r="U616" i="39"/>
  <c r="T616" i="39"/>
  <c r="U615" i="39"/>
  <c r="T615" i="39"/>
  <c r="U614" i="39"/>
  <c r="T614" i="39"/>
  <c r="U613" i="39"/>
  <c r="T613" i="39"/>
  <c r="U612" i="39"/>
  <c r="T612" i="39"/>
  <c r="U611" i="39"/>
  <c r="T611" i="39"/>
  <c r="U610" i="39"/>
  <c r="T610" i="39"/>
  <c r="U609" i="39"/>
  <c r="T609" i="39"/>
  <c r="U608" i="39"/>
  <c r="T608" i="39"/>
  <c r="U607" i="39"/>
  <c r="T607" i="39"/>
  <c r="U606" i="39"/>
  <c r="T606" i="39"/>
  <c r="U605" i="39"/>
  <c r="T605" i="39"/>
  <c r="U604" i="39"/>
  <c r="T604" i="39"/>
  <c r="U603" i="39"/>
  <c r="T603" i="39"/>
  <c r="U602" i="39"/>
  <c r="T602" i="39"/>
  <c r="U601" i="39"/>
  <c r="T601" i="39"/>
  <c r="U600" i="39"/>
  <c r="T600" i="39"/>
  <c r="U599" i="39"/>
  <c r="T599" i="39"/>
  <c r="U598" i="39"/>
  <c r="T598" i="39"/>
  <c r="U597" i="39"/>
  <c r="T597" i="39"/>
  <c r="U596" i="39"/>
  <c r="T596" i="39"/>
  <c r="U595" i="39"/>
  <c r="T595" i="39"/>
  <c r="U594" i="39"/>
  <c r="T594" i="39"/>
  <c r="U593" i="39"/>
  <c r="T593" i="39"/>
  <c r="U592" i="39"/>
  <c r="T592" i="39"/>
  <c r="U591" i="39"/>
  <c r="T591" i="39"/>
  <c r="U590" i="39"/>
  <c r="T590" i="39"/>
  <c r="U589" i="39"/>
  <c r="T589" i="39"/>
  <c r="U588" i="39"/>
  <c r="T588" i="39"/>
  <c r="U587" i="39"/>
  <c r="T587" i="39"/>
  <c r="U586" i="39"/>
  <c r="T586" i="39"/>
  <c r="U585" i="39"/>
  <c r="T585" i="39"/>
  <c r="U584" i="39"/>
  <c r="T584" i="39"/>
  <c r="U583" i="39"/>
  <c r="T583" i="39"/>
  <c r="U582" i="39"/>
  <c r="T582" i="39"/>
  <c r="U581" i="39"/>
  <c r="T581" i="39"/>
  <c r="U580" i="39"/>
  <c r="T580" i="39"/>
  <c r="U579" i="39"/>
  <c r="T579" i="39"/>
  <c r="U578" i="39"/>
  <c r="T578" i="39"/>
  <c r="U577" i="39"/>
  <c r="T577" i="39"/>
  <c r="U576" i="39"/>
  <c r="T576" i="39"/>
  <c r="U575" i="39"/>
  <c r="T575" i="39"/>
  <c r="U574" i="39"/>
  <c r="T574" i="39"/>
  <c r="U573" i="39"/>
  <c r="T573" i="39"/>
  <c r="U572" i="39"/>
  <c r="T572" i="39"/>
  <c r="U571" i="39"/>
  <c r="T571" i="39"/>
  <c r="U570" i="39"/>
  <c r="T570" i="39"/>
  <c r="U569" i="39"/>
  <c r="T569" i="39"/>
  <c r="U568" i="39"/>
  <c r="T568" i="39"/>
  <c r="U567" i="39"/>
  <c r="T567" i="39"/>
  <c r="U566" i="39"/>
  <c r="T566" i="39"/>
  <c r="U565" i="39"/>
  <c r="T565" i="39"/>
  <c r="U564" i="39"/>
  <c r="T564" i="39"/>
  <c r="U563" i="39"/>
  <c r="T563" i="39"/>
  <c r="U562" i="39"/>
  <c r="T562" i="39"/>
  <c r="U561" i="39"/>
  <c r="T561" i="39"/>
  <c r="U560" i="39"/>
  <c r="T560" i="39"/>
  <c r="U559" i="39"/>
  <c r="T559" i="39"/>
  <c r="U558" i="39"/>
  <c r="T558" i="39"/>
  <c r="U557" i="39"/>
  <c r="T557" i="39"/>
  <c r="U556" i="39"/>
  <c r="T556" i="39"/>
  <c r="U555" i="39"/>
  <c r="T555" i="39"/>
  <c r="U554" i="39"/>
  <c r="T554" i="39"/>
  <c r="U553" i="39"/>
  <c r="T553" i="39"/>
  <c r="U552" i="39"/>
  <c r="T552" i="39"/>
  <c r="U551" i="39"/>
  <c r="T551" i="39"/>
  <c r="U550" i="39"/>
  <c r="T550" i="39"/>
  <c r="U549" i="39"/>
  <c r="T549" i="39"/>
  <c r="U548" i="39"/>
  <c r="T548" i="39"/>
  <c r="U547" i="39"/>
  <c r="T547" i="39"/>
  <c r="U546" i="39"/>
  <c r="T546" i="39"/>
  <c r="U545" i="39"/>
  <c r="T545" i="39"/>
  <c r="U544" i="39"/>
  <c r="T544" i="39"/>
  <c r="U543" i="39"/>
  <c r="T543" i="39"/>
  <c r="U542" i="39"/>
  <c r="T542" i="39"/>
  <c r="U541" i="39"/>
  <c r="T541" i="39"/>
  <c r="U540" i="39"/>
  <c r="T540" i="39"/>
  <c r="U539" i="39"/>
  <c r="T539" i="39"/>
  <c r="U538" i="39"/>
  <c r="T538" i="39"/>
  <c r="U537" i="39"/>
  <c r="T537" i="39"/>
  <c r="U536" i="39"/>
  <c r="T536" i="39"/>
  <c r="U535" i="39"/>
  <c r="T535" i="39"/>
  <c r="U534" i="39"/>
  <c r="T534" i="39"/>
  <c r="U533" i="39"/>
  <c r="T533" i="39"/>
  <c r="U532" i="39"/>
  <c r="T532" i="39"/>
  <c r="U531" i="39"/>
  <c r="T531" i="39"/>
  <c r="U530" i="39"/>
  <c r="T530" i="39"/>
  <c r="U529" i="39"/>
  <c r="T529" i="39"/>
  <c r="U528" i="39"/>
  <c r="T528" i="39"/>
  <c r="U527" i="39"/>
  <c r="T527" i="39"/>
  <c r="U526" i="39"/>
  <c r="T526" i="39"/>
  <c r="U525" i="39"/>
  <c r="T525" i="39"/>
  <c r="U524" i="39"/>
  <c r="T524" i="39"/>
  <c r="U523" i="39"/>
  <c r="T523" i="39"/>
  <c r="U522" i="39"/>
  <c r="T522" i="39"/>
  <c r="U521" i="39"/>
  <c r="T521" i="39"/>
  <c r="U520" i="39"/>
  <c r="T520" i="39"/>
  <c r="U519" i="39"/>
  <c r="T519" i="39"/>
  <c r="U518" i="39"/>
  <c r="T518" i="39"/>
  <c r="U517" i="39"/>
  <c r="T517" i="39"/>
  <c r="U516" i="39"/>
  <c r="T516" i="39"/>
  <c r="U515" i="39"/>
  <c r="T515" i="39"/>
  <c r="U514" i="39"/>
  <c r="T514" i="39"/>
  <c r="U513" i="39"/>
  <c r="T513" i="39"/>
  <c r="U512" i="39"/>
  <c r="T512" i="39"/>
  <c r="U511" i="39"/>
  <c r="T511" i="39"/>
  <c r="U510" i="39"/>
  <c r="T510" i="39"/>
  <c r="U509" i="39"/>
  <c r="T509" i="39"/>
  <c r="U508" i="39"/>
  <c r="T508" i="39"/>
  <c r="U507" i="39"/>
  <c r="T507" i="39"/>
  <c r="U506" i="39"/>
  <c r="T506" i="39"/>
  <c r="U505" i="39"/>
  <c r="T505" i="39"/>
  <c r="U504" i="39"/>
  <c r="T504" i="39"/>
  <c r="U503" i="39"/>
  <c r="T503" i="39"/>
  <c r="U502" i="39"/>
  <c r="T502" i="39"/>
  <c r="U501" i="39"/>
  <c r="T501" i="39"/>
  <c r="U500" i="39"/>
  <c r="T500" i="39"/>
  <c r="U499" i="39"/>
  <c r="T499" i="39"/>
  <c r="U498" i="39"/>
  <c r="T498" i="39"/>
  <c r="U497" i="39"/>
  <c r="T497" i="39"/>
  <c r="U496" i="39"/>
  <c r="T496" i="39"/>
  <c r="U495" i="39"/>
  <c r="T495" i="39"/>
  <c r="U494" i="39"/>
  <c r="T494" i="39"/>
  <c r="U493" i="39"/>
  <c r="T493" i="39"/>
  <c r="U492" i="39"/>
  <c r="T492" i="39"/>
  <c r="U491" i="39"/>
  <c r="T491" i="39"/>
  <c r="U490" i="39"/>
  <c r="T490" i="39"/>
  <c r="U489" i="39"/>
  <c r="T489" i="39"/>
  <c r="U488" i="39"/>
  <c r="T488" i="39"/>
  <c r="U487" i="39"/>
  <c r="T487" i="39"/>
  <c r="U486" i="39"/>
  <c r="T486" i="39"/>
  <c r="U485" i="39"/>
  <c r="T485" i="39"/>
  <c r="U484" i="39"/>
  <c r="T484" i="39"/>
  <c r="U483" i="39"/>
  <c r="T483" i="39"/>
  <c r="U482" i="39"/>
  <c r="T482" i="39"/>
  <c r="U481" i="39"/>
  <c r="T481" i="39"/>
  <c r="U480" i="39"/>
  <c r="T480" i="39"/>
  <c r="U479" i="39"/>
  <c r="T479" i="39"/>
  <c r="U478" i="39"/>
  <c r="T478" i="39"/>
  <c r="U477" i="39"/>
  <c r="T477" i="39"/>
  <c r="U476" i="39"/>
  <c r="T476" i="39"/>
  <c r="U475" i="39"/>
  <c r="T475" i="39"/>
  <c r="U474" i="39"/>
  <c r="T474" i="39"/>
  <c r="U473" i="39"/>
  <c r="T473" i="39"/>
  <c r="U472" i="39"/>
  <c r="T472" i="39"/>
  <c r="U471" i="39"/>
  <c r="T471" i="39"/>
  <c r="U470" i="39"/>
  <c r="T470" i="39"/>
  <c r="U469" i="39"/>
  <c r="T469" i="39"/>
  <c r="U468" i="39"/>
  <c r="T468" i="39"/>
  <c r="U467" i="39"/>
  <c r="T467" i="39"/>
  <c r="U466" i="39"/>
  <c r="T466" i="39"/>
  <c r="U465" i="39"/>
  <c r="T465" i="39"/>
  <c r="U464" i="39"/>
  <c r="T464" i="39"/>
  <c r="U463" i="39"/>
  <c r="T463" i="39"/>
  <c r="U462" i="39"/>
  <c r="T462" i="39"/>
  <c r="U461" i="39"/>
  <c r="T461" i="39"/>
  <c r="U460" i="39"/>
  <c r="T460" i="39"/>
  <c r="U459" i="39"/>
  <c r="T459" i="39"/>
  <c r="U458" i="39"/>
  <c r="T458" i="39"/>
  <c r="U457" i="39"/>
  <c r="T457" i="39"/>
  <c r="U456" i="39"/>
  <c r="T456" i="39"/>
  <c r="U455" i="39"/>
  <c r="T455" i="39"/>
  <c r="U454" i="39"/>
  <c r="T454" i="39"/>
  <c r="U453" i="39"/>
  <c r="T453" i="39"/>
  <c r="U452" i="39"/>
  <c r="T452" i="39"/>
  <c r="U451" i="39"/>
  <c r="T451" i="39"/>
  <c r="U450" i="39"/>
  <c r="T450" i="39"/>
  <c r="U449" i="39"/>
  <c r="T449" i="39"/>
  <c r="U448" i="39"/>
  <c r="T448" i="39"/>
  <c r="U447" i="39"/>
  <c r="T447" i="39"/>
  <c r="U446" i="39"/>
  <c r="T446" i="39"/>
  <c r="U445" i="39"/>
  <c r="T445" i="39"/>
  <c r="U444" i="39"/>
  <c r="T444" i="39"/>
  <c r="U443" i="39"/>
  <c r="T443" i="39"/>
  <c r="U442" i="39"/>
  <c r="T442" i="39"/>
  <c r="U441" i="39"/>
  <c r="T441" i="39"/>
  <c r="U440" i="39"/>
  <c r="T440" i="39"/>
  <c r="U439" i="39"/>
  <c r="T439" i="39"/>
  <c r="U438" i="39"/>
  <c r="T438" i="39"/>
  <c r="U437" i="39"/>
  <c r="T437" i="39"/>
  <c r="U436" i="39"/>
  <c r="T436" i="39"/>
  <c r="U435" i="39"/>
  <c r="T435" i="39"/>
  <c r="U434" i="39"/>
  <c r="T434" i="39"/>
  <c r="U433" i="39"/>
  <c r="T433" i="39"/>
  <c r="U432" i="39"/>
  <c r="T432" i="39"/>
  <c r="U431" i="39"/>
  <c r="T431" i="39"/>
  <c r="U430" i="39"/>
  <c r="T430" i="39"/>
  <c r="U429" i="39"/>
  <c r="T429" i="39"/>
  <c r="U428" i="39"/>
  <c r="T428" i="39"/>
  <c r="U427" i="39"/>
  <c r="T427" i="39"/>
  <c r="U426" i="39"/>
  <c r="T426" i="39"/>
  <c r="U425" i="39"/>
  <c r="T425" i="39"/>
  <c r="U424" i="39"/>
  <c r="T424" i="39"/>
  <c r="U423" i="39"/>
  <c r="T423" i="39"/>
  <c r="U422" i="39"/>
  <c r="T422" i="39"/>
  <c r="U421" i="39"/>
  <c r="T421" i="39"/>
  <c r="U420" i="39"/>
  <c r="T420" i="39"/>
  <c r="U419" i="39"/>
  <c r="T419" i="39"/>
  <c r="U418" i="39"/>
  <c r="T418" i="39"/>
  <c r="U417" i="39"/>
  <c r="T417" i="39"/>
  <c r="U416" i="39"/>
  <c r="T416" i="39"/>
  <c r="U415" i="39"/>
  <c r="T415" i="39"/>
  <c r="U414" i="39"/>
  <c r="T414" i="39"/>
  <c r="U413" i="39"/>
  <c r="T413" i="39"/>
  <c r="U412" i="39"/>
  <c r="T412" i="39"/>
  <c r="U411" i="39"/>
  <c r="T411" i="39"/>
  <c r="U410" i="39"/>
  <c r="T410" i="39"/>
  <c r="U409" i="39"/>
  <c r="T409" i="39"/>
  <c r="U408" i="39"/>
  <c r="T408" i="39"/>
  <c r="U407" i="39"/>
  <c r="T407" i="39"/>
  <c r="U406" i="39"/>
  <c r="T406" i="39"/>
  <c r="U405" i="39"/>
  <c r="T405" i="39"/>
  <c r="U404" i="39"/>
  <c r="T404" i="39"/>
  <c r="U403" i="39"/>
  <c r="T403" i="39"/>
  <c r="U402" i="39"/>
  <c r="T402" i="39"/>
  <c r="U401" i="39"/>
  <c r="T401" i="39"/>
  <c r="U400" i="39"/>
  <c r="T400" i="39"/>
  <c r="U399" i="39"/>
  <c r="T399" i="39"/>
  <c r="U398" i="39"/>
  <c r="T398" i="39"/>
  <c r="U397" i="39"/>
  <c r="T397" i="39"/>
  <c r="U396" i="39"/>
  <c r="T396" i="39"/>
  <c r="U395" i="39"/>
  <c r="T395" i="39"/>
  <c r="U394" i="39"/>
  <c r="T394" i="39"/>
  <c r="U393" i="39"/>
  <c r="T393" i="39"/>
  <c r="U392" i="39"/>
  <c r="T392" i="39"/>
  <c r="U391" i="39"/>
  <c r="T391" i="39"/>
  <c r="U390" i="39"/>
  <c r="T390" i="39"/>
  <c r="U389" i="39"/>
  <c r="T389" i="39"/>
  <c r="U388" i="39"/>
  <c r="T388" i="39"/>
  <c r="U387" i="39"/>
  <c r="T387" i="39"/>
  <c r="U386" i="39"/>
  <c r="T386" i="39"/>
  <c r="U385" i="39"/>
  <c r="T385" i="39"/>
  <c r="U384" i="39"/>
  <c r="T384" i="39"/>
  <c r="U383" i="39"/>
  <c r="T383" i="39"/>
  <c r="U382" i="39"/>
  <c r="T382" i="39"/>
  <c r="U381" i="39"/>
  <c r="T381" i="39"/>
  <c r="U380" i="39"/>
  <c r="T380" i="39"/>
  <c r="U379" i="39"/>
  <c r="T379" i="39"/>
  <c r="U378" i="39"/>
  <c r="T378" i="39"/>
  <c r="U377" i="39"/>
  <c r="T377" i="39"/>
  <c r="U376" i="39"/>
  <c r="T376" i="39"/>
  <c r="U375" i="39"/>
  <c r="T375" i="39"/>
  <c r="U374" i="39"/>
  <c r="T374" i="39"/>
  <c r="U373" i="39"/>
  <c r="T373" i="39"/>
  <c r="U372" i="39"/>
  <c r="T372" i="39"/>
  <c r="U371" i="39"/>
  <c r="T371" i="39"/>
  <c r="U370" i="39"/>
  <c r="T370" i="39"/>
  <c r="U369" i="39"/>
  <c r="T369" i="39"/>
  <c r="U368" i="39"/>
  <c r="T368" i="39"/>
  <c r="U367" i="39"/>
  <c r="T367" i="39"/>
  <c r="U366" i="39"/>
  <c r="T366" i="39"/>
  <c r="U365" i="39"/>
  <c r="T365" i="39"/>
  <c r="U364" i="39"/>
  <c r="T364" i="39"/>
  <c r="U363" i="39"/>
  <c r="T363" i="39"/>
  <c r="U362" i="39"/>
  <c r="T362" i="39"/>
  <c r="U361" i="39"/>
  <c r="T361" i="39"/>
  <c r="U360" i="39"/>
  <c r="T360" i="39"/>
  <c r="U359" i="39"/>
  <c r="T359" i="39"/>
  <c r="U358" i="39"/>
  <c r="T358" i="39"/>
  <c r="U357" i="39"/>
  <c r="T357" i="39"/>
  <c r="U356" i="39"/>
  <c r="T356" i="39"/>
  <c r="U355" i="39"/>
  <c r="T355" i="39"/>
  <c r="U354" i="39"/>
  <c r="T354" i="39"/>
  <c r="U353" i="39"/>
  <c r="T353" i="39"/>
  <c r="U352" i="39"/>
  <c r="T352" i="39"/>
  <c r="U351" i="39"/>
  <c r="T351" i="39"/>
  <c r="U350" i="39"/>
  <c r="T350" i="39"/>
  <c r="U349" i="39"/>
  <c r="T349" i="39"/>
  <c r="U348" i="39"/>
  <c r="T348" i="39"/>
  <c r="U347" i="39"/>
  <c r="T347" i="39"/>
  <c r="U346" i="39"/>
  <c r="T346" i="39"/>
  <c r="U345" i="39"/>
  <c r="T345" i="39"/>
  <c r="U344" i="39"/>
  <c r="T344" i="39"/>
  <c r="U343" i="39"/>
  <c r="T343" i="39"/>
  <c r="U342" i="39"/>
  <c r="T342" i="39"/>
  <c r="U341" i="39"/>
  <c r="T341" i="39"/>
  <c r="U340" i="39"/>
  <c r="T340" i="39"/>
  <c r="U339" i="39"/>
  <c r="T339" i="39"/>
  <c r="U338" i="39"/>
  <c r="T338" i="39"/>
  <c r="U337" i="39"/>
  <c r="T337" i="39"/>
  <c r="U336" i="39"/>
  <c r="T336" i="39"/>
  <c r="U335" i="39"/>
  <c r="T335" i="39"/>
  <c r="U334" i="39"/>
  <c r="T334" i="39"/>
  <c r="U333" i="39"/>
  <c r="T333" i="39"/>
  <c r="U332" i="39"/>
  <c r="T332" i="39"/>
  <c r="U331" i="39"/>
  <c r="T331" i="39"/>
  <c r="U330" i="39"/>
  <c r="T330" i="39"/>
  <c r="U329" i="39"/>
  <c r="T329" i="39"/>
  <c r="U328" i="39"/>
  <c r="T328" i="39"/>
  <c r="U327" i="39"/>
  <c r="T327" i="39"/>
  <c r="U326" i="39"/>
  <c r="T326" i="39"/>
  <c r="U325" i="39"/>
  <c r="T325" i="39"/>
  <c r="U324" i="39"/>
  <c r="T324" i="39"/>
  <c r="U323" i="39"/>
  <c r="T323" i="39"/>
  <c r="U322" i="39"/>
  <c r="T322" i="39"/>
  <c r="U321" i="39"/>
  <c r="T321" i="39"/>
  <c r="U320" i="39"/>
  <c r="T320" i="39"/>
  <c r="U319" i="39"/>
  <c r="T319" i="39"/>
  <c r="U318" i="39"/>
  <c r="T318" i="39"/>
  <c r="U317" i="39"/>
  <c r="T317" i="39"/>
  <c r="U316" i="39"/>
  <c r="T316" i="39"/>
  <c r="U315" i="39"/>
  <c r="T315" i="39"/>
  <c r="U314" i="39"/>
  <c r="T314" i="39"/>
  <c r="U313" i="39"/>
  <c r="T313" i="39"/>
  <c r="U312" i="39"/>
  <c r="T312" i="39"/>
  <c r="U311" i="39"/>
  <c r="T311" i="39"/>
  <c r="U310" i="39"/>
  <c r="T310" i="39"/>
  <c r="U309" i="39"/>
  <c r="T309" i="39"/>
  <c r="U308" i="39"/>
  <c r="T308" i="39"/>
  <c r="U307" i="39"/>
  <c r="T307" i="39"/>
  <c r="U306" i="39"/>
  <c r="T306" i="39"/>
  <c r="U305" i="39"/>
  <c r="T305" i="39"/>
  <c r="U304" i="39"/>
  <c r="T304" i="39"/>
  <c r="U303" i="39"/>
  <c r="T303" i="39"/>
  <c r="U302" i="39"/>
  <c r="T302" i="39"/>
  <c r="U301" i="39"/>
  <c r="T301" i="39"/>
  <c r="U300" i="39"/>
  <c r="T300" i="39"/>
  <c r="U299" i="39"/>
  <c r="T299" i="39"/>
  <c r="U298" i="39"/>
  <c r="T298" i="39"/>
  <c r="U297" i="39"/>
  <c r="T297" i="39"/>
  <c r="U296" i="39"/>
  <c r="T296" i="39"/>
  <c r="U295" i="39"/>
  <c r="T295" i="39"/>
  <c r="U294" i="39"/>
  <c r="T294" i="39"/>
  <c r="U293" i="39"/>
  <c r="T293" i="39"/>
  <c r="U292" i="39"/>
  <c r="T292" i="39"/>
  <c r="U291" i="39"/>
  <c r="T291" i="39"/>
  <c r="U290" i="39"/>
  <c r="T290" i="39"/>
  <c r="U289" i="39"/>
  <c r="T289" i="39"/>
  <c r="U288" i="39"/>
  <c r="T288" i="39"/>
  <c r="U287" i="39"/>
  <c r="T287" i="39"/>
  <c r="U286" i="39"/>
  <c r="T286" i="39"/>
  <c r="U285" i="39"/>
  <c r="T285" i="39"/>
  <c r="U284" i="39"/>
  <c r="T284" i="39"/>
  <c r="U283" i="39"/>
  <c r="T283" i="39"/>
  <c r="U282" i="39"/>
  <c r="T282" i="39"/>
  <c r="U281" i="39"/>
  <c r="T281" i="39"/>
  <c r="U280" i="39"/>
  <c r="T280" i="39"/>
  <c r="U279" i="39"/>
  <c r="T279" i="39"/>
  <c r="U278" i="39"/>
  <c r="T278" i="39"/>
  <c r="U277" i="39"/>
  <c r="T277" i="39"/>
  <c r="U276" i="39"/>
  <c r="T276" i="39"/>
  <c r="U275" i="39"/>
  <c r="T275" i="39"/>
  <c r="U274" i="39"/>
  <c r="T274" i="39"/>
  <c r="U273" i="39"/>
  <c r="T273" i="39"/>
  <c r="U272" i="39"/>
  <c r="T272" i="39"/>
  <c r="U271" i="39"/>
  <c r="T271" i="39"/>
  <c r="U270" i="39"/>
  <c r="T270" i="39"/>
  <c r="U269" i="39"/>
  <c r="T269" i="39"/>
  <c r="U268" i="39"/>
  <c r="T268" i="39"/>
  <c r="U267" i="39"/>
  <c r="T267" i="39"/>
  <c r="U266" i="39"/>
  <c r="T266" i="39"/>
  <c r="U265" i="39"/>
  <c r="T265" i="39"/>
  <c r="U264" i="39"/>
  <c r="T264" i="39"/>
  <c r="U263" i="39"/>
  <c r="T263" i="39"/>
  <c r="U262" i="39"/>
  <c r="T262" i="39"/>
  <c r="U261" i="39"/>
  <c r="T261" i="39"/>
  <c r="U260" i="39"/>
  <c r="T260" i="39"/>
  <c r="U259" i="39"/>
  <c r="T259" i="39"/>
  <c r="U258" i="39"/>
  <c r="T258" i="39"/>
  <c r="U257" i="39"/>
  <c r="T257" i="39"/>
  <c r="U256" i="39"/>
  <c r="T256" i="39"/>
  <c r="U255" i="39"/>
  <c r="T255" i="39"/>
  <c r="U254" i="39"/>
  <c r="T254" i="39"/>
  <c r="U253" i="39"/>
  <c r="T253" i="39"/>
  <c r="U252" i="39"/>
  <c r="T252" i="39"/>
  <c r="U251" i="39"/>
  <c r="T251" i="39"/>
  <c r="U250" i="39"/>
  <c r="T250" i="39"/>
  <c r="U249" i="39"/>
  <c r="T249" i="39"/>
  <c r="U248" i="39"/>
  <c r="T248" i="39"/>
  <c r="U247" i="39"/>
  <c r="T247" i="39"/>
  <c r="U246" i="39"/>
  <c r="T246" i="39"/>
  <c r="U245" i="39"/>
  <c r="T245" i="39"/>
  <c r="U244" i="39"/>
  <c r="T244" i="39"/>
  <c r="U243" i="39"/>
  <c r="T243" i="39"/>
  <c r="U242" i="39"/>
  <c r="T242" i="39"/>
  <c r="U241" i="39"/>
  <c r="T241" i="39"/>
  <c r="U240" i="39"/>
  <c r="T240" i="39"/>
  <c r="U239" i="39"/>
  <c r="T239" i="39"/>
  <c r="U238" i="39"/>
  <c r="T238" i="39"/>
  <c r="U237" i="39"/>
  <c r="T237" i="39"/>
  <c r="U236" i="39"/>
  <c r="T236" i="39"/>
  <c r="U235" i="39"/>
  <c r="T235" i="39"/>
  <c r="U234" i="39"/>
  <c r="T234" i="39"/>
  <c r="U233" i="39"/>
  <c r="T233" i="39"/>
  <c r="U232" i="39"/>
  <c r="T232" i="39"/>
  <c r="U231" i="39"/>
  <c r="T231" i="39"/>
  <c r="U230" i="39"/>
  <c r="T230" i="39"/>
  <c r="U229" i="39"/>
  <c r="T229" i="39"/>
  <c r="U228" i="39"/>
  <c r="T228" i="39"/>
  <c r="U227" i="39"/>
  <c r="T227" i="39"/>
  <c r="U226" i="39"/>
  <c r="T226" i="39"/>
  <c r="U225" i="39"/>
  <c r="T225" i="39"/>
  <c r="U224" i="39"/>
  <c r="T224" i="39"/>
  <c r="U223" i="39"/>
  <c r="T223" i="39"/>
  <c r="U222" i="39"/>
  <c r="T222" i="39"/>
  <c r="U221" i="39"/>
  <c r="T221" i="39"/>
  <c r="U220" i="39"/>
  <c r="T220" i="39"/>
  <c r="U219" i="39"/>
  <c r="T219" i="39"/>
  <c r="U218" i="39"/>
  <c r="T218" i="39"/>
  <c r="U217" i="39"/>
  <c r="T217" i="39"/>
  <c r="U216" i="39"/>
  <c r="T216" i="39"/>
  <c r="U215" i="39"/>
  <c r="T215" i="39"/>
  <c r="U214" i="39"/>
  <c r="T214" i="39"/>
  <c r="U213" i="39"/>
  <c r="T213" i="39"/>
  <c r="U212" i="39"/>
  <c r="T212" i="39"/>
  <c r="U211" i="39"/>
  <c r="T211" i="39"/>
  <c r="U210" i="39"/>
  <c r="T210" i="39"/>
  <c r="U209" i="39"/>
  <c r="T209" i="39"/>
  <c r="U208" i="39"/>
  <c r="T208" i="39"/>
  <c r="U207" i="39"/>
  <c r="T207" i="39"/>
  <c r="U206" i="39"/>
  <c r="T206" i="39"/>
  <c r="U205" i="39"/>
  <c r="T205" i="39"/>
  <c r="U204" i="39"/>
  <c r="T204" i="39"/>
  <c r="U203" i="39"/>
  <c r="T203" i="39"/>
  <c r="U202" i="39"/>
  <c r="T202" i="39"/>
  <c r="U201" i="39"/>
  <c r="T201" i="39"/>
  <c r="U200" i="39"/>
  <c r="T200" i="39"/>
  <c r="U199" i="39"/>
  <c r="T199" i="39"/>
  <c r="U198" i="39"/>
  <c r="T198" i="39"/>
  <c r="U197" i="39"/>
  <c r="T197" i="39"/>
  <c r="U196" i="39"/>
  <c r="T196" i="39"/>
  <c r="U195" i="39"/>
  <c r="T195" i="39"/>
  <c r="U194" i="39"/>
  <c r="T194" i="39"/>
  <c r="U193" i="39"/>
  <c r="T193" i="39"/>
  <c r="U192" i="39"/>
  <c r="T192" i="39"/>
  <c r="U191" i="39"/>
  <c r="T191" i="39"/>
  <c r="U190" i="39"/>
  <c r="T190" i="39"/>
  <c r="U189" i="39"/>
  <c r="T189" i="39"/>
  <c r="U188" i="39"/>
  <c r="T188" i="39"/>
  <c r="U187" i="39"/>
  <c r="T187" i="39"/>
  <c r="U186" i="39"/>
  <c r="T186" i="39"/>
  <c r="U185" i="39"/>
  <c r="T185" i="39"/>
  <c r="U184" i="39"/>
  <c r="T184" i="39"/>
  <c r="U183" i="39"/>
  <c r="T183" i="39"/>
  <c r="U182" i="39"/>
  <c r="T182" i="39"/>
  <c r="U181" i="39"/>
  <c r="T181" i="39"/>
  <c r="U180" i="39"/>
  <c r="T180" i="39"/>
  <c r="U179" i="39"/>
  <c r="T179" i="39"/>
  <c r="U178" i="39"/>
  <c r="T178" i="39"/>
  <c r="U177" i="39"/>
  <c r="T177" i="39"/>
  <c r="U176" i="39"/>
  <c r="T176" i="39"/>
  <c r="U175" i="39"/>
  <c r="T175" i="39"/>
  <c r="U174" i="39"/>
  <c r="T174" i="39"/>
  <c r="U173" i="39"/>
  <c r="T173" i="39"/>
  <c r="U172" i="39"/>
  <c r="T172" i="39"/>
  <c r="U171" i="39"/>
  <c r="T171" i="39"/>
  <c r="U170" i="39"/>
  <c r="T170" i="39"/>
  <c r="U169" i="39"/>
  <c r="T169" i="39"/>
  <c r="U168" i="39"/>
  <c r="T168" i="39"/>
  <c r="U167" i="39"/>
  <c r="T167" i="39"/>
  <c r="U166" i="39"/>
  <c r="T166" i="39"/>
  <c r="U165" i="39"/>
  <c r="T165" i="39"/>
  <c r="U164" i="39"/>
  <c r="T164" i="39"/>
  <c r="U163" i="39"/>
  <c r="T163" i="39"/>
  <c r="U162" i="39"/>
  <c r="T162" i="39"/>
  <c r="U161" i="39"/>
  <c r="T161" i="39"/>
  <c r="U160" i="39"/>
  <c r="T160" i="39"/>
  <c r="U159" i="39"/>
  <c r="T159" i="39"/>
  <c r="U158" i="39"/>
  <c r="T158" i="39"/>
  <c r="U157" i="39"/>
  <c r="T157" i="39"/>
  <c r="U156" i="39"/>
  <c r="T156" i="39"/>
  <c r="U155" i="39"/>
  <c r="T155" i="39"/>
  <c r="U154" i="39"/>
  <c r="T154" i="39"/>
  <c r="U153" i="39"/>
  <c r="T153" i="39"/>
  <c r="U152" i="39"/>
  <c r="T152" i="39"/>
  <c r="U151" i="39"/>
  <c r="T151" i="39"/>
  <c r="U150" i="39"/>
  <c r="T150" i="39"/>
  <c r="U149" i="39"/>
  <c r="T149" i="39"/>
  <c r="U148" i="39"/>
  <c r="T148" i="39"/>
  <c r="U147" i="39"/>
  <c r="T147" i="39"/>
  <c r="U146" i="39"/>
  <c r="T146" i="39"/>
  <c r="U145" i="39"/>
  <c r="T145" i="39"/>
  <c r="U144" i="39"/>
  <c r="T144" i="39"/>
  <c r="U143" i="39"/>
  <c r="T143" i="39"/>
  <c r="U142" i="39"/>
  <c r="T142" i="39"/>
  <c r="U141" i="39"/>
  <c r="T141" i="39"/>
  <c r="U140" i="39"/>
  <c r="T140" i="39"/>
  <c r="U139" i="39"/>
  <c r="T139" i="39"/>
  <c r="U138" i="39"/>
  <c r="T138" i="39"/>
  <c r="U137" i="39"/>
  <c r="T137" i="39"/>
  <c r="U136" i="39"/>
  <c r="T136" i="39"/>
  <c r="U135" i="39"/>
  <c r="T135" i="39"/>
  <c r="U134" i="39"/>
  <c r="T134" i="39"/>
  <c r="U133" i="39"/>
  <c r="T133" i="39"/>
  <c r="U132" i="39"/>
  <c r="T132" i="39"/>
  <c r="U131" i="39"/>
  <c r="T131" i="39"/>
  <c r="U130" i="39"/>
  <c r="T130" i="39"/>
  <c r="U129" i="39"/>
  <c r="T129" i="39"/>
  <c r="U128" i="39"/>
  <c r="T128" i="39"/>
  <c r="U127" i="39"/>
  <c r="T127" i="39"/>
  <c r="U126" i="39"/>
  <c r="T126" i="39"/>
  <c r="U125" i="39"/>
  <c r="T125" i="39"/>
  <c r="U124" i="39"/>
  <c r="T124" i="39"/>
  <c r="U123" i="39"/>
  <c r="T123" i="39"/>
  <c r="U122" i="39"/>
  <c r="T122" i="39"/>
  <c r="U121" i="39"/>
  <c r="T121" i="39"/>
  <c r="U120" i="39"/>
  <c r="T120" i="39"/>
  <c r="U119" i="39"/>
  <c r="T119" i="39"/>
  <c r="U118" i="39"/>
  <c r="T118" i="39"/>
  <c r="U117" i="39"/>
  <c r="T117" i="39"/>
  <c r="U116" i="39"/>
  <c r="T116" i="39"/>
  <c r="U115" i="39"/>
  <c r="T115" i="39"/>
  <c r="U114" i="39"/>
  <c r="T114" i="39"/>
  <c r="U113" i="39"/>
  <c r="T113" i="39"/>
  <c r="U112" i="39"/>
  <c r="T112" i="39"/>
  <c r="U111" i="39"/>
  <c r="T111" i="39"/>
  <c r="U110" i="39"/>
  <c r="T110" i="39"/>
  <c r="U109" i="39"/>
  <c r="T109" i="39"/>
  <c r="U108" i="39"/>
  <c r="T108" i="39"/>
  <c r="U107" i="39"/>
  <c r="T107" i="39"/>
  <c r="U106" i="39"/>
  <c r="T106" i="39"/>
  <c r="U105" i="39"/>
  <c r="T105" i="39"/>
  <c r="U104" i="39"/>
  <c r="T104" i="39"/>
  <c r="U103" i="39"/>
  <c r="T103" i="39"/>
  <c r="U102" i="39"/>
  <c r="T102" i="39"/>
  <c r="U101" i="39"/>
  <c r="T101" i="39"/>
  <c r="U100" i="39"/>
  <c r="T100" i="39"/>
  <c r="U99" i="39"/>
  <c r="T99" i="39"/>
  <c r="U98" i="39"/>
  <c r="T98" i="39"/>
  <c r="U97" i="39"/>
  <c r="T97" i="39"/>
  <c r="U96" i="39"/>
  <c r="T96" i="39"/>
  <c r="U95" i="39"/>
  <c r="T95" i="39"/>
  <c r="U94" i="39"/>
  <c r="T94" i="39"/>
  <c r="U93" i="39"/>
  <c r="T93" i="39"/>
  <c r="U92" i="39"/>
  <c r="T92" i="39"/>
  <c r="U91" i="39"/>
  <c r="T91" i="39"/>
  <c r="U90" i="39"/>
  <c r="T90" i="39"/>
  <c r="U89" i="39"/>
  <c r="T89" i="39"/>
  <c r="U88" i="39"/>
  <c r="T88" i="39"/>
  <c r="U87" i="39"/>
  <c r="T87" i="39"/>
  <c r="U86" i="39"/>
  <c r="T86" i="39"/>
  <c r="U85" i="39"/>
  <c r="T85" i="39"/>
  <c r="U84" i="39"/>
  <c r="T84" i="39"/>
  <c r="U83" i="39"/>
  <c r="T83" i="39"/>
  <c r="U82" i="39"/>
  <c r="T82" i="39"/>
  <c r="U81" i="39"/>
  <c r="T81" i="39"/>
  <c r="U80" i="39"/>
  <c r="T80" i="39"/>
  <c r="U79" i="39"/>
  <c r="T79" i="39"/>
  <c r="U78" i="39"/>
  <c r="T78" i="39"/>
  <c r="U77" i="39"/>
  <c r="T77" i="39"/>
  <c r="U76" i="39"/>
  <c r="T76" i="39"/>
  <c r="U75" i="39"/>
  <c r="T75" i="39"/>
  <c r="U74" i="39"/>
  <c r="T74" i="39"/>
  <c r="U73" i="39"/>
  <c r="T73" i="39"/>
  <c r="U72" i="39"/>
  <c r="T72" i="39"/>
  <c r="U71" i="39"/>
  <c r="T71" i="39"/>
  <c r="U70" i="39"/>
  <c r="T70" i="39"/>
  <c r="U69" i="39"/>
  <c r="T69" i="39"/>
  <c r="U68" i="39"/>
  <c r="T68" i="39"/>
  <c r="U67" i="39"/>
  <c r="T67" i="39"/>
  <c r="U66" i="39"/>
  <c r="T66" i="39"/>
  <c r="U65" i="39"/>
  <c r="T65" i="39"/>
  <c r="U64" i="39"/>
  <c r="T64" i="39"/>
  <c r="U63" i="39"/>
  <c r="T63" i="39"/>
  <c r="U62" i="39"/>
  <c r="T62" i="39"/>
  <c r="U61" i="39"/>
  <c r="T61" i="39"/>
  <c r="U60" i="39"/>
  <c r="T60" i="39"/>
  <c r="U59" i="39"/>
  <c r="T59" i="39"/>
  <c r="U58" i="39"/>
  <c r="T58" i="39"/>
  <c r="U57" i="39"/>
  <c r="T57" i="39"/>
  <c r="U56" i="39"/>
  <c r="T56" i="39"/>
  <c r="U55" i="39"/>
  <c r="T55" i="39"/>
  <c r="U54" i="39"/>
  <c r="T54" i="39"/>
  <c r="U53" i="39"/>
  <c r="T53" i="39"/>
  <c r="U52" i="39"/>
  <c r="T52" i="39"/>
  <c r="U51" i="39"/>
  <c r="T51" i="39"/>
  <c r="U50" i="39"/>
  <c r="T50" i="39"/>
  <c r="U49" i="39"/>
  <c r="T49" i="39"/>
  <c r="U48" i="39"/>
  <c r="T48" i="39"/>
  <c r="U47" i="39"/>
  <c r="T47" i="39"/>
  <c r="U46" i="39"/>
  <c r="T46" i="39"/>
  <c r="U45" i="39"/>
  <c r="T45" i="39"/>
  <c r="U44" i="39"/>
  <c r="T44" i="39"/>
  <c r="U43" i="39"/>
  <c r="T43" i="39"/>
  <c r="U42" i="39"/>
  <c r="T42" i="39"/>
  <c r="U41" i="39"/>
  <c r="T41" i="39"/>
  <c r="U40" i="39"/>
  <c r="T40" i="39"/>
  <c r="U39" i="39"/>
  <c r="T39" i="39"/>
  <c r="U38" i="39"/>
  <c r="T38" i="39"/>
  <c r="U37" i="39"/>
  <c r="T37" i="39"/>
  <c r="U36" i="39"/>
  <c r="T36" i="39"/>
  <c r="U35" i="39"/>
  <c r="T35" i="39"/>
  <c r="U34" i="39"/>
  <c r="T34" i="39"/>
  <c r="U33" i="39"/>
  <c r="T33" i="39"/>
  <c r="U32" i="39"/>
  <c r="T32" i="39"/>
  <c r="U31" i="39"/>
  <c r="T31" i="39"/>
  <c r="U30" i="39"/>
  <c r="T30" i="39"/>
  <c r="U29" i="39"/>
  <c r="T29" i="39"/>
  <c r="U28" i="39"/>
  <c r="T28" i="39"/>
  <c r="U27" i="39"/>
  <c r="T27" i="39"/>
  <c r="U26" i="39"/>
  <c r="T26" i="39"/>
  <c r="U25" i="39"/>
  <c r="T25" i="39"/>
  <c r="U24" i="39"/>
  <c r="T24" i="39"/>
  <c r="U23" i="39"/>
  <c r="T23" i="39"/>
  <c r="U22" i="39"/>
  <c r="T22" i="39"/>
  <c r="U21" i="39"/>
  <c r="T21" i="39"/>
  <c r="U20" i="39"/>
  <c r="T20" i="39"/>
  <c r="U19" i="39"/>
  <c r="T19" i="39"/>
  <c r="F19" i="39"/>
  <c r="U18" i="39"/>
  <c r="T18" i="39"/>
  <c r="U17" i="39"/>
  <c r="T17" i="39"/>
  <c r="U16" i="39"/>
  <c r="T16" i="39"/>
  <c r="U15" i="39"/>
  <c r="T15" i="39"/>
  <c r="U14" i="39"/>
  <c r="T14" i="39"/>
  <c r="U13" i="39"/>
  <c r="T13" i="39"/>
  <c r="U12" i="39"/>
  <c r="T12" i="39"/>
  <c r="U11" i="39"/>
  <c r="T11" i="39"/>
  <c r="U10" i="39"/>
  <c r="T10" i="39"/>
  <c r="U9" i="39"/>
  <c r="T9" i="39"/>
  <c r="F9" i="39"/>
  <c r="U8" i="39"/>
  <c r="T8" i="39"/>
  <c r="U7" i="39"/>
  <c r="T7" i="39"/>
  <c r="F7" i="39"/>
  <c r="U6" i="39"/>
  <c r="T6" i="39"/>
  <c r="F6" i="39"/>
  <c r="U5" i="39"/>
  <c r="T5" i="39"/>
  <c r="U4" i="39"/>
  <c r="T4" i="39"/>
  <c r="F4" i="39"/>
  <c r="J4" i="38"/>
  <c r="C72" i="37"/>
  <c r="C68" i="37"/>
  <c r="C61" i="37"/>
  <c r="C55" i="37"/>
  <c r="C48" i="37"/>
  <c r="C44" i="37"/>
  <c r="C37" i="37"/>
  <c r="C33" i="37"/>
  <c r="C27" i="37"/>
  <c r="C26" i="37"/>
  <c r="C18" i="37"/>
  <c r="C11" i="37"/>
  <c r="C4" i="37"/>
  <c r="F9" i="36"/>
  <c r="E9" i="36"/>
  <c r="F8" i="36"/>
  <c r="E8" i="36"/>
  <c r="E7" i="36"/>
  <c r="E6" i="36"/>
  <c r="F5" i="36"/>
  <c r="E5" i="36"/>
  <c r="F4" i="36"/>
  <c r="E4" i="36"/>
  <c r="I381" i="35"/>
  <c r="I380" i="35"/>
  <c r="I377" i="35"/>
  <c r="I141" i="35"/>
  <c r="I6" i="35"/>
  <c r="I5" i="35"/>
  <c r="L3" i="35"/>
  <c r="L2" i="35"/>
  <c r="C2" i="35"/>
  <c r="L1" i="35"/>
  <c r="C5" i="34"/>
  <c r="C4" i="33"/>
  <c r="C38" i="32"/>
  <c r="C37" i="32"/>
  <c r="C33" i="32"/>
  <c r="C31" i="32"/>
  <c r="G27" i="32"/>
  <c r="G26" i="32" s="1"/>
  <c r="C26" i="32"/>
  <c r="C25" i="32"/>
  <c r="C24" i="32"/>
  <c r="C23" i="32"/>
  <c r="G21" i="32"/>
  <c r="G19" i="32"/>
  <c r="C17" i="32"/>
  <c r="C8" i="32"/>
  <c r="C7" i="32"/>
  <c r="C6" i="32"/>
  <c r="C5" i="32"/>
  <c r="G4" i="32"/>
  <c r="G2" i="32" s="1"/>
  <c r="C4" i="32"/>
  <c r="C3" i="32"/>
  <c r="J2" i="32"/>
  <c r="C41" i="31"/>
  <c r="C40" i="31"/>
  <c r="C39" i="31"/>
  <c r="C38" i="31"/>
  <c r="C37" i="31"/>
  <c r="H36" i="31"/>
  <c r="C36" i="31"/>
  <c r="H35" i="31"/>
  <c r="C35" i="31"/>
  <c r="H34" i="31"/>
  <c r="C34" i="31"/>
  <c r="H33" i="31"/>
  <c r="C33" i="31"/>
  <c r="H32" i="31"/>
  <c r="C32" i="31"/>
  <c r="H31" i="31"/>
  <c r="C31" i="31"/>
  <c r="H30" i="31"/>
  <c r="C30" i="31"/>
  <c r="H29" i="31"/>
  <c r="C29" i="31"/>
  <c r="H28" i="31"/>
  <c r="C28" i="31"/>
  <c r="H27" i="31"/>
  <c r="C27" i="31"/>
  <c r="H26" i="31"/>
  <c r="C26" i="31"/>
  <c r="H25" i="31"/>
  <c r="C25" i="31"/>
  <c r="H24" i="31"/>
  <c r="C24" i="31"/>
  <c r="H23" i="31"/>
  <c r="C23" i="31"/>
  <c r="M22" i="31"/>
  <c r="H22" i="31"/>
  <c r="C22" i="31"/>
  <c r="M21" i="31"/>
  <c r="H21" i="31"/>
  <c r="C21" i="31"/>
  <c r="M20" i="31"/>
  <c r="H20" i="31"/>
  <c r="C20" i="31"/>
  <c r="M19" i="31"/>
  <c r="H19" i="31"/>
  <c r="C19" i="31"/>
  <c r="M18" i="31"/>
  <c r="H18" i="31"/>
  <c r="C18" i="31"/>
  <c r="M17" i="31"/>
  <c r="H17" i="31"/>
  <c r="C17" i="31"/>
  <c r="M16" i="31"/>
  <c r="H16" i="31"/>
  <c r="C16" i="31"/>
  <c r="M15" i="31"/>
  <c r="H15" i="31"/>
  <c r="C15" i="31"/>
  <c r="M14" i="31"/>
  <c r="H14" i="31"/>
  <c r="C14" i="31"/>
  <c r="M13" i="31"/>
  <c r="H13" i="31"/>
  <c r="C13" i="31"/>
  <c r="M12" i="31"/>
  <c r="H12" i="31"/>
  <c r="C12" i="31"/>
  <c r="M11" i="31"/>
  <c r="H11" i="31"/>
  <c r="C11" i="31"/>
  <c r="M10" i="31"/>
  <c r="H10" i="31"/>
  <c r="C10" i="31"/>
  <c r="M9" i="31"/>
  <c r="H9" i="31"/>
  <c r="C9" i="31"/>
  <c r="M8" i="31"/>
  <c r="H8" i="31"/>
  <c r="C8" i="31"/>
  <c r="M7" i="31"/>
  <c r="H7" i="31"/>
  <c r="C7" i="31"/>
  <c r="M6" i="31"/>
  <c r="H6" i="31"/>
  <c r="C6" i="31"/>
  <c r="M5" i="31"/>
  <c r="H5" i="31"/>
  <c r="C5" i="31"/>
  <c r="M4" i="31"/>
  <c r="H4" i="31"/>
  <c r="C4" i="31"/>
  <c r="M3" i="31"/>
  <c r="H3" i="31"/>
  <c r="C3" i="31"/>
  <c r="M2" i="31"/>
  <c r="H2" i="31"/>
  <c r="C2" i="31"/>
  <c r="P78" i="30"/>
  <c r="R77" i="30"/>
  <c r="P77" i="30"/>
  <c r="Q77" i="30" s="1"/>
  <c r="R76" i="30"/>
  <c r="P76" i="30"/>
  <c r="R75" i="30"/>
  <c r="P75" i="30"/>
  <c r="R74" i="30"/>
  <c r="P74" i="30"/>
  <c r="Q74" i="30" s="1"/>
  <c r="R73" i="30"/>
  <c r="P73" i="30"/>
  <c r="R72" i="30"/>
  <c r="P72" i="30"/>
  <c r="R71" i="30"/>
  <c r="P71" i="30"/>
  <c r="R70" i="30"/>
  <c r="P70" i="30"/>
  <c r="Q70" i="30" s="1"/>
  <c r="R69" i="30"/>
  <c r="P69" i="30"/>
  <c r="R68" i="30"/>
  <c r="P68" i="30"/>
  <c r="R67" i="30"/>
  <c r="P67" i="30"/>
  <c r="Q67" i="30" s="1"/>
  <c r="R66" i="30"/>
  <c r="P66" i="30"/>
  <c r="Q66" i="30" s="1"/>
  <c r="R65" i="30"/>
  <c r="P65" i="30"/>
  <c r="R64" i="30"/>
  <c r="P64" i="30"/>
  <c r="R63" i="30"/>
  <c r="P63" i="30"/>
  <c r="Q63" i="30" s="1"/>
  <c r="R62" i="30"/>
  <c r="P62" i="30"/>
  <c r="R61" i="30"/>
  <c r="P61" i="30"/>
  <c r="R60" i="30"/>
  <c r="P60" i="30"/>
  <c r="Q60" i="30" s="1"/>
  <c r="R59" i="30"/>
  <c r="P59" i="30"/>
  <c r="Q59" i="30" s="1"/>
  <c r="R58" i="30"/>
  <c r="P58" i="30"/>
  <c r="R57" i="30"/>
  <c r="P57" i="30"/>
  <c r="R56" i="30"/>
  <c r="P56" i="30"/>
  <c r="Q56" i="30" s="1"/>
  <c r="R55" i="30"/>
  <c r="P55" i="30"/>
  <c r="R54" i="30"/>
  <c r="P54" i="30"/>
  <c r="Q54" i="30" s="1"/>
  <c r="R53" i="30"/>
  <c r="P53" i="30"/>
  <c r="Q53" i="30" s="1"/>
  <c r="R52" i="30"/>
  <c r="P52" i="30"/>
  <c r="Q52" i="30" s="1"/>
  <c r="R51" i="30"/>
  <c r="P51" i="30"/>
  <c r="R50" i="30"/>
  <c r="P50" i="30"/>
  <c r="R49" i="30"/>
  <c r="P49" i="30"/>
  <c r="Q49" i="30" s="1"/>
  <c r="R48" i="30"/>
  <c r="P48" i="30"/>
  <c r="Q48" i="30" s="1"/>
  <c r="R47" i="30"/>
  <c r="P47" i="30"/>
  <c r="Q47" i="30" s="1"/>
  <c r="R46" i="30"/>
  <c r="P46" i="30"/>
  <c r="Q46" i="30" s="1"/>
  <c r="R45" i="30"/>
  <c r="P45" i="30"/>
  <c r="Q45" i="30" s="1"/>
  <c r="R44" i="30"/>
  <c r="P44" i="30"/>
  <c r="R43" i="30"/>
  <c r="P43" i="30"/>
  <c r="R42" i="30"/>
  <c r="P42" i="30"/>
  <c r="Q42" i="30" s="1"/>
  <c r="R41" i="30"/>
  <c r="P41" i="30"/>
  <c r="R40" i="30"/>
  <c r="P40" i="30"/>
  <c r="Q40" i="30" s="1"/>
  <c r="R39" i="30"/>
  <c r="P39" i="30"/>
  <c r="Q39" i="30" s="1"/>
  <c r="R38" i="30"/>
  <c r="P38" i="30"/>
  <c r="R37" i="30"/>
  <c r="P37" i="30"/>
  <c r="Q37" i="30" s="1"/>
  <c r="R36" i="30"/>
  <c r="P36" i="30"/>
  <c r="Q36" i="30" s="1"/>
  <c r="R35" i="30"/>
  <c r="P35" i="30"/>
  <c r="Q35" i="30" s="1"/>
  <c r="R34" i="30"/>
  <c r="P34" i="30"/>
  <c r="Q34" i="30" s="1"/>
  <c r="R33" i="30"/>
  <c r="P33" i="30"/>
  <c r="R32" i="30"/>
  <c r="P32" i="30"/>
  <c r="Q32" i="30" s="1"/>
  <c r="R31" i="30"/>
  <c r="P31" i="30"/>
  <c r="R30" i="30"/>
  <c r="P30" i="30"/>
  <c r="Q30" i="30" s="1"/>
  <c r="R29" i="30"/>
  <c r="P29" i="30"/>
  <c r="R28" i="30"/>
  <c r="P28" i="30"/>
  <c r="R27" i="30"/>
  <c r="P27" i="30"/>
  <c r="R26" i="30"/>
  <c r="P26" i="30"/>
  <c r="R25" i="30"/>
  <c r="P25" i="30"/>
  <c r="R24" i="30"/>
  <c r="P24" i="30"/>
  <c r="R23" i="30"/>
  <c r="P23" i="30"/>
  <c r="Q23" i="30" s="1"/>
  <c r="R22" i="30"/>
  <c r="P22" i="30"/>
  <c r="R21" i="30"/>
  <c r="P21" i="30"/>
  <c r="R20" i="30"/>
  <c r="P20" i="30"/>
  <c r="Q20" i="30" s="1"/>
  <c r="R19" i="30"/>
  <c r="P19" i="30"/>
  <c r="Q19" i="30" s="1"/>
  <c r="R18" i="30"/>
  <c r="P18" i="30"/>
  <c r="R17" i="30"/>
  <c r="P17" i="30"/>
  <c r="R16" i="30"/>
  <c r="P16" i="30"/>
  <c r="Q16" i="30" s="1"/>
  <c r="R15" i="30"/>
  <c r="P15" i="30"/>
  <c r="R14" i="30"/>
  <c r="P14" i="30"/>
  <c r="Q14" i="30" s="1"/>
  <c r="R13" i="30"/>
  <c r="P13" i="30"/>
  <c r="R12" i="30"/>
  <c r="P12" i="30"/>
  <c r="Q12" i="30" s="1"/>
  <c r="R11" i="30"/>
  <c r="P11" i="30"/>
  <c r="R10" i="30"/>
  <c r="P10" i="30"/>
  <c r="R9" i="30"/>
  <c r="Q9" i="30"/>
  <c r="P9" i="30"/>
  <c r="R8" i="30"/>
  <c r="P8" i="30"/>
  <c r="Q8" i="30" s="1"/>
  <c r="R7" i="30"/>
  <c r="P7" i="30"/>
  <c r="Q7" i="30" s="1"/>
  <c r="R6" i="30"/>
  <c r="P6" i="30"/>
  <c r="Q6" i="30" s="1"/>
  <c r="R5" i="30"/>
  <c r="P5" i="30"/>
  <c r="G12" i="29"/>
  <c r="F12" i="29"/>
  <c r="E12" i="29"/>
  <c r="H62" i="28"/>
  <c r="I62" i="28" s="1"/>
  <c r="J62" i="28" s="1"/>
  <c r="K62" i="28" s="1"/>
  <c r="L62" i="28" s="1"/>
  <c r="M62" i="28" s="1"/>
  <c r="N62" i="28" s="1"/>
  <c r="O62" i="28" s="1"/>
  <c r="P62" i="28" s="1"/>
  <c r="Q62" i="28" s="1"/>
  <c r="I61" i="28"/>
  <c r="H60" i="28"/>
  <c r="H58" i="28"/>
  <c r="H54" i="28"/>
  <c r="I54" i="28" s="1"/>
  <c r="J54" i="28" s="1"/>
  <c r="K54" i="28" s="1"/>
  <c r="L54" i="28" s="1"/>
  <c r="M54" i="28" s="1"/>
  <c r="N54" i="28" s="1"/>
  <c r="O54" i="28" s="1"/>
  <c r="P54" i="28" s="1"/>
  <c r="Q54" i="28" s="1"/>
  <c r="H53" i="28"/>
  <c r="H52" i="28"/>
  <c r="H37" i="28"/>
  <c r="H36" i="28"/>
  <c r="H34" i="28"/>
  <c r="Q12" i="28"/>
  <c r="P12" i="28"/>
  <c r="O12" i="28"/>
  <c r="N12" i="28"/>
  <c r="N7" i="28" s="1"/>
  <c r="N31" i="28" s="1"/>
  <c r="M12" i="28"/>
  <c r="L12" i="28"/>
  <c r="K12" i="28"/>
  <c r="K7" i="28" s="1"/>
  <c r="J12" i="28"/>
  <c r="J7" i="28" s="1"/>
  <c r="J35" i="28" s="1"/>
  <c r="I12" i="28"/>
  <c r="H12" i="28"/>
  <c r="H7" i="28" s="1"/>
  <c r="Q11" i="28"/>
  <c r="P11" i="28"/>
  <c r="O11" i="28"/>
  <c r="N11" i="28"/>
  <c r="M11" i="28"/>
  <c r="L11" i="28"/>
  <c r="K11" i="28"/>
  <c r="J11" i="28"/>
  <c r="I11" i="28"/>
  <c r="H11" i="28"/>
  <c r="P8" i="28"/>
  <c r="N8" i="28"/>
  <c r="N37" i="28" s="1"/>
  <c r="L8" i="28"/>
  <c r="M8" i="28" s="1"/>
  <c r="M37" i="28" s="1"/>
  <c r="J8" i="28"/>
  <c r="I8" i="28"/>
  <c r="H5" i="28"/>
  <c r="J63" i="27"/>
  <c r="K63" i="27" s="1"/>
  <c r="L63" i="27" s="1"/>
  <c r="M63" i="27" s="1"/>
  <c r="N63" i="27" s="1"/>
  <c r="O63" i="27" s="1"/>
  <c r="P63" i="27" s="1"/>
  <c r="Q63" i="27" s="1"/>
  <c r="R63" i="27" s="1"/>
  <c r="S63" i="27" s="1"/>
  <c r="K62" i="27"/>
  <c r="L62" i="27" s="1"/>
  <c r="M62" i="27" s="1"/>
  <c r="N62" i="27" s="1"/>
  <c r="O62" i="27" s="1"/>
  <c r="P62" i="27" s="1"/>
  <c r="Q62" i="27" s="1"/>
  <c r="R62" i="27" s="1"/>
  <c r="S62" i="27" s="1"/>
  <c r="H59" i="27"/>
  <c r="H61" i="27" s="1"/>
  <c r="J55" i="27"/>
  <c r="K55" i="27" s="1"/>
  <c r="L55" i="27" s="1"/>
  <c r="M55" i="27" s="1"/>
  <c r="N55" i="27" s="1"/>
  <c r="O55" i="27" s="1"/>
  <c r="P55" i="27" s="1"/>
  <c r="Q55" i="27" s="1"/>
  <c r="R55" i="27" s="1"/>
  <c r="S55" i="27" s="1"/>
  <c r="J54" i="27"/>
  <c r="K54" i="27" s="1"/>
  <c r="L54" i="27" s="1"/>
  <c r="M54" i="27" s="1"/>
  <c r="N54" i="27" s="1"/>
  <c r="O54" i="27" s="1"/>
  <c r="P54" i="27" s="1"/>
  <c r="H52" i="27"/>
  <c r="K46" i="27"/>
  <c r="J38" i="27"/>
  <c r="I38" i="27"/>
  <c r="H38" i="27"/>
  <c r="K37" i="27"/>
  <c r="J37" i="27"/>
  <c r="I37" i="27"/>
  <c r="H37" i="27"/>
  <c r="I36" i="27"/>
  <c r="H36" i="27"/>
  <c r="O35" i="27"/>
  <c r="N35" i="27"/>
  <c r="M35" i="27"/>
  <c r="I32" i="27"/>
  <c r="H32" i="27"/>
  <c r="S12" i="27"/>
  <c r="S35" i="27" s="1"/>
  <c r="R12" i="27"/>
  <c r="Q12" i="27"/>
  <c r="P12" i="27"/>
  <c r="P7" i="27" s="1"/>
  <c r="P32" i="27" s="1"/>
  <c r="O12" i="27"/>
  <c r="N12" i="27"/>
  <c r="M12" i="27"/>
  <c r="M7" i="27" s="1"/>
  <c r="L12" i="27"/>
  <c r="L35" i="27" s="1"/>
  <c r="K12" i="27"/>
  <c r="J12" i="27"/>
  <c r="I12" i="27"/>
  <c r="H12" i="27"/>
  <c r="H51" i="27" s="1"/>
  <c r="S11" i="27"/>
  <c r="R11" i="27"/>
  <c r="Q11" i="27"/>
  <c r="P11" i="27"/>
  <c r="O11" i="27"/>
  <c r="N11" i="27"/>
  <c r="M11" i="27"/>
  <c r="L11" i="27"/>
  <c r="K11" i="27"/>
  <c r="J11" i="27"/>
  <c r="I11" i="27"/>
  <c r="S8" i="27"/>
  <c r="R8" i="27"/>
  <c r="P8" i="27"/>
  <c r="N8" i="27"/>
  <c r="L8" i="27"/>
  <c r="L38" i="27" s="1"/>
  <c r="K8" i="27"/>
  <c r="K38" i="27" s="1"/>
  <c r="S7" i="27"/>
  <c r="S36" i="27" s="1"/>
  <c r="O7" i="27"/>
  <c r="N7" i="27"/>
  <c r="H6" i="27"/>
  <c r="H4" i="27" s="1"/>
  <c r="I5" i="27"/>
  <c r="J12" i="25"/>
  <c r="J10" i="25"/>
  <c r="L10" i="25" s="1"/>
  <c r="K9" i="25"/>
  <c r="J9" i="25"/>
  <c r="L9" i="25" s="1"/>
  <c r="K8" i="25"/>
  <c r="J8" i="25"/>
  <c r="N7" i="25"/>
  <c r="J7" i="25"/>
  <c r="L7" i="25" s="1"/>
  <c r="K6" i="25"/>
  <c r="J6" i="25"/>
  <c r="K5" i="25"/>
  <c r="J5" i="25"/>
  <c r="K4" i="25"/>
  <c r="J4" i="25"/>
  <c r="K3" i="25"/>
  <c r="J3" i="25"/>
  <c r="H18" i="24"/>
  <c r="H17" i="24"/>
  <c r="H16" i="24"/>
  <c r="H15" i="24"/>
  <c r="H14" i="24"/>
  <c r="H13" i="24"/>
  <c r="T12" i="24"/>
  <c r="T11" i="24"/>
  <c r="T1" i="24" s="1"/>
  <c r="H11" i="24"/>
  <c r="N7" i="24"/>
  <c r="N6" i="24"/>
  <c r="H5" i="24"/>
  <c r="N4" i="24"/>
  <c r="H4" i="24"/>
  <c r="H3" i="24"/>
  <c r="X1" i="24"/>
  <c r="S1" i="24"/>
  <c r="M1" i="24"/>
  <c r="G1" i="24"/>
  <c r="N25" i="23"/>
  <c r="M25" i="23"/>
  <c r="L25" i="23"/>
  <c r="N24" i="23"/>
  <c r="M24" i="23"/>
  <c r="L24" i="23"/>
  <c r="N23" i="23"/>
  <c r="M23" i="23"/>
  <c r="L23" i="23"/>
  <c r="N22" i="23"/>
  <c r="M22" i="23"/>
  <c r="L22" i="23"/>
  <c r="N21" i="23"/>
  <c r="M21" i="23"/>
  <c r="L21" i="23"/>
  <c r="N20" i="23"/>
  <c r="M20" i="23"/>
  <c r="L20" i="23"/>
  <c r="N19" i="23"/>
  <c r="M19" i="23"/>
  <c r="L19" i="23"/>
  <c r="N18" i="23"/>
  <c r="M18" i="23"/>
  <c r="L18" i="23"/>
  <c r="N17" i="23"/>
  <c r="M17" i="23"/>
  <c r="L17" i="23"/>
  <c r="N16" i="23"/>
  <c r="M16" i="23"/>
  <c r="L16" i="23"/>
  <c r="N13" i="23"/>
  <c r="M13" i="23"/>
  <c r="L13" i="23"/>
  <c r="N12" i="23"/>
  <c r="N11" i="23" s="1"/>
  <c r="M12" i="23"/>
  <c r="L12" i="23"/>
  <c r="M11" i="23"/>
  <c r="L11" i="23"/>
  <c r="N10" i="23"/>
  <c r="M34" i="23" s="1"/>
  <c r="M10" i="23"/>
  <c r="L10" i="23"/>
  <c r="N4" i="23"/>
  <c r="M37" i="23" s="1"/>
  <c r="M4" i="23"/>
  <c r="L4" i="23"/>
  <c r="L37" i="23" s="1"/>
  <c r="N3" i="23"/>
  <c r="M3" i="23"/>
  <c r="M5" i="23" s="1"/>
  <c r="L3" i="23"/>
  <c r="H111" i="21"/>
  <c r="D21" i="21"/>
  <c r="D22" i="21" s="1"/>
  <c r="D23" i="21" s="1"/>
  <c r="D24" i="21" s="1"/>
  <c r="D25" i="21" s="1"/>
  <c r="D26" i="21" s="1"/>
  <c r="D27" i="21" s="1"/>
  <c r="D28" i="21" s="1"/>
  <c r="D29" i="21" s="1"/>
  <c r="D30" i="21" s="1"/>
  <c r="D31" i="21" s="1"/>
  <c r="D32" i="21" s="1"/>
  <c r="D33" i="21" s="1"/>
  <c r="D34" i="21" s="1"/>
  <c r="D35" i="21" s="1"/>
  <c r="D36" i="21" s="1"/>
  <c r="D37" i="21" s="1"/>
  <c r="D38" i="21" s="1"/>
  <c r="D39" i="21" s="1"/>
  <c r="D40" i="21" s="1"/>
  <c r="D41" i="21" s="1"/>
  <c r="D42" i="21" s="1"/>
  <c r="D43" i="21" s="1"/>
  <c r="D44" i="21" s="1"/>
  <c r="D45" i="21" s="1"/>
  <c r="D46" i="21" s="1"/>
  <c r="D47" i="21" s="1"/>
  <c r="D48" i="21" s="1"/>
  <c r="D49" i="21" s="1"/>
  <c r="D50" i="21" s="1"/>
  <c r="D51" i="21" s="1"/>
  <c r="D52" i="21" s="1"/>
  <c r="D53" i="21" s="1"/>
  <c r="D54" i="21" s="1"/>
  <c r="D55" i="21" s="1"/>
  <c r="D56" i="21" s="1"/>
  <c r="D57" i="21" s="1"/>
  <c r="D58" i="21" s="1"/>
  <c r="D59" i="21" s="1"/>
  <c r="D60" i="21" s="1"/>
  <c r="D61" i="21" s="1"/>
  <c r="D62" i="21" s="1"/>
  <c r="D63" i="21" s="1"/>
  <c r="D64" i="21" s="1"/>
  <c r="D65" i="21" s="1"/>
  <c r="D66" i="21" s="1"/>
  <c r="D67" i="21" s="1"/>
  <c r="D68" i="21" s="1"/>
  <c r="D69" i="21" s="1"/>
  <c r="D70" i="21" s="1"/>
  <c r="D71" i="21" s="1"/>
  <c r="D72" i="21" s="1"/>
  <c r="D73" i="21" s="1"/>
  <c r="D74" i="21" s="1"/>
  <c r="D75" i="21" s="1"/>
  <c r="D76" i="21" s="1"/>
  <c r="D77" i="21" s="1"/>
  <c r="D78" i="21" s="1"/>
  <c r="D79" i="21" s="1"/>
  <c r="D80" i="21" s="1"/>
  <c r="D81" i="21" s="1"/>
  <c r="D82" i="21" s="1"/>
  <c r="D83" i="21" s="1"/>
  <c r="D84" i="21" s="1"/>
  <c r="D85" i="21" s="1"/>
  <c r="D86" i="21" s="1"/>
  <c r="D87" i="21" s="1"/>
  <c r="D88" i="21" s="1"/>
  <c r="D89" i="21" s="1"/>
  <c r="D90" i="21" s="1"/>
  <c r="D91" i="21" s="1"/>
  <c r="D92" i="21" s="1"/>
  <c r="D93" i="21" s="1"/>
  <c r="D94" i="21" s="1"/>
  <c r="D95" i="21" s="1"/>
  <c r="D96" i="21" s="1"/>
  <c r="D97" i="21" s="1"/>
  <c r="D98" i="21" s="1"/>
  <c r="D99" i="21" s="1"/>
  <c r="D100" i="21" s="1"/>
  <c r="D101" i="21" s="1"/>
  <c r="D102" i="21" s="1"/>
  <c r="D103" i="21" s="1"/>
  <c r="D104" i="21" s="1"/>
  <c r="D105" i="21" s="1"/>
  <c r="D106" i="21" s="1"/>
  <c r="D107" i="21" s="1"/>
  <c r="D108" i="21" s="1"/>
  <c r="D109" i="21" s="1"/>
  <c r="D110" i="21" s="1"/>
  <c r="D111" i="21" s="1"/>
  <c r="D112" i="21" s="1"/>
  <c r="D113" i="21" s="1"/>
  <c r="D114" i="21" s="1"/>
  <c r="D115" i="21" s="1"/>
  <c r="D116" i="21" s="1"/>
  <c r="D117" i="21" s="1"/>
  <c r="D118" i="21" s="1"/>
  <c r="D119" i="21" s="1"/>
  <c r="D120" i="21" s="1"/>
  <c r="D121" i="21" s="1"/>
  <c r="D122" i="21" s="1"/>
  <c r="D123" i="21" s="1"/>
  <c r="D124" i="21" s="1"/>
  <c r="D125" i="21" s="1"/>
  <c r="D126" i="21" s="1"/>
  <c r="D127" i="21" s="1"/>
  <c r="D128" i="21" s="1"/>
  <c r="D129" i="21" s="1"/>
  <c r="D130" i="21" s="1"/>
  <c r="D131" i="21" s="1"/>
  <c r="D132" i="21" s="1"/>
  <c r="D133" i="21" s="1"/>
  <c r="D134" i="21" s="1"/>
  <c r="D135" i="21" s="1"/>
  <c r="D136" i="21" s="1"/>
  <c r="D137" i="21" s="1"/>
  <c r="D138" i="21" s="1"/>
  <c r="D139" i="21" s="1"/>
  <c r="D140" i="21" s="1"/>
  <c r="D141" i="21" s="1"/>
  <c r="D142" i="21" s="1"/>
  <c r="D143" i="21" s="1"/>
  <c r="D144" i="21" s="1"/>
  <c r="D145" i="21" s="1"/>
  <c r="D146" i="21" s="1"/>
  <c r="D147" i="21" s="1"/>
  <c r="D148" i="21" s="1"/>
  <c r="D149" i="21" s="1"/>
  <c r="D150" i="21" s="1"/>
  <c r="D151" i="21" s="1"/>
  <c r="D152" i="21" s="1"/>
  <c r="D153" i="21" s="1"/>
  <c r="D154" i="21" s="1"/>
  <c r="D155" i="21" s="1"/>
  <c r="D156" i="21" s="1"/>
  <c r="D157" i="21" s="1"/>
  <c r="D158" i="21" s="1"/>
  <c r="D159" i="21" s="1"/>
  <c r="D160" i="21" s="1"/>
  <c r="D161" i="21" s="1"/>
  <c r="D162" i="21" s="1"/>
  <c r="D163" i="21" s="1"/>
  <c r="D164" i="21" s="1"/>
  <c r="D165" i="21" s="1"/>
  <c r="D166" i="21" s="1"/>
  <c r="D167" i="21" s="1"/>
  <c r="D168" i="21" s="1"/>
  <c r="D169" i="21" s="1"/>
  <c r="D170" i="21" s="1"/>
  <c r="D171" i="21" s="1"/>
  <c r="A21" i="2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F20" i="21"/>
  <c r="AD8" i="21"/>
  <c r="AA103" i="20"/>
  <c r="AC98" i="20"/>
  <c r="AC97" i="20"/>
  <c r="AC96" i="20"/>
  <c r="AC95" i="20"/>
  <c r="AC94" i="20"/>
  <c r="AB93" i="20"/>
  <c r="AA93" i="20"/>
  <c r="AC90" i="20"/>
  <c r="AC89" i="20"/>
  <c r="AC88" i="20"/>
  <c r="AC87" i="20"/>
  <c r="AC86" i="20"/>
  <c r="AC85" i="20"/>
  <c r="AC84" i="20"/>
  <c r="AC83" i="20"/>
  <c r="AC82" i="20"/>
  <c r="AC81" i="20"/>
  <c r="AB80" i="20"/>
  <c r="AA80" i="20"/>
  <c r="AC77" i="20"/>
  <c r="AC76" i="20"/>
  <c r="AC75" i="20"/>
  <c r="AC74" i="20"/>
  <c r="AC73" i="20"/>
  <c r="AC72" i="20"/>
  <c r="AC71" i="20"/>
  <c r="AC70" i="20"/>
  <c r="AC69" i="20"/>
  <c r="AC68" i="20"/>
  <c r="Y68" i="20" a="1"/>
  <c r="Y68" i="20" s="1"/>
  <c r="AC67" i="20"/>
  <c r="AC66" i="20"/>
  <c r="AC65" i="20"/>
  <c r="AB64" i="20"/>
  <c r="AA64" i="20"/>
  <c r="AC64" i="20" s="1"/>
  <c r="AC61" i="20"/>
  <c r="AC60" i="20"/>
  <c r="AB59" i="20"/>
  <c r="AA59" i="20"/>
  <c r="AC59" i="20" s="1"/>
  <c r="AC56" i="20"/>
  <c r="AC55" i="20"/>
  <c r="AC54" i="20"/>
  <c r="AC53" i="20"/>
  <c r="H53" i="20"/>
  <c r="AC52" i="20"/>
  <c r="AC51" i="20"/>
  <c r="AC50" i="20"/>
  <c r="AC49" i="20"/>
  <c r="AC48" i="20"/>
  <c r="AC47" i="20"/>
  <c r="AC46" i="20"/>
  <c r="AC44" i="20"/>
  <c r="AC43" i="20"/>
  <c r="AB42" i="20"/>
  <c r="AC41" i="20"/>
  <c r="AC40" i="20"/>
  <c r="AC38" i="20"/>
  <c r="AC37" i="20"/>
  <c r="AC36" i="20"/>
  <c r="AC34" i="20"/>
  <c r="AC33" i="20"/>
  <c r="AC32" i="20"/>
  <c r="AC31" i="20"/>
  <c r="AC30" i="20"/>
  <c r="AF29" i="20"/>
  <c r="AF28" i="20" s="1"/>
  <c r="AA29" i="20"/>
  <c r="AA19" i="20" s="1"/>
  <c r="AC25" i="20"/>
  <c r="AF21" i="20"/>
  <c r="AB18" i="20"/>
  <c r="V18" i="20"/>
  <c r="AF17" i="20"/>
  <c r="AC16" i="20"/>
  <c r="AF15" i="20"/>
  <c r="AC15" i="20"/>
  <c r="AC11" i="20"/>
  <c r="AC10" i="20"/>
  <c r="AC9" i="20"/>
  <c r="AF8" i="20"/>
  <c r="AF7" i="20" s="1"/>
  <c r="AC8" i="20"/>
  <c r="AC7" i="20"/>
  <c r="AC5" i="20"/>
  <c r="AC4" i="20"/>
  <c r="AB3" i="20"/>
  <c r="AA3" i="20"/>
  <c r="W3" i="20"/>
  <c r="V3" i="20"/>
  <c r="AF1" i="20"/>
  <c r="U2934" i="19"/>
  <c r="T2934" i="19"/>
  <c r="U2933" i="19"/>
  <c r="T2933" i="19"/>
  <c r="U2932" i="19"/>
  <c r="T2932" i="19"/>
  <c r="U2931" i="19"/>
  <c r="T2931" i="19"/>
  <c r="U2930" i="19"/>
  <c r="T2930" i="19"/>
  <c r="U2929" i="19"/>
  <c r="T2929" i="19"/>
  <c r="U2928" i="19"/>
  <c r="T2928" i="19"/>
  <c r="U2927" i="19"/>
  <c r="T2927" i="19"/>
  <c r="U2926" i="19"/>
  <c r="T2926" i="19"/>
  <c r="U2925" i="19"/>
  <c r="T2925" i="19"/>
  <c r="U2924" i="19"/>
  <c r="T2924" i="19"/>
  <c r="U2923" i="19"/>
  <c r="T2923" i="19"/>
  <c r="U2922" i="19"/>
  <c r="T2922" i="19"/>
  <c r="U2921" i="19"/>
  <c r="T2921" i="19"/>
  <c r="U2920" i="19"/>
  <c r="T2920" i="19"/>
  <c r="U2919" i="19"/>
  <c r="T2919" i="19"/>
  <c r="U2918" i="19"/>
  <c r="T2918" i="19"/>
  <c r="U2917" i="19"/>
  <c r="T2917" i="19"/>
  <c r="U2916" i="19"/>
  <c r="T2916" i="19"/>
  <c r="U2915" i="19"/>
  <c r="T2915" i="19"/>
  <c r="U2914" i="19"/>
  <c r="T2914" i="19"/>
  <c r="U2913" i="19"/>
  <c r="T2913" i="19"/>
  <c r="U2912" i="19"/>
  <c r="T2912" i="19"/>
  <c r="U2911" i="19"/>
  <c r="T2911" i="19"/>
  <c r="U2910" i="19"/>
  <c r="T2910" i="19"/>
  <c r="U2909" i="19"/>
  <c r="T2909" i="19"/>
  <c r="U2908" i="19"/>
  <c r="T2908" i="19"/>
  <c r="U2907" i="19"/>
  <c r="T2907" i="19"/>
  <c r="U2906" i="19"/>
  <c r="T2906" i="19"/>
  <c r="U2905" i="19"/>
  <c r="T2905" i="19"/>
  <c r="U2904" i="19"/>
  <c r="T2904" i="19"/>
  <c r="U2903" i="19"/>
  <c r="T2903" i="19"/>
  <c r="U2902" i="19"/>
  <c r="T2902" i="19"/>
  <c r="U2901" i="19"/>
  <c r="T2901" i="19"/>
  <c r="U2900" i="19"/>
  <c r="T2900" i="19"/>
  <c r="U2899" i="19"/>
  <c r="T2899" i="19"/>
  <c r="U2898" i="19"/>
  <c r="T2898" i="19"/>
  <c r="U2897" i="19"/>
  <c r="T2897" i="19"/>
  <c r="U2896" i="19"/>
  <c r="T2896" i="19"/>
  <c r="U2895" i="19"/>
  <c r="T2895" i="19"/>
  <c r="U2894" i="19"/>
  <c r="T2894" i="19"/>
  <c r="U2893" i="19"/>
  <c r="T2893" i="19"/>
  <c r="U2892" i="19"/>
  <c r="T2892" i="19"/>
  <c r="U2891" i="19"/>
  <c r="T2891" i="19"/>
  <c r="U2890" i="19"/>
  <c r="T2890" i="19"/>
  <c r="U2889" i="19"/>
  <c r="T2889" i="19"/>
  <c r="U2888" i="19"/>
  <c r="T2888" i="19"/>
  <c r="U2887" i="19"/>
  <c r="T2887" i="19"/>
  <c r="U2886" i="19"/>
  <c r="T2886" i="19"/>
  <c r="U2885" i="19"/>
  <c r="T2885" i="19"/>
  <c r="U2884" i="19"/>
  <c r="T2884" i="19"/>
  <c r="U2883" i="19"/>
  <c r="T2883" i="19"/>
  <c r="U2882" i="19"/>
  <c r="T2882" i="19"/>
  <c r="U2881" i="19"/>
  <c r="T2881" i="19"/>
  <c r="U2880" i="19"/>
  <c r="T2880" i="19"/>
  <c r="U2879" i="19"/>
  <c r="T2879" i="19"/>
  <c r="U2878" i="19"/>
  <c r="T2878" i="19"/>
  <c r="U2877" i="19"/>
  <c r="T2877" i="19"/>
  <c r="U2876" i="19"/>
  <c r="T2876" i="19"/>
  <c r="U2875" i="19"/>
  <c r="T2875" i="19"/>
  <c r="U2874" i="19"/>
  <c r="T2874" i="19"/>
  <c r="U2873" i="19"/>
  <c r="T2873" i="19"/>
  <c r="U2872" i="19"/>
  <c r="T2872" i="19"/>
  <c r="U2871" i="19"/>
  <c r="T2871" i="19"/>
  <c r="U2870" i="19"/>
  <c r="T2870" i="19"/>
  <c r="U2869" i="19"/>
  <c r="T2869" i="19"/>
  <c r="U2868" i="19"/>
  <c r="T2868" i="19"/>
  <c r="U2867" i="19"/>
  <c r="T2867" i="19"/>
  <c r="U2866" i="19"/>
  <c r="T2866" i="19"/>
  <c r="U2865" i="19"/>
  <c r="T2865" i="19"/>
  <c r="U2864" i="19"/>
  <c r="T2864" i="19"/>
  <c r="U2863" i="19"/>
  <c r="T2863" i="19"/>
  <c r="U2862" i="19"/>
  <c r="T2862" i="19"/>
  <c r="U2861" i="19"/>
  <c r="T2861" i="19"/>
  <c r="U2860" i="19"/>
  <c r="T2860" i="19"/>
  <c r="U2859" i="19"/>
  <c r="T2859" i="19"/>
  <c r="U2858" i="19"/>
  <c r="T2858" i="19"/>
  <c r="U2857" i="19"/>
  <c r="T2857" i="19"/>
  <c r="U2856" i="19"/>
  <c r="T2856" i="19"/>
  <c r="U2855" i="19"/>
  <c r="T2855" i="19"/>
  <c r="U2854" i="19"/>
  <c r="T2854" i="19"/>
  <c r="U2853" i="19"/>
  <c r="T2853" i="19"/>
  <c r="U2852" i="19"/>
  <c r="T2852" i="19"/>
  <c r="U2851" i="19"/>
  <c r="T2851" i="19"/>
  <c r="U2850" i="19"/>
  <c r="T2850" i="19"/>
  <c r="U2849" i="19"/>
  <c r="T2849" i="19"/>
  <c r="U2848" i="19"/>
  <c r="T2848" i="19"/>
  <c r="U2847" i="19"/>
  <c r="T2847" i="19"/>
  <c r="U2846" i="19"/>
  <c r="T2846" i="19"/>
  <c r="U2845" i="19"/>
  <c r="T2845" i="19"/>
  <c r="U2844" i="19"/>
  <c r="T2844" i="19"/>
  <c r="U2843" i="19"/>
  <c r="T2843" i="19"/>
  <c r="U2842" i="19"/>
  <c r="T2842" i="19"/>
  <c r="U2841" i="19"/>
  <c r="T2841" i="19"/>
  <c r="U2840" i="19"/>
  <c r="T2840" i="19"/>
  <c r="U2839" i="19"/>
  <c r="T2839" i="19"/>
  <c r="U2838" i="19"/>
  <c r="T2838" i="19"/>
  <c r="U2837" i="19"/>
  <c r="T2837" i="19"/>
  <c r="U2836" i="19"/>
  <c r="T2836" i="19"/>
  <c r="U2835" i="19"/>
  <c r="T2835" i="19"/>
  <c r="U2834" i="19"/>
  <c r="T2834" i="19"/>
  <c r="U2833" i="19"/>
  <c r="T2833" i="19"/>
  <c r="U2832" i="19"/>
  <c r="T2832" i="19"/>
  <c r="U2831" i="19"/>
  <c r="T2831" i="19"/>
  <c r="U2830" i="19"/>
  <c r="T2830" i="19"/>
  <c r="U2829" i="19"/>
  <c r="T2829" i="19"/>
  <c r="U2828" i="19"/>
  <c r="T2828" i="19"/>
  <c r="U2827" i="19"/>
  <c r="T2827" i="19"/>
  <c r="U2826" i="19"/>
  <c r="T2826" i="19"/>
  <c r="U2825" i="19"/>
  <c r="T2825" i="19"/>
  <c r="U2824" i="19"/>
  <c r="T2824" i="19"/>
  <c r="U2823" i="19"/>
  <c r="T2823" i="19"/>
  <c r="U2822" i="19"/>
  <c r="T2822" i="19"/>
  <c r="U2821" i="19"/>
  <c r="T2821" i="19"/>
  <c r="U2820" i="19"/>
  <c r="T2820" i="19"/>
  <c r="U2819" i="19"/>
  <c r="T2819" i="19"/>
  <c r="U2818" i="19"/>
  <c r="T2818" i="19"/>
  <c r="U2817" i="19"/>
  <c r="T2817" i="19"/>
  <c r="U2816" i="19"/>
  <c r="T2816" i="19"/>
  <c r="U2815" i="19"/>
  <c r="T2815" i="19"/>
  <c r="U2814" i="19"/>
  <c r="T2814" i="19"/>
  <c r="U2813" i="19"/>
  <c r="T2813" i="19"/>
  <c r="U2812" i="19"/>
  <c r="T2812" i="19"/>
  <c r="U2811" i="19"/>
  <c r="T2811" i="19"/>
  <c r="U2810" i="19"/>
  <c r="T2810" i="19"/>
  <c r="U2809" i="19"/>
  <c r="T2809" i="19"/>
  <c r="U2808" i="19"/>
  <c r="T2808" i="19"/>
  <c r="U2807" i="19"/>
  <c r="T2807" i="19"/>
  <c r="U2806" i="19"/>
  <c r="T2806" i="19"/>
  <c r="U2805" i="19"/>
  <c r="T2805" i="19"/>
  <c r="U2804" i="19"/>
  <c r="T2804" i="19"/>
  <c r="U2803" i="19"/>
  <c r="T2803" i="19"/>
  <c r="U2802" i="19"/>
  <c r="T2802" i="19"/>
  <c r="U2801" i="19"/>
  <c r="T2801" i="19"/>
  <c r="U2800" i="19"/>
  <c r="T2800" i="19"/>
  <c r="U2799" i="19"/>
  <c r="T2799" i="19"/>
  <c r="U2798" i="19"/>
  <c r="T2798" i="19"/>
  <c r="U2797" i="19"/>
  <c r="T2797" i="19"/>
  <c r="U2796" i="19"/>
  <c r="T2796" i="19"/>
  <c r="U2795" i="19"/>
  <c r="T2795" i="19"/>
  <c r="U2794" i="19"/>
  <c r="T2794" i="19"/>
  <c r="U2793" i="19"/>
  <c r="T2793" i="19"/>
  <c r="U2792" i="19"/>
  <c r="T2792" i="19"/>
  <c r="U2791" i="19"/>
  <c r="T2791" i="19"/>
  <c r="U2790" i="19"/>
  <c r="T2790" i="19"/>
  <c r="U2789" i="19"/>
  <c r="T2789" i="19"/>
  <c r="U2788" i="19"/>
  <c r="T2788" i="19"/>
  <c r="U2787" i="19"/>
  <c r="T2787" i="19"/>
  <c r="U2786" i="19"/>
  <c r="T2786" i="19"/>
  <c r="U2785" i="19"/>
  <c r="T2785" i="19"/>
  <c r="U2784" i="19"/>
  <c r="T2784" i="19"/>
  <c r="U2783" i="19"/>
  <c r="T2783" i="19"/>
  <c r="U2782" i="19"/>
  <c r="T2782" i="19"/>
  <c r="U2781" i="19"/>
  <c r="T2781" i="19"/>
  <c r="U2780" i="19"/>
  <c r="T2780" i="19"/>
  <c r="U2779" i="19"/>
  <c r="T2779" i="19"/>
  <c r="U2778" i="19"/>
  <c r="T2778" i="19"/>
  <c r="U2777" i="19"/>
  <c r="T2777" i="19"/>
  <c r="U2776" i="19"/>
  <c r="T2776" i="19"/>
  <c r="U2775" i="19"/>
  <c r="T2775" i="19"/>
  <c r="U2774" i="19"/>
  <c r="T2774" i="19"/>
  <c r="U2773" i="19"/>
  <c r="T2773" i="19"/>
  <c r="U2772" i="19"/>
  <c r="T2772" i="19"/>
  <c r="U2771" i="19"/>
  <c r="T2771" i="19"/>
  <c r="U2770" i="19"/>
  <c r="T2770" i="19"/>
  <c r="U2769" i="19"/>
  <c r="T2769" i="19"/>
  <c r="U2768" i="19"/>
  <c r="T2768" i="19"/>
  <c r="U2767" i="19"/>
  <c r="T2767" i="19"/>
  <c r="U2766" i="19"/>
  <c r="T2766" i="19"/>
  <c r="U2765" i="19"/>
  <c r="T2765" i="19"/>
  <c r="U2764" i="19"/>
  <c r="T2764" i="19"/>
  <c r="U2763" i="19"/>
  <c r="T2763" i="19"/>
  <c r="U2762" i="19"/>
  <c r="T2762" i="19"/>
  <c r="U2761" i="19"/>
  <c r="T2761" i="19"/>
  <c r="U2760" i="19"/>
  <c r="T2760" i="19"/>
  <c r="U2759" i="19"/>
  <c r="T2759" i="19"/>
  <c r="U2758" i="19"/>
  <c r="T2758" i="19"/>
  <c r="U2757" i="19"/>
  <c r="T2757" i="19"/>
  <c r="U2756" i="19"/>
  <c r="T2756" i="19"/>
  <c r="U2755" i="19"/>
  <c r="T2755" i="19"/>
  <c r="U2754" i="19"/>
  <c r="T2754" i="19"/>
  <c r="U2753" i="19"/>
  <c r="T2753" i="19"/>
  <c r="U2752" i="19"/>
  <c r="T2752" i="19"/>
  <c r="U2751" i="19"/>
  <c r="T2751" i="19"/>
  <c r="U2750" i="19"/>
  <c r="T2750" i="19"/>
  <c r="U2749" i="19"/>
  <c r="T2749" i="19"/>
  <c r="U2748" i="19"/>
  <c r="T2748" i="19"/>
  <c r="U2747" i="19"/>
  <c r="T2747" i="19"/>
  <c r="U2746" i="19"/>
  <c r="T2746" i="19"/>
  <c r="U2745" i="19"/>
  <c r="T2745" i="19"/>
  <c r="U2744" i="19"/>
  <c r="T2744" i="19"/>
  <c r="U2743" i="19"/>
  <c r="T2743" i="19"/>
  <c r="U2742" i="19"/>
  <c r="T2742" i="19"/>
  <c r="U2741" i="19"/>
  <c r="T2741" i="19"/>
  <c r="U2740" i="19"/>
  <c r="T2740" i="19"/>
  <c r="U2739" i="19"/>
  <c r="T2739" i="19"/>
  <c r="U2738" i="19"/>
  <c r="T2738" i="19"/>
  <c r="U2737" i="19"/>
  <c r="T2737" i="19"/>
  <c r="U2736" i="19"/>
  <c r="T2736" i="19"/>
  <c r="U2735" i="19"/>
  <c r="T2735" i="19"/>
  <c r="U2734" i="19"/>
  <c r="T2734" i="19"/>
  <c r="U2733" i="19"/>
  <c r="T2733" i="19"/>
  <c r="U2732" i="19"/>
  <c r="T2732" i="19"/>
  <c r="U2731" i="19"/>
  <c r="T2731" i="19"/>
  <c r="U2730" i="19"/>
  <c r="T2730" i="19"/>
  <c r="U2729" i="19"/>
  <c r="T2729" i="19"/>
  <c r="U2728" i="19"/>
  <c r="T2728" i="19"/>
  <c r="U2727" i="19"/>
  <c r="T2727" i="19"/>
  <c r="U2726" i="19"/>
  <c r="T2726" i="19"/>
  <c r="U2725" i="19"/>
  <c r="T2725" i="19"/>
  <c r="U2724" i="19"/>
  <c r="T2724" i="19"/>
  <c r="U2723" i="19"/>
  <c r="T2723" i="19"/>
  <c r="U2722" i="19"/>
  <c r="T2722" i="19"/>
  <c r="U2721" i="19"/>
  <c r="T2721" i="19"/>
  <c r="U2720" i="19"/>
  <c r="T2720" i="19"/>
  <c r="U2719" i="19"/>
  <c r="T2719" i="19"/>
  <c r="U2718" i="19"/>
  <c r="T2718" i="19"/>
  <c r="U2717" i="19"/>
  <c r="T2717" i="19"/>
  <c r="U2716" i="19"/>
  <c r="T2716" i="19"/>
  <c r="U2715" i="19"/>
  <c r="T2715" i="19"/>
  <c r="U2714" i="19"/>
  <c r="T2714" i="19"/>
  <c r="U2713" i="19"/>
  <c r="T2713" i="19"/>
  <c r="U2712" i="19"/>
  <c r="T2712" i="19"/>
  <c r="U2711" i="19"/>
  <c r="T2711" i="19"/>
  <c r="U2710" i="19"/>
  <c r="T2710" i="19"/>
  <c r="U2709" i="19"/>
  <c r="T2709" i="19"/>
  <c r="U2708" i="19"/>
  <c r="T2708" i="19"/>
  <c r="U2707" i="19"/>
  <c r="T2707" i="19"/>
  <c r="U2706" i="19"/>
  <c r="T2706" i="19"/>
  <c r="U2705" i="19"/>
  <c r="T2705" i="19"/>
  <c r="U2704" i="19"/>
  <c r="T2704" i="19"/>
  <c r="U2703" i="19"/>
  <c r="T2703" i="19"/>
  <c r="U2702" i="19"/>
  <c r="T2702" i="19"/>
  <c r="U2701" i="19"/>
  <c r="T2701" i="19"/>
  <c r="U2700" i="19"/>
  <c r="T2700" i="19"/>
  <c r="U2699" i="19"/>
  <c r="T2699" i="19"/>
  <c r="U2698" i="19"/>
  <c r="T2698" i="19"/>
  <c r="U2697" i="19"/>
  <c r="T2697" i="19"/>
  <c r="U2696" i="19"/>
  <c r="T2696" i="19"/>
  <c r="U2695" i="19"/>
  <c r="T2695" i="19"/>
  <c r="U2694" i="19"/>
  <c r="T2694" i="19"/>
  <c r="U2693" i="19"/>
  <c r="T2693" i="19"/>
  <c r="U2692" i="19"/>
  <c r="T2692" i="19"/>
  <c r="U2691" i="19"/>
  <c r="T2691" i="19"/>
  <c r="U2690" i="19"/>
  <c r="T2690" i="19"/>
  <c r="U2689" i="19"/>
  <c r="T2689" i="19"/>
  <c r="U2688" i="19"/>
  <c r="T2688" i="19"/>
  <c r="U2687" i="19"/>
  <c r="T2687" i="19"/>
  <c r="U2686" i="19"/>
  <c r="T2686" i="19"/>
  <c r="U2685" i="19"/>
  <c r="T2685" i="19"/>
  <c r="U2684" i="19"/>
  <c r="T2684" i="19"/>
  <c r="U2683" i="19"/>
  <c r="T2683" i="19"/>
  <c r="U2682" i="19"/>
  <c r="T2682" i="19"/>
  <c r="U2681" i="19"/>
  <c r="T2681" i="19"/>
  <c r="U2680" i="19"/>
  <c r="T2680" i="19"/>
  <c r="U2679" i="19"/>
  <c r="T2679" i="19"/>
  <c r="U2678" i="19"/>
  <c r="T2678" i="19"/>
  <c r="U2677" i="19"/>
  <c r="T2677" i="19"/>
  <c r="U2676" i="19"/>
  <c r="T2676" i="19"/>
  <c r="U2675" i="19"/>
  <c r="T2675" i="19"/>
  <c r="U2674" i="19"/>
  <c r="T2674" i="19"/>
  <c r="U2673" i="19"/>
  <c r="T2673" i="19"/>
  <c r="U2672" i="19"/>
  <c r="T2672" i="19"/>
  <c r="U2671" i="19"/>
  <c r="T2671" i="19"/>
  <c r="U2670" i="19"/>
  <c r="T2670" i="19"/>
  <c r="U2669" i="19"/>
  <c r="T2669" i="19"/>
  <c r="U2668" i="19"/>
  <c r="T2668" i="19"/>
  <c r="U2667" i="19"/>
  <c r="T2667" i="19"/>
  <c r="U2666" i="19"/>
  <c r="T2666" i="19"/>
  <c r="U2665" i="19"/>
  <c r="T2665" i="19"/>
  <c r="U2664" i="19"/>
  <c r="T2664" i="19"/>
  <c r="U2663" i="19"/>
  <c r="T2663" i="19"/>
  <c r="U2662" i="19"/>
  <c r="T2662" i="19"/>
  <c r="U2661" i="19"/>
  <c r="T2661" i="19"/>
  <c r="U2660" i="19"/>
  <c r="T2660" i="19"/>
  <c r="U2659" i="19"/>
  <c r="T2659" i="19"/>
  <c r="U2658" i="19"/>
  <c r="T2658" i="19"/>
  <c r="U2657" i="19"/>
  <c r="T2657" i="19"/>
  <c r="U2656" i="19"/>
  <c r="T2656" i="19"/>
  <c r="U2655" i="19"/>
  <c r="T2655" i="19"/>
  <c r="U2654" i="19"/>
  <c r="T2654" i="19"/>
  <c r="U2653" i="19"/>
  <c r="T2653" i="19"/>
  <c r="U2652" i="19"/>
  <c r="W2652" i="19" s="1"/>
  <c r="U2651" i="19"/>
  <c r="W2651" i="19" s="1"/>
  <c r="T2651" i="19"/>
  <c r="U2650" i="19"/>
  <c r="W2650" i="19" s="1"/>
  <c r="T2650" i="19"/>
  <c r="U2649" i="19"/>
  <c r="W2649" i="19" s="1"/>
  <c r="T2649" i="19"/>
  <c r="U2648" i="19"/>
  <c r="W2648" i="19" s="1"/>
  <c r="T2648" i="19"/>
  <c r="U2647" i="19"/>
  <c r="W2647" i="19" s="1"/>
  <c r="T2647" i="19"/>
  <c r="U2646" i="19"/>
  <c r="W2646" i="19" s="1"/>
  <c r="T2646" i="19"/>
  <c r="U2645" i="19"/>
  <c r="W2645" i="19" s="1"/>
  <c r="T2645" i="19"/>
  <c r="U2644" i="19"/>
  <c r="W2644" i="19" s="1"/>
  <c r="T2644" i="19"/>
  <c r="U2643" i="19"/>
  <c r="W2643" i="19" s="1"/>
  <c r="T2643" i="19"/>
  <c r="U2642" i="19"/>
  <c r="W2642" i="19" s="1"/>
  <c r="T2642" i="19"/>
  <c r="U2640" i="19"/>
  <c r="W2640" i="19" s="1"/>
  <c r="T2640" i="19"/>
  <c r="U2639" i="19"/>
  <c r="W2639" i="19" s="1"/>
  <c r="T2639" i="19"/>
  <c r="U2638" i="19"/>
  <c r="W2638" i="19" s="1"/>
  <c r="T2638" i="19"/>
  <c r="F2638" i="19"/>
  <c r="U2637" i="19"/>
  <c r="W2637" i="19" s="1"/>
  <c r="T2637" i="19"/>
  <c r="W2636" i="19"/>
  <c r="U2636" i="19"/>
  <c r="T2636" i="19"/>
  <c r="U2635" i="19"/>
  <c r="W2635" i="19" s="1"/>
  <c r="T2635" i="19"/>
  <c r="U2634" i="19"/>
  <c r="W2634" i="19" s="1"/>
  <c r="T2634" i="19"/>
  <c r="U2633" i="19"/>
  <c r="W2633" i="19" s="1"/>
  <c r="T2633" i="19"/>
  <c r="U2632" i="19"/>
  <c r="W2632" i="19" s="1"/>
  <c r="T2632" i="19"/>
  <c r="U2631" i="19"/>
  <c r="W2631" i="19" s="1"/>
  <c r="T2631" i="19"/>
  <c r="U2630" i="19"/>
  <c r="W2630" i="19" s="1"/>
  <c r="T2630" i="19"/>
  <c r="U2629" i="19"/>
  <c r="W2629" i="19" s="1"/>
  <c r="T2629" i="19"/>
  <c r="U2628" i="19"/>
  <c r="W2628" i="19" s="1"/>
  <c r="T2628" i="19"/>
  <c r="U2627" i="19"/>
  <c r="W2627" i="19" s="1"/>
  <c r="T2627" i="19"/>
  <c r="U2626" i="19"/>
  <c r="W2626" i="19" s="1"/>
  <c r="T2626" i="19"/>
  <c r="U2625" i="19"/>
  <c r="W2625" i="19" s="1"/>
  <c r="T2625" i="19"/>
  <c r="U2624" i="19"/>
  <c r="W2624" i="19" s="1"/>
  <c r="T2624" i="19"/>
  <c r="U2623" i="19"/>
  <c r="W2623" i="19" s="1"/>
  <c r="T2623" i="19"/>
  <c r="W2622" i="19"/>
  <c r="U2622" i="19"/>
  <c r="T2622" i="19"/>
  <c r="U2621" i="19"/>
  <c r="W2621" i="19" s="1"/>
  <c r="T2621" i="19"/>
  <c r="U2620" i="19"/>
  <c r="W2620" i="19" s="1"/>
  <c r="T2620" i="19"/>
  <c r="U2619" i="19"/>
  <c r="W2619" i="19" s="1"/>
  <c r="T2619" i="19"/>
  <c r="U2618" i="19"/>
  <c r="W2618" i="19" s="1"/>
  <c r="T2618" i="19"/>
  <c r="U2617" i="19"/>
  <c r="W2617" i="19" s="1"/>
  <c r="T2617" i="19"/>
  <c r="U2616" i="19"/>
  <c r="W2616" i="19" s="1"/>
  <c r="T2616" i="19"/>
  <c r="U2615" i="19"/>
  <c r="W2615" i="19" s="1"/>
  <c r="T2615" i="19"/>
  <c r="U2614" i="19"/>
  <c r="W2614" i="19" s="1"/>
  <c r="T2614" i="19"/>
  <c r="U2613" i="19"/>
  <c r="W2613" i="19" s="1"/>
  <c r="T2613" i="19"/>
  <c r="U2612" i="19"/>
  <c r="W2612" i="19" s="1"/>
  <c r="T2612" i="19"/>
  <c r="U2611" i="19"/>
  <c r="W2611" i="19" s="1"/>
  <c r="T2611" i="19"/>
  <c r="U2610" i="19"/>
  <c r="W2610" i="19" s="1"/>
  <c r="T2610" i="19"/>
  <c r="U2609" i="19"/>
  <c r="W2609" i="19" s="1"/>
  <c r="T2609" i="19"/>
  <c r="U2608" i="19"/>
  <c r="W2608" i="19" s="1"/>
  <c r="T2608" i="19"/>
  <c r="U2607" i="19"/>
  <c r="W2607" i="19" s="1"/>
  <c r="T2607" i="19"/>
  <c r="W2606" i="19"/>
  <c r="U2606" i="19"/>
  <c r="T2606" i="19"/>
  <c r="U2605" i="19"/>
  <c r="W2605" i="19" s="1"/>
  <c r="T2605" i="19"/>
  <c r="U2604" i="19"/>
  <c r="W2604" i="19" s="1"/>
  <c r="T2604" i="19"/>
  <c r="U2603" i="19"/>
  <c r="W2603" i="19" s="1"/>
  <c r="T2603" i="19"/>
  <c r="U2602" i="19"/>
  <c r="W2602" i="19" s="1"/>
  <c r="T2602" i="19"/>
  <c r="U2601" i="19"/>
  <c r="W2601" i="19" s="1"/>
  <c r="T2601" i="19"/>
  <c r="U2600" i="19"/>
  <c r="W2600" i="19" s="1"/>
  <c r="T2600" i="19"/>
  <c r="U2599" i="19"/>
  <c r="W2599" i="19" s="1"/>
  <c r="T2599" i="19"/>
  <c r="U2598" i="19"/>
  <c r="W2598" i="19" s="1"/>
  <c r="T2598" i="19"/>
  <c r="U2597" i="19"/>
  <c r="W2597" i="19" s="1"/>
  <c r="T2597" i="19"/>
  <c r="U2596" i="19"/>
  <c r="W2596" i="19" s="1"/>
  <c r="T2596" i="19"/>
  <c r="U2595" i="19"/>
  <c r="W2595" i="19" s="1"/>
  <c r="T2595" i="19"/>
  <c r="U2594" i="19"/>
  <c r="W2594" i="19" s="1"/>
  <c r="T2594" i="19"/>
  <c r="U2593" i="19"/>
  <c r="W2593" i="19" s="1"/>
  <c r="T2593" i="19"/>
  <c r="U2592" i="19"/>
  <c r="W2592" i="19" s="1"/>
  <c r="T2592" i="19"/>
  <c r="U2591" i="19"/>
  <c r="W2591" i="19" s="1"/>
  <c r="T2591" i="19"/>
  <c r="U2590" i="19"/>
  <c r="W2590" i="19" s="1"/>
  <c r="T2590" i="19"/>
  <c r="U2589" i="19"/>
  <c r="W2589" i="19" s="1"/>
  <c r="T2589" i="19"/>
  <c r="U2588" i="19"/>
  <c r="W2588" i="19" s="1"/>
  <c r="T2588" i="19"/>
  <c r="U2587" i="19"/>
  <c r="W2587" i="19" s="1"/>
  <c r="T2587" i="19"/>
  <c r="U2586" i="19"/>
  <c r="W2586" i="19" s="1"/>
  <c r="T2586" i="19"/>
  <c r="U2585" i="19"/>
  <c r="W2585" i="19" s="1"/>
  <c r="T2585" i="19"/>
  <c r="U2584" i="19"/>
  <c r="W2584" i="19" s="1"/>
  <c r="T2584" i="19"/>
  <c r="U2583" i="19"/>
  <c r="W2583" i="19" s="1"/>
  <c r="T2583" i="19"/>
  <c r="U2582" i="19"/>
  <c r="W2582" i="19" s="1"/>
  <c r="T2582" i="19"/>
  <c r="U2581" i="19"/>
  <c r="W2581" i="19" s="1"/>
  <c r="T2581" i="19"/>
  <c r="U2580" i="19"/>
  <c r="W2580" i="19" s="1"/>
  <c r="T2580" i="19"/>
  <c r="U2579" i="19"/>
  <c r="W2579" i="19" s="1"/>
  <c r="T2579" i="19"/>
  <c r="U2578" i="19"/>
  <c r="W2578" i="19" s="1"/>
  <c r="T2578" i="19"/>
  <c r="U2577" i="19"/>
  <c r="W2577" i="19" s="1"/>
  <c r="T2577" i="19"/>
  <c r="U2576" i="19"/>
  <c r="W2576" i="19" s="1"/>
  <c r="T2576" i="19"/>
  <c r="U2575" i="19"/>
  <c r="W2575" i="19" s="1"/>
  <c r="T2575" i="19"/>
  <c r="U2574" i="19"/>
  <c r="W2574" i="19" s="1"/>
  <c r="T2574" i="19"/>
  <c r="U2573" i="19"/>
  <c r="W2573" i="19" s="1"/>
  <c r="T2573" i="19"/>
  <c r="U2572" i="19"/>
  <c r="W2572" i="19" s="1"/>
  <c r="T2572" i="19"/>
  <c r="U2571" i="19"/>
  <c r="W2571" i="19" s="1"/>
  <c r="T2571" i="19"/>
  <c r="U2570" i="19"/>
  <c r="W2570" i="19" s="1"/>
  <c r="T2570" i="19"/>
  <c r="U2569" i="19"/>
  <c r="W2569" i="19" s="1"/>
  <c r="T2569" i="19"/>
  <c r="U2568" i="19"/>
  <c r="W2568" i="19" s="1"/>
  <c r="T2568" i="19"/>
  <c r="U2567" i="19"/>
  <c r="W2567" i="19" s="1"/>
  <c r="T2567" i="19"/>
  <c r="U2566" i="19"/>
  <c r="W2566" i="19" s="1"/>
  <c r="T2566" i="19"/>
  <c r="U2565" i="19"/>
  <c r="W2565" i="19" s="1"/>
  <c r="T2565" i="19"/>
  <c r="U2564" i="19"/>
  <c r="W2564" i="19" s="1"/>
  <c r="T2564" i="19"/>
  <c r="U2563" i="19"/>
  <c r="W2563" i="19" s="1"/>
  <c r="T2563" i="19"/>
  <c r="U2562" i="19"/>
  <c r="W2562" i="19" s="1"/>
  <c r="T2562" i="19"/>
  <c r="U2561" i="19"/>
  <c r="W2561" i="19" s="1"/>
  <c r="T2561" i="19"/>
  <c r="U2560" i="19"/>
  <c r="W2560" i="19" s="1"/>
  <c r="T2560" i="19"/>
  <c r="W2559" i="19"/>
  <c r="U2559" i="19"/>
  <c r="T2559" i="19"/>
  <c r="U2558" i="19"/>
  <c r="W2558" i="19" s="1"/>
  <c r="T2558" i="19"/>
  <c r="U2557" i="19"/>
  <c r="W2557" i="19" s="1"/>
  <c r="T2557" i="19"/>
  <c r="U2556" i="19"/>
  <c r="W2556" i="19" s="1"/>
  <c r="T2556" i="19"/>
  <c r="U2555" i="19"/>
  <c r="W2555" i="19" s="1"/>
  <c r="T2555" i="19"/>
  <c r="U2554" i="19"/>
  <c r="W2554" i="19" s="1"/>
  <c r="T2554" i="19"/>
  <c r="W2553" i="19"/>
  <c r="U2553" i="19"/>
  <c r="T2553" i="19"/>
  <c r="U2552" i="19"/>
  <c r="W2552" i="19" s="1"/>
  <c r="T2552" i="19"/>
  <c r="U2551" i="19"/>
  <c r="W2551" i="19" s="1"/>
  <c r="T2551" i="19"/>
  <c r="U2550" i="19"/>
  <c r="W2550" i="19" s="1"/>
  <c r="T2550" i="19"/>
  <c r="U2549" i="19"/>
  <c r="W2549" i="19" s="1"/>
  <c r="T2549" i="19"/>
  <c r="U2548" i="19"/>
  <c r="W2548" i="19" s="1"/>
  <c r="T2548" i="19"/>
  <c r="U2547" i="19"/>
  <c r="W2547" i="19" s="1"/>
  <c r="T2547" i="19"/>
  <c r="U2546" i="19"/>
  <c r="W2546" i="19" s="1"/>
  <c r="T2546" i="19"/>
  <c r="U2545" i="19"/>
  <c r="W2545" i="19" s="1"/>
  <c r="T2545" i="19"/>
  <c r="U2544" i="19"/>
  <c r="W2544" i="19" s="1"/>
  <c r="T2544" i="19"/>
  <c r="W2543" i="19"/>
  <c r="U2543" i="19"/>
  <c r="T2543" i="19"/>
  <c r="U2542" i="19"/>
  <c r="W2542" i="19" s="1"/>
  <c r="T2542" i="19"/>
  <c r="U2541" i="19"/>
  <c r="W2541" i="19" s="1"/>
  <c r="T2541" i="19"/>
  <c r="W2540" i="19"/>
  <c r="U2540" i="19"/>
  <c r="T2540" i="19"/>
  <c r="U2539" i="19"/>
  <c r="W2539" i="19" s="1"/>
  <c r="T2539" i="19"/>
  <c r="U2538" i="19"/>
  <c r="W2538" i="19" s="1"/>
  <c r="T2538" i="19"/>
  <c r="W2537" i="19"/>
  <c r="U2537" i="19"/>
  <c r="T2537" i="19"/>
  <c r="U2536" i="19"/>
  <c r="W2536" i="19" s="1"/>
  <c r="T2536" i="19"/>
  <c r="U2535" i="19"/>
  <c r="W2535" i="19" s="1"/>
  <c r="T2535" i="19"/>
  <c r="U2534" i="19"/>
  <c r="W2534" i="19" s="1"/>
  <c r="T2534" i="19"/>
  <c r="U2533" i="19"/>
  <c r="W2533" i="19" s="1"/>
  <c r="T2533" i="19"/>
  <c r="U2532" i="19"/>
  <c r="W2532" i="19" s="1"/>
  <c r="T2532" i="19"/>
  <c r="U2531" i="19"/>
  <c r="W2531" i="19" s="1"/>
  <c r="T2531" i="19"/>
  <c r="U2530" i="19"/>
  <c r="W2530" i="19" s="1"/>
  <c r="T2530" i="19"/>
  <c r="U2529" i="19"/>
  <c r="W2529" i="19" s="1"/>
  <c r="T2529" i="19"/>
  <c r="U2528" i="19"/>
  <c r="W2528" i="19" s="1"/>
  <c r="T2528" i="19"/>
  <c r="W2527" i="19"/>
  <c r="U2527" i="19"/>
  <c r="T2527" i="19"/>
  <c r="U2526" i="19"/>
  <c r="W2526" i="19" s="1"/>
  <c r="T2526" i="19"/>
  <c r="U2525" i="19"/>
  <c r="W2525" i="19" s="1"/>
  <c r="T2525" i="19"/>
  <c r="U2524" i="19"/>
  <c r="W2524" i="19" s="1"/>
  <c r="T2524" i="19"/>
  <c r="U2523" i="19"/>
  <c r="W2523" i="19" s="1"/>
  <c r="T2523" i="19"/>
  <c r="U2522" i="19"/>
  <c r="W2522" i="19" s="1"/>
  <c r="T2522" i="19"/>
  <c r="U2521" i="19"/>
  <c r="W2521" i="19" s="1"/>
  <c r="T2521" i="19"/>
  <c r="U2520" i="19"/>
  <c r="W2520" i="19" s="1"/>
  <c r="T2520" i="19"/>
  <c r="U2519" i="19"/>
  <c r="W2519" i="19" s="1"/>
  <c r="T2519" i="19"/>
  <c r="U2518" i="19"/>
  <c r="W2518" i="19" s="1"/>
  <c r="T2518" i="19"/>
  <c r="U2517" i="19"/>
  <c r="W2517" i="19" s="1"/>
  <c r="T2517" i="19"/>
  <c r="U2516" i="19"/>
  <c r="W2516" i="19" s="1"/>
  <c r="T2516" i="19"/>
  <c r="U2515" i="19"/>
  <c r="W2515" i="19" s="1"/>
  <c r="T2515" i="19"/>
  <c r="U2514" i="19"/>
  <c r="W2514" i="19" s="1"/>
  <c r="T2514" i="19"/>
  <c r="U2513" i="19"/>
  <c r="W2513" i="19" s="1"/>
  <c r="T2513" i="19"/>
  <c r="U2512" i="19"/>
  <c r="W2512" i="19" s="1"/>
  <c r="T2512" i="19"/>
  <c r="U2511" i="19"/>
  <c r="W2511" i="19" s="1"/>
  <c r="T2511" i="19"/>
  <c r="U2510" i="19"/>
  <c r="W2510" i="19" s="1"/>
  <c r="T2510" i="19"/>
  <c r="U2509" i="19"/>
  <c r="W2509" i="19" s="1"/>
  <c r="T2509" i="19"/>
  <c r="U2508" i="19"/>
  <c r="W2508" i="19" s="1"/>
  <c r="T2508" i="19"/>
  <c r="U2507" i="19"/>
  <c r="W2507" i="19" s="1"/>
  <c r="T2507" i="19"/>
  <c r="U2506" i="19"/>
  <c r="W2506" i="19" s="1"/>
  <c r="T2506" i="19"/>
  <c r="U2505" i="19"/>
  <c r="W2505" i="19" s="1"/>
  <c r="T2505" i="19"/>
  <c r="U2504" i="19"/>
  <c r="W2504" i="19" s="1"/>
  <c r="T2504" i="19"/>
  <c r="U2503" i="19"/>
  <c r="W2503" i="19" s="1"/>
  <c r="T2503" i="19"/>
  <c r="U2502" i="19"/>
  <c r="W2502" i="19" s="1"/>
  <c r="T2502" i="19"/>
  <c r="U2501" i="19"/>
  <c r="W2501" i="19" s="1"/>
  <c r="T2501" i="19"/>
  <c r="W2500" i="19"/>
  <c r="U2500" i="19"/>
  <c r="T2500" i="19"/>
  <c r="U2499" i="19"/>
  <c r="W2499" i="19" s="1"/>
  <c r="T2499" i="19"/>
  <c r="U2498" i="19"/>
  <c r="W2498" i="19" s="1"/>
  <c r="T2498" i="19"/>
  <c r="U2497" i="19"/>
  <c r="W2497" i="19" s="1"/>
  <c r="T2497" i="19"/>
  <c r="U2496" i="19"/>
  <c r="W2496" i="19" s="1"/>
  <c r="T2496" i="19"/>
  <c r="U2495" i="19"/>
  <c r="W2495" i="19" s="1"/>
  <c r="T2495" i="19"/>
  <c r="W2494" i="19"/>
  <c r="U2494" i="19"/>
  <c r="T2494" i="19"/>
  <c r="U2493" i="19"/>
  <c r="W2493" i="19" s="1"/>
  <c r="T2493" i="19"/>
  <c r="U2492" i="19"/>
  <c r="W2492" i="19" s="1"/>
  <c r="T2492" i="19"/>
  <c r="U2491" i="19"/>
  <c r="W2491" i="19" s="1"/>
  <c r="T2491" i="19"/>
  <c r="U2490" i="19"/>
  <c r="W2490" i="19" s="1"/>
  <c r="T2490" i="19"/>
  <c r="U2489" i="19"/>
  <c r="W2489" i="19" s="1"/>
  <c r="T2489" i="19"/>
  <c r="U2488" i="19"/>
  <c r="W2488" i="19" s="1"/>
  <c r="T2488" i="19"/>
  <c r="U2487" i="19"/>
  <c r="W2487" i="19" s="1"/>
  <c r="T2487" i="19"/>
  <c r="U2486" i="19"/>
  <c r="W2486" i="19" s="1"/>
  <c r="T2486" i="19"/>
  <c r="U2485" i="19"/>
  <c r="W2485" i="19" s="1"/>
  <c r="T2485" i="19"/>
  <c r="U2484" i="19"/>
  <c r="W2484" i="19" s="1"/>
  <c r="T2484" i="19"/>
  <c r="U2483" i="19"/>
  <c r="W2483" i="19" s="1"/>
  <c r="T2483" i="19"/>
  <c r="U2482" i="19"/>
  <c r="W2482" i="19" s="1"/>
  <c r="T2482" i="19"/>
  <c r="U2481" i="19"/>
  <c r="W2481" i="19" s="1"/>
  <c r="T2481" i="19"/>
  <c r="U2480" i="19"/>
  <c r="W2480" i="19" s="1"/>
  <c r="T2480" i="19"/>
  <c r="U2479" i="19"/>
  <c r="W2479" i="19" s="1"/>
  <c r="T2479" i="19"/>
  <c r="U2478" i="19"/>
  <c r="W2478" i="19" s="1"/>
  <c r="T2478" i="19"/>
  <c r="U2477" i="19"/>
  <c r="W2477" i="19" s="1"/>
  <c r="T2477" i="19"/>
  <c r="U2476" i="19"/>
  <c r="W2476" i="19" s="1"/>
  <c r="T2476" i="19"/>
  <c r="U2475" i="19"/>
  <c r="W2475" i="19" s="1"/>
  <c r="T2475" i="19"/>
  <c r="W2474" i="19"/>
  <c r="U2474" i="19"/>
  <c r="T2474" i="19"/>
  <c r="U2473" i="19"/>
  <c r="W2473" i="19" s="1"/>
  <c r="T2473" i="19"/>
  <c r="U2472" i="19"/>
  <c r="W2472" i="19" s="1"/>
  <c r="T2472" i="19"/>
  <c r="U2471" i="19"/>
  <c r="W2471" i="19" s="1"/>
  <c r="T2471" i="19"/>
  <c r="U2470" i="19"/>
  <c r="W2470" i="19" s="1"/>
  <c r="T2470" i="19"/>
  <c r="W2469" i="19"/>
  <c r="U2469" i="19"/>
  <c r="T2469" i="19"/>
  <c r="U2468" i="19"/>
  <c r="W2468" i="19" s="1"/>
  <c r="T2468" i="19"/>
  <c r="U2467" i="19"/>
  <c r="W2467" i="19" s="1"/>
  <c r="T2467" i="19"/>
  <c r="U2466" i="19"/>
  <c r="W2466" i="19" s="1"/>
  <c r="T2466" i="19"/>
  <c r="U2465" i="19"/>
  <c r="W2465" i="19" s="1"/>
  <c r="T2465" i="19"/>
  <c r="U2464" i="19"/>
  <c r="W2464" i="19" s="1"/>
  <c r="T2464" i="19"/>
  <c r="U2463" i="19"/>
  <c r="W2463" i="19" s="1"/>
  <c r="T2463" i="19"/>
  <c r="U2462" i="19"/>
  <c r="W2462" i="19" s="1"/>
  <c r="T2462" i="19"/>
  <c r="U2461" i="19"/>
  <c r="W2461" i="19" s="1"/>
  <c r="T2461" i="19"/>
  <c r="U2460" i="19"/>
  <c r="W2460" i="19" s="1"/>
  <c r="T2460" i="19"/>
  <c r="U2459" i="19"/>
  <c r="W2459" i="19" s="1"/>
  <c r="T2459" i="19"/>
  <c r="U2458" i="19"/>
  <c r="W2458" i="19" s="1"/>
  <c r="T2458" i="19"/>
  <c r="U2457" i="19"/>
  <c r="W2457" i="19" s="1"/>
  <c r="T2457" i="19"/>
  <c r="U2456" i="19"/>
  <c r="W2456" i="19" s="1"/>
  <c r="T2456" i="19"/>
  <c r="U2455" i="19"/>
  <c r="W2455" i="19" s="1"/>
  <c r="T2455" i="19"/>
  <c r="U2454" i="19"/>
  <c r="W2454" i="19" s="1"/>
  <c r="T2454" i="19"/>
  <c r="U2453" i="19"/>
  <c r="W2453" i="19" s="1"/>
  <c r="T2453" i="19"/>
  <c r="U2452" i="19"/>
  <c r="W2452" i="19" s="1"/>
  <c r="T2452" i="19"/>
  <c r="U2451" i="19"/>
  <c r="W2451" i="19" s="1"/>
  <c r="T2451" i="19"/>
  <c r="U2450" i="19"/>
  <c r="W2450" i="19" s="1"/>
  <c r="T2450" i="19"/>
  <c r="U2449" i="19"/>
  <c r="W2449" i="19" s="1"/>
  <c r="T2449" i="19"/>
  <c r="U2448" i="19"/>
  <c r="W2448" i="19" s="1"/>
  <c r="T2448" i="19"/>
  <c r="U2447" i="19"/>
  <c r="W2447" i="19" s="1"/>
  <c r="T2447" i="19"/>
  <c r="U2446" i="19"/>
  <c r="W2446" i="19" s="1"/>
  <c r="T2446" i="19"/>
  <c r="U2445" i="19"/>
  <c r="W2445" i="19" s="1"/>
  <c r="T2445" i="19"/>
  <c r="U2444" i="19"/>
  <c r="W2444" i="19" s="1"/>
  <c r="T2444" i="19"/>
  <c r="U2443" i="19"/>
  <c r="W2443" i="19" s="1"/>
  <c r="T2443" i="19"/>
  <c r="W2442" i="19"/>
  <c r="U2442" i="19"/>
  <c r="T2442" i="19"/>
  <c r="U2441" i="19"/>
  <c r="W2441" i="19" s="1"/>
  <c r="T2441" i="19"/>
  <c r="U2440" i="19"/>
  <c r="W2440" i="19" s="1"/>
  <c r="T2440" i="19"/>
  <c r="U2439" i="19"/>
  <c r="W2439" i="19" s="1"/>
  <c r="T2439" i="19"/>
  <c r="U2438" i="19"/>
  <c r="W2438" i="19" s="1"/>
  <c r="T2438" i="19"/>
  <c r="U2437" i="19"/>
  <c r="W2437" i="19" s="1"/>
  <c r="T2437" i="19"/>
  <c r="U2436" i="19"/>
  <c r="W2436" i="19" s="1"/>
  <c r="T2436" i="19"/>
  <c r="U2435" i="19"/>
  <c r="W2435" i="19" s="1"/>
  <c r="T2435" i="19"/>
  <c r="U2434" i="19"/>
  <c r="W2434" i="19" s="1"/>
  <c r="T2434" i="19"/>
  <c r="U2433" i="19"/>
  <c r="W2433" i="19" s="1"/>
  <c r="T2433" i="19"/>
  <c r="U2432" i="19"/>
  <c r="W2432" i="19" s="1"/>
  <c r="T2432" i="19"/>
  <c r="U2431" i="19"/>
  <c r="W2431" i="19" s="1"/>
  <c r="T2431" i="19"/>
  <c r="U2430" i="19"/>
  <c r="W2430" i="19" s="1"/>
  <c r="T2430" i="19"/>
  <c r="U2429" i="19"/>
  <c r="W2429" i="19" s="1"/>
  <c r="T2429" i="19"/>
  <c r="U2428" i="19"/>
  <c r="W2428" i="19" s="1"/>
  <c r="T2428" i="19"/>
  <c r="U2427" i="19"/>
  <c r="W2427" i="19" s="1"/>
  <c r="T2427" i="19"/>
  <c r="U2426" i="19"/>
  <c r="W2426" i="19" s="1"/>
  <c r="T2426" i="19"/>
  <c r="U2425" i="19"/>
  <c r="W2425" i="19" s="1"/>
  <c r="T2425" i="19"/>
  <c r="U2424" i="19"/>
  <c r="W2424" i="19" s="1"/>
  <c r="T2424" i="19"/>
  <c r="U2423" i="19"/>
  <c r="W2423" i="19" s="1"/>
  <c r="T2423" i="19"/>
  <c r="U2422" i="19"/>
  <c r="W2422" i="19" s="1"/>
  <c r="T2422" i="19"/>
  <c r="U2421" i="19"/>
  <c r="W2421" i="19" s="1"/>
  <c r="T2421" i="19"/>
  <c r="U2420" i="19"/>
  <c r="W2420" i="19" s="1"/>
  <c r="T2420" i="19"/>
  <c r="U2419" i="19"/>
  <c r="W2419" i="19" s="1"/>
  <c r="T2419" i="19"/>
  <c r="U2418" i="19"/>
  <c r="W2418" i="19" s="1"/>
  <c r="T2418" i="19"/>
  <c r="U2417" i="19"/>
  <c r="W2417" i="19" s="1"/>
  <c r="T2417" i="19"/>
  <c r="U2416" i="19"/>
  <c r="W2416" i="19" s="1"/>
  <c r="T2416" i="19"/>
  <c r="U2415" i="19"/>
  <c r="W2415" i="19" s="1"/>
  <c r="T2415" i="19"/>
  <c r="U2414" i="19"/>
  <c r="W2414" i="19" s="1"/>
  <c r="T2414" i="19"/>
  <c r="U2413" i="19"/>
  <c r="W2413" i="19" s="1"/>
  <c r="T2413" i="19"/>
  <c r="U2412" i="19"/>
  <c r="W2412" i="19" s="1"/>
  <c r="T2412" i="19"/>
  <c r="W2411" i="19"/>
  <c r="U2411" i="19"/>
  <c r="T2411" i="19"/>
  <c r="U2410" i="19"/>
  <c r="W2410" i="19" s="1"/>
  <c r="T2410" i="19"/>
  <c r="U2409" i="19"/>
  <c r="U2408" i="19"/>
  <c r="W2408" i="19" s="1"/>
  <c r="T2408" i="19"/>
  <c r="F2408" i="19"/>
  <c r="U2407" i="19"/>
  <c r="W2407" i="19" s="1"/>
  <c r="T2407" i="19"/>
  <c r="U2406" i="19"/>
  <c r="W2406" i="19" s="1"/>
  <c r="T2406" i="19"/>
  <c r="U2405" i="19"/>
  <c r="W2405" i="19" s="1"/>
  <c r="T2405" i="19"/>
  <c r="U2404" i="19"/>
  <c r="W2404" i="19" s="1"/>
  <c r="T2404" i="19"/>
  <c r="U2403" i="19"/>
  <c r="W2403" i="19" s="1"/>
  <c r="T2403" i="19"/>
  <c r="U2402" i="19"/>
  <c r="W2402" i="19" s="1"/>
  <c r="T2402" i="19"/>
  <c r="U2401" i="19"/>
  <c r="W2401" i="19" s="1"/>
  <c r="T2401" i="19"/>
  <c r="U2400" i="19"/>
  <c r="W2400" i="19" s="1"/>
  <c r="T2400" i="19"/>
  <c r="U2399" i="19"/>
  <c r="W2399" i="19" s="1"/>
  <c r="T2399" i="19"/>
  <c r="W2398" i="19"/>
  <c r="U2398" i="19"/>
  <c r="T2398" i="19"/>
  <c r="U2397" i="19"/>
  <c r="W2397" i="19" s="1"/>
  <c r="T2397" i="19"/>
  <c r="U2396" i="19"/>
  <c r="W2396" i="19" s="1"/>
  <c r="T2396" i="19"/>
  <c r="U2395" i="19"/>
  <c r="W2395" i="19" s="1"/>
  <c r="T2395" i="19"/>
  <c r="U2394" i="19"/>
  <c r="W2394" i="19" s="1"/>
  <c r="T2394" i="19"/>
  <c r="U2393" i="19"/>
  <c r="W2393" i="19" s="1"/>
  <c r="T2393" i="19"/>
  <c r="U2392" i="19"/>
  <c r="W2392" i="19" s="1"/>
  <c r="T2392" i="19"/>
  <c r="U2391" i="19"/>
  <c r="U2390" i="19"/>
  <c r="W2390" i="19" s="1"/>
  <c r="T2390" i="19"/>
  <c r="F2390" i="19"/>
  <c r="W2389" i="19"/>
  <c r="U2389" i="19"/>
  <c r="T2389" i="19"/>
  <c r="U2388" i="19"/>
  <c r="W2388" i="19" s="1"/>
  <c r="T2388" i="19"/>
  <c r="U2387" i="19"/>
  <c r="W2387" i="19" s="1"/>
  <c r="T2387" i="19"/>
  <c r="U2386" i="19"/>
  <c r="W2386" i="19" s="1"/>
  <c r="T2386" i="19"/>
  <c r="U2385" i="19"/>
  <c r="W2385" i="19" s="1"/>
  <c r="T2385" i="19"/>
  <c r="U2384" i="19"/>
  <c r="W2384" i="19" s="1"/>
  <c r="T2384" i="19"/>
  <c r="U2383" i="19"/>
  <c r="W2383" i="19" s="1"/>
  <c r="T2383" i="19"/>
  <c r="U2382" i="19"/>
  <c r="W2382" i="19" s="1"/>
  <c r="T2382" i="19"/>
  <c r="U2381" i="19"/>
  <c r="W2381" i="19" s="1"/>
  <c r="T2381" i="19"/>
  <c r="U2380" i="19"/>
  <c r="W2380" i="19" s="1"/>
  <c r="T2380" i="19"/>
  <c r="U2379" i="19"/>
  <c r="W2379" i="19" s="1"/>
  <c r="T2379" i="19"/>
  <c r="W2378" i="19"/>
  <c r="U2378" i="19"/>
  <c r="T2378" i="19"/>
  <c r="U2377" i="19"/>
  <c r="W2377" i="19" s="1"/>
  <c r="T2377" i="19"/>
  <c r="U2376" i="19"/>
  <c r="W2376" i="19" s="1"/>
  <c r="T2376" i="19"/>
  <c r="U2375" i="19"/>
  <c r="W2375" i="19" s="1"/>
  <c r="T2375" i="19"/>
  <c r="U2374" i="19"/>
  <c r="W2374" i="19" s="1"/>
  <c r="T2374" i="19"/>
  <c r="U2373" i="19"/>
  <c r="W2373" i="19" s="1"/>
  <c r="T2373" i="19"/>
  <c r="F2373" i="19"/>
  <c r="U2372" i="19"/>
  <c r="W2372" i="19" s="1"/>
  <c r="T2372" i="19"/>
  <c r="F2372" i="19"/>
  <c r="U2371" i="19"/>
  <c r="W2371" i="19" s="1"/>
  <c r="T2371" i="19"/>
  <c r="U2370" i="19"/>
  <c r="U2369" i="19"/>
  <c r="W2369" i="19" s="1"/>
  <c r="T2369" i="19"/>
  <c r="U2368" i="19"/>
  <c r="W2368" i="19" s="1"/>
  <c r="T2368" i="19"/>
  <c r="U2367" i="19"/>
  <c r="W2367" i="19" s="1"/>
  <c r="T2367" i="19"/>
  <c r="W2366" i="19"/>
  <c r="U2366" i="19"/>
  <c r="T2366" i="19"/>
  <c r="U2365" i="19"/>
  <c r="W2365" i="19" s="1"/>
  <c r="T2365" i="19"/>
  <c r="U2364" i="19"/>
  <c r="W2364" i="19" s="1"/>
  <c r="T2364" i="19"/>
  <c r="U2363" i="19"/>
  <c r="W2363" i="19" s="1"/>
  <c r="T2363" i="19"/>
  <c r="U2362" i="19"/>
  <c r="W2362" i="19" s="1"/>
  <c r="T2362" i="19"/>
  <c r="U2361" i="19"/>
  <c r="W2361" i="19" s="1"/>
  <c r="T2361" i="19"/>
  <c r="W2360" i="19"/>
  <c r="U2360" i="19"/>
  <c r="T2360" i="19"/>
  <c r="U2359" i="19"/>
  <c r="W2359" i="19" s="1"/>
  <c r="T2359" i="19"/>
  <c r="U2358" i="19"/>
  <c r="W2358" i="19" s="1"/>
  <c r="T2358" i="19"/>
  <c r="U2357" i="19"/>
  <c r="W2357" i="19" s="1"/>
  <c r="T2357" i="19"/>
  <c r="U2356" i="19"/>
  <c r="W2356" i="19" s="1"/>
  <c r="T2356" i="19"/>
  <c r="U2355" i="19"/>
  <c r="W2355" i="19" s="1"/>
  <c r="T2355" i="19"/>
  <c r="U2354" i="19"/>
  <c r="W2354" i="19" s="1"/>
  <c r="T2354" i="19"/>
  <c r="U2353" i="19"/>
  <c r="W2353" i="19" s="1"/>
  <c r="T2353" i="19"/>
  <c r="U2352" i="19"/>
  <c r="W2352" i="19" s="1"/>
  <c r="T2352" i="19"/>
  <c r="U2351" i="19"/>
  <c r="W2351" i="19" s="1"/>
  <c r="T2351" i="19"/>
  <c r="U2350" i="19"/>
  <c r="W2350" i="19" s="1"/>
  <c r="T2350" i="19"/>
  <c r="U2349" i="19"/>
  <c r="W2349" i="19" s="1"/>
  <c r="T2349" i="19"/>
  <c r="F2349" i="19"/>
  <c r="U2348" i="19"/>
  <c r="T2348" i="19" s="1"/>
  <c r="U2347" i="19"/>
  <c r="W2347" i="19" s="1"/>
  <c r="T2347" i="19"/>
  <c r="U2346" i="19"/>
  <c r="W2346" i="19" s="1"/>
  <c r="T2346" i="19"/>
  <c r="U2345" i="19"/>
  <c r="W2345" i="19" s="1"/>
  <c r="T2345" i="19"/>
  <c r="U2344" i="19"/>
  <c r="W2344" i="19" s="1"/>
  <c r="T2344" i="19"/>
  <c r="U2343" i="19"/>
  <c r="W2343" i="19" s="1"/>
  <c r="T2343" i="19"/>
  <c r="U2342" i="19"/>
  <c r="W2342" i="19" s="1"/>
  <c r="T2342" i="19"/>
  <c r="U2341" i="19"/>
  <c r="W2341" i="19" s="1"/>
  <c r="T2341" i="19"/>
  <c r="F2341" i="19"/>
  <c r="U2340" i="19"/>
  <c r="W2340" i="19" s="1"/>
  <c r="T2340" i="19"/>
  <c r="U2339" i="19"/>
  <c r="W2339" i="19" s="1"/>
  <c r="T2339" i="19"/>
  <c r="U2337" i="19"/>
  <c r="W2337" i="19" s="1"/>
  <c r="T2337" i="19"/>
  <c r="U2336" i="19"/>
  <c r="W2336" i="19" s="1"/>
  <c r="T2336" i="19"/>
  <c r="U2335" i="19"/>
  <c r="W2335" i="19" s="1"/>
  <c r="T2335" i="19"/>
  <c r="U2334" i="19"/>
  <c r="W2334" i="19" s="1"/>
  <c r="T2334" i="19"/>
  <c r="U2333" i="19"/>
  <c r="W2333" i="19" s="1"/>
  <c r="T2333" i="19"/>
  <c r="U2332" i="19"/>
  <c r="W2332" i="19" s="1"/>
  <c r="T2332" i="19"/>
  <c r="U2331" i="19"/>
  <c r="W2331" i="19" s="1"/>
  <c r="T2331" i="19"/>
  <c r="U2330" i="19"/>
  <c r="W2330" i="19" s="1"/>
  <c r="T2330" i="19"/>
  <c r="U2329" i="19"/>
  <c r="W2329" i="19" s="1"/>
  <c r="T2329" i="19"/>
  <c r="U2328" i="19"/>
  <c r="W2328" i="19" s="1"/>
  <c r="T2328" i="19"/>
  <c r="U2327" i="19"/>
  <c r="W2327" i="19" s="1"/>
  <c r="T2327" i="19"/>
  <c r="U2326" i="19"/>
  <c r="W2326" i="19" s="1"/>
  <c r="T2326" i="19"/>
  <c r="U2325" i="19"/>
  <c r="W2325" i="19" s="1"/>
  <c r="T2325" i="19"/>
  <c r="U2324" i="19"/>
  <c r="W2324" i="19" s="1"/>
  <c r="T2324" i="19"/>
  <c r="U2323" i="19"/>
  <c r="W2323" i="19" s="1"/>
  <c r="T2323" i="19"/>
  <c r="U2322" i="19"/>
  <c r="W2322" i="19" s="1"/>
  <c r="T2322" i="19"/>
  <c r="U2321" i="19"/>
  <c r="W2321" i="19" s="1"/>
  <c r="T2321" i="19"/>
  <c r="U2320" i="19"/>
  <c r="W2320" i="19" s="1"/>
  <c r="T2320" i="19"/>
  <c r="U2319" i="19"/>
  <c r="W2319" i="19" s="1"/>
  <c r="T2319" i="19"/>
  <c r="F2319" i="19"/>
  <c r="U2318" i="19"/>
  <c r="W2318" i="19" s="1"/>
  <c r="T2318" i="19"/>
  <c r="U2317" i="19"/>
  <c r="W2317" i="19" s="1"/>
  <c r="T2317" i="19"/>
  <c r="U2316" i="19"/>
  <c r="W2316" i="19" s="1"/>
  <c r="T2316" i="19"/>
  <c r="U2315" i="19"/>
  <c r="W2315" i="19" s="1"/>
  <c r="T2315" i="19"/>
  <c r="U2314" i="19"/>
  <c r="W2314" i="19" s="1"/>
  <c r="T2314" i="19"/>
  <c r="U2313" i="19"/>
  <c r="W2313" i="19" s="1"/>
  <c r="T2313" i="19"/>
  <c r="U2312" i="19"/>
  <c r="W2312" i="19" s="1"/>
  <c r="T2312" i="19"/>
  <c r="U2311" i="19"/>
  <c r="W2311" i="19" s="1"/>
  <c r="T2311" i="19"/>
  <c r="U2310" i="19"/>
  <c r="W2310" i="19" s="1"/>
  <c r="T2310" i="19"/>
  <c r="U2309" i="19"/>
  <c r="W2309" i="19" s="1"/>
  <c r="T2309" i="19"/>
  <c r="U2308" i="19"/>
  <c r="W2308" i="19" s="1"/>
  <c r="T2308" i="19"/>
  <c r="U2307" i="19"/>
  <c r="W2307" i="19" s="1"/>
  <c r="T2307" i="19"/>
  <c r="U2306" i="19"/>
  <c r="W2306" i="19" s="1"/>
  <c r="T2306" i="19"/>
  <c r="W2305" i="19"/>
  <c r="U2305" i="19"/>
  <c r="T2305" i="19"/>
  <c r="U2304" i="19"/>
  <c r="W2304" i="19" s="1"/>
  <c r="T2304" i="19"/>
  <c r="U2303" i="19"/>
  <c r="W2303" i="19" s="1"/>
  <c r="T2303" i="19"/>
  <c r="F2303" i="19"/>
  <c r="U2302" i="19"/>
  <c r="W2302" i="19" s="1"/>
  <c r="T2302" i="19"/>
  <c r="W2301" i="19"/>
  <c r="U2301" i="19"/>
  <c r="T2301" i="19"/>
  <c r="U2300" i="19"/>
  <c r="W2300" i="19" s="1"/>
  <c r="T2300" i="19"/>
  <c r="U2299" i="19"/>
  <c r="W2299" i="19" s="1"/>
  <c r="U2298" i="19"/>
  <c r="W2298" i="19" s="1"/>
  <c r="T2298" i="19"/>
  <c r="U2297" i="19"/>
  <c r="W2297" i="19" s="1"/>
  <c r="T2297" i="19"/>
  <c r="U2296" i="19"/>
  <c r="W2296" i="19" s="1"/>
  <c r="T2296" i="19"/>
  <c r="U2295" i="19"/>
  <c r="W2295" i="19" s="1"/>
  <c r="T2295" i="19"/>
  <c r="U2294" i="19"/>
  <c r="W2294" i="19" s="1"/>
  <c r="T2294" i="19"/>
  <c r="U2293" i="19"/>
  <c r="W2293" i="19" s="1"/>
  <c r="T2293" i="19"/>
  <c r="U2292" i="19"/>
  <c r="W2292" i="19" s="1"/>
  <c r="T2292" i="19"/>
  <c r="U2291" i="19"/>
  <c r="W2291" i="19" s="1"/>
  <c r="T2291" i="19"/>
  <c r="U2290" i="19"/>
  <c r="W2290" i="19" s="1"/>
  <c r="T2290" i="19"/>
  <c r="U2289" i="19"/>
  <c r="W2289" i="19" s="1"/>
  <c r="T2289" i="19"/>
  <c r="U2288" i="19"/>
  <c r="W2288" i="19" s="1"/>
  <c r="T2288" i="19"/>
  <c r="U2287" i="19"/>
  <c r="W2287" i="19" s="1"/>
  <c r="T2287" i="19"/>
  <c r="U2286" i="19"/>
  <c r="W2286" i="19" s="1"/>
  <c r="T2286" i="19"/>
  <c r="U2285" i="19"/>
  <c r="W2285" i="19" s="1"/>
  <c r="T2285" i="19"/>
  <c r="U2284" i="19"/>
  <c r="W2284" i="19" s="1"/>
  <c r="T2284" i="19"/>
  <c r="U2283" i="19"/>
  <c r="W2283" i="19" s="1"/>
  <c r="T2283" i="19"/>
  <c r="U2282" i="19"/>
  <c r="W2282" i="19" s="1"/>
  <c r="T2282" i="19"/>
  <c r="U2281" i="19"/>
  <c r="W2281" i="19" s="1"/>
  <c r="T2281" i="19"/>
  <c r="U2280" i="19"/>
  <c r="W2280" i="19" s="1"/>
  <c r="T2280" i="19"/>
  <c r="U2279" i="19"/>
  <c r="W2279" i="19" s="1"/>
  <c r="T2279" i="19"/>
  <c r="U2278" i="19"/>
  <c r="W2278" i="19" s="1"/>
  <c r="T2278" i="19"/>
  <c r="U2277" i="19"/>
  <c r="W2277" i="19" s="1"/>
  <c r="T2277" i="19"/>
  <c r="U2276" i="19"/>
  <c r="W2276" i="19" s="1"/>
  <c r="T2276" i="19"/>
  <c r="U2275" i="19"/>
  <c r="W2275" i="19" s="1"/>
  <c r="T2275" i="19"/>
  <c r="F2275" i="19"/>
  <c r="U2274" i="19"/>
  <c r="W2274" i="19" s="1"/>
  <c r="T2274" i="19"/>
  <c r="U2273" i="19"/>
  <c r="W2273" i="19" s="1"/>
  <c r="T2273" i="19"/>
  <c r="U2272" i="19"/>
  <c r="W2272" i="19" s="1"/>
  <c r="T2272" i="19"/>
  <c r="U2271" i="19"/>
  <c r="W2271" i="19" s="1"/>
  <c r="T2271" i="19"/>
  <c r="W2270" i="19"/>
  <c r="U2270" i="19"/>
  <c r="T2270" i="19"/>
  <c r="U2269" i="19"/>
  <c r="W2269" i="19" s="1"/>
  <c r="T2269" i="19"/>
  <c r="U2268" i="19"/>
  <c r="W2268" i="19" s="1"/>
  <c r="T2268" i="19"/>
  <c r="U2267" i="19"/>
  <c r="W2267" i="19" s="1"/>
  <c r="T2267" i="19"/>
  <c r="U2266" i="19"/>
  <c r="W2266" i="19" s="1"/>
  <c r="T2266" i="19"/>
  <c r="F2266" i="19"/>
  <c r="U2265" i="19"/>
  <c r="W2265" i="19" s="1"/>
  <c r="T2265" i="19"/>
  <c r="F2265" i="19"/>
  <c r="U2264" i="19"/>
  <c r="W2264" i="19" s="1"/>
  <c r="T2264" i="19"/>
  <c r="U2263" i="19"/>
  <c r="W2263" i="19" s="1"/>
  <c r="T2263" i="19"/>
  <c r="U2262" i="19"/>
  <c r="W2262" i="19" s="1"/>
  <c r="T2262" i="19"/>
  <c r="U2261" i="19"/>
  <c r="W2261" i="19" s="1"/>
  <c r="T2261" i="19"/>
  <c r="U2260" i="19"/>
  <c r="W2260" i="19" s="1"/>
  <c r="T2260" i="19"/>
  <c r="U2259" i="19"/>
  <c r="W2259" i="19" s="1"/>
  <c r="T2259" i="19"/>
  <c r="U2258" i="19"/>
  <c r="W2258" i="19" s="1"/>
  <c r="T2258" i="19"/>
  <c r="W2257" i="19"/>
  <c r="U2257" i="19"/>
  <c r="T2257" i="19"/>
  <c r="F2257" i="19"/>
  <c r="W2256" i="19"/>
  <c r="U2256" i="19"/>
  <c r="T2256" i="19"/>
  <c r="U2255" i="19"/>
  <c r="W2255" i="19" s="1"/>
  <c r="T2255" i="19"/>
  <c r="U2254" i="19"/>
  <c r="W2254" i="19" s="1"/>
  <c r="T2254" i="19"/>
  <c r="U2253" i="19"/>
  <c r="W2253" i="19" s="1"/>
  <c r="T2253" i="19"/>
  <c r="U2252" i="19"/>
  <c r="W2252" i="19" s="1"/>
  <c r="T2252" i="19"/>
  <c r="U2251" i="19"/>
  <c r="W2251" i="19" s="1"/>
  <c r="T2251" i="19"/>
  <c r="U2250" i="19"/>
  <c r="W2250" i="19" s="1"/>
  <c r="T2250" i="19"/>
  <c r="U2249" i="19"/>
  <c r="W2249" i="19" s="1"/>
  <c r="T2249" i="19"/>
  <c r="F2249" i="19"/>
  <c r="U2248" i="19"/>
  <c r="W2248" i="19" s="1"/>
  <c r="T2248" i="19"/>
  <c r="U2247" i="19"/>
  <c r="W2247" i="19" s="1"/>
  <c r="T2247" i="19"/>
  <c r="F2247" i="19"/>
  <c r="U2246" i="19"/>
  <c r="W2246" i="19" s="1"/>
  <c r="T2246" i="19"/>
  <c r="U2245" i="19"/>
  <c r="W2245" i="19" s="1"/>
  <c r="T2245" i="19"/>
  <c r="U2244" i="19"/>
  <c r="W2244" i="19" s="1"/>
  <c r="T2244" i="19"/>
  <c r="U2243" i="19"/>
  <c r="W2243" i="19" s="1"/>
  <c r="T2243" i="19"/>
  <c r="U2242" i="19"/>
  <c r="W2242" i="19" s="1"/>
  <c r="T2242" i="19"/>
  <c r="U2241" i="19"/>
  <c r="W2241" i="19" s="1"/>
  <c r="T2241" i="19"/>
  <c r="U2240" i="19"/>
  <c r="W2240" i="19" s="1"/>
  <c r="T2240" i="19"/>
  <c r="U2239" i="19"/>
  <c r="W2239" i="19" s="1"/>
  <c r="T2239" i="19"/>
  <c r="U2238" i="19"/>
  <c r="W2238" i="19" s="1"/>
  <c r="T2238" i="19"/>
  <c r="U2237" i="19"/>
  <c r="W2237" i="19" s="1"/>
  <c r="T2237" i="19"/>
  <c r="U2236" i="19"/>
  <c r="W2236" i="19" s="1"/>
  <c r="T2236" i="19"/>
  <c r="U2235" i="19"/>
  <c r="W2235" i="19" s="1"/>
  <c r="T2235" i="19"/>
  <c r="U2234" i="19"/>
  <c r="W2234" i="19" s="1"/>
  <c r="T2234" i="19"/>
  <c r="F2234" i="19"/>
  <c r="U2233" i="19"/>
  <c r="W2233" i="19" s="1"/>
  <c r="T2233" i="19"/>
  <c r="U2232" i="19"/>
  <c r="W2232" i="19" s="1"/>
  <c r="T2232" i="19"/>
  <c r="U2231" i="19"/>
  <c r="W2231" i="19" s="1"/>
  <c r="T2231" i="19"/>
  <c r="U2230" i="19"/>
  <c r="W2230" i="19" s="1"/>
  <c r="T2230" i="19"/>
  <c r="U2229" i="19"/>
  <c r="W2229" i="19" s="1"/>
  <c r="T2229" i="19"/>
  <c r="U2228" i="19"/>
  <c r="W2228" i="19" s="1"/>
  <c r="T2228" i="19"/>
  <c r="U2227" i="19"/>
  <c r="W2227" i="19" s="1"/>
  <c r="T2227" i="19"/>
  <c r="U2226" i="19"/>
  <c r="W2226" i="19" s="1"/>
  <c r="T2226" i="19"/>
  <c r="U2225" i="19"/>
  <c r="W2225" i="19" s="1"/>
  <c r="T2225" i="19"/>
  <c r="U2224" i="19"/>
  <c r="W2224" i="19" s="1"/>
  <c r="T2224" i="19"/>
  <c r="U2223" i="19"/>
  <c r="W2223" i="19" s="1"/>
  <c r="T2223" i="19"/>
  <c r="W2222" i="19"/>
  <c r="U2222" i="19"/>
  <c r="T2222" i="19"/>
  <c r="U2221" i="19"/>
  <c r="W2221" i="19" s="1"/>
  <c r="T2221" i="19"/>
  <c r="U2220" i="19"/>
  <c r="W2220" i="19" s="1"/>
  <c r="T2220" i="19"/>
  <c r="U2219" i="19"/>
  <c r="W2219" i="19" s="1"/>
  <c r="T2219" i="19"/>
  <c r="U2218" i="19"/>
  <c r="W2218" i="19" s="1"/>
  <c r="T2218" i="19"/>
  <c r="F2218" i="19"/>
  <c r="U2217" i="19"/>
  <c r="W2217" i="19" s="1"/>
  <c r="T2217" i="19"/>
  <c r="U2216" i="19"/>
  <c r="W2216" i="19" s="1"/>
  <c r="T2216" i="19"/>
  <c r="U2215" i="19"/>
  <c r="W2215" i="19" s="1"/>
  <c r="T2215" i="19"/>
  <c r="U2214" i="19"/>
  <c r="W2214" i="19" s="1"/>
  <c r="T2214" i="19"/>
  <c r="U2213" i="19"/>
  <c r="W2213" i="19" s="1"/>
  <c r="T2213" i="19"/>
  <c r="F2213" i="19"/>
  <c r="U2212" i="19"/>
  <c r="W2212" i="19" s="1"/>
  <c r="T2212" i="19"/>
  <c r="F2212" i="19"/>
  <c r="U2211" i="19"/>
  <c r="W2211" i="19" s="1"/>
  <c r="T2211" i="19"/>
  <c r="U2210" i="19"/>
  <c r="W2210" i="19" s="1"/>
  <c r="T2210" i="19"/>
  <c r="U2209" i="19"/>
  <c r="W2209" i="19" s="1"/>
  <c r="T2209" i="19"/>
  <c r="U2208" i="19"/>
  <c r="W2208" i="19" s="1"/>
  <c r="T2208" i="19"/>
  <c r="F2208" i="19"/>
  <c r="U2207" i="19"/>
  <c r="W2207" i="19" s="1"/>
  <c r="T2207" i="19"/>
  <c r="U2206" i="19"/>
  <c r="W2206" i="19" s="1"/>
  <c r="T2206" i="19"/>
  <c r="U2205" i="19"/>
  <c r="W2205" i="19" s="1"/>
  <c r="T2205" i="19"/>
  <c r="U2204" i="19"/>
  <c r="W2204" i="19" s="1"/>
  <c r="T2204" i="19"/>
  <c r="F2204" i="19"/>
  <c r="U2203" i="19"/>
  <c r="W2203" i="19" s="1"/>
  <c r="T2203" i="19"/>
  <c r="U2202" i="19"/>
  <c r="W2202" i="19" s="1"/>
  <c r="T2202" i="19"/>
  <c r="U2201" i="19"/>
  <c r="W2201" i="19" s="1"/>
  <c r="T2201" i="19"/>
  <c r="U2200" i="19"/>
  <c r="W2200" i="19" s="1"/>
  <c r="T2200" i="19"/>
  <c r="U2199" i="19"/>
  <c r="W2199" i="19" s="1"/>
  <c r="T2199" i="19"/>
  <c r="F2199" i="19"/>
  <c r="U2198" i="19"/>
  <c r="W2198" i="19" s="1"/>
  <c r="T2198" i="19"/>
  <c r="U2197" i="19"/>
  <c r="W2197" i="19" s="1"/>
  <c r="T2197" i="19"/>
  <c r="U2196" i="19"/>
  <c r="W2196" i="19" s="1"/>
  <c r="T2196" i="19"/>
  <c r="U2195" i="19"/>
  <c r="W2195" i="19" s="1"/>
  <c r="T2195" i="19"/>
  <c r="U2194" i="19"/>
  <c r="W2194" i="19" s="1"/>
  <c r="T2194" i="19"/>
  <c r="U2193" i="19"/>
  <c r="W2193" i="19" s="1"/>
  <c r="T2193" i="19"/>
  <c r="U2192" i="19"/>
  <c r="W2192" i="19" s="1"/>
  <c r="T2192" i="19"/>
  <c r="U2191" i="19"/>
  <c r="W2191" i="19" s="1"/>
  <c r="T2191" i="19"/>
  <c r="U2190" i="19"/>
  <c r="W2190" i="19" s="1"/>
  <c r="T2190" i="19"/>
  <c r="U2189" i="19"/>
  <c r="W2189" i="19" s="1"/>
  <c r="T2189" i="19"/>
  <c r="U2188" i="19"/>
  <c r="W2188" i="19" s="1"/>
  <c r="T2188" i="19"/>
  <c r="F2188" i="19"/>
  <c r="U2187" i="19"/>
  <c r="W2187" i="19" s="1"/>
  <c r="T2187" i="19"/>
  <c r="U2186" i="19"/>
  <c r="W2186" i="19" s="1"/>
  <c r="T2186" i="19"/>
  <c r="U2185" i="19"/>
  <c r="W2185" i="19" s="1"/>
  <c r="T2185" i="19"/>
  <c r="F2185" i="19"/>
  <c r="U2184" i="19"/>
  <c r="W2184" i="19" s="1"/>
  <c r="T2184" i="19"/>
  <c r="U2183" i="19"/>
  <c r="W2183" i="19" s="1"/>
  <c r="T2183" i="19"/>
  <c r="U2182" i="19"/>
  <c r="W2182" i="19" s="1"/>
  <c r="T2182" i="19"/>
  <c r="U2181" i="19"/>
  <c r="W2181" i="19" s="1"/>
  <c r="T2181" i="19"/>
  <c r="U2180" i="19"/>
  <c r="W2180" i="19" s="1"/>
  <c r="T2180" i="19"/>
  <c r="F2180" i="19"/>
  <c r="U2179" i="19"/>
  <c r="W2179" i="19" s="1"/>
  <c r="T2179" i="19"/>
  <c r="U2178" i="19"/>
  <c r="W2178" i="19" s="1"/>
  <c r="T2178" i="19"/>
  <c r="U2177" i="19"/>
  <c r="W2177" i="19" s="1"/>
  <c r="T2177" i="19"/>
  <c r="U2176" i="19"/>
  <c r="W2176" i="19" s="1"/>
  <c r="T2176" i="19"/>
  <c r="U2175" i="19"/>
  <c r="W2175" i="19" s="1"/>
  <c r="T2175" i="19"/>
  <c r="W2174" i="19"/>
  <c r="U2174" i="19"/>
  <c r="T2174" i="19"/>
  <c r="U2173" i="19"/>
  <c r="W2173" i="19" s="1"/>
  <c r="T2173" i="19"/>
  <c r="U2172" i="19"/>
  <c r="W2172" i="19" s="1"/>
  <c r="T2172" i="19"/>
  <c r="U2171" i="19"/>
  <c r="W2171" i="19" s="1"/>
  <c r="T2171" i="19"/>
  <c r="U2170" i="19"/>
  <c r="W2170" i="19" s="1"/>
  <c r="T2170" i="19"/>
  <c r="U2169" i="19"/>
  <c r="W2169" i="19" s="1"/>
  <c r="T2169" i="19"/>
  <c r="U2168" i="19"/>
  <c r="W2168" i="19" s="1"/>
  <c r="T2168" i="19"/>
  <c r="U2167" i="19"/>
  <c r="W2167" i="19" s="1"/>
  <c r="T2167" i="19"/>
  <c r="U2166" i="19"/>
  <c r="W2166" i="19" s="1"/>
  <c r="T2166" i="19"/>
  <c r="U2165" i="19"/>
  <c r="W2165" i="19" s="1"/>
  <c r="T2165" i="19"/>
  <c r="U2164" i="19"/>
  <c r="W2164" i="19" s="1"/>
  <c r="T2164" i="19"/>
  <c r="U2163" i="19"/>
  <c r="W2163" i="19" s="1"/>
  <c r="T2163" i="19"/>
  <c r="U2162" i="19"/>
  <c r="W2162" i="19" s="1"/>
  <c r="T2162" i="19"/>
  <c r="U2161" i="19"/>
  <c r="W2161" i="19" s="1"/>
  <c r="T2161" i="19"/>
  <c r="F2161" i="19"/>
  <c r="U2160" i="19"/>
  <c r="W2160" i="19" s="1"/>
  <c r="T2160" i="19"/>
  <c r="U2159" i="19"/>
  <c r="W2159" i="19" s="1"/>
  <c r="T2159" i="19"/>
  <c r="U2158" i="19"/>
  <c r="W2158" i="19" s="1"/>
  <c r="T2158" i="19"/>
  <c r="U2157" i="19"/>
  <c r="W2157" i="19" s="1"/>
  <c r="T2157" i="19"/>
  <c r="W2156" i="19"/>
  <c r="U2156" i="19"/>
  <c r="T2156" i="19"/>
  <c r="U2155" i="19"/>
  <c r="W2155" i="19" s="1"/>
  <c r="T2155" i="19"/>
  <c r="U2154" i="19"/>
  <c r="W2154" i="19" s="1"/>
  <c r="T2154" i="19"/>
  <c r="F2154" i="19"/>
  <c r="U2153" i="19"/>
  <c r="W2153" i="19" s="1"/>
  <c r="T2153" i="19"/>
  <c r="U2152" i="19"/>
  <c r="W2152" i="19" s="1"/>
  <c r="T2152" i="19"/>
  <c r="U2151" i="19"/>
  <c r="W2151" i="19" s="1"/>
  <c r="T2151" i="19"/>
  <c r="U2150" i="19"/>
  <c r="W2150" i="19" s="1"/>
  <c r="T2150" i="19"/>
  <c r="U2149" i="19"/>
  <c r="W2149" i="19" s="1"/>
  <c r="T2149" i="19"/>
  <c r="U2148" i="19"/>
  <c r="W2148" i="19" s="1"/>
  <c r="T2148" i="19"/>
  <c r="F2148" i="19"/>
  <c r="U2147" i="19"/>
  <c r="W2147" i="19" s="1"/>
  <c r="T2147" i="19"/>
  <c r="U2146" i="19"/>
  <c r="W2146" i="19" s="1"/>
  <c r="T2146" i="19"/>
  <c r="U2145" i="19"/>
  <c r="W2145" i="19" s="1"/>
  <c r="T2145" i="19"/>
  <c r="U2144" i="19"/>
  <c r="W2144" i="19" s="1"/>
  <c r="T2144" i="19"/>
  <c r="U2143" i="19"/>
  <c r="W2143" i="19" s="1"/>
  <c r="T2143" i="19"/>
  <c r="U2142" i="19"/>
  <c r="W2142" i="19" s="1"/>
  <c r="T2142" i="19"/>
  <c r="U2141" i="19"/>
  <c r="W2141" i="19" s="1"/>
  <c r="T2141" i="19"/>
  <c r="U2140" i="19"/>
  <c r="W2140" i="19" s="1"/>
  <c r="T2140" i="19"/>
  <c r="U2139" i="19"/>
  <c r="W2139" i="19" s="1"/>
  <c r="T2139" i="19"/>
  <c r="U2138" i="19"/>
  <c r="W2138" i="19" s="1"/>
  <c r="T2138" i="19"/>
  <c r="U2137" i="19"/>
  <c r="W2137" i="19" s="1"/>
  <c r="T2137" i="19"/>
  <c r="U2136" i="19"/>
  <c r="W2136" i="19" s="1"/>
  <c r="T2136" i="19"/>
  <c r="U2135" i="19"/>
  <c r="W2135" i="19" s="1"/>
  <c r="T2135" i="19"/>
  <c r="U2134" i="19"/>
  <c r="W2134" i="19" s="1"/>
  <c r="T2134" i="19"/>
  <c r="U2133" i="19"/>
  <c r="W2133" i="19" s="1"/>
  <c r="T2133" i="19"/>
  <c r="U2132" i="19"/>
  <c r="W2132" i="19" s="1"/>
  <c r="T2132" i="19"/>
  <c r="W2131" i="19"/>
  <c r="U2131" i="19"/>
  <c r="T2131" i="19"/>
  <c r="U2130" i="19"/>
  <c r="W2130" i="19" s="1"/>
  <c r="T2130" i="19"/>
  <c r="U2129" i="19"/>
  <c r="W2129" i="19" s="1"/>
  <c r="T2129" i="19"/>
  <c r="U2128" i="19"/>
  <c r="W2128" i="19" s="1"/>
  <c r="T2128" i="19"/>
  <c r="U2127" i="19"/>
  <c r="W2127" i="19" s="1"/>
  <c r="T2127" i="19"/>
  <c r="U2126" i="19"/>
  <c r="W2126" i="19" s="1"/>
  <c r="T2126" i="19"/>
  <c r="F2126" i="19"/>
  <c r="U2125" i="19"/>
  <c r="W2125" i="19" s="1"/>
  <c r="T2125" i="19"/>
  <c r="U2124" i="19"/>
  <c r="W2124" i="19" s="1"/>
  <c r="T2124" i="19"/>
  <c r="U2123" i="19"/>
  <c r="W2123" i="19" s="1"/>
  <c r="T2123" i="19"/>
  <c r="F2123" i="19"/>
  <c r="U2122" i="19"/>
  <c r="W2122" i="19" s="1"/>
  <c r="T2122" i="19"/>
  <c r="U2121" i="19"/>
  <c r="W2121" i="19" s="1"/>
  <c r="T2121" i="19"/>
  <c r="U2120" i="19"/>
  <c r="W2120" i="19" s="1"/>
  <c r="T2120" i="19"/>
  <c r="U2119" i="19"/>
  <c r="W2119" i="19" s="1"/>
  <c r="T2119" i="19"/>
  <c r="U2118" i="19"/>
  <c r="W2118" i="19" s="1"/>
  <c r="T2118" i="19"/>
  <c r="F2118" i="19"/>
  <c r="U2117" i="19"/>
  <c r="W2117" i="19" s="1"/>
  <c r="T2117" i="19"/>
  <c r="U2116" i="19"/>
  <c r="W2116" i="19" s="1"/>
  <c r="T2116" i="19"/>
  <c r="U2115" i="19"/>
  <c r="W2115" i="19" s="1"/>
  <c r="T2115" i="19"/>
  <c r="U2114" i="19"/>
  <c r="W2114" i="19" s="1"/>
  <c r="T2114" i="19"/>
  <c r="U2113" i="19"/>
  <c r="W2113" i="19" s="1"/>
  <c r="T2113" i="19"/>
  <c r="U2112" i="19"/>
  <c r="W2112" i="19" s="1"/>
  <c r="T2112" i="19"/>
  <c r="F2112" i="19"/>
  <c r="U2111" i="19"/>
  <c r="W2111" i="19" s="1"/>
  <c r="T2111" i="19"/>
  <c r="U2110" i="19"/>
  <c r="W2110" i="19" s="1"/>
  <c r="T2110" i="19"/>
  <c r="U2109" i="19"/>
  <c r="W2109" i="19" s="1"/>
  <c r="T2109" i="19"/>
  <c r="U2108" i="19"/>
  <c r="W2108" i="19" s="1"/>
  <c r="T2108" i="19"/>
  <c r="U2107" i="19"/>
  <c r="W2107" i="19" s="1"/>
  <c r="T2107" i="19"/>
  <c r="U2106" i="19"/>
  <c r="W2106" i="19" s="1"/>
  <c r="T2106" i="19"/>
  <c r="F2106" i="19"/>
  <c r="U2105" i="19"/>
  <c r="W2105" i="19" s="1"/>
  <c r="T2105" i="19"/>
  <c r="U2104" i="19"/>
  <c r="W2104" i="19" s="1"/>
  <c r="T2104" i="19"/>
  <c r="F2104" i="19"/>
  <c r="U2103" i="19"/>
  <c r="W2103" i="19" s="1"/>
  <c r="T2103" i="19"/>
  <c r="U2102" i="19"/>
  <c r="W2102" i="19" s="1"/>
  <c r="T2102" i="19"/>
  <c r="U2101" i="19"/>
  <c r="W2101" i="19" s="1"/>
  <c r="T2101" i="19"/>
  <c r="U2100" i="19"/>
  <c r="W2100" i="19" s="1"/>
  <c r="T2100" i="19"/>
  <c r="U2099" i="19"/>
  <c r="W2099" i="19" s="1"/>
  <c r="T2099" i="19"/>
  <c r="U2098" i="19"/>
  <c r="W2098" i="19" s="1"/>
  <c r="T2098" i="19"/>
  <c r="W2097" i="19"/>
  <c r="U2097" i="19"/>
  <c r="T2097" i="19"/>
  <c r="U2096" i="19"/>
  <c r="W2096" i="19" s="1"/>
  <c r="T2096" i="19"/>
  <c r="U2095" i="19"/>
  <c r="W2095" i="19" s="1"/>
  <c r="T2095" i="19"/>
  <c r="U2094" i="19"/>
  <c r="W2094" i="19" s="1"/>
  <c r="T2094" i="19"/>
  <c r="F2094" i="19"/>
  <c r="U2093" i="19"/>
  <c r="W2093" i="19" s="1"/>
  <c r="T2093" i="19"/>
  <c r="U2092" i="19"/>
  <c r="W2092" i="19" s="1"/>
  <c r="T2092" i="19"/>
  <c r="U2091" i="19"/>
  <c r="W2091" i="19" s="1"/>
  <c r="T2091" i="19"/>
  <c r="F2091" i="19"/>
  <c r="U2090" i="19"/>
  <c r="W2090" i="19" s="1"/>
  <c r="T2090" i="19"/>
  <c r="U2089" i="19"/>
  <c r="W2089" i="19" s="1"/>
  <c r="T2089" i="19"/>
  <c r="U2088" i="19"/>
  <c r="W2088" i="19" s="1"/>
  <c r="T2088" i="19"/>
  <c r="U2087" i="19"/>
  <c r="W2087" i="19" s="1"/>
  <c r="T2087" i="19"/>
  <c r="F2087" i="19"/>
  <c r="U2086" i="19"/>
  <c r="W2086" i="19" s="1"/>
  <c r="T2086" i="19"/>
  <c r="U2085" i="19"/>
  <c r="W2085" i="19" s="1"/>
  <c r="T2085" i="19"/>
  <c r="U2084" i="19"/>
  <c r="W2084" i="19" s="1"/>
  <c r="T2084" i="19"/>
  <c r="U2083" i="19"/>
  <c r="W2083" i="19" s="1"/>
  <c r="T2083" i="19"/>
  <c r="U2082" i="19"/>
  <c r="W2082" i="19" s="1"/>
  <c r="T2082" i="19"/>
  <c r="U2081" i="19"/>
  <c r="W2081" i="19" s="1"/>
  <c r="T2081" i="19"/>
  <c r="U2080" i="19"/>
  <c r="W2080" i="19" s="1"/>
  <c r="T2080" i="19"/>
  <c r="U2079" i="19"/>
  <c r="W2079" i="19" s="1"/>
  <c r="T2079" i="19"/>
  <c r="U2078" i="19"/>
  <c r="W2078" i="19" s="1"/>
  <c r="T2078" i="19"/>
  <c r="U2077" i="19"/>
  <c r="W2077" i="19" s="1"/>
  <c r="T2077" i="19"/>
  <c r="F2077" i="19"/>
  <c r="W2076" i="19"/>
  <c r="U2076" i="19"/>
  <c r="T2076" i="19"/>
  <c r="U2075" i="19"/>
  <c r="W2075" i="19" s="1"/>
  <c r="T2075" i="19"/>
  <c r="F2075" i="19"/>
  <c r="U2074" i="19"/>
  <c r="W2074" i="19" s="1"/>
  <c r="T2074" i="19"/>
  <c r="W2073" i="19"/>
  <c r="U2073" i="19"/>
  <c r="T2073" i="19"/>
  <c r="U2072" i="19"/>
  <c r="W2072" i="19" s="1"/>
  <c r="T2072" i="19"/>
  <c r="U2071" i="19"/>
  <c r="W2071" i="19" s="1"/>
  <c r="T2071" i="19"/>
  <c r="U2070" i="19"/>
  <c r="W2070" i="19" s="1"/>
  <c r="T2070" i="19"/>
  <c r="U2069" i="19"/>
  <c r="W2069" i="19" s="1"/>
  <c r="T2069" i="19"/>
  <c r="U2068" i="19"/>
  <c r="W2068" i="19" s="1"/>
  <c r="T2068" i="19"/>
  <c r="U2067" i="19"/>
  <c r="W2067" i="19" s="1"/>
  <c r="T2067" i="19"/>
  <c r="U2066" i="19"/>
  <c r="W2066" i="19" s="1"/>
  <c r="T2066" i="19"/>
  <c r="U2065" i="19"/>
  <c r="W2065" i="19" s="1"/>
  <c r="T2065" i="19"/>
  <c r="U2064" i="19"/>
  <c r="W2064" i="19" s="1"/>
  <c r="T2064" i="19"/>
  <c r="W2063" i="19"/>
  <c r="U2063" i="19"/>
  <c r="T2063" i="19"/>
  <c r="U2062" i="19"/>
  <c r="W2062" i="19" s="1"/>
  <c r="T2062" i="19"/>
  <c r="U2061" i="19"/>
  <c r="W2061" i="19" s="1"/>
  <c r="T2061" i="19"/>
  <c r="U2060" i="19"/>
  <c r="W2060" i="19" s="1"/>
  <c r="T2060" i="19"/>
  <c r="U2059" i="19"/>
  <c r="W2059" i="19" s="1"/>
  <c r="T2059" i="19"/>
  <c r="U2058" i="19"/>
  <c r="W2058" i="19" s="1"/>
  <c r="T2058" i="19"/>
  <c r="U2057" i="19"/>
  <c r="W2057" i="19" s="1"/>
  <c r="T2057" i="19"/>
  <c r="U2056" i="19"/>
  <c r="W2056" i="19" s="1"/>
  <c r="T2056" i="19"/>
  <c r="U2055" i="19"/>
  <c r="W2055" i="19" s="1"/>
  <c r="T2055" i="19"/>
  <c r="U2054" i="19"/>
  <c r="W2054" i="19" s="1"/>
  <c r="T2054" i="19"/>
  <c r="U2053" i="19"/>
  <c r="W2053" i="19" s="1"/>
  <c r="T2053" i="19"/>
  <c r="U2052" i="19"/>
  <c r="W2052" i="19" s="1"/>
  <c r="T2052" i="19"/>
  <c r="U2051" i="19"/>
  <c r="W2051" i="19" s="1"/>
  <c r="T2051" i="19"/>
  <c r="U2050" i="19"/>
  <c r="W2050" i="19" s="1"/>
  <c r="T2050" i="19"/>
  <c r="U2049" i="19"/>
  <c r="W2049" i="19" s="1"/>
  <c r="T2049" i="19"/>
  <c r="U2048" i="19"/>
  <c r="W2048" i="19" s="1"/>
  <c r="T2048" i="19"/>
  <c r="U2047" i="19"/>
  <c r="W2047" i="19" s="1"/>
  <c r="T2047" i="19"/>
  <c r="U2046" i="19"/>
  <c r="W2046" i="19" s="1"/>
  <c r="T2046" i="19"/>
  <c r="U2045" i="19"/>
  <c r="W2045" i="19" s="1"/>
  <c r="T2045" i="19"/>
  <c r="U2044" i="19"/>
  <c r="W2044" i="19" s="1"/>
  <c r="T2044" i="19"/>
  <c r="U2043" i="19"/>
  <c r="W2043" i="19" s="1"/>
  <c r="T2043" i="19"/>
  <c r="U2042" i="19"/>
  <c r="W2042" i="19" s="1"/>
  <c r="T2042" i="19"/>
  <c r="U2041" i="19"/>
  <c r="W2041" i="19" s="1"/>
  <c r="T2041" i="19"/>
  <c r="U2040" i="19"/>
  <c r="W2040" i="19" s="1"/>
  <c r="T2040" i="19"/>
  <c r="U2039" i="19"/>
  <c r="W2039" i="19" s="1"/>
  <c r="T2039" i="19"/>
  <c r="U2038" i="19"/>
  <c r="W2038" i="19" s="1"/>
  <c r="T2038" i="19"/>
  <c r="U2037" i="19"/>
  <c r="W2037" i="19" s="1"/>
  <c r="T2037" i="19"/>
  <c r="U2036" i="19"/>
  <c r="W2036" i="19" s="1"/>
  <c r="T2036" i="19"/>
  <c r="U2035" i="19"/>
  <c r="W2035" i="19" s="1"/>
  <c r="T2035" i="19"/>
  <c r="U2034" i="19"/>
  <c r="W2034" i="19" s="1"/>
  <c r="T2034" i="19"/>
  <c r="U2033" i="19"/>
  <c r="W2033" i="19" s="1"/>
  <c r="T2033" i="19"/>
  <c r="U2032" i="19"/>
  <c r="W2032" i="19" s="1"/>
  <c r="T2032" i="19"/>
  <c r="U2031" i="19"/>
  <c r="W2031" i="19" s="1"/>
  <c r="T2031" i="19"/>
  <c r="U2030" i="19"/>
  <c r="W2030" i="19" s="1"/>
  <c r="T2030" i="19"/>
  <c r="U2029" i="19"/>
  <c r="W2029" i="19" s="1"/>
  <c r="T2029" i="19"/>
  <c r="U2028" i="19"/>
  <c r="W2028" i="19" s="1"/>
  <c r="T2028" i="19"/>
  <c r="U2027" i="19"/>
  <c r="W2027" i="19" s="1"/>
  <c r="T2027" i="19"/>
  <c r="F2027" i="19"/>
  <c r="U2026" i="19"/>
  <c r="W2026" i="19" s="1"/>
  <c r="T2026" i="19"/>
  <c r="U2025" i="19"/>
  <c r="W2025" i="19" s="1"/>
  <c r="T2025" i="19"/>
  <c r="F2025" i="19"/>
  <c r="U2024" i="19"/>
  <c r="W2024" i="19" s="1"/>
  <c r="T2024" i="19"/>
  <c r="U2023" i="19"/>
  <c r="W2023" i="19" s="1"/>
  <c r="T2023" i="19"/>
  <c r="F2023" i="19"/>
  <c r="U2022" i="19"/>
  <c r="W2022" i="19" s="1"/>
  <c r="T2022" i="19"/>
  <c r="F2022" i="19"/>
  <c r="U2021" i="19"/>
  <c r="W2021" i="19" s="1"/>
  <c r="T2021" i="19"/>
  <c r="U2020" i="19"/>
  <c r="W2020" i="19" s="1"/>
  <c r="T2020" i="19"/>
  <c r="U2019" i="19"/>
  <c r="W2019" i="19" s="1"/>
  <c r="T2019" i="19"/>
  <c r="U2018" i="19"/>
  <c r="W2018" i="19" s="1"/>
  <c r="T2018" i="19"/>
  <c r="U2017" i="19"/>
  <c r="W2017" i="19" s="1"/>
  <c r="T2017" i="19"/>
  <c r="U2016" i="19"/>
  <c r="W2016" i="19" s="1"/>
  <c r="T2016" i="19"/>
  <c r="U2015" i="19"/>
  <c r="W2015" i="19" s="1"/>
  <c r="T2015" i="19"/>
  <c r="W2014" i="19"/>
  <c r="U2014" i="19"/>
  <c r="T2014" i="19"/>
  <c r="U2013" i="19"/>
  <c r="W2013" i="19" s="1"/>
  <c r="T2013" i="19"/>
  <c r="F2013" i="19"/>
  <c r="U2012" i="19"/>
  <c r="W2012" i="19" s="1"/>
  <c r="T2012" i="19"/>
  <c r="U2011" i="19"/>
  <c r="W2011" i="19" s="1"/>
  <c r="T2011" i="19"/>
  <c r="U2010" i="19"/>
  <c r="W2010" i="19" s="1"/>
  <c r="T2010" i="19"/>
  <c r="F2010" i="19"/>
  <c r="U2009" i="19"/>
  <c r="W2009" i="19" s="1"/>
  <c r="T2009" i="19"/>
  <c r="U2008" i="19"/>
  <c r="W2008" i="19" s="1"/>
  <c r="T2008" i="19"/>
  <c r="U2007" i="19"/>
  <c r="W2007" i="19" s="1"/>
  <c r="T2007" i="19"/>
  <c r="U2006" i="19"/>
  <c r="W2006" i="19" s="1"/>
  <c r="T2006" i="19"/>
  <c r="U2005" i="19"/>
  <c r="W2005" i="19" s="1"/>
  <c r="T2005" i="19"/>
  <c r="U2004" i="19"/>
  <c r="W2004" i="19" s="1"/>
  <c r="T2004" i="19"/>
  <c r="F2004" i="19"/>
  <c r="U2003" i="19"/>
  <c r="W2003" i="19" s="1"/>
  <c r="T2003" i="19"/>
  <c r="U2002" i="19"/>
  <c r="W2002" i="19" s="1"/>
  <c r="T2002" i="19"/>
  <c r="U2001" i="19"/>
  <c r="W2001" i="19" s="1"/>
  <c r="T2001" i="19"/>
  <c r="F2001" i="19"/>
  <c r="U2000" i="19"/>
  <c r="W2000" i="19" s="1"/>
  <c r="T2000" i="19"/>
  <c r="F2000" i="19"/>
  <c r="U1999" i="19"/>
  <c r="W1999" i="19" s="1"/>
  <c r="T1999" i="19"/>
  <c r="U1998" i="19"/>
  <c r="W1998" i="19" s="1"/>
  <c r="T1998" i="19"/>
  <c r="U1997" i="19"/>
  <c r="W1997" i="19" s="1"/>
  <c r="T1997" i="19"/>
  <c r="U1996" i="19"/>
  <c r="W1996" i="19" s="1"/>
  <c r="T1996" i="19"/>
  <c r="U1995" i="19"/>
  <c r="W1995" i="19" s="1"/>
  <c r="T1995" i="19"/>
  <c r="W1994" i="19"/>
  <c r="U1994" i="19"/>
  <c r="T1994" i="19"/>
  <c r="U1993" i="19"/>
  <c r="W1993" i="19" s="1"/>
  <c r="T1993" i="19"/>
  <c r="U1992" i="19"/>
  <c r="W1992" i="19" s="1"/>
  <c r="T1992" i="19"/>
  <c r="U1991" i="19"/>
  <c r="W1991" i="19" s="1"/>
  <c r="T1991" i="19"/>
  <c r="U1990" i="19"/>
  <c r="W1990" i="19" s="1"/>
  <c r="T1990" i="19"/>
  <c r="U1989" i="19"/>
  <c r="W1989" i="19" s="1"/>
  <c r="T1989" i="19"/>
  <c r="U1988" i="19"/>
  <c r="W1988" i="19" s="1"/>
  <c r="T1988" i="19"/>
  <c r="U1987" i="19"/>
  <c r="W1987" i="19" s="1"/>
  <c r="T1987" i="19"/>
  <c r="U1986" i="19"/>
  <c r="W1986" i="19" s="1"/>
  <c r="T1986" i="19"/>
  <c r="U1985" i="19"/>
  <c r="W1985" i="19" s="1"/>
  <c r="T1985" i="19"/>
  <c r="U1984" i="19"/>
  <c r="W1984" i="19" s="1"/>
  <c r="T1984" i="19"/>
  <c r="U1983" i="19"/>
  <c r="W1983" i="19" s="1"/>
  <c r="T1983" i="19"/>
  <c r="U1982" i="19"/>
  <c r="W1982" i="19" s="1"/>
  <c r="T1982" i="19"/>
  <c r="U1981" i="19"/>
  <c r="W1981" i="19" s="1"/>
  <c r="T1981" i="19"/>
  <c r="U1980" i="19"/>
  <c r="W1980" i="19" s="1"/>
  <c r="T1980" i="19"/>
  <c r="U1979" i="19"/>
  <c r="W1979" i="19" s="1"/>
  <c r="T1979" i="19"/>
  <c r="U1978" i="19"/>
  <c r="W1978" i="19" s="1"/>
  <c r="T1978" i="19"/>
  <c r="U1977" i="19"/>
  <c r="W1977" i="19" s="1"/>
  <c r="T1977" i="19"/>
  <c r="U1976" i="19"/>
  <c r="W1976" i="19" s="1"/>
  <c r="T1976" i="19"/>
  <c r="U1975" i="19"/>
  <c r="W1975" i="19" s="1"/>
  <c r="T1975" i="19"/>
  <c r="U1974" i="19"/>
  <c r="W1974" i="19" s="1"/>
  <c r="T1974" i="19"/>
  <c r="U1973" i="19"/>
  <c r="W1973" i="19" s="1"/>
  <c r="T1973" i="19"/>
  <c r="U1972" i="19"/>
  <c r="W1972" i="19" s="1"/>
  <c r="T1972" i="19"/>
  <c r="U1971" i="19"/>
  <c r="W1971" i="19" s="1"/>
  <c r="T1971" i="19"/>
  <c r="U1970" i="19"/>
  <c r="W1970" i="19" s="1"/>
  <c r="T1970" i="19"/>
  <c r="U1969" i="19"/>
  <c r="W1969" i="19" s="1"/>
  <c r="T1969" i="19"/>
  <c r="U1968" i="19"/>
  <c r="W1968" i="19" s="1"/>
  <c r="T1968" i="19"/>
  <c r="U1967" i="19"/>
  <c r="W1967" i="19" s="1"/>
  <c r="T1967" i="19"/>
  <c r="F1967" i="19"/>
  <c r="U1966" i="19"/>
  <c r="W1966" i="19" s="1"/>
  <c r="T1966" i="19"/>
  <c r="U1965" i="19"/>
  <c r="W1965" i="19" s="1"/>
  <c r="T1965" i="19"/>
  <c r="U1964" i="19"/>
  <c r="W1964" i="19" s="1"/>
  <c r="T1964" i="19"/>
  <c r="U1963" i="19"/>
  <c r="W1963" i="19" s="1"/>
  <c r="T1963" i="19"/>
  <c r="U1962" i="19"/>
  <c r="W1962" i="19" s="1"/>
  <c r="T1962" i="19"/>
  <c r="U1961" i="19"/>
  <c r="W1961" i="19" s="1"/>
  <c r="T1961" i="19"/>
  <c r="U1960" i="19"/>
  <c r="W1960" i="19" s="1"/>
  <c r="T1960" i="19"/>
  <c r="U1959" i="19"/>
  <c r="W1959" i="19" s="1"/>
  <c r="T1959" i="19"/>
  <c r="U1958" i="19"/>
  <c r="W1958" i="19" s="1"/>
  <c r="T1958" i="19"/>
  <c r="U1957" i="19"/>
  <c r="W1957" i="19" s="1"/>
  <c r="T1957" i="19"/>
  <c r="U1956" i="19"/>
  <c r="W1956" i="19" s="1"/>
  <c r="T1956" i="19"/>
  <c r="U1955" i="19"/>
  <c r="W1955" i="19" s="1"/>
  <c r="T1955" i="19"/>
  <c r="U1954" i="19"/>
  <c r="W1954" i="19" s="1"/>
  <c r="T1954" i="19"/>
  <c r="F1954" i="19"/>
  <c r="U1953" i="19"/>
  <c r="W1953" i="19" s="1"/>
  <c r="T1953" i="19"/>
  <c r="F1953" i="19"/>
  <c r="U1952" i="19"/>
  <c r="W1952" i="19" s="1"/>
  <c r="T1952" i="19"/>
  <c r="U1951" i="19"/>
  <c r="W1951" i="19" s="1"/>
  <c r="T1951" i="19"/>
  <c r="U1950" i="19"/>
  <c r="W1950" i="19" s="1"/>
  <c r="T1950" i="19"/>
  <c r="U1949" i="19"/>
  <c r="W1949" i="19" s="1"/>
  <c r="T1949" i="19"/>
  <c r="U1948" i="19"/>
  <c r="W1948" i="19" s="1"/>
  <c r="T1948" i="19"/>
  <c r="U1947" i="19"/>
  <c r="W1947" i="19" s="1"/>
  <c r="T1947" i="19"/>
  <c r="F1947" i="19"/>
  <c r="U1946" i="19"/>
  <c r="W1946" i="19" s="1"/>
  <c r="T1946" i="19"/>
  <c r="U1945" i="19"/>
  <c r="W1945" i="19" s="1"/>
  <c r="T1945" i="19"/>
  <c r="U1944" i="19"/>
  <c r="W1944" i="19" s="1"/>
  <c r="T1944" i="19"/>
  <c r="U1943" i="19"/>
  <c r="W1943" i="19" s="1"/>
  <c r="T1943" i="19"/>
  <c r="U1942" i="19"/>
  <c r="W1942" i="19" s="1"/>
  <c r="T1942" i="19"/>
  <c r="U1941" i="19"/>
  <c r="W1941" i="19" s="1"/>
  <c r="T1941" i="19"/>
  <c r="F1941" i="19"/>
  <c r="U1940" i="19"/>
  <c r="W1940" i="19" s="1"/>
  <c r="T1940" i="19"/>
  <c r="U1939" i="19"/>
  <c r="W1939" i="19" s="1"/>
  <c r="T1939" i="19"/>
  <c r="U1938" i="19"/>
  <c r="W1938" i="19" s="1"/>
  <c r="T1938" i="19"/>
  <c r="U1937" i="19"/>
  <c r="W1937" i="19" s="1"/>
  <c r="T1937" i="19"/>
  <c r="U1936" i="19"/>
  <c r="W1936" i="19" s="1"/>
  <c r="T1936" i="19"/>
  <c r="W1935" i="19"/>
  <c r="U1935" i="19"/>
  <c r="T1935" i="19"/>
  <c r="U1934" i="19"/>
  <c r="W1934" i="19" s="1"/>
  <c r="T1934" i="19"/>
  <c r="F1934" i="19"/>
  <c r="U1933" i="19"/>
  <c r="W1933" i="19" s="1"/>
  <c r="T1933" i="19"/>
  <c r="U1932" i="19"/>
  <c r="W1932" i="19" s="1"/>
  <c r="T1932" i="19"/>
  <c r="U1931" i="19"/>
  <c r="W1931" i="19" s="1"/>
  <c r="T1931" i="19"/>
  <c r="F1931" i="19"/>
  <c r="U1930" i="19"/>
  <c r="W1930" i="19" s="1"/>
  <c r="T1930" i="19"/>
  <c r="W1929" i="19"/>
  <c r="U1929" i="19"/>
  <c r="T1929" i="19"/>
  <c r="U1928" i="19"/>
  <c r="W1928" i="19" s="1"/>
  <c r="T1928" i="19"/>
  <c r="U1927" i="19"/>
  <c r="W1927" i="19" s="1"/>
  <c r="T1927" i="19"/>
  <c r="U1926" i="19"/>
  <c r="W1926" i="19" s="1"/>
  <c r="T1926" i="19"/>
  <c r="U1925" i="19"/>
  <c r="W1925" i="19" s="1"/>
  <c r="T1925" i="19"/>
  <c r="U1924" i="19"/>
  <c r="W1924" i="19" s="1"/>
  <c r="T1924" i="19"/>
  <c r="U1923" i="19"/>
  <c r="W1923" i="19" s="1"/>
  <c r="T1923" i="19"/>
  <c r="F1923" i="19"/>
  <c r="U1922" i="19"/>
  <c r="W1922" i="19" s="1"/>
  <c r="T1922" i="19"/>
  <c r="U1921" i="19"/>
  <c r="W1921" i="19" s="1"/>
  <c r="T1921" i="19"/>
  <c r="U1920" i="19"/>
  <c r="W1920" i="19" s="1"/>
  <c r="T1920" i="19"/>
  <c r="U1919" i="19"/>
  <c r="W1919" i="19" s="1"/>
  <c r="T1919" i="19"/>
  <c r="U1918" i="19"/>
  <c r="W1918" i="19" s="1"/>
  <c r="T1918" i="19"/>
  <c r="W1917" i="19"/>
  <c r="U1917" i="19"/>
  <c r="T1917" i="19"/>
  <c r="U1916" i="19"/>
  <c r="W1916" i="19" s="1"/>
  <c r="T1916" i="19"/>
  <c r="U1915" i="19"/>
  <c r="W1915" i="19" s="1"/>
  <c r="T1915" i="19"/>
  <c r="U1914" i="19"/>
  <c r="W1914" i="19" s="1"/>
  <c r="T1914" i="19"/>
  <c r="U1913" i="19"/>
  <c r="W1913" i="19" s="1"/>
  <c r="T1913" i="19"/>
  <c r="U1912" i="19"/>
  <c r="W1912" i="19" s="1"/>
  <c r="T1912" i="19"/>
  <c r="U1911" i="19"/>
  <c r="W1911" i="19" s="1"/>
  <c r="T1911" i="19"/>
  <c r="U1910" i="19"/>
  <c r="W1910" i="19" s="1"/>
  <c r="T1910" i="19"/>
  <c r="U1909" i="19"/>
  <c r="W1909" i="19" s="1"/>
  <c r="T1909" i="19"/>
  <c r="U1908" i="19"/>
  <c r="W1908" i="19" s="1"/>
  <c r="T1908" i="19"/>
  <c r="U1907" i="19"/>
  <c r="W1907" i="19" s="1"/>
  <c r="T1907" i="19"/>
  <c r="U1906" i="19"/>
  <c r="W1906" i="19" s="1"/>
  <c r="T1906" i="19"/>
  <c r="F1906" i="19"/>
  <c r="U1905" i="19"/>
  <c r="W1905" i="19" s="1"/>
  <c r="T1905" i="19"/>
  <c r="U1904" i="19"/>
  <c r="W1904" i="19" s="1"/>
  <c r="T1904" i="19"/>
  <c r="F1904" i="19"/>
  <c r="U1903" i="19"/>
  <c r="W1903" i="19" s="1"/>
  <c r="T1903" i="19"/>
  <c r="U1902" i="19"/>
  <c r="W1902" i="19" s="1"/>
  <c r="T1902" i="19"/>
  <c r="U1901" i="19"/>
  <c r="W1901" i="19" s="1"/>
  <c r="T1901" i="19"/>
  <c r="U1900" i="19"/>
  <c r="W1900" i="19" s="1"/>
  <c r="T1900" i="19"/>
  <c r="U1899" i="19"/>
  <c r="W1899" i="19" s="1"/>
  <c r="T1899" i="19"/>
  <c r="F1899" i="19"/>
  <c r="U1898" i="19"/>
  <c r="W1898" i="19" s="1"/>
  <c r="T1898" i="19"/>
  <c r="U1897" i="19"/>
  <c r="W1897" i="19" s="1"/>
  <c r="T1897" i="19"/>
  <c r="U1896" i="19"/>
  <c r="W1896" i="19" s="1"/>
  <c r="T1896" i="19"/>
  <c r="F1896" i="19"/>
  <c r="U1895" i="19"/>
  <c r="W1895" i="19" s="1"/>
  <c r="T1895" i="19"/>
  <c r="U1894" i="19"/>
  <c r="W1894" i="19" s="1"/>
  <c r="T1894" i="19"/>
  <c r="U1893" i="19"/>
  <c r="W1893" i="19" s="1"/>
  <c r="T1893" i="19"/>
  <c r="U1892" i="19"/>
  <c r="W1892" i="19" s="1"/>
  <c r="T1892" i="19"/>
  <c r="U1891" i="19"/>
  <c r="W1891" i="19" s="1"/>
  <c r="T1891" i="19"/>
  <c r="U1890" i="19"/>
  <c r="W1890" i="19" s="1"/>
  <c r="T1890" i="19"/>
  <c r="U1889" i="19"/>
  <c r="W1889" i="19" s="1"/>
  <c r="T1889" i="19"/>
  <c r="U1888" i="19"/>
  <c r="W1888" i="19" s="1"/>
  <c r="T1888" i="19"/>
  <c r="U1887" i="19"/>
  <c r="W1887" i="19" s="1"/>
  <c r="T1887" i="19"/>
  <c r="U1886" i="19"/>
  <c r="W1886" i="19" s="1"/>
  <c r="T1886" i="19"/>
  <c r="U1885" i="19"/>
  <c r="W1885" i="19" s="1"/>
  <c r="T1885" i="19"/>
  <c r="U1884" i="19"/>
  <c r="W1884" i="19" s="1"/>
  <c r="T1884" i="19"/>
  <c r="U1883" i="19"/>
  <c r="W1883" i="19" s="1"/>
  <c r="T1883" i="19"/>
  <c r="F1883" i="19"/>
  <c r="U1882" i="19"/>
  <c r="W1882" i="19" s="1"/>
  <c r="T1882" i="19"/>
  <c r="U1881" i="19"/>
  <c r="W1881" i="19" s="1"/>
  <c r="T1881" i="19"/>
  <c r="W1880" i="19"/>
  <c r="U1880" i="19"/>
  <c r="T1880" i="19"/>
  <c r="U1879" i="19"/>
  <c r="W1879" i="19" s="1"/>
  <c r="T1879" i="19"/>
  <c r="U1878" i="19"/>
  <c r="W1878" i="19" s="1"/>
  <c r="T1878" i="19"/>
  <c r="U1877" i="19"/>
  <c r="W1877" i="19" s="1"/>
  <c r="T1877" i="19"/>
  <c r="U1876" i="19"/>
  <c r="W1876" i="19" s="1"/>
  <c r="T1876" i="19"/>
  <c r="U1875" i="19"/>
  <c r="W1875" i="19" s="1"/>
  <c r="T1875" i="19"/>
  <c r="U1874" i="19"/>
  <c r="W1874" i="19" s="1"/>
  <c r="T1874" i="19"/>
  <c r="U1873" i="19"/>
  <c r="W1873" i="19" s="1"/>
  <c r="T1873" i="19"/>
  <c r="U1872" i="19"/>
  <c r="W1872" i="19" s="1"/>
  <c r="T1872" i="19"/>
  <c r="U1871" i="19"/>
  <c r="W1871" i="19" s="1"/>
  <c r="T1871" i="19"/>
  <c r="U1870" i="19"/>
  <c r="W1870" i="19" s="1"/>
  <c r="T1870" i="19"/>
  <c r="U1869" i="19"/>
  <c r="W1869" i="19" s="1"/>
  <c r="T1869" i="19"/>
  <c r="U1868" i="19"/>
  <c r="W1868" i="19" s="1"/>
  <c r="T1868" i="19"/>
  <c r="U1867" i="19"/>
  <c r="W1867" i="19" s="1"/>
  <c r="T1867" i="19"/>
  <c r="U1866" i="19"/>
  <c r="W1866" i="19" s="1"/>
  <c r="T1866" i="19"/>
  <c r="U1865" i="19"/>
  <c r="W1865" i="19" s="1"/>
  <c r="T1865" i="19"/>
  <c r="U1864" i="19"/>
  <c r="W1864" i="19" s="1"/>
  <c r="T1864" i="19"/>
  <c r="U1863" i="19"/>
  <c r="W1863" i="19" s="1"/>
  <c r="T1863" i="19"/>
  <c r="F1863" i="19"/>
  <c r="U1862" i="19"/>
  <c r="W1862" i="19" s="1"/>
  <c r="T1862" i="19"/>
  <c r="U1861" i="19"/>
  <c r="W1861" i="19" s="1"/>
  <c r="T1861" i="19"/>
  <c r="U1860" i="19"/>
  <c r="W1860" i="19" s="1"/>
  <c r="T1860" i="19"/>
  <c r="U1859" i="19"/>
  <c r="W1859" i="19" s="1"/>
  <c r="T1859" i="19"/>
  <c r="W1858" i="19"/>
  <c r="U1858" i="19"/>
  <c r="T1858" i="19"/>
  <c r="F1858" i="19"/>
  <c r="U1857" i="19"/>
  <c r="W1857" i="19" s="1"/>
  <c r="T1857" i="19"/>
  <c r="U1856" i="19"/>
  <c r="W1856" i="19" s="1"/>
  <c r="T1856" i="19"/>
  <c r="U1855" i="19"/>
  <c r="W1855" i="19" s="1"/>
  <c r="T1855" i="19"/>
  <c r="U1854" i="19"/>
  <c r="W1854" i="19" s="1"/>
  <c r="T1854" i="19"/>
  <c r="U1853" i="19"/>
  <c r="W1853" i="19" s="1"/>
  <c r="T1853" i="19"/>
  <c r="W1852" i="19"/>
  <c r="U1852" i="19"/>
  <c r="T1852" i="19"/>
  <c r="U1851" i="19"/>
  <c r="W1851" i="19" s="1"/>
  <c r="T1851" i="19"/>
  <c r="F1851" i="19"/>
  <c r="U1850" i="19"/>
  <c r="W1850" i="19" s="1"/>
  <c r="T1850" i="19"/>
  <c r="U1849" i="19"/>
  <c r="W1849" i="19" s="1"/>
  <c r="T1849" i="19"/>
  <c r="U1848" i="19"/>
  <c r="W1848" i="19" s="1"/>
  <c r="T1848" i="19"/>
  <c r="U1847" i="19"/>
  <c r="W1847" i="19" s="1"/>
  <c r="T1847" i="19"/>
  <c r="U1846" i="19"/>
  <c r="W1846" i="19" s="1"/>
  <c r="T1846" i="19"/>
  <c r="U1845" i="19"/>
  <c r="W1845" i="19" s="1"/>
  <c r="T1845" i="19"/>
  <c r="U1844" i="19"/>
  <c r="W1844" i="19" s="1"/>
  <c r="T1844" i="19"/>
  <c r="U1843" i="19"/>
  <c r="W1843" i="19" s="1"/>
  <c r="T1843" i="19"/>
  <c r="U1842" i="19"/>
  <c r="W1842" i="19" s="1"/>
  <c r="T1842" i="19"/>
  <c r="U1841" i="19"/>
  <c r="W1841" i="19" s="1"/>
  <c r="T1841" i="19"/>
  <c r="U1840" i="19"/>
  <c r="W1840" i="19" s="1"/>
  <c r="T1840" i="19"/>
  <c r="U1839" i="19"/>
  <c r="W1839" i="19" s="1"/>
  <c r="T1839" i="19"/>
  <c r="U1838" i="19"/>
  <c r="W1838" i="19" s="1"/>
  <c r="T1838" i="19"/>
  <c r="U1837" i="19"/>
  <c r="W1837" i="19" s="1"/>
  <c r="T1837" i="19"/>
  <c r="U1836" i="19"/>
  <c r="W1836" i="19" s="1"/>
  <c r="T1836" i="19"/>
  <c r="U1835" i="19"/>
  <c r="W1834" i="19"/>
  <c r="U1834" i="19"/>
  <c r="T1834" i="19"/>
  <c r="U1833" i="19"/>
  <c r="W1833" i="19" s="1"/>
  <c r="T1833" i="19"/>
  <c r="U1832" i="19"/>
  <c r="W1832" i="19" s="1"/>
  <c r="T1832" i="19"/>
  <c r="U1831" i="19"/>
  <c r="W1831" i="19" s="1"/>
  <c r="T1831" i="19"/>
  <c r="U1830" i="19"/>
  <c r="W1830" i="19" s="1"/>
  <c r="T1830" i="19"/>
  <c r="U1829" i="19"/>
  <c r="W1829" i="19" s="1"/>
  <c r="T1829" i="19"/>
  <c r="U1828" i="19"/>
  <c r="W1828" i="19" s="1"/>
  <c r="T1828" i="19"/>
  <c r="U1827" i="19"/>
  <c r="W1827" i="19" s="1"/>
  <c r="T1827" i="19"/>
  <c r="F1827" i="19"/>
  <c r="U1826" i="19"/>
  <c r="W1826" i="19" s="1"/>
  <c r="T1826" i="19"/>
  <c r="W1825" i="19"/>
  <c r="U1825" i="19"/>
  <c r="T1825" i="19"/>
  <c r="F1825" i="19"/>
  <c r="U1824" i="19"/>
  <c r="W1824" i="19" s="1"/>
  <c r="T1824" i="19"/>
  <c r="W1823" i="19"/>
  <c r="U1823" i="19"/>
  <c r="T1823" i="19"/>
  <c r="U1822" i="19"/>
  <c r="W1822" i="19" s="1"/>
  <c r="T1822" i="19"/>
  <c r="U1821" i="19"/>
  <c r="W1821" i="19" s="1"/>
  <c r="T1821" i="19"/>
  <c r="U1820" i="19"/>
  <c r="W1820" i="19" s="1"/>
  <c r="T1820" i="19"/>
  <c r="U1819" i="19"/>
  <c r="W1819" i="19" s="1"/>
  <c r="T1819" i="19"/>
  <c r="U1818" i="19"/>
  <c r="W1818" i="19" s="1"/>
  <c r="T1818" i="19"/>
  <c r="U1817" i="19"/>
  <c r="W1817" i="19" s="1"/>
  <c r="T1817" i="19"/>
  <c r="U1816" i="19"/>
  <c r="W1816" i="19" s="1"/>
  <c r="T1816" i="19"/>
  <c r="U1815" i="19"/>
  <c r="W1815" i="19" s="1"/>
  <c r="T1815" i="19"/>
  <c r="U1814" i="19"/>
  <c r="W1814" i="19" s="1"/>
  <c r="T1814" i="19"/>
  <c r="U1813" i="19"/>
  <c r="W1813" i="19" s="1"/>
  <c r="T1813" i="19"/>
  <c r="U1812" i="19"/>
  <c r="W1812" i="19" s="1"/>
  <c r="T1812" i="19"/>
  <c r="U1811" i="19"/>
  <c r="W1811" i="19" s="1"/>
  <c r="T1811" i="19"/>
  <c r="U1810" i="19"/>
  <c r="W1810" i="19" s="1"/>
  <c r="T1810" i="19"/>
  <c r="U1809" i="19"/>
  <c r="W1809" i="19" s="1"/>
  <c r="T1809" i="19"/>
  <c r="U1808" i="19"/>
  <c r="W1808" i="19" s="1"/>
  <c r="T1808" i="19"/>
  <c r="U1807" i="19"/>
  <c r="W1807" i="19" s="1"/>
  <c r="T1807" i="19"/>
  <c r="U1806" i="19"/>
  <c r="W1806" i="19" s="1"/>
  <c r="T1806" i="19"/>
  <c r="U1805" i="19"/>
  <c r="W1805" i="19" s="1"/>
  <c r="T1805" i="19"/>
  <c r="U1804" i="19"/>
  <c r="W1804" i="19" s="1"/>
  <c r="T1804" i="19"/>
  <c r="F1804" i="19"/>
  <c r="U1803" i="19"/>
  <c r="W1803" i="19" s="1"/>
  <c r="T1803" i="19"/>
  <c r="U1802" i="19"/>
  <c r="W1802" i="19" s="1"/>
  <c r="T1802" i="19"/>
  <c r="U1801" i="19"/>
  <c r="W1801" i="19" s="1"/>
  <c r="T1801" i="19"/>
  <c r="W1800" i="19"/>
  <c r="U1800" i="19"/>
  <c r="T1800" i="19"/>
  <c r="F1800" i="19"/>
  <c r="U1799" i="19"/>
  <c r="W1799" i="19" s="1"/>
  <c r="T1799" i="19"/>
  <c r="U1798" i="19"/>
  <c r="W1798" i="19" s="1"/>
  <c r="T1798" i="19"/>
  <c r="U1797" i="19"/>
  <c r="W1797" i="19" s="1"/>
  <c r="T1797" i="19"/>
  <c r="U1796" i="19"/>
  <c r="W1796" i="19" s="1"/>
  <c r="T1796" i="19"/>
  <c r="U1795" i="19"/>
  <c r="W1795" i="19" s="1"/>
  <c r="T1795" i="19"/>
  <c r="U1794" i="19"/>
  <c r="W1794" i="19" s="1"/>
  <c r="T1794" i="19"/>
  <c r="U1793" i="19"/>
  <c r="W1793" i="19" s="1"/>
  <c r="T1793" i="19"/>
  <c r="U1792" i="19"/>
  <c r="W1792" i="19" s="1"/>
  <c r="T1792" i="19"/>
  <c r="F1792" i="19"/>
  <c r="U1791" i="19"/>
  <c r="W1791" i="19" s="1"/>
  <c r="T1791" i="19"/>
  <c r="F1791" i="19"/>
  <c r="U1790" i="19"/>
  <c r="W1790" i="19" s="1"/>
  <c r="T1790" i="19"/>
  <c r="W1789" i="19"/>
  <c r="U1789" i="19"/>
  <c r="T1789" i="19"/>
  <c r="U1788" i="19"/>
  <c r="W1788" i="19" s="1"/>
  <c r="T1788" i="19"/>
  <c r="U1787" i="19"/>
  <c r="W1787" i="19" s="1"/>
  <c r="T1787" i="19"/>
  <c r="U1786" i="19"/>
  <c r="W1786" i="19" s="1"/>
  <c r="T1786" i="19"/>
  <c r="U1785" i="19"/>
  <c r="W1785" i="19" s="1"/>
  <c r="T1785" i="19"/>
  <c r="U1784" i="19"/>
  <c r="W1784" i="19" s="1"/>
  <c r="T1784" i="19"/>
  <c r="U1783" i="19"/>
  <c r="W1783" i="19" s="1"/>
  <c r="T1783" i="19"/>
  <c r="U1782" i="19"/>
  <c r="W1782" i="19" s="1"/>
  <c r="T1782" i="19"/>
  <c r="U1781" i="19"/>
  <c r="W1781" i="19" s="1"/>
  <c r="T1781" i="19"/>
  <c r="U1780" i="19"/>
  <c r="W1780" i="19" s="1"/>
  <c r="T1780" i="19"/>
  <c r="U1779" i="19"/>
  <c r="W1779" i="19" s="1"/>
  <c r="T1779" i="19"/>
  <c r="U1778" i="19"/>
  <c r="W1778" i="19" s="1"/>
  <c r="T1778" i="19"/>
  <c r="U1777" i="19"/>
  <c r="W1777" i="19" s="1"/>
  <c r="T1777" i="19"/>
  <c r="U1776" i="19"/>
  <c r="W1776" i="19" s="1"/>
  <c r="T1776" i="19"/>
  <c r="U1775" i="19"/>
  <c r="W1775" i="19" s="1"/>
  <c r="T1775" i="19"/>
  <c r="U1774" i="19"/>
  <c r="W1774" i="19" s="1"/>
  <c r="T1774" i="19"/>
  <c r="U1773" i="19"/>
  <c r="W1773" i="19" s="1"/>
  <c r="T1773" i="19"/>
  <c r="F1773" i="19"/>
  <c r="U1772" i="19"/>
  <c r="W1772" i="19" s="1"/>
  <c r="T1772" i="19"/>
  <c r="U1771" i="19"/>
  <c r="W1771" i="19" s="1"/>
  <c r="T1771" i="19"/>
  <c r="U1770" i="19"/>
  <c r="W1770" i="19" s="1"/>
  <c r="T1770" i="19"/>
  <c r="U1769" i="19"/>
  <c r="W1769" i="19" s="1"/>
  <c r="T1769" i="19"/>
  <c r="U1768" i="19"/>
  <c r="W1768" i="19" s="1"/>
  <c r="T1768" i="19"/>
  <c r="U1767" i="19"/>
  <c r="W1767" i="19" s="1"/>
  <c r="T1767" i="19"/>
  <c r="U1766" i="19"/>
  <c r="W1766" i="19" s="1"/>
  <c r="T1766" i="19"/>
  <c r="U1765" i="19"/>
  <c r="W1765" i="19" s="1"/>
  <c r="T1765" i="19"/>
  <c r="U1764" i="19"/>
  <c r="W1764" i="19" s="1"/>
  <c r="T1764" i="19"/>
  <c r="U1763" i="19"/>
  <c r="W1763" i="19" s="1"/>
  <c r="T1763" i="19"/>
  <c r="U1762" i="19"/>
  <c r="W1762" i="19" s="1"/>
  <c r="T1762" i="19"/>
  <c r="F1762" i="19"/>
  <c r="U1761" i="19"/>
  <c r="W1761" i="19" s="1"/>
  <c r="T1761" i="19"/>
  <c r="U1760" i="19"/>
  <c r="W1760" i="19" s="1"/>
  <c r="T1760" i="19"/>
  <c r="U1759" i="19"/>
  <c r="W1759" i="19" s="1"/>
  <c r="T1759" i="19"/>
  <c r="U1758" i="19"/>
  <c r="W1758" i="19" s="1"/>
  <c r="T1758" i="19"/>
  <c r="U1757" i="19"/>
  <c r="W1757" i="19" s="1"/>
  <c r="T1757" i="19"/>
  <c r="U1756" i="19"/>
  <c r="W1756" i="19" s="1"/>
  <c r="T1756" i="19"/>
  <c r="U1755" i="19"/>
  <c r="W1755" i="19" s="1"/>
  <c r="T1755" i="19"/>
  <c r="U1754" i="19"/>
  <c r="W1754" i="19" s="1"/>
  <c r="T1754" i="19"/>
  <c r="U1753" i="19"/>
  <c r="W1753" i="19" s="1"/>
  <c r="T1753" i="19"/>
  <c r="W1752" i="19"/>
  <c r="U1752" i="19"/>
  <c r="T1752" i="19"/>
  <c r="U1751" i="19"/>
  <c r="W1751" i="19" s="1"/>
  <c r="T1751" i="19"/>
  <c r="U1750" i="19"/>
  <c r="W1750" i="19" s="1"/>
  <c r="T1750" i="19"/>
  <c r="U1749" i="19"/>
  <c r="W1749" i="19" s="1"/>
  <c r="T1749" i="19"/>
  <c r="U1748" i="19"/>
  <c r="W1748" i="19" s="1"/>
  <c r="T1748" i="19"/>
  <c r="U1747" i="19"/>
  <c r="W1747" i="19" s="1"/>
  <c r="T1747" i="19"/>
  <c r="W1746" i="19"/>
  <c r="U1746" i="19"/>
  <c r="T1746" i="19"/>
  <c r="F1746" i="19"/>
  <c r="U1745" i="19"/>
  <c r="W1745" i="19" s="1"/>
  <c r="T1745" i="19"/>
  <c r="U1744" i="19"/>
  <c r="W1744" i="19" s="1"/>
  <c r="T1744" i="19"/>
  <c r="U1743" i="19"/>
  <c r="W1743" i="19" s="1"/>
  <c r="T1743" i="19"/>
  <c r="U1742" i="19"/>
  <c r="W1742" i="19" s="1"/>
  <c r="T1742" i="19"/>
  <c r="F1742" i="19"/>
  <c r="U1741" i="19"/>
  <c r="W1741" i="19" s="1"/>
  <c r="T1741" i="19"/>
  <c r="U1740" i="19"/>
  <c r="W1740" i="19" s="1"/>
  <c r="T1740" i="19"/>
  <c r="U1739" i="19"/>
  <c r="W1739" i="19" s="1"/>
  <c r="T1739" i="19"/>
  <c r="F1739" i="19"/>
  <c r="U1738" i="19"/>
  <c r="W1738" i="19" s="1"/>
  <c r="T1738" i="19"/>
  <c r="F1738" i="19"/>
  <c r="U1737" i="19"/>
  <c r="W1737" i="19" s="1"/>
  <c r="T1737" i="19"/>
  <c r="F1737" i="19"/>
  <c r="U1736" i="19"/>
  <c r="W1736" i="19" s="1"/>
  <c r="T1736" i="19"/>
  <c r="U1735" i="19"/>
  <c r="W1735" i="19" s="1"/>
  <c r="T1735" i="19"/>
  <c r="U1734" i="19"/>
  <c r="W1734" i="19" s="1"/>
  <c r="T1734" i="19"/>
  <c r="U1733" i="19"/>
  <c r="W1733" i="19" s="1"/>
  <c r="T1733" i="19"/>
  <c r="U1732" i="19"/>
  <c r="W1732" i="19" s="1"/>
  <c r="T1732" i="19"/>
  <c r="U1731" i="19"/>
  <c r="W1731" i="19" s="1"/>
  <c r="T1731" i="19"/>
  <c r="U1730" i="19"/>
  <c r="W1730" i="19" s="1"/>
  <c r="T1730" i="19"/>
  <c r="U1729" i="19"/>
  <c r="W1729" i="19" s="1"/>
  <c r="T1729" i="19"/>
  <c r="U1728" i="19"/>
  <c r="W1728" i="19" s="1"/>
  <c r="T1728" i="19"/>
  <c r="U1727" i="19"/>
  <c r="W1727" i="19" s="1"/>
  <c r="T1727" i="19"/>
  <c r="U1726" i="19"/>
  <c r="W1726" i="19" s="1"/>
  <c r="T1726" i="19"/>
  <c r="U1725" i="19"/>
  <c r="W1725" i="19" s="1"/>
  <c r="T1725" i="19"/>
  <c r="W1724" i="19"/>
  <c r="U1724" i="19"/>
  <c r="T1724" i="19"/>
  <c r="U1723" i="19"/>
  <c r="W1723" i="19" s="1"/>
  <c r="T1723" i="19"/>
  <c r="U1722" i="19"/>
  <c r="W1722" i="19" s="1"/>
  <c r="T1722" i="19"/>
  <c r="U1721" i="19"/>
  <c r="W1721" i="19" s="1"/>
  <c r="T1721" i="19"/>
  <c r="U1720" i="19"/>
  <c r="W1720" i="19" s="1"/>
  <c r="T1720" i="19"/>
  <c r="U1719" i="19"/>
  <c r="W1719" i="19" s="1"/>
  <c r="T1719" i="19"/>
  <c r="U1718" i="19"/>
  <c r="W1718" i="19" s="1"/>
  <c r="T1718" i="19"/>
  <c r="U1717" i="19"/>
  <c r="W1717" i="19" s="1"/>
  <c r="T1717" i="19"/>
  <c r="U1716" i="19"/>
  <c r="W1716" i="19" s="1"/>
  <c r="T1716" i="19"/>
  <c r="U1715" i="19"/>
  <c r="W1715" i="19" s="1"/>
  <c r="T1715" i="19"/>
  <c r="U1714" i="19"/>
  <c r="W1714" i="19" s="1"/>
  <c r="T1714" i="19"/>
  <c r="U1713" i="19"/>
  <c r="W1713" i="19" s="1"/>
  <c r="T1713" i="19"/>
  <c r="U1712" i="19"/>
  <c r="W1712" i="19" s="1"/>
  <c r="T1712" i="19"/>
  <c r="U1711" i="19"/>
  <c r="W1711" i="19" s="1"/>
  <c r="T1711" i="19"/>
  <c r="W1710" i="19"/>
  <c r="U1710" i="19"/>
  <c r="T1710" i="19"/>
  <c r="U1709" i="19"/>
  <c r="W1709" i="19" s="1"/>
  <c r="T1709" i="19"/>
  <c r="U1708" i="19"/>
  <c r="W1708" i="19" s="1"/>
  <c r="T1708" i="19"/>
  <c r="U1707" i="19"/>
  <c r="W1707" i="19" s="1"/>
  <c r="T1707" i="19"/>
  <c r="U1706" i="19"/>
  <c r="W1706" i="19" s="1"/>
  <c r="T1706" i="19"/>
  <c r="U1705" i="19"/>
  <c r="W1705" i="19" s="1"/>
  <c r="T1705" i="19"/>
  <c r="U1704" i="19"/>
  <c r="W1704" i="19" s="1"/>
  <c r="T1704" i="19"/>
  <c r="W1703" i="19"/>
  <c r="U1703" i="19"/>
  <c r="T1703" i="19"/>
  <c r="U1702" i="19"/>
  <c r="W1702" i="19" s="1"/>
  <c r="T1702" i="19"/>
  <c r="U1701" i="19"/>
  <c r="W1701" i="19" s="1"/>
  <c r="T1701" i="19"/>
  <c r="U1700" i="19"/>
  <c r="W1700" i="19" s="1"/>
  <c r="T1700" i="19"/>
  <c r="U1699" i="19"/>
  <c r="W1699" i="19" s="1"/>
  <c r="T1699" i="19"/>
  <c r="U1698" i="19"/>
  <c r="W1698" i="19" s="1"/>
  <c r="T1698" i="19"/>
  <c r="U1697" i="19"/>
  <c r="W1697" i="19" s="1"/>
  <c r="T1697" i="19"/>
  <c r="U1696" i="19"/>
  <c r="W1696" i="19" s="1"/>
  <c r="T1696" i="19"/>
  <c r="U1695" i="19"/>
  <c r="W1695" i="19" s="1"/>
  <c r="T1695" i="19"/>
  <c r="U1694" i="19"/>
  <c r="W1694" i="19" s="1"/>
  <c r="T1694" i="19"/>
  <c r="U1693" i="19"/>
  <c r="W1693" i="19" s="1"/>
  <c r="T1693" i="19"/>
  <c r="W1692" i="19"/>
  <c r="U1692" i="19"/>
  <c r="T1692" i="19"/>
  <c r="U1691" i="19"/>
  <c r="W1691" i="19" s="1"/>
  <c r="T1691" i="19"/>
  <c r="U1690" i="19"/>
  <c r="W1690" i="19" s="1"/>
  <c r="T1690" i="19"/>
  <c r="U1689" i="19"/>
  <c r="W1689" i="19" s="1"/>
  <c r="T1689" i="19"/>
  <c r="U1688" i="19"/>
  <c r="W1688" i="19" s="1"/>
  <c r="T1688" i="19"/>
  <c r="F1688" i="19"/>
  <c r="U1687" i="19"/>
  <c r="W1687" i="19" s="1"/>
  <c r="T1687" i="19"/>
  <c r="W1686" i="19"/>
  <c r="U1686" i="19"/>
  <c r="T1686" i="19"/>
  <c r="U1685" i="19"/>
  <c r="W1685" i="19" s="1"/>
  <c r="T1685" i="19"/>
  <c r="U1684" i="19"/>
  <c r="W1684" i="19" s="1"/>
  <c r="T1684" i="19"/>
  <c r="U1683" i="19"/>
  <c r="W1683" i="19" s="1"/>
  <c r="T1683" i="19"/>
  <c r="U1682" i="19"/>
  <c r="W1682" i="19" s="1"/>
  <c r="T1682" i="19"/>
  <c r="U1681" i="19"/>
  <c r="W1681" i="19" s="1"/>
  <c r="T1681" i="19"/>
  <c r="U1680" i="19"/>
  <c r="W1680" i="19" s="1"/>
  <c r="T1680" i="19"/>
  <c r="U1679" i="19"/>
  <c r="W1679" i="19" s="1"/>
  <c r="T1679" i="19"/>
  <c r="U1678" i="19"/>
  <c r="W1678" i="19" s="1"/>
  <c r="T1678" i="19"/>
  <c r="U1677" i="19"/>
  <c r="W1677" i="19" s="1"/>
  <c r="T1677" i="19"/>
  <c r="U1676" i="19"/>
  <c r="W1676" i="19" s="1"/>
  <c r="T1676" i="19"/>
  <c r="U1675" i="19"/>
  <c r="W1675" i="19" s="1"/>
  <c r="T1675" i="19"/>
  <c r="U1674" i="19"/>
  <c r="W1674" i="19" s="1"/>
  <c r="T1674" i="19"/>
  <c r="U1673" i="19"/>
  <c r="W1673" i="19" s="1"/>
  <c r="T1673" i="19"/>
  <c r="U1672" i="19"/>
  <c r="W1672" i="19" s="1"/>
  <c r="T1672" i="19"/>
  <c r="U1671" i="19"/>
  <c r="W1671" i="19" s="1"/>
  <c r="T1671" i="19"/>
  <c r="U1670" i="19"/>
  <c r="W1670" i="19" s="1"/>
  <c r="T1670" i="19"/>
  <c r="U1669" i="19"/>
  <c r="W1669" i="19" s="1"/>
  <c r="T1669" i="19"/>
  <c r="U1668" i="19"/>
  <c r="W1668" i="19" s="1"/>
  <c r="T1668" i="19"/>
  <c r="U1667" i="19"/>
  <c r="W1667" i="19" s="1"/>
  <c r="T1667" i="19"/>
  <c r="U1666" i="19"/>
  <c r="W1666" i="19" s="1"/>
  <c r="T1666" i="19"/>
  <c r="U1665" i="19"/>
  <c r="W1665" i="19" s="1"/>
  <c r="T1665" i="19"/>
  <c r="U1664" i="19"/>
  <c r="W1664" i="19" s="1"/>
  <c r="T1664" i="19"/>
  <c r="U1663" i="19"/>
  <c r="W1663" i="19" s="1"/>
  <c r="T1663" i="19"/>
  <c r="U1662" i="19"/>
  <c r="W1662" i="19" s="1"/>
  <c r="T1662" i="19"/>
  <c r="U1661" i="19"/>
  <c r="W1661" i="19" s="1"/>
  <c r="T1661" i="19"/>
  <c r="U1660" i="19"/>
  <c r="W1660" i="19" s="1"/>
  <c r="T1660" i="19"/>
  <c r="U1659" i="19"/>
  <c r="W1659" i="19" s="1"/>
  <c r="T1659" i="19"/>
  <c r="U1658" i="19"/>
  <c r="W1658" i="19" s="1"/>
  <c r="T1658" i="19"/>
  <c r="U1657" i="19"/>
  <c r="W1657" i="19" s="1"/>
  <c r="T1657" i="19"/>
  <c r="U1656" i="19"/>
  <c r="W1656" i="19" s="1"/>
  <c r="T1656" i="19"/>
  <c r="U1655" i="19"/>
  <c r="W1655" i="19" s="1"/>
  <c r="T1655" i="19"/>
  <c r="U1654" i="19"/>
  <c r="W1654" i="19" s="1"/>
  <c r="T1654" i="19"/>
  <c r="U1653" i="19"/>
  <c r="W1653" i="19" s="1"/>
  <c r="T1653" i="19"/>
  <c r="U1652" i="19"/>
  <c r="W1652" i="19" s="1"/>
  <c r="T1652" i="19"/>
  <c r="U1651" i="19"/>
  <c r="W1651" i="19" s="1"/>
  <c r="T1651" i="19"/>
  <c r="U1650" i="19"/>
  <c r="W1650" i="19" s="1"/>
  <c r="T1650" i="19"/>
  <c r="U1649" i="19"/>
  <c r="W1649" i="19" s="1"/>
  <c r="T1649" i="19"/>
  <c r="U1648" i="19"/>
  <c r="W1648" i="19" s="1"/>
  <c r="T1648" i="19"/>
  <c r="U1647" i="19"/>
  <c r="W1647" i="19" s="1"/>
  <c r="T1647" i="19"/>
  <c r="U1646" i="19"/>
  <c r="W1646" i="19" s="1"/>
  <c r="T1646" i="19"/>
  <c r="U1645" i="19"/>
  <c r="W1645" i="19" s="1"/>
  <c r="T1645" i="19"/>
  <c r="U1644" i="19"/>
  <c r="W1644" i="19" s="1"/>
  <c r="T1644" i="19"/>
  <c r="U1643" i="19"/>
  <c r="W1643" i="19" s="1"/>
  <c r="T1643" i="19"/>
  <c r="U1642" i="19"/>
  <c r="W1642" i="19" s="1"/>
  <c r="T1642" i="19"/>
  <c r="U1641" i="19"/>
  <c r="W1641" i="19" s="1"/>
  <c r="T1641" i="19"/>
  <c r="U1640" i="19"/>
  <c r="W1640" i="19" s="1"/>
  <c r="T1640" i="19"/>
  <c r="W1639" i="19"/>
  <c r="U1639" i="19"/>
  <c r="T1639" i="19"/>
  <c r="U1638" i="19"/>
  <c r="W1638" i="19" s="1"/>
  <c r="T1638" i="19"/>
  <c r="U1637" i="19"/>
  <c r="W1637" i="19" s="1"/>
  <c r="T1637" i="19"/>
  <c r="U1636" i="19"/>
  <c r="W1636" i="19" s="1"/>
  <c r="T1636" i="19"/>
  <c r="U1635" i="19"/>
  <c r="W1635" i="19" s="1"/>
  <c r="T1635" i="19"/>
  <c r="W1634" i="19"/>
  <c r="U1634" i="19"/>
  <c r="T1634" i="19"/>
  <c r="U1633" i="19"/>
  <c r="W1633" i="19" s="1"/>
  <c r="T1633" i="19"/>
  <c r="U1632" i="19"/>
  <c r="W1632" i="19" s="1"/>
  <c r="T1632" i="19"/>
  <c r="U1631" i="19"/>
  <c r="W1631" i="19" s="1"/>
  <c r="T1631" i="19"/>
  <c r="U1630" i="19"/>
  <c r="W1630" i="19" s="1"/>
  <c r="T1630" i="19"/>
  <c r="U1629" i="19"/>
  <c r="W1629" i="19" s="1"/>
  <c r="T1629" i="19"/>
  <c r="U1628" i="19"/>
  <c r="W1628" i="19" s="1"/>
  <c r="T1628" i="19"/>
  <c r="U1627" i="19"/>
  <c r="W1627" i="19" s="1"/>
  <c r="T1627" i="19"/>
  <c r="U1626" i="19"/>
  <c r="W1626" i="19" s="1"/>
  <c r="T1626" i="19"/>
  <c r="U1625" i="19"/>
  <c r="W1625" i="19" s="1"/>
  <c r="T1625" i="19"/>
  <c r="U1624" i="19"/>
  <c r="W1624" i="19" s="1"/>
  <c r="T1624" i="19"/>
  <c r="U1623" i="19"/>
  <c r="W1623" i="19" s="1"/>
  <c r="T1623" i="19"/>
  <c r="W1622" i="19"/>
  <c r="U1622" i="19"/>
  <c r="T1622" i="19"/>
  <c r="U1621" i="19"/>
  <c r="W1621" i="19" s="1"/>
  <c r="T1621" i="19"/>
  <c r="U1620" i="19"/>
  <c r="W1620" i="19" s="1"/>
  <c r="T1620" i="19"/>
  <c r="U1619" i="19"/>
  <c r="W1619" i="19" s="1"/>
  <c r="T1619" i="19"/>
  <c r="U1618" i="19"/>
  <c r="W1618" i="19" s="1"/>
  <c r="T1618" i="19"/>
  <c r="U1617" i="19"/>
  <c r="W1617" i="19" s="1"/>
  <c r="T1617" i="19"/>
  <c r="U1616" i="19"/>
  <c r="W1616" i="19" s="1"/>
  <c r="T1616" i="19"/>
  <c r="U1615" i="19"/>
  <c r="W1615" i="19" s="1"/>
  <c r="T1615" i="19"/>
  <c r="U1614" i="19"/>
  <c r="W1614" i="19" s="1"/>
  <c r="T1614" i="19"/>
  <c r="U1613" i="19"/>
  <c r="W1613" i="19" s="1"/>
  <c r="T1613" i="19"/>
  <c r="U1612" i="19"/>
  <c r="W1612" i="19" s="1"/>
  <c r="T1612" i="19"/>
  <c r="F1612" i="19"/>
  <c r="U1611" i="19"/>
  <c r="W1611" i="19" s="1"/>
  <c r="T1611" i="19"/>
  <c r="U1610" i="19"/>
  <c r="W1610" i="19" s="1"/>
  <c r="T1610" i="19"/>
  <c r="U1609" i="19"/>
  <c r="W1609" i="19" s="1"/>
  <c r="T1609" i="19"/>
  <c r="U1608" i="19"/>
  <c r="W1608" i="19" s="1"/>
  <c r="T1608" i="19"/>
  <c r="U1607" i="19"/>
  <c r="W1607" i="19" s="1"/>
  <c r="T1607" i="19"/>
  <c r="F1607" i="19"/>
  <c r="U1606" i="19"/>
  <c r="W1606" i="19" s="1"/>
  <c r="T1606" i="19"/>
  <c r="U1605" i="19"/>
  <c r="W1605" i="19" s="1"/>
  <c r="T1605" i="19"/>
  <c r="U1604" i="19"/>
  <c r="W1604" i="19" s="1"/>
  <c r="T1604" i="19"/>
  <c r="U1603" i="19"/>
  <c r="W1603" i="19" s="1"/>
  <c r="T1603" i="19"/>
  <c r="U1602" i="19"/>
  <c r="W1602" i="19" s="1"/>
  <c r="T1602" i="19"/>
  <c r="U1601" i="19"/>
  <c r="W1601" i="19" s="1"/>
  <c r="U1600" i="19"/>
  <c r="W1600" i="19" s="1"/>
  <c r="T1600" i="19"/>
  <c r="W1599" i="19"/>
  <c r="U1599" i="19"/>
  <c r="T1599" i="19"/>
  <c r="U1598" i="19"/>
  <c r="W1598" i="19" s="1"/>
  <c r="T1598" i="19"/>
  <c r="U1597" i="19"/>
  <c r="W1597" i="19" s="1"/>
  <c r="T1597" i="19"/>
  <c r="U1596" i="19"/>
  <c r="W1596" i="19" s="1"/>
  <c r="T1596" i="19"/>
  <c r="U1595" i="19"/>
  <c r="W1595" i="19" s="1"/>
  <c r="T1595" i="19"/>
  <c r="W1594" i="19"/>
  <c r="U1594" i="19"/>
  <c r="T1594" i="19"/>
  <c r="U1593" i="19"/>
  <c r="W1593" i="19" s="1"/>
  <c r="T1593" i="19"/>
  <c r="U1592" i="19"/>
  <c r="W1592" i="19" s="1"/>
  <c r="T1592" i="19"/>
  <c r="U1591" i="19"/>
  <c r="W1591" i="19" s="1"/>
  <c r="T1591" i="19"/>
  <c r="U1590" i="19"/>
  <c r="W1590" i="19" s="1"/>
  <c r="T1590" i="19"/>
  <c r="U1589" i="19"/>
  <c r="W1589" i="19" s="1"/>
  <c r="T1589" i="19"/>
  <c r="U1588" i="19"/>
  <c r="W1588" i="19" s="1"/>
  <c r="T1588" i="19"/>
  <c r="F1588" i="19"/>
  <c r="U1587" i="19"/>
  <c r="W1587" i="19" s="1"/>
  <c r="T1587" i="19"/>
  <c r="U1586" i="19"/>
  <c r="W1586" i="19" s="1"/>
  <c r="T1586" i="19"/>
  <c r="U1585" i="19"/>
  <c r="W1585" i="19" s="1"/>
  <c r="T1585" i="19"/>
  <c r="U1584" i="19"/>
  <c r="W1584" i="19" s="1"/>
  <c r="T1584" i="19"/>
  <c r="U1583" i="19"/>
  <c r="W1583" i="19" s="1"/>
  <c r="T1583" i="19"/>
  <c r="W1582" i="19"/>
  <c r="U1582" i="19"/>
  <c r="T1582" i="19"/>
  <c r="W1581" i="19"/>
  <c r="U1581" i="19"/>
  <c r="T1581" i="19"/>
  <c r="U1580" i="19"/>
  <c r="W1580" i="19" s="1"/>
  <c r="T1580" i="19"/>
  <c r="U1579" i="19"/>
  <c r="W1579" i="19" s="1"/>
  <c r="T1579" i="19"/>
  <c r="U1578" i="19"/>
  <c r="W1578" i="19" s="1"/>
  <c r="T1578" i="19"/>
  <c r="W1577" i="19"/>
  <c r="U1577" i="19"/>
  <c r="T1577" i="19"/>
  <c r="U1576" i="19"/>
  <c r="W1576" i="19" s="1"/>
  <c r="T1576" i="19"/>
  <c r="U1575" i="19"/>
  <c r="W1575" i="19" s="1"/>
  <c r="T1575" i="19"/>
  <c r="U1574" i="19"/>
  <c r="W1574" i="19" s="1"/>
  <c r="T1574" i="19"/>
  <c r="U1573" i="19"/>
  <c r="W1573" i="19" s="1"/>
  <c r="T1573" i="19"/>
  <c r="F1573" i="19"/>
  <c r="U1572" i="19"/>
  <c r="W1572" i="19" s="1"/>
  <c r="T1572" i="19"/>
  <c r="U1571" i="19"/>
  <c r="W1571" i="19" s="1"/>
  <c r="T1571" i="19"/>
  <c r="U1570" i="19"/>
  <c r="W1570" i="19" s="1"/>
  <c r="T1570" i="19"/>
  <c r="U1569" i="19"/>
  <c r="W1569" i="19" s="1"/>
  <c r="T1569" i="19"/>
  <c r="U1568" i="19"/>
  <c r="W1568" i="19" s="1"/>
  <c r="T1568" i="19"/>
  <c r="U1567" i="19"/>
  <c r="W1567" i="19" s="1"/>
  <c r="T1567" i="19"/>
  <c r="U1566" i="19"/>
  <c r="W1566" i="19" s="1"/>
  <c r="T1566" i="19"/>
  <c r="U1565" i="19"/>
  <c r="W1565" i="19" s="1"/>
  <c r="T1565" i="19"/>
  <c r="U1564" i="19"/>
  <c r="W1564" i="19" s="1"/>
  <c r="T1564" i="19"/>
  <c r="U1563" i="19"/>
  <c r="W1563" i="19" s="1"/>
  <c r="T1563" i="19"/>
  <c r="U1562" i="19"/>
  <c r="W1562" i="19" s="1"/>
  <c r="T1562" i="19"/>
  <c r="U1561" i="19"/>
  <c r="W1561" i="19" s="1"/>
  <c r="T1561" i="19"/>
  <c r="U1560" i="19"/>
  <c r="W1560" i="19" s="1"/>
  <c r="T1560" i="19"/>
  <c r="U1559" i="19"/>
  <c r="W1559" i="19" s="1"/>
  <c r="T1559" i="19"/>
  <c r="U1558" i="19"/>
  <c r="W1558" i="19" s="1"/>
  <c r="T1558" i="19"/>
  <c r="U1557" i="19"/>
  <c r="W1557" i="19" s="1"/>
  <c r="T1557" i="19"/>
  <c r="U1556" i="19"/>
  <c r="W1556" i="19" s="1"/>
  <c r="T1556" i="19"/>
  <c r="U1555" i="19"/>
  <c r="W1555" i="19" s="1"/>
  <c r="T1555" i="19"/>
  <c r="U1554" i="19"/>
  <c r="W1554" i="19" s="1"/>
  <c r="T1554" i="19"/>
  <c r="U1553" i="19"/>
  <c r="W1553" i="19" s="1"/>
  <c r="T1553" i="19"/>
  <c r="U1552" i="19"/>
  <c r="W1552" i="19" s="1"/>
  <c r="T1552" i="19"/>
  <c r="W1551" i="19"/>
  <c r="U1551" i="19"/>
  <c r="T1551" i="19"/>
  <c r="U1550" i="19"/>
  <c r="W1550" i="19" s="1"/>
  <c r="T1550" i="19"/>
  <c r="U1549" i="19"/>
  <c r="W1549" i="19" s="1"/>
  <c r="T1549" i="19"/>
  <c r="U1548" i="19"/>
  <c r="W1548" i="19" s="1"/>
  <c r="T1548" i="19"/>
  <c r="U1547" i="19"/>
  <c r="W1547" i="19" s="1"/>
  <c r="T1547" i="19"/>
  <c r="F1547" i="19"/>
  <c r="W1546" i="19"/>
  <c r="U1546" i="19"/>
  <c r="T1546" i="19"/>
  <c r="U1545" i="19"/>
  <c r="W1545" i="19" s="1"/>
  <c r="T1545" i="19"/>
  <c r="U1544" i="19"/>
  <c r="W1544" i="19" s="1"/>
  <c r="T1544" i="19"/>
  <c r="U1543" i="19"/>
  <c r="W1543" i="19" s="1"/>
  <c r="T1543" i="19"/>
  <c r="U1542" i="19"/>
  <c r="W1542" i="19" s="1"/>
  <c r="T1542" i="19"/>
  <c r="F1542" i="19"/>
  <c r="U1541" i="19"/>
  <c r="W1541" i="19" s="1"/>
  <c r="T1541" i="19"/>
  <c r="U1540" i="19"/>
  <c r="W1540" i="19" s="1"/>
  <c r="T1540" i="19"/>
  <c r="F1540" i="19"/>
  <c r="U1539" i="19"/>
  <c r="W1539" i="19" s="1"/>
  <c r="T1539" i="19"/>
  <c r="U1538" i="19"/>
  <c r="W1538" i="19" s="1"/>
  <c r="T1538" i="19"/>
  <c r="U1537" i="19"/>
  <c r="W1537" i="19" s="1"/>
  <c r="T1537" i="19"/>
  <c r="F1537" i="19"/>
  <c r="U1536" i="19"/>
  <c r="W1536" i="19" s="1"/>
  <c r="T1536" i="19"/>
  <c r="U1535" i="19"/>
  <c r="W1535" i="19" s="1"/>
  <c r="T1535" i="19"/>
  <c r="U1534" i="19"/>
  <c r="W1534" i="19" s="1"/>
  <c r="T1534" i="19"/>
  <c r="U1533" i="19"/>
  <c r="W1533" i="19" s="1"/>
  <c r="T1533" i="19"/>
  <c r="U1532" i="19"/>
  <c r="W1532" i="19" s="1"/>
  <c r="T1532" i="19"/>
  <c r="U1531" i="19"/>
  <c r="W1531" i="19" s="1"/>
  <c r="T1531" i="19"/>
  <c r="U1530" i="19"/>
  <c r="W1530" i="19" s="1"/>
  <c r="T1530" i="19"/>
  <c r="W1529" i="19"/>
  <c r="U1529" i="19"/>
  <c r="T1529" i="19"/>
  <c r="U1528" i="19"/>
  <c r="W1528" i="19" s="1"/>
  <c r="T1528" i="19"/>
  <c r="U1527" i="19"/>
  <c r="W1527" i="19" s="1"/>
  <c r="T1527" i="19"/>
  <c r="U1526" i="19"/>
  <c r="W1526" i="19" s="1"/>
  <c r="T1526" i="19"/>
  <c r="U1525" i="19"/>
  <c r="W1525" i="19" s="1"/>
  <c r="T1525" i="19"/>
  <c r="U1524" i="19"/>
  <c r="W1524" i="19" s="1"/>
  <c r="T1524" i="19"/>
  <c r="U1523" i="19"/>
  <c r="W1523" i="19" s="1"/>
  <c r="T1523" i="19"/>
  <c r="U1522" i="19"/>
  <c r="W1522" i="19" s="1"/>
  <c r="T1522" i="19"/>
  <c r="W1521" i="19"/>
  <c r="U1521" i="19"/>
  <c r="T1521" i="19"/>
  <c r="U1520" i="19"/>
  <c r="W1520" i="19" s="1"/>
  <c r="T1520" i="19"/>
  <c r="U1519" i="19"/>
  <c r="W1519" i="19" s="1"/>
  <c r="T1519" i="19"/>
  <c r="U1518" i="19"/>
  <c r="W1518" i="19" s="1"/>
  <c r="T1518" i="19"/>
  <c r="U1517" i="19"/>
  <c r="W1517" i="19" s="1"/>
  <c r="T1517" i="19"/>
  <c r="U1516" i="19"/>
  <c r="W1516" i="19" s="1"/>
  <c r="T1516" i="19"/>
  <c r="U1515" i="19"/>
  <c r="W1515" i="19" s="1"/>
  <c r="T1515" i="19"/>
  <c r="U1514" i="19"/>
  <c r="W1514" i="19" s="1"/>
  <c r="T1514" i="19"/>
  <c r="U1513" i="19"/>
  <c r="W1513" i="19" s="1"/>
  <c r="T1513" i="19"/>
  <c r="U1512" i="19"/>
  <c r="W1512" i="19" s="1"/>
  <c r="T1512" i="19"/>
  <c r="U1511" i="19"/>
  <c r="W1511" i="19" s="1"/>
  <c r="T1511" i="19"/>
  <c r="U1510" i="19"/>
  <c r="W1510" i="19" s="1"/>
  <c r="T1510" i="19"/>
  <c r="U1509" i="19"/>
  <c r="W1509" i="19" s="1"/>
  <c r="T1509" i="19"/>
  <c r="U1508" i="19"/>
  <c r="W1508" i="19" s="1"/>
  <c r="T1508" i="19"/>
  <c r="U1507" i="19"/>
  <c r="W1507" i="19" s="1"/>
  <c r="T1507" i="19"/>
  <c r="U1506" i="19"/>
  <c r="W1506" i="19" s="1"/>
  <c r="T1506" i="19"/>
  <c r="W1505" i="19"/>
  <c r="U1505" i="19"/>
  <c r="T1505" i="19"/>
  <c r="F1505" i="19"/>
  <c r="U1504" i="19"/>
  <c r="W1504" i="19" s="1"/>
  <c r="T1504" i="19"/>
  <c r="U1503" i="19"/>
  <c r="W1503" i="19" s="1"/>
  <c r="T1503" i="19"/>
  <c r="U1502" i="19"/>
  <c r="W1502" i="19" s="1"/>
  <c r="T1502" i="19"/>
  <c r="U1501" i="19"/>
  <c r="W1501" i="19" s="1"/>
  <c r="T1501" i="19"/>
  <c r="U1500" i="19"/>
  <c r="W1500" i="19" s="1"/>
  <c r="T1500" i="19"/>
  <c r="F1500" i="19"/>
  <c r="U1499" i="19"/>
  <c r="W1499" i="19" s="1"/>
  <c r="T1499" i="19"/>
  <c r="U1498" i="19"/>
  <c r="W1498" i="19" s="1"/>
  <c r="T1498" i="19"/>
  <c r="U1497" i="19"/>
  <c r="W1497" i="19" s="1"/>
  <c r="T1497" i="19"/>
  <c r="U1496" i="19"/>
  <c r="W1496" i="19" s="1"/>
  <c r="T1496" i="19"/>
  <c r="U1495" i="19"/>
  <c r="W1495" i="19" s="1"/>
  <c r="T1495" i="19"/>
  <c r="F1495" i="19"/>
  <c r="W1494" i="19"/>
  <c r="U1494" i="19"/>
  <c r="T1494" i="19"/>
  <c r="F1494" i="19"/>
  <c r="U1493" i="19"/>
  <c r="W1493" i="19" s="1"/>
  <c r="T1493" i="19"/>
  <c r="U1492" i="19"/>
  <c r="W1492" i="19" s="1"/>
  <c r="T1492" i="19"/>
  <c r="U1491" i="19"/>
  <c r="W1491" i="19" s="1"/>
  <c r="T1491" i="19"/>
  <c r="U1490" i="19"/>
  <c r="W1490" i="19" s="1"/>
  <c r="T1490" i="19"/>
  <c r="U1489" i="19"/>
  <c r="W1489" i="19" s="1"/>
  <c r="T1489" i="19"/>
  <c r="F1489" i="19"/>
  <c r="U1488" i="19"/>
  <c r="W1488" i="19" s="1"/>
  <c r="T1488" i="19"/>
  <c r="U1487" i="19"/>
  <c r="W1487" i="19" s="1"/>
  <c r="T1487" i="19"/>
  <c r="U1486" i="19"/>
  <c r="W1486" i="19" s="1"/>
  <c r="T1486" i="19"/>
  <c r="F1486" i="19"/>
  <c r="U1485" i="19"/>
  <c r="W1485" i="19" s="1"/>
  <c r="T1485" i="19"/>
  <c r="W1484" i="19"/>
  <c r="U1484" i="19"/>
  <c r="T1484" i="19"/>
  <c r="U1483" i="19"/>
  <c r="W1483" i="19" s="1"/>
  <c r="T1483" i="19"/>
  <c r="U1482" i="19"/>
  <c r="W1482" i="19" s="1"/>
  <c r="T1482" i="19"/>
  <c r="U1481" i="19"/>
  <c r="W1481" i="19" s="1"/>
  <c r="T1481" i="19"/>
  <c r="U1480" i="19"/>
  <c r="W1480" i="19" s="1"/>
  <c r="T1480" i="19"/>
  <c r="U1479" i="19"/>
  <c r="W1479" i="19" s="1"/>
  <c r="T1479" i="19"/>
  <c r="W1478" i="19"/>
  <c r="U1478" i="19"/>
  <c r="T1478" i="19"/>
  <c r="U1477" i="19"/>
  <c r="W1477" i="19" s="1"/>
  <c r="T1477" i="19"/>
  <c r="U1476" i="19"/>
  <c r="W1476" i="19" s="1"/>
  <c r="T1476" i="19"/>
  <c r="U1475" i="19"/>
  <c r="W1475" i="19" s="1"/>
  <c r="T1475" i="19"/>
  <c r="U1474" i="19"/>
  <c r="W1474" i="19" s="1"/>
  <c r="T1474" i="19"/>
  <c r="U1473" i="19"/>
  <c r="W1473" i="19" s="1"/>
  <c r="T1473" i="19"/>
  <c r="F1473" i="19"/>
  <c r="U1472" i="19"/>
  <c r="W1472" i="19" s="1"/>
  <c r="T1472" i="19"/>
  <c r="F1472" i="19"/>
  <c r="U1471" i="19"/>
  <c r="W1471" i="19" s="1"/>
  <c r="T1471" i="19"/>
  <c r="F1471" i="19"/>
  <c r="U1470" i="19"/>
  <c r="W1470" i="19" s="1"/>
  <c r="T1470" i="19"/>
  <c r="U1469" i="19"/>
  <c r="W1469" i="19" s="1"/>
  <c r="T1469" i="19"/>
  <c r="U1468" i="19"/>
  <c r="W1468" i="19" s="1"/>
  <c r="T1468" i="19"/>
  <c r="U1467" i="19"/>
  <c r="W1467" i="19" s="1"/>
  <c r="F1467" i="19"/>
  <c r="U1466" i="19"/>
  <c r="W1466" i="19" s="1"/>
  <c r="T1466" i="19"/>
  <c r="U1465" i="19"/>
  <c r="W1465" i="19" s="1"/>
  <c r="T1465" i="19"/>
  <c r="U1464" i="19"/>
  <c r="W1464" i="19" s="1"/>
  <c r="T1464" i="19"/>
  <c r="U1463" i="19"/>
  <c r="W1463" i="19" s="1"/>
  <c r="T1463" i="19"/>
  <c r="U1462" i="19"/>
  <c r="W1462" i="19" s="1"/>
  <c r="T1462" i="19"/>
  <c r="U1461" i="19"/>
  <c r="W1461" i="19" s="1"/>
  <c r="T1461" i="19"/>
  <c r="U1460" i="19"/>
  <c r="W1460" i="19" s="1"/>
  <c r="T1460" i="19"/>
  <c r="U1459" i="19"/>
  <c r="W1459" i="19" s="1"/>
  <c r="T1459" i="19"/>
  <c r="U1458" i="19"/>
  <c r="W1458" i="19" s="1"/>
  <c r="T1458" i="19"/>
  <c r="U1457" i="19"/>
  <c r="W1457" i="19" s="1"/>
  <c r="T1457" i="19"/>
  <c r="U1456" i="19"/>
  <c r="W1456" i="19" s="1"/>
  <c r="T1456" i="19"/>
  <c r="U1455" i="19"/>
  <c r="W1455" i="19" s="1"/>
  <c r="T1455" i="19"/>
  <c r="U1454" i="19"/>
  <c r="W1454" i="19" s="1"/>
  <c r="T1454" i="19"/>
  <c r="U1453" i="19"/>
  <c r="W1453" i="19" s="1"/>
  <c r="T1453" i="19"/>
  <c r="U1452" i="19"/>
  <c r="W1452" i="19" s="1"/>
  <c r="T1452" i="19"/>
  <c r="U1451" i="19"/>
  <c r="W1451" i="19" s="1"/>
  <c r="T1451" i="19"/>
  <c r="U1450" i="19"/>
  <c r="W1450" i="19" s="1"/>
  <c r="T1450" i="19"/>
  <c r="U1449" i="19"/>
  <c r="W1449" i="19" s="1"/>
  <c r="T1449" i="19"/>
  <c r="U1448" i="19"/>
  <c r="W1448" i="19" s="1"/>
  <c r="T1448" i="19"/>
  <c r="U1447" i="19"/>
  <c r="W1447" i="19" s="1"/>
  <c r="T1447" i="19"/>
  <c r="U1446" i="19"/>
  <c r="W1446" i="19" s="1"/>
  <c r="T1446" i="19"/>
  <c r="F1446" i="19"/>
  <c r="U1445" i="19"/>
  <c r="W1445" i="19" s="1"/>
  <c r="T1445" i="19"/>
  <c r="U1444" i="19"/>
  <c r="W1444" i="19" s="1"/>
  <c r="T1444" i="19"/>
  <c r="U1443" i="19"/>
  <c r="W1443" i="19" s="1"/>
  <c r="T1443" i="19"/>
  <c r="U1442" i="19"/>
  <c r="W1442" i="19" s="1"/>
  <c r="T1442" i="19"/>
  <c r="W1441" i="19"/>
  <c r="U1441" i="19"/>
  <c r="T1441" i="19"/>
  <c r="F1441" i="19"/>
  <c r="U1440" i="19"/>
  <c r="W1440" i="19" s="1"/>
  <c r="T1440" i="19"/>
  <c r="U1439" i="19"/>
  <c r="W1439" i="19" s="1"/>
  <c r="T1439" i="19"/>
  <c r="U1438" i="19"/>
  <c r="W1438" i="19" s="1"/>
  <c r="T1438" i="19"/>
  <c r="U1437" i="19"/>
  <c r="W1437" i="19" s="1"/>
  <c r="T1437" i="19"/>
  <c r="U1436" i="19"/>
  <c r="W1436" i="19" s="1"/>
  <c r="T1436" i="19"/>
  <c r="U1435" i="19"/>
  <c r="W1435" i="19" s="1"/>
  <c r="T1435" i="19"/>
  <c r="U1434" i="19"/>
  <c r="W1434" i="19" s="1"/>
  <c r="T1434" i="19"/>
  <c r="F1434" i="19"/>
  <c r="U1433" i="19"/>
  <c r="W1433" i="19" s="1"/>
  <c r="T1433" i="19"/>
  <c r="U1432" i="19"/>
  <c r="W1432" i="19" s="1"/>
  <c r="T1432" i="19"/>
  <c r="U1431" i="19"/>
  <c r="W1431" i="19" s="1"/>
  <c r="T1431" i="19"/>
  <c r="U1430" i="19"/>
  <c r="W1430" i="19" s="1"/>
  <c r="T1430" i="19"/>
  <c r="U1429" i="19"/>
  <c r="W1429" i="19" s="1"/>
  <c r="T1429" i="19"/>
  <c r="W1428" i="19"/>
  <c r="U1428" i="19"/>
  <c r="T1428" i="19"/>
  <c r="U1427" i="19"/>
  <c r="W1427" i="19" s="1"/>
  <c r="T1427" i="19"/>
  <c r="U1426" i="19"/>
  <c r="W1426" i="19" s="1"/>
  <c r="T1426" i="19"/>
  <c r="F1426" i="19"/>
  <c r="U1425" i="19"/>
  <c r="W1425" i="19" s="1"/>
  <c r="T1425" i="19"/>
  <c r="U1424" i="19"/>
  <c r="W1424" i="19" s="1"/>
  <c r="T1424" i="19"/>
  <c r="U1423" i="19"/>
  <c r="W1423" i="19" s="1"/>
  <c r="T1423" i="19"/>
  <c r="U1422" i="19"/>
  <c r="W1422" i="19" s="1"/>
  <c r="T1422" i="19"/>
  <c r="U1421" i="19"/>
  <c r="W1421" i="19" s="1"/>
  <c r="T1421" i="19"/>
  <c r="U1420" i="19"/>
  <c r="W1420" i="19" s="1"/>
  <c r="T1420" i="19"/>
  <c r="U1419" i="19"/>
  <c r="W1419" i="19" s="1"/>
  <c r="T1419" i="19"/>
  <c r="U1418" i="19"/>
  <c r="W1418" i="19" s="1"/>
  <c r="T1418" i="19"/>
  <c r="U1417" i="19"/>
  <c r="W1417" i="19" s="1"/>
  <c r="T1417" i="19"/>
  <c r="U1416" i="19"/>
  <c r="W1416" i="19" s="1"/>
  <c r="T1416" i="19"/>
  <c r="U1415" i="19"/>
  <c r="W1415" i="19" s="1"/>
  <c r="T1415" i="19"/>
  <c r="U1414" i="19"/>
  <c r="W1414" i="19" s="1"/>
  <c r="T1414" i="19"/>
  <c r="U1413" i="19"/>
  <c r="W1413" i="19" s="1"/>
  <c r="T1413" i="19"/>
  <c r="U1412" i="19"/>
  <c r="W1412" i="19" s="1"/>
  <c r="T1412" i="19"/>
  <c r="U1411" i="19"/>
  <c r="W1411" i="19" s="1"/>
  <c r="T1411" i="19"/>
  <c r="U1410" i="19"/>
  <c r="W1410" i="19" s="1"/>
  <c r="T1410" i="19"/>
  <c r="U1409" i="19"/>
  <c r="W1409" i="19" s="1"/>
  <c r="T1409" i="19"/>
  <c r="U1408" i="19"/>
  <c r="W1408" i="19" s="1"/>
  <c r="T1408" i="19"/>
  <c r="F1408" i="19"/>
  <c r="U1407" i="19"/>
  <c r="W1407" i="19" s="1"/>
  <c r="T1407" i="19"/>
  <c r="U1406" i="19"/>
  <c r="W1406" i="19" s="1"/>
  <c r="T1406" i="19"/>
  <c r="U1405" i="19"/>
  <c r="W1405" i="19" s="1"/>
  <c r="T1405" i="19"/>
  <c r="U1404" i="19"/>
  <c r="W1404" i="19" s="1"/>
  <c r="T1404" i="19"/>
  <c r="U1403" i="19"/>
  <c r="W1403" i="19" s="1"/>
  <c r="T1403" i="19"/>
  <c r="U1402" i="19"/>
  <c r="W1402" i="19" s="1"/>
  <c r="T1402" i="19"/>
  <c r="U1401" i="19"/>
  <c r="W1401" i="19" s="1"/>
  <c r="T1401" i="19"/>
  <c r="U1400" i="19"/>
  <c r="W1400" i="19" s="1"/>
  <c r="T1400" i="19"/>
  <c r="U1399" i="19"/>
  <c r="W1399" i="19" s="1"/>
  <c r="T1399" i="19"/>
  <c r="W1398" i="19"/>
  <c r="U1398" i="19"/>
  <c r="T1398" i="19"/>
  <c r="U1397" i="19"/>
  <c r="W1397" i="19" s="1"/>
  <c r="T1397" i="19"/>
  <c r="U1396" i="19"/>
  <c r="W1396" i="19" s="1"/>
  <c r="T1396" i="19"/>
  <c r="U1395" i="19"/>
  <c r="W1395" i="19" s="1"/>
  <c r="T1395" i="19"/>
  <c r="U1394" i="19"/>
  <c r="W1394" i="19" s="1"/>
  <c r="T1394" i="19"/>
  <c r="U1393" i="19"/>
  <c r="W1393" i="19" s="1"/>
  <c r="T1393" i="19"/>
  <c r="U1392" i="19"/>
  <c r="W1392" i="19" s="1"/>
  <c r="T1392" i="19"/>
  <c r="U1391" i="19"/>
  <c r="W1391" i="19" s="1"/>
  <c r="T1391" i="19"/>
  <c r="U1390" i="19"/>
  <c r="W1390" i="19" s="1"/>
  <c r="T1390" i="19"/>
  <c r="W1389" i="19"/>
  <c r="U1389" i="19"/>
  <c r="T1389" i="19"/>
  <c r="U1388" i="19"/>
  <c r="W1388" i="19" s="1"/>
  <c r="T1388" i="19"/>
  <c r="U1387" i="19"/>
  <c r="T1387" i="19" s="1"/>
  <c r="F1387" i="19"/>
  <c r="U1386" i="19"/>
  <c r="W1386" i="19" s="1"/>
  <c r="T1386" i="19"/>
  <c r="U1385" i="19"/>
  <c r="W1385" i="19" s="1"/>
  <c r="T1385" i="19"/>
  <c r="U1384" i="19"/>
  <c r="W1384" i="19" s="1"/>
  <c r="T1384" i="19"/>
  <c r="U1383" i="19"/>
  <c r="W1383" i="19" s="1"/>
  <c r="T1383" i="19"/>
  <c r="U1382" i="19"/>
  <c r="W1382" i="19" s="1"/>
  <c r="T1382" i="19"/>
  <c r="U1381" i="19"/>
  <c r="W1381" i="19" s="1"/>
  <c r="T1381" i="19"/>
  <c r="U1380" i="19"/>
  <c r="W1380" i="19" s="1"/>
  <c r="T1380" i="19"/>
  <c r="U1379" i="19"/>
  <c r="W1379" i="19" s="1"/>
  <c r="T1379" i="19"/>
  <c r="U1378" i="19"/>
  <c r="W1378" i="19" s="1"/>
  <c r="T1378" i="19"/>
  <c r="F1378" i="19"/>
  <c r="U1377" i="19"/>
  <c r="W1377" i="19" s="1"/>
  <c r="T1377" i="19"/>
  <c r="U1376" i="19"/>
  <c r="W1376" i="19" s="1"/>
  <c r="T1376" i="19"/>
  <c r="U1375" i="19"/>
  <c r="W1375" i="19" s="1"/>
  <c r="T1375" i="19"/>
  <c r="U1374" i="19"/>
  <c r="W1374" i="19" s="1"/>
  <c r="T1374" i="19"/>
  <c r="U1373" i="19"/>
  <c r="W1373" i="19" s="1"/>
  <c r="T1373" i="19"/>
  <c r="W1372" i="19"/>
  <c r="U1372" i="19"/>
  <c r="T1372" i="19"/>
  <c r="U1371" i="19"/>
  <c r="W1371" i="19" s="1"/>
  <c r="T1371" i="19"/>
  <c r="U1370" i="19"/>
  <c r="W1370" i="19" s="1"/>
  <c r="T1370" i="19"/>
  <c r="U1369" i="19"/>
  <c r="W1369" i="19" s="1"/>
  <c r="T1369" i="19"/>
  <c r="U1368" i="19"/>
  <c r="W1368" i="19" s="1"/>
  <c r="T1368" i="19"/>
  <c r="U1367" i="19"/>
  <c r="W1367" i="19" s="1"/>
  <c r="T1367" i="19"/>
  <c r="U1366" i="19"/>
  <c r="W1366" i="19" s="1"/>
  <c r="T1366" i="19"/>
  <c r="U1365" i="19"/>
  <c r="W1365" i="19" s="1"/>
  <c r="T1365" i="19"/>
  <c r="U1364" i="19"/>
  <c r="W1364" i="19" s="1"/>
  <c r="T1364" i="19"/>
  <c r="U1363" i="19"/>
  <c r="W1363" i="19" s="1"/>
  <c r="T1363" i="19"/>
  <c r="U1362" i="19"/>
  <c r="W1362" i="19" s="1"/>
  <c r="T1362" i="19"/>
  <c r="U1361" i="19"/>
  <c r="W1361" i="19" s="1"/>
  <c r="T1361" i="19"/>
  <c r="U1360" i="19"/>
  <c r="W1360" i="19" s="1"/>
  <c r="T1360" i="19"/>
  <c r="U1359" i="19"/>
  <c r="W1359" i="19" s="1"/>
  <c r="T1359" i="19"/>
  <c r="U1358" i="19"/>
  <c r="W1358" i="19" s="1"/>
  <c r="T1358" i="19"/>
  <c r="U1357" i="19"/>
  <c r="W1357" i="19" s="1"/>
  <c r="T1357" i="19"/>
  <c r="U1356" i="19"/>
  <c r="W1356" i="19" s="1"/>
  <c r="T1356" i="19"/>
  <c r="F1356" i="19"/>
  <c r="U1355" i="19"/>
  <c r="W1355" i="19" s="1"/>
  <c r="T1355" i="19"/>
  <c r="U1354" i="19"/>
  <c r="W1354" i="19" s="1"/>
  <c r="T1354" i="19"/>
  <c r="U1353" i="19"/>
  <c r="W1353" i="19" s="1"/>
  <c r="T1353" i="19"/>
  <c r="U1352" i="19"/>
  <c r="W1352" i="19" s="1"/>
  <c r="T1352" i="19"/>
  <c r="U1351" i="19"/>
  <c r="W1351" i="19" s="1"/>
  <c r="T1351" i="19"/>
  <c r="U1350" i="19"/>
  <c r="W1350" i="19" s="1"/>
  <c r="T1350" i="19"/>
  <c r="U1349" i="19"/>
  <c r="W1349" i="19" s="1"/>
  <c r="T1349" i="19"/>
  <c r="U1348" i="19"/>
  <c r="W1348" i="19" s="1"/>
  <c r="T1348" i="19"/>
  <c r="U1347" i="19"/>
  <c r="W1347" i="19" s="1"/>
  <c r="T1347" i="19"/>
  <c r="U1346" i="19"/>
  <c r="W1346" i="19" s="1"/>
  <c r="T1346" i="19"/>
  <c r="U1345" i="19"/>
  <c r="W1345" i="19" s="1"/>
  <c r="T1345" i="19"/>
  <c r="U1344" i="19"/>
  <c r="W1344" i="19" s="1"/>
  <c r="T1344" i="19"/>
  <c r="U1343" i="19"/>
  <c r="W1343" i="19" s="1"/>
  <c r="T1343" i="19"/>
  <c r="U1342" i="19"/>
  <c r="W1342" i="19" s="1"/>
  <c r="T1342" i="19"/>
  <c r="U1341" i="19"/>
  <c r="W1341" i="19" s="1"/>
  <c r="T1341" i="19"/>
  <c r="U1340" i="19"/>
  <c r="W1340" i="19" s="1"/>
  <c r="T1340" i="19"/>
  <c r="U1339" i="19"/>
  <c r="W1339" i="19" s="1"/>
  <c r="T1339" i="19"/>
  <c r="U1338" i="19"/>
  <c r="W1338" i="19" s="1"/>
  <c r="T1338" i="19"/>
  <c r="W1337" i="19"/>
  <c r="U1337" i="19"/>
  <c r="T1337" i="19"/>
  <c r="U1336" i="19"/>
  <c r="W1336" i="19" s="1"/>
  <c r="T1336" i="19"/>
  <c r="U1335" i="19"/>
  <c r="W1335" i="19" s="1"/>
  <c r="T1335" i="19"/>
  <c r="F1335" i="19"/>
  <c r="U1334" i="19"/>
  <c r="W1334" i="19" s="1"/>
  <c r="T1334" i="19"/>
  <c r="F1334" i="19"/>
  <c r="U1333" i="19"/>
  <c r="W1333" i="19" s="1"/>
  <c r="T1333" i="19"/>
  <c r="U1332" i="19"/>
  <c r="W1332" i="19" s="1"/>
  <c r="T1332" i="19"/>
  <c r="U1331" i="19"/>
  <c r="W1331" i="19" s="1"/>
  <c r="T1331" i="19"/>
  <c r="U1330" i="19"/>
  <c r="W1330" i="19" s="1"/>
  <c r="T1330" i="19"/>
  <c r="U1329" i="19"/>
  <c r="W1329" i="19" s="1"/>
  <c r="T1329" i="19"/>
  <c r="U1328" i="19"/>
  <c r="W1328" i="19" s="1"/>
  <c r="T1328" i="19"/>
  <c r="F1328" i="19"/>
  <c r="U1327" i="19"/>
  <c r="W1327" i="19" s="1"/>
  <c r="T1327" i="19"/>
  <c r="U1326" i="19"/>
  <c r="W1326" i="19" s="1"/>
  <c r="T1326" i="19"/>
  <c r="U1325" i="19"/>
  <c r="W1325" i="19" s="1"/>
  <c r="T1325" i="19"/>
  <c r="U1324" i="19"/>
  <c r="W1324" i="19" s="1"/>
  <c r="T1324" i="19"/>
  <c r="F1324" i="19"/>
  <c r="U1323" i="19"/>
  <c r="W1323" i="19" s="1"/>
  <c r="T1323" i="19"/>
  <c r="F1323" i="19"/>
  <c r="U1322" i="19"/>
  <c r="W1322" i="19" s="1"/>
  <c r="T1322" i="19"/>
  <c r="U1321" i="19"/>
  <c r="W1321" i="19" s="1"/>
  <c r="T1321" i="19"/>
  <c r="U1320" i="19"/>
  <c r="W1320" i="19" s="1"/>
  <c r="T1320" i="19"/>
  <c r="F1320" i="19"/>
  <c r="U1319" i="19"/>
  <c r="W1319" i="19" s="1"/>
  <c r="T1319" i="19"/>
  <c r="U1318" i="19"/>
  <c r="W1318" i="19" s="1"/>
  <c r="T1318" i="19"/>
  <c r="U1317" i="19"/>
  <c r="W1317" i="19" s="1"/>
  <c r="T1317" i="19"/>
  <c r="W1316" i="19"/>
  <c r="U1316" i="19"/>
  <c r="T1316" i="19"/>
  <c r="U1315" i="19"/>
  <c r="W1315" i="19" s="1"/>
  <c r="T1315" i="19"/>
  <c r="U1314" i="19"/>
  <c r="W1314" i="19" s="1"/>
  <c r="T1314" i="19"/>
  <c r="F1314" i="19"/>
  <c r="U1313" i="19"/>
  <c r="W1313" i="19" s="1"/>
  <c r="T1313" i="19"/>
  <c r="U1312" i="19"/>
  <c r="W1312" i="19" s="1"/>
  <c r="T1312" i="19"/>
  <c r="U1311" i="19"/>
  <c r="W1311" i="19" s="1"/>
  <c r="T1311" i="19"/>
  <c r="U1310" i="19"/>
  <c r="W1310" i="19" s="1"/>
  <c r="T1310" i="19"/>
  <c r="U1309" i="19"/>
  <c r="W1309" i="19" s="1"/>
  <c r="T1309" i="19"/>
  <c r="U1308" i="19"/>
  <c r="W1308" i="19" s="1"/>
  <c r="T1308" i="19"/>
  <c r="U1307" i="19"/>
  <c r="W1307" i="19" s="1"/>
  <c r="T1307" i="19"/>
  <c r="U1306" i="19"/>
  <c r="W1306" i="19" s="1"/>
  <c r="T1306" i="19"/>
  <c r="U1305" i="19"/>
  <c r="W1305" i="19" s="1"/>
  <c r="T1305" i="19"/>
  <c r="U1304" i="19"/>
  <c r="W1304" i="19" s="1"/>
  <c r="T1304" i="19"/>
  <c r="F1304" i="19"/>
  <c r="U1303" i="19"/>
  <c r="W1303" i="19" s="1"/>
  <c r="T1303" i="19"/>
  <c r="U1302" i="19"/>
  <c r="W1302" i="19" s="1"/>
  <c r="T1302" i="19"/>
  <c r="U1301" i="19"/>
  <c r="W1301" i="19" s="1"/>
  <c r="T1301" i="19"/>
  <c r="U1300" i="19"/>
  <c r="W1300" i="19" s="1"/>
  <c r="T1300" i="19"/>
  <c r="U1299" i="19"/>
  <c r="W1299" i="19" s="1"/>
  <c r="T1299" i="19"/>
  <c r="U1298" i="19"/>
  <c r="W1298" i="19" s="1"/>
  <c r="T1298" i="19"/>
  <c r="U1297" i="19"/>
  <c r="W1297" i="19" s="1"/>
  <c r="T1297" i="19"/>
  <c r="U1296" i="19"/>
  <c r="W1296" i="19" s="1"/>
  <c r="T1296" i="19"/>
  <c r="F1296" i="19"/>
  <c r="U1295" i="19"/>
  <c r="W1295" i="19" s="1"/>
  <c r="T1295" i="19"/>
  <c r="U1294" i="19"/>
  <c r="W1294" i="19" s="1"/>
  <c r="T1294" i="19"/>
  <c r="U1293" i="19"/>
  <c r="W1293" i="19" s="1"/>
  <c r="T1293" i="19"/>
  <c r="U1292" i="19"/>
  <c r="W1292" i="19" s="1"/>
  <c r="T1292" i="19"/>
  <c r="U1291" i="19"/>
  <c r="W1291" i="19" s="1"/>
  <c r="T1291" i="19"/>
  <c r="F1291" i="19"/>
  <c r="U1290" i="19"/>
  <c r="W1290" i="19" s="1"/>
  <c r="T1290" i="19"/>
  <c r="U1289" i="19"/>
  <c r="W1289" i="19" s="1"/>
  <c r="T1289" i="19"/>
  <c r="U1288" i="19"/>
  <c r="W1288" i="19" s="1"/>
  <c r="T1288" i="19"/>
  <c r="U1287" i="19"/>
  <c r="W1287" i="19" s="1"/>
  <c r="T1287" i="19"/>
  <c r="U1286" i="19"/>
  <c r="W1286" i="19" s="1"/>
  <c r="T1286" i="19"/>
  <c r="F1286" i="19"/>
  <c r="U1285" i="19"/>
  <c r="W1285" i="19" s="1"/>
  <c r="T1285" i="19"/>
  <c r="F1285" i="19"/>
  <c r="U1284" i="19"/>
  <c r="W1284" i="19" s="1"/>
  <c r="T1284" i="19"/>
  <c r="U1283" i="19"/>
  <c r="W1283" i="19" s="1"/>
  <c r="T1283" i="19"/>
  <c r="U1282" i="19"/>
  <c r="W1282" i="19" s="1"/>
  <c r="T1282" i="19"/>
  <c r="F1282" i="19"/>
  <c r="U1281" i="19"/>
  <c r="W1281" i="19" s="1"/>
  <c r="T1281" i="19"/>
  <c r="U1280" i="19"/>
  <c r="W1280" i="19" s="1"/>
  <c r="T1280" i="19"/>
  <c r="U1279" i="19"/>
  <c r="W1279" i="19" s="1"/>
  <c r="T1279" i="19"/>
  <c r="U1278" i="19"/>
  <c r="W1278" i="19" s="1"/>
  <c r="T1278" i="19"/>
  <c r="U1277" i="19"/>
  <c r="W1277" i="19" s="1"/>
  <c r="T1277" i="19"/>
  <c r="U1276" i="19"/>
  <c r="W1276" i="19" s="1"/>
  <c r="T1276" i="19"/>
  <c r="U1275" i="19"/>
  <c r="W1275" i="19" s="1"/>
  <c r="T1275" i="19"/>
  <c r="U1274" i="19"/>
  <c r="W1274" i="19" s="1"/>
  <c r="T1274" i="19"/>
  <c r="U1273" i="19"/>
  <c r="W1273" i="19" s="1"/>
  <c r="T1273" i="19"/>
  <c r="U1272" i="19"/>
  <c r="W1272" i="19" s="1"/>
  <c r="T1272" i="19"/>
  <c r="U1271" i="19"/>
  <c r="W1271" i="19" s="1"/>
  <c r="T1271" i="19"/>
  <c r="U1270" i="19"/>
  <c r="W1270" i="19" s="1"/>
  <c r="T1270" i="19"/>
  <c r="U1269" i="19"/>
  <c r="W1269" i="19" s="1"/>
  <c r="T1269" i="19"/>
  <c r="U1268" i="19"/>
  <c r="W1268" i="19" s="1"/>
  <c r="T1268" i="19"/>
  <c r="W1267" i="19"/>
  <c r="U1267" i="19"/>
  <c r="T1267" i="19"/>
  <c r="U1266" i="19"/>
  <c r="W1266" i="19" s="1"/>
  <c r="T1266" i="19"/>
  <c r="U1265" i="19"/>
  <c r="W1265" i="19" s="1"/>
  <c r="T1265" i="19"/>
  <c r="U1264" i="19"/>
  <c r="W1264" i="19" s="1"/>
  <c r="T1264" i="19"/>
  <c r="U1263" i="19"/>
  <c r="W1263" i="19" s="1"/>
  <c r="T1263" i="19"/>
  <c r="U1262" i="19"/>
  <c r="W1262" i="19" s="1"/>
  <c r="T1262" i="19"/>
  <c r="W1261" i="19"/>
  <c r="U1261" i="19"/>
  <c r="T1261" i="19"/>
  <c r="U1260" i="19"/>
  <c r="W1260" i="19" s="1"/>
  <c r="T1260" i="19"/>
  <c r="U1259" i="19"/>
  <c r="W1259" i="19" s="1"/>
  <c r="T1259" i="19"/>
  <c r="W1258" i="19"/>
  <c r="U1258" i="19"/>
  <c r="T1258" i="19"/>
  <c r="U1257" i="19"/>
  <c r="W1257" i="19" s="1"/>
  <c r="T1257" i="19"/>
  <c r="U1256" i="19"/>
  <c r="W1256" i="19" s="1"/>
  <c r="T1256" i="19"/>
  <c r="U1255" i="19"/>
  <c r="W1255" i="19" s="1"/>
  <c r="T1255" i="19"/>
  <c r="U1254" i="19"/>
  <c r="W1254" i="19" s="1"/>
  <c r="T1254" i="19"/>
  <c r="U1253" i="19"/>
  <c r="W1253" i="19" s="1"/>
  <c r="T1253" i="19"/>
  <c r="U1252" i="19"/>
  <c r="W1252" i="19" s="1"/>
  <c r="T1252" i="19"/>
  <c r="U1251" i="19"/>
  <c r="W1251" i="19" s="1"/>
  <c r="T1251" i="19"/>
  <c r="U1250" i="19"/>
  <c r="W1250" i="19" s="1"/>
  <c r="T1250" i="19"/>
  <c r="U1249" i="19"/>
  <c r="W1249" i="19" s="1"/>
  <c r="T1249" i="19"/>
  <c r="U1248" i="19"/>
  <c r="W1248" i="19" s="1"/>
  <c r="T1248" i="19"/>
  <c r="U1247" i="19"/>
  <c r="W1247" i="19" s="1"/>
  <c r="T1247" i="19"/>
  <c r="U1246" i="19"/>
  <c r="W1246" i="19" s="1"/>
  <c r="T1246" i="19"/>
  <c r="U1245" i="19"/>
  <c r="W1245" i="19" s="1"/>
  <c r="T1245" i="19"/>
  <c r="U1244" i="19"/>
  <c r="W1244" i="19" s="1"/>
  <c r="T1244" i="19"/>
  <c r="U1243" i="19"/>
  <c r="W1243" i="19" s="1"/>
  <c r="T1243" i="19"/>
  <c r="U1242" i="19"/>
  <c r="W1242" i="19" s="1"/>
  <c r="T1242" i="19"/>
  <c r="U1241" i="19"/>
  <c r="W1241" i="19" s="1"/>
  <c r="T1241" i="19"/>
  <c r="U1240" i="19"/>
  <c r="W1240" i="19" s="1"/>
  <c r="T1240" i="19"/>
  <c r="U1239" i="19"/>
  <c r="W1239" i="19" s="1"/>
  <c r="T1239" i="19"/>
  <c r="U1238" i="19"/>
  <c r="W1238" i="19" s="1"/>
  <c r="T1238" i="19"/>
  <c r="U1237" i="19"/>
  <c r="W1237" i="19" s="1"/>
  <c r="T1237" i="19"/>
  <c r="U1236" i="19"/>
  <c r="W1236" i="19" s="1"/>
  <c r="T1236" i="19"/>
  <c r="U1235" i="19"/>
  <c r="W1235" i="19" s="1"/>
  <c r="T1235" i="19"/>
  <c r="U1234" i="19"/>
  <c r="W1234" i="19" s="1"/>
  <c r="T1234" i="19"/>
  <c r="U1233" i="19"/>
  <c r="W1233" i="19" s="1"/>
  <c r="T1233" i="19"/>
  <c r="U1232" i="19"/>
  <c r="W1232" i="19" s="1"/>
  <c r="T1232" i="19"/>
  <c r="U1231" i="19"/>
  <c r="W1231" i="19" s="1"/>
  <c r="T1231" i="19"/>
  <c r="U1230" i="19"/>
  <c r="W1230" i="19" s="1"/>
  <c r="T1230" i="19"/>
  <c r="U1229" i="19"/>
  <c r="W1229" i="19" s="1"/>
  <c r="T1229" i="19"/>
  <c r="U1228" i="19"/>
  <c r="W1228" i="19" s="1"/>
  <c r="T1228" i="19"/>
  <c r="U1227" i="19"/>
  <c r="W1227" i="19" s="1"/>
  <c r="T1227" i="19"/>
  <c r="U1226" i="19"/>
  <c r="W1226" i="19" s="1"/>
  <c r="T1226" i="19"/>
  <c r="U1225" i="19"/>
  <c r="W1225" i="19" s="1"/>
  <c r="T1225" i="19"/>
  <c r="U1224" i="19"/>
  <c r="W1224" i="19" s="1"/>
  <c r="T1224" i="19"/>
  <c r="U1223" i="19"/>
  <c r="W1223" i="19" s="1"/>
  <c r="T1223" i="19"/>
  <c r="F1223" i="19"/>
  <c r="U1222" i="19"/>
  <c r="W1222" i="19" s="1"/>
  <c r="T1222" i="19"/>
  <c r="U1221" i="19"/>
  <c r="W1221" i="19" s="1"/>
  <c r="T1221" i="19"/>
  <c r="U1220" i="19"/>
  <c r="W1220" i="19" s="1"/>
  <c r="T1220" i="19"/>
  <c r="U1219" i="19"/>
  <c r="W1219" i="19" s="1"/>
  <c r="F1219" i="19"/>
  <c r="U1218" i="19"/>
  <c r="W1218" i="19" s="1"/>
  <c r="T1218" i="19"/>
  <c r="U1217" i="19"/>
  <c r="W1217" i="19" s="1"/>
  <c r="T1217" i="19"/>
  <c r="U1216" i="19"/>
  <c r="W1216" i="19" s="1"/>
  <c r="T1216" i="19"/>
  <c r="U1215" i="19"/>
  <c r="W1215" i="19" s="1"/>
  <c r="T1215" i="19"/>
  <c r="U1214" i="19"/>
  <c r="W1214" i="19" s="1"/>
  <c r="T1214" i="19"/>
  <c r="U1213" i="19"/>
  <c r="W1213" i="19" s="1"/>
  <c r="T1213" i="19"/>
  <c r="U1212" i="19"/>
  <c r="W1212" i="19" s="1"/>
  <c r="T1212" i="19"/>
  <c r="U1211" i="19"/>
  <c r="W1211" i="19" s="1"/>
  <c r="T1211" i="19"/>
  <c r="U1210" i="19"/>
  <c r="W1210" i="19" s="1"/>
  <c r="T1210" i="19"/>
  <c r="U1209" i="19"/>
  <c r="W1209" i="19" s="1"/>
  <c r="T1209" i="19"/>
  <c r="U1208" i="19"/>
  <c r="W1208" i="19" s="1"/>
  <c r="T1208" i="19"/>
  <c r="U1207" i="19"/>
  <c r="W1207" i="19" s="1"/>
  <c r="T1207" i="19"/>
  <c r="U1206" i="19"/>
  <c r="W1206" i="19" s="1"/>
  <c r="T1206" i="19"/>
  <c r="U1205" i="19"/>
  <c r="W1205" i="19" s="1"/>
  <c r="T1205" i="19"/>
  <c r="U1204" i="19"/>
  <c r="W1204" i="19" s="1"/>
  <c r="T1204" i="19"/>
  <c r="U1203" i="19"/>
  <c r="W1203" i="19" s="1"/>
  <c r="T1203" i="19"/>
  <c r="W1202" i="19"/>
  <c r="U1202" i="19"/>
  <c r="T1202" i="19"/>
  <c r="U1201" i="19"/>
  <c r="W1201" i="19" s="1"/>
  <c r="T1201" i="19"/>
  <c r="U1200" i="19"/>
  <c r="W1200" i="19" s="1"/>
  <c r="T1200" i="19"/>
  <c r="U1199" i="19"/>
  <c r="W1199" i="19" s="1"/>
  <c r="T1199" i="19"/>
  <c r="F1199" i="19"/>
  <c r="U1198" i="19"/>
  <c r="W1198" i="19" s="1"/>
  <c r="T1198" i="19"/>
  <c r="U1197" i="19"/>
  <c r="W1197" i="19" s="1"/>
  <c r="T1197" i="19"/>
  <c r="F1197" i="19"/>
  <c r="U1196" i="19"/>
  <c r="W1196" i="19" s="1"/>
  <c r="T1196" i="19"/>
  <c r="U1195" i="19"/>
  <c r="W1195" i="19" s="1"/>
  <c r="T1195" i="19"/>
  <c r="U1194" i="19"/>
  <c r="W1194" i="19" s="1"/>
  <c r="T1194" i="19"/>
  <c r="U1193" i="19"/>
  <c r="W1193" i="19" s="1"/>
  <c r="T1193" i="19"/>
  <c r="U1192" i="19"/>
  <c r="W1192" i="19" s="1"/>
  <c r="T1192" i="19"/>
  <c r="U1191" i="19"/>
  <c r="W1191" i="19" s="1"/>
  <c r="T1191" i="19"/>
  <c r="U1190" i="19"/>
  <c r="W1190" i="19" s="1"/>
  <c r="T1190" i="19"/>
  <c r="U1189" i="19"/>
  <c r="W1189" i="19" s="1"/>
  <c r="T1189" i="19"/>
  <c r="U1188" i="19"/>
  <c r="W1188" i="19" s="1"/>
  <c r="T1188" i="19"/>
  <c r="U1187" i="19"/>
  <c r="W1187" i="19" s="1"/>
  <c r="T1187" i="19"/>
  <c r="F1187" i="19"/>
  <c r="U1186" i="19"/>
  <c r="W1186" i="19" s="1"/>
  <c r="T1186" i="19"/>
  <c r="U1185" i="19"/>
  <c r="W1185" i="19" s="1"/>
  <c r="T1185" i="19"/>
  <c r="U1184" i="19"/>
  <c r="W1184" i="19" s="1"/>
  <c r="T1184" i="19"/>
  <c r="U1183" i="19"/>
  <c r="W1183" i="19" s="1"/>
  <c r="T1183" i="19"/>
  <c r="U1182" i="19"/>
  <c r="W1182" i="19" s="1"/>
  <c r="T1182" i="19"/>
  <c r="U1181" i="19"/>
  <c r="W1181" i="19" s="1"/>
  <c r="T1181" i="19"/>
  <c r="U1180" i="19"/>
  <c r="W1180" i="19" s="1"/>
  <c r="T1180" i="19"/>
  <c r="U1179" i="19"/>
  <c r="W1179" i="19" s="1"/>
  <c r="T1179" i="19"/>
  <c r="U1178" i="19"/>
  <c r="W1178" i="19" s="1"/>
  <c r="T1178" i="19"/>
  <c r="U1177" i="19"/>
  <c r="W1177" i="19" s="1"/>
  <c r="T1177" i="19"/>
  <c r="U1176" i="19"/>
  <c r="W1176" i="19" s="1"/>
  <c r="T1176" i="19"/>
  <c r="U1175" i="19"/>
  <c r="W1175" i="19" s="1"/>
  <c r="T1175" i="19"/>
  <c r="U1174" i="19"/>
  <c r="W1174" i="19" s="1"/>
  <c r="T1174" i="19"/>
  <c r="F1174" i="19"/>
  <c r="U1173" i="19"/>
  <c r="W1173" i="19" s="1"/>
  <c r="T1173" i="19"/>
  <c r="U1172" i="19"/>
  <c r="W1172" i="19" s="1"/>
  <c r="T1172" i="19"/>
  <c r="U1171" i="19"/>
  <c r="W1171" i="19" s="1"/>
  <c r="T1171" i="19"/>
  <c r="F1171" i="19"/>
  <c r="U1170" i="19"/>
  <c r="W1170" i="19" s="1"/>
  <c r="T1170" i="19"/>
  <c r="U1169" i="19"/>
  <c r="W1169" i="19" s="1"/>
  <c r="T1169" i="19"/>
  <c r="U1168" i="19"/>
  <c r="W1168" i="19" s="1"/>
  <c r="T1168" i="19"/>
  <c r="U1167" i="19"/>
  <c r="W1167" i="19" s="1"/>
  <c r="T1167" i="19"/>
  <c r="U1166" i="19"/>
  <c r="W1166" i="19" s="1"/>
  <c r="T1166" i="19"/>
  <c r="U1165" i="19"/>
  <c r="W1165" i="19" s="1"/>
  <c r="T1165" i="19"/>
  <c r="U1164" i="19"/>
  <c r="W1164" i="19" s="1"/>
  <c r="T1164" i="19"/>
  <c r="U1163" i="19"/>
  <c r="W1163" i="19" s="1"/>
  <c r="T1163" i="19"/>
  <c r="U1162" i="19"/>
  <c r="W1162" i="19" s="1"/>
  <c r="T1162" i="19"/>
  <c r="U1161" i="19"/>
  <c r="W1161" i="19" s="1"/>
  <c r="T1161" i="19"/>
  <c r="U1160" i="19"/>
  <c r="W1160" i="19" s="1"/>
  <c r="T1160" i="19"/>
  <c r="U1159" i="19"/>
  <c r="W1159" i="19" s="1"/>
  <c r="T1159" i="19"/>
  <c r="U1158" i="19"/>
  <c r="W1158" i="19" s="1"/>
  <c r="T1158" i="19"/>
  <c r="U1157" i="19"/>
  <c r="W1157" i="19" s="1"/>
  <c r="T1157" i="19"/>
  <c r="U1156" i="19"/>
  <c r="W1156" i="19" s="1"/>
  <c r="T1156" i="19"/>
  <c r="U1155" i="19"/>
  <c r="W1155" i="19" s="1"/>
  <c r="T1155" i="19"/>
  <c r="U1154" i="19"/>
  <c r="W1154" i="19" s="1"/>
  <c r="T1154" i="19"/>
  <c r="W1153" i="19"/>
  <c r="U1153" i="19"/>
  <c r="T1153" i="19"/>
  <c r="U1152" i="19"/>
  <c r="W1152" i="19" s="1"/>
  <c r="T1152" i="19"/>
  <c r="U1151" i="19"/>
  <c r="W1151" i="19" s="1"/>
  <c r="T1151" i="19"/>
  <c r="U1150" i="19"/>
  <c r="W1150" i="19" s="1"/>
  <c r="T1150" i="19"/>
  <c r="U1149" i="19"/>
  <c r="W1149" i="19" s="1"/>
  <c r="T1149" i="19"/>
  <c r="U1148" i="19"/>
  <c r="W1148" i="19" s="1"/>
  <c r="T1148" i="19"/>
  <c r="F1148" i="19"/>
  <c r="U1147" i="19"/>
  <c r="W1147" i="19" s="1"/>
  <c r="T1147" i="19"/>
  <c r="F1147" i="19"/>
  <c r="U1146" i="19"/>
  <c r="W1146" i="19" s="1"/>
  <c r="T1146" i="19"/>
  <c r="U1145" i="19"/>
  <c r="W1145" i="19" s="1"/>
  <c r="T1145" i="19"/>
  <c r="U1144" i="19"/>
  <c r="W1144" i="19" s="1"/>
  <c r="T1144" i="19"/>
  <c r="U1143" i="19"/>
  <c r="W1143" i="19" s="1"/>
  <c r="T1143" i="19"/>
  <c r="U1142" i="19"/>
  <c r="W1142" i="19" s="1"/>
  <c r="T1142" i="19"/>
  <c r="U1141" i="19"/>
  <c r="W1141" i="19" s="1"/>
  <c r="T1141" i="19"/>
  <c r="U1140" i="19"/>
  <c r="W1140" i="19" s="1"/>
  <c r="T1140" i="19"/>
  <c r="F1140" i="19"/>
  <c r="U1139" i="19"/>
  <c r="W1139" i="19" s="1"/>
  <c r="T1139" i="19"/>
  <c r="U1138" i="19"/>
  <c r="W1138" i="19" s="1"/>
  <c r="T1138" i="19"/>
  <c r="U1137" i="19"/>
  <c r="W1137" i="19" s="1"/>
  <c r="T1137" i="19"/>
  <c r="U1136" i="19"/>
  <c r="W1136" i="19" s="1"/>
  <c r="T1136" i="19"/>
  <c r="U1135" i="19"/>
  <c r="W1135" i="19" s="1"/>
  <c r="T1135" i="19"/>
  <c r="W1134" i="19"/>
  <c r="U1134" i="19"/>
  <c r="T1134" i="19"/>
  <c r="U1133" i="19"/>
  <c r="W1133" i="19" s="1"/>
  <c r="T1133" i="19"/>
  <c r="U1132" i="19"/>
  <c r="W1132" i="19" s="1"/>
  <c r="T1132" i="19"/>
  <c r="U1131" i="19"/>
  <c r="W1131" i="19" s="1"/>
  <c r="T1131" i="19"/>
  <c r="U1130" i="19"/>
  <c r="W1130" i="19" s="1"/>
  <c r="T1130" i="19"/>
  <c r="U1129" i="19"/>
  <c r="W1129" i="19" s="1"/>
  <c r="T1129" i="19"/>
  <c r="W1128" i="19"/>
  <c r="U1128" i="19"/>
  <c r="T1128" i="19"/>
  <c r="F1128" i="19"/>
  <c r="U1127" i="19"/>
  <c r="W1127" i="19" s="1"/>
  <c r="T1127" i="19"/>
  <c r="U1126" i="19"/>
  <c r="W1126" i="19" s="1"/>
  <c r="T1126" i="19"/>
  <c r="W1125" i="19"/>
  <c r="U1125" i="19"/>
  <c r="T1125" i="19"/>
  <c r="U1124" i="19"/>
  <c r="W1124" i="19" s="1"/>
  <c r="T1124" i="19"/>
  <c r="W1123" i="19"/>
  <c r="U1123" i="19"/>
  <c r="T1123" i="19"/>
  <c r="U1122" i="19"/>
  <c r="W1122" i="19" s="1"/>
  <c r="T1122" i="19"/>
  <c r="U1121" i="19"/>
  <c r="W1121" i="19" s="1"/>
  <c r="T1121" i="19"/>
  <c r="F1121" i="19"/>
  <c r="U1120" i="19"/>
  <c r="W1120" i="19" s="1"/>
  <c r="T1120" i="19"/>
  <c r="U1119" i="19"/>
  <c r="W1119" i="19" s="1"/>
  <c r="T1119" i="19"/>
  <c r="F1119" i="19"/>
  <c r="U1118" i="19"/>
  <c r="W1118" i="19" s="1"/>
  <c r="T1118" i="19"/>
  <c r="U1117" i="19"/>
  <c r="W1117" i="19" s="1"/>
  <c r="T1117" i="19"/>
  <c r="U1116" i="19"/>
  <c r="W1116" i="19" s="1"/>
  <c r="T1116" i="19"/>
  <c r="U1115" i="19"/>
  <c r="W1115" i="19" s="1"/>
  <c r="T1115" i="19"/>
  <c r="U1114" i="19"/>
  <c r="W1114" i="19" s="1"/>
  <c r="T1114" i="19"/>
  <c r="U1113" i="19"/>
  <c r="W1113" i="19" s="1"/>
  <c r="T1113" i="19"/>
  <c r="U1112" i="19"/>
  <c r="W1112" i="19" s="1"/>
  <c r="T1112" i="19"/>
  <c r="U1111" i="19"/>
  <c r="W1111" i="19" s="1"/>
  <c r="T1111" i="19"/>
  <c r="U1110" i="19"/>
  <c r="W1110" i="19" s="1"/>
  <c r="T1110" i="19"/>
  <c r="U1109" i="19"/>
  <c r="W1109" i="19" s="1"/>
  <c r="T1109" i="19"/>
  <c r="U1108" i="19"/>
  <c r="W1108" i="19" s="1"/>
  <c r="T1108" i="19"/>
  <c r="U1107" i="19"/>
  <c r="W1107" i="19" s="1"/>
  <c r="T1107" i="19"/>
  <c r="U1106" i="19"/>
  <c r="W1106" i="19" s="1"/>
  <c r="T1106" i="19"/>
  <c r="U1105" i="19"/>
  <c r="W1105" i="19" s="1"/>
  <c r="T1105" i="19"/>
  <c r="U1104" i="19"/>
  <c r="W1104" i="19" s="1"/>
  <c r="T1104" i="19"/>
  <c r="U1103" i="19"/>
  <c r="W1103" i="19" s="1"/>
  <c r="T1103" i="19"/>
  <c r="U1102" i="19"/>
  <c r="W1102" i="19" s="1"/>
  <c r="T1102" i="19"/>
  <c r="U1101" i="19"/>
  <c r="W1101" i="19" s="1"/>
  <c r="T1101" i="19"/>
  <c r="U1100" i="19"/>
  <c r="W1100" i="19" s="1"/>
  <c r="T1100" i="19"/>
  <c r="U1099" i="19"/>
  <c r="W1099" i="19" s="1"/>
  <c r="T1099" i="19"/>
  <c r="U1098" i="19"/>
  <c r="W1098" i="19" s="1"/>
  <c r="T1098" i="19"/>
  <c r="U1097" i="19"/>
  <c r="W1097" i="19" s="1"/>
  <c r="T1097" i="19"/>
  <c r="U1096" i="19"/>
  <c r="W1096" i="19" s="1"/>
  <c r="T1096" i="19"/>
  <c r="F1096" i="19"/>
  <c r="U1095" i="19"/>
  <c r="W1095" i="19" s="1"/>
  <c r="T1095" i="19"/>
  <c r="W1094" i="19"/>
  <c r="U1094" i="19"/>
  <c r="T1094" i="19"/>
  <c r="F1094" i="19"/>
  <c r="U1093" i="19"/>
  <c r="W1093" i="19" s="1"/>
  <c r="T1093" i="19"/>
  <c r="F1093" i="19"/>
  <c r="U1092" i="19"/>
  <c r="W1092" i="19" s="1"/>
  <c r="T1092" i="19"/>
  <c r="U1091" i="19"/>
  <c r="W1091" i="19" s="1"/>
  <c r="T1091" i="19"/>
  <c r="U1090" i="19"/>
  <c r="W1090" i="19" s="1"/>
  <c r="T1090" i="19"/>
  <c r="U1089" i="19"/>
  <c r="W1089" i="19" s="1"/>
  <c r="T1089" i="19"/>
  <c r="U1088" i="19"/>
  <c r="W1088" i="19" s="1"/>
  <c r="T1088" i="19"/>
  <c r="U1087" i="19"/>
  <c r="W1087" i="19" s="1"/>
  <c r="T1087" i="19"/>
  <c r="U1086" i="19"/>
  <c r="W1086" i="19" s="1"/>
  <c r="T1086" i="19"/>
  <c r="U1085" i="19"/>
  <c r="W1085" i="19" s="1"/>
  <c r="T1085" i="19"/>
  <c r="U1084" i="19"/>
  <c r="W1084" i="19" s="1"/>
  <c r="T1084" i="19"/>
  <c r="U1083" i="19"/>
  <c r="W1083" i="19" s="1"/>
  <c r="T1083" i="19"/>
  <c r="U1082" i="19"/>
  <c r="W1082" i="19" s="1"/>
  <c r="T1082" i="19"/>
  <c r="U1081" i="19"/>
  <c r="W1081" i="19" s="1"/>
  <c r="T1081" i="19"/>
  <c r="U1080" i="19"/>
  <c r="W1080" i="19" s="1"/>
  <c r="T1080" i="19"/>
  <c r="U1079" i="19"/>
  <c r="W1079" i="19" s="1"/>
  <c r="T1079" i="19"/>
  <c r="U1078" i="19"/>
  <c r="W1078" i="19" s="1"/>
  <c r="T1078" i="19"/>
  <c r="U1077" i="19"/>
  <c r="W1077" i="19" s="1"/>
  <c r="T1077" i="19"/>
  <c r="U1076" i="19"/>
  <c r="W1076" i="19" s="1"/>
  <c r="T1076" i="19"/>
  <c r="U1075" i="19"/>
  <c r="W1075" i="19" s="1"/>
  <c r="T1075" i="19"/>
  <c r="U1074" i="19"/>
  <c r="W1074" i="19" s="1"/>
  <c r="T1074" i="19"/>
  <c r="U1073" i="19"/>
  <c r="W1073" i="19" s="1"/>
  <c r="T1073" i="19"/>
  <c r="W1072" i="19"/>
  <c r="U1072" i="19"/>
  <c r="T1072" i="19"/>
  <c r="U1071" i="19"/>
  <c r="W1071" i="19" s="1"/>
  <c r="T1071" i="19"/>
  <c r="U1070" i="19"/>
  <c r="W1070" i="19" s="1"/>
  <c r="T1070" i="19"/>
  <c r="U1069" i="19"/>
  <c r="W1069" i="19" s="1"/>
  <c r="T1069" i="19"/>
  <c r="U1068" i="19"/>
  <c r="W1068" i="19" s="1"/>
  <c r="T1068" i="19"/>
  <c r="U1067" i="19"/>
  <c r="W1067" i="19" s="1"/>
  <c r="T1067" i="19"/>
  <c r="W1066" i="19"/>
  <c r="U1066" i="19"/>
  <c r="T1066" i="19"/>
  <c r="U1065" i="19"/>
  <c r="W1065" i="19" s="1"/>
  <c r="T1065" i="19"/>
  <c r="U1064" i="19"/>
  <c r="W1064" i="19" s="1"/>
  <c r="T1064" i="19"/>
  <c r="U1063" i="19"/>
  <c r="W1063" i="19" s="1"/>
  <c r="T1063" i="19"/>
  <c r="U1062" i="19"/>
  <c r="W1062" i="19" s="1"/>
  <c r="T1062" i="19"/>
  <c r="W1061" i="19"/>
  <c r="U1061" i="19"/>
  <c r="T1061" i="19"/>
  <c r="F1061" i="19"/>
  <c r="U1060" i="19"/>
  <c r="W1060" i="19" s="1"/>
  <c r="T1060" i="19"/>
  <c r="U1059" i="19"/>
  <c r="W1059" i="19" s="1"/>
  <c r="T1059" i="19"/>
  <c r="U1058" i="19"/>
  <c r="W1058" i="19" s="1"/>
  <c r="T1058" i="19"/>
  <c r="U1057" i="19"/>
  <c r="W1057" i="19" s="1"/>
  <c r="T1057" i="19"/>
  <c r="U1056" i="19"/>
  <c r="W1056" i="19" s="1"/>
  <c r="T1056" i="19"/>
  <c r="F1056" i="19"/>
  <c r="U1055" i="19"/>
  <c r="W1055" i="19" s="1"/>
  <c r="T1055" i="19"/>
  <c r="U1054" i="19"/>
  <c r="W1054" i="19" s="1"/>
  <c r="T1054" i="19"/>
  <c r="W1053" i="19"/>
  <c r="U1053" i="19"/>
  <c r="T1053" i="19"/>
  <c r="U1052" i="19"/>
  <c r="W1052" i="19" s="1"/>
  <c r="T1052" i="19"/>
  <c r="U1051" i="19"/>
  <c r="W1051" i="19" s="1"/>
  <c r="T1051" i="19"/>
  <c r="U1050" i="19"/>
  <c r="W1050" i="19" s="1"/>
  <c r="T1050" i="19"/>
  <c r="U1049" i="19"/>
  <c r="W1049" i="19" s="1"/>
  <c r="T1049" i="19"/>
  <c r="F1049" i="19"/>
  <c r="U1048" i="19"/>
  <c r="W1048" i="19" s="1"/>
  <c r="T1048" i="19"/>
  <c r="U1047" i="19"/>
  <c r="W1047" i="19" s="1"/>
  <c r="T1047" i="19"/>
  <c r="F1047" i="19"/>
  <c r="U1046" i="19"/>
  <c r="W1046" i="19" s="1"/>
  <c r="T1046" i="19"/>
  <c r="F1046" i="19"/>
  <c r="U1045" i="19"/>
  <c r="W1045" i="19" s="1"/>
  <c r="T1045" i="19"/>
  <c r="F1045" i="19"/>
  <c r="U1044" i="19"/>
  <c r="W1044" i="19" s="1"/>
  <c r="T1044" i="19"/>
  <c r="U1043" i="19"/>
  <c r="W1043" i="19" s="1"/>
  <c r="T1043" i="19"/>
  <c r="U1042" i="19"/>
  <c r="W1042" i="19" s="1"/>
  <c r="T1042" i="19"/>
  <c r="U1041" i="19"/>
  <c r="W1041" i="19" s="1"/>
  <c r="T1041" i="19"/>
  <c r="U1040" i="19"/>
  <c r="W1040" i="19" s="1"/>
  <c r="T1040" i="19"/>
  <c r="U1039" i="19"/>
  <c r="W1039" i="19" s="1"/>
  <c r="T1039" i="19"/>
  <c r="U1038" i="19"/>
  <c r="W1038" i="19" s="1"/>
  <c r="T1038" i="19"/>
  <c r="U1037" i="19"/>
  <c r="W1037" i="19" s="1"/>
  <c r="T1037" i="19"/>
  <c r="U1036" i="19"/>
  <c r="W1036" i="19" s="1"/>
  <c r="T1036" i="19"/>
  <c r="U1035" i="19"/>
  <c r="W1035" i="19" s="1"/>
  <c r="T1035" i="19"/>
  <c r="U1034" i="19"/>
  <c r="W1034" i="19" s="1"/>
  <c r="T1034" i="19"/>
  <c r="F1034" i="19"/>
  <c r="U1033" i="19"/>
  <c r="W1033" i="19" s="1"/>
  <c r="T1033" i="19"/>
  <c r="U1032" i="19"/>
  <c r="W1032" i="19" s="1"/>
  <c r="T1032" i="19"/>
  <c r="U1031" i="19"/>
  <c r="W1031" i="19" s="1"/>
  <c r="T1031" i="19"/>
  <c r="U1030" i="19"/>
  <c r="W1030" i="19" s="1"/>
  <c r="T1030" i="19"/>
  <c r="U1029" i="19"/>
  <c r="W1029" i="19" s="1"/>
  <c r="T1029" i="19"/>
  <c r="U1028" i="19"/>
  <c r="W1028" i="19" s="1"/>
  <c r="T1028" i="19"/>
  <c r="U1027" i="19"/>
  <c r="W1027" i="19" s="1"/>
  <c r="T1027" i="19"/>
  <c r="U1026" i="19"/>
  <c r="W1026" i="19" s="1"/>
  <c r="T1026" i="19"/>
  <c r="U1025" i="19"/>
  <c r="W1025" i="19" s="1"/>
  <c r="T1025" i="19"/>
  <c r="U1024" i="19"/>
  <c r="W1024" i="19" s="1"/>
  <c r="T1024" i="19"/>
  <c r="U1023" i="19"/>
  <c r="W1023" i="19" s="1"/>
  <c r="T1023" i="19"/>
  <c r="U1022" i="19"/>
  <c r="W1022" i="19" s="1"/>
  <c r="T1022" i="19"/>
  <c r="U1021" i="19"/>
  <c r="W1021" i="19" s="1"/>
  <c r="T1021" i="19"/>
  <c r="U1020" i="19"/>
  <c r="W1020" i="19" s="1"/>
  <c r="T1020" i="19"/>
  <c r="U1019" i="19"/>
  <c r="W1019" i="19" s="1"/>
  <c r="T1019" i="19"/>
  <c r="U1018" i="19"/>
  <c r="W1018" i="19" s="1"/>
  <c r="T1018" i="19"/>
  <c r="W1017" i="19"/>
  <c r="U1017" i="19"/>
  <c r="T1017" i="19"/>
  <c r="U1016" i="19"/>
  <c r="W1016" i="19" s="1"/>
  <c r="T1016" i="19"/>
  <c r="U1015" i="19"/>
  <c r="W1015" i="19" s="1"/>
  <c r="T1015" i="19"/>
  <c r="F1015" i="19"/>
  <c r="U1014" i="19"/>
  <c r="W1014" i="19" s="1"/>
  <c r="T1014" i="19"/>
  <c r="F1014" i="19"/>
  <c r="U1013" i="19"/>
  <c r="W1013" i="19" s="1"/>
  <c r="T1013" i="19"/>
  <c r="U1012" i="19"/>
  <c r="W1012" i="19" s="1"/>
  <c r="T1012" i="19"/>
  <c r="U1011" i="19"/>
  <c r="W1011" i="19" s="1"/>
  <c r="T1011" i="19"/>
  <c r="U1010" i="19"/>
  <c r="W1010" i="19" s="1"/>
  <c r="T1010" i="19"/>
  <c r="U1009" i="19"/>
  <c r="W1009" i="19" s="1"/>
  <c r="T1009" i="19"/>
  <c r="U1008" i="19"/>
  <c r="W1008" i="19" s="1"/>
  <c r="T1008" i="19"/>
  <c r="U1007" i="19"/>
  <c r="W1007" i="19" s="1"/>
  <c r="T1007" i="19"/>
  <c r="W1006" i="19"/>
  <c r="U1006" i="19"/>
  <c r="T1006" i="19"/>
  <c r="U1005" i="19"/>
  <c r="W1005" i="19" s="1"/>
  <c r="T1005" i="19"/>
  <c r="U1004" i="19"/>
  <c r="W1004" i="19" s="1"/>
  <c r="T1004" i="19"/>
  <c r="U1003" i="19"/>
  <c r="W1003" i="19" s="1"/>
  <c r="T1003" i="19"/>
  <c r="U1002" i="19"/>
  <c r="W1002" i="19" s="1"/>
  <c r="T1002" i="19"/>
  <c r="U1001" i="19"/>
  <c r="W1001" i="19" s="1"/>
  <c r="T1001" i="19"/>
  <c r="U1000" i="19"/>
  <c r="W1000" i="19" s="1"/>
  <c r="T1000" i="19"/>
  <c r="U999" i="19"/>
  <c r="W999" i="19" s="1"/>
  <c r="T999" i="19"/>
  <c r="U998" i="19"/>
  <c r="W998" i="19" s="1"/>
  <c r="T998" i="19"/>
  <c r="U997" i="19"/>
  <c r="W997" i="19" s="1"/>
  <c r="T997" i="19"/>
  <c r="U996" i="19"/>
  <c r="W996" i="19" s="1"/>
  <c r="T996" i="19"/>
  <c r="U995" i="19"/>
  <c r="W995" i="19" s="1"/>
  <c r="T995" i="19"/>
  <c r="U994" i="19"/>
  <c r="W994" i="19" s="1"/>
  <c r="T994" i="19"/>
  <c r="U993" i="19"/>
  <c r="W993" i="19" s="1"/>
  <c r="T993" i="19"/>
  <c r="U992" i="19"/>
  <c r="W992" i="19" s="1"/>
  <c r="T992" i="19"/>
  <c r="W991" i="19"/>
  <c r="U991" i="19"/>
  <c r="T991" i="19"/>
  <c r="U990" i="19"/>
  <c r="W990" i="19" s="1"/>
  <c r="T990" i="19"/>
  <c r="U989" i="19"/>
  <c r="W989" i="19" s="1"/>
  <c r="T989" i="19"/>
  <c r="W988" i="19"/>
  <c r="U988" i="19"/>
  <c r="T988" i="19"/>
  <c r="U987" i="19"/>
  <c r="W987" i="19" s="1"/>
  <c r="T987" i="19"/>
  <c r="W986" i="19"/>
  <c r="U986" i="19"/>
  <c r="T986" i="19"/>
  <c r="U985" i="19"/>
  <c r="W985" i="19" s="1"/>
  <c r="T985" i="19"/>
  <c r="U984" i="19"/>
  <c r="W984" i="19" s="1"/>
  <c r="T984" i="19"/>
  <c r="W983" i="19"/>
  <c r="U983" i="19"/>
  <c r="T983" i="19"/>
  <c r="U982" i="19"/>
  <c r="W982" i="19" s="1"/>
  <c r="T982" i="19"/>
  <c r="F982" i="19"/>
  <c r="U981" i="19"/>
  <c r="W981" i="19" s="1"/>
  <c r="T981" i="19"/>
  <c r="F981" i="19"/>
  <c r="U980" i="19"/>
  <c r="W980" i="19" s="1"/>
  <c r="T980" i="19"/>
  <c r="U979" i="19"/>
  <c r="W979" i="19" s="1"/>
  <c r="T979" i="19"/>
  <c r="W978" i="19"/>
  <c r="U978" i="19"/>
  <c r="T978" i="19"/>
  <c r="U977" i="19"/>
  <c r="W977" i="19" s="1"/>
  <c r="T977" i="19"/>
  <c r="F977" i="19"/>
  <c r="U976" i="19"/>
  <c r="W976" i="19" s="1"/>
  <c r="T976" i="19"/>
  <c r="U975" i="19"/>
  <c r="W975" i="19" s="1"/>
  <c r="T975" i="19"/>
  <c r="U974" i="19"/>
  <c r="W974" i="19" s="1"/>
  <c r="T974" i="19"/>
  <c r="U973" i="19"/>
  <c r="W973" i="19" s="1"/>
  <c r="T973" i="19"/>
  <c r="U972" i="19"/>
  <c r="W972" i="19" s="1"/>
  <c r="T972" i="19"/>
  <c r="U971" i="19"/>
  <c r="W971" i="19" s="1"/>
  <c r="T971" i="19"/>
  <c r="U970" i="19"/>
  <c r="W970" i="19" s="1"/>
  <c r="T970" i="19"/>
  <c r="U969" i="19"/>
  <c r="W969" i="19" s="1"/>
  <c r="T969" i="19"/>
  <c r="U968" i="19"/>
  <c r="W968" i="19" s="1"/>
  <c r="T968" i="19"/>
  <c r="U967" i="19"/>
  <c r="W967" i="19" s="1"/>
  <c r="T967" i="19"/>
  <c r="U966" i="19"/>
  <c r="W966" i="19" s="1"/>
  <c r="T966" i="19"/>
  <c r="W965" i="19"/>
  <c r="U965" i="19"/>
  <c r="T965" i="19"/>
  <c r="U964" i="19"/>
  <c r="W964" i="19" s="1"/>
  <c r="T964" i="19"/>
  <c r="U963" i="19"/>
  <c r="W963" i="19" s="1"/>
  <c r="T963" i="19"/>
  <c r="U962" i="19"/>
  <c r="W962" i="19" s="1"/>
  <c r="T962" i="19"/>
  <c r="U961" i="19"/>
  <c r="W961" i="19" s="1"/>
  <c r="T961" i="19"/>
  <c r="U960" i="19"/>
  <c r="W960" i="19" s="1"/>
  <c r="T960" i="19"/>
  <c r="U959" i="19"/>
  <c r="W959" i="19" s="1"/>
  <c r="T959" i="19"/>
  <c r="U958" i="19"/>
  <c r="W958" i="19" s="1"/>
  <c r="T958" i="19"/>
  <c r="U957" i="19"/>
  <c r="W957" i="19" s="1"/>
  <c r="T957" i="19"/>
  <c r="U956" i="19"/>
  <c r="W956" i="19" s="1"/>
  <c r="T956" i="19"/>
  <c r="U955" i="19"/>
  <c r="W955" i="19" s="1"/>
  <c r="T955" i="19"/>
  <c r="U954" i="19"/>
  <c r="W954" i="19" s="1"/>
  <c r="T954" i="19"/>
  <c r="U953" i="19"/>
  <c r="W953" i="19" s="1"/>
  <c r="T953" i="19"/>
  <c r="U952" i="19"/>
  <c r="W952" i="19" s="1"/>
  <c r="T952" i="19"/>
  <c r="U951" i="19"/>
  <c r="W951" i="19" s="1"/>
  <c r="T951" i="19"/>
  <c r="U950" i="19"/>
  <c r="W950" i="19" s="1"/>
  <c r="T950" i="19"/>
  <c r="U949" i="19"/>
  <c r="W949" i="19" s="1"/>
  <c r="T949" i="19"/>
  <c r="U948" i="19"/>
  <c r="W948" i="19" s="1"/>
  <c r="T948" i="19"/>
  <c r="U947" i="19"/>
  <c r="W947" i="19" s="1"/>
  <c r="T947" i="19"/>
  <c r="U946" i="19"/>
  <c r="W946" i="19" s="1"/>
  <c r="T946" i="19"/>
  <c r="U945" i="19"/>
  <c r="W945" i="19" s="1"/>
  <c r="T945" i="19"/>
  <c r="W944" i="19"/>
  <c r="U944" i="19"/>
  <c r="T944" i="19"/>
  <c r="U943" i="19"/>
  <c r="W943" i="19" s="1"/>
  <c r="T943" i="19"/>
  <c r="U942" i="19"/>
  <c r="W942" i="19" s="1"/>
  <c r="T942" i="19"/>
  <c r="U941" i="19"/>
  <c r="W941" i="19" s="1"/>
  <c r="T941" i="19"/>
  <c r="U940" i="19"/>
  <c r="W940" i="19" s="1"/>
  <c r="T940" i="19"/>
  <c r="U939" i="19"/>
  <c r="W939" i="19" s="1"/>
  <c r="T939" i="19"/>
  <c r="U938" i="19"/>
  <c r="W938" i="19" s="1"/>
  <c r="T938" i="19"/>
  <c r="U937" i="19"/>
  <c r="W937" i="19" s="1"/>
  <c r="T937" i="19"/>
  <c r="U936" i="19"/>
  <c r="W936" i="19" s="1"/>
  <c r="T936" i="19"/>
  <c r="U935" i="19"/>
  <c r="W935" i="19" s="1"/>
  <c r="T935" i="19"/>
  <c r="U934" i="19"/>
  <c r="W934" i="19" s="1"/>
  <c r="T934" i="19"/>
  <c r="U933" i="19"/>
  <c r="W933" i="19" s="1"/>
  <c r="T933" i="19"/>
  <c r="W932" i="19"/>
  <c r="U932" i="19"/>
  <c r="T932" i="19"/>
  <c r="W931" i="19"/>
  <c r="U931" i="19"/>
  <c r="T931" i="19"/>
  <c r="U930" i="19"/>
  <c r="W930" i="19" s="1"/>
  <c r="T930" i="19"/>
  <c r="U929" i="19"/>
  <c r="W929" i="19" s="1"/>
  <c r="T929" i="19"/>
  <c r="U928" i="19"/>
  <c r="W928" i="19" s="1"/>
  <c r="T928" i="19"/>
  <c r="U927" i="19"/>
  <c r="W927" i="19" s="1"/>
  <c r="T927" i="19"/>
  <c r="W926" i="19"/>
  <c r="U926" i="19"/>
  <c r="T926" i="19"/>
  <c r="U925" i="19"/>
  <c r="W925" i="19" s="1"/>
  <c r="T925" i="19"/>
  <c r="U924" i="19"/>
  <c r="W924" i="19" s="1"/>
  <c r="T924" i="19"/>
  <c r="U923" i="19"/>
  <c r="W923" i="19" s="1"/>
  <c r="T923" i="19"/>
  <c r="U922" i="19"/>
  <c r="W922" i="19" s="1"/>
  <c r="T922" i="19"/>
  <c r="U921" i="19"/>
  <c r="W921" i="19" s="1"/>
  <c r="T921" i="19"/>
  <c r="F921" i="19"/>
  <c r="U920" i="19"/>
  <c r="W920" i="19" s="1"/>
  <c r="T920" i="19"/>
  <c r="U919" i="19"/>
  <c r="W919" i="19" s="1"/>
  <c r="T919" i="19"/>
  <c r="U918" i="19"/>
  <c r="W918" i="19" s="1"/>
  <c r="T918" i="19"/>
  <c r="U917" i="19"/>
  <c r="W917" i="19" s="1"/>
  <c r="T917" i="19"/>
  <c r="U916" i="19"/>
  <c r="W916" i="19" s="1"/>
  <c r="T916" i="19"/>
  <c r="U915" i="19"/>
  <c r="W915" i="19" s="1"/>
  <c r="T915" i="19"/>
  <c r="U914" i="19"/>
  <c r="W914" i="19" s="1"/>
  <c r="T914" i="19"/>
  <c r="W913" i="19"/>
  <c r="U913" i="19"/>
  <c r="T913" i="19"/>
  <c r="U912" i="19"/>
  <c r="W912" i="19" s="1"/>
  <c r="T912" i="19"/>
  <c r="U911" i="19"/>
  <c r="W911" i="19" s="1"/>
  <c r="T911" i="19"/>
  <c r="U910" i="19"/>
  <c r="W910" i="19" s="1"/>
  <c r="T910" i="19"/>
  <c r="U909" i="19"/>
  <c r="W909" i="19" s="1"/>
  <c r="T909" i="19"/>
  <c r="U908" i="19"/>
  <c r="W908" i="19" s="1"/>
  <c r="T908" i="19"/>
  <c r="U907" i="19"/>
  <c r="W907" i="19" s="1"/>
  <c r="T907" i="19"/>
  <c r="U906" i="19"/>
  <c r="W906" i="19" s="1"/>
  <c r="T906" i="19"/>
  <c r="U905" i="19"/>
  <c r="W905" i="19" s="1"/>
  <c r="T905" i="19"/>
  <c r="U904" i="19"/>
  <c r="W904" i="19" s="1"/>
  <c r="T904" i="19"/>
  <c r="U903" i="19"/>
  <c r="W903" i="19" s="1"/>
  <c r="T903" i="19"/>
  <c r="U902" i="19"/>
  <c r="W902" i="19" s="1"/>
  <c r="T902" i="19"/>
  <c r="U901" i="19"/>
  <c r="W901" i="19" s="1"/>
  <c r="T901" i="19"/>
  <c r="U900" i="19"/>
  <c r="W900" i="19" s="1"/>
  <c r="T900" i="19"/>
  <c r="U899" i="19"/>
  <c r="W899" i="19" s="1"/>
  <c r="T899" i="19"/>
  <c r="U898" i="19"/>
  <c r="W898" i="19" s="1"/>
  <c r="T898" i="19"/>
  <c r="U897" i="19"/>
  <c r="W897" i="19" s="1"/>
  <c r="T897" i="19"/>
  <c r="U896" i="19"/>
  <c r="W896" i="19" s="1"/>
  <c r="T896" i="19"/>
  <c r="U895" i="19"/>
  <c r="W895" i="19" s="1"/>
  <c r="T895" i="19"/>
  <c r="W894" i="19"/>
  <c r="U894" i="19"/>
  <c r="T894" i="19"/>
  <c r="U893" i="19"/>
  <c r="W893" i="19" s="1"/>
  <c r="T893" i="19"/>
  <c r="U892" i="19"/>
  <c r="W892" i="19" s="1"/>
  <c r="T892" i="19"/>
  <c r="W891" i="19"/>
  <c r="U891" i="19"/>
  <c r="T891" i="19"/>
  <c r="U890" i="19"/>
  <c r="W890" i="19" s="1"/>
  <c r="T890" i="19"/>
  <c r="U889" i="19"/>
  <c r="W889" i="19" s="1"/>
  <c r="T889" i="19"/>
  <c r="W888" i="19"/>
  <c r="U888" i="19"/>
  <c r="T888" i="19"/>
  <c r="U887" i="19"/>
  <c r="W887" i="19" s="1"/>
  <c r="T887" i="19"/>
  <c r="U886" i="19"/>
  <c r="W886" i="19" s="1"/>
  <c r="T886" i="19"/>
  <c r="W885" i="19"/>
  <c r="U885" i="19"/>
  <c r="T885" i="19"/>
  <c r="W884" i="19"/>
  <c r="U884" i="19"/>
  <c r="T884" i="19"/>
  <c r="U883" i="19"/>
  <c r="W883" i="19" s="1"/>
  <c r="T883" i="19"/>
  <c r="U882" i="19"/>
  <c r="W882" i="19" s="1"/>
  <c r="T882" i="19"/>
  <c r="U881" i="19"/>
  <c r="T881" i="19"/>
  <c r="U880" i="19"/>
  <c r="T880" i="19" s="1"/>
  <c r="U879" i="19"/>
  <c r="T879" i="19"/>
  <c r="U878" i="19"/>
  <c r="T878" i="19"/>
  <c r="U877" i="19"/>
  <c r="T877" i="19"/>
  <c r="U876" i="19"/>
  <c r="T876" i="19"/>
  <c r="U875" i="19"/>
  <c r="T875" i="19"/>
  <c r="U874" i="19"/>
  <c r="T874" i="19"/>
  <c r="U873" i="19"/>
  <c r="T873" i="19"/>
  <c r="U872" i="19"/>
  <c r="T872" i="19"/>
  <c r="U871" i="19"/>
  <c r="T871" i="19"/>
  <c r="U870" i="19"/>
  <c r="T870" i="19"/>
  <c r="U869" i="19"/>
  <c r="T869" i="19"/>
  <c r="U868" i="19"/>
  <c r="T868" i="19"/>
  <c r="U867" i="19"/>
  <c r="T867" i="19"/>
  <c r="U866" i="19"/>
  <c r="T866" i="19"/>
  <c r="U865" i="19"/>
  <c r="T865" i="19"/>
  <c r="U864" i="19"/>
  <c r="T864" i="19"/>
  <c r="U863" i="19"/>
  <c r="T863" i="19"/>
  <c r="U862" i="19"/>
  <c r="T862" i="19"/>
  <c r="U861" i="19"/>
  <c r="T861" i="19"/>
  <c r="U860" i="19"/>
  <c r="T860" i="19"/>
  <c r="U859" i="19"/>
  <c r="T859" i="19"/>
  <c r="F859" i="19"/>
  <c r="U858" i="19"/>
  <c r="T858" i="19"/>
  <c r="U857" i="19"/>
  <c r="T857" i="19"/>
  <c r="U856" i="19"/>
  <c r="T856" i="19"/>
  <c r="U855" i="19"/>
  <c r="T855" i="19"/>
  <c r="F855" i="19"/>
  <c r="U854" i="19"/>
  <c r="T854" i="19"/>
  <c r="U853" i="19"/>
  <c r="T853" i="19"/>
  <c r="U852" i="19"/>
  <c r="T852" i="19"/>
  <c r="U851" i="19"/>
  <c r="T851" i="19"/>
  <c r="U850" i="19"/>
  <c r="T850" i="19"/>
  <c r="F850" i="19"/>
  <c r="U849" i="19"/>
  <c r="T849" i="19"/>
  <c r="U848" i="19"/>
  <c r="T848" i="19"/>
  <c r="U847" i="19"/>
  <c r="T847" i="19"/>
  <c r="U846" i="19"/>
  <c r="T846" i="19"/>
  <c r="U845" i="19"/>
  <c r="T845" i="19"/>
  <c r="F845" i="19"/>
  <c r="U844" i="19"/>
  <c r="T844" i="19"/>
  <c r="U843" i="19"/>
  <c r="T843" i="19"/>
  <c r="U842" i="19"/>
  <c r="T842" i="19"/>
  <c r="U841" i="19"/>
  <c r="T841" i="19"/>
  <c r="F841" i="19"/>
  <c r="U840" i="19"/>
  <c r="T840" i="19"/>
  <c r="U839" i="19"/>
  <c r="T839" i="19" s="1"/>
  <c r="U838" i="19"/>
  <c r="T838" i="19"/>
  <c r="U837" i="19"/>
  <c r="T837" i="19"/>
  <c r="U836" i="19"/>
  <c r="T836" i="19"/>
  <c r="U835" i="19"/>
  <c r="T835" i="19"/>
  <c r="U834" i="19"/>
  <c r="T834" i="19"/>
  <c r="U833" i="19"/>
  <c r="T833" i="19"/>
  <c r="U832" i="19"/>
  <c r="T832" i="19"/>
  <c r="U831" i="19"/>
  <c r="T831" i="19"/>
  <c r="U830" i="19"/>
  <c r="T830" i="19"/>
  <c r="U829" i="19"/>
  <c r="T829" i="19"/>
  <c r="U828" i="19"/>
  <c r="T828" i="19"/>
  <c r="U827" i="19"/>
  <c r="T827" i="19"/>
  <c r="U826" i="19"/>
  <c r="T826" i="19"/>
  <c r="U825" i="19"/>
  <c r="W825" i="19" s="1"/>
  <c r="U824" i="19"/>
  <c r="U823" i="19"/>
  <c r="T823" i="19"/>
  <c r="U822" i="19"/>
  <c r="T822" i="19"/>
  <c r="U821" i="19"/>
  <c r="T821" i="19"/>
  <c r="U820" i="19"/>
  <c r="T820" i="19"/>
  <c r="U819" i="19"/>
  <c r="T819" i="19"/>
  <c r="U818" i="19"/>
  <c r="T818" i="19"/>
  <c r="U817" i="19"/>
  <c r="T817" i="19"/>
  <c r="U816" i="19"/>
  <c r="T816" i="19"/>
  <c r="U815" i="19"/>
  <c r="T815" i="19"/>
  <c r="U814" i="19"/>
  <c r="T814" i="19"/>
  <c r="U813" i="19"/>
  <c r="T813" i="19"/>
  <c r="F813" i="19"/>
  <c r="U812" i="19"/>
  <c r="T812" i="19"/>
  <c r="U811" i="19"/>
  <c r="T811" i="19"/>
  <c r="U810" i="19"/>
  <c r="T810" i="19"/>
  <c r="U809" i="19"/>
  <c r="T809" i="19"/>
  <c r="U808" i="19"/>
  <c r="T808" i="19"/>
  <c r="U807" i="19"/>
  <c r="T807" i="19"/>
  <c r="F807" i="19"/>
  <c r="U806" i="19"/>
  <c r="T806" i="19"/>
  <c r="U805" i="19"/>
  <c r="T805" i="19"/>
  <c r="U804" i="19"/>
  <c r="T804" i="19"/>
  <c r="U803" i="19"/>
  <c r="T803" i="19"/>
  <c r="U802" i="19"/>
  <c r="T802" i="19"/>
  <c r="U801" i="19"/>
  <c r="T801" i="19"/>
  <c r="U800" i="19"/>
  <c r="T800" i="19"/>
  <c r="U799" i="19"/>
  <c r="T799" i="19"/>
  <c r="U798" i="19"/>
  <c r="T798" i="19"/>
  <c r="U797" i="19"/>
  <c r="T797" i="19"/>
  <c r="U796" i="19"/>
  <c r="T796" i="19"/>
  <c r="U795" i="19"/>
  <c r="T795" i="19"/>
  <c r="U794" i="19"/>
  <c r="T794" i="19"/>
  <c r="U793" i="19"/>
  <c r="T793" i="19"/>
  <c r="U792" i="19"/>
  <c r="T792" i="19"/>
  <c r="U791" i="19"/>
  <c r="T791" i="19"/>
  <c r="U790" i="19"/>
  <c r="T790" i="19"/>
  <c r="U789" i="19"/>
  <c r="T789" i="19"/>
  <c r="U788" i="19"/>
  <c r="T788" i="19"/>
  <c r="U787" i="19"/>
  <c r="T787" i="19"/>
  <c r="U786" i="19"/>
  <c r="T786" i="19"/>
  <c r="U785" i="19"/>
  <c r="T785" i="19"/>
  <c r="F785" i="19"/>
  <c r="U784" i="19"/>
  <c r="U783" i="19"/>
  <c r="T783" i="19" s="1"/>
  <c r="U782" i="19"/>
  <c r="T782" i="19"/>
  <c r="U781" i="19"/>
  <c r="T781" i="19"/>
  <c r="U780" i="19"/>
  <c r="T780" i="19"/>
  <c r="U779" i="19"/>
  <c r="T779" i="19"/>
  <c r="U778" i="19"/>
  <c r="T778" i="19"/>
  <c r="U777" i="19"/>
  <c r="T777" i="19"/>
  <c r="U776" i="19"/>
  <c r="T776" i="19"/>
  <c r="U775" i="19"/>
  <c r="T775" i="19"/>
  <c r="U774" i="19"/>
  <c r="T774" i="19"/>
  <c r="U773" i="19"/>
  <c r="T773" i="19"/>
  <c r="U772" i="19"/>
  <c r="T772" i="19"/>
  <c r="U771" i="19"/>
  <c r="T771" i="19"/>
  <c r="U770" i="19"/>
  <c r="T770" i="19"/>
  <c r="U769" i="19"/>
  <c r="T769" i="19"/>
  <c r="U768" i="19"/>
  <c r="T768" i="19"/>
  <c r="U767" i="19"/>
  <c r="T767" i="19"/>
  <c r="U766" i="19"/>
  <c r="T766" i="19"/>
  <c r="U765" i="19"/>
  <c r="T765" i="19"/>
  <c r="U764" i="19"/>
  <c r="T764" i="19"/>
  <c r="U763" i="19"/>
  <c r="T763" i="19"/>
  <c r="U762" i="19"/>
  <c r="T762" i="19" s="1"/>
  <c r="U761" i="19"/>
  <c r="T761" i="19"/>
  <c r="U760" i="19"/>
  <c r="T760" i="19"/>
  <c r="U759" i="19"/>
  <c r="T759" i="19"/>
  <c r="U758" i="19"/>
  <c r="T758" i="19"/>
  <c r="U757" i="19"/>
  <c r="T757" i="19"/>
  <c r="U756" i="19"/>
  <c r="T756" i="19"/>
  <c r="U755" i="19"/>
  <c r="T755" i="19"/>
  <c r="U754" i="19"/>
  <c r="T754" i="19"/>
  <c r="U753" i="19"/>
  <c r="T753" i="19"/>
  <c r="U752" i="19"/>
  <c r="T752" i="19"/>
  <c r="U751" i="19"/>
  <c r="T751" i="19"/>
  <c r="U750" i="19"/>
  <c r="T750" i="19"/>
  <c r="U749" i="19"/>
  <c r="T749" i="19"/>
  <c r="U748" i="19"/>
  <c r="T748" i="19"/>
  <c r="U747" i="19"/>
  <c r="T747" i="19"/>
  <c r="U746" i="19"/>
  <c r="T746" i="19"/>
  <c r="U745" i="19"/>
  <c r="T745" i="19"/>
  <c r="F745" i="19"/>
  <c r="U744" i="19"/>
  <c r="T744" i="19"/>
  <c r="U743" i="19"/>
  <c r="T743" i="19"/>
  <c r="U742" i="19"/>
  <c r="T742" i="19"/>
  <c r="U741" i="19"/>
  <c r="T741" i="19"/>
  <c r="U740" i="19"/>
  <c r="T740" i="19"/>
  <c r="U739" i="19"/>
  <c r="T739" i="19" s="1"/>
  <c r="U738" i="19"/>
  <c r="T738" i="19"/>
  <c r="U737" i="19"/>
  <c r="T737" i="19"/>
  <c r="U736" i="19"/>
  <c r="T736" i="19"/>
  <c r="U735" i="19"/>
  <c r="T735" i="19"/>
  <c r="U734" i="19"/>
  <c r="T734" i="19"/>
  <c r="F734" i="19"/>
  <c r="U733" i="19"/>
  <c r="T733" i="19"/>
  <c r="U732" i="19"/>
  <c r="T732" i="19"/>
  <c r="U731" i="19"/>
  <c r="T731" i="19"/>
  <c r="U730" i="19"/>
  <c r="T730" i="19"/>
  <c r="U729" i="19"/>
  <c r="T729" i="19"/>
  <c r="U728" i="19"/>
  <c r="T728" i="19"/>
  <c r="U727" i="19"/>
  <c r="T727" i="19"/>
  <c r="F727" i="19"/>
  <c r="U726" i="19"/>
  <c r="T726" i="19"/>
  <c r="U725" i="19"/>
  <c r="T725" i="19"/>
  <c r="U724" i="19"/>
  <c r="T724" i="19"/>
  <c r="U723" i="19"/>
  <c r="T723" i="19"/>
  <c r="U722" i="19"/>
  <c r="T722" i="19"/>
  <c r="U721" i="19"/>
  <c r="T721" i="19"/>
  <c r="U720" i="19"/>
  <c r="T720" i="19"/>
  <c r="U719" i="19"/>
  <c r="T719" i="19"/>
  <c r="U718" i="19"/>
  <c r="T718" i="19"/>
  <c r="U717" i="19"/>
  <c r="T717" i="19"/>
  <c r="U716" i="19"/>
  <c r="T716" i="19"/>
  <c r="U715" i="19"/>
  <c r="T715" i="19"/>
  <c r="U714" i="19"/>
  <c r="T714" i="19"/>
  <c r="U713" i="19"/>
  <c r="T713" i="19"/>
  <c r="U712" i="19"/>
  <c r="T712" i="19"/>
  <c r="U711" i="19"/>
  <c r="T711" i="19"/>
  <c r="U710" i="19"/>
  <c r="T710" i="19"/>
  <c r="U709" i="19"/>
  <c r="T709" i="19"/>
  <c r="U708" i="19"/>
  <c r="T708" i="19"/>
  <c r="U707" i="19"/>
  <c r="T707" i="19"/>
  <c r="U706" i="19"/>
  <c r="T706" i="19"/>
  <c r="U705" i="19"/>
  <c r="T705" i="19"/>
  <c r="U704" i="19"/>
  <c r="T704" i="19"/>
  <c r="U703" i="19"/>
  <c r="T703" i="19"/>
  <c r="U702" i="19"/>
  <c r="T702" i="19"/>
  <c r="U701" i="19"/>
  <c r="T701" i="19"/>
  <c r="U700" i="19"/>
  <c r="T700" i="19"/>
  <c r="U699" i="19"/>
  <c r="T699" i="19"/>
  <c r="U698" i="19"/>
  <c r="T698" i="19"/>
  <c r="F698" i="19"/>
  <c r="U697" i="19"/>
  <c r="T697" i="19"/>
  <c r="U696" i="19"/>
  <c r="T696" i="19"/>
  <c r="U695" i="19"/>
  <c r="T695" i="19"/>
  <c r="U694" i="19"/>
  <c r="T694" i="19"/>
  <c r="U693" i="19"/>
  <c r="T693" i="19"/>
  <c r="U692" i="19"/>
  <c r="T692" i="19"/>
  <c r="U691" i="19"/>
  <c r="T691" i="19"/>
  <c r="F691" i="19"/>
  <c r="U690" i="19"/>
  <c r="T690" i="19"/>
  <c r="F690" i="19"/>
  <c r="U689" i="19"/>
  <c r="T689" i="19"/>
  <c r="U688" i="19"/>
  <c r="T688" i="19"/>
  <c r="U687" i="19"/>
  <c r="T687" i="19"/>
  <c r="U686" i="19"/>
  <c r="T686" i="19"/>
  <c r="U685" i="19"/>
  <c r="T685" i="19"/>
  <c r="U684" i="19"/>
  <c r="T684" i="19"/>
  <c r="U683" i="19"/>
  <c r="T683" i="19"/>
  <c r="U682" i="19"/>
  <c r="T682" i="19"/>
  <c r="U681" i="19"/>
  <c r="T681" i="19"/>
  <c r="U680" i="19"/>
  <c r="T680" i="19"/>
  <c r="U679" i="19"/>
  <c r="T679" i="19"/>
  <c r="U678" i="19"/>
  <c r="T678" i="19"/>
  <c r="U677" i="19"/>
  <c r="T677" i="19"/>
  <c r="U676" i="19"/>
  <c r="T676" i="19"/>
  <c r="U675" i="19"/>
  <c r="T675" i="19"/>
  <c r="U674" i="19"/>
  <c r="T674" i="19"/>
  <c r="U673" i="19"/>
  <c r="T673" i="19"/>
  <c r="U672" i="19"/>
  <c r="T672" i="19"/>
  <c r="U671" i="19"/>
  <c r="T671" i="19"/>
  <c r="U670" i="19"/>
  <c r="T670" i="19"/>
  <c r="U669" i="19"/>
  <c r="T669" i="19"/>
  <c r="U668" i="19"/>
  <c r="T668" i="19"/>
  <c r="U667" i="19"/>
  <c r="T667" i="19"/>
  <c r="F667" i="19"/>
  <c r="U666" i="19"/>
  <c r="T666" i="19"/>
  <c r="U665" i="19"/>
  <c r="T665" i="19"/>
  <c r="U664" i="19"/>
  <c r="T664" i="19"/>
  <c r="U663" i="19"/>
  <c r="T663" i="19"/>
  <c r="U662" i="19"/>
  <c r="T662" i="19"/>
  <c r="U661" i="19"/>
  <c r="T661" i="19"/>
  <c r="U660" i="19"/>
  <c r="T660" i="19"/>
  <c r="U659" i="19"/>
  <c r="T659" i="19"/>
  <c r="U658" i="19"/>
  <c r="T658" i="19"/>
  <c r="U657" i="19"/>
  <c r="T657" i="19"/>
  <c r="U656" i="19"/>
  <c r="T656" i="19"/>
  <c r="U655" i="19"/>
  <c r="T655" i="19"/>
  <c r="U654" i="19"/>
  <c r="T654" i="19"/>
  <c r="U653" i="19"/>
  <c r="T653" i="19"/>
  <c r="U652" i="19"/>
  <c r="T652" i="19"/>
  <c r="U651" i="19"/>
  <c r="T651" i="19"/>
  <c r="U650" i="19"/>
  <c r="T650" i="19"/>
  <c r="U649" i="19"/>
  <c r="T649" i="19"/>
  <c r="U648" i="19"/>
  <c r="T648" i="19"/>
  <c r="U647" i="19"/>
  <c r="T647" i="19"/>
  <c r="U646" i="19"/>
  <c r="T646" i="19"/>
  <c r="U645" i="19"/>
  <c r="T645" i="19"/>
  <c r="F645" i="19"/>
  <c r="U644" i="19"/>
  <c r="T644" i="19"/>
  <c r="F644" i="19"/>
  <c r="U643" i="19"/>
  <c r="T643" i="19"/>
  <c r="U642" i="19"/>
  <c r="T642" i="19"/>
  <c r="U641" i="19"/>
  <c r="T641" i="19"/>
  <c r="U640" i="19"/>
  <c r="T640" i="19"/>
  <c r="U639" i="19"/>
  <c r="T639" i="19"/>
  <c r="U638" i="19"/>
  <c r="T638" i="19"/>
  <c r="U637" i="19"/>
  <c r="T637" i="19"/>
  <c r="F637" i="19"/>
  <c r="U636" i="19"/>
  <c r="T636" i="19"/>
  <c r="U635" i="19"/>
  <c r="T635" i="19"/>
  <c r="U634" i="19"/>
  <c r="T634" i="19"/>
  <c r="U633" i="19"/>
  <c r="T633" i="19"/>
  <c r="U632" i="19"/>
  <c r="T632" i="19"/>
  <c r="U631" i="19"/>
  <c r="T631" i="19"/>
  <c r="F631" i="19"/>
  <c r="U630" i="19"/>
  <c r="T630" i="19"/>
  <c r="U629" i="19"/>
  <c r="T629" i="19"/>
  <c r="U628" i="19"/>
  <c r="T628" i="19"/>
  <c r="U627" i="19"/>
  <c r="T627" i="19"/>
  <c r="U626" i="19"/>
  <c r="T626" i="19"/>
  <c r="U625" i="19"/>
  <c r="T625" i="19"/>
  <c r="U624" i="19"/>
  <c r="T624" i="19"/>
  <c r="U623" i="19"/>
  <c r="T623" i="19"/>
  <c r="U622" i="19"/>
  <c r="T622" i="19"/>
  <c r="U621" i="19"/>
  <c r="T621" i="19"/>
  <c r="U620" i="19"/>
  <c r="T620" i="19"/>
  <c r="U619" i="19"/>
  <c r="T619" i="19"/>
  <c r="U618" i="19"/>
  <c r="T618" i="19"/>
  <c r="U617" i="19"/>
  <c r="T617" i="19"/>
  <c r="U616" i="19"/>
  <c r="T616" i="19" s="1"/>
  <c r="U615" i="19"/>
  <c r="T615" i="19"/>
  <c r="U614" i="19"/>
  <c r="T614" i="19"/>
  <c r="U613" i="19"/>
  <c r="T613" i="19"/>
  <c r="U612" i="19"/>
  <c r="T612" i="19"/>
  <c r="U611" i="19"/>
  <c r="T611" i="19"/>
  <c r="U610" i="19"/>
  <c r="T610" i="19"/>
  <c r="U609" i="19"/>
  <c r="T609" i="19"/>
  <c r="U608" i="19"/>
  <c r="T608" i="19"/>
  <c r="U607" i="19"/>
  <c r="T607" i="19"/>
  <c r="U606" i="19"/>
  <c r="T606" i="19"/>
  <c r="U605" i="19"/>
  <c r="T605" i="19"/>
  <c r="U604" i="19"/>
  <c r="T604" i="19"/>
  <c r="U603" i="19"/>
  <c r="T603" i="19"/>
  <c r="U602" i="19"/>
  <c r="T602" i="19"/>
  <c r="U601" i="19"/>
  <c r="T601" i="19"/>
  <c r="U600" i="19"/>
  <c r="T600" i="19"/>
  <c r="U599" i="19"/>
  <c r="T599" i="19"/>
  <c r="U598" i="19"/>
  <c r="T598" i="19"/>
  <c r="U597" i="19"/>
  <c r="T597" i="19"/>
  <c r="U596" i="19"/>
  <c r="T596" i="19"/>
  <c r="U595" i="19"/>
  <c r="T595" i="19"/>
  <c r="U594" i="19"/>
  <c r="T594" i="19"/>
  <c r="U593" i="19"/>
  <c r="T593" i="19"/>
  <c r="U592" i="19"/>
  <c r="T592" i="19"/>
  <c r="U591" i="19"/>
  <c r="T591" i="19"/>
  <c r="U590" i="19"/>
  <c r="T590" i="19"/>
  <c r="U589" i="19"/>
  <c r="T589" i="19"/>
  <c r="U588" i="19"/>
  <c r="T588" i="19"/>
  <c r="U587" i="19"/>
  <c r="T587" i="19"/>
  <c r="U586" i="19"/>
  <c r="T586" i="19"/>
  <c r="U585" i="19"/>
  <c r="T585" i="19"/>
  <c r="U584" i="19"/>
  <c r="T584" i="19"/>
  <c r="U583" i="19"/>
  <c r="T583" i="19"/>
  <c r="U582" i="19"/>
  <c r="T582" i="19"/>
  <c r="U581" i="19"/>
  <c r="T581" i="19"/>
  <c r="U580" i="19"/>
  <c r="T580" i="19"/>
  <c r="U579" i="19"/>
  <c r="T579" i="19"/>
  <c r="U578" i="19"/>
  <c r="T578" i="19"/>
  <c r="U577" i="19"/>
  <c r="T577" i="19"/>
  <c r="U576" i="19"/>
  <c r="T576" i="19"/>
  <c r="U575" i="19"/>
  <c r="T575" i="19"/>
  <c r="U574" i="19"/>
  <c r="T574" i="19"/>
  <c r="U573" i="19"/>
  <c r="T573" i="19"/>
  <c r="U572" i="19"/>
  <c r="T572" i="19"/>
  <c r="F572" i="19"/>
  <c r="U571" i="19"/>
  <c r="T571" i="19"/>
  <c r="U570" i="19"/>
  <c r="T570" i="19"/>
  <c r="U569" i="19"/>
  <c r="T569" i="19"/>
  <c r="U568" i="19"/>
  <c r="T568" i="19"/>
  <c r="U567" i="19"/>
  <c r="T567" i="19"/>
  <c r="U566" i="19"/>
  <c r="T566" i="19"/>
  <c r="F566" i="19"/>
  <c r="U565" i="19"/>
  <c r="T565" i="19"/>
  <c r="U564" i="19"/>
  <c r="T564" i="19"/>
  <c r="U563" i="19"/>
  <c r="T563" i="19"/>
  <c r="U562" i="19"/>
  <c r="T562" i="19"/>
  <c r="F562" i="19"/>
  <c r="U561" i="19"/>
  <c r="U560" i="19"/>
  <c r="T560" i="19"/>
  <c r="U559" i="19"/>
  <c r="T559" i="19"/>
  <c r="U558" i="19"/>
  <c r="T558" i="19"/>
  <c r="U557" i="19"/>
  <c r="T557" i="19"/>
  <c r="U556" i="19"/>
  <c r="T556" i="19"/>
  <c r="U555" i="19"/>
  <c r="T555" i="19"/>
  <c r="U554" i="19"/>
  <c r="T554" i="19"/>
  <c r="U553" i="19"/>
  <c r="T553" i="19"/>
  <c r="U552" i="19"/>
  <c r="T552" i="19"/>
  <c r="U551" i="19"/>
  <c r="T551" i="19"/>
  <c r="U550" i="19"/>
  <c r="T550" i="19"/>
  <c r="U549" i="19"/>
  <c r="T549" i="19"/>
  <c r="U548" i="19"/>
  <c r="T548" i="19"/>
  <c r="U547" i="19"/>
  <c r="T547" i="19"/>
  <c r="U546" i="19"/>
  <c r="T546" i="19"/>
  <c r="U545" i="19"/>
  <c r="T545" i="19"/>
  <c r="U544" i="19"/>
  <c r="T544" i="19"/>
  <c r="U543" i="19"/>
  <c r="T543" i="19"/>
  <c r="F543" i="19"/>
  <c r="U542" i="19"/>
  <c r="T542" i="19"/>
  <c r="U541" i="19"/>
  <c r="T541" i="19"/>
  <c r="U540" i="19"/>
  <c r="T540" i="19"/>
  <c r="U539" i="19"/>
  <c r="T539" i="19"/>
  <c r="F539" i="19"/>
  <c r="U538" i="19"/>
  <c r="T538" i="19"/>
  <c r="U537" i="19"/>
  <c r="T537" i="19"/>
  <c r="U536" i="19"/>
  <c r="T536" i="19"/>
  <c r="U535" i="19"/>
  <c r="T535" i="19"/>
  <c r="U534" i="19"/>
  <c r="T534" i="19"/>
  <c r="U533" i="19"/>
  <c r="T533" i="19"/>
  <c r="U532" i="19"/>
  <c r="T532" i="19"/>
  <c r="U531" i="19"/>
  <c r="T531" i="19"/>
  <c r="U530" i="19"/>
  <c r="T530" i="19"/>
  <c r="U529" i="19"/>
  <c r="T529" i="19"/>
  <c r="U528" i="19"/>
  <c r="T528" i="19"/>
  <c r="U527" i="19"/>
  <c r="T527" i="19"/>
  <c r="F527" i="19"/>
  <c r="U526" i="19"/>
  <c r="T526" i="19"/>
  <c r="U525" i="19"/>
  <c r="T525" i="19"/>
  <c r="U524" i="19"/>
  <c r="T524" i="19"/>
  <c r="U523" i="19"/>
  <c r="T523" i="19"/>
  <c r="U522" i="19"/>
  <c r="T522" i="19"/>
  <c r="U521" i="19"/>
  <c r="T521" i="19"/>
  <c r="U520" i="19"/>
  <c r="T520" i="19"/>
  <c r="U519" i="19"/>
  <c r="T519" i="19"/>
  <c r="U518" i="19"/>
  <c r="T518" i="19"/>
  <c r="U517" i="19"/>
  <c r="T517" i="19"/>
  <c r="U516" i="19"/>
  <c r="T516" i="19"/>
  <c r="U515" i="19"/>
  <c r="T515" i="19"/>
  <c r="U514" i="19"/>
  <c r="T514" i="19"/>
  <c r="U513" i="19"/>
  <c r="T513" i="19"/>
  <c r="U512" i="19"/>
  <c r="T512" i="19"/>
  <c r="U511" i="19"/>
  <c r="T511" i="19"/>
  <c r="U510" i="19"/>
  <c r="T510" i="19"/>
  <c r="U509" i="19"/>
  <c r="T509" i="19"/>
  <c r="U508" i="19"/>
  <c r="T508" i="19"/>
  <c r="U507" i="19"/>
  <c r="T507" i="19"/>
  <c r="U506" i="19"/>
  <c r="T506" i="19"/>
  <c r="U505" i="19"/>
  <c r="T505" i="19"/>
  <c r="U504" i="19"/>
  <c r="T504" i="19"/>
  <c r="U503" i="19"/>
  <c r="T503" i="19"/>
  <c r="U502" i="19"/>
  <c r="T502" i="19"/>
  <c r="U501" i="19"/>
  <c r="T501" i="19"/>
  <c r="U500" i="19"/>
  <c r="T500" i="19"/>
  <c r="U499" i="19"/>
  <c r="T499" i="19"/>
  <c r="U498" i="19"/>
  <c r="T498" i="19"/>
  <c r="U497" i="19"/>
  <c r="T497" i="19"/>
  <c r="U496" i="19"/>
  <c r="T496" i="19"/>
  <c r="U495" i="19"/>
  <c r="T495" i="19"/>
  <c r="U494" i="19"/>
  <c r="T494" i="19"/>
  <c r="U493" i="19"/>
  <c r="T493" i="19"/>
  <c r="U492" i="19"/>
  <c r="T492" i="19"/>
  <c r="U491" i="19"/>
  <c r="T491" i="19"/>
  <c r="U490" i="19"/>
  <c r="T490" i="19"/>
  <c r="U489" i="19"/>
  <c r="T489" i="19"/>
  <c r="U488" i="19"/>
  <c r="T488" i="19"/>
  <c r="U487" i="19"/>
  <c r="T487" i="19"/>
  <c r="U486" i="19"/>
  <c r="T486" i="19"/>
  <c r="U485" i="19"/>
  <c r="T485" i="19"/>
  <c r="U484" i="19"/>
  <c r="T484" i="19"/>
  <c r="U483" i="19"/>
  <c r="T483" i="19"/>
  <c r="U482" i="19"/>
  <c r="T482" i="19"/>
  <c r="U481" i="19"/>
  <c r="T481" i="19"/>
  <c r="U480" i="19"/>
  <c r="T480" i="19"/>
  <c r="U479" i="19"/>
  <c r="T479" i="19"/>
  <c r="U478" i="19"/>
  <c r="T478" i="19"/>
  <c r="U477" i="19"/>
  <c r="T477" i="19"/>
  <c r="U476" i="19"/>
  <c r="T476" i="19"/>
  <c r="U475" i="19"/>
  <c r="T475" i="19"/>
  <c r="U474" i="19"/>
  <c r="T474" i="19"/>
  <c r="U473" i="19"/>
  <c r="T473" i="19"/>
  <c r="U472" i="19"/>
  <c r="T472" i="19"/>
  <c r="U471" i="19"/>
  <c r="T471" i="19"/>
  <c r="U470" i="19"/>
  <c r="T470" i="19"/>
  <c r="U469" i="19"/>
  <c r="T469" i="19"/>
  <c r="U468" i="19"/>
  <c r="T468" i="19"/>
  <c r="U467" i="19"/>
  <c r="T467" i="19"/>
  <c r="F467" i="19"/>
  <c r="U466" i="19"/>
  <c r="T466" i="19"/>
  <c r="U465" i="19"/>
  <c r="T465" i="19"/>
  <c r="U464" i="19"/>
  <c r="T464" i="19"/>
  <c r="U463" i="19"/>
  <c r="T463" i="19"/>
  <c r="U462" i="19"/>
  <c r="T462" i="19"/>
  <c r="U461" i="19"/>
  <c r="T461" i="19"/>
  <c r="U460" i="19"/>
  <c r="T460" i="19"/>
  <c r="U459" i="19"/>
  <c r="T459" i="19"/>
  <c r="U458" i="19"/>
  <c r="T458" i="19"/>
  <c r="U457" i="19"/>
  <c r="T457" i="19"/>
  <c r="F457" i="19"/>
  <c r="U456" i="19"/>
  <c r="T456" i="19"/>
  <c r="U455" i="19"/>
  <c r="T455" i="19"/>
  <c r="U454" i="19"/>
  <c r="T454" i="19"/>
  <c r="U453" i="19"/>
  <c r="T453" i="19"/>
  <c r="U452" i="19"/>
  <c r="T452" i="19"/>
  <c r="U451" i="19"/>
  <c r="T451" i="19"/>
  <c r="U450" i="19"/>
  <c r="T450" i="19"/>
  <c r="U449" i="19"/>
  <c r="T449" i="19"/>
  <c r="U448" i="19"/>
  <c r="T448" i="19"/>
  <c r="F448" i="19"/>
  <c r="U447" i="19"/>
  <c r="T447" i="19"/>
  <c r="U446" i="19"/>
  <c r="T446" i="19"/>
  <c r="U445" i="19"/>
  <c r="T445" i="19"/>
  <c r="U444" i="19"/>
  <c r="T444" i="19"/>
  <c r="U443" i="19"/>
  <c r="T443" i="19"/>
  <c r="U442" i="19"/>
  <c r="T442" i="19"/>
  <c r="U441" i="19"/>
  <c r="T441" i="19"/>
  <c r="U440" i="19"/>
  <c r="T440" i="19"/>
  <c r="U439" i="19"/>
  <c r="T439" i="19"/>
  <c r="F439" i="19"/>
  <c r="U438" i="19"/>
  <c r="T438" i="19"/>
  <c r="U437" i="19"/>
  <c r="T437" i="19"/>
  <c r="U436" i="19"/>
  <c r="T436" i="19"/>
  <c r="U435" i="19"/>
  <c r="T435" i="19"/>
  <c r="U434" i="19"/>
  <c r="T434" i="19"/>
  <c r="U433" i="19"/>
  <c r="T433" i="19"/>
  <c r="U432" i="19"/>
  <c r="T432" i="19"/>
  <c r="U431" i="19"/>
  <c r="T431" i="19"/>
  <c r="U430" i="19"/>
  <c r="T430" i="19"/>
  <c r="U429" i="19"/>
  <c r="T429" i="19"/>
  <c r="U428" i="19"/>
  <c r="T428" i="19" s="1"/>
  <c r="U427" i="19"/>
  <c r="T427" i="19"/>
  <c r="U426" i="19"/>
  <c r="T426" i="19" s="1"/>
  <c r="U425" i="19"/>
  <c r="T425" i="19"/>
  <c r="U424" i="19"/>
  <c r="T424" i="19"/>
  <c r="U423" i="19"/>
  <c r="T423" i="19"/>
  <c r="U422" i="19"/>
  <c r="T422" i="19"/>
  <c r="U421" i="19"/>
  <c r="T421" i="19"/>
  <c r="U420" i="19"/>
  <c r="T420" i="19"/>
  <c r="U419" i="19"/>
  <c r="T419" i="19"/>
  <c r="U418" i="19"/>
  <c r="T418" i="19"/>
  <c r="U417" i="19"/>
  <c r="T417" i="19"/>
  <c r="U416" i="19"/>
  <c r="T416" i="19"/>
  <c r="F416" i="19"/>
  <c r="U415" i="19"/>
  <c r="T415" i="19"/>
  <c r="F415" i="19"/>
  <c r="U414" i="19"/>
  <c r="T414" i="19"/>
  <c r="U413" i="19"/>
  <c r="T413" i="19"/>
  <c r="U412" i="19"/>
  <c r="T412" i="19"/>
  <c r="U411" i="19"/>
  <c r="T411" i="19"/>
  <c r="U410" i="19"/>
  <c r="T410" i="19"/>
  <c r="U409" i="19"/>
  <c r="T409" i="19"/>
  <c r="U408" i="19"/>
  <c r="T408" i="19"/>
  <c r="U407" i="19"/>
  <c r="T407" i="19"/>
  <c r="U406" i="19"/>
  <c r="T406" i="19"/>
  <c r="F406" i="19"/>
  <c r="U405" i="19"/>
  <c r="T405" i="19"/>
  <c r="U404" i="19"/>
  <c r="T404" i="19"/>
  <c r="U403" i="19"/>
  <c r="T403" i="19"/>
  <c r="U402" i="19"/>
  <c r="T402" i="19"/>
  <c r="U401" i="19"/>
  <c r="T401" i="19"/>
  <c r="U400" i="19"/>
  <c r="T400" i="19"/>
  <c r="U399" i="19"/>
  <c r="T399" i="19"/>
  <c r="U398" i="19"/>
  <c r="T398" i="19"/>
  <c r="F398" i="19"/>
  <c r="U397" i="19"/>
  <c r="T397" i="19"/>
  <c r="U396" i="19"/>
  <c r="T396" i="19"/>
  <c r="U395" i="19"/>
  <c r="T395" i="19"/>
  <c r="U394" i="19"/>
  <c r="T394" i="19"/>
  <c r="U393" i="19"/>
  <c r="T393" i="19"/>
  <c r="U392" i="19"/>
  <c r="T392" i="19"/>
  <c r="U391" i="19"/>
  <c r="T391" i="19"/>
  <c r="U390" i="19"/>
  <c r="T390" i="19"/>
  <c r="U389" i="19"/>
  <c r="T389" i="19"/>
  <c r="U388" i="19"/>
  <c r="T388" i="19"/>
  <c r="U387" i="19"/>
  <c r="T387" i="19"/>
  <c r="F387" i="19"/>
  <c r="U386" i="19"/>
  <c r="T386" i="19"/>
  <c r="U385" i="19"/>
  <c r="T385" i="19"/>
  <c r="U384" i="19"/>
  <c r="T384" i="19"/>
  <c r="U383" i="19"/>
  <c r="T383" i="19"/>
  <c r="U382" i="19"/>
  <c r="T382" i="19"/>
  <c r="U381" i="19"/>
  <c r="T381" i="19"/>
  <c r="U380" i="19"/>
  <c r="T380" i="19"/>
  <c r="U379" i="19"/>
  <c r="T379" i="19"/>
  <c r="U378" i="19"/>
  <c r="T378" i="19"/>
  <c r="U377" i="19"/>
  <c r="T377" i="19"/>
  <c r="U376" i="19"/>
  <c r="T376" i="19"/>
  <c r="U375" i="19"/>
  <c r="T375" i="19"/>
  <c r="U374" i="19"/>
  <c r="T374" i="19"/>
  <c r="U373" i="19"/>
  <c r="T373" i="19"/>
  <c r="U372" i="19"/>
  <c r="T372" i="19"/>
  <c r="U371" i="19"/>
  <c r="T371" i="19"/>
  <c r="U370" i="19"/>
  <c r="T370" i="19"/>
  <c r="U369" i="19"/>
  <c r="T369" i="19"/>
  <c r="U368" i="19"/>
  <c r="T368" i="19"/>
  <c r="U367" i="19"/>
  <c r="T367" i="19"/>
  <c r="F367" i="19"/>
  <c r="U366" i="19"/>
  <c r="T366" i="19"/>
  <c r="U365" i="19"/>
  <c r="T365" i="19"/>
  <c r="U364" i="19"/>
  <c r="T364" i="19"/>
  <c r="U363" i="19"/>
  <c r="T363" i="19"/>
  <c r="U362" i="19"/>
  <c r="T362" i="19"/>
  <c r="U361" i="19"/>
  <c r="T361" i="19"/>
  <c r="U360" i="19"/>
  <c r="T360" i="19"/>
  <c r="U359" i="19"/>
  <c r="T359" i="19"/>
  <c r="U358" i="19"/>
  <c r="T358" i="19"/>
  <c r="U357" i="19"/>
  <c r="T357" i="19"/>
  <c r="U356" i="19"/>
  <c r="T356" i="19"/>
  <c r="U355" i="19"/>
  <c r="T355" i="19"/>
  <c r="F355" i="19"/>
  <c r="U354" i="19"/>
  <c r="T354" i="19"/>
  <c r="U353" i="19"/>
  <c r="T353" i="19"/>
  <c r="U352" i="19"/>
  <c r="T352" i="19"/>
  <c r="U351" i="19"/>
  <c r="T351" i="19"/>
  <c r="U350" i="19"/>
  <c r="T350" i="19"/>
  <c r="U349" i="19"/>
  <c r="T349" i="19"/>
  <c r="U348" i="19"/>
  <c r="T348" i="19"/>
  <c r="U347" i="19"/>
  <c r="T347" i="19"/>
  <c r="U346" i="19"/>
  <c r="T346" i="19"/>
  <c r="U345" i="19"/>
  <c r="T345" i="19"/>
  <c r="U344" i="19"/>
  <c r="T344" i="19"/>
  <c r="U343" i="19"/>
  <c r="T343" i="19"/>
  <c r="U342" i="19"/>
  <c r="T342" i="19"/>
  <c r="U341" i="19"/>
  <c r="T341" i="19"/>
  <c r="U340" i="19"/>
  <c r="T340" i="19"/>
  <c r="U339" i="19"/>
  <c r="T339" i="19"/>
  <c r="U338" i="19"/>
  <c r="T338" i="19"/>
  <c r="U337" i="19"/>
  <c r="T337" i="19"/>
  <c r="U336" i="19"/>
  <c r="T336" i="19"/>
  <c r="U335" i="19"/>
  <c r="T335" i="19"/>
  <c r="U334" i="19"/>
  <c r="T334" i="19"/>
  <c r="U333" i="19"/>
  <c r="T333" i="19"/>
  <c r="U332" i="19"/>
  <c r="T332" i="19"/>
  <c r="U331" i="19"/>
  <c r="T331" i="19"/>
  <c r="U330" i="19"/>
  <c r="T330" i="19"/>
  <c r="U329" i="19"/>
  <c r="T329" i="19"/>
  <c r="U328" i="19"/>
  <c r="T328" i="19"/>
  <c r="U327" i="19"/>
  <c r="T327" i="19"/>
  <c r="U326" i="19"/>
  <c r="T326" i="19"/>
  <c r="U325" i="19"/>
  <c r="T325" i="19"/>
  <c r="U324" i="19"/>
  <c r="T324" i="19"/>
  <c r="U323" i="19"/>
  <c r="T323" i="19"/>
  <c r="U322" i="19"/>
  <c r="T322" i="19"/>
  <c r="U321" i="19"/>
  <c r="T321" i="19"/>
  <c r="U320" i="19"/>
  <c r="T320" i="19"/>
  <c r="U319" i="19"/>
  <c r="T319" i="19"/>
  <c r="U318" i="19"/>
  <c r="T318" i="19"/>
  <c r="U317" i="19"/>
  <c r="T317" i="19"/>
  <c r="U316" i="19"/>
  <c r="T316" i="19"/>
  <c r="U315" i="19"/>
  <c r="T315" i="19"/>
  <c r="U314" i="19"/>
  <c r="T314" i="19"/>
  <c r="U313" i="19"/>
  <c r="T313" i="19"/>
  <c r="U312" i="19"/>
  <c r="T312" i="19"/>
  <c r="U311" i="19"/>
  <c r="T311" i="19"/>
  <c r="U310" i="19"/>
  <c r="T310" i="19"/>
  <c r="U309" i="19"/>
  <c r="T309" i="19"/>
  <c r="U308" i="19"/>
  <c r="T308" i="19"/>
  <c r="U307" i="19"/>
  <c r="T307" i="19"/>
  <c r="U306" i="19"/>
  <c r="T306" i="19"/>
  <c r="U305" i="19"/>
  <c r="T305" i="19"/>
  <c r="U304" i="19"/>
  <c r="T304" i="19"/>
  <c r="U303" i="19"/>
  <c r="T303" i="19"/>
  <c r="U302" i="19"/>
  <c r="T302" i="19"/>
  <c r="U301" i="19"/>
  <c r="T301" i="19"/>
  <c r="U300" i="19"/>
  <c r="T300" i="19"/>
  <c r="U299" i="19"/>
  <c r="T299" i="19"/>
  <c r="U298" i="19"/>
  <c r="T298" i="19"/>
  <c r="U297" i="19"/>
  <c r="T297" i="19"/>
  <c r="U296" i="19"/>
  <c r="T296" i="19"/>
  <c r="U295" i="19"/>
  <c r="T295" i="19"/>
  <c r="U294" i="19"/>
  <c r="T294" i="19"/>
  <c r="U293" i="19"/>
  <c r="T293" i="19"/>
  <c r="U292" i="19"/>
  <c r="T292" i="19"/>
  <c r="U291" i="19"/>
  <c r="T291" i="19"/>
  <c r="U290" i="19"/>
  <c r="T290" i="19"/>
  <c r="U289" i="19"/>
  <c r="T289" i="19"/>
  <c r="U288" i="19"/>
  <c r="T288" i="19"/>
  <c r="U287" i="19"/>
  <c r="T287" i="19"/>
  <c r="U286" i="19"/>
  <c r="T286" i="19"/>
  <c r="U285" i="19"/>
  <c r="T285" i="19"/>
  <c r="U284" i="19"/>
  <c r="T284" i="19"/>
  <c r="U283" i="19"/>
  <c r="T283" i="19"/>
  <c r="U282" i="19"/>
  <c r="T282" i="19"/>
  <c r="U281" i="19"/>
  <c r="T281" i="19"/>
  <c r="U280" i="19"/>
  <c r="T280" i="19"/>
  <c r="U279" i="19"/>
  <c r="T279" i="19"/>
  <c r="U278" i="19"/>
  <c r="T278" i="19"/>
  <c r="U277" i="19"/>
  <c r="T277" i="19"/>
  <c r="U276" i="19"/>
  <c r="T276" i="19"/>
  <c r="U275" i="19"/>
  <c r="T275" i="19"/>
  <c r="U274" i="19"/>
  <c r="T274" i="19"/>
  <c r="U273" i="19"/>
  <c r="T273" i="19"/>
  <c r="U272" i="19"/>
  <c r="T272" i="19"/>
  <c r="U271" i="19"/>
  <c r="T271" i="19"/>
  <c r="U270" i="19"/>
  <c r="T270" i="19"/>
  <c r="U269" i="19"/>
  <c r="T269" i="19"/>
  <c r="U268" i="19"/>
  <c r="T268" i="19"/>
  <c r="U267" i="19"/>
  <c r="T267" i="19"/>
  <c r="U266" i="19"/>
  <c r="T266" i="19"/>
  <c r="U265" i="19"/>
  <c r="T265" i="19"/>
  <c r="U264" i="19"/>
  <c r="T264" i="19"/>
  <c r="U263" i="19"/>
  <c r="T263" i="19"/>
  <c r="U262" i="19"/>
  <c r="T262" i="19"/>
  <c r="U261" i="19"/>
  <c r="T261" i="19"/>
  <c r="U260" i="19"/>
  <c r="T260" i="19"/>
  <c r="U259" i="19"/>
  <c r="T259" i="19"/>
  <c r="U258" i="19"/>
  <c r="T258" i="19"/>
  <c r="U257" i="19"/>
  <c r="U256" i="19"/>
  <c r="T256" i="19"/>
  <c r="U255" i="19"/>
  <c r="T255" i="19"/>
  <c r="U254" i="19"/>
  <c r="T254" i="19"/>
  <c r="U253" i="19"/>
  <c r="T253" i="19"/>
  <c r="U252" i="19"/>
  <c r="T252" i="19"/>
  <c r="U251" i="19"/>
  <c r="T251" i="19"/>
  <c r="U250" i="19"/>
  <c r="T250" i="19"/>
  <c r="U249" i="19"/>
  <c r="T249" i="19"/>
  <c r="U248" i="19"/>
  <c r="T248" i="19"/>
  <c r="U247" i="19"/>
  <c r="T247" i="19"/>
  <c r="U246" i="19"/>
  <c r="T246" i="19"/>
  <c r="U245" i="19"/>
  <c r="T245" i="19"/>
  <c r="U244" i="19"/>
  <c r="T244" i="19"/>
  <c r="U243" i="19"/>
  <c r="T243" i="19"/>
  <c r="U242" i="19"/>
  <c r="T242" i="19"/>
  <c r="U241" i="19"/>
  <c r="T241" i="19"/>
  <c r="U240" i="19"/>
  <c r="T240" i="19"/>
  <c r="U239" i="19"/>
  <c r="T239" i="19"/>
  <c r="U238" i="19"/>
  <c r="T238" i="19"/>
  <c r="U237" i="19"/>
  <c r="T237" i="19"/>
  <c r="U236" i="19"/>
  <c r="T236" i="19"/>
  <c r="U235" i="19"/>
  <c r="T235" i="19"/>
  <c r="U234" i="19"/>
  <c r="T234" i="19"/>
  <c r="U233" i="19"/>
  <c r="T233" i="19"/>
  <c r="U232" i="19"/>
  <c r="U231" i="19"/>
  <c r="T231" i="19"/>
  <c r="U230" i="19"/>
  <c r="T230" i="19"/>
  <c r="U229" i="19"/>
  <c r="T229" i="19"/>
  <c r="U228" i="19"/>
  <c r="T228" i="19"/>
  <c r="U227" i="19"/>
  <c r="T227" i="19"/>
  <c r="U226" i="19"/>
  <c r="T226" i="19"/>
  <c r="U225" i="19"/>
  <c r="T225" i="19"/>
  <c r="U224" i="19"/>
  <c r="T224" i="19"/>
  <c r="U223" i="19"/>
  <c r="T223" i="19"/>
  <c r="U222" i="19"/>
  <c r="T222" i="19"/>
  <c r="U221" i="19"/>
  <c r="T221" i="19"/>
  <c r="U220" i="19"/>
  <c r="T220" i="19"/>
  <c r="U219" i="19"/>
  <c r="T219" i="19"/>
  <c r="U218" i="19"/>
  <c r="T218" i="19"/>
  <c r="U217" i="19"/>
  <c r="T217" i="19"/>
  <c r="U216" i="19"/>
  <c r="T216" i="19"/>
  <c r="U215" i="19"/>
  <c r="T215" i="19"/>
  <c r="U214" i="19"/>
  <c r="T214" i="19"/>
  <c r="U213" i="19"/>
  <c r="T213" i="19"/>
  <c r="U212" i="19"/>
  <c r="T212" i="19"/>
  <c r="U211" i="19"/>
  <c r="T211" i="19"/>
  <c r="U210" i="19"/>
  <c r="T210" i="19"/>
  <c r="U209" i="19"/>
  <c r="T209" i="19"/>
  <c r="U208" i="19"/>
  <c r="T208" i="19"/>
  <c r="U207" i="19"/>
  <c r="T207" i="19"/>
  <c r="U206" i="19"/>
  <c r="T206" i="19"/>
  <c r="U205" i="19"/>
  <c r="T205" i="19"/>
  <c r="U204" i="19"/>
  <c r="T204" i="19"/>
  <c r="U203" i="19"/>
  <c r="T203" i="19"/>
  <c r="U202" i="19"/>
  <c r="T202" i="19"/>
  <c r="U201" i="19"/>
  <c r="T201" i="19"/>
  <c r="U200" i="19"/>
  <c r="T200" i="19"/>
  <c r="U199" i="19"/>
  <c r="T199" i="19"/>
  <c r="U198" i="19"/>
  <c r="T198" i="19"/>
  <c r="U197" i="19"/>
  <c r="T197" i="19"/>
  <c r="U196" i="19"/>
  <c r="T196" i="19"/>
  <c r="U195" i="19"/>
  <c r="T195" i="19"/>
  <c r="U194" i="19"/>
  <c r="T194" i="19"/>
  <c r="U193" i="19"/>
  <c r="T193" i="19"/>
  <c r="U192" i="19"/>
  <c r="T192" i="19"/>
  <c r="U191" i="19"/>
  <c r="T191" i="19"/>
  <c r="U190" i="19"/>
  <c r="T190" i="19"/>
  <c r="U189" i="19"/>
  <c r="T189" i="19"/>
  <c r="U188" i="19"/>
  <c r="T188" i="19"/>
  <c r="U187" i="19"/>
  <c r="T187" i="19"/>
  <c r="U186" i="19"/>
  <c r="T186" i="19"/>
  <c r="U185" i="19"/>
  <c r="T185" i="19"/>
  <c r="U184" i="19"/>
  <c r="T184" i="19"/>
  <c r="U183" i="19"/>
  <c r="T183" i="19"/>
  <c r="U182" i="19"/>
  <c r="T182" i="19"/>
  <c r="U181" i="19"/>
  <c r="T181" i="19"/>
  <c r="U180" i="19"/>
  <c r="T180" i="19"/>
  <c r="U179" i="19"/>
  <c r="T179" i="19"/>
  <c r="U178" i="19"/>
  <c r="T178" i="19"/>
  <c r="U177" i="19"/>
  <c r="T177" i="19"/>
  <c r="U176" i="19"/>
  <c r="T176" i="19"/>
  <c r="U175" i="19"/>
  <c r="T175" i="19"/>
  <c r="U174" i="19"/>
  <c r="T174" i="19"/>
  <c r="U173" i="19"/>
  <c r="T173" i="19"/>
  <c r="U172" i="19"/>
  <c r="T172" i="19"/>
  <c r="U171" i="19"/>
  <c r="T171" i="19"/>
  <c r="U170" i="19"/>
  <c r="T170" i="19"/>
  <c r="U169" i="19"/>
  <c r="T169" i="19"/>
  <c r="U168" i="19"/>
  <c r="T168" i="19"/>
  <c r="U167" i="19"/>
  <c r="T167" i="19"/>
  <c r="U166" i="19"/>
  <c r="T166" i="19"/>
  <c r="U165" i="19"/>
  <c r="T165" i="19"/>
  <c r="U164" i="19"/>
  <c r="T164" i="19"/>
  <c r="U163" i="19"/>
  <c r="T163" i="19"/>
  <c r="U162" i="19"/>
  <c r="T162" i="19"/>
  <c r="U161" i="19"/>
  <c r="T161" i="19"/>
  <c r="U160" i="19"/>
  <c r="T160" i="19"/>
  <c r="U159" i="19"/>
  <c r="T159" i="19"/>
  <c r="U158" i="19"/>
  <c r="T158" i="19"/>
  <c r="U157" i="19"/>
  <c r="T157" i="19"/>
  <c r="U156" i="19"/>
  <c r="T156" i="19"/>
  <c r="U155" i="19"/>
  <c r="T155" i="19"/>
  <c r="U154" i="19"/>
  <c r="T154" i="19"/>
  <c r="U153" i="19"/>
  <c r="T153" i="19"/>
  <c r="U152" i="19"/>
  <c r="T152" i="19"/>
  <c r="U151" i="19"/>
  <c r="T151" i="19"/>
  <c r="U150" i="19"/>
  <c r="T150" i="19"/>
  <c r="U149" i="19"/>
  <c r="T149" i="19"/>
  <c r="U148" i="19"/>
  <c r="T148" i="19"/>
  <c r="U147" i="19"/>
  <c r="T147" i="19"/>
  <c r="U146" i="19"/>
  <c r="T146" i="19"/>
  <c r="U145" i="19"/>
  <c r="T145" i="19"/>
  <c r="U144" i="19"/>
  <c r="T144" i="19"/>
  <c r="U143" i="19"/>
  <c r="T143" i="19"/>
  <c r="U142" i="19"/>
  <c r="T142" i="19"/>
  <c r="U141" i="19"/>
  <c r="T141" i="19"/>
  <c r="U140" i="19"/>
  <c r="T140" i="19"/>
  <c r="U139" i="19"/>
  <c r="T139" i="19"/>
  <c r="U138" i="19"/>
  <c r="T138" i="19"/>
  <c r="U137" i="19"/>
  <c r="T137" i="19"/>
  <c r="U136" i="19"/>
  <c r="T136" i="19"/>
  <c r="U135" i="19"/>
  <c r="T135" i="19"/>
  <c r="U134" i="19"/>
  <c r="T134" i="19"/>
  <c r="U133" i="19"/>
  <c r="T133" i="19"/>
  <c r="U132" i="19"/>
  <c r="T132" i="19"/>
  <c r="U131" i="19"/>
  <c r="T131" i="19"/>
  <c r="U130" i="19"/>
  <c r="T130" i="19"/>
  <c r="U129" i="19"/>
  <c r="T129" i="19"/>
  <c r="U128" i="19"/>
  <c r="T128" i="19"/>
  <c r="U127" i="19"/>
  <c r="T127" i="19"/>
  <c r="U126" i="19"/>
  <c r="T126" i="19"/>
  <c r="U125" i="19"/>
  <c r="T125" i="19"/>
  <c r="U124" i="19"/>
  <c r="T124" i="19"/>
  <c r="U123" i="19"/>
  <c r="T123" i="19"/>
  <c r="U122" i="19"/>
  <c r="T122" i="19"/>
  <c r="U121" i="19"/>
  <c r="T121" i="19"/>
  <c r="U120" i="19"/>
  <c r="T120" i="19"/>
  <c r="U119" i="19"/>
  <c r="T119" i="19"/>
  <c r="U118" i="19"/>
  <c r="T118" i="19"/>
  <c r="U117" i="19"/>
  <c r="T117" i="19"/>
  <c r="U116" i="19"/>
  <c r="T116" i="19"/>
  <c r="U115" i="19"/>
  <c r="T115" i="19"/>
  <c r="U114" i="19"/>
  <c r="T114" i="19"/>
  <c r="U113" i="19"/>
  <c r="T113" i="19"/>
  <c r="U112" i="19"/>
  <c r="T112" i="19"/>
  <c r="U111" i="19"/>
  <c r="T111" i="19"/>
  <c r="U110" i="19"/>
  <c r="T110" i="19"/>
  <c r="U109" i="19"/>
  <c r="T109" i="19"/>
  <c r="U108" i="19"/>
  <c r="T108" i="19"/>
  <c r="U107" i="19"/>
  <c r="T107" i="19"/>
  <c r="U106" i="19"/>
  <c r="T106" i="19"/>
  <c r="U105" i="19"/>
  <c r="T105" i="19"/>
  <c r="U104" i="19"/>
  <c r="T104" i="19"/>
  <c r="U103" i="19"/>
  <c r="T103" i="19"/>
  <c r="U102" i="19"/>
  <c r="T102" i="19"/>
  <c r="U101" i="19"/>
  <c r="T101" i="19"/>
  <c r="U100" i="19"/>
  <c r="T100" i="19"/>
  <c r="U99" i="19"/>
  <c r="T99" i="19"/>
  <c r="U98" i="19"/>
  <c r="T98" i="19"/>
  <c r="U97" i="19"/>
  <c r="T97" i="19"/>
  <c r="U96" i="19"/>
  <c r="T96" i="19"/>
  <c r="U95" i="19"/>
  <c r="T95" i="19"/>
  <c r="U94" i="19"/>
  <c r="T94" i="19"/>
  <c r="U93" i="19"/>
  <c r="T93" i="19"/>
  <c r="U92" i="19"/>
  <c r="T92" i="19"/>
  <c r="U91" i="19"/>
  <c r="T91" i="19"/>
  <c r="U90" i="19"/>
  <c r="T90" i="19"/>
  <c r="U89" i="19"/>
  <c r="T89" i="19"/>
  <c r="U88" i="19"/>
  <c r="T88" i="19"/>
  <c r="U87" i="19"/>
  <c r="T87" i="19"/>
  <c r="U86" i="19"/>
  <c r="T86" i="19"/>
  <c r="U85" i="19"/>
  <c r="T85" i="19"/>
  <c r="U84" i="19"/>
  <c r="T84" i="19"/>
  <c r="U83" i="19"/>
  <c r="T83" i="19"/>
  <c r="U82" i="19"/>
  <c r="T82" i="19"/>
  <c r="U81" i="19"/>
  <c r="T81" i="19"/>
  <c r="U80" i="19"/>
  <c r="T80" i="19"/>
  <c r="U79" i="19"/>
  <c r="T79" i="19"/>
  <c r="U78" i="19"/>
  <c r="T78" i="19"/>
  <c r="U77" i="19"/>
  <c r="T77" i="19"/>
  <c r="U76" i="19"/>
  <c r="T76" i="19"/>
  <c r="U75" i="19"/>
  <c r="T75" i="19"/>
  <c r="U74" i="19"/>
  <c r="T74" i="19"/>
  <c r="U73" i="19"/>
  <c r="T73" i="19"/>
  <c r="U72" i="19"/>
  <c r="T72" i="19"/>
  <c r="U71" i="19"/>
  <c r="T71" i="19"/>
  <c r="U70" i="19"/>
  <c r="T70" i="19"/>
  <c r="U69" i="19"/>
  <c r="T69" i="19"/>
  <c r="U68" i="19"/>
  <c r="T68" i="19"/>
  <c r="U67" i="19"/>
  <c r="T67" i="19"/>
  <c r="U66" i="19"/>
  <c r="T66" i="19"/>
  <c r="U65" i="19"/>
  <c r="T65" i="19"/>
  <c r="U64" i="19"/>
  <c r="T64" i="19"/>
  <c r="U63" i="19"/>
  <c r="T63" i="19"/>
  <c r="U62" i="19"/>
  <c r="T62" i="19"/>
  <c r="U61" i="19"/>
  <c r="T61" i="19"/>
  <c r="U60" i="19"/>
  <c r="T60" i="19"/>
  <c r="U59" i="19"/>
  <c r="T59" i="19"/>
  <c r="U58" i="19"/>
  <c r="T58" i="19"/>
  <c r="U57" i="19"/>
  <c r="T57" i="19"/>
  <c r="U56" i="19"/>
  <c r="T56" i="19"/>
  <c r="U55" i="19"/>
  <c r="T55" i="19"/>
  <c r="U54" i="19"/>
  <c r="T54" i="19"/>
  <c r="U53" i="19"/>
  <c r="T53" i="19"/>
  <c r="U52" i="19"/>
  <c r="T52" i="19"/>
  <c r="U51" i="19"/>
  <c r="T51" i="19"/>
  <c r="U50" i="19"/>
  <c r="T50" i="19"/>
  <c r="U49" i="19"/>
  <c r="T49" i="19"/>
  <c r="U48" i="19"/>
  <c r="T48" i="19"/>
  <c r="U47" i="19"/>
  <c r="T47" i="19"/>
  <c r="U46" i="19"/>
  <c r="T46" i="19"/>
  <c r="U45" i="19"/>
  <c r="T45" i="19"/>
  <c r="U44" i="19"/>
  <c r="T44" i="19"/>
  <c r="U43" i="19"/>
  <c r="T43" i="19"/>
  <c r="U42" i="19"/>
  <c r="T42" i="19"/>
  <c r="U41" i="19"/>
  <c r="T41" i="19"/>
  <c r="U40" i="19"/>
  <c r="T40" i="19"/>
  <c r="U39" i="19"/>
  <c r="T39" i="19"/>
  <c r="U38" i="19"/>
  <c r="T38" i="19"/>
  <c r="U37" i="19"/>
  <c r="T37" i="19"/>
  <c r="U36" i="19"/>
  <c r="T36" i="19"/>
  <c r="U35" i="19"/>
  <c r="T35" i="19"/>
  <c r="U34" i="19"/>
  <c r="T34" i="19"/>
  <c r="U33" i="19"/>
  <c r="T33" i="19"/>
  <c r="U32" i="19"/>
  <c r="T32" i="19"/>
  <c r="U31" i="19"/>
  <c r="T31" i="19"/>
  <c r="U30" i="19"/>
  <c r="T30" i="19"/>
  <c r="U29" i="19"/>
  <c r="T29" i="19"/>
  <c r="U28" i="19"/>
  <c r="T28" i="19"/>
  <c r="U27" i="19"/>
  <c r="T27" i="19"/>
  <c r="U26" i="19"/>
  <c r="T26" i="19"/>
  <c r="U25" i="19"/>
  <c r="T25" i="19"/>
  <c r="U24" i="19"/>
  <c r="T24" i="19"/>
  <c r="U23" i="19"/>
  <c r="T23" i="19"/>
  <c r="U22" i="19"/>
  <c r="T22" i="19"/>
  <c r="U21" i="19"/>
  <c r="T21" i="19"/>
  <c r="U20" i="19"/>
  <c r="T20" i="19"/>
  <c r="U19" i="19"/>
  <c r="T19" i="19"/>
  <c r="U18" i="19"/>
  <c r="T18" i="19"/>
  <c r="U17" i="19"/>
  <c r="T17" i="19"/>
  <c r="U16" i="19"/>
  <c r="T16" i="19"/>
  <c r="U15" i="19"/>
  <c r="T15" i="19"/>
  <c r="U14" i="19"/>
  <c r="T14" i="19"/>
  <c r="U13" i="19"/>
  <c r="T13" i="19"/>
  <c r="U12" i="19"/>
  <c r="T12" i="19"/>
  <c r="U11" i="19"/>
  <c r="T11" i="19"/>
  <c r="U10" i="19"/>
  <c r="T10" i="19"/>
  <c r="U9" i="19"/>
  <c r="T9" i="19"/>
  <c r="U8" i="19"/>
  <c r="T8" i="19"/>
  <c r="U7" i="19"/>
  <c r="T7" i="19"/>
  <c r="U6" i="19"/>
  <c r="T6" i="19"/>
  <c r="U5" i="19"/>
  <c r="T5" i="19"/>
  <c r="U4" i="19"/>
  <c r="T4" i="19"/>
  <c r="U3" i="19"/>
  <c r="T3" i="19"/>
  <c r="G3" i="19"/>
  <c r="G4" i="19" s="1"/>
  <c r="G5" i="19" s="1"/>
  <c r="G6" i="19" s="1"/>
  <c r="G7" i="19" s="1"/>
  <c r="G8" i="19" s="1"/>
  <c r="G9" i="19" s="1"/>
  <c r="G10" i="19" s="1"/>
  <c r="G11" i="19" s="1"/>
  <c r="G12" i="19" s="1"/>
  <c r="G13" i="19" s="1"/>
  <c r="G14" i="19" s="1"/>
  <c r="G15" i="19" s="1"/>
  <c r="G16" i="19" s="1"/>
  <c r="G17" i="19" s="1"/>
  <c r="G18" i="19" s="1"/>
  <c r="G19" i="19" s="1"/>
  <c r="G20" i="19" s="1"/>
  <c r="G21" i="19" s="1"/>
  <c r="G22" i="19" s="1"/>
  <c r="G23" i="19" s="1"/>
  <c r="G24" i="19" s="1"/>
  <c r="G25" i="19" s="1"/>
  <c r="G26" i="19" s="1"/>
  <c r="G27" i="19" s="1"/>
  <c r="G28" i="19" s="1"/>
  <c r="G29" i="19" s="1"/>
  <c r="G30" i="19" s="1"/>
  <c r="G31" i="19" s="1"/>
  <c r="G32" i="19" s="1"/>
  <c r="G33" i="19" s="1"/>
  <c r="G34" i="19" s="1"/>
  <c r="G35" i="19" s="1"/>
  <c r="G36" i="19" s="1"/>
  <c r="G37" i="19" s="1"/>
  <c r="G38" i="19" s="1"/>
  <c r="G39" i="19" s="1"/>
  <c r="G40" i="19" s="1"/>
  <c r="G41" i="19" s="1"/>
  <c r="G42" i="19" s="1"/>
  <c r="G43" i="19" s="1"/>
  <c r="G44" i="19" s="1"/>
  <c r="G45" i="19" s="1"/>
  <c r="G46" i="19" s="1"/>
  <c r="G47" i="19" s="1"/>
  <c r="G48" i="19" s="1"/>
  <c r="G49" i="19" s="1"/>
  <c r="G50" i="19" s="1"/>
  <c r="G51" i="19" s="1"/>
  <c r="G52" i="19" s="1"/>
  <c r="G53" i="19" s="1"/>
  <c r="G54" i="19" s="1"/>
  <c r="G55" i="19" s="1"/>
  <c r="G56" i="19" s="1"/>
  <c r="G57" i="19" s="1"/>
  <c r="G58" i="19" s="1"/>
  <c r="G59" i="19" s="1"/>
  <c r="G60" i="19" s="1"/>
  <c r="G61" i="19" s="1"/>
  <c r="G62" i="19" s="1"/>
  <c r="G63" i="19" s="1"/>
  <c r="G64" i="19" s="1"/>
  <c r="G65" i="19" s="1"/>
  <c r="G66" i="19" s="1"/>
  <c r="G67" i="19" s="1"/>
  <c r="G68" i="19" s="1"/>
  <c r="G69" i="19" s="1"/>
  <c r="G70" i="19" s="1"/>
  <c r="G71" i="19" s="1"/>
  <c r="G72" i="19" s="1"/>
  <c r="G73" i="19" s="1"/>
  <c r="G74" i="19" s="1"/>
  <c r="G75" i="19" s="1"/>
  <c r="G76" i="19" s="1"/>
  <c r="G77" i="19" s="1"/>
  <c r="G78" i="19" s="1"/>
  <c r="G79" i="19" s="1"/>
  <c r="G80" i="19" s="1"/>
  <c r="G81" i="19" s="1"/>
  <c r="G82" i="19" s="1"/>
  <c r="G83" i="19" s="1"/>
  <c r="G84" i="19" s="1"/>
  <c r="G85" i="19" s="1"/>
  <c r="G86" i="19" s="1"/>
  <c r="G87" i="19" s="1"/>
  <c r="G88" i="19" s="1"/>
  <c r="G89" i="19" s="1"/>
  <c r="G90" i="19" s="1"/>
  <c r="G91" i="19" s="1"/>
  <c r="G92" i="19" s="1"/>
  <c r="G93" i="19" s="1"/>
  <c r="G94" i="19" s="1"/>
  <c r="G95" i="19" s="1"/>
  <c r="G96" i="19" s="1"/>
  <c r="G97" i="19" s="1"/>
  <c r="G98" i="19" s="1"/>
  <c r="G99" i="19" s="1"/>
  <c r="G100" i="19" s="1"/>
  <c r="G101" i="19" s="1"/>
  <c r="G102" i="19" s="1"/>
  <c r="G103" i="19" s="1"/>
  <c r="G104" i="19" s="1"/>
  <c r="G105" i="19" s="1"/>
  <c r="G106" i="19" s="1"/>
  <c r="G107" i="19" s="1"/>
  <c r="G108" i="19" s="1"/>
  <c r="G109" i="19" s="1"/>
  <c r="G110" i="19" s="1"/>
  <c r="G111" i="19" s="1"/>
  <c r="G112" i="19" s="1"/>
  <c r="G113" i="19" s="1"/>
  <c r="G114" i="19" s="1"/>
  <c r="G115" i="19" s="1"/>
  <c r="G116" i="19" s="1"/>
  <c r="G117" i="19" s="1"/>
  <c r="G118" i="19" s="1"/>
  <c r="G119" i="19" s="1"/>
  <c r="G120" i="19" s="1"/>
  <c r="G121" i="19" s="1"/>
  <c r="G122" i="19" s="1"/>
  <c r="G123" i="19" s="1"/>
  <c r="G124" i="19" s="1"/>
  <c r="G125" i="19" s="1"/>
  <c r="G126" i="19" s="1"/>
  <c r="G127" i="19" s="1"/>
  <c r="G128" i="19" s="1"/>
  <c r="G129" i="19" s="1"/>
  <c r="G130" i="19" s="1"/>
  <c r="G131" i="19" s="1"/>
  <c r="G132" i="19" s="1"/>
  <c r="G133" i="19" s="1"/>
  <c r="G134" i="19" s="1"/>
  <c r="G135" i="19" s="1"/>
  <c r="G136" i="19" s="1"/>
  <c r="G137" i="19" s="1"/>
  <c r="G138" i="19" s="1"/>
  <c r="G139" i="19" s="1"/>
  <c r="G140" i="19" s="1"/>
  <c r="G141" i="19" s="1"/>
  <c r="G142" i="19" s="1"/>
  <c r="G143" i="19" s="1"/>
  <c r="G144" i="19" s="1"/>
  <c r="G145" i="19" s="1"/>
  <c r="G146" i="19" s="1"/>
  <c r="G147" i="19" s="1"/>
  <c r="G148" i="19" s="1"/>
  <c r="G149" i="19" s="1"/>
  <c r="G150" i="19" s="1"/>
  <c r="G151" i="19" s="1"/>
  <c r="G152" i="19" s="1"/>
  <c r="G153" i="19" s="1"/>
  <c r="G154" i="19" s="1"/>
  <c r="G155" i="19" s="1"/>
  <c r="G156" i="19" s="1"/>
  <c r="G157" i="19" s="1"/>
  <c r="G158" i="19" s="1"/>
  <c r="G159" i="19" s="1"/>
  <c r="G160" i="19" s="1"/>
  <c r="G161" i="19" s="1"/>
  <c r="G162" i="19" s="1"/>
  <c r="G163" i="19" s="1"/>
  <c r="G164" i="19" s="1"/>
  <c r="G165" i="19" s="1"/>
  <c r="G166" i="19" s="1"/>
  <c r="G167" i="19" s="1"/>
  <c r="G168" i="19" s="1"/>
  <c r="G169" i="19" s="1"/>
  <c r="G170" i="19" s="1"/>
  <c r="G171" i="19" s="1"/>
  <c r="G172" i="19" s="1"/>
  <c r="G173" i="19" s="1"/>
  <c r="G174" i="19" s="1"/>
  <c r="G175" i="19" s="1"/>
  <c r="G176" i="19" s="1"/>
  <c r="G177" i="19" s="1"/>
  <c r="G178" i="19" s="1"/>
  <c r="G179" i="19" s="1"/>
  <c r="G180" i="19" s="1"/>
  <c r="G181" i="19" s="1"/>
  <c r="G182" i="19" s="1"/>
  <c r="G183" i="19" s="1"/>
  <c r="G184" i="19" s="1"/>
  <c r="G185" i="19" s="1"/>
  <c r="G186" i="19" s="1"/>
  <c r="G187" i="19" s="1"/>
  <c r="G188" i="19" s="1"/>
  <c r="G189" i="19" s="1"/>
  <c r="G190" i="19" s="1"/>
  <c r="G191" i="19" s="1"/>
  <c r="G192" i="19" s="1"/>
  <c r="G193" i="19" s="1"/>
  <c r="G194" i="19" s="1"/>
  <c r="G195" i="19" s="1"/>
  <c r="G196" i="19" s="1"/>
  <c r="G197" i="19" s="1"/>
  <c r="G198" i="19" s="1"/>
  <c r="G199" i="19" s="1"/>
  <c r="G200" i="19" s="1"/>
  <c r="G201" i="19" s="1"/>
  <c r="G202" i="19" s="1"/>
  <c r="G203" i="19" s="1"/>
  <c r="G204" i="19" s="1"/>
  <c r="G205" i="19" s="1"/>
  <c r="G206" i="19" s="1"/>
  <c r="G207" i="19" s="1"/>
  <c r="G208" i="19" s="1"/>
  <c r="G209" i="19" s="1"/>
  <c r="G210" i="19" s="1"/>
  <c r="G211" i="19" s="1"/>
  <c r="G212" i="19" s="1"/>
  <c r="G213" i="19" s="1"/>
  <c r="G214" i="19" s="1"/>
  <c r="G215" i="19" s="1"/>
  <c r="G216" i="19" s="1"/>
  <c r="G217" i="19" s="1"/>
  <c r="G218" i="19" s="1"/>
  <c r="G219" i="19" s="1"/>
  <c r="G220" i="19" s="1"/>
  <c r="G221" i="19" s="1"/>
  <c r="G222" i="19" s="1"/>
  <c r="G223" i="19" s="1"/>
  <c r="G224" i="19" s="1"/>
  <c r="G225" i="19" s="1"/>
  <c r="G226" i="19" s="1"/>
  <c r="G227" i="19" s="1"/>
  <c r="G228" i="19" s="1"/>
  <c r="G229" i="19" s="1"/>
  <c r="G230" i="19" s="1"/>
  <c r="G231" i="19" s="1"/>
  <c r="G232" i="19" s="1"/>
  <c r="G233" i="19" s="1"/>
  <c r="G234" i="19" s="1"/>
  <c r="G235" i="19" s="1"/>
  <c r="G236" i="19" s="1"/>
  <c r="G237" i="19" s="1"/>
  <c r="G238" i="19" s="1"/>
  <c r="G239" i="19" s="1"/>
  <c r="G240" i="19" s="1"/>
  <c r="G241" i="19" s="1"/>
  <c r="G242" i="19" s="1"/>
  <c r="G243" i="19" s="1"/>
  <c r="G244" i="19" s="1"/>
  <c r="G245" i="19" s="1"/>
  <c r="G246" i="19" s="1"/>
  <c r="G247" i="19" s="1"/>
  <c r="G248" i="19" s="1"/>
  <c r="G249" i="19" s="1"/>
  <c r="G250" i="19" s="1"/>
  <c r="G251" i="19" s="1"/>
  <c r="G252" i="19" s="1"/>
  <c r="G253" i="19" s="1"/>
  <c r="G254" i="19" s="1"/>
  <c r="G255" i="19" s="1"/>
  <c r="G256" i="19" s="1"/>
  <c r="G257" i="19" s="1"/>
  <c r="G258" i="19" s="1"/>
  <c r="G259" i="19" s="1"/>
  <c r="G260" i="19" s="1"/>
  <c r="G261" i="19" s="1"/>
  <c r="G262" i="19" s="1"/>
  <c r="G263" i="19" s="1"/>
  <c r="G264" i="19" s="1"/>
  <c r="G265" i="19" s="1"/>
  <c r="G266" i="19" s="1"/>
  <c r="G267" i="19" s="1"/>
  <c r="G268" i="19" s="1"/>
  <c r="G269" i="19" s="1"/>
  <c r="G270" i="19" s="1"/>
  <c r="G271" i="19" s="1"/>
  <c r="G272" i="19" s="1"/>
  <c r="G273" i="19" s="1"/>
  <c r="G274" i="19" s="1"/>
  <c r="G275" i="19" s="1"/>
  <c r="G276" i="19" s="1"/>
  <c r="G277" i="19" s="1"/>
  <c r="G278" i="19" s="1"/>
  <c r="G279" i="19" s="1"/>
  <c r="G280" i="19" s="1"/>
  <c r="G281" i="19" s="1"/>
  <c r="G282" i="19" s="1"/>
  <c r="G283" i="19" s="1"/>
  <c r="G284" i="19" s="1"/>
  <c r="G285" i="19" s="1"/>
  <c r="G286" i="19" s="1"/>
  <c r="G287" i="19" s="1"/>
  <c r="G288" i="19" s="1"/>
  <c r="G289" i="19" s="1"/>
  <c r="G290" i="19" s="1"/>
  <c r="G291" i="19" s="1"/>
  <c r="G292" i="19" s="1"/>
  <c r="G293" i="19" s="1"/>
  <c r="G294" i="19" s="1"/>
  <c r="G295" i="19" s="1"/>
  <c r="G296" i="19" s="1"/>
  <c r="G297" i="19" s="1"/>
  <c r="G298" i="19" s="1"/>
  <c r="G299" i="19" s="1"/>
  <c r="G300" i="19" s="1"/>
  <c r="G301" i="19" s="1"/>
  <c r="G302" i="19" s="1"/>
  <c r="G303" i="19" s="1"/>
  <c r="G304" i="19" s="1"/>
  <c r="G305" i="19" s="1"/>
  <c r="G306" i="19" s="1"/>
  <c r="G307" i="19" s="1"/>
  <c r="G308" i="19" s="1"/>
  <c r="G309" i="19" s="1"/>
  <c r="G310" i="19" s="1"/>
  <c r="G311" i="19" s="1"/>
  <c r="G312" i="19" s="1"/>
  <c r="G313" i="19" s="1"/>
  <c r="G314" i="19" s="1"/>
  <c r="G315" i="19" s="1"/>
  <c r="G316" i="19" s="1"/>
  <c r="G317" i="19" s="1"/>
  <c r="G318" i="19" s="1"/>
  <c r="G319" i="19" s="1"/>
  <c r="G320" i="19" s="1"/>
  <c r="G321" i="19" s="1"/>
  <c r="G322" i="19" s="1"/>
  <c r="G323" i="19" s="1"/>
  <c r="G324" i="19" s="1"/>
  <c r="G325" i="19" s="1"/>
  <c r="G326" i="19" s="1"/>
  <c r="G327" i="19" s="1"/>
  <c r="G328" i="19" s="1"/>
  <c r="G329" i="19" s="1"/>
  <c r="G330" i="19" s="1"/>
  <c r="G331" i="19" s="1"/>
  <c r="G332" i="19" s="1"/>
  <c r="G333" i="19" s="1"/>
  <c r="G334" i="19" s="1"/>
  <c r="G335" i="19" s="1"/>
  <c r="G336" i="19" s="1"/>
  <c r="G337" i="19" s="1"/>
  <c r="G338" i="19" s="1"/>
  <c r="G339" i="19" s="1"/>
  <c r="G340" i="19" s="1"/>
  <c r="G341" i="19" s="1"/>
  <c r="G342" i="19" s="1"/>
  <c r="G343" i="19" s="1"/>
  <c r="G344" i="19" s="1"/>
  <c r="G345" i="19" s="1"/>
  <c r="G346" i="19" s="1"/>
  <c r="G347" i="19" s="1"/>
  <c r="G348" i="19" s="1"/>
  <c r="G349" i="19" s="1"/>
  <c r="G350" i="19" s="1"/>
  <c r="G351" i="19" s="1"/>
  <c r="G352" i="19" s="1"/>
  <c r="G353" i="19" s="1"/>
  <c r="G354" i="19" s="1"/>
  <c r="U2" i="19"/>
  <c r="T2" i="19"/>
  <c r="C66" i="18"/>
  <c r="C62" i="18" s="1"/>
  <c r="C60" i="18"/>
  <c r="C28" i="18"/>
  <c r="C25" i="18"/>
  <c r="C24" i="18"/>
  <c r="C52" i="18" s="1"/>
  <c r="C58" i="18" s="1"/>
  <c r="C57" i="18" s="1"/>
  <c r="C14" i="18"/>
  <c r="C18" i="18" s="1"/>
  <c r="B21" i="17"/>
  <c r="B23" i="17" s="1"/>
  <c r="L34" i="28" l="1"/>
  <c r="L7" i="28"/>
  <c r="M34" i="28"/>
  <c r="M7" i="28"/>
  <c r="T825" i="19"/>
  <c r="AA18" i="20"/>
  <c r="AC19" i="20"/>
  <c r="L3" i="25"/>
  <c r="M3" i="25" s="1"/>
  <c r="L37" i="27"/>
  <c r="L46" i="27" s="1"/>
  <c r="Q10" i="30"/>
  <c r="Q17" i="30"/>
  <c r="Q50" i="30"/>
  <c r="F15" i="39"/>
  <c r="N35" i="28"/>
  <c r="H45" i="28"/>
  <c r="Q11" i="30"/>
  <c r="Q18" i="30"/>
  <c r="Q31" i="30"/>
  <c r="Q44" i="30"/>
  <c r="Q65" i="30"/>
  <c r="Q72" i="30"/>
  <c r="C22" i="32"/>
  <c r="C1" i="32" s="1"/>
  <c r="K1" i="32" s="1"/>
  <c r="W2348" i="19"/>
  <c r="L36" i="28"/>
  <c r="Q5" i="30"/>
  <c r="Q38" i="30"/>
  <c r="C25" i="37"/>
  <c r="M38" i="23"/>
  <c r="N1" i="24"/>
  <c r="L4" i="25"/>
  <c r="M4" i="25" s="1"/>
  <c r="G15" i="32"/>
  <c r="G1" i="32" s="1"/>
  <c r="AC80" i="20"/>
  <c r="L7" i="27"/>
  <c r="Q22" i="30"/>
  <c r="Q76" i="30"/>
  <c r="T2409" i="19"/>
  <c r="W2409" i="19"/>
  <c r="M33" i="23"/>
  <c r="N5" i="23"/>
  <c r="I36" i="28"/>
  <c r="I37" i="28"/>
  <c r="W1387" i="19"/>
  <c r="Q54" i="27"/>
  <c r="R54" i="27" s="1"/>
  <c r="S54" i="27" s="1"/>
  <c r="K7" i="27"/>
  <c r="K35" i="27"/>
  <c r="M36" i="27"/>
  <c r="M32" i="27"/>
  <c r="M47" i="27" s="1"/>
  <c r="I7" i="28"/>
  <c r="I31" i="28" s="1"/>
  <c r="I34" i="28"/>
  <c r="O8" i="28"/>
  <c r="O36" i="28" s="1"/>
  <c r="T784" i="19"/>
  <c r="W784" i="19"/>
  <c r="L5" i="25"/>
  <c r="J46" i="27"/>
  <c r="T1835" i="19"/>
  <c r="W1835" i="19"/>
  <c r="P34" i="28"/>
  <c r="P7" i="28"/>
  <c r="P31" i="28" s="1"/>
  <c r="M14" i="23"/>
  <c r="L38" i="23"/>
  <c r="N37" i="27"/>
  <c r="O8" i="27"/>
  <c r="N38" i="27"/>
  <c r="N46" i="27" s="1"/>
  <c r="H40" i="27"/>
  <c r="T2391" i="19"/>
  <c r="W2391" i="19"/>
  <c r="C9" i="35"/>
  <c r="C8" i="35" s="1"/>
  <c r="P36" i="27"/>
  <c r="I53" i="28"/>
  <c r="J53" i="28" s="1"/>
  <c r="K53" i="28" s="1"/>
  <c r="L53" i="28" s="1"/>
  <c r="M53" i="28" s="1"/>
  <c r="N53" i="28" s="1"/>
  <c r="O53" i="28" s="1"/>
  <c r="P53" i="28" s="1"/>
  <c r="Q53" i="28" s="1"/>
  <c r="G53" i="28"/>
  <c r="W2370" i="19"/>
  <c r="T2370" i="19"/>
  <c r="L14" i="23"/>
  <c r="C69" i="18"/>
  <c r="S32" i="27"/>
  <c r="S47" i="27" s="1"/>
  <c r="L34" i="23"/>
  <c r="T2299" i="19"/>
  <c r="N26" i="23"/>
  <c r="M26" i="23"/>
  <c r="L39" i="23"/>
  <c r="T1219" i="19"/>
  <c r="H1" i="24"/>
  <c r="P37" i="27"/>
  <c r="Q8" i="27"/>
  <c r="P38" i="27"/>
  <c r="H53" i="27"/>
  <c r="AC18" i="20"/>
  <c r="L8" i="25"/>
  <c r="Q21" i="30"/>
  <c r="Q28" i="30"/>
  <c r="Q51" i="30"/>
  <c r="Q58" i="30"/>
  <c r="I46" i="27"/>
  <c r="AC3" i="20"/>
  <c r="L6" i="25"/>
  <c r="N34" i="28"/>
  <c r="N46" i="28" s="1"/>
  <c r="Q25" i="30"/>
  <c r="Q61" i="30"/>
  <c r="Q68" i="30"/>
  <c r="C2" i="32"/>
  <c r="M36" i="28"/>
  <c r="M45" i="28" s="1"/>
  <c r="Q33" i="30"/>
  <c r="C29" i="2"/>
  <c r="S38" i="27"/>
  <c r="S37" i="27"/>
  <c r="T824" i="19"/>
  <c r="W824" i="19"/>
  <c r="J35" i="27"/>
  <c r="J59" i="27"/>
  <c r="J7" i="27"/>
  <c r="G355" i="19"/>
  <c r="G356" i="19" s="1"/>
  <c r="G357" i="19" s="1"/>
  <c r="G358" i="19" s="1"/>
  <c r="G359" i="19" s="1"/>
  <c r="G360" i="19" s="1"/>
  <c r="G361" i="19" s="1"/>
  <c r="G362" i="19" s="1"/>
  <c r="G363" i="19" s="1"/>
  <c r="G364" i="19" s="1"/>
  <c r="G365" i="19" s="1"/>
  <c r="G366" i="19" s="1"/>
  <c r="G367" i="19" s="1"/>
  <c r="G368" i="19" s="1"/>
  <c r="G369" i="19" s="1"/>
  <c r="G370" i="19" s="1"/>
  <c r="G371" i="19" s="1"/>
  <c r="G372" i="19" s="1"/>
  <c r="G373" i="19" s="1"/>
  <c r="G374" i="19" s="1"/>
  <c r="G375" i="19" s="1"/>
  <c r="G376" i="19" s="1"/>
  <c r="G377" i="19" s="1"/>
  <c r="G378" i="19" s="1"/>
  <c r="G379" i="19" s="1"/>
  <c r="G380" i="19" s="1"/>
  <c r="G381" i="19" s="1"/>
  <c r="G382" i="19" s="1"/>
  <c r="G383" i="19" s="1"/>
  <c r="G384" i="19" s="1"/>
  <c r="G385" i="19" s="1"/>
  <c r="G386" i="19" s="1"/>
  <c r="G387" i="19" s="1"/>
  <c r="G388" i="19" s="1"/>
  <c r="G389" i="19" s="1"/>
  <c r="G390" i="19" s="1"/>
  <c r="G391" i="19" s="1"/>
  <c r="G392" i="19" s="1"/>
  <c r="G393" i="19" s="1"/>
  <c r="G394" i="19" s="1"/>
  <c r="G395" i="19" s="1"/>
  <c r="G396" i="19" s="1"/>
  <c r="G397" i="19" s="1"/>
  <c r="G398" i="19" s="1"/>
  <c r="G399" i="19" s="1"/>
  <c r="G400" i="19" s="1"/>
  <c r="G401" i="19" s="1"/>
  <c r="G402" i="19" s="1"/>
  <c r="G403" i="19" s="1"/>
  <c r="G404" i="19" s="1"/>
  <c r="G405" i="19" s="1"/>
  <c r="G406" i="19" s="1"/>
  <c r="G407" i="19" s="1"/>
  <c r="G408" i="19" s="1"/>
  <c r="G409" i="19" s="1"/>
  <c r="G410" i="19" s="1"/>
  <c r="G411" i="19" s="1"/>
  <c r="G412" i="19" s="1"/>
  <c r="G413" i="19" s="1"/>
  <c r="G414" i="19" s="1"/>
  <c r="G415" i="19" s="1"/>
  <c r="G416" i="19" s="1"/>
  <c r="G417" i="19" s="1"/>
  <c r="G418" i="19" s="1"/>
  <c r="G419" i="19" s="1"/>
  <c r="G420" i="19" s="1"/>
  <c r="G421" i="19" s="1"/>
  <c r="G422" i="19" s="1"/>
  <c r="G423" i="19" s="1"/>
  <c r="G424" i="19" s="1"/>
  <c r="G425" i="19" s="1"/>
  <c r="G426" i="19" s="1"/>
  <c r="G427" i="19" s="1"/>
  <c r="G428" i="19" s="1"/>
  <c r="G429" i="19" s="1"/>
  <c r="G430" i="19" s="1"/>
  <c r="G431" i="19" s="1"/>
  <c r="G432" i="19" s="1"/>
  <c r="G433" i="19" s="1"/>
  <c r="G434" i="19" s="1"/>
  <c r="G435" i="19" s="1"/>
  <c r="G436" i="19" s="1"/>
  <c r="G437" i="19" s="1"/>
  <c r="G438" i="19" s="1"/>
  <c r="G439" i="19" s="1"/>
  <c r="G440" i="19" s="1"/>
  <c r="G441" i="19" s="1"/>
  <c r="G442" i="19" s="1"/>
  <c r="G443" i="19" s="1"/>
  <c r="G444" i="19" s="1"/>
  <c r="G445" i="19" s="1"/>
  <c r="G446" i="19" s="1"/>
  <c r="G447" i="19" s="1"/>
  <c r="G448" i="19" s="1"/>
  <c r="G449" i="19" s="1"/>
  <c r="G450" i="19" s="1"/>
  <c r="G451" i="19" s="1"/>
  <c r="G452" i="19" s="1"/>
  <c r="G453" i="19" s="1"/>
  <c r="G454" i="19" s="1"/>
  <c r="G455" i="19" s="1"/>
  <c r="G456" i="19" s="1"/>
  <c r="G457" i="19" s="1"/>
  <c r="G458" i="19" s="1"/>
  <c r="G459" i="19" s="1"/>
  <c r="G460" i="19" s="1"/>
  <c r="G461" i="19" s="1"/>
  <c r="G462" i="19" s="1"/>
  <c r="G463" i="19" s="1"/>
  <c r="G464" i="19" s="1"/>
  <c r="G465" i="19" s="1"/>
  <c r="G466" i="19" s="1"/>
  <c r="G467" i="19" s="1"/>
  <c r="G468" i="19" s="1"/>
  <c r="G469" i="19" s="1"/>
  <c r="G470" i="19" s="1"/>
  <c r="G471" i="19" s="1"/>
  <c r="G472" i="19" s="1"/>
  <c r="G473" i="19" s="1"/>
  <c r="G474" i="19" s="1"/>
  <c r="G475" i="19" s="1"/>
  <c r="G476" i="19" s="1"/>
  <c r="G477" i="19" s="1"/>
  <c r="G478" i="19" s="1"/>
  <c r="G479" i="19" s="1"/>
  <c r="G480" i="19" s="1"/>
  <c r="G481" i="19" s="1"/>
  <c r="G482" i="19" s="1"/>
  <c r="G483" i="19" s="1"/>
  <c r="G484" i="19" s="1"/>
  <c r="G485" i="19" s="1"/>
  <c r="G486" i="19" s="1"/>
  <c r="G487" i="19" s="1"/>
  <c r="G488" i="19" s="1"/>
  <c r="G489" i="19" s="1"/>
  <c r="G490" i="19" s="1"/>
  <c r="G491" i="19" s="1"/>
  <c r="G492" i="19" s="1"/>
  <c r="G493" i="19" s="1"/>
  <c r="G494" i="19" s="1"/>
  <c r="G495" i="19" s="1"/>
  <c r="G496" i="19" s="1"/>
  <c r="G497" i="19" s="1"/>
  <c r="G498" i="19" s="1"/>
  <c r="G499" i="19" s="1"/>
  <c r="G500" i="19" s="1"/>
  <c r="G501" i="19" s="1"/>
  <c r="G502" i="19" s="1"/>
  <c r="G503" i="19" s="1"/>
  <c r="G504" i="19" s="1"/>
  <c r="G505" i="19" s="1"/>
  <c r="G506" i="19" s="1"/>
  <c r="G507" i="19" s="1"/>
  <c r="G508" i="19" s="1"/>
  <c r="G509" i="19" s="1"/>
  <c r="G510" i="19" s="1"/>
  <c r="G511" i="19" s="1"/>
  <c r="G512" i="19" s="1"/>
  <c r="G513" i="19" s="1"/>
  <c r="G514" i="19" s="1"/>
  <c r="G515" i="19" s="1"/>
  <c r="G516" i="19" s="1"/>
  <c r="G517" i="19" s="1"/>
  <c r="G518" i="19" s="1"/>
  <c r="G519" i="19" s="1"/>
  <c r="G520" i="19" s="1"/>
  <c r="G521" i="19" s="1"/>
  <c r="G522" i="19" s="1"/>
  <c r="G523" i="19" s="1"/>
  <c r="G524" i="19" s="1"/>
  <c r="G525" i="19" s="1"/>
  <c r="G526" i="19" s="1"/>
  <c r="G527" i="19" s="1"/>
  <c r="G528" i="19" s="1"/>
  <c r="G529" i="19" s="1"/>
  <c r="G530" i="19" s="1"/>
  <c r="G531" i="19" s="1"/>
  <c r="G532" i="19" s="1"/>
  <c r="G533" i="19" s="1"/>
  <c r="G534" i="19" s="1"/>
  <c r="G535" i="19" s="1"/>
  <c r="G536" i="19" s="1"/>
  <c r="G537" i="19" s="1"/>
  <c r="G538" i="19" s="1"/>
  <c r="G539" i="19" s="1"/>
  <c r="G540" i="19" s="1"/>
  <c r="G541" i="19" s="1"/>
  <c r="G542" i="19" s="1"/>
  <c r="G543" i="19" s="1"/>
  <c r="G544" i="19" s="1"/>
  <c r="G545" i="19" s="1"/>
  <c r="G546" i="19" s="1"/>
  <c r="G547" i="19" s="1"/>
  <c r="G548" i="19" s="1"/>
  <c r="G549" i="19" s="1"/>
  <c r="G550" i="19" s="1"/>
  <c r="G551" i="19" s="1"/>
  <c r="G552" i="19" s="1"/>
  <c r="G553" i="19" s="1"/>
  <c r="G554" i="19" s="1"/>
  <c r="G555" i="19" s="1"/>
  <c r="G556" i="19" s="1"/>
  <c r="G557" i="19" s="1"/>
  <c r="G558" i="19" s="1"/>
  <c r="G559" i="19" s="1"/>
  <c r="G560" i="19" s="1"/>
  <c r="G561" i="19" s="1"/>
  <c r="G562" i="19" s="1"/>
  <c r="G563" i="19" s="1"/>
  <c r="G564" i="19" s="1"/>
  <c r="G565" i="19" s="1"/>
  <c r="G566" i="19" s="1"/>
  <c r="G567" i="19" s="1"/>
  <c r="G568" i="19" s="1"/>
  <c r="G569" i="19" s="1"/>
  <c r="G570" i="19" s="1"/>
  <c r="G571" i="19" s="1"/>
  <c r="G572" i="19" s="1"/>
  <c r="G573" i="19" s="1"/>
  <c r="G574" i="19" s="1"/>
  <c r="G575" i="19" s="1"/>
  <c r="G576" i="19" s="1"/>
  <c r="G577" i="19" s="1"/>
  <c r="G578" i="19" s="1"/>
  <c r="G579" i="19" s="1"/>
  <c r="G580" i="19" s="1"/>
  <c r="G581" i="19" s="1"/>
  <c r="G582" i="19" s="1"/>
  <c r="G583" i="19" s="1"/>
  <c r="G584" i="19" s="1"/>
  <c r="G585" i="19" s="1"/>
  <c r="G586" i="19" s="1"/>
  <c r="G587" i="19" s="1"/>
  <c r="G588" i="19" s="1"/>
  <c r="G589" i="19" s="1"/>
  <c r="G590" i="19" s="1"/>
  <c r="G591" i="19" s="1"/>
  <c r="G592" i="19" s="1"/>
  <c r="G593" i="19" s="1"/>
  <c r="G594" i="19" s="1"/>
  <c r="G595" i="19" s="1"/>
  <c r="G596" i="19" s="1"/>
  <c r="G597" i="19" s="1"/>
  <c r="G598" i="19" s="1"/>
  <c r="G599" i="19" s="1"/>
  <c r="G600" i="19" s="1"/>
  <c r="G601" i="19" s="1"/>
  <c r="G602" i="19" s="1"/>
  <c r="G603" i="19" s="1"/>
  <c r="G604" i="19" s="1"/>
  <c r="G605" i="19" s="1"/>
  <c r="G606" i="19" s="1"/>
  <c r="G607" i="19" s="1"/>
  <c r="G608" i="19" s="1"/>
  <c r="G609" i="19" s="1"/>
  <c r="G610" i="19" s="1"/>
  <c r="G611" i="19" s="1"/>
  <c r="G612" i="19" s="1"/>
  <c r="G613" i="19" s="1"/>
  <c r="G614" i="19" s="1"/>
  <c r="G615" i="19" s="1"/>
  <c r="G616" i="19" s="1"/>
  <c r="G617" i="19" s="1"/>
  <c r="G618" i="19" s="1"/>
  <c r="G619" i="19" s="1"/>
  <c r="G620" i="19" s="1"/>
  <c r="G621" i="19" s="1"/>
  <c r="G622" i="19" s="1"/>
  <c r="G623" i="19" s="1"/>
  <c r="G624" i="19" s="1"/>
  <c r="G625" i="19" s="1"/>
  <c r="G626" i="19" s="1"/>
  <c r="G627" i="19" s="1"/>
  <c r="G628" i="19" s="1"/>
  <c r="G629" i="19" s="1"/>
  <c r="G630" i="19" s="1"/>
  <c r="G631" i="19" s="1"/>
  <c r="G632" i="19" s="1"/>
  <c r="G633" i="19" s="1"/>
  <c r="G634" i="19" s="1"/>
  <c r="G635" i="19" s="1"/>
  <c r="G636" i="19" s="1"/>
  <c r="G637" i="19" s="1"/>
  <c r="G638" i="19" s="1"/>
  <c r="G639" i="19" s="1"/>
  <c r="G640" i="19" s="1"/>
  <c r="G641" i="19" s="1"/>
  <c r="G642" i="19" s="1"/>
  <c r="G643" i="19" s="1"/>
  <c r="G644" i="19" s="1"/>
  <c r="G645" i="19" s="1"/>
  <c r="G646" i="19" s="1"/>
  <c r="G647" i="19" s="1"/>
  <c r="G648" i="19" s="1"/>
  <c r="G649" i="19" s="1"/>
  <c r="G650" i="19" s="1"/>
  <c r="G651" i="19" s="1"/>
  <c r="G652" i="19" s="1"/>
  <c r="G653" i="19" s="1"/>
  <c r="G654" i="19" s="1"/>
  <c r="G655" i="19" s="1"/>
  <c r="G656" i="19" s="1"/>
  <c r="G657" i="19" s="1"/>
  <c r="G658" i="19" s="1"/>
  <c r="G659" i="19" s="1"/>
  <c r="G660" i="19" s="1"/>
  <c r="G661" i="19" s="1"/>
  <c r="G662" i="19" s="1"/>
  <c r="G663" i="19" s="1"/>
  <c r="G664" i="19" s="1"/>
  <c r="G665" i="19" s="1"/>
  <c r="G666" i="19" s="1"/>
  <c r="G667" i="19" s="1"/>
  <c r="G668" i="19" s="1"/>
  <c r="G669" i="19" s="1"/>
  <c r="G670" i="19" s="1"/>
  <c r="G671" i="19" s="1"/>
  <c r="G672" i="19" s="1"/>
  <c r="G673" i="19" s="1"/>
  <c r="G674" i="19" s="1"/>
  <c r="G675" i="19" s="1"/>
  <c r="G676" i="19" s="1"/>
  <c r="G677" i="19" s="1"/>
  <c r="G678" i="19" s="1"/>
  <c r="G679" i="19" s="1"/>
  <c r="G680" i="19" s="1"/>
  <c r="G681" i="19" s="1"/>
  <c r="G682" i="19" s="1"/>
  <c r="G683" i="19" s="1"/>
  <c r="G684" i="19" s="1"/>
  <c r="G685" i="19" s="1"/>
  <c r="G686" i="19" s="1"/>
  <c r="G687" i="19" s="1"/>
  <c r="G688" i="19" s="1"/>
  <c r="G689" i="19" s="1"/>
  <c r="G690" i="19" s="1"/>
  <c r="G691" i="19" s="1"/>
  <c r="G692" i="19" s="1"/>
  <c r="G693" i="19" s="1"/>
  <c r="G694" i="19" s="1"/>
  <c r="G695" i="19" s="1"/>
  <c r="G696" i="19" s="1"/>
  <c r="G697" i="19" s="1"/>
  <c r="G698" i="19" s="1"/>
  <c r="G699" i="19" s="1"/>
  <c r="G700" i="19" s="1"/>
  <c r="G701" i="19" s="1"/>
  <c r="G702" i="19" s="1"/>
  <c r="G703" i="19" s="1"/>
  <c r="G704" i="19" s="1"/>
  <c r="G705" i="19" s="1"/>
  <c r="G706" i="19" s="1"/>
  <c r="G707" i="19" s="1"/>
  <c r="G708" i="19" s="1"/>
  <c r="G709" i="19" s="1"/>
  <c r="G710" i="19" s="1"/>
  <c r="G711" i="19" s="1"/>
  <c r="G712" i="19" s="1"/>
  <c r="G713" i="19" s="1"/>
  <c r="G714" i="19" s="1"/>
  <c r="G715" i="19" s="1"/>
  <c r="G716" i="19" s="1"/>
  <c r="G717" i="19" s="1"/>
  <c r="G718" i="19" s="1"/>
  <c r="G719" i="19" s="1"/>
  <c r="G720" i="19" s="1"/>
  <c r="G721" i="19" s="1"/>
  <c r="G722" i="19" s="1"/>
  <c r="G723" i="19" s="1"/>
  <c r="G724" i="19" s="1"/>
  <c r="G725" i="19" s="1"/>
  <c r="G726" i="19" s="1"/>
  <c r="G727" i="19" s="1"/>
  <c r="G728" i="19" s="1"/>
  <c r="G729" i="19" s="1"/>
  <c r="G730" i="19" s="1"/>
  <c r="G731" i="19" s="1"/>
  <c r="G732" i="19" s="1"/>
  <c r="G733" i="19" s="1"/>
  <c r="G734" i="19" s="1"/>
  <c r="G735" i="19" s="1"/>
  <c r="G736" i="19" s="1"/>
  <c r="G737" i="19" s="1"/>
  <c r="G738" i="19" s="1"/>
  <c r="G739" i="19" s="1"/>
  <c r="G740" i="19" s="1"/>
  <c r="G741" i="19" s="1"/>
  <c r="G742" i="19" s="1"/>
  <c r="G743" i="19" s="1"/>
  <c r="G744" i="19" s="1"/>
  <c r="G745" i="19" s="1"/>
  <c r="G746" i="19" s="1"/>
  <c r="G747" i="19" s="1"/>
  <c r="G748" i="19" s="1"/>
  <c r="G749" i="19" s="1"/>
  <c r="G750" i="19" s="1"/>
  <c r="G751" i="19" s="1"/>
  <c r="G752" i="19" s="1"/>
  <c r="G753" i="19" s="1"/>
  <c r="G754" i="19" s="1"/>
  <c r="G755" i="19" s="1"/>
  <c r="G756" i="19" s="1"/>
  <c r="G757" i="19" s="1"/>
  <c r="G758" i="19" s="1"/>
  <c r="G759" i="19" s="1"/>
  <c r="G760" i="19" s="1"/>
  <c r="G761" i="19" s="1"/>
  <c r="G762" i="19" s="1"/>
  <c r="G763" i="19" s="1"/>
  <c r="G764" i="19" s="1"/>
  <c r="G765" i="19" s="1"/>
  <c r="G766" i="19" s="1"/>
  <c r="G767" i="19" s="1"/>
  <c r="G768" i="19" s="1"/>
  <c r="G769" i="19" s="1"/>
  <c r="G770" i="19" s="1"/>
  <c r="G771" i="19" s="1"/>
  <c r="G772" i="19" s="1"/>
  <c r="G773" i="19" s="1"/>
  <c r="G774" i="19" s="1"/>
  <c r="G775" i="19" s="1"/>
  <c r="G776" i="19" s="1"/>
  <c r="G777" i="19" s="1"/>
  <c r="G778" i="19" s="1"/>
  <c r="G779" i="19" s="1"/>
  <c r="G780" i="19" s="1"/>
  <c r="G781" i="19" s="1"/>
  <c r="G782" i="19" s="1"/>
  <c r="G783" i="19" s="1"/>
  <c r="G784" i="19" s="1"/>
  <c r="G785" i="19" s="1"/>
  <c r="G786" i="19" s="1"/>
  <c r="G787" i="19" s="1"/>
  <c r="G788" i="19" s="1"/>
  <c r="G789" i="19" s="1"/>
  <c r="G790" i="19" s="1"/>
  <c r="G791" i="19" s="1"/>
  <c r="G792" i="19" s="1"/>
  <c r="G793" i="19" s="1"/>
  <c r="G794" i="19" s="1"/>
  <c r="G795" i="19" s="1"/>
  <c r="G796" i="19" s="1"/>
  <c r="G797" i="19" s="1"/>
  <c r="G798" i="19" s="1"/>
  <c r="G799" i="19" s="1"/>
  <c r="G800" i="19" s="1"/>
  <c r="G801" i="19" s="1"/>
  <c r="G802" i="19" s="1"/>
  <c r="G803" i="19" s="1"/>
  <c r="G804" i="19" s="1"/>
  <c r="G805" i="19" s="1"/>
  <c r="G806" i="19" s="1"/>
  <c r="G807" i="19" s="1"/>
  <c r="G808" i="19" s="1"/>
  <c r="G809" i="19" s="1"/>
  <c r="G810" i="19" s="1"/>
  <c r="G811" i="19" s="1"/>
  <c r="G812" i="19" s="1"/>
  <c r="G813" i="19" s="1"/>
  <c r="G814" i="19" s="1"/>
  <c r="G815" i="19" s="1"/>
  <c r="G816" i="19" s="1"/>
  <c r="G817" i="19" s="1"/>
  <c r="G818" i="19" s="1"/>
  <c r="G819" i="19" s="1"/>
  <c r="G820" i="19" s="1"/>
  <c r="G821" i="19" s="1"/>
  <c r="G822" i="19" s="1"/>
  <c r="G823" i="19" s="1"/>
  <c r="G824" i="19" s="1"/>
  <c r="G825" i="19" s="1"/>
  <c r="G826" i="19" s="1"/>
  <c r="G827" i="19" s="1"/>
  <c r="G828" i="19" s="1"/>
  <c r="G829" i="19" s="1"/>
  <c r="G830" i="19" s="1"/>
  <c r="G831" i="19" s="1"/>
  <c r="G832" i="19" s="1"/>
  <c r="G833" i="19" s="1"/>
  <c r="G834" i="19" s="1"/>
  <c r="G835" i="19" s="1"/>
  <c r="G836" i="19" s="1"/>
  <c r="G837" i="19" s="1"/>
  <c r="G838" i="19" s="1"/>
  <c r="G839" i="19" s="1"/>
  <c r="G840" i="19" s="1"/>
  <c r="G841" i="19" s="1"/>
  <c r="G842" i="19" s="1"/>
  <c r="G843" i="19" s="1"/>
  <c r="G844" i="19" s="1"/>
  <c r="G845" i="19" s="1"/>
  <c r="G846" i="19" s="1"/>
  <c r="G847" i="19" s="1"/>
  <c r="G848" i="19" s="1"/>
  <c r="G849" i="19" s="1"/>
  <c r="G850" i="19" s="1"/>
  <c r="G851" i="19" s="1"/>
  <c r="G852" i="19" s="1"/>
  <c r="G853" i="19" s="1"/>
  <c r="G854" i="19" s="1"/>
  <c r="G855" i="19" s="1"/>
  <c r="G856" i="19" s="1"/>
  <c r="G857" i="19" s="1"/>
  <c r="G858" i="19" s="1"/>
  <c r="G859" i="19" s="1"/>
  <c r="G860" i="19" s="1"/>
  <c r="G861" i="19" s="1"/>
  <c r="G862" i="19" s="1"/>
  <c r="G863" i="19" s="1"/>
  <c r="G864" i="19" s="1"/>
  <c r="G865" i="19" s="1"/>
  <c r="G866" i="19" s="1"/>
  <c r="G867" i="19" s="1"/>
  <c r="G868" i="19" s="1"/>
  <c r="G869" i="19" s="1"/>
  <c r="G870" i="19" s="1"/>
  <c r="G871" i="19" s="1"/>
  <c r="G872" i="19" s="1"/>
  <c r="G873" i="19" s="1"/>
  <c r="G874" i="19" s="1"/>
  <c r="G875" i="19" s="1"/>
  <c r="G876" i="19" s="1"/>
  <c r="G877" i="19" s="1"/>
  <c r="G878" i="19" s="1"/>
  <c r="G879" i="19" s="1"/>
  <c r="G880" i="19" s="1"/>
  <c r="G881" i="19" s="1"/>
  <c r="G882" i="19" s="1"/>
  <c r="G883" i="19" s="1"/>
  <c r="G884" i="19" s="1"/>
  <c r="G885" i="19" s="1"/>
  <c r="G886" i="19" s="1"/>
  <c r="G887" i="19" s="1"/>
  <c r="G888" i="19" s="1"/>
  <c r="G889" i="19" s="1"/>
  <c r="G890" i="19" s="1"/>
  <c r="G891" i="19" s="1"/>
  <c r="G892" i="19" s="1"/>
  <c r="G893" i="19" s="1"/>
  <c r="G894" i="19" s="1"/>
  <c r="G895" i="19" s="1"/>
  <c r="G896" i="19" s="1"/>
  <c r="G897" i="19" s="1"/>
  <c r="G898" i="19" s="1"/>
  <c r="G899" i="19" s="1"/>
  <c r="G900" i="19" s="1"/>
  <c r="G901" i="19" s="1"/>
  <c r="G902" i="19" s="1"/>
  <c r="G903" i="19" s="1"/>
  <c r="G904" i="19" s="1"/>
  <c r="G905" i="19" s="1"/>
  <c r="G906" i="19" s="1"/>
  <c r="G907" i="19" s="1"/>
  <c r="G908" i="19" s="1"/>
  <c r="G909" i="19" s="1"/>
  <c r="G910" i="19" s="1"/>
  <c r="G911" i="19" s="1"/>
  <c r="G912" i="19" s="1"/>
  <c r="G913" i="19" s="1"/>
  <c r="G914" i="19" s="1"/>
  <c r="G915" i="19" s="1"/>
  <c r="G916" i="19" s="1"/>
  <c r="G917" i="19" s="1"/>
  <c r="G918" i="19" s="1"/>
  <c r="G919" i="19" s="1"/>
  <c r="G920" i="19" s="1"/>
  <c r="G921" i="19" s="1"/>
  <c r="G922" i="19" s="1"/>
  <c r="G923" i="19" s="1"/>
  <c r="G924" i="19" s="1"/>
  <c r="G925" i="19" s="1"/>
  <c r="G926" i="19" s="1"/>
  <c r="G927" i="19" s="1"/>
  <c r="G928" i="19" s="1"/>
  <c r="G929" i="19" s="1"/>
  <c r="G930" i="19" s="1"/>
  <c r="G931" i="19" s="1"/>
  <c r="G932" i="19" s="1"/>
  <c r="G933" i="19" s="1"/>
  <c r="G934" i="19" s="1"/>
  <c r="G935" i="19" s="1"/>
  <c r="G936" i="19" s="1"/>
  <c r="G937" i="19" s="1"/>
  <c r="G938" i="19" s="1"/>
  <c r="G939" i="19" s="1"/>
  <c r="G940" i="19" s="1"/>
  <c r="G941" i="19" s="1"/>
  <c r="G942" i="19" s="1"/>
  <c r="G943" i="19" s="1"/>
  <c r="G944" i="19" s="1"/>
  <c r="G945" i="19" s="1"/>
  <c r="G946" i="19" s="1"/>
  <c r="G947" i="19" s="1"/>
  <c r="G948" i="19" s="1"/>
  <c r="G949" i="19" s="1"/>
  <c r="G950" i="19" s="1"/>
  <c r="G951" i="19" s="1"/>
  <c r="G952" i="19" s="1"/>
  <c r="G953" i="19" s="1"/>
  <c r="G954" i="19" s="1"/>
  <c r="G955" i="19" s="1"/>
  <c r="G956" i="19" s="1"/>
  <c r="G957" i="19" s="1"/>
  <c r="G958" i="19" s="1"/>
  <c r="G959" i="19" s="1"/>
  <c r="G960" i="19" s="1"/>
  <c r="G961" i="19" s="1"/>
  <c r="G962" i="19" s="1"/>
  <c r="G963" i="19" s="1"/>
  <c r="G964" i="19" s="1"/>
  <c r="G965" i="19" s="1"/>
  <c r="G966" i="19" s="1"/>
  <c r="G967" i="19" s="1"/>
  <c r="G968" i="19" s="1"/>
  <c r="G969" i="19" s="1"/>
  <c r="G970" i="19" s="1"/>
  <c r="G971" i="19" s="1"/>
  <c r="G972" i="19" s="1"/>
  <c r="G973" i="19" s="1"/>
  <c r="G974" i="19" s="1"/>
  <c r="G975" i="19" s="1"/>
  <c r="G976" i="19" s="1"/>
  <c r="G977" i="19" s="1"/>
  <c r="G978" i="19" s="1"/>
  <c r="G979" i="19" s="1"/>
  <c r="G980" i="19" s="1"/>
  <c r="G981" i="19" s="1"/>
  <c r="G982" i="19" s="1"/>
  <c r="G983" i="19" s="1"/>
  <c r="G984" i="19" s="1"/>
  <c r="G985" i="19" s="1"/>
  <c r="G986" i="19" s="1"/>
  <c r="G987" i="19" s="1"/>
  <c r="G988" i="19" s="1"/>
  <c r="G989" i="19" s="1"/>
  <c r="G990" i="19" s="1"/>
  <c r="G991" i="19" s="1"/>
  <c r="G992" i="19" s="1"/>
  <c r="G993" i="19" s="1"/>
  <c r="G994" i="19" s="1"/>
  <c r="G995" i="19" s="1"/>
  <c r="G996" i="19" s="1"/>
  <c r="G997" i="19" s="1"/>
  <c r="G998" i="19" s="1"/>
  <c r="G999" i="19" s="1"/>
  <c r="G1000" i="19" s="1"/>
  <c r="G1001" i="19" s="1"/>
  <c r="G1002" i="19" s="1"/>
  <c r="G1003" i="19" s="1"/>
  <c r="G1004" i="19" s="1"/>
  <c r="G1005" i="19" s="1"/>
  <c r="G1006" i="19" s="1"/>
  <c r="G1007" i="19" s="1"/>
  <c r="G1008" i="19" s="1"/>
  <c r="G1009" i="19" s="1"/>
  <c r="G1010" i="19" s="1"/>
  <c r="G1011" i="19" s="1"/>
  <c r="G1012" i="19" s="1"/>
  <c r="G1013" i="19" s="1"/>
  <c r="G1014" i="19" s="1"/>
  <c r="G1015" i="19" s="1"/>
  <c r="G1016" i="19" s="1"/>
  <c r="G1017" i="19" s="1"/>
  <c r="G1018" i="19" s="1"/>
  <c r="G1019" i="19" s="1"/>
  <c r="G1020" i="19" s="1"/>
  <c r="G1021" i="19" s="1"/>
  <c r="G1022" i="19" s="1"/>
  <c r="G1023" i="19" s="1"/>
  <c r="G1024" i="19" s="1"/>
  <c r="G1025" i="19" s="1"/>
  <c r="G1026" i="19" s="1"/>
  <c r="G1027" i="19" s="1"/>
  <c r="G1028" i="19" s="1"/>
  <c r="G1029" i="19" s="1"/>
  <c r="G1030" i="19" s="1"/>
  <c r="G1031" i="19" s="1"/>
  <c r="G1032" i="19" s="1"/>
  <c r="G1033" i="19" s="1"/>
  <c r="G1034" i="19" s="1"/>
  <c r="G1035" i="19" s="1"/>
  <c r="G1036" i="19" s="1"/>
  <c r="G1037" i="19" s="1"/>
  <c r="G1038" i="19" s="1"/>
  <c r="G1039" i="19" s="1"/>
  <c r="G1040" i="19" s="1"/>
  <c r="G1041" i="19" s="1"/>
  <c r="G1042" i="19" s="1"/>
  <c r="G1043" i="19" s="1"/>
  <c r="G1044" i="19" s="1"/>
  <c r="G1045" i="19" s="1"/>
  <c r="G1046" i="19" s="1"/>
  <c r="G1047" i="19" s="1"/>
  <c r="G1048" i="19" s="1"/>
  <c r="G1049" i="19" s="1"/>
  <c r="G1050" i="19" s="1"/>
  <c r="G1051" i="19" s="1"/>
  <c r="G1052" i="19" s="1"/>
  <c r="G1053" i="19" s="1"/>
  <c r="G1054" i="19" s="1"/>
  <c r="G1055" i="19" s="1"/>
  <c r="G1056" i="19" s="1"/>
  <c r="G1057" i="19" s="1"/>
  <c r="G1058" i="19" s="1"/>
  <c r="G1059" i="19" s="1"/>
  <c r="G1060" i="19" s="1"/>
  <c r="G1061" i="19" s="1"/>
  <c r="G1062" i="19" s="1"/>
  <c r="G1063" i="19" s="1"/>
  <c r="G1064" i="19" s="1"/>
  <c r="G1065" i="19" s="1"/>
  <c r="G1066" i="19" s="1"/>
  <c r="G1067" i="19" s="1"/>
  <c r="G1068" i="19" s="1"/>
  <c r="G1069" i="19" s="1"/>
  <c r="G1070" i="19" s="1"/>
  <c r="G1071" i="19" s="1"/>
  <c r="G1072" i="19" s="1"/>
  <c r="G1073" i="19" s="1"/>
  <c r="G1074" i="19" s="1"/>
  <c r="G1075" i="19" s="1"/>
  <c r="G1076" i="19" s="1"/>
  <c r="G1077" i="19" s="1"/>
  <c r="G1078" i="19" s="1"/>
  <c r="G1079" i="19" s="1"/>
  <c r="G1080" i="19" s="1"/>
  <c r="G1081" i="19" s="1"/>
  <c r="G1082" i="19" s="1"/>
  <c r="G1083" i="19" s="1"/>
  <c r="G1084" i="19" s="1"/>
  <c r="G1085" i="19" s="1"/>
  <c r="G1086" i="19" s="1"/>
  <c r="G1087" i="19" s="1"/>
  <c r="G1088" i="19" s="1"/>
  <c r="G1089" i="19" s="1"/>
  <c r="G1090" i="19" s="1"/>
  <c r="G1091" i="19" s="1"/>
  <c r="G1092" i="19" s="1"/>
  <c r="G1093" i="19" s="1"/>
  <c r="G1094" i="19" s="1"/>
  <c r="G1095" i="19" s="1"/>
  <c r="G1096" i="19" s="1"/>
  <c r="G1097" i="19" s="1"/>
  <c r="G1098" i="19" s="1"/>
  <c r="G1099" i="19" s="1"/>
  <c r="G1100" i="19" s="1"/>
  <c r="G1101" i="19" s="1"/>
  <c r="G1102" i="19" s="1"/>
  <c r="G1103" i="19" s="1"/>
  <c r="G1104" i="19" s="1"/>
  <c r="G1105" i="19" s="1"/>
  <c r="G1106" i="19" s="1"/>
  <c r="G1107" i="19" s="1"/>
  <c r="G1108" i="19" s="1"/>
  <c r="G1109" i="19" s="1"/>
  <c r="G1110" i="19" s="1"/>
  <c r="G1111" i="19" s="1"/>
  <c r="G1112" i="19" s="1"/>
  <c r="G1113" i="19" s="1"/>
  <c r="G1114" i="19" s="1"/>
  <c r="G1115" i="19" s="1"/>
  <c r="G1116" i="19" s="1"/>
  <c r="G1117" i="19" s="1"/>
  <c r="G1118" i="19" s="1"/>
  <c r="G1119" i="19" s="1"/>
  <c r="G1120" i="19" s="1"/>
  <c r="G1121" i="19" s="1"/>
  <c r="G1122" i="19" s="1"/>
  <c r="G1123" i="19" s="1"/>
  <c r="G1124" i="19" s="1"/>
  <c r="G1125" i="19" s="1"/>
  <c r="G1126" i="19" s="1"/>
  <c r="G1127" i="19" s="1"/>
  <c r="G1128" i="19" s="1"/>
  <c r="G1129" i="19" s="1"/>
  <c r="G1130" i="19" s="1"/>
  <c r="G1131" i="19" s="1"/>
  <c r="G1132" i="19" s="1"/>
  <c r="G1133" i="19" s="1"/>
  <c r="G1134" i="19" s="1"/>
  <c r="G1135" i="19" s="1"/>
  <c r="G1136" i="19" s="1"/>
  <c r="G1137" i="19" s="1"/>
  <c r="G1138" i="19" s="1"/>
  <c r="G1139" i="19" s="1"/>
  <c r="G1140" i="19" s="1"/>
  <c r="G1141" i="19" s="1"/>
  <c r="G1142" i="19" s="1"/>
  <c r="G1143" i="19" s="1"/>
  <c r="G1144" i="19" s="1"/>
  <c r="G1145" i="19" s="1"/>
  <c r="G1146" i="19" s="1"/>
  <c r="G1147" i="19" s="1"/>
  <c r="G1148" i="19" s="1"/>
  <c r="G1149" i="19" s="1"/>
  <c r="G1150" i="19" s="1"/>
  <c r="G1151" i="19" s="1"/>
  <c r="G1152" i="19" s="1"/>
  <c r="G1153" i="19" s="1"/>
  <c r="G1154" i="19" s="1"/>
  <c r="G1155" i="19" s="1"/>
  <c r="G1156" i="19" s="1"/>
  <c r="G1157" i="19" s="1"/>
  <c r="G1158" i="19" s="1"/>
  <c r="G1159" i="19" s="1"/>
  <c r="G1160" i="19" s="1"/>
  <c r="G1161" i="19" s="1"/>
  <c r="G1162" i="19" s="1"/>
  <c r="G1163" i="19" s="1"/>
  <c r="G1164" i="19" s="1"/>
  <c r="G1165" i="19" s="1"/>
  <c r="G1166" i="19" s="1"/>
  <c r="G1167" i="19" s="1"/>
  <c r="G1168" i="19" s="1"/>
  <c r="G1169" i="19" s="1"/>
  <c r="G1170" i="19" s="1"/>
  <c r="G1171" i="19" s="1"/>
  <c r="G1172" i="19" s="1"/>
  <c r="G1173" i="19" s="1"/>
  <c r="G1174" i="19" s="1"/>
  <c r="G1175" i="19" s="1"/>
  <c r="G1176" i="19" s="1"/>
  <c r="G1177" i="19" s="1"/>
  <c r="G1178" i="19" s="1"/>
  <c r="G1179" i="19" s="1"/>
  <c r="G1180" i="19" s="1"/>
  <c r="G1181" i="19" s="1"/>
  <c r="G1182" i="19" s="1"/>
  <c r="G1183" i="19" s="1"/>
  <c r="G1184" i="19" s="1"/>
  <c r="G1185" i="19" s="1"/>
  <c r="G1186" i="19" s="1"/>
  <c r="G1187" i="19" s="1"/>
  <c r="G1188" i="19" s="1"/>
  <c r="G1189" i="19" s="1"/>
  <c r="G1190" i="19" s="1"/>
  <c r="G1191" i="19" s="1"/>
  <c r="G1192" i="19" s="1"/>
  <c r="G1193" i="19" s="1"/>
  <c r="G1194" i="19" s="1"/>
  <c r="G1195" i="19" s="1"/>
  <c r="G1196" i="19" s="1"/>
  <c r="G1197" i="19" s="1"/>
  <c r="G1198" i="19" s="1"/>
  <c r="G1199" i="19" s="1"/>
  <c r="G1200" i="19" s="1"/>
  <c r="G1201" i="19" s="1"/>
  <c r="G1202" i="19" s="1"/>
  <c r="G1203" i="19" s="1"/>
  <c r="G1204" i="19" s="1"/>
  <c r="G1205" i="19" s="1"/>
  <c r="G1206" i="19" s="1"/>
  <c r="G1207" i="19" s="1"/>
  <c r="G1208" i="19" s="1"/>
  <c r="G1209" i="19" s="1"/>
  <c r="G1210" i="19" s="1"/>
  <c r="G1211" i="19" s="1"/>
  <c r="G1212" i="19" s="1"/>
  <c r="G1213" i="19" s="1"/>
  <c r="G1214" i="19" s="1"/>
  <c r="G1215" i="19" s="1"/>
  <c r="G1216" i="19" s="1"/>
  <c r="G1217" i="19" s="1"/>
  <c r="G1218" i="19" s="1"/>
  <c r="G1219" i="19" s="1"/>
  <c r="G1220" i="19" s="1"/>
  <c r="G1221" i="19" s="1"/>
  <c r="G1222" i="19" s="1"/>
  <c r="G1223" i="19" s="1"/>
  <c r="G1224" i="19" s="1"/>
  <c r="G1225" i="19" s="1"/>
  <c r="G1226" i="19" s="1"/>
  <c r="G1227" i="19" s="1"/>
  <c r="G1228" i="19" s="1"/>
  <c r="G1229" i="19" s="1"/>
  <c r="G1230" i="19" s="1"/>
  <c r="G1231" i="19" s="1"/>
  <c r="G1232" i="19" s="1"/>
  <c r="G1233" i="19" s="1"/>
  <c r="G1234" i="19" s="1"/>
  <c r="G1235" i="19" s="1"/>
  <c r="G1236" i="19" s="1"/>
  <c r="G1237" i="19" s="1"/>
  <c r="G1238" i="19" s="1"/>
  <c r="G1239" i="19" s="1"/>
  <c r="G1240" i="19" s="1"/>
  <c r="G1241" i="19" s="1"/>
  <c r="G1242" i="19" s="1"/>
  <c r="G1243" i="19" s="1"/>
  <c r="G1244" i="19" s="1"/>
  <c r="G1245" i="19" s="1"/>
  <c r="G1246" i="19" s="1"/>
  <c r="G1247" i="19" s="1"/>
  <c r="G1248" i="19" s="1"/>
  <c r="G1249" i="19" s="1"/>
  <c r="G1250" i="19" s="1"/>
  <c r="G1251" i="19" s="1"/>
  <c r="G1252" i="19" s="1"/>
  <c r="G1253" i="19" s="1"/>
  <c r="G1254" i="19" s="1"/>
  <c r="G1255" i="19" s="1"/>
  <c r="G1256" i="19" s="1"/>
  <c r="G1257" i="19" s="1"/>
  <c r="G1258" i="19" s="1"/>
  <c r="G1259" i="19" s="1"/>
  <c r="G1260" i="19" s="1"/>
  <c r="G1261" i="19" s="1"/>
  <c r="G1262" i="19" s="1"/>
  <c r="G1263" i="19" s="1"/>
  <c r="G1264" i="19" s="1"/>
  <c r="G1265" i="19" s="1"/>
  <c r="G1266" i="19" s="1"/>
  <c r="G1267" i="19" s="1"/>
  <c r="G1268" i="19" s="1"/>
  <c r="G1269" i="19" s="1"/>
  <c r="G1270" i="19" s="1"/>
  <c r="G1271" i="19" s="1"/>
  <c r="G1272" i="19" s="1"/>
  <c r="G1273" i="19" s="1"/>
  <c r="G1274" i="19" s="1"/>
  <c r="G1275" i="19" s="1"/>
  <c r="G1276" i="19" s="1"/>
  <c r="G1277" i="19" s="1"/>
  <c r="G1278" i="19" s="1"/>
  <c r="G1279" i="19" s="1"/>
  <c r="G1280" i="19" s="1"/>
  <c r="G1281" i="19" s="1"/>
  <c r="G1282" i="19" s="1"/>
  <c r="G1283" i="19" s="1"/>
  <c r="G1284" i="19" s="1"/>
  <c r="G1285" i="19" s="1"/>
  <c r="G1286" i="19" s="1"/>
  <c r="G1287" i="19" s="1"/>
  <c r="G1288" i="19" s="1"/>
  <c r="G1289" i="19" s="1"/>
  <c r="G1290" i="19" s="1"/>
  <c r="G1291" i="19" s="1"/>
  <c r="G1292" i="19" s="1"/>
  <c r="G1293" i="19" s="1"/>
  <c r="G1294" i="19" s="1"/>
  <c r="G1295" i="19" s="1"/>
  <c r="G1296" i="19" s="1"/>
  <c r="G1297" i="19" s="1"/>
  <c r="G1298" i="19" s="1"/>
  <c r="G1299" i="19" s="1"/>
  <c r="G1300" i="19" s="1"/>
  <c r="G1301" i="19" s="1"/>
  <c r="G1302" i="19" s="1"/>
  <c r="G1303" i="19" s="1"/>
  <c r="G1304" i="19" s="1"/>
  <c r="G1305" i="19" s="1"/>
  <c r="G1306" i="19" s="1"/>
  <c r="G1307" i="19" s="1"/>
  <c r="G1308" i="19" s="1"/>
  <c r="G1309" i="19" s="1"/>
  <c r="G1310" i="19" s="1"/>
  <c r="G1311" i="19" s="1"/>
  <c r="G1312" i="19" s="1"/>
  <c r="G1313" i="19" s="1"/>
  <c r="G1314" i="19" s="1"/>
  <c r="G1315" i="19" s="1"/>
  <c r="G1316" i="19" s="1"/>
  <c r="G1317" i="19" s="1"/>
  <c r="G1318" i="19" s="1"/>
  <c r="G1319" i="19" s="1"/>
  <c r="G1320" i="19" s="1"/>
  <c r="G1321" i="19" s="1"/>
  <c r="G1322" i="19" s="1"/>
  <c r="G1323" i="19" s="1"/>
  <c r="G1324" i="19" s="1"/>
  <c r="G1325" i="19" s="1"/>
  <c r="G1326" i="19" s="1"/>
  <c r="G1327" i="19" s="1"/>
  <c r="G1328" i="19" s="1"/>
  <c r="G1329" i="19" s="1"/>
  <c r="G1330" i="19" s="1"/>
  <c r="G1331" i="19" s="1"/>
  <c r="G1332" i="19" s="1"/>
  <c r="G1333" i="19" s="1"/>
  <c r="G1334" i="19" s="1"/>
  <c r="G1335" i="19" s="1"/>
  <c r="G1336" i="19" s="1"/>
  <c r="G1337" i="19" s="1"/>
  <c r="G1338" i="19" s="1"/>
  <c r="G1339" i="19" s="1"/>
  <c r="G1340" i="19" s="1"/>
  <c r="G1341" i="19" s="1"/>
  <c r="G1342" i="19" s="1"/>
  <c r="G1343" i="19" s="1"/>
  <c r="G1344" i="19" s="1"/>
  <c r="G1345" i="19" s="1"/>
  <c r="G1346" i="19" s="1"/>
  <c r="G1347" i="19" s="1"/>
  <c r="G1348" i="19" s="1"/>
  <c r="G1349" i="19" s="1"/>
  <c r="G1350" i="19" s="1"/>
  <c r="G1351" i="19" s="1"/>
  <c r="G1352" i="19" s="1"/>
  <c r="G1353" i="19" s="1"/>
  <c r="G1354" i="19" s="1"/>
  <c r="G1355" i="19" s="1"/>
  <c r="G1356" i="19" s="1"/>
  <c r="G1357" i="19" s="1"/>
  <c r="G1358" i="19" s="1"/>
  <c r="G1359" i="19" s="1"/>
  <c r="G1360" i="19" s="1"/>
  <c r="G1361" i="19" s="1"/>
  <c r="G1362" i="19" s="1"/>
  <c r="G1363" i="19" s="1"/>
  <c r="G1364" i="19" s="1"/>
  <c r="G1365" i="19" s="1"/>
  <c r="G1366" i="19" s="1"/>
  <c r="G1367" i="19" s="1"/>
  <c r="G1368" i="19" s="1"/>
  <c r="G1369" i="19" s="1"/>
  <c r="G1370" i="19" s="1"/>
  <c r="G1371" i="19" s="1"/>
  <c r="G1372" i="19" s="1"/>
  <c r="G1373" i="19" s="1"/>
  <c r="G1374" i="19" s="1"/>
  <c r="G1375" i="19" s="1"/>
  <c r="G1376" i="19" s="1"/>
  <c r="G1377" i="19" s="1"/>
  <c r="G1378" i="19" s="1"/>
  <c r="G1379" i="19" s="1"/>
  <c r="G1380" i="19" s="1"/>
  <c r="G1381" i="19" s="1"/>
  <c r="G1382" i="19" s="1"/>
  <c r="G1383" i="19" s="1"/>
  <c r="G1384" i="19" s="1"/>
  <c r="G1385" i="19" s="1"/>
  <c r="G1386" i="19" s="1"/>
  <c r="G1387" i="19" s="1"/>
  <c r="G1388" i="19" s="1"/>
  <c r="G1389" i="19" s="1"/>
  <c r="G1390" i="19" s="1"/>
  <c r="G1391" i="19" s="1"/>
  <c r="G1392" i="19" s="1"/>
  <c r="G1393" i="19" s="1"/>
  <c r="G1394" i="19" s="1"/>
  <c r="G1395" i="19" s="1"/>
  <c r="G1396" i="19" s="1"/>
  <c r="G1397" i="19" s="1"/>
  <c r="G1398" i="19" s="1"/>
  <c r="G1399" i="19" s="1"/>
  <c r="G1400" i="19" s="1"/>
  <c r="G1401" i="19" s="1"/>
  <c r="G1402" i="19" s="1"/>
  <c r="G1403" i="19" s="1"/>
  <c r="G1404" i="19" s="1"/>
  <c r="G1405" i="19" s="1"/>
  <c r="G1406" i="19" s="1"/>
  <c r="G1407" i="19" s="1"/>
  <c r="G1408" i="19" s="1"/>
  <c r="G1409" i="19" s="1"/>
  <c r="G1410" i="19" s="1"/>
  <c r="G1411" i="19" s="1"/>
  <c r="G1412" i="19" s="1"/>
  <c r="G1413" i="19" s="1"/>
  <c r="G1414" i="19" s="1"/>
  <c r="G1415" i="19" s="1"/>
  <c r="G1416" i="19" s="1"/>
  <c r="G1417" i="19" s="1"/>
  <c r="G1418" i="19" s="1"/>
  <c r="G1419" i="19" s="1"/>
  <c r="G1420" i="19" s="1"/>
  <c r="G1421" i="19" s="1"/>
  <c r="G1422" i="19" s="1"/>
  <c r="G1423" i="19" s="1"/>
  <c r="G1424" i="19" s="1"/>
  <c r="G1425" i="19" s="1"/>
  <c r="G1426" i="19" s="1"/>
  <c r="G1427" i="19" s="1"/>
  <c r="G1428" i="19" s="1"/>
  <c r="G1429" i="19" s="1"/>
  <c r="G1430" i="19" s="1"/>
  <c r="G1431" i="19" s="1"/>
  <c r="G1432" i="19" s="1"/>
  <c r="G1433" i="19" s="1"/>
  <c r="G1434" i="19" s="1"/>
  <c r="G1435" i="19" s="1"/>
  <c r="G1436" i="19" s="1"/>
  <c r="G1437" i="19" s="1"/>
  <c r="G1438" i="19" s="1"/>
  <c r="G1439" i="19" s="1"/>
  <c r="G1440" i="19" s="1"/>
  <c r="G1441" i="19" s="1"/>
  <c r="G1442" i="19" s="1"/>
  <c r="G1443" i="19" s="1"/>
  <c r="G1444" i="19" s="1"/>
  <c r="G1445" i="19" s="1"/>
  <c r="G1446" i="19" s="1"/>
  <c r="G1447" i="19" s="1"/>
  <c r="G1448" i="19" s="1"/>
  <c r="G1449" i="19" s="1"/>
  <c r="G1450" i="19" s="1"/>
  <c r="G1451" i="19" s="1"/>
  <c r="G1452" i="19" s="1"/>
  <c r="G1453" i="19" s="1"/>
  <c r="G1454" i="19" s="1"/>
  <c r="G1455" i="19" s="1"/>
  <c r="G1456" i="19" s="1"/>
  <c r="G1457" i="19" s="1"/>
  <c r="G1458" i="19" s="1"/>
  <c r="G1459" i="19" s="1"/>
  <c r="G1460" i="19" s="1"/>
  <c r="G1461" i="19" s="1"/>
  <c r="G1462" i="19" s="1"/>
  <c r="G1463" i="19" s="1"/>
  <c r="G1464" i="19" s="1"/>
  <c r="G1465" i="19" s="1"/>
  <c r="G1466" i="19" s="1"/>
  <c r="G1467" i="19" s="1"/>
  <c r="G1468" i="19" s="1"/>
  <c r="G1469" i="19" s="1"/>
  <c r="G1470" i="19" s="1"/>
  <c r="G1471" i="19" s="1"/>
  <c r="G1472" i="19" s="1"/>
  <c r="G1473" i="19" s="1"/>
  <c r="G1474" i="19" s="1"/>
  <c r="G1475" i="19" s="1"/>
  <c r="G1476" i="19" s="1"/>
  <c r="G1477" i="19" s="1"/>
  <c r="G1478" i="19" s="1"/>
  <c r="G1479" i="19" s="1"/>
  <c r="G1480" i="19" s="1"/>
  <c r="G1481" i="19" s="1"/>
  <c r="G1482" i="19" s="1"/>
  <c r="G1483" i="19" s="1"/>
  <c r="G1484" i="19" s="1"/>
  <c r="G1485" i="19" s="1"/>
  <c r="G1486" i="19" s="1"/>
  <c r="G1487" i="19" s="1"/>
  <c r="G1488" i="19" s="1"/>
  <c r="G1489" i="19" s="1"/>
  <c r="G1490" i="19" s="1"/>
  <c r="G1491" i="19" s="1"/>
  <c r="G1492" i="19" s="1"/>
  <c r="G1493" i="19" s="1"/>
  <c r="G1494" i="19" s="1"/>
  <c r="G1495" i="19" s="1"/>
  <c r="G1496" i="19" s="1"/>
  <c r="G1497" i="19" s="1"/>
  <c r="G1498" i="19" s="1"/>
  <c r="G1499" i="19" s="1"/>
  <c r="G1500" i="19" s="1"/>
  <c r="G1501" i="19" s="1"/>
  <c r="G1502" i="19" s="1"/>
  <c r="G1503" i="19" s="1"/>
  <c r="G1504" i="19" s="1"/>
  <c r="G1505" i="19" s="1"/>
  <c r="G1506" i="19" s="1"/>
  <c r="G1507" i="19" s="1"/>
  <c r="G1508" i="19" s="1"/>
  <c r="G1509" i="19" s="1"/>
  <c r="G1510" i="19" s="1"/>
  <c r="G1511" i="19" s="1"/>
  <c r="G1512" i="19" s="1"/>
  <c r="G1513" i="19" s="1"/>
  <c r="G1514" i="19" s="1"/>
  <c r="G1515" i="19" s="1"/>
  <c r="G1516" i="19" s="1"/>
  <c r="G1517" i="19" s="1"/>
  <c r="G1518" i="19" s="1"/>
  <c r="G1519" i="19" s="1"/>
  <c r="G1520" i="19" s="1"/>
  <c r="G1521" i="19" s="1"/>
  <c r="G1522" i="19" s="1"/>
  <c r="G1523" i="19" s="1"/>
  <c r="G1524" i="19" s="1"/>
  <c r="G1525" i="19" s="1"/>
  <c r="G1526" i="19" s="1"/>
  <c r="G1527" i="19" s="1"/>
  <c r="G1528" i="19" s="1"/>
  <c r="G1529" i="19" s="1"/>
  <c r="G1530" i="19" s="1"/>
  <c r="G1531" i="19" s="1"/>
  <c r="G1532" i="19" s="1"/>
  <c r="G1533" i="19" s="1"/>
  <c r="G1534" i="19" s="1"/>
  <c r="G1535" i="19" s="1"/>
  <c r="G1536" i="19" s="1"/>
  <c r="G1537" i="19" s="1"/>
  <c r="G1538" i="19" s="1"/>
  <c r="G1539" i="19" s="1"/>
  <c r="G1540" i="19" s="1"/>
  <c r="G1541" i="19" s="1"/>
  <c r="G1542" i="19" s="1"/>
  <c r="G1543" i="19" s="1"/>
  <c r="G1544" i="19" s="1"/>
  <c r="G1545" i="19" s="1"/>
  <c r="G1546" i="19" s="1"/>
  <c r="G1547" i="19" s="1"/>
  <c r="G1548" i="19" s="1"/>
  <c r="G1549" i="19" s="1"/>
  <c r="G1550" i="19" s="1"/>
  <c r="G1551" i="19" s="1"/>
  <c r="G1552" i="19" s="1"/>
  <c r="G1553" i="19" s="1"/>
  <c r="G1554" i="19" s="1"/>
  <c r="G1555" i="19" s="1"/>
  <c r="G1556" i="19" s="1"/>
  <c r="G1557" i="19" s="1"/>
  <c r="G1558" i="19" s="1"/>
  <c r="G1559" i="19" s="1"/>
  <c r="G1560" i="19" s="1"/>
  <c r="G1561" i="19" s="1"/>
  <c r="G1562" i="19" s="1"/>
  <c r="G1563" i="19" s="1"/>
  <c r="G1564" i="19" s="1"/>
  <c r="G1565" i="19" s="1"/>
  <c r="G1566" i="19" s="1"/>
  <c r="G1567" i="19" s="1"/>
  <c r="G1568" i="19" s="1"/>
  <c r="G1569" i="19" s="1"/>
  <c r="G1570" i="19" s="1"/>
  <c r="G1571" i="19" s="1"/>
  <c r="G1572" i="19" s="1"/>
  <c r="G1573" i="19" s="1"/>
  <c r="G1574" i="19" s="1"/>
  <c r="G1575" i="19" s="1"/>
  <c r="G1576" i="19" s="1"/>
  <c r="G1577" i="19" s="1"/>
  <c r="G1578" i="19" s="1"/>
  <c r="G1579" i="19" s="1"/>
  <c r="G1580" i="19" s="1"/>
  <c r="G1581" i="19" s="1"/>
  <c r="G1582" i="19" s="1"/>
  <c r="G1583" i="19" s="1"/>
  <c r="G1584" i="19" s="1"/>
  <c r="G1585" i="19" s="1"/>
  <c r="G1586" i="19" s="1"/>
  <c r="G1587" i="19" s="1"/>
  <c r="G1588" i="19" s="1"/>
  <c r="G1589" i="19" s="1"/>
  <c r="G1590" i="19" s="1"/>
  <c r="G1591" i="19" s="1"/>
  <c r="G1592" i="19" s="1"/>
  <c r="G1593" i="19" s="1"/>
  <c r="G1594" i="19" s="1"/>
  <c r="G1595" i="19" s="1"/>
  <c r="G1596" i="19" s="1"/>
  <c r="G1597" i="19" s="1"/>
  <c r="G1598" i="19" s="1"/>
  <c r="G1599" i="19" s="1"/>
  <c r="G1600" i="19" s="1"/>
  <c r="G1601" i="19" s="1"/>
  <c r="G1602" i="19" s="1"/>
  <c r="G1603" i="19" s="1"/>
  <c r="G1604" i="19" s="1"/>
  <c r="G1605" i="19" s="1"/>
  <c r="G1606" i="19" s="1"/>
  <c r="G1607" i="19" s="1"/>
  <c r="G1608" i="19" s="1"/>
  <c r="G1609" i="19" s="1"/>
  <c r="G1610" i="19" s="1"/>
  <c r="G1611" i="19" s="1"/>
  <c r="G1612" i="19" s="1"/>
  <c r="G1613" i="19" s="1"/>
  <c r="G1614" i="19" s="1"/>
  <c r="G1615" i="19" s="1"/>
  <c r="G1616" i="19" s="1"/>
  <c r="G1617" i="19" s="1"/>
  <c r="G1618" i="19" s="1"/>
  <c r="G1619" i="19" s="1"/>
  <c r="G1620" i="19" s="1"/>
  <c r="G1621" i="19" s="1"/>
  <c r="G1622" i="19" s="1"/>
  <c r="G1623" i="19" s="1"/>
  <c r="G1624" i="19" s="1"/>
  <c r="G1625" i="19" s="1"/>
  <c r="G1626" i="19" s="1"/>
  <c r="G1627" i="19" s="1"/>
  <c r="G1628" i="19" s="1"/>
  <c r="G1629" i="19" s="1"/>
  <c r="G1630" i="19" s="1"/>
  <c r="G1631" i="19" s="1"/>
  <c r="G1632" i="19" s="1"/>
  <c r="G1633" i="19" s="1"/>
  <c r="G1634" i="19" s="1"/>
  <c r="G1635" i="19" s="1"/>
  <c r="G1636" i="19" s="1"/>
  <c r="G1637" i="19" s="1"/>
  <c r="G1638" i="19" s="1"/>
  <c r="G1639" i="19" s="1"/>
  <c r="G1640" i="19" s="1"/>
  <c r="G1641" i="19" s="1"/>
  <c r="G1642" i="19" s="1"/>
  <c r="G1643" i="19" s="1"/>
  <c r="G1644" i="19" s="1"/>
  <c r="G1645" i="19" s="1"/>
  <c r="G1646" i="19" s="1"/>
  <c r="G1647" i="19" s="1"/>
  <c r="G1648" i="19" s="1"/>
  <c r="G1649" i="19" s="1"/>
  <c r="G1650" i="19" s="1"/>
  <c r="G1651" i="19" s="1"/>
  <c r="G1652" i="19" s="1"/>
  <c r="G1653" i="19" s="1"/>
  <c r="G1654" i="19" s="1"/>
  <c r="G1655" i="19" s="1"/>
  <c r="G1656" i="19" s="1"/>
  <c r="G1657" i="19" s="1"/>
  <c r="G1658" i="19" s="1"/>
  <c r="G1659" i="19" s="1"/>
  <c r="G1660" i="19" s="1"/>
  <c r="G1661" i="19" s="1"/>
  <c r="G1662" i="19" s="1"/>
  <c r="G1663" i="19" s="1"/>
  <c r="G1664" i="19" s="1"/>
  <c r="G1665" i="19" s="1"/>
  <c r="G1666" i="19" s="1"/>
  <c r="G1667" i="19" s="1"/>
  <c r="G1668" i="19" s="1"/>
  <c r="G1669" i="19" s="1"/>
  <c r="G1670" i="19" s="1"/>
  <c r="G1671" i="19" s="1"/>
  <c r="G1672" i="19" s="1"/>
  <c r="G1673" i="19" s="1"/>
  <c r="G1674" i="19" s="1"/>
  <c r="G1675" i="19" s="1"/>
  <c r="G1676" i="19" s="1"/>
  <c r="G1677" i="19" s="1"/>
  <c r="G1678" i="19" s="1"/>
  <c r="G1679" i="19" s="1"/>
  <c r="G1680" i="19" s="1"/>
  <c r="G1681" i="19" s="1"/>
  <c r="G1682" i="19" s="1"/>
  <c r="G1683" i="19" s="1"/>
  <c r="G1684" i="19" s="1"/>
  <c r="G1685" i="19" s="1"/>
  <c r="G1686" i="19" s="1"/>
  <c r="G1687" i="19" s="1"/>
  <c r="G1688" i="19" s="1"/>
  <c r="G1689" i="19" s="1"/>
  <c r="G1690" i="19" s="1"/>
  <c r="G1691" i="19" s="1"/>
  <c r="G1692" i="19" s="1"/>
  <c r="G1693" i="19" s="1"/>
  <c r="G1694" i="19" s="1"/>
  <c r="G1695" i="19" s="1"/>
  <c r="G1696" i="19" s="1"/>
  <c r="G1697" i="19" s="1"/>
  <c r="G1698" i="19" s="1"/>
  <c r="G1699" i="19" s="1"/>
  <c r="G1700" i="19" s="1"/>
  <c r="G1701" i="19" s="1"/>
  <c r="G1702" i="19" s="1"/>
  <c r="G1703" i="19" s="1"/>
  <c r="G1704" i="19" s="1"/>
  <c r="G1705" i="19" s="1"/>
  <c r="G1706" i="19" s="1"/>
  <c r="G1707" i="19" s="1"/>
  <c r="G1708" i="19" s="1"/>
  <c r="G1709" i="19" s="1"/>
  <c r="G1710" i="19" s="1"/>
  <c r="G1711" i="19" s="1"/>
  <c r="G1712" i="19" s="1"/>
  <c r="G1713" i="19" s="1"/>
  <c r="G1714" i="19" s="1"/>
  <c r="G1715" i="19" s="1"/>
  <c r="G1716" i="19" s="1"/>
  <c r="G1717" i="19" s="1"/>
  <c r="G1718" i="19" s="1"/>
  <c r="G1719" i="19" s="1"/>
  <c r="G1720" i="19" s="1"/>
  <c r="G1721" i="19" s="1"/>
  <c r="G1722" i="19" s="1"/>
  <c r="G1723" i="19" s="1"/>
  <c r="G1724" i="19" s="1"/>
  <c r="G1725" i="19" s="1"/>
  <c r="G1726" i="19" s="1"/>
  <c r="G1727" i="19" s="1"/>
  <c r="G1728" i="19" s="1"/>
  <c r="G1729" i="19" s="1"/>
  <c r="G1730" i="19" s="1"/>
  <c r="G1731" i="19" s="1"/>
  <c r="G1732" i="19" s="1"/>
  <c r="G1733" i="19" s="1"/>
  <c r="G1734" i="19" s="1"/>
  <c r="G1735" i="19" s="1"/>
  <c r="G1736" i="19" s="1"/>
  <c r="G1737" i="19" s="1"/>
  <c r="G1738" i="19" s="1"/>
  <c r="G1739" i="19" s="1"/>
  <c r="G1740" i="19" s="1"/>
  <c r="G1741" i="19" s="1"/>
  <c r="G1742" i="19" s="1"/>
  <c r="G1743" i="19" s="1"/>
  <c r="G1744" i="19" s="1"/>
  <c r="G1745" i="19" s="1"/>
  <c r="G1746" i="19" s="1"/>
  <c r="G1747" i="19" s="1"/>
  <c r="G1748" i="19" s="1"/>
  <c r="G1749" i="19" s="1"/>
  <c r="G1750" i="19" s="1"/>
  <c r="G1751" i="19" s="1"/>
  <c r="G1752" i="19" s="1"/>
  <c r="G1753" i="19" s="1"/>
  <c r="G1754" i="19" s="1"/>
  <c r="G1755" i="19" s="1"/>
  <c r="G1756" i="19" s="1"/>
  <c r="G1757" i="19" s="1"/>
  <c r="G1758" i="19" s="1"/>
  <c r="G1759" i="19" s="1"/>
  <c r="G1760" i="19" s="1"/>
  <c r="G1761" i="19" s="1"/>
  <c r="G1762" i="19" s="1"/>
  <c r="G1763" i="19" s="1"/>
  <c r="G1764" i="19" s="1"/>
  <c r="G1765" i="19" s="1"/>
  <c r="G1766" i="19" s="1"/>
  <c r="G1767" i="19" s="1"/>
  <c r="G1768" i="19" s="1"/>
  <c r="G1769" i="19" s="1"/>
  <c r="G1770" i="19" s="1"/>
  <c r="G1771" i="19" s="1"/>
  <c r="G1772" i="19" s="1"/>
  <c r="G1773" i="19" s="1"/>
  <c r="G1774" i="19" s="1"/>
  <c r="G1775" i="19" s="1"/>
  <c r="G1776" i="19" s="1"/>
  <c r="G1777" i="19" s="1"/>
  <c r="G1778" i="19" s="1"/>
  <c r="G1779" i="19" s="1"/>
  <c r="G1780" i="19" s="1"/>
  <c r="G1781" i="19" s="1"/>
  <c r="G1782" i="19" s="1"/>
  <c r="G1783" i="19" s="1"/>
  <c r="G1784" i="19" s="1"/>
  <c r="G1785" i="19" s="1"/>
  <c r="G1786" i="19" s="1"/>
  <c r="G1787" i="19" s="1"/>
  <c r="G1788" i="19" s="1"/>
  <c r="G1789" i="19" s="1"/>
  <c r="G1790" i="19" s="1"/>
  <c r="G1791" i="19" s="1"/>
  <c r="G1792" i="19" s="1"/>
  <c r="G1793" i="19" s="1"/>
  <c r="G1794" i="19" s="1"/>
  <c r="G1795" i="19" s="1"/>
  <c r="G1796" i="19" s="1"/>
  <c r="G1797" i="19" s="1"/>
  <c r="G1798" i="19" s="1"/>
  <c r="G1799" i="19" s="1"/>
  <c r="G1800" i="19" s="1"/>
  <c r="G1801" i="19" s="1"/>
  <c r="G1802" i="19" s="1"/>
  <c r="G1803" i="19" s="1"/>
  <c r="G1804" i="19" s="1"/>
  <c r="G1805" i="19" s="1"/>
  <c r="G1806" i="19" s="1"/>
  <c r="G1807" i="19" s="1"/>
  <c r="G1808" i="19" s="1"/>
  <c r="G1809" i="19" s="1"/>
  <c r="G1810" i="19" s="1"/>
  <c r="G1811" i="19" s="1"/>
  <c r="G1812" i="19" s="1"/>
  <c r="G1813" i="19" s="1"/>
  <c r="G1814" i="19" s="1"/>
  <c r="G1815" i="19" s="1"/>
  <c r="G1816" i="19" s="1"/>
  <c r="G1817" i="19" s="1"/>
  <c r="G1818" i="19" s="1"/>
  <c r="G1819" i="19" s="1"/>
  <c r="G1820" i="19" s="1"/>
  <c r="G1821" i="19" s="1"/>
  <c r="G1822" i="19" s="1"/>
  <c r="G1823" i="19" s="1"/>
  <c r="G1824" i="19" s="1"/>
  <c r="G1825" i="19" s="1"/>
  <c r="G1826" i="19" s="1"/>
  <c r="G1827" i="19" s="1"/>
  <c r="G1828" i="19" s="1"/>
  <c r="G1829" i="19" s="1"/>
  <c r="G1830" i="19" s="1"/>
  <c r="G1831" i="19" s="1"/>
  <c r="G1832" i="19" s="1"/>
  <c r="G1833" i="19" s="1"/>
  <c r="G1834" i="19" s="1"/>
  <c r="G1835" i="19" s="1"/>
  <c r="G1836" i="19" s="1"/>
  <c r="G1837" i="19" s="1"/>
  <c r="G1838" i="19" s="1"/>
  <c r="G1839" i="19" s="1"/>
  <c r="G1840" i="19" s="1"/>
  <c r="G1841" i="19" s="1"/>
  <c r="G1842" i="19" s="1"/>
  <c r="G1843" i="19" s="1"/>
  <c r="G1844" i="19" s="1"/>
  <c r="G1845" i="19" s="1"/>
  <c r="G1846" i="19" s="1"/>
  <c r="G1847" i="19" s="1"/>
  <c r="G1848" i="19" s="1"/>
  <c r="G1849" i="19" s="1"/>
  <c r="G1850" i="19" s="1"/>
  <c r="G1851" i="19" s="1"/>
  <c r="G1852" i="19" s="1"/>
  <c r="G1853" i="19" s="1"/>
  <c r="G1854" i="19" s="1"/>
  <c r="G1855" i="19" s="1"/>
  <c r="G1856" i="19" s="1"/>
  <c r="G1857" i="19" s="1"/>
  <c r="G1858" i="19" s="1"/>
  <c r="G1859" i="19" s="1"/>
  <c r="G1860" i="19" s="1"/>
  <c r="G1861" i="19" s="1"/>
  <c r="G1862" i="19" s="1"/>
  <c r="G1863" i="19" s="1"/>
  <c r="G1864" i="19" s="1"/>
  <c r="G1865" i="19" s="1"/>
  <c r="G1866" i="19" s="1"/>
  <c r="G1867" i="19" s="1"/>
  <c r="G1868" i="19" s="1"/>
  <c r="G1869" i="19" s="1"/>
  <c r="G1870" i="19" s="1"/>
  <c r="G1871" i="19" s="1"/>
  <c r="G1872" i="19" s="1"/>
  <c r="G1873" i="19" s="1"/>
  <c r="G1874" i="19" s="1"/>
  <c r="G1875" i="19" s="1"/>
  <c r="G1876" i="19" s="1"/>
  <c r="G1877" i="19" s="1"/>
  <c r="G1878" i="19" s="1"/>
  <c r="G1879" i="19" s="1"/>
  <c r="G1880" i="19" s="1"/>
  <c r="G1881" i="19" s="1"/>
  <c r="G1882" i="19" s="1"/>
  <c r="G1883" i="19" s="1"/>
  <c r="G1884" i="19" s="1"/>
  <c r="G1885" i="19" s="1"/>
  <c r="G1886" i="19" s="1"/>
  <c r="G1887" i="19" s="1"/>
  <c r="G1888" i="19" s="1"/>
  <c r="G1889" i="19" s="1"/>
  <c r="G1890" i="19" s="1"/>
  <c r="G1891" i="19" s="1"/>
  <c r="G1892" i="19" s="1"/>
  <c r="G1893" i="19" s="1"/>
  <c r="G1894" i="19" s="1"/>
  <c r="G1895" i="19" s="1"/>
  <c r="G1896" i="19" s="1"/>
  <c r="G1897" i="19" s="1"/>
  <c r="G1898" i="19" s="1"/>
  <c r="G1899" i="19" s="1"/>
  <c r="G1900" i="19" s="1"/>
  <c r="G1901" i="19" s="1"/>
  <c r="G1902" i="19" s="1"/>
  <c r="G1903" i="19" s="1"/>
  <c r="G1904" i="19" s="1"/>
  <c r="G1905" i="19" s="1"/>
  <c r="G1906" i="19" s="1"/>
  <c r="G1907" i="19" s="1"/>
  <c r="G1908" i="19" s="1"/>
  <c r="G1909" i="19" s="1"/>
  <c r="G1910" i="19" s="1"/>
  <c r="G1911" i="19" s="1"/>
  <c r="G1912" i="19" s="1"/>
  <c r="G1913" i="19" s="1"/>
  <c r="G1914" i="19" s="1"/>
  <c r="G1915" i="19" s="1"/>
  <c r="G1916" i="19" s="1"/>
  <c r="G1917" i="19" s="1"/>
  <c r="G1918" i="19" s="1"/>
  <c r="G1919" i="19" s="1"/>
  <c r="G1920" i="19" s="1"/>
  <c r="G1921" i="19" s="1"/>
  <c r="G1922" i="19" s="1"/>
  <c r="G1923" i="19" s="1"/>
  <c r="G1924" i="19" s="1"/>
  <c r="G1925" i="19" s="1"/>
  <c r="G1926" i="19" s="1"/>
  <c r="G1927" i="19" s="1"/>
  <c r="G1928" i="19" s="1"/>
  <c r="G1929" i="19" s="1"/>
  <c r="G1930" i="19" s="1"/>
  <c r="G1931" i="19" s="1"/>
  <c r="G1932" i="19" s="1"/>
  <c r="G1933" i="19" s="1"/>
  <c r="G1934" i="19" s="1"/>
  <c r="G1935" i="19" s="1"/>
  <c r="G1936" i="19" s="1"/>
  <c r="G1937" i="19" s="1"/>
  <c r="G1938" i="19" s="1"/>
  <c r="G1939" i="19" s="1"/>
  <c r="G1940" i="19" s="1"/>
  <c r="G1941" i="19" s="1"/>
  <c r="G1942" i="19" s="1"/>
  <c r="G1943" i="19" s="1"/>
  <c r="G1944" i="19" s="1"/>
  <c r="G1945" i="19" s="1"/>
  <c r="G1946" i="19" s="1"/>
  <c r="G1947" i="19" s="1"/>
  <c r="G1948" i="19" s="1"/>
  <c r="G1949" i="19" s="1"/>
  <c r="G1950" i="19" s="1"/>
  <c r="G1951" i="19" s="1"/>
  <c r="G1952" i="19" s="1"/>
  <c r="G1953" i="19" s="1"/>
  <c r="G1954" i="19" s="1"/>
  <c r="G1955" i="19" s="1"/>
  <c r="G1956" i="19" s="1"/>
  <c r="G1957" i="19" s="1"/>
  <c r="G1958" i="19" s="1"/>
  <c r="G1959" i="19" s="1"/>
  <c r="G1960" i="19" s="1"/>
  <c r="G1961" i="19" s="1"/>
  <c r="G1962" i="19" s="1"/>
  <c r="G1963" i="19" s="1"/>
  <c r="G1964" i="19" s="1"/>
  <c r="G1965" i="19" s="1"/>
  <c r="G1966" i="19" s="1"/>
  <c r="G1967" i="19" s="1"/>
  <c r="G1968" i="19" s="1"/>
  <c r="G1969" i="19" s="1"/>
  <c r="G1970" i="19" s="1"/>
  <c r="G1971" i="19" s="1"/>
  <c r="G1972" i="19" s="1"/>
  <c r="G1973" i="19" s="1"/>
  <c r="G1974" i="19" s="1"/>
  <c r="G1975" i="19" s="1"/>
  <c r="G1976" i="19" s="1"/>
  <c r="G1977" i="19" s="1"/>
  <c r="G1978" i="19" s="1"/>
  <c r="G1979" i="19" s="1"/>
  <c r="G1980" i="19" s="1"/>
  <c r="G1981" i="19" s="1"/>
  <c r="G1982" i="19" s="1"/>
  <c r="G1983" i="19" s="1"/>
  <c r="G1984" i="19" s="1"/>
  <c r="G1985" i="19" s="1"/>
  <c r="G1986" i="19" s="1"/>
  <c r="G1987" i="19" s="1"/>
  <c r="G1988" i="19" s="1"/>
  <c r="G1989" i="19" s="1"/>
  <c r="G1990" i="19" s="1"/>
  <c r="G1991" i="19" s="1"/>
  <c r="G1992" i="19" s="1"/>
  <c r="G1993" i="19" s="1"/>
  <c r="G1994" i="19" s="1"/>
  <c r="G1995" i="19" s="1"/>
  <c r="G1996" i="19" s="1"/>
  <c r="G1997" i="19" s="1"/>
  <c r="G1998" i="19" s="1"/>
  <c r="G1999" i="19" s="1"/>
  <c r="G2000" i="19" s="1"/>
  <c r="G2001" i="19" s="1"/>
  <c r="G2002" i="19" s="1"/>
  <c r="G2003" i="19" s="1"/>
  <c r="G2004" i="19" s="1"/>
  <c r="G2005" i="19" s="1"/>
  <c r="G2006" i="19" s="1"/>
  <c r="G2007" i="19" s="1"/>
  <c r="G2008" i="19" s="1"/>
  <c r="G2009" i="19" s="1"/>
  <c r="G2010" i="19" s="1"/>
  <c r="G2011" i="19" s="1"/>
  <c r="G2012" i="19" s="1"/>
  <c r="G2013" i="19" s="1"/>
  <c r="G2014" i="19" s="1"/>
  <c r="G2015" i="19" s="1"/>
  <c r="G2016" i="19" s="1"/>
  <c r="G2017" i="19" s="1"/>
  <c r="G2018" i="19" s="1"/>
  <c r="G2019" i="19" s="1"/>
  <c r="G2020" i="19" s="1"/>
  <c r="G2021" i="19" s="1"/>
  <c r="G2022" i="19" s="1"/>
  <c r="G2023" i="19" s="1"/>
  <c r="G2024" i="19" s="1"/>
  <c r="G2025" i="19" s="1"/>
  <c r="G2026" i="19" s="1"/>
  <c r="G2027" i="19" s="1"/>
  <c r="G2028" i="19" s="1"/>
  <c r="G2029" i="19" s="1"/>
  <c r="G2030" i="19" s="1"/>
  <c r="G2031" i="19" s="1"/>
  <c r="G2032" i="19" s="1"/>
  <c r="G2033" i="19" s="1"/>
  <c r="G2034" i="19" s="1"/>
  <c r="G2035" i="19" s="1"/>
  <c r="G2036" i="19" s="1"/>
  <c r="G2037" i="19" s="1"/>
  <c r="G2038" i="19" s="1"/>
  <c r="G2039" i="19" s="1"/>
  <c r="G2040" i="19" s="1"/>
  <c r="G2041" i="19" s="1"/>
  <c r="G2042" i="19" s="1"/>
  <c r="G2043" i="19" s="1"/>
  <c r="G2044" i="19" s="1"/>
  <c r="G2045" i="19" s="1"/>
  <c r="G2046" i="19" s="1"/>
  <c r="G2047" i="19" s="1"/>
  <c r="G2048" i="19" s="1"/>
  <c r="G2049" i="19" s="1"/>
  <c r="G2050" i="19" s="1"/>
  <c r="G2051" i="19" s="1"/>
  <c r="G2052" i="19" s="1"/>
  <c r="G2053" i="19" s="1"/>
  <c r="G2054" i="19" s="1"/>
  <c r="G2055" i="19" s="1"/>
  <c r="G2056" i="19" s="1"/>
  <c r="G2057" i="19" s="1"/>
  <c r="G2058" i="19" s="1"/>
  <c r="G2059" i="19" s="1"/>
  <c r="G2060" i="19" s="1"/>
  <c r="G2061" i="19" s="1"/>
  <c r="G2062" i="19" s="1"/>
  <c r="G2063" i="19" s="1"/>
  <c r="G2064" i="19" s="1"/>
  <c r="G2065" i="19" s="1"/>
  <c r="G2066" i="19" s="1"/>
  <c r="G2067" i="19" s="1"/>
  <c r="G2068" i="19" s="1"/>
  <c r="G2069" i="19" s="1"/>
  <c r="G2070" i="19" s="1"/>
  <c r="G2071" i="19" s="1"/>
  <c r="G2072" i="19" s="1"/>
  <c r="G2073" i="19" s="1"/>
  <c r="G2074" i="19" s="1"/>
  <c r="G2075" i="19" s="1"/>
  <c r="G2076" i="19" s="1"/>
  <c r="G2077" i="19" s="1"/>
  <c r="G2078" i="19" s="1"/>
  <c r="G2079" i="19" s="1"/>
  <c r="G2080" i="19" s="1"/>
  <c r="G2081" i="19" s="1"/>
  <c r="G2082" i="19" s="1"/>
  <c r="G2083" i="19" s="1"/>
  <c r="G2084" i="19" s="1"/>
  <c r="G2085" i="19" s="1"/>
  <c r="G2086" i="19" s="1"/>
  <c r="G2087" i="19" s="1"/>
  <c r="G2088" i="19" s="1"/>
  <c r="G2089" i="19" s="1"/>
  <c r="G2090" i="19" s="1"/>
  <c r="G2091" i="19" s="1"/>
  <c r="G2092" i="19" s="1"/>
  <c r="G2093" i="19" s="1"/>
  <c r="G2094" i="19" s="1"/>
  <c r="G2095" i="19" s="1"/>
  <c r="G2096" i="19" s="1"/>
  <c r="G2097" i="19" s="1"/>
  <c r="G2098" i="19" s="1"/>
  <c r="G2099" i="19" s="1"/>
  <c r="G2100" i="19" s="1"/>
  <c r="G2101" i="19" s="1"/>
  <c r="G2102" i="19" s="1"/>
  <c r="G2103" i="19" s="1"/>
  <c r="G2104" i="19" s="1"/>
  <c r="G2105" i="19" s="1"/>
  <c r="G2106" i="19" s="1"/>
  <c r="G2107" i="19" s="1"/>
  <c r="G2108" i="19" s="1"/>
  <c r="G2109" i="19" s="1"/>
  <c r="G2110" i="19" s="1"/>
  <c r="G2111" i="19" s="1"/>
  <c r="G2112" i="19" s="1"/>
  <c r="G2113" i="19" s="1"/>
  <c r="G2114" i="19" s="1"/>
  <c r="G2115" i="19" s="1"/>
  <c r="G2116" i="19" s="1"/>
  <c r="G2117" i="19" s="1"/>
  <c r="G2118" i="19" s="1"/>
  <c r="G2119" i="19" s="1"/>
  <c r="G2120" i="19" s="1"/>
  <c r="G2121" i="19" s="1"/>
  <c r="G2122" i="19" s="1"/>
  <c r="G2123" i="19" s="1"/>
  <c r="G2124" i="19" s="1"/>
  <c r="G2125" i="19" s="1"/>
  <c r="G2126" i="19" s="1"/>
  <c r="G2127" i="19" s="1"/>
  <c r="G2128" i="19" s="1"/>
  <c r="G2129" i="19" s="1"/>
  <c r="G2130" i="19" s="1"/>
  <c r="G2131" i="19" s="1"/>
  <c r="G2132" i="19" s="1"/>
  <c r="G2133" i="19" s="1"/>
  <c r="G2134" i="19" s="1"/>
  <c r="G2135" i="19" s="1"/>
  <c r="G2136" i="19" s="1"/>
  <c r="G2137" i="19" s="1"/>
  <c r="G2138" i="19" s="1"/>
  <c r="G2139" i="19" s="1"/>
  <c r="G2140" i="19" s="1"/>
  <c r="G2141" i="19" s="1"/>
  <c r="G2142" i="19" s="1"/>
  <c r="G2143" i="19" s="1"/>
  <c r="G2144" i="19" s="1"/>
  <c r="G2145" i="19" s="1"/>
  <c r="G2146" i="19" s="1"/>
  <c r="G2147" i="19" s="1"/>
  <c r="G2148" i="19" s="1"/>
  <c r="G2149" i="19" s="1"/>
  <c r="G2150" i="19" s="1"/>
  <c r="G2151" i="19" s="1"/>
  <c r="G2152" i="19" s="1"/>
  <c r="G2153" i="19" s="1"/>
  <c r="G2154" i="19" s="1"/>
  <c r="G2155" i="19" s="1"/>
  <c r="G2156" i="19" s="1"/>
  <c r="G2157" i="19" s="1"/>
  <c r="G2158" i="19" s="1"/>
  <c r="G2159" i="19" s="1"/>
  <c r="G2160" i="19" s="1"/>
  <c r="G2161" i="19" s="1"/>
  <c r="G2162" i="19" s="1"/>
  <c r="G2163" i="19" s="1"/>
  <c r="G2164" i="19" s="1"/>
  <c r="G2165" i="19" s="1"/>
  <c r="G2166" i="19" s="1"/>
  <c r="G2167" i="19" s="1"/>
  <c r="G2168" i="19" s="1"/>
  <c r="G2169" i="19" s="1"/>
  <c r="G2170" i="19" s="1"/>
  <c r="G2171" i="19" s="1"/>
  <c r="G2172" i="19" s="1"/>
  <c r="G2173" i="19" s="1"/>
  <c r="G2174" i="19" s="1"/>
  <c r="G2175" i="19" s="1"/>
  <c r="G2176" i="19" s="1"/>
  <c r="G2177" i="19" s="1"/>
  <c r="G2178" i="19" s="1"/>
  <c r="G2179" i="19" s="1"/>
  <c r="G2180" i="19" s="1"/>
  <c r="G2181" i="19" s="1"/>
  <c r="G2182" i="19" s="1"/>
  <c r="G2183" i="19" s="1"/>
  <c r="G2184" i="19" s="1"/>
  <c r="G2185" i="19" s="1"/>
  <c r="G2186" i="19" s="1"/>
  <c r="G2187" i="19" s="1"/>
  <c r="G2188" i="19" s="1"/>
  <c r="G2189" i="19" s="1"/>
  <c r="G2190" i="19" s="1"/>
  <c r="G2191" i="19" s="1"/>
  <c r="G2192" i="19" s="1"/>
  <c r="G2193" i="19" s="1"/>
  <c r="G2194" i="19" s="1"/>
  <c r="G2195" i="19" s="1"/>
  <c r="G2196" i="19" s="1"/>
  <c r="G2197" i="19" s="1"/>
  <c r="G2198" i="19" s="1"/>
  <c r="G2199" i="19" s="1"/>
  <c r="G2200" i="19" s="1"/>
  <c r="G2201" i="19" s="1"/>
  <c r="G2202" i="19" s="1"/>
  <c r="G2203" i="19" s="1"/>
  <c r="G2204" i="19" s="1"/>
  <c r="G2205" i="19" s="1"/>
  <c r="G2206" i="19" s="1"/>
  <c r="G2207" i="19" s="1"/>
  <c r="G2208" i="19" s="1"/>
  <c r="G2209" i="19" s="1"/>
  <c r="G2210" i="19" s="1"/>
  <c r="G2211" i="19" s="1"/>
  <c r="G2212" i="19" s="1"/>
  <c r="G2213" i="19" s="1"/>
  <c r="G2214" i="19" s="1"/>
  <c r="G2215" i="19" s="1"/>
  <c r="G2216" i="19" s="1"/>
  <c r="G2217" i="19" s="1"/>
  <c r="G2218" i="19" s="1"/>
  <c r="G2219" i="19" s="1"/>
  <c r="G2220" i="19" s="1"/>
  <c r="G2221" i="19" s="1"/>
  <c r="G2222" i="19" s="1"/>
  <c r="G2223" i="19" s="1"/>
  <c r="G2224" i="19" s="1"/>
  <c r="G2225" i="19" s="1"/>
  <c r="G2226" i="19" s="1"/>
  <c r="G2227" i="19" s="1"/>
  <c r="G2228" i="19" s="1"/>
  <c r="G2229" i="19" s="1"/>
  <c r="G2230" i="19" s="1"/>
  <c r="G2231" i="19" s="1"/>
  <c r="G2232" i="19" s="1"/>
  <c r="G2233" i="19" s="1"/>
  <c r="G2234" i="19" s="1"/>
  <c r="G2235" i="19" s="1"/>
  <c r="G2236" i="19" s="1"/>
  <c r="G2237" i="19" s="1"/>
  <c r="G2238" i="19" s="1"/>
  <c r="G2239" i="19" s="1"/>
  <c r="G2240" i="19" s="1"/>
  <c r="G2241" i="19" s="1"/>
  <c r="G2242" i="19" s="1"/>
  <c r="G2243" i="19" s="1"/>
  <c r="G2244" i="19" s="1"/>
  <c r="G2245" i="19" s="1"/>
  <c r="G2246" i="19" s="1"/>
  <c r="G2247" i="19" s="1"/>
  <c r="G2248" i="19" s="1"/>
  <c r="G2249" i="19" s="1"/>
  <c r="G2250" i="19" s="1"/>
  <c r="G2251" i="19" s="1"/>
  <c r="G2252" i="19" s="1"/>
  <c r="G2253" i="19" s="1"/>
  <c r="G2254" i="19" s="1"/>
  <c r="G2255" i="19" s="1"/>
  <c r="G2256" i="19" s="1"/>
  <c r="G2257" i="19" s="1"/>
  <c r="G2258" i="19" s="1"/>
  <c r="G2259" i="19" s="1"/>
  <c r="G2260" i="19" s="1"/>
  <c r="G2261" i="19" s="1"/>
  <c r="G2262" i="19" s="1"/>
  <c r="G2263" i="19" s="1"/>
  <c r="G2264" i="19" s="1"/>
  <c r="G2265" i="19" s="1"/>
  <c r="G2266" i="19" s="1"/>
  <c r="G2267" i="19" s="1"/>
  <c r="G2268" i="19" s="1"/>
  <c r="G2269" i="19" s="1"/>
  <c r="G2270" i="19" s="1"/>
  <c r="G2271" i="19" s="1"/>
  <c r="G2272" i="19" s="1"/>
  <c r="G2273" i="19" s="1"/>
  <c r="G2274" i="19" s="1"/>
  <c r="G2275" i="19" s="1"/>
  <c r="G2276" i="19" s="1"/>
  <c r="G2277" i="19" s="1"/>
  <c r="G2278" i="19" s="1"/>
  <c r="G2279" i="19" s="1"/>
  <c r="G2280" i="19" s="1"/>
  <c r="G2281" i="19" s="1"/>
  <c r="G2282" i="19" s="1"/>
  <c r="G2283" i="19" s="1"/>
  <c r="G2284" i="19" s="1"/>
  <c r="G2285" i="19" s="1"/>
  <c r="G2286" i="19" s="1"/>
  <c r="G2287" i="19" s="1"/>
  <c r="G2288" i="19" s="1"/>
  <c r="G2289" i="19" s="1"/>
  <c r="G2290" i="19" s="1"/>
  <c r="G2291" i="19" s="1"/>
  <c r="G2292" i="19" s="1"/>
  <c r="G2293" i="19" s="1"/>
  <c r="G2294" i="19" s="1"/>
  <c r="G2295" i="19" s="1"/>
  <c r="G2296" i="19" s="1"/>
  <c r="G2297" i="19" s="1"/>
  <c r="G2298" i="19" s="1"/>
  <c r="G2299" i="19" s="1"/>
  <c r="G2300" i="19" s="1"/>
  <c r="G2301" i="19" s="1"/>
  <c r="G2302" i="19" s="1"/>
  <c r="G2303" i="19" s="1"/>
  <c r="G2304" i="19" s="1"/>
  <c r="G2305" i="19" s="1"/>
  <c r="G2306" i="19" s="1"/>
  <c r="G2307" i="19" s="1"/>
  <c r="G2308" i="19" s="1"/>
  <c r="G2309" i="19" s="1"/>
  <c r="G2310" i="19" s="1"/>
  <c r="G2311" i="19" s="1"/>
  <c r="G2312" i="19" s="1"/>
  <c r="G2313" i="19" s="1"/>
  <c r="G2314" i="19" s="1"/>
  <c r="G2315" i="19" s="1"/>
  <c r="G2316" i="19" s="1"/>
  <c r="G2317" i="19" s="1"/>
  <c r="G2318" i="19" s="1"/>
  <c r="G2319" i="19" s="1"/>
  <c r="G2320" i="19" s="1"/>
  <c r="G2321" i="19" s="1"/>
  <c r="G2322" i="19" s="1"/>
  <c r="G2323" i="19" s="1"/>
  <c r="G2324" i="19" s="1"/>
  <c r="G2325" i="19" s="1"/>
  <c r="G2326" i="19" s="1"/>
  <c r="G2327" i="19" s="1"/>
  <c r="G2328" i="19" s="1"/>
  <c r="G2329" i="19" s="1"/>
  <c r="G2330" i="19" s="1"/>
  <c r="G2331" i="19" s="1"/>
  <c r="G2332" i="19" s="1"/>
  <c r="G2333" i="19" s="1"/>
  <c r="G2334" i="19" s="1"/>
  <c r="G2335" i="19" s="1"/>
  <c r="G2336" i="19" s="1"/>
  <c r="G2337" i="19" s="1"/>
  <c r="G2338" i="19" s="1"/>
  <c r="G2339" i="19" s="1"/>
  <c r="G2340" i="19" s="1"/>
  <c r="G2341" i="19" s="1"/>
  <c r="G2342" i="19" s="1"/>
  <c r="G2343" i="19" s="1"/>
  <c r="G2344" i="19" s="1"/>
  <c r="G2345" i="19" s="1"/>
  <c r="G2346" i="19" s="1"/>
  <c r="G2347" i="19" s="1"/>
  <c r="G2348" i="19" s="1"/>
  <c r="G2349" i="19" s="1"/>
  <c r="G2350" i="19" s="1"/>
  <c r="G2351" i="19" s="1"/>
  <c r="G2352" i="19" s="1"/>
  <c r="G2353" i="19" s="1"/>
  <c r="G2354" i="19" s="1"/>
  <c r="G2355" i="19" s="1"/>
  <c r="G2356" i="19" s="1"/>
  <c r="G2357" i="19" s="1"/>
  <c r="G2358" i="19" s="1"/>
  <c r="G2359" i="19" s="1"/>
  <c r="G2360" i="19" s="1"/>
  <c r="G2361" i="19" s="1"/>
  <c r="G2362" i="19" s="1"/>
  <c r="G2363" i="19" s="1"/>
  <c r="G2364" i="19" s="1"/>
  <c r="G2365" i="19" s="1"/>
  <c r="G2366" i="19" s="1"/>
  <c r="G2367" i="19" s="1"/>
  <c r="G2368" i="19" s="1"/>
  <c r="G2369" i="19" s="1"/>
  <c r="G2370" i="19" s="1"/>
  <c r="G2371" i="19" s="1"/>
  <c r="G2372" i="19" s="1"/>
  <c r="G2373" i="19" s="1"/>
  <c r="G2374" i="19" s="1"/>
  <c r="G2375" i="19" s="1"/>
  <c r="G2376" i="19" s="1"/>
  <c r="G2377" i="19" s="1"/>
  <c r="G2378" i="19" s="1"/>
  <c r="G2379" i="19" s="1"/>
  <c r="G2380" i="19" s="1"/>
  <c r="G2381" i="19" s="1"/>
  <c r="G2382" i="19" s="1"/>
  <c r="G2383" i="19" s="1"/>
  <c r="G2384" i="19" s="1"/>
  <c r="G2385" i="19" s="1"/>
  <c r="G2386" i="19" s="1"/>
  <c r="G2387" i="19" s="1"/>
  <c r="G2388" i="19" s="1"/>
  <c r="G2389" i="19" s="1"/>
  <c r="G2390" i="19" s="1"/>
  <c r="G2391" i="19" s="1"/>
  <c r="G2392" i="19" s="1"/>
  <c r="G2393" i="19" s="1"/>
  <c r="G2394" i="19" s="1"/>
  <c r="G2395" i="19" s="1"/>
  <c r="G2396" i="19" s="1"/>
  <c r="G2397" i="19" s="1"/>
  <c r="G2398" i="19" s="1"/>
  <c r="G2399" i="19" s="1"/>
  <c r="G2400" i="19" s="1"/>
  <c r="G2401" i="19" s="1"/>
  <c r="G2402" i="19" s="1"/>
  <c r="G2403" i="19" s="1"/>
  <c r="G2404" i="19" s="1"/>
  <c r="G2405" i="19" s="1"/>
  <c r="G2406" i="19" s="1"/>
  <c r="G2407" i="19" s="1"/>
  <c r="G2408" i="19" s="1"/>
  <c r="G2409" i="19" s="1"/>
  <c r="G2410" i="19" s="1"/>
  <c r="G2411" i="19" s="1"/>
  <c r="G2412" i="19" s="1"/>
  <c r="G2413" i="19" s="1"/>
  <c r="G2414" i="19" s="1"/>
  <c r="G2415" i="19" s="1"/>
  <c r="G2416" i="19" s="1"/>
  <c r="G2417" i="19" s="1"/>
  <c r="G2418" i="19" s="1"/>
  <c r="G2419" i="19" s="1"/>
  <c r="G2420" i="19" s="1"/>
  <c r="G2421" i="19" s="1"/>
  <c r="G2422" i="19" s="1"/>
  <c r="G2423" i="19" s="1"/>
  <c r="G2424" i="19" s="1"/>
  <c r="G2425" i="19" s="1"/>
  <c r="G2426" i="19" s="1"/>
  <c r="G2427" i="19" s="1"/>
  <c r="G2428" i="19" s="1"/>
  <c r="G2429" i="19" s="1"/>
  <c r="G2430" i="19" s="1"/>
  <c r="G2431" i="19" s="1"/>
  <c r="G2432" i="19" s="1"/>
  <c r="G2433" i="19" s="1"/>
  <c r="G2434" i="19" s="1"/>
  <c r="G2435" i="19" s="1"/>
  <c r="G2436" i="19" s="1"/>
  <c r="G2437" i="19" s="1"/>
  <c r="G2438" i="19" s="1"/>
  <c r="G2439" i="19" s="1"/>
  <c r="G2440" i="19" s="1"/>
  <c r="G2441" i="19" s="1"/>
  <c r="G2442" i="19" s="1"/>
  <c r="G2443" i="19" s="1"/>
  <c r="G2444" i="19" s="1"/>
  <c r="G2445" i="19" s="1"/>
  <c r="G2446" i="19" s="1"/>
  <c r="G2447" i="19" s="1"/>
  <c r="G2448" i="19" s="1"/>
  <c r="G2449" i="19" s="1"/>
  <c r="G2450" i="19" s="1"/>
  <c r="G2451" i="19" s="1"/>
  <c r="G2452" i="19" s="1"/>
  <c r="G2453" i="19" s="1"/>
  <c r="G2454" i="19" s="1"/>
  <c r="G2455" i="19" s="1"/>
  <c r="G2456" i="19" s="1"/>
  <c r="G2457" i="19" s="1"/>
  <c r="G2458" i="19" s="1"/>
  <c r="G2459" i="19" s="1"/>
  <c r="G2460" i="19" s="1"/>
  <c r="G2461" i="19" s="1"/>
  <c r="G2462" i="19" s="1"/>
  <c r="G2463" i="19" s="1"/>
  <c r="G2464" i="19" s="1"/>
  <c r="G2465" i="19" s="1"/>
  <c r="G2466" i="19" s="1"/>
  <c r="G2467" i="19" s="1"/>
  <c r="G2468" i="19" s="1"/>
  <c r="G2469" i="19" s="1"/>
  <c r="G2470" i="19" s="1"/>
  <c r="G2471" i="19" s="1"/>
  <c r="G2472" i="19" s="1"/>
  <c r="G2473" i="19" s="1"/>
  <c r="G2474" i="19" s="1"/>
  <c r="G2475" i="19" s="1"/>
  <c r="G2476" i="19" s="1"/>
  <c r="G2477" i="19" s="1"/>
  <c r="G2478" i="19" s="1"/>
  <c r="G2479" i="19" s="1"/>
  <c r="G2480" i="19" s="1"/>
  <c r="G2481" i="19" s="1"/>
  <c r="G2482" i="19" s="1"/>
  <c r="G2483" i="19" s="1"/>
  <c r="G2484" i="19" s="1"/>
  <c r="G2485" i="19" s="1"/>
  <c r="G2486" i="19" s="1"/>
  <c r="G2487" i="19" s="1"/>
  <c r="G2488" i="19" s="1"/>
  <c r="G2489" i="19" s="1"/>
  <c r="G2490" i="19" s="1"/>
  <c r="G2491" i="19" s="1"/>
  <c r="G2492" i="19" s="1"/>
  <c r="G2493" i="19" s="1"/>
  <c r="G2494" i="19" s="1"/>
  <c r="G2495" i="19" s="1"/>
  <c r="G2496" i="19" s="1"/>
  <c r="G2497" i="19" s="1"/>
  <c r="G2498" i="19" s="1"/>
  <c r="G2499" i="19" s="1"/>
  <c r="G2500" i="19" s="1"/>
  <c r="G2501" i="19" s="1"/>
  <c r="G2502" i="19" s="1"/>
  <c r="G2503" i="19" s="1"/>
  <c r="G2504" i="19" s="1"/>
  <c r="G2505" i="19" s="1"/>
  <c r="G2506" i="19" s="1"/>
  <c r="G2507" i="19" s="1"/>
  <c r="G2508" i="19" s="1"/>
  <c r="G2509" i="19" s="1"/>
  <c r="G2510" i="19" s="1"/>
  <c r="G2511" i="19" s="1"/>
  <c r="G2512" i="19" s="1"/>
  <c r="G2513" i="19" s="1"/>
  <c r="G2514" i="19" s="1"/>
  <c r="G2515" i="19" s="1"/>
  <c r="G2516" i="19" s="1"/>
  <c r="G2517" i="19" s="1"/>
  <c r="G2518" i="19" s="1"/>
  <c r="G2519" i="19" s="1"/>
  <c r="G2520" i="19" s="1"/>
  <c r="G2521" i="19" s="1"/>
  <c r="G2522" i="19" s="1"/>
  <c r="G2523" i="19" s="1"/>
  <c r="G2524" i="19" s="1"/>
  <c r="G2525" i="19" s="1"/>
  <c r="G2526" i="19" s="1"/>
  <c r="G2527" i="19" s="1"/>
  <c r="G2528" i="19" s="1"/>
  <c r="G2529" i="19" s="1"/>
  <c r="G2530" i="19" s="1"/>
  <c r="G2531" i="19" s="1"/>
  <c r="G2532" i="19" s="1"/>
  <c r="G2533" i="19" s="1"/>
  <c r="G2534" i="19" s="1"/>
  <c r="G2535" i="19" s="1"/>
  <c r="G2536" i="19" s="1"/>
  <c r="G2537" i="19" s="1"/>
  <c r="G2538" i="19" s="1"/>
  <c r="G2539" i="19" s="1"/>
  <c r="G2540" i="19" s="1"/>
  <c r="G2541" i="19" s="1"/>
  <c r="G2542" i="19" s="1"/>
  <c r="G2543" i="19" s="1"/>
  <c r="G2544" i="19" s="1"/>
  <c r="G2545" i="19" s="1"/>
  <c r="G2546" i="19" s="1"/>
  <c r="G2547" i="19" s="1"/>
  <c r="G2548" i="19" s="1"/>
  <c r="G2549" i="19" s="1"/>
  <c r="G2550" i="19" s="1"/>
  <c r="G2551" i="19" s="1"/>
  <c r="G2552" i="19" s="1"/>
  <c r="G2553" i="19" s="1"/>
  <c r="G2554" i="19" s="1"/>
  <c r="G2555" i="19" s="1"/>
  <c r="G2556" i="19" s="1"/>
  <c r="G2557" i="19" s="1"/>
  <c r="G2558" i="19" s="1"/>
  <c r="G2559" i="19" s="1"/>
  <c r="G2560" i="19" s="1"/>
  <c r="G2561" i="19" s="1"/>
  <c r="G2562" i="19" s="1"/>
  <c r="G2563" i="19" s="1"/>
  <c r="G2564" i="19" s="1"/>
  <c r="G2565" i="19" s="1"/>
  <c r="G2566" i="19" s="1"/>
  <c r="G2567" i="19" s="1"/>
  <c r="G2568" i="19" s="1"/>
  <c r="G2569" i="19" s="1"/>
  <c r="G2570" i="19" s="1"/>
  <c r="G2571" i="19" s="1"/>
  <c r="G2572" i="19" s="1"/>
  <c r="G2573" i="19" s="1"/>
  <c r="G2574" i="19" s="1"/>
  <c r="G2575" i="19" s="1"/>
  <c r="G2576" i="19" s="1"/>
  <c r="G2577" i="19" s="1"/>
  <c r="G2578" i="19" s="1"/>
  <c r="G2579" i="19" s="1"/>
  <c r="G2580" i="19" s="1"/>
  <c r="G2581" i="19" s="1"/>
  <c r="G2582" i="19" s="1"/>
  <c r="G2583" i="19" s="1"/>
  <c r="G2584" i="19" s="1"/>
  <c r="G2585" i="19" s="1"/>
  <c r="G2586" i="19" s="1"/>
  <c r="G2587" i="19" s="1"/>
  <c r="G2588" i="19" s="1"/>
  <c r="G2589" i="19" s="1"/>
  <c r="G2590" i="19" s="1"/>
  <c r="G2591" i="19" s="1"/>
  <c r="G2592" i="19" s="1"/>
  <c r="G2593" i="19" s="1"/>
  <c r="G2594" i="19" s="1"/>
  <c r="G2595" i="19" s="1"/>
  <c r="G2596" i="19" s="1"/>
  <c r="G2597" i="19" s="1"/>
  <c r="G2598" i="19" s="1"/>
  <c r="G2599" i="19" s="1"/>
  <c r="G2600" i="19" s="1"/>
  <c r="G2601" i="19" s="1"/>
  <c r="G2602" i="19" s="1"/>
  <c r="G2603" i="19" s="1"/>
  <c r="G2604" i="19" s="1"/>
  <c r="G2605" i="19" s="1"/>
  <c r="G2606" i="19" s="1"/>
  <c r="G2607" i="19" s="1"/>
  <c r="G2608" i="19" s="1"/>
  <c r="G2609" i="19" s="1"/>
  <c r="G2610" i="19" s="1"/>
  <c r="G2611" i="19" s="1"/>
  <c r="G2612" i="19" s="1"/>
  <c r="G2613" i="19" s="1"/>
  <c r="G2614" i="19" s="1"/>
  <c r="G2615" i="19" s="1"/>
  <c r="G2616" i="19" s="1"/>
  <c r="G2617" i="19" s="1"/>
  <c r="G2618" i="19" s="1"/>
  <c r="G2619" i="19" s="1"/>
  <c r="G2620" i="19" s="1"/>
  <c r="G2621" i="19" s="1"/>
  <c r="G2622" i="19" s="1"/>
  <c r="G2623" i="19" s="1"/>
  <c r="G2624" i="19" s="1"/>
  <c r="G2625" i="19" s="1"/>
  <c r="G2626" i="19" s="1"/>
  <c r="G2627" i="19" s="1"/>
  <c r="G2628" i="19" s="1"/>
  <c r="G2629" i="19" s="1"/>
  <c r="G2630" i="19" s="1"/>
  <c r="G2631" i="19" s="1"/>
  <c r="G2632" i="19" s="1"/>
  <c r="G2633" i="19" s="1"/>
  <c r="G2634" i="19" s="1"/>
  <c r="G2635" i="19" s="1"/>
  <c r="G2636" i="19" s="1"/>
  <c r="G2637" i="19" s="1"/>
  <c r="G2638" i="19" s="1"/>
  <c r="G2639" i="19" s="1"/>
  <c r="G2640" i="19" s="1"/>
  <c r="P36" i="28"/>
  <c r="Q8" i="28"/>
  <c r="P37" i="28"/>
  <c r="K31" i="28"/>
  <c r="K35" i="28"/>
  <c r="H6" i="28"/>
  <c r="H4" i="28" s="1"/>
  <c r="T1467" i="19"/>
  <c r="T1601" i="19"/>
  <c r="J61" i="28"/>
  <c r="K61" i="28" s="1"/>
  <c r="L61" i="28" s="1"/>
  <c r="M61" i="28" s="1"/>
  <c r="N61" i="28" s="1"/>
  <c r="O61" i="28" s="1"/>
  <c r="P61" i="28" s="1"/>
  <c r="Q61" i="28" s="1"/>
  <c r="L5" i="23"/>
  <c r="L33" i="23"/>
  <c r="H35" i="28"/>
  <c r="H31" i="28"/>
  <c r="R38" i="27"/>
  <c r="R37" i="27"/>
  <c r="I59" i="27"/>
  <c r="I61" i="27" s="1"/>
  <c r="J61" i="27" s="1"/>
  <c r="K61" i="27" s="1"/>
  <c r="L61" i="27" s="1"/>
  <c r="M61" i="27" s="1"/>
  <c r="N61" i="27" s="1"/>
  <c r="O61" i="27" s="1"/>
  <c r="P61" i="27" s="1"/>
  <c r="Q61" i="27" s="1"/>
  <c r="R61" i="27" s="1"/>
  <c r="S61" i="27" s="1"/>
  <c r="I35" i="27"/>
  <c r="Q7" i="27"/>
  <c r="Q35" i="27"/>
  <c r="Q34" i="28"/>
  <c r="Q7" i="28"/>
  <c r="AB103" i="20"/>
  <c r="AC42" i="20"/>
  <c r="AB29" i="20"/>
  <c r="AC29" i="20" s="1"/>
  <c r="M8" i="27"/>
  <c r="R7" i="27"/>
  <c r="R35" i="27"/>
  <c r="G62" i="27"/>
  <c r="J34" i="28"/>
  <c r="AC93" i="20"/>
  <c r="P35" i="27"/>
  <c r="L26" i="23"/>
  <c r="I6" i="27"/>
  <c r="J5" i="27" s="1"/>
  <c r="G52" i="28"/>
  <c r="I52" i="28"/>
  <c r="J52" i="28" s="1"/>
  <c r="K52" i="28" s="1"/>
  <c r="L52" i="28" s="1"/>
  <c r="M52" i="28" s="1"/>
  <c r="N52" i="28" s="1"/>
  <c r="O52" i="28" s="1"/>
  <c r="P52" i="28" s="1"/>
  <c r="Q52" i="28" s="1"/>
  <c r="J31" i="28"/>
  <c r="J36" i="28"/>
  <c r="K8" i="28"/>
  <c r="J37" i="28"/>
  <c r="K34" i="28"/>
  <c r="N36" i="27"/>
  <c r="N32" i="27"/>
  <c r="H46" i="27"/>
  <c r="O36" i="27"/>
  <c r="O32" i="27"/>
  <c r="M39" i="23"/>
  <c r="L31" i="28"/>
  <c r="L35" i="28"/>
  <c r="O34" i="28"/>
  <c r="O7" i="28"/>
  <c r="Q69" i="30"/>
  <c r="Q55" i="30"/>
  <c r="Q41" i="30"/>
  <c r="Q27" i="30"/>
  <c r="Q13" i="30"/>
  <c r="Q78" i="30"/>
  <c r="Q71" i="30"/>
  <c r="Q57" i="30"/>
  <c r="Q43" i="30"/>
  <c r="Q29" i="30"/>
  <c r="Q15" i="30"/>
  <c r="H47" i="27"/>
  <c r="L37" i="28"/>
  <c r="L45" i="28" s="1"/>
  <c r="I60" i="28"/>
  <c r="J60" i="28" s="1"/>
  <c r="K60" i="28" s="1"/>
  <c r="L60" i="28" s="1"/>
  <c r="M60" i="28" s="1"/>
  <c r="N60" i="28" s="1"/>
  <c r="O60" i="28" s="1"/>
  <c r="P60" i="28" s="1"/>
  <c r="Q60" i="28" s="1"/>
  <c r="G60" i="28"/>
  <c r="Q24" i="30"/>
  <c r="Q62" i="30"/>
  <c r="Q73" i="30"/>
  <c r="Q26" i="30"/>
  <c r="Q64" i="30"/>
  <c r="Q75" i="30"/>
  <c r="N14" i="23"/>
  <c r="N36" i="28"/>
  <c r="N45" i="28" s="1"/>
  <c r="P45" i="28" l="1"/>
  <c r="P46" i="27"/>
  <c r="M31" i="28"/>
  <c r="M35" i="28"/>
  <c r="O37" i="28"/>
  <c r="I53" i="27"/>
  <c r="J53" i="27" s="1"/>
  <c r="K53" i="27" s="1"/>
  <c r="L53" i="27" s="1"/>
  <c r="M53" i="27" s="1"/>
  <c r="N53" i="27" s="1"/>
  <c r="O53" i="27" s="1"/>
  <c r="P53" i="27" s="1"/>
  <c r="Q53" i="27" s="1"/>
  <c r="R53" i="27" s="1"/>
  <c r="S53" i="27" s="1"/>
  <c r="N39" i="28"/>
  <c r="I45" i="28"/>
  <c r="L36" i="27"/>
  <c r="L32" i="27"/>
  <c r="M5" i="25"/>
  <c r="M6" i="25" s="1"/>
  <c r="M7" i="25" s="1"/>
  <c r="M8" i="25" s="1"/>
  <c r="M9" i="25" s="1"/>
  <c r="M10" i="25" s="1"/>
  <c r="K12" i="25" s="1"/>
  <c r="Y38" i="7"/>
  <c r="Y37" i="7"/>
  <c r="P40" i="27"/>
  <c r="P47" i="27"/>
  <c r="Q37" i="27"/>
  <c r="Q38" i="27"/>
  <c r="J45" i="28"/>
  <c r="O45" i="28"/>
  <c r="O38" i="27"/>
  <c r="O37" i="27"/>
  <c r="O46" i="27" s="1"/>
  <c r="G61" i="27"/>
  <c r="I35" i="28"/>
  <c r="G61" i="28"/>
  <c r="P35" i="28"/>
  <c r="P46" i="28" s="1"/>
  <c r="K32" i="27"/>
  <c r="K36" i="27"/>
  <c r="G54" i="27"/>
  <c r="J6" i="27"/>
  <c r="J4" i="27" s="1"/>
  <c r="W38" i="7"/>
  <c r="W37" i="7"/>
  <c r="I4" i="27"/>
  <c r="Q37" i="28"/>
  <c r="Q36" i="28"/>
  <c r="R32" i="27"/>
  <c r="R36" i="27"/>
  <c r="K37" i="28"/>
  <c r="K36" i="28"/>
  <c r="K39" i="28" s="1"/>
  <c r="J39" i="28"/>
  <c r="J46" i="28"/>
  <c r="J32" i="27"/>
  <c r="J36" i="27"/>
  <c r="S46" i="27"/>
  <c r="S40" i="27"/>
  <c r="L46" i="28"/>
  <c r="L39" i="28"/>
  <c r="Q35" i="28"/>
  <c r="Q31" i="28"/>
  <c r="R46" i="27"/>
  <c r="O47" i="27"/>
  <c r="H39" i="28"/>
  <c r="H46" i="28"/>
  <c r="Q32" i="27"/>
  <c r="Q36" i="27"/>
  <c r="O35" i="28"/>
  <c r="O31" i="28"/>
  <c r="K46" i="28"/>
  <c r="N47" i="27"/>
  <c r="N40" i="27"/>
  <c r="I5" i="28"/>
  <c r="C33" i="2"/>
  <c r="M37" i="27"/>
  <c r="M38" i="27"/>
  <c r="I46" i="28"/>
  <c r="I39" i="28"/>
  <c r="I47" i="27"/>
  <c r="I40" i="27"/>
  <c r="P39" i="28" l="1"/>
  <c r="L40" i="27"/>
  <c r="L47" i="27"/>
  <c r="M46" i="28"/>
  <c r="M39" i="28"/>
  <c r="G53" i="27"/>
  <c r="K47" i="27"/>
  <c r="K40" i="27"/>
  <c r="O40" i="27"/>
  <c r="Q46" i="27"/>
  <c r="K5" i="27"/>
  <c r="Q47" i="27"/>
  <c r="Q40" i="27"/>
  <c r="J47" i="27"/>
  <c r="J40" i="27"/>
  <c r="M46" i="27"/>
  <c r="M40" i="27"/>
  <c r="O39" i="28"/>
  <c r="O46" i="28"/>
  <c r="Q39" i="28"/>
  <c r="Q46" i="28"/>
  <c r="R40" i="27"/>
  <c r="R47" i="27"/>
  <c r="Q45" i="28"/>
  <c r="I6" i="28"/>
  <c r="I4" i="28" s="1"/>
  <c r="K45" i="28"/>
  <c r="K6" i="27" l="1"/>
  <c r="L5" i="27" s="1"/>
  <c r="J5" i="28"/>
  <c r="J6" i="28" s="1"/>
  <c r="J4" i="28" s="1"/>
  <c r="K5" i="28" l="1"/>
  <c r="L6" i="27"/>
  <c r="M5" i="27" s="1"/>
  <c r="K4" i="27"/>
  <c r="K4" i="28"/>
  <c r="K6" i="28"/>
  <c r="L5" i="28" s="1"/>
  <c r="M6" i="27" l="1"/>
  <c r="M4" i="27" s="1"/>
  <c r="L4" i="27"/>
  <c r="L6" i="28"/>
  <c r="L4" i="28" s="1"/>
  <c r="N5" i="27" l="1"/>
  <c r="M5" i="28"/>
  <c r="N6" i="27" l="1"/>
  <c r="N4" i="27" s="1"/>
  <c r="M6" i="28"/>
  <c r="N5" i="28" s="1"/>
  <c r="O5" i="27" l="1"/>
  <c r="N6" i="28"/>
  <c r="O5" i="28" s="1"/>
  <c r="N4" i="28"/>
  <c r="M4" i="28"/>
  <c r="O6" i="27" l="1"/>
  <c r="P5" i="27" s="1"/>
  <c r="O6" i="28"/>
  <c r="P5" i="28" s="1"/>
  <c r="P6" i="27" l="1"/>
  <c r="Q5" i="27" s="1"/>
  <c r="P4" i="27"/>
  <c r="O4" i="27"/>
  <c r="P6" i="28"/>
  <c r="Q5" i="28" s="1"/>
  <c r="P4" i="28"/>
  <c r="O4" i="28"/>
  <c r="Q6" i="27" l="1"/>
  <c r="Q4" i="27" s="1"/>
  <c r="R5" i="27"/>
  <c r="R6" i="27" s="1"/>
  <c r="S5" i="27" s="1"/>
  <c r="K25" i="1"/>
  <c r="Q6" i="28"/>
  <c r="Q4" i="28" s="1"/>
  <c r="S6" i="27"/>
  <c r="S4" i="27"/>
  <c r="R4" i="27" l="1"/>
  <c r="H7" i="2" l="1"/>
  <c r="I6" i="2" s="1"/>
  <c r="I12" i="2" s="1"/>
  <c r="I5" i="2" s="1"/>
  <c r="I4" i="2" s="1"/>
  <c r="G8" i="13" l="1"/>
  <c r="E22" i="1" s="1"/>
  <c r="G7" i="13"/>
  <c r="E21" i="1" s="1"/>
  <c r="G9" i="13"/>
  <c r="E23" i="1" s="1"/>
  <c r="G6" i="13"/>
  <c r="E20" i="1" s="1"/>
  <c r="I7" i="2"/>
  <c r="J6" i="2" s="1"/>
  <c r="J12" i="2" s="1"/>
  <c r="J5" i="2" s="1"/>
  <c r="J4" i="2" s="1"/>
  <c r="H8" i="13" l="1"/>
  <c r="F22" i="1" s="1"/>
  <c r="H7" i="13"/>
  <c r="F21" i="1" s="1"/>
  <c r="H9" i="13"/>
  <c r="F23" i="1" s="1"/>
  <c r="H6" i="13"/>
  <c r="F20" i="1" s="1"/>
  <c r="E29" i="1"/>
  <c r="E6" i="1"/>
  <c r="D6" i="1"/>
  <c r="F29" i="1" l="1"/>
  <c r="D7" i="1"/>
  <c r="D9" i="1" s="1"/>
  <c r="E7" i="1"/>
  <c r="E9" i="1" s="1"/>
  <c r="E15" i="1" s="1"/>
  <c r="E31" i="1" s="1"/>
  <c r="J7" i="2"/>
  <c r="K6" i="2" s="1"/>
  <c r="D15" i="1" l="1"/>
  <c r="K12" i="2"/>
  <c r="K5" i="2" s="1"/>
  <c r="K4" i="2" s="1"/>
  <c r="F6" i="1"/>
  <c r="D31" i="1" l="1"/>
  <c r="H12" i="1"/>
  <c r="I7" i="13"/>
  <c r="G21" i="1" s="1"/>
  <c r="I8" i="13"/>
  <c r="G22" i="1" s="1"/>
  <c r="I6" i="13"/>
  <c r="G20" i="1" s="1"/>
  <c r="I9" i="13"/>
  <c r="G23" i="1" s="1"/>
  <c r="F7" i="1"/>
  <c r="F9" i="1" s="1"/>
  <c r="K12" i="1"/>
  <c r="K7" i="2"/>
  <c r="L6" i="2" s="1"/>
  <c r="D32" i="1" l="1"/>
  <c r="E32" i="1" s="1"/>
  <c r="F15" i="1"/>
  <c r="G29" i="1"/>
  <c r="L12" i="2"/>
  <c r="L5" i="2" s="1"/>
  <c r="L4" i="2" s="1"/>
  <c r="C19" i="2"/>
  <c r="L7" i="2"/>
  <c r="M6" i="2" s="1"/>
  <c r="C20" i="2"/>
  <c r="I15" i="45" l="1"/>
  <c r="J7" i="13"/>
  <c r="H21" i="1" s="1"/>
  <c r="K21" i="1" s="1"/>
  <c r="J6" i="13"/>
  <c r="H20" i="1" s="1"/>
  <c r="J8" i="13"/>
  <c r="H22" i="1" s="1"/>
  <c r="K22" i="1" s="1"/>
  <c r="J9" i="13"/>
  <c r="H23" i="1" s="1"/>
  <c r="K23" i="1" s="1"/>
  <c r="F31" i="1"/>
  <c r="M12" i="2"/>
  <c r="M5" i="2" s="1"/>
  <c r="M4" i="2" s="1"/>
  <c r="G6" i="1"/>
  <c r="M7" i="2"/>
  <c r="N6" i="2" s="1"/>
  <c r="H6" i="1"/>
  <c r="F32" i="1" l="1"/>
  <c r="J15" i="45"/>
  <c r="I17" i="45"/>
  <c r="K7" i="13"/>
  <c r="K8" i="13"/>
  <c r="K6" i="13"/>
  <c r="K9" i="13"/>
  <c r="H29" i="1"/>
  <c r="K29" i="1" s="1"/>
  <c r="K20" i="1"/>
  <c r="H7" i="1"/>
  <c r="H9" i="1" s="1"/>
  <c r="H15" i="1" s="1"/>
  <c r="G7" i="1"/>
  <c r="G9" i="1"/>
  <c r="N12" i="2"/>
  <c r="N5" i="2" s="1"/>
  <c r="N4" i="2" s="1"/>
  <c r="K6" i="1"/>
  <c r="N7" i="2"/>
  <c r="H31" i="1" l="1"/>
  <c r="K15" i="45"/>
  <c r="L7" i="13"/>
  <c r="L6" i="13"/>
  <c r="L8" i="13"/>
  <c r="L9" i="13"/>
  <c r="J17" i="45"/>
  <c r="G15" i="1"/>
  <c r="K9" i="1"/>
  <c r="K3" i="13"/>
  <c r="K5" i="13"/>
  <c r="K4" i="13"/>
  <c r="K7" i="1"/>
  <c r="O6" i="2"/>
  <c r="L17" i="1" l="1"/>
  <c r="L29" i="1"/>
  <c r="G31" i="1"/>
  <c r="K15" i="1"/>
  <c r="L5" i="13"/>
  <c r="L3" i="13"/>
  <c r="L4" i="13"/>
  <c r="O12" i="2"/>
  <c r="O5" i="2" s="1"/>
  <c r="O4" i="2" s="1"/>
  <c r="O7" i="2"/>
  <c r="G32" i="1" l="1"/>
  <c r="H32" i="1" s="1"/>
  <c r="K31" i="1"/>
  <c r="L15" i="45"/>
  <c r="M7" i="13"/>
  <c r="M9" i="13"/>
  <c r="M6" i="13"/>
  <c r="M8" i="13"/>
  <c r="K17" i="45"/>
  <c r="M10" i="13"/>
  <c r="L15" i="1"/>
  <c r="P6" i="2"/>
  <c r="M5" i="13" l="1"/>
  <c r="M4" i="13"/>
  <c r="M3" i="13"/>
  <c r="P12" i="2"/>
  <c r="P5" i="2" s="1"/>
  <c r="P4" i="2" s="1"/>
  <c r="P7" i="2"/>
  <c r="M15" i="45" l="1"/>
  <c r="N9" i="13"/>
  <c r="N7" i="13"/>
  <c r="N6" i="13"/>
  <c r="N8" i="13"/>
  <c r="L17" i="45"/>
  <c r="N10" i="13"/>
  <c r="Q6" i="2"/>
  <c r="N5" i="13" l="1"/>
  <c r="N4" i="13"/>
  <c r="N3" i="13"/>
  <c r="Q12" i="2"/>
  <c r="Q5" i="2" s="1"/>
  <c r="Q4" i="2" s="1"/>
  <c r="Q7" i="2"/>
  <c r="R6" i="2" s="1"/>
  <c r="N15" i="45" l="1"/>
  <c r="O7" i="13"/>
  <c r="O6" i="13"/>
  <c r="O9" i="13"/>
  <c r="O8" i="13"/>
  <c r="M17" i="45"/>
  <c r="O10" i="13"/>
  <c r="R12" i="2"/>
  <c r="R5" i="2" s="1"/>
  <c r="R4" i="2" s="1"/>
  <c r="R7" i="2"/>
  <c r="S6" i="2" s="1"/>
  <c r="O15" i="45" l="1"/>
  <c r="P9" i="13"/>
  <c r="P8" i="13"/>
  <c r="P7" i="13"/>
  <c r="P6" i="13"/>
  <c r="P10" i="13"/>
  <c r="N17" i="45"/>
  <c r="O4" i="13"/>
  <c r="O3" i="13"/>
  <c r="O5" i="13"/>
  <c r="S12" i="2"/>
  <c r="S5" i="2" s="1"/>
  <c r="S4" i="2" s="1"/>
  <c r="S7" i="2"/>
  <c r="T6" i="2" s="1"/>
  <c r="P15" i="45" l="1"/>
  <c r="Q8" i="13"/>
  <c r="Q9" i="13"/>
  <c r="Q6" i="13"/>
  <c r="Q10" i="13"/>
  <c r="O17" i="45"/>
  <c r="Q7" i="13"/>
  <c r="P3" i="13"/>
  <c r="P5" i="13"/>
  <c r="P4" i="13"/>
  <c r="T12" i="2"/>
  <c r="T5" i="2" s="1"/>
  <c r="T4" i="2" s="1"/>
  <c r="T7" i="2"/>
  <c r="Q4" i="13" l="1"/>
  <c r="Q3" i="13"/>
  <c r="Q5" i="13"/>
  <c r="Q15" i="45"/>
  <c r="R9" i="13"/>
  <c r="R8" i="13"/>
  <c r="R6" i="13"/>
  <c r="R10" i="13"/>
  <c r="P17" i="45"/>
  <c r="R7" i="13"/>
  <c r="U6" i="2"/>
  <c r="R3" i="13" l="1"/>
  <c r="R4" i="13"/>
  <c r="R5" i="13"/>
  <c r="U12" i="2"/>
  <c r="U5" i="2" s="1"/>
  <c r="U4" i="2" s="1"/>
  <c r="U7" i="2"/>
  <c r="V6" i="2" s="1"/>
  <c r="R15" i="45" l="1"/>
  <c r="Q17" i="45"/>
  <c r="S6" i="13"/>
  <c r="S10" i="13"/>
  <c r="S8" i="13"/>
  <c r="S9" i="13"/>
  <c r="S7" i="13"/>
  <c r="V12" i="2"/>
  <c r="V5" i="2" s="1"/>
  <c r="V4" i="2" s="1"/>
  <c r="V7" i="2"/>
  <c r="W6" i="2" s="1"/>
  <c r="S15" i="45" l="1"/>
  <c r="R17" i="45"/>
  <c r="T10" i="13"/>
  <c r="T7" i="13"/>
  <c r="T8" i="13"/>
  <c r="T6" i="13"/>
  <c r="T9" i="13"/>
  <c r="S4" i="13"/>
  <c r="S5" i="13"/>
  <c r="S3" i="13"/>
  <c r="W12" i="2"/>
  <c r="W5" i="2" s="1"/>
  <c r="W4" i="2" s="1"/>
  <c r="W7" i="2"/>
  <c r="X6" i="2" s="1"/>
  <c r="T15" i="45" l="1"/>
  <c r="N12" i="1" s="1"/>
  <c r="S17" i="45"/>
  <c r="U10" i="13"/>
  <c r="U7" i="13"/>
  <c r="U8" i="13"/>
  <c r="U6" i="13"/>
  <c r="U9" i="13"/>
  <c r="T5" i="13"/>
  <c r="T4" i="13"/>
  <c r="T3" i="13"/>
  <c r="X12" i="2"/>
  <c r="X5" i="2" s="1"/>
  <c r="X4" i="2" s="1"/>
  <c r="N6" i="1" s="1"/>
  <c r="X7" i="2"/>
  <c r="Y6" i="2" s="1"/>
  <c r="C23" i="2"/>
  <c r="C24" i="2" s="1"/>
  <c r="U15" i="45" l="1"/>
  <c r="T17" i="45"/>
  <c r="V10" i="13"/>
  <c r="N24" i="1" s="1"/>
  <c r="V7" i="13"/>
  <c r="N21" i="1" s="1"/>
  <c r="V9" i="13"/>
  <c r="N23" i="1" s="1"/>
  <c r="V8" i="13"/>
  <c r="N22" i="1" s="1"/>
  <c r="V6" i="13"/>
  <c r="N20" i="1" s="1"/>
  <c r="N7" i="1"/>
  <c r="N9" i="1"/>
  <c r="O12" i="1" s="1"/>
  <c r="U5" i="13"/>
  <c r="U3" i="13"/>
  <c r="U4" i="13"/>
  <c r="Y12" i="2"/>
  <c r="Y5" i="2" s="1"/>
  <c r="Y4" i="2" s="1"/>
  <c r="Y7" i="2"/>
  <c r="Z6" i="2" s="1"/>
  <c r="O23" i="1" l="1"/>
  <c r="O22" i="1"/>
  <c r="O21" i="1"/>
  <c r="O20" i="1"/>
  <c r="O27" i="1"/>
  <c r="O26" i="1"/>
  <c r="O25" i="1"/>
  <c r="O24" i="1"/>
  <c r="O11" i="1"/>
  <c r="V15" i="45"/>
  <c r="W7" i="13"/>
  <c r="U17" i="45"/>
  <c r="W10" i="13"/>
  <c r="W9" i="13"/>
  <c r="W8" i="13"/>
  <c r="W6" i="13"/>
  <c r="V4" i="13"/>
  <c r="N18" i="1" s="1"/>
  <c r="O18" i="1" s="1"/>
  <c r="V3" i="13"/>
  <c r="N17" i="1" s="1"/>
  <c r="V5" i="13"/>
  <c r="N19" i="1" s="1"/>
  <c r="O19" i="1" s="1"/>
  <c r="O9" i="1"/>
  <c r="Z12" i="2"/>
  <c r="Z5" i="2" s="1"/>
  <c r="Z4" i="2" s="1"/>
  <c r="Z7" i="2"/>
  <c r="AA6" i="2" s="1"/>
  <c r="N29" i="1" l="1"/>
  <c r="O29" i="1" s="1"/>
  <c r="O17" i="1"/>
  <c r="W4" i="13"/>
  <c r="W3" i="13"/>
  <c r="W5" i="13"/>
  <c r="W15" i="45"/>
  <c r="X10" i="13"/>
  <c r="V17" i="45"/>
  <c r="X7" i="13"/>
  <c r="X6" i="13"/>
  <c r="X8" i="13"/>
  <c r="X9" i="13"/>
  <c r="AA12" i="2"/>
  <c r="AA5" i="2" s="1"/>
  <c r="AA4" i="2" s="1"/>
  <c r="AA7" i="2"/>
  <c r="AB6" i="2" s="1"/>
  <c r="X5" i="13" l="1"/>
  <c r="X3" i="13"/>
  <c r="X4" i="13"/>
  <c r="X15" i="45"/>
  <c r="W17" i="45"/>
  <c r="Y6" i="13"/>
  <c r="Y10" i="13"/>
  <c r="Y7" i="13"/>
  <c r="Y8" i="13"/>
  <c r="Y9" i="13"/>
  <c r="AB12" i="2"/>
  <c r="AB5" i="2" s="1"/>
  <c r="AB4" i="2" s="1"/>
  <c r="AB7" i="2"/>
  <c r="Y4" i="13" l="1"/>
  <c r="Y3" i="13"/>
  <c r="Y5" i="13"/>
  <c r="Y15" i="45"/>
  <c r="Z10" i="13"/>
  <c r="Z6" i="13"/>
  <c r="Z9" i="13"/>
  <c r="Z7" i="13"/>
  <c r="Z8" i="13"/>
  <c r="X17" i="45"/>
  <c r="AC6" i="2"/>
  <c r="Z4" i="13" l="1"/>
  <c r="Z3" i="13"/>
  <c r="Z5" i="13"/>
  <c r="AC12" i="2"/>
  <c r="AC5" i="2" s="1"/>
  <c r="AC4" i="2" s="1"/>
  <c r="AC7" i="2"/>
  <c r="Z15" i="45" l="1"/>
  <c r="AA6" i="13"/>
  <c r="AA8" i="13"/>
  <c r="AA9" i="13"/>
  <c r="AA7" i="13"/>
  <c r="AA10" i="13"/>
  <c r="Y17" i="45"/>
  <c r="AD6" i="2"/>
  <c r="AA5" i="13" l="1"/>
  <c r="AA4" i="13"/>
  <c r="AA3" i="13"/>
  <c r="AD12" i="2"/>
  <c r="AD5" i="2" s="1"/>
  <c r="AD4" i="2" s="1"/>
  <c r="AD7" i="2"/>
  <c r="AE6" i="2" s="1"/>
  <c r="AA15" i="45" l="1"/>
  <c r="AB8" i="13"/>
  <c r="AB7" i="13"/>
  <c r="AB6" i="13"/>
  <c r="AB9" i="13"/>
  <c r="AB10" i="13"/>
  <c r="Z17" i="45"/>
  <c r="AE12" i="2"/>
  <c r="AE5" i="2" s="1"/>
  <c r="AE4" i="2" s="1"/>
  <c r="AE7" i="2"/>
  <c r="AB15" i="45" l="1"/>
  <c r="AC7" i="13"/>
  <c r="AC6" i="13"/>
  <c r="AC8" i="13"/>
  <c r="AC9" i="13"/>
  <c r="AA17" i="45"/>
  <c r="AC10" i="13"/>
  <c r="AB5" i="13"/>
  <c r="AB4" i="13"/>
  <c r="AB3" i="13"/>
  <c r="AF6" i="2"/>
  <c r="AC3" i="13" l="1"/>
  <c r="AC4" i="13"/>
  <c r="AC5" i="13"/>
  <c r="AF12" i="2"/>
  <c r="AF5" i="2" s="1"/>
  <c r="AF4" i="2" s="1"/>
  <c r="AF7" i="2"/>
  <c r="AG6" i="2" s="1"/>
  <c r="AC15" i="45" l="1"/>
  <c r="AD9" i="13"/>
  <c r="AD8" i="13"/>
  <c r="AD7" i="13"/>
  <c r="AB17" i="45"/>
  <c r="AD6" i="13"/>
  <c r="AD10" i="13"/>
  <c r="AG12" i="2"/>
  <c r="AG5" i="2" s="1"/>
  <c r="AG4" i="2" s="1"/>
  <c r="AG7" i="2"/>
  <c r="AH6" i="2" s="1"/>
  <c r="AD15" i="45" l="1"/>
  <c r="AE8" i="13"/>
  <c r="AE9" i="13"/>
  <c r="AE6" i="13"/>
  <c r="AE7" i="13"/>
  <c r="AC17" i="45"/>
  <c r="AE10" i="13"/>
  <c r="AD3" i="13"/>
  <c r="AD5" i="13"/>
  <c r="AD4" i="13"/>
  <c r="AH12" i="2"/>
  <c r="AH5" i="2" s="1"/>
  <c r="AH4" i="2" s="1"/>
  <c r="AH7" i="2"/>
  <c r="AI6" i="2" s="1"/>
  <c r="AE15" i="45" l="1"/>
  <c r="AF9" i="13"/>
  <c r="AD17" i="45"/>
  <c r="AF10" i="13"/>
  <c r="AF7" i="13"/>
  <c r="AF8" i="13"/>
  <c r="AF6" i="13"/>
  <c r="AE4" i="13"/>
  <c r="AE3" i="13"/>
  <c r="AE5" i="13"/>
  <c r="AI12" i="2"/>
  <c r="AI5" i="2" s="1"/>
  <c r="AI4" i="2" s="1"/>
  <c r="AI7" i="2"/>
  <c r="AJ6" i="2" s="1"/>
  <c r="AF15" i="45" l="1"/>
  <c r="Q12" i="1" s="1"/>
  <c r="AG10" i="13"/>
  <c r="AG9" i="13"/>
  <c r="AE17" i="45"/>
  <c r="AG7" i="13"/>
  <c r="AG8" i="13"/>
  <c r="AG6" i="13"/>
  <c r="AF3" i="13"/>
  <c r="AF4" i="13"/>
  <c r="AF5" i="13"/>
  <c r="AJ12" i="2"/>
  <c r="AJ5" i="2" s="1"/>
  <c r="AJ4" i="2" s="1"/>
  <c r="Q6" i="1" s="1"/>
  <c r="W36" i="7"/>
  <c r="C27" i="2"/>
  <c r="C28" i="2" s="1"/>
  <c r="AJ7" i="2"/>
  <c r="AK6" i="2" s="1"/>
  <c r="Q7" i="1" l="1"/>
  <c r="Q9" i="1" s="1"/>
  <c r="AG15" i="45"/>
  <c r="AH10" i="13"/>
  <c r="Q24" i="1" s="1"/>
  <c r="AF17" i="45"/>
  <c r="AH7" i="13"/>
  <c r="Q21" i="1" s="1"/>
  <c r="AH9" i="13"/>
  <c r="Q23" i="1" s="1"/>
  <c r="AH8" i="13"/>
  <c r="Q22" i="1" s="1"/>
  <c r="AH6" i="13"/>
  <c r="Q20" i="1" s="1"/>
  <c r="AG5" i="13"/>
  <c r="AG4" i="13"/>
  <c r="AG3" i="13"/>
  <c r="AK12" i="2"/>
  <c r="AK5" i="2" s="1"/>
  <c r="AK4" i="2" s="1"/>
  <c r="AK7" i="2"/>
  <c r="AL6" i="2" s="1"/>
  <c r="W40" i="7"/>
  <c r="R27" i="1" l="1"/>
  <c r="R26" i="1"/>
  <c r="R11" i="1"/>
  <c r="R25" i="1"/>
  <c r="R22" i="1"/>
  <c r="R21" i="1"/>
  <c r="R20" i="1"/>
  <c r="R24" i="1"/>
  <c r="R23" i="1"/>
  <c r="Q15" i="1"/>
  <c r="R9" i="1"/>
  <c r="AH4" i="13"/>
  <c r="Q18" i="1" s="1"/>
  <c r="R18" i="1" s="1"/>
  <c r="AH5" i="13"/>
  <c r="Q19" i="1" s="1"/>
  <c r="R19" i="1" s="1"/>
  <c r="AH3" i="13"/>
  <c r="Q17" i="1" s="1"/>
  <c r="R17" i="1" s="1"/>
  <c r="AH15" i="45"/>
  <c r="AI10" i="13"/>
  <c r="AG17" i="45"/>
  <c r="AI8" i="13"/>
  <c r="AI6" i="13"/>
  <c r="AI7" i="13"/>
  <c r="AI9" i="13"/>
  <c r="R13" i="1"/>
  <c r="R12" i="1"/>
  <c r="AL12" i="2"/>
  <c r="AL5" i="2" s="1"/>
  <c r="AL4" i="2" s="1"/>
  <c r="AL7" i="2"/>
  <c r="Q29" i="1" l="1"/>
  <c r="R29" i="1" s="1"/>
  <c r="R15" i="1"/>
  <c r="Q31" i="1"/>
  <c r="R31" i="1" s="1"/>
  <c r="AI5" i="13"/>
  <c r="AI4" i="13"/>
  <c r="AI3" i="13"/>
  <c r="AI15" i="45"/>
  <c r="AJ10" i="13"/>
  <c r="AH17" i="45"/>
  <c r="AJ8" i="13"/>
  <c r="AJ6" i="13"/>
  <c r="AJ7" i="13"/>
  <c r="AJ9" i="13"/>
  <c r="AM6" i="2"/>
  <c r="AJ4" i="13" l="1"/>
  <c r="AJ5" i="13"/>
  <c r="AJ3" i="13"/>
  <c r="AM12" i="2"/>
  <c r="AM5" i="2" s="1"/>
  <c r="AM4" i="2" s="1"/>
  <c r="AM7" i="2"/>
  <c r="AN6" i="2" s="1"/>
  <c r="AJ15" i="45" l="1"/>
  <c r="AI17" i="45"/>
  <c r="AK10" i="13"/>
  <c r="AK7" i="13"/>
  <c r="AK8" i="13"/>
  <c r="AK6" i="13"/>
  <c r="AK9" i="13"/>
  <c r="AN12" i="2"/>
  <c r="AN5" i="2" s="1"/>
  <c r="AN4" i="2" s="1"/>
  <c r="AN7" i="2"/>
  <c r="AO6" i="2" s="1"/>
  <c r="AK15" i="45" l="1"/>
  <c r="AL10" i="13"/>
  <c r="AJ17" i="45"/>
  <c r="AL7" i="13"/>
  <c r="AL6" i="13"/>
  <c r="AL8" i="13"/>
  <c r="AL9" i="13"/>
  <c r="AK3" i="13"/>
  <c r="AK4" i="13"/>
  <c r="AK5" i="13"/>
  <c r="AO12" i="2"/>
  <c r="AO5" i="2" s="1"/>
  <c r="AO4" i="2" s="1"/>
  <c r="AO7" i="2"/>
  <c r="AP6" i="2" s="1"/>
  <c r="AL15" i="45" l="1"/>
  <c r="AK17" i="45"/>
  <c r="AM7" i="13"/>
  <c r="AM8" i="13"/>
  <c r="AM10" i="13"/>
  <c r="AM6" i="13"/>
  <c r="AM9" i="13"/>
  <c r="AL3" i="13"/>
  <c r="AL4" i="13"/>
  <c r="AL5" i="13"/>
  <c r="AP12" i="2"/>
  <c r="AP5" i="2" s="1"/>
  <c r="AP4" i="2" s="1"/>
  <c r="AP7" i="2"/>
  <c r="AQ6" i="2" s="1"/>
  <c r="AM15" i="45" l="1"/>
  <c r="AN10" i="13"/>
  <c r="AN7" i="13"/>
  <c r="AN8" i="13"/>
  <c r="AN6" i="13"/>
  <c r="AN9" i="13"/>
  <c r="AL17" i="45"/>
  <c r="AM5" i="13"/>
  <c r="AM3" i="13"/>
  <c r="AM4" i="13"/>
  <c r="AQ12" i="2"/>
  <c r="AQ5" i="2" s="1"/>
  <c r="AQ4" i="2" s="1"/>
  <c r="AQ7" i="2"/>
  <c r="AR6" i="2" s="1"/>
  <c r="AN15" i="45" l="1"/>
  <c r="AO7" i="13"/>
  <c r="AO9" i="13"/>
  <c r="AO6" i="13"/>
  <c r="AO8" i="13"/>
  <c r="AM17" i="45"/>
  <c r="AO10" i="13"/>
  <c r="AN5" i="13"/>
  <c r="AN3" i="13"/>
  <c r="AN4" i="13"/>
  <c r="AR12" i="2"/>
  <c r="AR5" i="2" s="1"/>
  <c r="AR4" i="2" s="1"/>
  <c r="AR7" i="2"/>
  <c r="AO15" i="45" l="1"/>
  <c r="AP9" i="13"/>
  <c r="AP7" i="13"/>
  <c r="AP6" i="13"/>
  <c r="AP8" i="13"/>
  <c r="AN17" i="45"/>
  <c r="AP10" i="13"/>
  <c r="AO4" i="13"/>
  <c r="AO5" i="13"/>
  <c r="AO3" i="13"/>
  <c r="AS6" i="2"/>
  <c r="AP3" i="13" l="1"/>
  <c r="AP4" i="13"/>
  <c r="AP5" i="13"/>
  <c r="AS12" i="2"/>
  <c r="AS5" i="2" s="1"/>
  <c r="AS4" i="2" s="1"/>
  <c r="AS7" i="2"/>
  <c r="AT6" i="2" s="1"/>
  <c r="AP15" i="45" l="1"/>
  <c r="AQ7" i="13"/>
  <c r="AQ6" i="13"/>
  <c r="AQ9" i="13"/>
  <c r="AQ8" i="13"/>
  <c r="AQ10" i="13"/>
  <c r="AO17" i="45"/>
  <c r="AT12" i="2"/>
  <c r="AT5" i="2" s="1"/>
  <c r="AT4" i="2" s="1"/>
  <c r="AT7" i="2"/>
  <c r="AQ4" i="13" l="1"/>
  <c r="AQ5" i="13"/>
  <c r="AQ3" i="13"/>
  <c r="AQ15" i="45"/>
  <c r="AR8" i="13"/>
  <c r="AR9" i="13"/>
  <c r="AR6" i="13"/>
  <c r="AR10" i="13"/>
  <c r="AP17" i="45"/>
  <c r="AR7" i="13"/>
  <c r="AU6" i="2"/>
  <c r="AR3" i="13" l="1"/>
  <c r="AR4" i="13"/>
  <c r="AR5" i="13"/>
  <c r="AU12" i="2"/>
  <c r="AU5" i="2" s="1"/>
  <c r="AU4" i="2" s="1"/>
  <c r="AU7" i="2"/>
  <c r="AV6" i="2" s="1"/>
  <c r="AR15" i="45" l="1"/>
  <c r="T12" i="1" s="1"/>
  <c r="AS8" i="13"/>
  <c r="AS9" i="13"/>
  <c r="AQ17" i="45"/>
  <c r="AS6" i="13"/>
  <c r="AS10" i="13"/>
  <c r="AS7" i="13"/>
  <c r="AV12" i="2"/>
  <c r="AV5" i="2" s="1"/>
  <c r="AV4" i="2" s="1"/>
  <c r="T6" i="1" s="1"/>
  <c r="Y36" i="7"/>
  <c r="AV7" i="2"/>
  <c r="C31" i="2"/>
  <c r="C32" i="2" s="1"/>
  <c r="AT9" i="13" l="1"/>
  <c r="T23" i="1" s="1"/>
  <c r="AT8" i="13"/>
  <c r="T22" i="1" s="1"/>
  <c r="AT10" i="13"/>
  <c r="T24" i="1" s="1"/>
  <c r="AT6" i="13"/>
  <c r="T20" i="1" s="1"/>
  <c r="AT7" i="13"/>
  <c r="T21" i="1" s="1"/>
  <c r="AR17" i="45"/>
  <c r="T7" i="1"/>
  <c r="T9" i="1" s="1"/>
  <c r="AS4" i="13"/>
  <c r="AS5" i="13"/>
  <c r="AS3" i="13"/>
  <c r="Y40" i="7"/>
  <c r="U9" i="1" l="1"/>
  <c r="U27" i="1"/>
  <c r="U26" i="1"/>
  <c r="U25" i="1"/>
  <c r="U24" i="1"/>
  <c r="U21" i="1"/>
  <c r="U20" i="1"/>
  <c r="U23" i="1"/>
  <c r="U22" i="1"/>
  <c r="T15" i="1"/>
  <c r="AT5" i="13"/>
  <c r="T19" i="1" s="1"/>
  <c r="U19" i="1" s="1"/>
  <c r="AT4" i="13"/>
  <c r="T18" i="1" s="1"/>
  <c r="U18" i="1" s="1"/>
  <c r="AT3" i="13"/>
  <c r="T17" i="1" s="1"/>
  <c r="U13" i="1"/>
  <c r="U12" i="1"/>
  <c r="U11" i="1"/>
  <c r="T29" i="1" l="1"/>
  <c r="U29" i="1" s="1"/>
  <c r="U17" i="1"/>
  <c r="T31" i="1"/>
  <c r="U31" i="1" s="1"/>
  <c r="U15" i="1"/>
  <c r="L22" i="1" l="1"/>
  <c r="L26" i="1" l="1"/>
  <c r="L31" i="1"/>
  <c r="L13" i="1"/>
  <c r="L23" i="1"/>
  <c r="L12" i="1"/>
  <c r="L9" i="1"/>
  <c r="L18" i="1"/>
  <c r="L20" i="1"/>
  <c r="L21" i="1"/>
  <c r="L19" i="1"/>
  <c r="L27" i="1"/>
  <c r="L11" i="1"/>
  <c r="L25" i="1"/>
  <c r="L24" i="1"/>
  <c r="N15" i="1" l="1"/>
  <c r="O13" i="1"/>
  <c r="N31" i="1" l="1"/>
  <c r="O31" i="1" s="1"/>
  <c r="O1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4" authorId="0" shapeId="0" xr:uid="{00000000-0006-0000-1F00-000006000000}">
      <text>
        <r>
          <rPr>
            <sz val="11"/>
            <color rgb="FF000000"/>
            <rFont val="Calibri"/>
            <scheme val="minor"/>
          </rPr>
          <t>======
ID#AAABZ6v-nLM
Barbara Spinelli    (2024-12-06 17:09:03)
Magic</t>
        </r>
      </text>
    </comment>
    <comment ref="B25" authorId="0" shapeId="0" xr:uid="{00000000-0006-0000-1F00-000005000000}">
      <text>
        <r>
          <rPr>
            <sz val="11"/>
            <color rgb="FF000000"/>
            <rFont val="Calibri"/>
            <scheme val="minor"/>
          </rPr>
          <t>======
ID#AAABZ6v-nLQ
Barbara Spinelli    (2024-12-06 17:09:11)
Desyree, Evandro</t>
        </r>
      </text>
    </comment>
    <comment ref="B29" authorId="0" shapeId="0" xr:uid="{00000000-0006-0000-1F00-000001000000}">
      <text>
        <r>
          <rPr>
            <sz val="11"/>
            <color rgb="FF000000"/>
            <rFont val="Calibri"/>
            <scheme val="minor"/>
          </rPr>
          <t>======
ID#AAABZ6v-nL0
Barbara Spinelli    (2024-12-06 18:09:25)
Camisetas Polo Evento</t>
        </r>
      </text>
    </comment>
    <comment ref="B31" authorId="0" shapeId="0" xr:uid="{00000000-0006-0000-1F00-000004000000}">
      <text>
        <r>
          <rPr>
            <sz val="11"/>
            <color rgb="FF000000"/>
            <rFont val="Calibri"/>
            <scheme val="minor"/>
          </rPr>
          <t>======
ID#AAABZ6v-nLg
Barbara Spinelli    (2024-12-06 17:23:11)
Camila Belci</t>
        </r>
      </text>
    </comment>
    <comment ref="B36" authorId="0" shapeId="0" xr:uid="{00000000-0006-0000-1F00-000003000000}">
      <text>
        <r>
          <rPr>
            <sz val="11"/>
            <color rgb="FF000000"/>
            <rFont val="Calibri"/>
            <scheme val="minor"/>
          </rPr>
          <t>======
ID#AAABZ6v-nLk
Barbara Spinelli    (2024-12-06 17:24:50)
Luciana e Thaís</t>
        </r>
      </text>
    </comment>
    <comment ref="B38" authorId="0" shapeId="0" xr:uid="{00000000-0006-0000-1F00-000002000000}">
      <text>
        <r>
          <rPr>
            <sz val="11"/>
            <color rgb="FF000000"/>
            <rFont val="Calibri"/>
            <scheme val="minor"/>
          </rPr>
          <t>======
ID#AAABZ6v-nLw
Barbara Spinelli    (2024-12-06 17:42:41)
Aumento Saaspro, TLDV, Eleven Labs, aumento Adobe, aumento Chat GPT, Notion</t>
        </r>
      </text>
    </comment>
  </commentList>
  <extLst>
    <ext xmlns:r="http://schemas.openxmlformats.org/officeDocument/2006/relationships" uri="GoogleSheetsCustomDataVersion2">
      <go:sheetsCustomData xmlns:go="http://customooxmlschemas.google.com/" r:id="rId1" roundtripDataSignature="AMtx7mjY8d7oHjXYt/93MSVOvL3BLPvoOw=="/>
    </ext>
  </extLst>
</comments>
</file>

<file path=xl/sharedStrings.xml><?xml version="1.0" encoding="utf-8"?>
<sst xmlns="http://schemas.openxmlformats.org/spreadsheetml/2006/main" count="29196" uniqueCount="2471">
  <si>
    <t>APORTE</t>
  </si>
  <si>
    <t>Total 2026</t>
  </si>
  <si>
    <t>Total 2027</t>
  </si>
  <si>
    <t>Total 2028</t>
  </si>
  <si>
    <t>Total 2029</t>
  </si>
  <si>
    <t>Set</t>
  </si>
  <si>
    <t>Out</t>
  </si>
  <si>
    <t>Nov</t>
  </si>
  <si>
    <t>Dez</t>
  </si>
  <si>
    <t>Ago</t>
  </si>
  <si>
    <t>12 Meses</t>
  </si>
  <si>
    <t>Receita Total</t>
  </si>
  <si>
    <t>Impostos</t>
  </si>
  <si>
    <t>Receita Líquida</t>
  </si>
  <si>
    <t>CUSTO CORE</t>
  </si>
  <si>
    <t>Custo Marketing</t>
  </si>
  <si>
    <t>Lucro Bruto</t>
  </si>
  <si>
    <t>CUSTO ADM</t>
  </si>
  <si>
    <t>Salários</t>
  </si>
  <si>
    <t>Benefícios</t>
  </si>
  <si>
    <t>Fornecedores</t>
  </si>
  <si>
    <t>Despesas Adm</t>
  </si>
  <si>
    <t>Lucro / Prejuízo</t>
  </si>
  <si>
    <t>ISS</t>
  </si>
  <si>
    <t>PIS/COFINS</t>
  </si>
  <si>
    <t>Marketing</t>
  </si>
  <si>
    <t>Comercial</t>
  </si>
  <si>
    <t>Total Revenue</t>
  </si>
  <si>
    <t>PROJEÇÃO 2025</t>
  </si>
  <si>
    <t>PROJEÇÃO 2026</t>
  </si>
  <si>
    <t>PROJEÇÃO 2027</t>
  </si>
  <si>
    <t>PROJEÇÃO 2028</t>
  </si>
  <si>
    <t>PROJEÇÃO 2029</t>
  </si>
  <si>
    <t>SETEMBRO</t>
  </si>
  <si>
    <t>OUTUBRO</t>
  </si>
  <si>
    <t>NOVEMBRO</t>
  </si>
  <si>
    <t>DEZEMBRO</t>
  </si>
  <si>
    <t>JANEIRO</t>
  </si>
  <si>
    <t>FEVEREIRO</t>
  </si>
  <si>
    <t>MARÇO</t>
  </si>
  <si>
    <t>ABRIL</t>
  </si>
  <si>
    <t>MAIO</t>
  </si>
  <si>
    <t>JUNHO</t>
  </si>
  <si>
    <t>JULHO</t>
  </si>
  <si>
    <t>AGOSTO</t>
  </si>
  <si>
    <t>Faturamento</t>
  </si>
  <si>
    <t>Base Recorrente</t>
  </si>
  <si>
    <t>Churn</t>
  </si>
  <si>
    <t>Novos clientes</t>
  </si>
  <si>
    <t>Setup</t>
  </si>
  <si>
    <t>PREMISSAS</t>
  </si>
  <si>
    <t>Novas Franquias</t>
  </si>
  <si>
    <t>Ticket Médio - Novos Clientes</t>
  </si>
  <si>
    <t>Setup Nova Venda</t>
  </si>
  <si>
    <t>Ticket Médio - Novas Franquias</t>
  </si>
  <si>
    <t>COMERCIAL/PARTNERS</t>
  </si>
  <si>
    <t>Vendas 1º Mês</t>
  </si>
  <si>
    <t>DNA</t>
  </si>
  <si>
    <t>Vendas 2º Mês</t>
  </si>
  <si>
    <t>Vendas 3º Mês</t>
  </si>
  <si>
    <t>Vendas 4º Mês pra frente</t>
  </si>
  <si>
    <t>Base Dezembro/26</t>
  </si>
  <si>
    <t>Performance</t>
  </si>
  <si>
    <t>Base Dezembro/27</t>
  </si>
  <si>
    <t>Base Dezembro/28</t>
  </si>
  <si>
    <t>Base Dezembro/29</t>
  </si>
  <si>
    <t>Novo</t>
  </si>
  <si>
    <t>BOUTIQUE DO PANO</t>
  </si>
  <si>
    <t>GOIAS FECHADURAS</t>
  </si>
  <si>
    <t>CREDITARES</t>
  </si>
  <si>
    <t>DAMA DE OUROS EMBALAGENS</t>
  </si>
  <si>
    <t>INTEGRAR SEGURANÇA</t>
  </si>
  <si>
    <t>NICBOX</t>
  </si>
  <si>
    <t>Recorrência</t>
  </si>
  <si>
    <t>Mês</t>
  </si>
  <si>
    <t>Social</t>
  </si>
  <si>
    <t>Beelieve Now</t>
  </si>
  <si>
    <t>Observação</t>
  </si>
  <si>
    <t>Franquia</t>
  </si>
  <si>
    <t>54.698.046/0001-55</t>
  </si>
  <si>
    <t>55.266.741/0001-00</t>
  </si>
  <si>
    <t>Resultado</t>
  </si>
  <si>
    <t>Franquias</t>
  </si>
  <si>
    <t>COLABORADORES BEELIEVE</t>
  </si>
  <si>
    <t>ÁREA</t>
  </si>
  <si>
    <t>VALOR</t>
  </si>
  <si>
    <t>Operação</t>
  </si>
  <si>
    <t>NATALIA APARECIDA FARISCO</t>
  </si>
  <si>
    <t>CAROLINA DO SOCORRO NOYA</t>
  </si>
  <si>
    <t>Lucas Oliveira</t>
  </si>
  <si>
    <t>Comissão</t>
  </si>
  <si>
    <t>SERGIO ENDRIGO RODRIGUES CARDOSO</t>
  </si>
  <si>
    <t>Designer</t>
  </si>
  <si>
    <t>BARBARA SPINELLI BARBOSA</t>
  </si>
  <si>
    <t>Financeiro</t>
  </si>
  <si>
    <t>CECILIA VASARHELYI SICUTO</t>
  </si>
  <si>
    <t>Celso Aparecido Silva</t>
  </si>
  <si>
    <t>ESTAGIARIO 1</t>
  </si>
  <si>
    <t>ESTAGIARIO 2</t>
  </si>
  <si>
    <t>FELLIPE SUITA DE MORAES</t>
  </si>
  <si>
    <t>Fernanda Calixto</t>
  </si>
  <si>
    <t>Expansão</t>
  </si>
  <si>
    <t>GABRIEL BONETTI RAFOLS</t>
  </si>
  <si>
    <t>TI</t>
  </si>
  <si>
    <t>Jorge Vianna</t>
  </si>
  <si>
    <t>Processos</t>
  </si>
  <si>
    <t>Ketelin Vitoria de Souza Cerqueira</t>
  </si>
  <si>
    <t>Luís Fernando Pereira</t>
  </si>
  <si>
    <t>MARCO AURELIO ARAGONI PEDROZA</t>
  </si>
  <si>
    <t>Marcus Kuntze Calixto</t>
  </si>
  <si>
    <t>CEO</t>
  </si>
  <si>
    <t>MILLENA ARAUJO DE LIMA</t>
  </si>
  <si>
    <t>NATIELE BARBOSA FERREIRA CASTRO</t>
  </si>
  <si>
    <t>PALOMA LEITE DA SILVA</t>
  </si>
  <si>
    <t>Ronan Douglas Bras de Oliveira</t>
  </si>
  <si>
    <t>Rosana Cardoso</t>
  </si>
  <si>
    <t>SAYWAN JAYMERSON FERREIRA DE LIMA</t>
  </si>
  <si>
    <t>TIAGO ALVES MALAQUIAS JUNIOR</t>
  </si>
  <si>
    <t>Valesca Ottoni Teatini de Andrade Lobo</t>
  </si>
  <si>
    <t>Valor</t>
  </si>
  <si>
    <t>Vale Refeição</t>
  </si>
  <si>
    <t>Vale Transporte</t>
  </si>
  <si>
    <t>FGTS</t>
  </si>
  <si>
    <t>Fornecedor</t>
  </si>
  <si>
    <t>ADOBE</t>
  </si>
  <si>
    <t>ARIKINET TELECOM LTDA</t>
  </si>
  <si>
    <t>ASA LENIUM BRASIL</t>
  </si>
  <si>
    <t>CHAT GPT</t>
  </si>
  <si>
    <t>CLICKSIGN GESTAO DE DOCUMENTOS S/A</t>
  </si>
  <si>
    <t>Contabilidade</t>
  </si>
  <si>
    <t>ENVATO</t>
  </si>
  <si>
    <t>GOOGLE GSUITE</t>
  </si>
  <si>
    <t>HETZNER</t>
  </si>
  <si>
    <t>JOTFORM</t>
  </si>
  <si>
    <t>LEADS2B S/A</t>
  </si>
  <si>
    <t>OMIEXPERIENCE LTDA.</t>
  </si>
  <si>
    <t>%</t>
  </si>
  <si>
    <t>Equity Value (Pre-Money)</t>
  </si>
  <si>
    <t>Aporte Novos Socios</t>
  </si>
  <si>
    <t>EV (Post-Money)</t>
  </si>
  <si>
    <t>% Equity</t>
  </si>
  <si>
    <t>Novo Cap Table</t>
  </si>
  <si>
    <t>Novos Socios</t>
  </si>
  <si>
    <t>Thiago Padilla</t>
  </si>
  <si>
    <t>padilha.designer@gmail.com</t>
  </si>
  <si>
    <t>Ref a serv prestado em abr/25, vencimento mai/25</t>
  </si>
  <si>
    <t>Rescisão referente a serv prestado em mai/25, vencimento jun/25</t>
  </si>
  <si>
    <t>Rodrigo Paiva Araujo</t>
  </si>
  <si>
    <t>rodrigo.paiva@beelieve.group</t>
  </si>
  <si>
    <t>Rama Agencia Digital (Michelly)</t>
  </si>
  <si>
    <t>michelly.ribeiro@beelieve.group</t>
  </si>
  <si>
    <t>Temporária</t>
  </si>
  <si>
    <t>Oscar Stefanno Fornari</t>
  </si>
  <si>
    <t>oscarstefanno.beelieve@gmail.com</t>
  </si>
  <si>
    <t>Oliver Semiano Cruz</t>
  </si>
  <si>
    <t>oliver.cruz@beelieve.group</t>
  </si>
  <si>
    <t>Mayara Thais de Oliveira</t>
  </si>
  <si>
    <t>mayaranovaisbeelieve@gmail.com</t>
  </si>
  <si>
    <t>Ref a serv prestado em mai/25 (ainda terá a rescisão mês que vem referente aos serviços prestados em jun/25)</t>
  </si>
  <si>
    <t>Lukas Serra Victor da Cruz</t>
  </si>
  <si>
    <t>lukasserra.beelieve@gmail.com</t>
  </si>
  <si>
    <t>Douglas Henrique D'Almada</t>
  </si>
  <si>
    <t>douglas.dalmada@beelieve.group</t>
  </si>
  <si>
    <t>Filipe Coimbra</t>
  </si>
  <si>
    <t>nogueirabsb@gmail.com</t>
  </si>
  <si>
    <t>Elisabeth Priestley</t>
  </si>
  <si>
    <t>elisabeth.priestley@beelieve.group</t>
  </si>
  <si>
    <t>lucas.oliveira@beelieve.group</t>
  </si>
  <si>
    <t>Laiane Silva de Almeida Bogo</t>
  </si>
  <si>
    <t>laiane.almeida@beelieve.group</t>
  </si>
  <si>
    <t>Vencimento ficou para o dia 16/06 porque ela atrasou o envio da NF</t>
  </si>
  <si>
    <t>Raphael Vieira Gonçalves</t>
  </si>
  <si>
    <t>raphael.vieira@beelieve.group</t>
  </si>
  <si>
    <t>Vencimento futuro porque não emitiu NF</t>
  </si>
  <si>
    <t>Barbara Paraizo</t>
  </si>
  <si>
    <t>Freelancer</t>
  </si>
  <si>
    <t>Thiago</t>
  </si>
  <si>
    <t>Kuntze Calixto</t>
  </si>
  <si>
    <t>Filipe Coimbra - Complemento</t>
  </si>
  <si>
    <t>Vencimento</t>
  </si>
  <si>
    <t>Categoria</t>
  </si>
  <si>
    <t>BEELIEVE DNA</t>
  </si>
  <si>
    <t>Repasse de franqueados</t>
  </si>
  <si>
    <t>PERFORMANCE</t>
  </si>
  <si>
    <t>Beelieve 360</t>
  </si>
  <si>
    <t>Beelieve Gold</t>
  </si>
  <si>
    <t>River Palace</t>
  </si>
  <si>
    <t>Despesas com viagens</t>
  </si>
  <si>
    <t>Hotel de Div. Se não pagarmos até dia 09/05, encaminharão os boletos para protesto na segunda</t>
  </si>
  <si>
    <t>Prime Assessoria</t>
  </si>
  <si>
    <t>Exames RH</t>
  </si>
  <si>
    <t>Precisamos pagar para conseguir agendar os exames demissionais do pessoal que saiu</t>
  </si>
  <si>
    <t>Bryan (Digital Blandy)</t>
  </si>
  <si>
    <t>Consultoria</t>
  </si>
  <si>
    <t>Cancelaram a reunião com a Nat em 07/05. Só vão retomar quando pagarmos</t>
  </si>
  <si>
    <t>Cia Coworking</t>
  </si>
  <si>
    <t>Aluguel</t>
  </si>
  <si>
    <t>Cowork de Div. Consegui postergar para 09/05, mas Vivelina falou que se não pagarmos até essa data, não deixará o time entrar na segunda</t>
  </si>
  <si>
    <t>Solides</t>
  </si>
  <si>
    <t>Plataformas</t>
  </si>
  <si>
    <t>Ferramenta do RH para controle de ponto. Como venceu dia 20, há o risco de bloquearem</t>
  </si>
  <si>
    <t>Luciana Meda</t>
  </si>
  <si>
    <t>Serviços Contratados</t>
  </si>
  <si>
    <t>Mandou e-mail falando que se não pagarmos até 09/05, irá buscar os direitos sem aceitar negociação</t>
  </si>
  <si>
    <t>Miro, Adobe e Chat GPT</t>
  </si>
  <si>
    <t>Áreas (Processos e Operação) estão pedindo</t>
  </si>
  <si>
    <t>Trackeamento de Whatsapp</t>
  </si>
  <si>
    <t>novo</t>
  </si>
  <si>
    <t>Douglas da Operação pediu para comprar</t>
  </si>
  <si>
    <t>IPTU</t>
  </si>
  <si>
    <t>Atrasamos duas e estão cobrando o pagamento</t>
  </si>
  <si>
    <t>Beelieve Magic</t>
  </si>
  <si>
    <t>Devolução de Taxa de Franquia</t>
  </si>
  <si>
    <t>Ele alega que lhe prometeram resposta em 06/05. Está cobrando retorno. Tem falado com o jurídico também.</t>
  </si>
  <si>
    <t>MAI/2025</t>
  </si>
  <si>
    <t>Entradas</t>
  </si>
  <si>
    <t xml:space="preserve">    Saldo Atual</t>
  </si>
  <si>
    <t xml:space="preserve">    A entrar (aporte)</t>
  </si>
  <si>
    <t>Pagamentos</t>
  </si>
  <si>
    <t xml:space="preserve">    Mundo Tour</t>
  </si>
  <si>
    <t xml:space="preserve">    Porto Seguro (convênio)</t>
  </si>
  <si>
    <t xml:space="preserve">    Plataformas</t>
  </si>
  <si>
    <t>Leads2B, Ekyte, Saaspro e Jotform</t>
  </si>
  <si>
    <t xml:space="preserve">    VT</t>
  </si>
  <si>
    <t xml:space="preserve">    VR</t>
  </si>
  <si>
    <t xml:space="preserve">    Repasse Beelieve DNA</t>
  </si>
  <si>
    <t xml:space="preserve">    Tec Mobile</t>
  </si>
  <si>
    <t xml:space="preserve">    Adm Person</t>
  </si>
  <si>
    <t xml:space="preserve">    Reembolsos</t>
  </si>
  <si>
    <t>Thiago e Natália</t>
  </si>
  <si>
    <t xml:space="preserve">    FGTS (ref a abr/25)</t>
  </si>
  <si>
    <t xml:space="preserve">    Seguro de Vida</t>
  </si>
  <si>
    <t xml:space="preserve">    Aluguel + Condomínio + IPTUs </t>
  </si>
  <si>
    <t xml:space="preserve">    RMP Advogados</t>
  </si>
  <si>
    <t xml:space="preserve">    Beeliege Magic (Tárcio)</t>
  </si>
  <si>
    <t xml:space="preserve">    Beelieve Max</t>
  </si>
  <si>
    <t xml:space="preserve">    Prime Assessoria (exames admissionais)</t>
  </si>
  <si>
    <t xml:space="preserve">    Vix (ref a abr/25)</t>
  </si>
  <si>
    <t xml:space="preserve">    Franchise4u</t>
  </si>
  <si>
    <t xml:space="preserve">    Bryan (Webinar)</t>
  </si>
  <si>
    <t xml:space="preserve">    Impostos</t>
  </si>
  <si>
    <t xml:space="preserve">    River Palace</t>
  </si>
  <si>
    <t xml:space="preserve">    Regus</t>
  </si>
  <si>
    <t>JUN/2025</t>
  </si>
  <si>
    <t xml:space="preserve">    Saldo Inicial</t>
  </si>
  <si>
    <t xml:space="preserve">    A entrar (Serviços Prestados)</t>
  </si>
  <si>
    <t xml:space="preserve">    A entrar (Aporte)</t>
  </si>
  <si>
    <t>Pagamentos (até dia 06/06/25)</t>
  </si>
  <si>
    <t xml:space="preserve">    GSuite</t>
  </si>
  <si>
    <t xml:space="preserve">    Salários*</t>
  </si>
  <si>
    <t>Estimativa, uma vez que o período ainda não está fechado</t>
  </si>
  <si>
    <t xml:space="preserve">    Barbara Paraizo</t>
  </si>
  <si>
    <t>Hetzner, Saaspro, Asa Lenium, Sem Rush, Make.com, Clicksign</t>
  </si>
  <si>
    <t xml:space="preserve">    Reemboslos</t>
  </si>
  <si>
    <t>Natália</t>
  </si>
  <si>
    <t>Situação</t>
  </si>
  <si>
    <t>Data</t>
  </si>
  <si>
    <t>Cliente ou Fornecedor (Nome Fantasia)</t>
  </si>
  <si>
    <t>Conta Corrente</t>
  </si>
  <si>
    <t>Valor (R$)</t>
  </si>
  <si>
    <t>Saldo (R$)</t>
  </si>
  <si>
    <t>Opções</t>
  </si>
  <si>
    <t>Tipo de Documento</t>
  </si>
  <si>
    <t>Documento</t>
  </si>
  <si>
    <t>Nota Fiscal</t>
  </si>
  <si>
    <t>Parcela</t>
  </si>
  <si>
    <t>Nosso Número</t>
  </si>
  <si>
    <t>Origem</t>
  </si>
  <si>
    <t>Pedido</t>
  </si>
  <si>
    <t>Vendedor</t>
  </si>
  <si>
    <t>Projeto</t>
  </si>
  <si>
    <t>Cliente ou Fornecedor (Razão Social)</t>
  </si>
  <si>
    <t>Cliente ou Fornecedor (CNPJ/CPF)</t>
  </si>
  <si>
    <t>MÊS</t>
  </si>
  <si>
    <t>Data Ajustada</t>
  </si>
  <si>
    <t>Ajuste</t>
  </si>
  <si>
    <t>Class</t>
  </si>
  <si>
    <t>Área</t>
  </si>
  <si>
    <t>SALDO ANTERIOR</t>
  </si>
  <si>
    <t>Conciliado (bloqueado)</t>
  </si>
  <si>
    <t>HELIX CAPITAL</t>
  </si>
  <si>
    <t>Omie.CASH</t>
  </si>
  <si>
    <t>Aporte</t>
  </si>
  <si>
    <t>Pix</t>
  </si>
  <si>
    <t>pix.20241101.154836</t>
  </si>
  <si>
    <t>Crédito em Conta Corrente</t>
  </si>
  <si>
    <t>HELIX CAPITAL HOLDINGS LTDA</t>
  </si>
  <si>
    <t>53.174.487/0001-95</t>
  </si>
  <si>
    <t>DOISM CONSULTORIA</t>
  </si>
  <si>
    <t>Franquias - Receita referente a Taxa</t>
  </si>
  <si>
    <t>pix.20241101.173846</t>
  </si>
  <si>
    <t>DOISM CONSULTORIA LTDA</t>
  </si>
  <si>
    <t>50.162.069/0001-90</t>
  </si>
  <si>
    <t>TEC MOBILE HARDWARE AS A SERVICE</t>
  </si>
  <si>
    <t>Computadores e Periféricos</t>
  </si>
  <si>
    <t>005/025</t>
  </si>
  <si>
    <t>344148503</t>
  </si>
  <si>
    <t>Conta Paga</t>
  </si>
  <si>
    <t>ELO GAIVOTA - LOCACAO, COMERCIO DE EQUIPAMENTOS ELETRONICOS</t>
  </si>
  <si>
    <t>15.544.339/0001-26</t>
  </si>
  <si>
    <t>JESSICA ALMEIDA PRIMO</t>
  </si>
  <si>
    <t>Rescisões</t>
  </si>
  <si>
    <t>003/003</t>
  </si>
  <si>
    <t>344159311</t>
  </si>
  <si>
    <t>336.104.628-92</t>
  </si>
  <si>
    <t>001/001</t>
  </si>
  <si>
    <t>344152080</t>
  </si>
  <si>
    <t>Jeanne Kroebe</t>
  </si>
  <si>
    <t>Despesas Viagens , Estadias e Refeições</t>
  </si>
  <si>
    <t>344152155</t>
  </si>
  <si>
    <t>33.464.613 JEANNE KROEBEL</t>
  </si>
  <si>
    <t>33.464.613/0001-39</t>
  </si>
  <si>
    <t>Isabella Barçante de Campos Freire</t>
  </si>
  <si>
    <t>344152722</t>
  </si>
  <si>
    <t>OPERWISE SOLUCOES LTDA</t>
  </si>
  <si>
    <t>55.704.601/0001-77</t>
  </si>
  <si>
    <t>50.948.566 THAIS CAMPOS DA SILVA</t>
  </si>
  <si>
    <t>344153099</t>
  </si>
  <si>
    <t>50.948.566/0001-18</t>
  </si>
  <si>
    <t>344153235</t>
  </si>
  <si>
    <t>329.857.178-41</t>
  </si>
  <si>
    <t>BEATRIZ BARNI BATISTA</t>
  </si>
  <si>
    <t>344153341</t>
  </si>
  <si>
    <t>481.703.598-64</t>
  </si>
  <si>
    <t>344153867</t>
  </si>
  <si>
    <t>475.751.228-77</t>
  </si>
  <si>
    <t>THIAGO DE OLIVEIRA MARQUES RIBEIRO</t>
  </si>
  <si>
    <t>344153955</t>
  </si>
  <si>
    <t>54.199.400 THIAGO DE OLIVEIRA MARQUES RIBEIRO</t>
  </si>
  <si>
    <t>54.199.400/0001-05</t>
  </si>
  <si>
    <t>Tarifas Bancárias</t>
  </si>
  <si>
    <t>Tarifa</t>
  </si>
  <si>
    <t>tar.20241101.163414</t>
  </si>
  <si>
    <t>Débito em Conta Corrente</t>
  </si>
  <si>
    <t>tar.20241101.163616</t>
  </si>
  <si>
    <t>tar.20241101.163625</t>
  </si>
  <si>
    <t>tar.20241101.163640</t>
  </si>
  <si>
    <t>tar.20241101.163655</t>
  </si>
  <si>
    <t>tar.20241101.163659</t>
  </si>
  <si>
    <t>tar.20241101.163706</t>
  </si>
  <si>
    <t>tar.20241101.163724</t>
  </si>
  <si>
    <t>tar.20241101.164049</t>
  </si>
  <si>
    <t>Boleto</t>
  </si>
  <si>
    <t>006/007</t>
  </si>
  <si>
    <t>230354589</t>
  </si>
  <si>
    <t>32.274.163/0001-59</t>
  </si>
  <si>
    <t>SALDO</t>
  </si>
  <si>
    <t>pix.20241104.155804</t>
  </si>
  <si>
    <t>BRUNO SOUSA DE MATOS</t>
  </si>
  <si>
    <t>pix.20241104.163350</t>
  </si>
  <si>
    <t>053.267.426-08</t>
  </si>
  <si>
    <t>Beelieve Santos</t>
  </si>
  <si>
    <t>pix.20241104.172823</t>
  </si>
  <si>
    <t>BEELIEVE GROUP LTDA</t>
  </si>
  <si>
    <t>51.570.008/0001-24</t>
  </si>
  <si>
    <t>tar.20241104.172828</t>
  </si>
  <si>
    <t>Treinamento de Franquias</t>
  </si>
  <si>
    <t>350534077</t>
  </si>
  <si>
    <t>BRUNO ANDRADE DE SOUZA</t>
  </si>
  <si>
    <t>Bonificações</t>
  </si>
  <si>
    <t>350539626</t>
  </si>
  <si>
    <t>230.520.258-05</t>
  </si>
  <si>
    <t>GABRIELA HENRIQUE DE SOUZA MOTA</t>
  </si>
  <si>
    <t>350539662</t>
  </si>
  <si>
    <t>403.799.018-03</t>
  </si>
  <si>
    <t>PONTO MAIS</t>
  </si>
  <si>
    <t>006/013</t>
  </si>
  <si>
    <t>230573518</t>
  </si>
  <si>
    <t>PONTOMAIS TECNOLOGIA S/A</t>
  </si>
  <si>
    <t>23.863.463/0001-82</t>
  </si>
  <si>
    <t>tar.20241104.173121</t>
  </si>
  <si>
    <t>MARIA FELISMINA</t>
  </si>
  <si>
    <t>Limpeza</t>
  </si>
  <si>
    <t>pix.20241104.173118</t>
  </si>
  <si>
    <t>350534206</t>
  </si>
  <si>
    <t>219.946.918-24</t>
  </si>
  <si>
    <t>tar.20241104.173642</t>
  </si>
  <si>
    <t>tar.20241104.173647</t>
  </si>
  <si>
    <t>pix.20241104.173640</t>
  </si>
  <si>
    <t>350539739</t>
  </si>
  <si>
    <t>Transf. Omie.CASH &gt;&gt; Conta Simples (Conta Corrente)</t>
  </si>
  <si>
    <t>Saída de Transferência</t>
  </si>
  <si>
    <t>pix.20241104.174528</t>
  </si>
  <si>
    <t>Débito de Transferência</t>
  </si>
  <si>
    <t>tar.20241104.174533</t>
  </si>
  <si>
    <t>PORTO SEGURO</t>
  </si>
  <si>
    <t>Seguros</t>
  </si>
  <si>
    <t>001/012</t>
  </si>
  <si>
    <t>230579828</t>
  </si>
  <si>
    <t>PORTO SEGURO - SEGURO SAUDE S/A</t>
  </si>
  <si>
    <t>04.540.010/0001-70</t>
  </si>
  <si>
    <t>Opus Advocacia</t>
  </si>
  <si>
    <t>Advogados</t>
  </si>
  <si>
    <t>350993039</t>
  </si>
  <si>
    <t>SAMARA KARINA MONTEIRO SILVA 31450057829</t>
  </si>
  <si>
    <t>33.651.428/0001-53</t>
  </si>
  <si>
    <t>EDIFICIO PARQUE ANA COSTA</t>
  </si>
  <si>
    <t>230722718</t>
  </si>
  <si>
    <t>18.725.319/0001-40</t>
  </si>
  <si>
    <t>Condomínio</t>
  </si>
  <si>
    <t>230722732</t>
  </si>
  <si>
    <t>tar.20241105.162553</t>
  </si>
  <si>
    <t>VISUMANIA</t>
  </si>
  <si>
    <t>230722755</t>
  </si>
  <si>
    <t>SANDRO DOS SANTOS &amp; CIA LTDA</t>
  </si>
  <si>
    <t>07.044.331/0001-72</t>
  </si>
  <si>
    <t>BOND' TINTA E COMPLEMENTOS AUTOMOTIVO LTDA</t>
  </si>
  <si>
    <t>Clientes - Serviços Prestados</t>
  </si>
  <si>
    <t>RPS 281</t>
  </si>
  <si>
    <t>421</t>
  </si>
  <si>
    <t>0010786400000165</t>
  </si>
  <si>
    <t>Conta Recebida</t>
  </si>
  <si>
    <t>285</t>
  </si>
  <si>
    <t>00.068.709/0001-29</t>
  </si>
  <si>
    <t>RPS 284</t>
  </si>
  <si>
    <t>424</t>
  </si>
  <si>
    <t>0010786400000167</t>
  </si>
  <si>
    <t>288</t>
  </si>
  <si>
    <t>Marchon</t>
  </si>
  <si>
    <t>GALVAN, PARO &amp; CASTANHO LTDA</t>
  </si>
  <si>
    <t>15.660.159/0001-00</t>
  </si>
  <si>
    <t>BABEL ARQUITETURA</t>
  </si>
  <si>
    <t>RPS 285</t>
  </si>
  <si>
    <t>425</t>
  </si>
  <si>
    <t>0010786400000168</t>
  </si>
  <si>
    <t>289</t>
  </si>
  <si>
    <t>BABEL ARQUITETURA LTDA</t>
  </si>
  <si>
    <t>38.248.608/0001-02</t>
  </si>
  <si>
    <t>pix.20241106.105735</t>
  </si>
  <si>
    <t>tar.20241106.084236</t>
  </si>
  <si>
    <t>tar.20241106.093439</t>
  </si>
  <si>
    <t>tar.20241106.094157</t>
  </si>
  <si>
    <t>351373445</t>
  </si>
  <si>
    <t>DAMARIS GOMES DE JESUS OLIVEIRA</t>
  </si>
  <si>
    <t>351373465</t>
  </si>
  <si>
    <t>228.105.138-21</t>
  </si>
  <si>
    <t>BARBARA PARAIZO SOARES</t>
  </si>
  <si>
    <t>351373541</t>
  </si>
  <si>
    <t>403.546.688-38</t>
  </si>
  <si>
    <t>351373552</t>
  </si>
  <si>
    <t>271.511.688-88</t>
  </si>
  <si>
    <t>CLAUMY PAZ DA SILVA</t>
  </si>
  <si>
    <t>351373586</t>
  </si>
  <si>
    <t>142.375.364-08</t>
  </si>
  <si>
    <t>WALLACY FELYPE DA SILVA FERREIRA</t>
  </si>
  <si>
    <t>351373627</t>
  </si>
  <si>
    <t>136.645.844-30</t>
  </si>
  <si>
    <t>LARISSA BARBOSA SILVA RUFINO</t>
  </si>
  <si>
    <t>351373639</t>
  </si>
  <si>
    <t>393.243.998-88</t>
  </si>
  <si>
    <t>351373684</t>
  </si>
  <si>
    <t>BRUNA LEOPOLDO DE OLIVEIRA SANTOS</t>
  </si>
  <si>
    <t>351373692</t>
  </si>
  <si>
    <t>475.389.718-40</t>
  </si>
  <si>
    <t>351373711</t>
  </si>
  <si>
    <t>351373718</t>
  </si>
  <si>
    <t>408.471.398-83</t>
  </si>
  <si>
    <t>GABRIEL EISFELD LOPES</t>
  </si>
  <si>
    <t>351373745</t>
  </si>
  <si>
    <t>464.835.318-85</t>
  </si>
  <si>
    <t>ISABELLA LIBERATO SILVA</t>
  </si>
  <si>
    <t>351373760</t>
  </si>
  <si>
    <t>475.716.478-51</t>
  </si>
  <si>
    <t>JESSICA THUANY DA SILVA BARROS</t>
  </si>
  <si>
    <t>351373786</t>
  </si>
  <si>
    <t>542.399.598-10</t>
  </si>
  <si>
    <t>LETICIA POSSIDONIO DA SILVA</t>
  </si>
  <si>
    <t>351373829</t>
  </si>
  <si>
    <t>364.386.878-20</t>
  </si>
  <si>
    <t>LUANA LIMA DE LUCENA</t>
  </si>
  <si>
    <t>351373820</t>
  </si>
  <si>
    <t>232.812.168-38</t>
  </si>
  <si>
    <t>DAYANE TEIXEIRA GOMES</t>
  </si>
  <si>
    <t>006/012</t>
  </si>
  <si>
    <t>351374677</t>
  </si>
  <si>
    <t>426.262.128-65</t>
  </si>
  <si>
    <t>Apartamento Santos</t>
  </si>
  <si>
    <t>003/013</t>
  </si>
  <si>
    <t>351374707</t>
  </si>
  <si>
    <t>JKL PARTICIPACOES E INVESTIMENTOS LTDA</t>
  </si>
  <si>
    <t>42.934.038/0001-81</t>
  </si>
  <si>
    <t>FERNANDA MACRI COSCIONI</t>
  </si>
  <si>
    <t>351374724</t>
  </si>
  <si>
    <t>465.500.998-54</t>
  </si>
  <si>
    <t>ALESSANDRA APARECIDA DA SILVA</t>
  </si>
  <si>
    <t>002/013</t>
  </si>
  <si>
    <t>351374815</t>
  </si>
  <si>
    <t>018.589.086-55</t>
  </si>
  <si>
    <t>EVANDRO COSTA PENONI</t>
  </si>
  <si>
    <t>351374857</t>
  </si>
  <si>
    <t>109.351.296-26</t>
  </si>
  <si>
    <t>FERNANDA DIAS ALENCAR CLEMENTINO</t>
  </si>
  <si>
    <t>351374867</t>
  </si>
  <si>
    <t>083.107.906-19</t>
  </si>
  <si>
    <t>KHYN ELIZIO MATHEUS CAMPOS DOS SANTOS</t>
  </si>
  <si>
    <t>351374897</t>
  </si>
  <si>
    <t>125.876.586-16</t>
  </si>
  <si>
    <t>TATIANY STHEFANE DE OLIVEIRA</t>
  </si>
  <si>
    <t>002/003</t>
  </si>
  <si>
    <t>351374908</t>
  </si>
  <si>
    <t>125.648.146-70</t>
  </si>
  <si>
    <t>DESYREE CRISTINA SELLMER CHEIDA</t>
  </si>
  <si>
    <t>351374948</t>
  </si>
  <si>
    <t>345.829.338-82</t>
  </si>
  <si>
    <t>351374967</t>
  </si>
  <si>
    <t>RAPHAEL LUIZ SANTOS MARTINS AFONSO</t>
  </si>
  <si>
    <t>351374993</t>
  </si>
  <si>
    <t>408.074.688-19</t>
  </si>
  <si>
    <t>001/013</t>
  </si>
  <si>
    <t>351375025</t>
  </si>
  <si>
    <t>AUGUSTO MARQUES DE SOUZA</t>
  </si>
  <si>
    <t>351375042</t>
  </si>
  <si>
    <t>123.977.556-37</t>
  </si>
  <si>
    <t>CRISTIANO BRASIL MEDEIROS</t>
  </si>
  <si>
    <t>351375078</t>
  </si>
  <si>
    <t>020.557.216-23</t>
  </si>
  <si>
    <t>HEVELLEN FLAVIA SANTOS</t>
  </si>
  <si>
    <t>351375140</t>
  </si>
  <si>
    <t>019.607.426-63</t>
  </si>
  <si>
    <t>ISABELA EUZEBIO VASCONCELOS</t>
  </si>
  <si>
    <t>351375188</t>
  </si>
  <si>
    <t>116.443.656-26</t>
  </si>
  <si>
    <t>JESSICA LEMOS DE MELO</t>
  </si>
  <si>
    <t>351375205</t>
  </si>
  <si>
    <t>104.741.856-80</t>
  </si>
  <si>
    <t>LUCAS ROQUETE TEIXEIRA</t>
  </si>
  <si>
    <t>351375230</t>
  </si>
  <si>
    <t>102.426.376-20</t>
  </si>
  <si>
    <t>GABRIEL MAGALHAES SOUSA</t>
  </si>
  <si>
    <t>351375095</t>
  </si>
  <si>
    <t>131.170.546-50</t>
  </si>
  <si>
    <t>351375263</t>
  </si>
  <si>
    <t>146.641.296-88</t>
  </si>
  <si>
    <t>THEREZA CRISTINA MILAGRE GUIMARAES</t>
  </si>
  <si>
    <t>351375302</t>
  </si>
  <si>
    <t>116.741.416-02</t>
  </si>
  <si>
    <t>YURI CARLOS DE OLIVEIRA</t>
  </si>
  <si>
    <t>351375333</t>
  </si>
  <si>
    <t>022.836.456-62</t>
  </si>
  <si>
    <t>351375365</t>
  </si>
  <si>
    <t>360.643.208-93</t>
  </si>
  <si>
    <t>351375393</t>
  </si>
  <si>
    <t>479.194.418-62</t>
  </si>
  <si>
    <t>DANILA RIBEIRO LOPES</t>
  </si>
  <si>
    <t>351375407</t>
  </si>
  <si>
    <t>125.568.376-75</t>
  </si>
  <si>
    <t>ENZO FERRAO FAUSTINO</t>
  </si>
  <si>
    <t>351375437</t>
  </si>
  <si>
    <t>488.758.188-27</t>
  </si>
  <si>
    <t>ISABELLY SIQUEIRA DA COSTA</t>
  </si>
  <si>
    <t>351375452</t>
  </si>
  <si>
    <t>074.993.664-99</t>
  </si>
  <si>
    <t>CLICKSIGN</t>
  </si>
  <si>
    <t>230833299</t>
  </si>
  <si>
    <t>12.499.520/0001-70</t>
  </si>
  <si>
    <t>tar.20241106.122105</t>
  </si>
  <si>
    <t>tar.20241106.122107</t>
  </si>
  <si>
    <t>tar.20241106.122110</t>
  </si>
  <si>
    <t>tar.20241106.122113</t>
  </si>
  <si>
    <t>tar.20241106.122115</t>
  </si>
  <si>
    <t>tar.20241106.122117</t>
  </si>
  <si>
    <t>tar.20241106.122122</t>
  </si>
  <si>
    <t>tar.20241106.122125</t>
  </si>
  <si>
    <t>tar.20241106.122127</t>
  </si>
  <si>
    <t>tar.20241106.122130</t>
  </si>
  <si>
    <t>tar.20241106.122132</t>
  </si>
  <si>
    <t>tar.20241106.122134</t>
  </si>
  <si>
    <t>tar.20241106.122139</t>
  </si>
  <si>
    <t>tar.20241106.122141</t>
  </si>
  <si>
    <t>tar.20241106.122147</t>
  </si>
  <si>
    <t>tar.20241106.122149</t>
  </si>
  <si>
    <t>tar.20241106.122329</t>
  </si>
  <si>
    <t>tar.20241106.122331</t>
  </si>
  <si>
    <t>tar.20241106.122334</t>
  </si>
  <si>
    <t>tar.20241106.122336</t>
  </si>
  <si>
    <t>tar.20241106.122339</t>
  </si>
  <si>
    <t>tar.20241106.122344</t>
  </si>
  <si>
    <t>tar.20241106.122346</t>
  </si>
  <si>
    <t>tar.20241106.122348</t>
  </si>
  <si>
    <t>tar.20241106.122351</t>
  </si>
  <si>
    <t>tar.20241106.122356</t>
  </si>
  <si>
    <t>tar.20241106.122358</t>
  </si>
  <si>
    <t>tar.20241106.122401</t>
  </si>
  <si>
    <t>tar.20241106.122403</t>
  </si>
  <si>
    <t>tar.20241106.122406</t>
  </si>
  <si>
    <t>tar.20241106.122411</t>
  </si>
  <si>
    <t>tar.20241106.122414</t>
  </si>
  <si>
    <t>tar.20241106.122416</t>
  </si>
  <si>
    <t>tar.20241106.122421</t>
  </si>
  <si>
    <t>tar.20241106.122424</t>
  </si>
  <si>
    <t>tar.20241106.122429</t>
  </si>
  <si>
    <t>tar.20241106.122431</t>
  </si>
  <si>
    <t>tar.20241106.122436</t>
  </si>
  <si>
    <t>tar.20241106.122438</t>
  </si>
  <si>
    <t>tar.20241106.122441</t>
  </si>
  <si>
    <t>tar.20241106.122446</t>
  </si>
  <si>
    <t>tar.20241106.122448</t>
  </si>
  <si>
    <t>tar.20241106.122451</t>
  </si>
  <si>
    <t>pix.20241106.154233</t>
  </si>
  <si>
    <t>tar.20241106.154234</t>
  </si>
  <si>
    <t>ITABIRA MATERIAL DE CONSTRUCAO</t>
  </si>
  <si>
    <t>RPS 283</t>
  </si>
  <si>
    <t>423</t>
  </si>
  <si>
    <t>556117067373565</t>
  </si>
  <si>
    <t>287</t>
  </si>
  <si>
    <t>Dinamica</t>
  </si>
  <si>
    <t>DOIS MIL MATERIAL DE CONSTRUCAO LTDA</t>
  </si>
  <si>
    <t>00.510.012/0001-66</t>
  </si>
  <si>
    <t>pix.20241107.173605</t>
  </si>
  <si>
    <t>Conciliado</t>
  </si>
  <si>
    <t>Transf. Santander &gt;&gt; ContaMax</t>
  </si>
  <si>
    <t>ContaMax</t>
  </si>
  <si>
    <t>Entrada de Transferência</t>
  </si>
  <si>
    <t>00000000</t>
  </si>
  <si>
    <t>Crédito de Transferência</t>
  </si>
  <si>
    <t>HUFFIX DO BRASIL</t>
  </si>
  <si>
    <t>Santander</t>
  </si>
  <si>
    <t>RPS 279</t>
  </si>
  <si>
    <t>419</t>
  </si>
  <si>
    <t>283</t>
  </si>
  <si>
    <t>HUFFIX DO BRASIL INDUSTRIA E COMERCIO DE MOVEIS PARA ESCRITO</t>
  </si>
  <si>
    <t>05.238.556/0001-34</t>
  </si>
  <si>
    <t>Seguro de Vida</t>
  </si>
  <si>
    <t>231075479</t>
  </si>
  <si>
    <t>231075487</t>
  </si>
  <si>
    <t>JHENYANE</t>
  </si>
  <si>
    <t>RPS 288</t>
  </si>
  <si>
    <t>428</t>
  </si>
  <si>
    <t>0010786400000171</t>
  </si>
  <si>
    <t>292</t>
  </si>
  <si>
    <t>JHENYANE COMERCIO DE ARTIGOS DE VIAGEM LTDA</t>
  </si>
  <si>
    <t>35.796.384/0001-85</t>
  </si>
  <si>
    <t>pix.20241108.154705</t>
  </si>
  <si>
    <t>RODRIGO RIBEIRO RODA</t>
  </si>
  <si>
    <t>Franquias - Outras Receitas</t>
  </si>
  <si>
    <t>pix.20241108.161124</t>
  </si>
  <si>
    <t>388.336.228-00</t>
  </si>
  <si>
    <t>CELMAR MOTOS</t>
  </si>
  <si>
    <t>RPS 293</t>
  </si>
  <si>
    <t>433</t>
  </si>
  <si>
    <t>0010786400000175</t>
  </si>
  <si>
    <t>297</t>
  </si>
  <si>
    <t>CELMAR DISTRIBUIDORA DE VEICULOS LTDA</t>
  </si>
  <si>
    <t>28.471.011/0001-79</t>
  </si>
  <si>
    <t>NAKOMBI</t>
  </si>
  <si>
    <t>RPS 287</t>
  </si>
  <si>
    <t>427</t>
  </si>
  <si>
    <t>0010786400000169</t>
  </si>
  <si>
    <t>291</t>
  </si>
  <si>
    <t>SAKAI GASTRONOMIA ORIENTAL LTDA</t>
  </si>
  <si>
    <t>42.720.434/0001-06</t>
  </si>
  <si>
    <t>RPS 286</t>
  </si>
  <si>
    <t>426</t>
  </si>
  <si>
    <t>522318303468966</t>
  </si>
  <si>
    <t>290</t>
  </si>
  <si>
    <t>GOIAS FECHADURAS LTDA</t>
  </si>
  <si>
    <t>04.253.123/0001-95</t>
  </si>
  <si>
    <t>tar.20241108.084430</t>
  </si>
  <si>
    <t>pix.20241108.102756</t>
  </si>
  <si>
    <t>tar.20241108.102758</t>
  </si>
  <si>
    <t>QUERO PASSAGEM VIAGENS E TURISMO LTDA</t>
  </si>
  <si>
    <t>pix.20241108.121815</t>
  </si>
  <si>
    <t>18.087.991/0001-57</t>
  </si>
  <si>
    <t>tar.20241108.121817</t>
  </si>
  <si>
    <t>RUBENS GABRIEL PEREIRA DA LUZ</t>
  </si>
  <si>
    <t>352360313</t>
  </si>
  <si>
    <t>RUBENS GABRIEL PEREIRA DA LUZ 10515365963</t>
  </si>
  <si>
    <t>46.806.213/0001-06</t>
  </si>
  <si>
    <t>352360324</t>
  </si>
  <si>
    <t>CAMILA BELCI DA COSTA</t>
  </si>
  <si>
    <t>352360343</t>
  </si>
  <si>
    <t>52.734.410 CAMILA BELCI DA COSTA</t>
  </si>
  <si>
    <t>52.734.410/0001-60</t>
  </si>
  <si>
    <t>LUKAS SERRA VICTOR DA CRUZ</t>
  </si>
  <si>
    <t>352360348</t>
  </si>
  <si>
    <t>53.387.276 LUKAS SERRA VICTOR DA CRUZ</t>
  </si>
  <si>
    <t>53.387.276/0001-30</t>
  </si>
  <si>
    <t>VINICIUS SANTOS DA SILVA</t>
  </si>
  <si>
    <t>352360376</t>
  </si>
  <si>
    <t>53.611.213 VINICIUS SANTOS DA SILVA</t>
  </si>
  <si>
    <t>53.611.213/0001-16</t>
  </si>
  <si>
    <t>RAYSSA FERREIRA PICADO</t>
  </si>
  <si>
    <t>352360410</t>
  </si>
  <si>
    <t>RAYSSA FERREIRA PICADO 43016645807</t>
  </si>
  <si>
    <t>19.847.877/0001-40</t>
  </si>
  <si>
    <t>OSCAR STEFANNO FORNARI</t>
  </si>
  <si>
    <t>005/013</t>
  </si>
  <si>
    <t>352360430</t>
  </si>
  <si>
    <t>54.376.812 OSCAR STEFANNO FORNARI</t>
  </si>
  <si>
    <t>54.376.812/0001-65</t>
  </si>
  <si>
    <t>MAYARA THAIS DE OLIVEIRA NOVAIS</t>
  </si>
  <si>
    <t>352360453</t>
  </si>
  <si>
    <t>55.412.354 MAYARA THAIS DE OLIVEIRA NOVAIS</t>
  </si>
  <si>
    <t>55.412.354/0001-35</t>
  </si>
  <si>
    <t>Comissões (55,032938%); Serviços Contratados (44,967062%)</t>
  </si>
  <si>
    <t>352360483</t>
  </si>
  <si>
    <t>004/005</t>
  </si>
  <si>
    <t>352360459</t>
  </si>
  <si>
    <t>OMIE</t>
  </si>
  <si>
    <t>231228573</t>
  </si>
  <si>
    <t>18.511.742/0001-47</t>
  </si>
  <si>
    <t>352361767</t>
  </si>
  <si>
    <t>50.949.134 OLIVER SEMIANO CRUZ</t>
  </si>
  <si>
    <t>50.949.134/0001-21</t>
  </si>
  <si>
    <t>Thiago Emmanuel Silva Padilha</t>
  </si>
  <si>
    <t>352361793</t>
  </si>
  <si>
    <t>THIAGO EMMANUEL SILVA PADILHA 35361986860</t>
  </si>
  <si>
    <t>43.039.934/0001-40</t>
  </si>
  <si>
    <t>LAIANE SILVA DE ALMEIDA BOGO</t>
  </si>
  <si>
    <t>352361795</t>
  </si>
  <si>
    <t>41.033.216 LAIANE SILVA DE ALMEIDA BOGO</t>
  </si>
  <si>
    <t>41.033.216/0001-30</t>
  </si>
  <si>
    <t>tar.20241108.155324</t>
  </si>
  <si>
    <t>tar.20241108.155326</t>
  </si>
  <si>
    <t>tar.20241108.155331</t>
  </si>
  <si>
    <t>tar.20241108.155333</t>
  </si>
  <si>
    <t>tar.20241108.155338</t>
  </si>
  <si>
    <t>tar.20241108.155344</t>
  </si>
  <si>
    <t>tar.20241108.155348</t>
  </si>
  <si>
    <t>tar.20241108.155351</t>
  </si>
  <si>
    <t>tar.20241108.155353</t>
  </si>
  <si>
    <t>tar.20241108.155356</t>
  </si>
  <si>
    <t>tar.20241108.155846</t>
  </si>
  <si>
    <t>tar.20241108.155848</t>
  </si>
  <si>
    <t>tar.20241108.155851</t>
  </si>
  <si>
    <t>Marina Dias Silva</t>
  </si>
  <si>
    <t>352365263</t>
  </si>
  <si>
    <t>MARINA DIAS SILVA 09701226917</t>
  </si>
  <si>
    <t>32.611.518/0001-58</t>
  </si>
  <si>
    <t>pix.20241108.161146</t>
  </si>
  <si>
    <t>tar.20241108.160646</t>
  </si>
  <si>
    <t>tar.20241108.161148</t>
  </si>
  <si>
    <t>pix.20241108.162401</t>
  </si>
  <si>
    <t>tar.20241108.162143</t>
  </si>
  <si>
    <t>tar.20241108.162405</t>
  </si>
  <si>
    <t>tar.20241108.163529</t>
  </si>
  <si>
    <t>PADOCK REFRIGERACAO</t>
  </si>
  <si>
    <t>RPS 289</t>
  </si>
  <si>
    <t>429</t>
  </si>
  <si>
    <t>0010786400000172</t>
  </si>
  <si>
    <t>293</t>
  </si>
  <si>
    <t>PADOCK REFRIGERACAO LTDA</t>
  </si>
  <si>
    <t>03.865.902/0001-89</t>
  </si>
  <si>
    <t>Transf. Santander &gt;&gt; Omie.CASH</t>
  </si>
  <si>
    <t>pix.20241111.181921</t>
  </si>
  <si>
    <t>pix.20241111.182932</t>
  </si>
  <si>
    <t>2024</t>
  </si>
  <si>
    <t>tar.20241111.163251</t>
  </si>
  <si>
    <t>GABRIELA SILVA NIEHUES 10308358961</t>
  </si>
  <si>
    <t>353900441</t>
  </si>
  <si>
    <t>44.432.530/0001-84</t>
  </si>
  <si>
    <t>Danila de Oliveira Queiroz</t>
  </si>
  <si>
    <t>353900407</t>
  </si>
  <si>
    <t>DANILA DE OLIVEIRA QUEIROZ 37037524832</t>
  </si>
  <si>
    <t>48.616.594/0001-96</t>
  </si>
  <si>
    <t>tar.20241111.171253</t>
  </si>
  <si>
    <t>JULIO CEZAR FERREIRA BRAZ</t>
  </si>
  <si>
    <t>353900463</t>
  </si>
  <si>
    <t>22.936.636 JULIO CEZAR FERREIRA BRAZ</t>
  </si>
  <si>
    <t>22.936.636/0001-82</t>
  </si>
  <si>
    <t>Repasse de Franqueados</t>
  </si>
  <si>
    <t>353932081</t>
  </si>
  <si>
    <t>54.698.046 ALBERT EINSTEIN OLIVEIRA</t>
  </si>
  <si>
    <t>353932123</t>
  </si>
  <si>
    <t>BEELIEVE DNA MARKETING DIGITAL LTDA</t>
  </si>
  <si>
    <t>BEELIEVE LION LTDA</t>
  </si>
  <si>
    <t>004/013</t>
  </si>
  <si>
    <t>353932195</t>
  </si>
  <si>
    <t>55.150.776/0001-80</t>
  </si>
  <si>
    <t>ATIVA</t>
  </si>
  <si>
    <t>353932181</t>
  </si>
  <si>
    <t>MRKTIVA AGENCIA DE PUBLICIDADE LTDA</t>
  </si>
  <si>
    <t>54.730.144/0001-22</t>
  </si>
  <si>
    <t>Fashion e Life Style</t>
  </si>
  <si>
    <t>353932226</t>
  </si>
  <si>
    <t>SOW CONSULTORIA DIGITAL LTDA</t>
  </si>
  <si>
    <t>37.657.157/0001-02</t>
  </si>
  <si>
    <t>353932248</t>
  </si>
  <si>
    <t>MARCHON</t>
  </si>
  <si>
    <t>353932141</t>
  </si>
  <si>
    <t>MAX MARCHON REDDO LTDA</t>
  </si>
  <si>
    <t>54.360.781/0001-54</t>
  </si>
  <si>
    <t>tar.20241111.180416</t>
  </si>
  <si>
    <t>tar.20241111.180419</t>
  </si>
  <si>
    <t>tar.20241111.180421</t>
  </si>
  <si>
    <t>tar.20241111.180426</t>
  </si>
  <si>
    <t>tar.20241111.180429</t>
  </si>
  <si>
    <t>tar.20241111.180431</t>
  </si>
  <si>
    <t>tar.20241111.180434</t>
  </si>
  <si>
    <t>Não Conciliado</t>
  </si>
  <si>
    <t>TAMARA BONANGELO ALI</t>
  </si>
  <si>
    <t>Rescisões Serviços Contratados</t>
  </si>
  <si>
    <t>TAMARA BONANGELO ALI 30609397800</t>
  </si>
  <si>
    <t>30.432.572/0001-00</t>
  </si>
  <si>
    <t>WESLEY RAFAEL SILVA GOMES</t>
  </si>
  <si>
    <t>006/006</t>
  </si>
  <si>
    <t>353973656</t>
  </si>
  <si>
    <t>WESLEY RAFAEL SILVA GOMES 41547455810</t>
  </si>
  <si>
    <t>33.414.903/0001-78</t>
  </si>
  <si>
    <t>RAFAEL HENRIQUE DE SOUZA SILVESTR</t>
  </si>
  <si>
    <t>004/004</t>
  </si>
  <si>
    <t>353973887</t>
  </si>
  <si>
    <t>RAFAEL HENRIQUE DE SOUZA SILVESTRE 39988603800</t>
  </si>
  <si>
    <t>46.619.234/0001-12</t>
  </si>
  <si>
    <t>JOSE CARLOS DAS NEVES CARRAMAO JUNIOR LTDA</t>
  </si>
  <si>
    <t>002/002</t>
  </si>
  <si>
    <t>353973777</t>
  </si>
  <si>
    <t>40.685.710/0001-17</t>
  </si>
  <si>
    <t>tar.20241111.192410</t>
  </si>
  <si>
    <t>tar.20241111.192423</t>
  </si>
  <si>
    <t>tar.20241111.192433</t>
  </si>
  <si>
    <t>BRUNO FERNANDES KAMIDE</t>
  </si>
  <si>
    <t>354002402</t>
  </si>
  <si>
    <t>44.305.002 BRUNO FERNANDES KAMIDE</t>
  </si>
  <si>
    <t>44.305.002/0001-64</t>
  </si>
  <si>
    <t>Vitoria Taís dos Santos</t>
  </si>
  <si>
    <t>354485126</t>
  </si>
  <si>
    <t>54.795.050 VITORIA TAIS DOS SANTOS</t>
  </si>
  <si>
    <t>54.795.050/0001-31</t>
  </si>
  <si>
    <t>tar.20241111.200520</t>
  </si>
  <si>
    <t>tar.20241111.200803</t>
  </si>
  <si>
    <t>Western Inglês Instrumental</t>
  </si>
  <si>
    <t>RPS 292</t>
  </si>
  <si>
    <t>432</t>
  </si>
  <si>
    <t>0010786400000174</t>
  </si>
  <si>
    <t>296</t>
  </si>
  <si>
    <t>WESTERN IDIOMAS LTDA</t>
  </si>
  <si>
    <t>00.756.200/0001-79</t>
  </si>
  <si>
    <t>pix.20241112.095104</t>
  </si>
  <si>
    <t>SK Odonto</t>
  </si>
  <si>
    <t>RPS 290</t>
  </si>
  <si>
    <t>430</t>
  </si>
  <si>
    <t>294</t>
  </si>
  <si>
    <t>SANDRA DE CARVALHO MAURICIO KIRCHMAYER</t>
  </si>
  <si>
    <t>41.666.418/0001-10</t>
  </si>
  <si>
    <t>pix.20241112.170811</t>
  </si>
  <si>
    <t>tar.20241112.084401</t>
  </si>
  <si>
    <t>56.015.959 MALKON ALVES CHAVES</t>
  </si>
  <si>
    <t>354484771</t>
  </si>
  <si>
    <t>56.015.959/0001-55</t>
  </si>
  <si>
    <t>ARIKINET TELECOM</t>
  </si>
  <si>
    <t>Internet</t>
  </si>
  <si>
    <t>231638150</t>
  </si>
  <si>
    <t>12.781.998/0001-98</t>
  </si>
  <si>
    <t>FLASH APP</t>
  </si>
  <si>
    <t>231638155</t>
  </si>
  <si>
    <t>FLASH TECNOLOGIA E INSTITUICAO DE PAGAMENTO LTDA</t>
  </si>
  <si>
    <t>32.223.020/0001-18</t>
  </si>
  <si>
    <t>Humberto Scatena Filho</t>
  </si>
  <si>
    <t>354484941</t>
  </si>
  <si>
    <t>HUMBERTO SCATENA FILHO 33378052805</t>
  </si>
  <si>
    <t>43.267.325/0001-48</t>
  </si>
  <si>
    <t>LUCAS ALEXANDRE DE JESUS RIBEIRO</t>
  </si>
  <si>
    <t>354486123</t>
  </si>
  <si>
    <t>44.426.664 LUCAS ALEXANDRE DE JESUS RIBEIRO</t>
  </si>
  <si>
    <t>44.426.664/0001-92</t>
  </si>
  <si>
    <t>VILAGE MARCAS E PATENTES</t>
  </si>
  <si>
    <t>Marcas e Patentes</t>
  </si>
  <si>
    <t>354484997</t>
  </si>
  <si>
    <t>VSP MARCAS E PATENTES LTDA</t>
  </si>
  <si>
    <t>02.869.639/0001-33</t>
  </si>
  <si>
    <t>LARISSA FRANCA PEREIRA</t>
  </si>
  <si>
    <t>354486140</t>
  </si>
  <si>
    <t>52.653.632 LARISSA FRANCA PEREIRA</t>
  </si>
  <si>
    <t>52.653.632/0001-58</t>
  </si>
  <si>
    <t>tar.20241112.142844</t>
  </si>
  <si>
    <t>tar.20241112.142906</t>
  </si>
  <si>
    <t>tar.20241112.142909</t>
  </si>
  <si>
    <t>tar.20241112.142912</t>
  </si>
  <si>
    <t>tar.20241112.142927</t>
  </si>
  <si>
    <t>tar.20241112.143123</t>
  </si>
  <si>
    <t>tar.20241112.143128</t>
  </si>
  <si>
    <t>SMT - SEGURANCA E MEDICINA DO TRABALHO LTDA</t>
  </si>
  <si>
    <t>354598938</t>
  </si>
  <si>
    <t>02.256.704/0001-55</t>
  </si>
  <si>
    <t>354598955</t>
  </si>
  <si>
    <t>tar.20241112.175856</t>
  </si>
  <si>
    <t>tar.20241112.175859</t>
  </si>
  <si>
    <t>pix.20241113.132403</t>
  </si>
  <si>
    <t>pix.20241113.150006</t>
  </si>
  <si>
    <t>pix.20241113.141641</t>
  </si>
  <si>
    <t>tar.20241113.141642</t>
  </si>
  <si>
    <t>CLAUDINEI DE CARVALHO JUNIOR 48831741829</t>
  </si>
  <si>
    <t>Indenizações Tributárias e Trabalhistas</t>
  </si>
  <si>
    <t>355200626</t>
  </si>
  <si>
    <t>48.132.169/0001-21</t>
  </si>
  <si>
    <t>355200635</t>
  </si>
  <si>
    <t>355200664</t>
  </si>
  <si>
    <t>355200674</t>
  </si>
  <si>
    <t>355200718</t>
  </si>
  <si>
    <t>355200747</t>
  </si>
  <si>
    <t>355200757</t>
  </si>
  <si>
    <t>355200789</t>
  </si>
  <si>
    <t>355202144</t>
  </si>
  <si>
    <t>355200829</t>
  </si>
  <si>
    <t>355200857</t>
  </si>
  <si>
    <t>355200869</t>
  </si>
  <si>
    <t>355200903</t>
  </si>
  <si>
    <t>355200917</t>
  </si>
  <si>
    <t>tar.20241113.152231</t>
  </si>
  <si>
    <t>tar.20241113.152234</t>
  </si>
  <si>
    <t>tar.20241113.152236</t>
  </si>
  <si>
    <t>tar.20241113.152238</t>
  </si>
  <si>
    <t>tar.20241113.152241</t>
  </si>
  <si>
    <t>tar.20241113.152244</t>
  </si>
  <si>
    <t>tar.20241113.152246</t>
  </si>
  <si>
    <t>tar.20241113.152249</t>
  </si>
  <si>
    <t>tar.20241113.152254</t>
  </si>
  <si>
    <t>tar.20241113.152257</t>
  </si>
  <si>
    <t>tar.20241113.152300</t>
  </si>
  <si>
    <t>tar.20241113.152303</t>
  </si>
  <si>
    <t>tar.20241113.152305</t>
  </si>
  <si>
    <t>tar.20241113.152308</t>
  </si>
  <si>
    <t>tar.20241113.152539</t>
  </si>
  <si>
    <t>pix.20241113.154125</t>
  </si>
  <si>
    <t>tar.20241113.154128</t>
  </si>
  <si>
    <t>pix.20241113.160714</t>
  </si>
  <si>
    <t>tar.20241113.160717</t>
  </si>
  <si>
    <t>pix.20241114.163134</t>
  </si>
  <si>
    <t>ADM PERSON</t>
  </si>
  <si>
    <t>001/002</t>
  </si>
  <si>
    <t>355963303</t>
  </si>
  <si>
    <t>ADM PERSON EMPRESARIAL SERVICE LTDA</t>
  </si>
  <si>
    <t>08.185.888/0001-96</t>
  </si>
  <si>
    <t>355963340</t>
  </si>
  <si>
    <t>Comissões</t>
  </si>
  <si>
    <t>pix.20241114.174642</t>
  </si>
  <si>
    <t>tar.20241114.174450</t>
  </si>
  <si>
    <t>tar.20241114.174453</t>
  </si>
  <si>
    <t>tar.20241114.174643</t>
  </si>
  <si>
    <t>pix.20241114.174906</t>
  </si>
  <si>
    <t>355973928</t>
  </si>
  <si>
    <t>355973951</t>
  </si>
  <si>
    <t>355974063</t>
  </si>
  <si>
    <t>355973845</t>
  </si>
  <si>
    <t>tar.20241114.174908</t>
  </si>
  <si>
    <t>tar.20241114.180133</t>
  </si>
  <si>
    <t>tar.20241114.180135</t>
  </si>
  <si>
    <t>tar.20241114.180138</t>
  </si>
  <si>
    <t>tar.20241114.180144</t>
  </si>
  <si>
    <t>RIVER PALACE HOTEL LTDA</t>
  </si>
  <si>
    <t>231896900</t>
  </si>
  <si>
    <t>07.286.798/0001-29</t>
  </si>
  <si>
    <t>pix.20241114.190007</t>
  </si>
  <si>
    <t>tar.20241114.190010</t>
  </si>
  <si>
    <t>pix.20241115.095103</t>
  </si>
  <si>
    <t>pix.20241115.135724</t>
  </si>
  <si>
    <t>TRT 2A REGIAO</t>
  </si>
  <si>
    <t>356500771</t>
  </si>
  <si>
    <t>TRIBUNAL REGIONAL DO TRABALHO DA 2A REGIAO</t>
  </si>
  <si>
    <t>03.241.738/0001-39</t>
  </si>
  <si>
    <t>tar.20241115.140035</t>
  </si>
  <si>
    <t>OMD SOLUCOES</t>
  </si>
  <si>
    <t>RPS 319</t>
  </si>
  <si>
    <t>459</t>
  </si>
  <si>
    <t>0010786400000195</t>
  </si>
  <si>
    <t>323</t>
  </si>
  <si>
    <t>Laiane Bogo</t>
  </si>
  <si>
    <t>OMD SOLUCOES PARA INTEGRIDADE CORPORATIVA LTDA</t>
  </si>
  <si>
    <t>06.181.338/0001-73</t>
  </si>
  <si>
    <t>tar.20241118.084613</t>
  </si>
  <si>
    <t>Vence hoje (boleto gerado)</t>
  </si>
  <si>
    <t>SCAZA TECNOLOGIA DA INFORMACAO LTDA</t>
  </si>
  <si>
    <t>RPS 320</t>
  </si>
  <si>
    <t>460</t>
  </si>
  <si>
    <t>0010786400000196</t>
  </si>
  <si>
    <t>Conta a Receber</t>
  </si>
  <si>
    <t>324</t>
  </si>
  <si>
    <t>42.882.744/0001-27</t>
  </si>
  <si>
    <t>Distribuidora Cadfix</t>
  </si>
  <si>
    <t>RPS 297</t>
  </si>
  <si>
    <t>437</t>
  </si>
  <si>
    <t>0010786400000178</t>
  </si>
  <si>
    <t>301</t>
  </si>
  <si>
    <t>CAMILA YAMAMOTO</t>
  </si>
  <si>
    <t>22.013.815/0001-48</t>
  </si>
  <si>
    <t>Vence hoje</t>
  </si>
  <si>
    <t>Cartão de Crédito</t>
  </si>
  <si>
    <t>Conta a Pagar</t>
  </si>
  <si>
    <t>LEADS2B.COM</t>
  </si>
  <si>
    <t>11.378.117/0001-20</t>
  </si>
  <si>
    <t>Viagem (ônibus)</t>
  </si>
  <si>
    <t>05.337.875/0001-05</t>
  </si>
  <si>
    <t>Viagem (alimentação)</t>
  </si>
  <si>
    <t>THAÍS</t>
  </si>
  <si>
    <t>VIVIANE BRUSCH TRESPACH - Reembolso Apto Santos</t>
  </si>
  <si>
    <t>Energia Elétrica</t>
  </si>
  <si>
    <t>VIVIANE BRUSCH TRESPACH</t>
  </si>
  <si>
    <t>517.949.180-00</t>
  </si>
  <si>
    <t>SAASPRO</t>
  </si>
  <si>
    <t>SHSP BRASIL SERVICOS LTDA</t>
  </si>
  <si>
    <t>26.392.929/0001-05</t>
  </si>
  <si>
    <t>VIX</t>
  </si>
  <si>
    <t>Devolução de Taxa de Franquias</t>
  </si>
  <si>
    <t>Outros</t>
  </si>
  <si>
    <t>001/015</t>
  </si>
  <si>
    <t>ACHKIRCHMAYER LTDA</t>
  </si>
  <si>
    <t>54.276.645/0001-80</t>
  </si>
  <si>
    <t>FEEDZ</t>
  </si>
  <si>
    <t>FEEDZ TECNOLOGIA S.A.</t>
  </si>
  <si>
    <t>30.457.205/0001-61</t>
  </si>
  <si>
    <t>HubSpot</t>
  </si>
  <si>
    <t>PRIME ASSESSORIA</t>
  </si>
  <si>
    <t>002/004</t>
  </si>
  <si>
    <t>PRIME APOIO ADMINISTRATIVO LTDA</t>
  </si>
  <si>
    <t>45.285.288/0001-26</t>
  </si>
  <si>
    <t>NEOWAY BUSINESS SOLUTIONS</t>
  </si>
  <si>
    <t>NEOWAY TECNOLOGIA INTEGRADA ASSESSORIA E NEGOCIOS SA</t>
  </si>
  <si>
    <t>GOOGLE ADS</t>
  </si>
  <si>
    <t>003/004</t>
  </si>
  <si>
    <t>Facebook</t>
  </si>
  <si>
    <t>FACEBOOK SERVICOS ONLINE DO BRASIL LTDA.</t>
  </si>
  <si>
    <t>13.347.016/0001-17</t>
  </si>
  <si>
    <t>API4COM</t>
  </si>
  <si>
    <t>021/051</t>
  </si>
  <si>
    <t>API4COM TECNOLOGIA E SERVICOS LTDA</t>
  </si>
  <si>
    <t>33.957.349/0001-75</t>
  </si>
  <si>
    <t>A vencer</t>
  </si>
  <si>
    <t>RILL ELETRONICS</t>
  </si>
  <si>
    <t>RPS 301</t>
  </si>
  <si>
    <t>441</t>
  </si>
  <si>
    <t>296783428089355</t>
  </si>
  <si>
    <t>305</t>
  </si>
  <si>
    <t>Ativa (Inativo)</t>
  </si>
  <si>
    <t>JOSE AUGUSTO TOLEDO ZONHO</t>
  </si>
  <si>
    <t>11.821.456/0001-39</t>
  </si>
  <si>
    <t>Fe: está bem caminhado. Estamos para entregar no dia 25 o tráfego pafo</t>
  </si>
  <si>
    <t>DEVOLUÇÃO</t>
  </si>
  <si>
    <t>LUCIANA</t>
  </si>
  <si>
    <t>Viagem (vôo)</t>
  </si>
  <si>
    <t>007/013</t>
  </si>
  <si>
    <t>Adiantamento</t>
  </si>
  <si>
    <t>GUIAS BEELIEVE AG</t>
  </si>
  <si>
    <t>IFOOD</t>
  </si>
  <si>
    <t>002/015</t>
  </si>
  <si>
    <t>IFOOD BENEFICIOS E SERVICOS LTDA.</t>
  </si>
  <si>
    <t>33.157.312/0001-62</t>
  </si>
  <si>
    <t>RESTAURANTE DUARTE</t>
  </si>
  <si>
    <t>RPS 294</t>
  </si>
  <si>
    <t>434</t>
  </si>
  <si>
    <t>295430158988625</t>
  </si>
  <si>
    <t>298</t>
  </si>
  <si>
    <t>Fashion e Life Style (Inativo)</t>
  </si>
  <si>
    <t>RESTAURANTE DUARTE COQUEIRO LTDA</t>
  </si>
  <si>
    <t>06.376.261/0001-97</t>
  </si>
  <si>
    <t>Pediu churn na semana. Respondemos em 18/11. Teria que pagar aviso prévio nesse dia e cliente já encerrou todos os acessos (R$ 1.800)</t>
  </si>
  <si>
    <t>A vencer (boleto gerado)</t>
  </si>
  <si>
    <t>RPS 300</t>
  </si>
  <si>
    <t>440</t>
  </si>
  <si>
    <t>0010786400000181</t>
  </si>
  <si>
    <t>304</t>
  </si>
  <si>
    <t>NICBOX COMERCIO LTDA</t>
  </si>
  <si>
    <t>48.330.507/0001-30</t>
  </si>
  <si>
    <t>Nat: estão ok</t>
  </si>
  <si>
    <t>ARCH ARQUITETURA CONSULTORIA E CONSTRUCOES LTDA</t>
  </si>
  <si>
    <t>RPS 302</t>
  </si>
  <si>
    <t>442</t>
  </si>
  <si>
    <t>0010786400000182</t>
  </si>
  <si>
    <t>306</t>
  </si>
  <si>
    <t>58.834.524/0001-68</t>
  </si>
  <si>
    <t>Terão reunião em 19/11</t>
  </si>
  <si>
    <t>Assistência Médica</t>
  </si>
  <si>
    <t>008/013</t>
  </si>
  <si>
    <t>COSMOPOLITAN SCP</t>
  </si>
  <si>
    <t>COSMOPOLITAN PRAIA FLAT SCP</t>
  </si>
  <si>
    <t>44.746.850/0001-09</t>
  </si>
  <si>
    <t>Betel Visual</t>
  </si>
  <si>
    <t>Treinamento de Franquias - Novembro</t>
  </si>
  <si>
    <t>40.375.942 ANDRE RIOS MELLO</t>
  </si>
  <si>
    <t>40.375.942/0001-79</t>
  </si>
  <si>
    <t>Mercado Livre</t>
  </si>
  <si>
    <t>Decorai</t>
  </si>
  <si>
    <t>Click Bus</t>
  </si>
  <si>
    <t>ABF</t>
  </si>
  <si>
    <t>ABF - Associação Brasileira de Franchising</t>
  </si>
  <si>
    <t>ASSOCIACAO BRASILEIRA DE FRANCHISING</t>
  </si>
  <si>
    <t>57.806.978/0001-62</t>
  </si>
  <si>
    <t>Tarifas bancárias</t>
  </si>
  <si>
    <t>GARRA CONTABILIDADE</t>
  </si>
  <si>
    <t>RPS 303</t>
  </si>
  <si>
    <t>443</t>
  </si>
  <si>
    <t>0010786400000183</t>
  </si>
  <si>
    <t>307</t>
  </si>
  <si>
    <t>Lion</t>
  </si>
  <si>
    <t>GARRA ASSESSORIA E PLANEJAMENTO CONTABIL LTDA</t>
  </si>
  <si>
    <t>14.798.708/0001-44</t>
  </si>
  <si>
    <t>Cliente pediu churn</t>
  </si>
  <si>
    <t>MARCUS</t>
  </si>
  <si>
    <t>Salário</t>
  </si>
  <si>
    <t>10.573.521/0001-91</t>
  </si>
  <si>
    <t>BOUTIQUE DA SAUDE</t>
  </si>
  <si>
    <t>RPS 291</t>
  </si>
  <si>
    <t>431</t>
  </si>
  <si>
    <t>0010786400000197</t>
  </si>
  <si>
    <t>295</t>
  </si>
  <si>
    <t>BOUTIQUE DA SAUDE LTDA</t>
  </si>
  <si>
    <t>37.375.030/0001-92</t>
  </si>
  <si>
    <t>Nat: saíram de onboarging na semana passada. Rodando ok</t>
  </si>
  <si>
    <t>REPORTEI</t>
  </si>
  <si>
    <t>REPORTEI DADOS, TECNOLOGIA E SOLUCOES PARA INTERNET LTDA</t>
  </si>
  <si>
    <t>27.133.918/0001-65</t>
  </si>
  <si>
    <t>UBER</t>
  </si>
  <si>
    <t>CAMILA BELCI</t>
  </si>
  <si>
    <t>MANIA DE CREPE</t>
  </si>
  <si>
    <t>MANIA DE CREPE ALIMENTOS LTDA</t>
  </si>
  <si>
    <t>51.938.164/0001-03</t>
  </si>
  <si>
    <t>Fashion Bubbles</t>
  </si>
  <si>
    <t>RPS 299</t>
  </si>
  <si>
    <t>439</t>
  </si>
  <si>
    <t>0010786400000180</t>
  </si>
  <si>
    <t>303</t>
  </si>
  <si>
    <t>FASHION BUBBLES PUBLICACOES ELETRONICAS LTDA</t>
  </si>
  <si>
    <t>10.482.361/0001-75</t>
  </si>
  <si>
    <t>ok</t>
  </si>
  <si>
    <t>Nat: estão saindo de onborading em 19/11</t>
  </si>
  <si>
    <t>MARFILINEA OFFICE PRIME</t>
  </si>
  <si>
    <t>RPS 314</t>
  </si>
  <si>
    <t>454</t>
  </si>
  <si>
    <t>300539646281207</t>
  </si>
  <si>
    <t>318</t>
  </si>
  <si>
    <t>MARFILINEA COMERCIO DE MOVEIS E SERVICOS LTDA.</t>
  </si>
  <si>
    <t>55.080.600/0001-07</t>
  </si>
  <si>
    <t>Fe: cliente está ansiosa com as entregas pq atrasamos um pouco, principalmente em Ads. Ela ficou um pouco incomodada mas está fluindo. Não tem mais nada atrasado mas Fe vai fzr uma reunião com ela 19 ou 21/11</t>
  </si>
  <si>
    <t>VARANDAS ARQUITETURA E ENGENHARIA</t>
  </si>
  <si>
    <t>RPS 308</t>
  </si>
  <si>
    <t>448</t>
  </si>
  <si>
    <t>0010786400000187</t>
  </si>
  <si>
    <t>312</t>
  </si>
  <si>
    <t>VARANDAS ARQUITETURA E ENGENHARIA LTDA</t>
  </si>
  <si>
    <t>10.328.451/0001-06</t>
  </si>
  <si>
    <t>Fe: está indo, mas cliente está lento com as aprovações</t>
  </si>
  <si>
    <t>IFINC SOLUCOES FINANCEIRAS E SEGUROS</t>
  </si>
  <si>
    <t>RPS 309</t>
  </si>
  <si>
    <t>449</t>
  </si>
  <si>
    <t>0010786400000188</t>
  </si>
  <si>
    <t>313</t>
  </si>
  <si>
    <t>C.R.V.G. CORRETORA DE SEGUROS LTDA</t>
  </si>
  <si>
    <t>29.436.892/0001-50</t>
  </si>
  <si>
    <t>Fe: pediu churn na semana passada. Laiane tentou reverter, mas não conseguiu. (5.300)</t>
  </si>
  <si>
    <t>MLA NEGOCIOS LTDA</t>
  </si>
  <si>
    <t>Consultoria Corporativa</t>
  </si>
  <si>
    <t>33.242.615/0001-83</t>
  </si>
  <si>
    <t>LEADSTER</t>
  </si>
  <si>
    <t>NEUROLOGIC INTELIGENCIA ARTIFICIAL LTDA</t>
  </si>
  <si>
    <t>30.491.515/0001-00</t>
  </si>
  <si>
    <t>AG1EVENTOS - Folder</t>
  </si>
  <si>
    <t>Evento - Growth Conference</t>
  </si>
  <si>
    <t>INGRESSO AGIL INDUSTRIA GRAFICA E EDITORA LTDA</t>
  </si>
  <si>
    <t>27.842.183/0001-49</t>
  </si>
  <si>
    <t>BULLCLICK EVENTOS - Quiz</t>
  </si>
  <si>
    <t>17.150.881 ADRIANO FRANCISCO SHIMABUKURO</t>
  </si>
  <si>
    <t>17.150.881/0001-20</t>
  </si>
  <si>
    <t>FGODOY MARKETING - Ferramenta Operação (Quicker)</t>
  </si>
  <si>
    <t>FGODOY MARKETING LTDA</t>
  </si>
  <si>
    <t>45.864.442/0001-14</t>
  </si>
  <si>
    <t>ALMEIDA PRADO E HOFFMANN ADVOGADOS ASSOCIADOS</t>
  </si>
  <si>
    <t>07.939.675/0001-40</t>
  </si>
  <si>
    <t>x</t>
  </si>
  <si>
    <t>ESPORAS BARRETOS</t>
  </si>
  <si>
    <t>RPS 307</t>
  </si>
  <si>
    <t>447</t>
  </si>
  <si>
    <t>0010786400000186</t>
  </si>
  <si>
    <t>311</t>
  </si>
  <si>
    <t>ANDERSON MIRANDA REZENDE</t>
  </si>
  <si>
    <t>10.582.557/0001-31</t>
  </si>
  <si>
    <t>Nat: cliente ok. O site é ruim e estamos propondo job adicional de novo site</t>
  </si>
  <si>
    <t>ELETROSUL ENGENHARIA E COMERCIO</t>
  </si>
  <si>
    <t>RPS 311</t>
  </si>
  <si>
    <t>451</t>
  </si>
  <si>
    <t>0010786400000190</t>
  </si>
  <si>
    <t>315</t>
  </si>
  <si>
    <t>ELETROSUL ENG E COM DE MAT ELETRICOS E DE TELEF LTDA</t>
  </si>
  <si>
    <t>02.907.046/0001-14</t>
  </si>
  <si>
    <t>Fe: cliente está atrasando respostas, mas tem ciência de que é ela que está atrasando</t>
  </si>
  <si>
    <t>Previsto</t>
  </si>
  <si>
    <t>CLEAN LIMPEZA</t>
  </si>
  <si>
    <t>Contrato Mensal</t>
  </si>
  <si>
    <t>5945183392947901401</t>
  </si>
  <si>
    <t>Previsão de Contratos Mensais</t>
  </si>
  <si>
    <t>SOLUCAO MAT. LIMPEZA, HIGIENE, FERRAMENTAS E EPI LTDA</t>
  </si>
  <si>
    <t>22.633.039/0001-89</t>
  </si>
  <si>
    <t>Nat: subimos a campanha de Ads na semana passada e está rodando normal</t>
  </si>
  <si>
    <t>SANMELL MOTOS LTDA</t>
  </si>
  <si>
    <t>RPS 310</t>
  </si>
  <si>
    <t>450</t>
  </si>
  <si>
    <t>0010786400000189</t>
  </si>
  <si>
    <t>314</t>
  </si>
  <si>
    <t>71.833.107/0005-92</t>
  </si>
  <si>
    <t>Fe: está caminhando. Vamos mandar planejamento trimestral em 19/11. Não estão super satisfeitos mas não tem atrasos</t>
  </si>
  <si>
    <t>FEPAC COMERCIAL DE MAQUINAS E FERRAMENTAS LTDA</t>
  </si>
  <si>
    <t>RPS 306</t>
  </si>
  <si>
    <t>446</t>
  </si>
  <si>
    <t>0010786400000185</t>
  </si>
  <si>
    <t>310</t>
  </si>
  <si>
    <t>46.531.048/0001-27</t>
  </si>
  <si>
    <t>Nat: não estão tendo bons resultados. Vão tentar otimização com novos criativos. Cliente autorizou com 5 produtos e fizeram com 1 apenas</t>
  </si>
  <si>
    <t>JOHN SOMERS</t>
  </si>
  <si>
    <t>RPS 315</t>
  </si>
  <si>
    <t>455</t>
  </si>
  <si>
    <t>300633543486492</t>
  </si>
  <si>
    <t>319</t>
  </si>
  <si>
    <t>Infinity</t>
  </si>
  <si>
    <t>INDUSTRIA E COMERCIO DE ESTANHOS PEWTER LTDA</t>
  </si>
  <si>
    <t>11.513.551/0001-75</t>
  </si>
  <si>
    <t>Fe: estava fluindo mas deu problema no cartão da conta de Meta e ele não responde outra pessoa q não a Gabriela. Restante está rodando</t>
  </si>
  <si>
    <t>PARACORD ESPORTES &amp; AVENTURA</t>
  </si>
  <si>
    <t>Paracord</t>
  </si>
  <si>
    <t>PARACORD INDUSTRIA &amp; COMERCIO LTDA</t>
  </si>
  <si>
    <t>27.194.696/0001-90</t>
  </si>
  <si>
    <t>Nat: estamos fznd planejamento de Black Friday. Restante está tranquilo</t>
  </si>
  <si>
    <t>Go Work</t>
  </si>
  <si>
    <t>CO-RENT LOCACAO DE ESPACOS LTDA</t>
  </si>
  <si>
    <t>37.845.214/0001-79</t>
  </si>
  <si>
    <t>PROJETE</t>
  </si>
  <si>
    <t>ALMEIDA REPRESENTAÇÕES COMERCIAIS</t>
  </si>
  <si>
    <t>TOPNET</t>
  </si>
  <si>
    <t>RPS 316</t>
  </si>
  <si>
    <t>456</t>
  </si>
  <si>
    <t>0010786400000193</t>
  </si>
  <si>
    <t>320</t>
  </si>
  <si>
    <t>TOPNET - TECNOLOGIA DA INFORMACAO LTDA</t>
  </si>
  <si>
    <t>54.642.092/0001-32</t>
  </si>
  <si>
    <t>Fe: fizemos reunião em 18/11. Está rodand o bem</t>
  </si>
  <si>
    <t>ESPACO DAS FERRAMENTAS</t>
  </si>
  <si>
    <t>RPS 312</t>
  </si>
  <si>
    <t>452</t>
  </si>
  <si>
    <t>0010786400000191</t>
  </si>
  <si>
    <t>316</t>
  </si>
  <si>
    <t>ESPACO DAS FERRAMENTAS COMERCIO VAREJISTA E MANUTENCAO DE FE</t>
  </si>
  <si>
    <t>26.748.281/0001-59</t>
  </si>
  <si>
    <t>Nat: está andando tranquilo. Só usam Google, a campanha não estava dandoo resultado pq estávamos usando as palavras-chave q ele pediu, mas tentamos mudar e ele concordou. Está gerando mais resultado</t>
  </si>
  <si>
    <t>022/051</t>
  </si>
  <si>
    <t>A FÓRMULA</t>
  </si>
  <si>
    <t>RPS 317</t>
  </si>
  <si>
    <t>457</t>
  </si>
  <si>
    <t>0010786400000194</t>
  </si>
  <si>
    <t>321</t>
  </si>
  <si>
    <t>FARMACIAS DE MANIPULACAO MARGUTTI LTDA</t>
  </si>
  <si>
    <t>45.683.677/0001-00</t>
  </si>
  <si>
    <t>Nat: cliente reclamou essa semana. Fizemos otimização em 14 ou 18/11 e ainda não deu tempo de a campanha propagar. Faremos reunião em 19 ou 21/11</t>
  </si>
  <si>
    <t>Synter</t>
  </si>
  <si>
    <t>RPS 295</t>
  </si>
  <si>
    <t>435</t>
  </si>
  <si>
    <t>0010786400000176</t>
  </si>
  <si>
    <t>299</t>
  </si>
  <si>
    <t>SYNTER INDUSTRIA E COMERCIO LTDA</t>
  </si>
  <si>
    <t>82.996.216/0001-13</t>
  </si>
  <si>
    <t>Fernanda: está em ordem, mas tivemos alguns atrasos na entrega</t>
  </si>
  <si>
    <t>CASA DE RACAO AZULAO</t>
  </si>
  <si>
    <t>RPS 296</t>
  </si>
  <si>
    <t>436</t>
  </si>
  <si>
    <t>0010786400000177</t>
  </si>
  <si>
    <t>300</t>
  </si>
  <si>
    <t>W S TRAJANO COMERCIO E SERVICOS</t>
  </si>
  <si>
    <t>29.090.477/0001-97</t>
  </si>
  <si>
    <t>Nat: estavam com pendência em acesso e estamos regularizando essa semana</t>
  </si>
  <si>
    <t>Tecniforma Moveis</t>
  </si>
  <si>
    <t>RPS 305</t>
  </si>
  <si>
    <t>445</t>
  </si>
  <si>
    <t>0010786400000184</t>
  </si>
  <si>
    <t>309</t>
  </si>
  <si>
    <t>TECNIFORMA PERDIZES COMERCIO DE MOVEIS LTDA</t>
  </si>
  <si>
    <t>09.446.031/0001-45</t>
  </si>
  <si>
    <t>Nat: cliente está bem insatisfeito pq tem segmentação para o Brasil todo sendo que o trabalho precisa ser presencial. Teremos reunião dia 21. A reunião foi tranquila e cliente está satisfeito q estão chegando clientes de SP, porém ainda não são qualificadas (querem móveis prontos).
Cliente pediu distrato e já tentamos retenção anteriormente. Tvz não paguem o distrato (3.500)</t>
  </si>
  <si>
    <t>VIP</t>
  </si>
  <si>
    <t>13º Salário</t>
  </si>
  <si>
    <t>KENDERSON TADEU CARDOSO DE OLIVEIRA</t>
  </si>
  <si>
    <t>069.181.396-57</t>
  </si>
  <si>
    <t>EVANDRO</t>
  </si>
  <si>
    <t>ABC&amp;R CURSOS E TREINAMENTOS PARA NEGOCIOS</t>
  </si>
  <si>
    <t>002/006</t>
  </si>
  <si>
    <t>ABC&amp;R CURSOS E TREINAMENTOS PARA NEGOCIOS LTDA</t>
  </si>
  <si>
    <t>33.467.490/0001-90</t>
  </si>
  <si>
    <t>SHUTTERSTOCK</t>
  </si>
  <si>
    <t>SHUTTERSTOCK BRAZIL SERVICOS DE IMAGEM LTDA.</t>
  </si>
  <si>
    <t>19.492.165/0001-56</t>
  </si>
  <si>
    <t>BEM BRINDES</t>
  </si>
  <si>
    <t>MS COMERCIO DE BRINDES E ARTIGOS PROMOCIONAIS LTDA.</t>
  </si>
  <si>
    <t>36.375.358/0001-46</t>
  </si>
  <si>
    <t>CASA CHIARIELLO</t>
  </si>
  <si>
    <t>RPS 313</t>
  </si>
  <si>
    <t>453</t>
  </si>
  <si>
    <t>0010786400000192</t>
  </si>
  <si>
    <t>317</t>
  </si>
  <si>
    <t>CHIARIELLO &amp; CIA LTDA</t>
  </si>
  <si>
    <t>55.970.412/0001-46</t>
  </si>
  <si>
    <t>Nat: saiu de onboarding. Só falta subir a campanha para ficar 100%. Mandamos em 18/11 e estamos aguardando aprovação</t>
  </si>
  <si>
    <t>BENDITA IMAGEM</t>
  </si>
  <si>
    <t>Comunicação</t>
  </si>
  <si>
    <t>004/007</t>
  </si>
  <si>
    <t>BENDITA IMAGEM ASSESSORIA DE IMPRENSA LTDA</t>
  </si>
  <si>
    <t>17.085.954/0001-47</t>
  </si>
  <si>
    <t>RONDINE LOPES DE FARIAS</t>
  </si>
  <si>
    <t>BEELIEVE UPGRADE</t>
  </si>
  <si>
    <t>Kleber</t>
  </si>
  <si>
    <t>SEMRUSH</t>
  </si>
  <si>
    <t>CIA COWORKING LTDA</t>
  </si>
  <si>
    <t>42.573.633/0001-39</t>
  </si>
  <si>
    <t>HOSTGATOR</t>
  </si>
  <si>
    <t>HOSTGATOR BRASIL LTDA.</t>
  </si>
  <si>
    <t>15.754.475/0001-40</t>
  </si>
  <si>
    <t>007/007</t>
  </si>
  <si>
    <t>023/051</t>
  </si>
  <si>
    <t>IVAN ALVES NOGUEIRA</t>
  </si>
  <si>
    <t>368.141.978-71</t>
  </si>
  <si>
    <t>RAMPER DESENVOLVIMENTO DE SOFTWARE LTDA</t>
  </si>
  <si>
    <t>29.138.927/0001-74</t>
  </si>
  <si>
    <t>BEELIEVE HAUS</t>
  </si>
  <si>
    <t>RPS 304</t>
  </si>
  <si>
    <t>444</t>
  </si>
  <si>
    <t>297871764031405</t>
  </si>
  <si>
    <t>308</t>
  </si>
  <si>
    <t>Fe: estão insatisfeitos com a entrega. Estão em reunião hoje e tentando entregar mais que o combinado para acalmarem. Por isso, estão insatisfeitos essa semana</t>
  </si>
  <si>
    <t>Resgate cartão</t>
  </si>
  <si>
    <t>Férias</t>
  </si>
  <si>
    <t>7252178581275408137</t>
  </si>
  <si>
    <t>Studio Arqbr Arquitetos Associados</t>
  </si>
  <si>
    <t>5914522179834294405</t>
  </si>
  <si>
    <t>STUDIO ARQBR ARQUITETOS ASSOCIADOS LIMITADA</t>
  </si>
  <si>
    <t>12.497.705/0001-45</t>
  </si>
  <si>
    <t>Nat: cliente pediu alteração de LP duas vezes e não foi feito. E leads não estavam chegando ao cliente. Ele está muito insatisfeito e dará até final de novembro. Já foi feito retenção há aprox 2 meses</t>
  </si>
  <si>
    <t>6036018467211240930</t>
  </si>
  <si>
    <t>6007686260295483134</t>
  </si>
  <si>
    <t>EKYTE SOFTWARE</t>
  </si>
  <si>
    <t>EKYTE SOFTWARE LTDA</t>
  </si>
  <si>
    <t>32.583.285/0001-27</t>
  </si>
  <si>
    <t>GPTW  Great Place to Work</t>
  </si>
  <si>
    <t>VINDI GREATPLACE</t>
  </si>
  <si>
    <t>RAÇÕES TIKO</t>
  </si>
  <si>
    <t>5896264704915530284</t>
  </si>
  <si>
    <t xml:space="preserve">Nat: o cliente está sem tráfego há 40 dias. Cliente está com problema no site. Augusto tentou verificar o que era. Estamos contato com o cliente </t>
  </si>
  <si>
    <t>007/012</t>
  </si>
  <si>
    <t>KENDERSON TADEU</t>
  </si>
  <si>
    <t>Rescisão</t>
  </si>
  <si>
    <t>THAIS</t>
  </si>
  <si>
    <t>Hospedagem</t>
  </si>
  <si>
    <t>-</t>
  </si>
  <si>
    <t>Reembolso</t>
  </si>
  <si>
    <t>Hetzner</t>
  </si>
  <si>
    <t>Integra Inovação</t>
  </si>
  <si>
    <t>21094159762</t>
  </si>
  <si>
    <t>Nat: Cliente em onboarding</t>
  </si>
  <si>
    <t>002/012</t>
  </si>
  <si>
    <t>024/051</t>
  </si>
  <si>
    <t>Transporte</t>
  </si>
  <si>
    <t>Nat: terá 2 meses de social em jan e fev</t>
  </si>
  <si>
    <t>Nat: chega muito bot mas não é pelo trafego</t>
  </si>
  <si>
    <t>Nat: risco gigantesco de churn. Saiu de onboarding há 15-20 dias e querem movimentação na loja física. Mas não temos controle. Reclamou q um dos analistas não tinha domínio do produto dele. Estamos trabalhando com novo planejamento para apresentar em 11/12 e vamos bonificá-los com 1 mês de Social</t>
  </si>
  <si>
    <t>Nat: problema de acesso no Meta e vamos começar a rodar Google. Não estão conseguindo metrificar os leads (se são qualificados ou não, se são nossos ou não)</t>
  </si>
  <si>
    <t>Nat: está demorando para aprovar planejamento</t>
  </si>
  <si>
    <t>Ray: ainda em onboarding. Está atrasado para dar devolutiva</t>
  </si>
  <si>
    <t>005/005</t>
  </si>
  <si>
    <t>Nat: Terão reunião quinta</t>
  </si>
  <si>
    <t>DINAMICA PUBLICIDADE</t>
  </si>
  <si>
    <t>E. R. TOSTA</t>
  </si>
  <si>
    <t>03.692.683/0001-83</t>
  </si>
  <si>
    <t>Beelieve Expert</t>
  </si>
  <si>
    <t>6006067579626238465</t>
  </si>
  <si>
    <t>Expert</t>
  </si>
  <si>
    <t>MARCELO PRESTES TEIXEIRA 02791618910</t>
  </si>
  <si>
    <t>44.680.658/0001-67</t>
  </si>
  <si>
    <t>22633418301</t>
  </si>
  <si>
    <t>6014385877752428105</t>
  </si>
  <si>
    <t>6044915753667649939</t>
  </si>
  <si>
    <t>6072457923019436074</t>
  </si>
  <si>
    <t>6067154626628152946</t>
  </si>
  <si>
    <t>5994059672164476067</t>
  </si>
  <si>
    <t>CANAÃ</t>
  </si>
  <si>
    <t>BRASIL &amp; GAMA LTDA</t>
  </si>
  <si>
    <t>30.392.020/0001-16</t>
  </si>
  <si>
    <t>MAKE.COM</t>
  </si>
  <si>
    <t>Eleven Labs</t>
  </si>
  <si>
    <t>ZOOP BRASIL</t>
  </si>
  <si>
    <t>Certificado Digital</t>
  </si>
  <si>
    <t>5902341192996567143</t>
  </si>
  <si>
    <t>Clínica Ribeiro</t>
  </si>
  <si>
    <t>Repasse de Franqueado</t>
  </si>
  <si>
    <t>Betel Saúde</t>
  </si>
  <si>
    <t>Exames</t>
  </si>
  <si>
    <t>Beelieve Infinity</t>
  </si>
  <si>
    <t>Natalia</t>
  </si>
  <si>
    <t>Viagem</t>
  </si>
  <si>
    <t>RIVER PALACE</t>
  </si>
  <si>
    <t>5986791006277332030</t>
  </si>
  <si>
    <t>?</t>
  </si>
  <si>
    <t>BEELIEVE LION</t>
  </si>
  <si>
    <t>SEM RUSH</t>
  </si>
  <si>
    <t>CAMILA</t>
  </si>
  <si>
    <t>Transitória</t>
  </si>
  <si>
    <t>SPOTIFY BRASIL</t>
  </si>
  <si>
    <t>SPOTIFY BRASIL SERVICOS DE MUSICA LTDA.</t>
  </si>
  <si>
    <t>17.687.734/0001-93</t>
  </si>
  <si>
    <t>PIPEDRIVE</t>
  </si>
  <si>
    <t>MIRO SOLUCOES TECNOLOGICAS LTDA - ME</t>
  </si>
  <si>
    <t>MIRO SOLUCOES TECNOLOGICAS LTDA</t>
  </si>
  <si>
    <t>11.033.380/0001-87</t>
  </si>
  <si>
    <t>Nat: cliente difícil. Ruídos de comunicação. Tratativas serão semanais em vez de quinzenais</t>
  </si>
  <si>
    <t>Devolução de Cliente</t>
  </si>
  <si>
    <t>Fe/ Ray: cliente conflituoso. Ray está entendendo. Fe falou q cliente está insatisfeito com entregas de ads. Refizemos estratégia de campanha e não gostaram do layout eles acharam q ficou igual. Site estava com problema e blog não tinha sido publicado, mas arrumamos site e publicamos blog em 06/12</t>
  </si>
  <si>
    <t>Nat: Terão reunião hj</t>
  </si>
  <si>
    <t>6073378848268194208</t>
  </si>
  <si>
    <t>Diretriz</t>
  </si>
  <si>
    <t>5860868870887493145</t>
  </si>
  <si>
    <t>22937040284</t>
  </si>
  <si>
    <t>Luciana, Jeanne, Lai e Danila</t>
  </si>
  <si>
    <t>Alimentação</t>
  </si>
  <si>
    <t>50% Contratos Sociais</t>
  </si>
  <si>
    <t>TLDV</t>
  </si>
  <si>
    <t>BRUNO Franqueado</t>
  </si>
  <si>
    <t>FGODOY MARKETING</t>
  </si>
  <si>
    <t>DECORAI</t>
  </si>
  <si>
    <t>025/051</t>
  </si>
  <si>
    <t>ARGUAREZI</t>
  </si>
  <si>
    <t>XODO RAÇÕES E PET SHOP</t>
  </si>
  <si>
    <t>6038581965112232490</t>
  </si>
  <si>
    <t>Fe: isenção</t>
  </si>
  <si>
    <t>004/011</t>
  </si>
  <si>
    <t>028.562.411-31</t>
  </si>
  <si>
    <t>5945326544511557997</t>
  </si>
  <si>
    <t>5946399218852592936</t>
  </si>
  <si>
    <t>5998978161187832356</t>
  </si>
  <si>
    <t>Fe: se mostrou insatisfeito com a campanha de Google e pediu para tirar. Vamos começar campanha de Amazon e degustação de Youtube</t>
  </si>
  <si>
    <t>5982685443457902266</t>
  </si>
  <si>
    <t>Nat: está rodando. Mas como é nichado não tem muitos seguidores. Nat falou com franqueado para oferecer site como job avulso</t>
  </si>
  <si>
    <t>009/013</t>
  </si>
  <si>
    <t>DARF</t>
  </si>
  <si>
    <t>Imposto s/ folha CP (50,000000%); IRRF (50,000000%)</t>
  </si>
  <si>
    <t>Folha - encargos</t>
  </si>
  <si>
    <t>CIA COWORKING</t>
  </si>
  <si>
    <t>003/015</t>
  </si>
  <si>
    <t>026/051</t>
  </si>
  <si>
    <t>NOTION</t>
  </si>
  <si>
    <t>[...]</t>
  </si>
  <si>
    <t>Bonificação</t>
  </si>
  <si>
    <t>Parcelas Long Beach</t>
  </si>
  <si>
    <t>6044015088289193216</t>
  </si>
  <si>
    <t>Nat: negociamos 2 meses de Social para compensar atraso do Onboarding</t>
  </si>
  <si>
    <t>NEW JOIAS INDUSTRIA E COMERCIO DE BIJUTERIAS LTDA</t>
  </si>
  <si>
    <t>New Joias</t>
  </si>
  <si>
    <t>10.481.589/0001-40</t>
  </si>
  <si>
    <t>Provisão Receita</t>
  </si>
  <si>
    <t>Provisão Repasse</t>
  </si>
  <si>
    <t>PIS</t>
  </si>
  <si>
    <t>Administrativo</t>
  </si>
  <si>
    <t>COFINS</t>
  </si>
  <si>
    <t>ADRIANA APARECIDA DIOGO PEREIRA DE MELO</t>
  </si>
  <si>
    <t>26.903.339/0001-91</t>
  </si>
  <si>
    <t>Nat: campanhas rodando bem. Entregaremos até dia 18/12</t>
  </si>
  <si>
    <t>6002334113192162952</t>
  </si>
  <si>
    <t>6014651353874344736</t>
  </si>
  <si>
    <t>Nat: gargalo de 10 dias na campanha do Google. Subimos nova campanha e cliente pediu novas palavras-chave</t>
  </si>
  <si>
    <t>5947005678124590111</t>
  </si>
  <si>
    <t>6005037239547864087</t>
  </si>
  <si>
    <t>Fe: dificil contato. Tem viajado bastante. Vamos mandar email ainda hj formalizando que estamos rodando sem aprovação tudo oq não custar dinheiro</t>
  </si>
  <si>
    <t>6026703253052054984</t>
  </si>
  <si>
    <t xml:space="preserve">Fe: estão em processo de retenção. </t>
  </si>
  <si>
    <t>6029388622947990950</t>
  </si>
  <si>
    <t>5995715728416727790</t>
  </si>
  <si>
    <t>Ray: tudo ok</t>
  </si>
  <si>
    <t>5969444881873324217</t>
  </si>
  <si>
    <t>6006010745545613348</t>
  </si>
  <si>
    <t>Casa Vet: aprovaram o nome e em 18/12 vamos mandar logo. Eles aprovando, seguiremos para brandbook que é a última etapa. Previsão de conclusão em jan/25</t>
  </si>
  <si>
    <t>GO NOW - RODRIGO MAIA</t>
  </si>
  <si>
    <t>Parcela 1/2</t>
  </si>
  <si>
    <t>A Fórmula</t>
  </si>
  <si>
    <t>Nat: ativos até dia 29</t>
  </si>
  <si>
    <t>5951548353126115161</t>
  </si>
  <si>
    <t>Fe: estão bem. Cliente demora a dar retorno mas tem ciencia disso</t>
  </si>
  <si>
    <t>Nat: rodando bem</t>
  </si>
  <si>
    <t>6021228579327257221</t>
  </si>
  <si>
    <t>Add 15% de desconto. Nat: ainda estamos em onboarding pq o Google merchand (dependemos dele para vincular a conta e criar usuários). Temos print dele afirmando estar ciente de q se atrasar a culpa é dele</t>
  </si>
  <si>
    <t>005/007</t>
  </si>
  <si>
    <t>Fe: estão insatisfeitos com a entrega. Estão em reunião hoje e tentando entregar mais que o combinado para acalmarem. Por isso, estão insatisfeitos essa semana. 17/12 está caminhando</t>
  </si>
  <si>
    <t>Topnet</t>
  </si>
  <si>
    <t>Fe: onboarding</t>
  </si>
  <si>
    <t>027/051</t>
  </si>
  <si>
    <t>003/006</t>
  </si>
  <si>
    <t>Reembolso Viagem</t>
  </si>
  <si>
    <t>Ads</t>
  </si>
  <si>
    <t>Board</t>
  </si>
  <si>
    <t>Ferramentas</t>
  </si>
  <si>
    <t>BEELIEVE Haus</t>
  </si>
  <si>
    <t>Repasse</t>
  </si>
  <si>
    <t>Despesas Gerais</t>
  </si>
  <si>
    <t>Receita</t>
  </si>
  <si>
    <t>Clientes</t>
  </si>
  <si>
    <t>Fe: tbm está fluindo. Estamos tendo dificuldade de retorno, mas está ciente. Vamos considerar social aprovado</t>
  </si>
  <si>
    <t>THOMAS</t>
  </si>
  <si>
    <t>RH</t>
  </si>
  <si>
    <t>028/051</t>
  </si>
  <si>
    <t>AWS BRAZIL</t>
  </si>
  <si>
    <t>SMT</t>
  </si>
  <si>
    <t>467.667.248-97</t>
  </si>
  <si>
    <t>6004941499541219829</t>
  </si>
  <si>
    <t>Nat: cliente tbm com site ruim. Retomarão em 13/01 para ver site (franqueado Kaka)</t>
  </si>
  <si>
    <t>Reembolso Caução</t>
  </si>
  <si>
    <t>Conta Simples</t>
  </si>
  <si>
    <t>Transferência</t>
  </si>
  <si>
    <t>Folha - Benefícios</t>
  </si>
  <si>
    <t>Folha - Salários</t>
  </si>
  <si>
    <t>008/012</t>
  </si>
  <si>
    <t>Rações Tiko</t>
  </si>
  <si>
    <t>5957544120305329662</t>
  </si>
  <si>
    <t>COMERCIO DE ARTIGOS PARA CHACAREIROS TIKO LTDA</t>
  </si>
  <si>
    <t>50.892.785/0001-22</t>
  </si>
  <si>
    <t>Beelieve Haus</t>
  </si>
  <si>
    <t>6062122490967930404</t>
  </si>
  <si>
    <t>YOSHIZANE GESTAO E CONSULTORIA LTDA</t>
  </si>
  <si>
    <t>37.498.411/0001-69</t>
  </si>
  <si>
    <t>Fe: estávamos com problema no e-commerce. Em 16/12 o time se reuniu com ele e alinharam de usar LP em vez do site de e-commerce</t>
  </si>
  <si>
    <t>003/012</t>
  </si>
  <si>
    <t>Seguro Fiança Div</t>
  </si>
  <si>
    <t>EKYTE</t>
  </si>
  <si>
    <t>isenção em jan/25</t>
  </si>
  <si>
    <t>Despesas Viagens</t>
  </si>
  <si>
    <t>Clicksign</t>
  </si>
  <si>
    <t>ANA JULIA RIBEIRO NUNES</t>
  </si>
  <si>
    <t>29808526710</t>
  </si>
  <si>
    <t>Insight</t>
  </si>
  <si>
    <t>467.075.128-03</t>
  </si>
  <si>
    <t>Nat: fizemos reunião recentemente com a funcionária dele q está satisfeita. E o dono quer churn</t>
  </si>
  <si>
    <t>5986796675707953109</t>
  </si>
  <si>
    <t>6084601553221526925</t>
  </si>
  <si>
    <t>Haus</t>
  </si>
  <si>
    <t>MUNICIPIO DE SAO PAULO</t>
  </si>
  <si>
    <t>46.395.000/0001-39</t>
  </si>
  <si>
    <t>Folha - PJ</t>
  </si>
  <si>
    <t>Banco Inter</t>
  </si>
  <si>
    <t>DANILA</t>
  </si>
  <si>
    <t>SANDRO</t>
  </si>
  <si>
    <t>COSMOPOLITAN</t>
  </si>
  <si>
    <t>INTEGRA INOVACAO &amp; PROCESSOS</t>
  </si>
  <si>
    <t>6092531285415457374</t>
  </si>
  <si>
    <t>INTEGRA INOVACAO &amp; PROCESSOS LTDA</t>
  </si>
  <si>
    <t>58.329.479/0001-94</t>
  </si>
  <si>
    <t>Nat: está em onboarding. Terão reunião dia 17/01. Nat vai avisar qnd ela responder</t>
  </si>
  <si>
    <t>029/051</t>
  </si>
  <si>
    <t>Thaís</t>
  </si>
  <si>
    <t>Aluguel Div</t>
  </si>
  <si>
    <t>Heplim</t>
  </si>
  <si>
    <t>Paulo Unibee</t>
  </si>
  <si>
    <t>Unibee</t>
  </si>
  <si>
    <t>Carol: vai ter reunião com as meninas às 15h e vai nos atualizar. Pediram para deixar boleto para dia 14/01</t>
  </si>
  <si>
    <t>Folha - Encargos</t>
  </si>
  <si>
    <t>Dev Freelancer</t>
  </si>
  <si>
    <t>Nat: eles se recusam a assinar o aditivo e em aditivo anterior foi determinado q todos os arquivos seriam enviados abertos para o Corel Draw. Nat está em contato com a Thaís. Vão tentar abrir em psd (q é photoshop, mas q abre em qualquer plataforma). Outro ponto é q todo anúncio q sobe, vai gente falando q é golpe. Estão vendo com a Vitória. Ela ainda não respondeu. No dia 10/01 mandaram uma lista de itens para a Bee que não fazem parte do nosso papel</t>
  </si>
  <si>
    <t>Creditares</t>
  </si>
  <si>
    <t>6091522014259031056</t>
  </si>
  <si>
    <t>CREDITARES TECNOLOGIA E INTERMEDIACAO DE SERVICOS LTDA</t>
  </si>
  <si>
    <t>40.796.860/0001-06</t>
  </si>
  <si>
    <t>Fe: acabou de apresentar etapa de captura e execução (em 13/01)</t>
  </si>
  <si>
    <t>Nat: cliente teria que pagar aviso e não paga, mas tbm não está respondendo. Damis consegue contato com eles</t>
  </si>
  <si>
    <t>Prestador de Serviço</t>
  </si>
  <si>
    <t>Provisão Viagens</t>
  </si>
  <si>
    <t>13º Beelieve</t>
  </si>
  <si>
    <t>Unibee mensalidade -480</t>
  </si>
  <si>
    <t>Unibee (13º) -480</t>
  </si>
  <si>
    <t>Contrato Social Beelieve</t>
  </si>
  <si>
    <t>Contrato Social Unibee -1750</t>
  </si>
  <si>
    <t>Devolução de Franquia</t>
  </si>
  <si>
    <t>TLDX SOLUTIONS GMBH</t>
  </si>
  <si>
    <t>Carolina</t>
  </si>
  <si>
    <t>...</t>
  </si>
  <si>
    <t>Reembolsos</t>
  </si>
  <si>
    <t>Transf Inter</t>
  </si>
  <si>
    <t>Alimentação e transporte evento</t>
  </si>
  <si>
    <t>Evento</t>
  </si>
  <si>
    <t>Academia Paulista de Letras</t>
  </si>
  <si>
    <t>Ação judicial Felipe</t>
  </si>
  <si>
    <t>Indenizações Trabalhistas</t>
  </si>
  <si>
    <t>Despesas Marketing</t>
  </si>
  <si>
    <t>010/013</t>
  </si>
  <si>
    <t>ISABELA VASCONCELOS</t>
  </si>
  <si>
    <t>008/025</t>
  </si>
  <si>
    <t>007/025</t>
  </si>
  <si>
    <t>CASA NOVA IMOBILIARIA</t>
  </si>
  <si>
    <t>SEGURA MEDICINA</t>
  </si>
  <si>
    <t>ASO</t>
  </si>
  <si>
    <t>Parcelamento Imposto</t>
  </si>
  <si>
    <t>030/051</t>
  </si>
  <si>
    <t>INGRID</t>
  </si>
  <si>
    <t>Recepcionista Evento</t>
  </si>
  <si>
    <t>MARCUS (Vallet Evento)</t>
  </si>
  <si>
    <t>Reembolso Evento</t>
  </si>
  <si>
    <t>TODOS ADMINISTRACAO DE CARTAO</t>
  </si>
  <si>
    <t>6086252443223323722</t>
  </si>
  <si>
    <t>Magic</t>
  </si>
  <si>
    <t>VIP SOLUCOES EM EDUCACAO LTDA</t>
  </si>
  <si>
    <t>04.763.922/0001-01</t>
  </si>
  <si>
    <t>CARTAP DE TODOS</t>
  </si>
  <si>
    <t>Reembolso Cartão Simples Evento</t>
  </si>
  <si>
    <t>DANILO PEREIRA DA SILVA</t>
  </si>
  <si>
    <t>VIP CENTRO DE IDIOMAS</t>
  </si>
  <si>
    <t>Ifood</t>
  </si>
  <si>
    <t>Marcus</t>
  </si>
  <si>
    <t>Panda Unibee</t>
  </si>
  <si>
    <t>Parcela Rescisões</t>
  </si>
  <si>
    <t>TOP NET</t>
  </si>
  <si>
    <t>6084556791807194257</t>
  </si>
  <si>
    <t>XODO RACOES E PETSHOP LTDA</t>
  </si>
  <si>
    <t>13.508.412/0001-89</t>
  </si>
  <si>
    <t>XODO RACOES E PETSHOP</t>
  </si>
  <si>
    <t>REFINO CASA</t>
  </si>
  <si>
    <t>ARA</t>
  </si>
  <si>
    <t>004/015</t>
  </si>
  <si>
    <t>Nat: Estão com débito na conta do meta. Sem isso, não conseguem subir novas campanhas. Mas Google e Criativos estão andando. Estão tbm com prob no blog e vão se reunir dia 14/01 para isso</t>
  </si>
  <si>
    <t>Notion</t>
  </si>
  <si>
    <t>reembolso</t>
  </si>
  <si>
    <t>vamos ver se trava</t>
  </si>
  <si>
    <t>031/051</t>
  </si>
  <si>
    <t>Beelieve DNA</t>
  </si>
  <si>
    <t>Petterson Roberto Carvalho</t>
  </si>
  <si>
    <t>RONEY CRUZ</t>
  </si>
  <si>
    <t>Reembolso Transfer Bellino</t>
  </si>
  <si>
    <t>Provisão de Novas Receitas</t>
  </si>
  <si>
    <t>5915320810112195426</t>
  </si>
  <si>
    <t>Beelieve Phoenix</t>
  </si>
  <si>
    <t>5995725951267357817</t>
  </si>
  <si>
    <t>Phoenix</t>
  </si>
  <si>
    <t>33.006.998 KARINA SOUZA PRESOTO</t>
  </si>
  <si>
    <t>33.006.998/0001-90</t>
  </si>
  <si>
    <t>CASALE PET</t>
  </si>
  <si>
    <t>MAX MARCHON</t>
  </si>
  <si>
    <t>Provisão Receita Franquia</t>
  </si>
  <si>
    <t>CLINICAS VETERINARIAS DO BRASIL</t>
  </si>
  <si>
    <t>6023255599414986661</t>
  </si>
  <si>
    <t>CLINICAS VETERINARIAS DO BRASIL PARTICIPACOES LTDA</t>
  </si>
  <si>
    <t>53.196.343/0001-30</t>
  </si>
  <si>
    <t>IRPJ</t>
  </si>
  <si>
    <t>009/012</t>
  </si>
  <si>
    <t>CSLL</t>
  </si>
  <si>
    <t>Contribuição Social</t>
  </si>
  <si>
    <t>Beelieve Upgrade</t>
  </si>
  <si>
    <t>56.176.515 MAICON ANTONIO LIMA DE QUADROS</t>
  </si>
  <si>
    <t>56.176.515/0001-00</t>
  </si>
  <si>
    <t>4MM INOVACOES EM ATENDIMENTO</t>
  </si>
  <si>
    <t>DESMONTE NEVADA</t>
  </si>
  <si>
    <t>EDIFICIO PARQUE ANA COSTA - ref a jan</t>
  </si>
  <si>
    <t>EDIFICIO PARQUE ANA COSTA - ref a dez</t>
  </si>
  <si>
    <t>001/006</t>
  </si>
  <si>
    <t>MATHEUS</t>
  </si>
  <si>
    <t>PAULA INSIGHT</t>
  </si>
  <si>
    <t>Conferir correção monetária</t>
  </si>
  <si>
    <t>004/006</t>
  </si>
  <si>
    <t>SALES ROCKET</t>
  </si>
  <si>
    <t>BUSCA PEÇAS</t>
  </si>
  <si>
    <t>STUDIO ARQBR</t>
  </si>
  <si>
    <t>Fe: a auditoria já foi feita e Douglas vai apresentar em 13/01</t>
  </si>
  <si>
    <t>Beelieve Agora</t>
  </si>
  <si>
    <t>RONEY</t>
  </si>
  <si>
    <t>032/051</t>
  </si>
  <si>
    <t>Subst EVANDRO COSTA PENONI</t>
  </si>
  <si>
    <t>Isadora Guedes</t>
  </si>
  <si>
    <t>Subst ISABELA EUZEBIO VASCONCELOS</t>
  </si>
  <si>
    <t>Marco</t>
  </si>
  <si>
    <t>Grazielle</t>
  </si>
  <si>
    <t>LAURA</t>
  </si>
  <si>
    <t>João Carlos Chagas</t>
  </si>
  <si>
    <t>Equipamentos Mkt</t>
  </si>
  <si>
    <t>Computadores e periféricos</t>
  </si>
  <si>
    <t>MARCOS ANDRE COSTA</t>
  </si>
  <si>
    <t>JESSI ROTULOS</t>
  </si>
  <si>
    <t>Rescisão Serviços Contratados</t>
  </si>
  <si>
    <t>004/012</t>
  </si>
  <si>
    <t>Douglas</t>
  </si>
  <si>
    <t>033/051</t>
  </si>
  <si>
    <t>Saldo extra Inter</t>
  </si>
  <si>
    <t>Google Ads</t>
  </si>
  <si>
    <t>Stracto</t>
  </si>
  <si>
    <t>Despesas reunião</t>
  </si>
  <si>
    <t>ROCHA E TELHAS</t>
  </si>
  <si>
    <t>Lindey</t>
  </si>
  <si>
    <t>Guia judicial</t>
  </si>
  <si>
    <t>Pura Agua e Ar</t>
  </si>
  <si>
    <t>Despesas Escritório</t>
  </si>
  <si>
    <t>Provisão Viagens (Luciana e Thaís)</t>
  </si>
  <si>
    <t>ELYT</t>
  </si>
  <si>
    <t>Vitória Daher</t>
  </si>
  <si>
    <t>SOLIDES</t>
  </si>
  <si>
    <t>Imóvel Div</t>
  </si>
  <si>
    <t>Bootcamp</t>
  </si>
  <si>
    <t>034/051</t>
  </si>
  <si>
    <t>DEVZAPP</t>
  </si>
  <si>
    <t>CARTAO DE TODOS</t>
  </si>
  <si>
    <t>TODOS ADMINISTRADORA DE CARTOES</t>
  </si>
  <si>
    <t>Beelieve Ágora</t>
  </si>
  <si>
    <t>011/013</t>
  </si>
  <si>
    <t>Subst DESYREE</t>
  </si>
  <si>
    <t>Subst HUNTER</t>
  </si>
  <si>
    <t>Treinamento de franquias</t>
  </si>
  <si>
    <t>Reembolso Thaís (passagem + diárias)</t>
  </si>
  <si>
    <t>Bootcamp (Reembolso Luciana)</t>
  </si>
  <si>
    <t>Isabelly</t>
  </si>
  <si>
    <t>Correio</t>
  </si>
  <si>
    <t>035/051</t>
  </si>
  <si>
    <t>Regus</t>
  </si>
  <si>
    <t>FABRICIO</t>
  </si>
  <si>
    <t>RPS 298</t>
  </si>
  <si>
    <t>438</t>
  </si>
  <si>
    <t>0010786400000179</t>
  </si>
  <si>
    <t>302</t>
  </si>
  <si>
    <r>
      <rPr>
        <sz val="11"/>
        <color theme="1"/>
        <rFont val="Calibri"/>
      </rPr>
      <t xml:space="preserve">Fernanda: estamos dando opções de nomes. Estão ok. Job avulso. Pode ser que sigam com o pgto somente após a conclusão do processo (vão para Londres provavelmente essa semana). </t>
    </r>
    <r>
      <rPr>
        <b/>
        <sz val="11"/>
        <color theme="1"/>
        <rFont val="Calibri"/>
      </rPr>
      <t>Aprovaram o nome em 06/12.</t>
    </r>
  </si>
  <si>
    <t>Despesa viagem</t>
  </si>
  <si>
    <t>JOAO GABRIEL DE SOUZA BITENCOURT</t>
  </si>
  <si>
    <t>ROBERTA DOBARRIO MARTORELLI</t>
  </si>
  <si>
    <t>Natalia (Coffee)</t>
  </si>
  <si>
    <t>DIGITAL BLANDY (BRYAN)</t>
  </si>
  <si>
    <t>BEELIEVE Gold</t>
  </si>
  <si>
    <t>LOJA DA BELEZA</t>
  </si>
  <si>
    <t>009/025</t>
  </si>
  <si>
    <t>Provisão Receita Parcerias</t>
  </si>
  <si>
    <t>010/012</t>
  </si>
  <si>
    <t>Satuba</t>
  </si>
  <si>
    <t>Manutenção Predial</t>
  </si>
  <si>
    <t>NATALIA</t>
  </si>
  <si>
    <t>005/015</t>
  </si>
  <si>
    <t>Sócios</t>
  </si>
  <si>
    <t>005/006</t>
  </si>
  <si>
    <t>036/051</t>
  </si>
  <si>
    <t>Passagem Thaís</t>
  </si>
  <si>
    <t>Subst THIAGO DE OLIVEIRA MARQUES RIBEIRO</t>
  </si>
  <si>
    <t>Provisão Salários</t>
  </si>
  <si>
    <t>Novas vagas operação</t>
  </si>
  <si>
    <t>Novas vagas marketing</t>
  </si>
  <si>
    <t>Novas vagas comercial</t>
  </si>
  <si>
    <t>Luciana</t>
  </si>
  <si>
    <t>Sales Camp (Ajuda de Custo)</t>
  </si>
  <si>
    <t>Subst RAYSSA FERREIRA PICADO</t>
  </si>
  <si>
    <t>005/012</t>
  </si>
  <si>
    <t>Raphael</t>
  </si>
  <si>
    <t>Uber Thaís</t>
  </si>
  <si>
    <t>BRAD PET BOUTIQUE</t>
  </si>
  <si>
    <t>LL TAKAKI</t>
  </si>
  <si>
    <t>PAWISE BRASIL</t>
  </si>
  <si>
    <t>HUFFIX DO BRASIL -ref a dez</t>
  </si>
  <si>
    <t>037/051</t>
  </si>
  <si>
    <t>BEATRIZ BARNI</t>
  </si>
  <si>
    <t>RENZO</t>
  </si>
  <si>
    <t>TFE</t>
  </si>
  <si>
    <t>Thiago de Oliveira</t>
  </si>
  <si>
    <t>OmieCash</t>
  </si>
  <si>
    <t>GoDaddy</t>
  </si>
  <si>
    <t>Domínios</t>
  </si>
  <si>
    <t>Inter</t>
  </si>
  <si>
    <t>MARCO</t>
  </si>
  <si>
    <t>Bellino</t>
  </si>
  <si>
    <t>Aluguel e condomínio Div</t>
  </si>
  <si>
    <t>Mayara, Oscas, Fernanda e Laiane</t>
  </si>
  <si>
    <t>ARYANE CAVALCANTI SANTIAGO</t>
  </si>
  <si>
    <t>Tarifas</t>
  </si>
  <si>
    <t>Marcus (saldo cartão)</t>
  </si>
  <si>
    <t>039/051</t>
  </si>
  <si>
    <t>ISTIMADA</t>
  </si>
  <si>
    <t>Loja da Beleza</t>
  </si>
  <si>
    <t>012/013</t>
  </si>
  <si>
    <t>Betel Visual, Mania de Crepe, Bolo, Mercado Livre</t>
  </si>
  <si>
    <t>Renato Simões</t>
  </si>
  <si>
    <t>FRANCOIS DE LIMA CORTES</t>
  </si>
  <si>
    <t>Shopping Patio Iporanga</t>
  </si>
  <si>
    <t>BBZ Comércio de Produtos Ópticos</t>
  </si>
  <si>
    <t>Bloqueio Judicial</t>
  </si>
  <si>
    <t>Multa</t>
  </si>
  <si>
    <t>Transferência Inter</t>
  </si>
  <si>
    <t>ISABELLY SILVA NASCIMENTO</t>
  </si>
  <si>
    <t>JOÃO GABRIEL DE SOUZA BITENCOURT</t>
  </si>
  <si>
    <t>040/051</t>
  </si>
  <si>
    <t>Reembolso viagem</t>
  </si>
  <si>
    <t>COWORKING EVENTO SU</t>
  </si>
  <si>
    <t>LL Tataki</t>
  </si>
  <si>
    <t>VILA CORUMBAU POUSADA E TURISMO</t>
  </si>
  <si>
    <t>006/015</t>
  </si>
  <si>
    <t>Victor, Aryane e Natalia</t>
  </si>
  <si>
    <t>Transporte Filipe Coimbra e Bruno</t>
  </si>
  <si>
    <t>ISABELLY SILVA Nascimento</t>
  </si>
  <si>
    <t>GRAZIELLE VIEIRA ATANAZIO</t>
  </si>
  <si>
    <t>ISADORA GUEDES DANESI</t>
  </si>
  <si>
    <t>LAURA BEATRIZ RODRIGUES SILVA</t>
  </si>
  <si>
    <t>ANNE JUSTINA FERREIRA SOUZA</t>
  </si>
  <si>
    <t>EMANUELA DOS SANTOS SOUZA</t>
  </si>
  <si>
    <t>HENRIQUE DA SILVA LOPES</t>
  </si>
  <si>
    <t>MARIA CLARA SOUZA PORTO BENTO</t>
  </si>
  <si>
    <t>ARYANE CAVALCANTE SANTIAGO</t>
  </si>
  <si>
    <t>João Gabriel de Souza Bitencourt</t>
  </si>
  <si>
    <t>THALES RODRIGUES SILVEIRA</t>
  </si>
  <si>
    <t>VICTOR CARVALHO MORAES HARRISBERGER DE GODOY</t>
  </si>
  <si>
    <t>Saldo</t>
  </si>
  <si>
    <t>Srudio Arqbr</t>
  </si>
  <si>
    <t>INSTITUTO NADJA QUADROS</t>
  </si>
  <si>
    <t>Rubens GABRIEL PEREIRA DA LUZ</t>
  </si>
  <si>
    <t>Patrícia Queiroga Fernandes</t>
  </si>
  <si>
    <t>Jessi Rotulos</t>
  </si>
  <si>
    <t>ELISABETH PRIESTLEY</t>
  </si>
  <si>
    <t>Victor</t>
  </si>
  <si>
    <t>Pausado</t>
  </si>
  <si>
    <t>ROCHA &amp; TELHAS</t>
  </si>
  <si>
    <t>Fernanda</t>
  </si>
  <si>
    <t>ELYT COMERCIO DE MOVEIS E PRATELEIRAS DE ACO</t>
  </si>
  <si>
    <t>DIRETRIZ</t>
  </si>
  <si>
    <t>CATRIX</t>
  </si>
  <si>
    <t>Consultorias</t>
  </si>
  <si>
    <t>Comissão Franquia</t>
  </si>
  <si>
    <t>Pedro</t>
  </si>
  <si>
    <t>José Luiz</t>
  </si>
  <si>
    <t>FRANCHISE4U FEIRAS E NEGOCIOS LTDA</t>
  </si>
  <si>
    <t>LUCAS ANTONIO DE OLIVEIRA</t>
  </si>
  <si>
    <t>DOUGLAS HENRIQUE D ALMADA 01545342695</t>
  </si>
  <si>
    <t>BRINDE PÁSCOA (BROWNIEDITO)</t>
  </si>
  <si>
    <t>Brindes</t>
  </si>
  <si>
    <t>DANIELA EDUARDA DE OLIVEIRA SILVA 48183671845</t>
  </si>
  <si>
    <t>45.440.788/0001-95</t>
  </si>
  <si>
    <t>Comissão sobre Franquia</t>
  </si>
  <si>
    <t>GROBEL TECNOLOGIA LTDA</t>
  </si>
  <si>
    <t>010/025</t>
  </si>
  <si>
    <t>Felipe</t>
  </si>
  <si>
    <t>RMP Advogados Associados</t>
  </si>
  <si>
    <t>Devolução de Imposto</t>
  </si>
  <si>
    <t>BUSCA PECAS</t>
  </si>
  <si>
    <t>BBZ Comercio de Produtos Opticos</t>
  </si>
  <si>
    <t>CARTÃO</t>
  </si>
  <si>
    <t>LEADS2B</t>
  </si>
  <si>
    <t>Sua Criativa</t>
  </si>
  <si>
    <t>KHYN ELISIO MATEUS</t>
  </si>
  <si>
    <t xml:space="preserve">Rescisões </t>
  </si>
  <si>
    <t>Google</t>
  </si>
  <si>
    <t>CASALE PET LTDA</t>
  </si>
  <si>
    <t>Center Comércio da Materiais de Construção</t>
  </si>
  <si>
    <t>Reembolso de Ads</t>
  </si>
  <si>
    <t>Marcos Andre</t>
  </si>
  <si>
    <t>Rescisões FGTS</t>
  </si>
  <si>
    <t>DAMA DE OURO EMBALAGENS</t>
  </si>
  <si>
    <t>Brad Pet Boutique</t>
  </si>
  <si>
    <t>Beelieve Digital</t>
  </si>
  <si>
    <t>Isabelly Silva Nascimento</t>
  </si>
  <si>
    <t>BEELIEVE MAGIC</t>
  </si>
  <si>
    <t>TARCIO LUTIER SOUZA VIANA 13179634740</t>
  </si>
  <si>
    <t>34.160.449/0001-39</t>
  </si>
  <si>
    <t>EDIFICIO PARQUE ANA COSTA (aluguel)</t>
  </si>
  <si>
    <t>EDIFICIO PARQUE ANA COSTA - ref a out</t>
  </si>
  <si>
    <t>Só qnd Huffix pagar</t>
  </si>
  <si>
    <t>RD STATION</t>
  </si>
  <si>
    <t>BRYAN (DIGITAL BLANDY)</t>
  </si>
  <si>
    <t>53.251.045 CAROLINE DE ARAUJO RIBEIRO</t>
  </si>
  <si>
    <t>50.957.452 VITORIA DAHER SANTOS OSORIO</t>
  </si>
  <si>
    <t>REGUS</t>
  </si>
  <si>
    <t>Uber</t>
  </si>
  <si>
    <t>Despesas com Viagem</t>
  </si>
  <si>
    <t>Stract.to</t>
  </si>
  <si>
    <t>EDIFICIO PARQUE ANA COSTA - ref a mar</t>
  </si>
  <si>
    <t>EDIFICIO PARQUE ANA COSTA (condomínio)</t>
  </si>
  <si>
    <t>ENCONTRE A SUA FRANQUIA</t>
  </si>
  <si>
    <t>COFINS (82,162180%); PIS (17,837820%)</t>
  </si>
  <si>
    <t>REGISTRO BR</t>
  </si>
  <si>
    <t>Bradesco</t>
  </si>
  <si>
    <t>LATAM (Viagem Franchise4u)</t>
  </si>
  <si>
    <t>Refinocasa</t>
  </si>
  <si>
    <t>Istimada Móveis e Decoração</t>
  </si>
  <si>
    <t>Instituto Nadja Quadros</t>
  </si>
  <si>
    <t>54.190.258/0001-27</t>
  </si>
  <si>
    <t>41.338.922/0001-90</t>
  </si>
  <si>
    <t>34.399.641 ELISABETH PRIESTLEY</t>
  </si>
  <si>
    <t>Recebido Parcialmente</t>
  </si>
  <si>
    <t>Beelieve Mac</t>
  </si>
  <si>
    <t>Multa Div</t>
  </si>
  <si>
    <t>30.818.931/0001-62</t>
  </si>
  <si>
    <t>53.594.071/0001-26</t>
  </si>
  <si>
    <t>DIGITALBLANDY SERVICOS DE CONSULTORIA MARKETING E PUBLICIDADE LTDA</t>
  </si>
  <si>
    <t>H NAVES</t>
  </si>
  <si>
    <t>001/003</t>
  </si>
  <si>
    <t>HELEN NAVES SOCIEDADE DE ADVOGADOS</t>
  </si>
  <si>
    <t>43.361.068/0001-09</t>
  </si>
  <si>
    <t>DANIELA EDUARDA DE OLIVEIRA SILVA</t>
  </si>
  <si>
    <t>Contas Obrigatórias Não Negociáveis</t>
  </si>
  <si>
    <t>Contas Obrigatórias Negociáveis</t>
  </si>
  <si>
    <t>Contas Não Obrigatórias</t>
  </si>
  <si>
    <t>TOTAL</t>
  </si>
  <si>
    <t>RECEITAS</t>
  </si>
  <si>
    <t>Conta</t>
  </si>
  <si>
    <t>Data original</t>
  </si>
  <si>
    <t>Data negociada</t>
  </si>
  <si>
    <t>Adiantamentos</t>
  </si>
  <si>
    <t>Aluguel Coworking</t>
  </si>
  <si>
    <t>4MM</t>
  </si>
  <si>
    <t>TOTAL FOLHA</t>
  </si>
  <si>
    <t>Clientes a pagar</t>
  </si>
  <si>
    <t>Semi variável. Conseguimos segurar alguns dias</t>
  </si>
  <si>
    <t>#VALUE!</t>
  </si>
  <si>
    <t>#N/A</t>
  </si>
  <si>
    <t>Clientes atrasados</t>
  </si>
  <si>
    <t>Já atrasada desde jan/25</t>
  </si>
  <si>
    <t>Itaú</t>
  </si>
  <si>
    <t>DESPESAS PRIORITÁRIAS</t>
  </si>
  <si>
    <t>Pessoas</t>
  </si>
  <si>
    <t>Dependemos da análise jurídica. Mas corre juros</t>
  </si>
  <si>
    <t xml:space="preserve">    CLT</t>
  </si>
  <si>
    <t>Shutterstock</t>
  </si>
  <si>
    <t xml:space="preserve">    PJ</t>
  </si>
  <si>
    <t>Neoway</t>
  </si>
  <si>
    <t>Semi obrigatória</t>
  </si>
  <si>
    <t xml:space="preserve">    Rescisão PJ</t>
  </si>
  <si>
    <t>Caroline 2/2; Luciana</t>
  </si>
  <si>
    <t xml:space="preserve">    Assistência Médica e Seguro</t>
  </si>
  <si>
    <t>Bradesco e Porto</t>
  </si>
  <si>
    <t xml:space="preserve">    Bonificação</t>
  </si>
  <si>
    <t>Indicação de funcionário</t>
  </si>
  <si>
    <t>Aphoffman</t>
  </si>
  <si>
    <t>Flash App</t>
  </si>
  <si>
    <t>Condomínio Santos</t>
  </si>
  <si>
    <t>Parcela em negociação</t>
  </si>
  <si>
    <t xml:space="preserve">    Ads</t>
  </si>
  <si>
    <t>Variável. Dependemos da conclusão do processo de análise</t>
  </si>
  <si>
    <t>TOTAL PLATAFORMA</t>
  </si>
  <si>
    <t>API4COM, Saaspro</t>
  </si>
  <si>
    <t>VT</t>
  </si>
  <si>
    <t>Parcela Long Beach</t>
  </si>
  <si>
    <t xml:space="preserve">    Aluguel + Condomínio + IPTU</t>
  </si>
  <si>
    <t>Cond outubro</t>
  </si>
  <si>
    <t xml:space="preserve">    Computadores</t>
  </si>
  <si>
    <t>Ref a mar</t>
  </si>
  <si>
    <t>Outros Prioritários</t>
  </si>
  <si>
    <t>Laiane</t>
  </si>
  <si>
    <t xml:space="preserve">    Viagem</t>
  </si>
  <si>
    <t>Uber, Hotel</t>
  </si>
  <si>
    <t xml:space="preserve">    Devolução de Taxa de Franquia</t>
  </si>
  <si>
    <t>Bendita</t>
  </si>
  <si>
    <t xml:space="preserve">    Fornecedores</t>
  </si>
  <si>
    <t>Regus, RMP Adv, Contab ref a mar, Limpeza, Prime, Leads2B</t>
  </si>
  <si>
    <t>Já renegociado</t>
  </si>
  <si>
    <t>Rescisão Jeanne</t>
  </si>
  <si>
    <t>Variável. Dependemos da NF</t>
  </si>
  <si>
    <t xml:space="preserve">    Repasse de Franqueado</t>
  </si>
  <si>
    <t>Marina (ainda não mandou NF)</t>
  </si>
  <si>
    <t>DEMAIS DESPESAS</t>
  </si>
  <si>
    <t>Reembolso Thiago (ex colaborador)</t>
  </si>
  <si>
    <t>PLATAFORMAS</t>
  </si>
  <si>
    <t>Sales Rocket</t>
  </si>
  <si>
    <t xml:space="preserve">    Demais plataformas</t>
  </si>
  <si>
    <t>Solides, Envato, Adobe, Chat GPT, Hetzner, Asa Lenium, Panda, Miro, Stract.to, TLDV, ABF, GPTW, Notion, Heplim</t>
  </si>
  <si>
    <t>Devolução Franquia</t>
  </si>
  <si>
    <t>Adobe</t>
  </si>
  <si>
    <t xml:space="preserve">    Condomínios</t>
  </si>
  <si>
    <t>Mar e Abr</t>
  </si>
  <si>
    <t>Aluguel Thaís</t>
  </si>
  <si>
    <t>Bryan, Vitoria, Encontre a sua franquia, Cia Coworking ref a abr, Opus Adv, Contab ref a abr, Hoffmann</t>
  </si>
  <si>
    <t>Saaspro</t>
  </si>
  <si>
    <t xml:space="preserve">    Pessoas</t>
  </si>
  <si>
    <t>FGTS ref a abr</t>
  </si>
  <si>
    <t>Envato</t>
  </si>
  <si>
    <t>Ref a abr</t>
  </si>
  <si>
    <t>Hubspot</t>
  </si>
  <si>
    <t>verificar contrato</t>
  </si>
  <si>
    <t>Descrição</t>
  </si>
  <si>
    <t>Chat GPT</t>
  </si>
  <si>
    <t>TAXAS FRANQUIAS</t>
  </si>
  <si>
    <t>FORNECEDORES RECORRENTES</t>
  </si>
  <si>
    <t>Cia Coworking LTDA</t>
  </si>
  <si>
    <t>FORNECEDORES CONCLUÍDOS/NEGOCIADOS</t>
  </si>
  <si>
    <t>IMPOSTOS</t>
  </si>
  <si>
    <t>Mês:</t>
  </si>
  <si>
    <t>Ano:</t>
  </si>
  <si>
    <t>Receitas</t>
  </si>
  <si>
    <t>Despesas</t>
  </si>
  <si>
    <t>Saldo Inicial</t>
  </si>
  <si>
    <t>1 de agosto</t>
  </si>
  <si>
    <t>Dia Bee</t>
  </si>
  <si>
    <t>15 de outubro</t>
  </si>
  <si>
    <t>Confra quarter 3</t>
  </si>
  <si>
    <t>15 de dezembro</t>
  </si>
  <si>
    <t>Confra final do ano</t>
  </si>
  <si>
    <t>OPERAÇÃO</t>
  </si>
  <si>
    <t>Custos</t>
  </si>
  <si>
    <t>Aumento folha e consultora Viviane</t>
  </si>
  <si>
    <t>Aumento convênio</t>
  </si>
  <si>
    <t>Começar a pagar INSS</t>
  </si>
  <si>
    <t>Aumento Douglas e Luciana</t>
  </si>
  <si>
    <t>Novas contratações operação e mkt</t>
  </si>
  <si>
    <t>COMERCIAL</t>
  </si>
  <si>
    <t>Custos Fixos</t>
  </si>
  <si>
    <t>Alteração Folha</t>
  </si>
  <si>
    <t>Fev: multa Div (9,6k); Jan e fev: cond atrasado (4,5k)</t>
  </si>
  <si>
    <t>Repasse + devolução</t>
  </si>
  <si>
    <t>Mar: aumento repasse (83k). Restante é devolução</t>
  </si>
  <si>
    <t>Jan: Tec atrasado + indenização trabalhista</t>
  </si>
  <si>
    <t>Começar a pagar ISS, PIS, COFINS e parcelamento</t>
  </si>
  <si>
    <t>MARKETING</t>
  </si>
  <si>
    <t>Mar: não prevê evento (gasto com evento em fev 12k menor que jan). Aumento da folha em 5,9k a partir de abr/25 (proporcional em mar/25)</t>
  </si>
  <si>
    <t>Jan: 13º</t>
  </si>
  <si>
    <t>FINANCEIRO</t>
  </si>
  <si>
    <t>PROCESSOS</t>
  </si>
  <si>
    <t>Jan/Fev: pgto atrasado GSuite</t>
  </si>
  <si>
    <t>ADMINISTRATIVO</t>
  </si>
  <si>
    <t>Redução aluguel após pgto multa Div</t>
  </si>
  <si>
    <t>Jan: Economia de 2,5k</t>
  </si>
  <si>
    <t>FOLHA - TODOS</t>
  </si>
  <si>
    <t>Aumento convênio (14k) e encargos</t>
  </si>
  <si>
    <t>Hubspot 2,5k por mudança de plano (proporcional) + economia API4COM</t>
  </si>
  <si>
    <t>Saída Jeanne e entrada Carol</t>
  </si>
  <si>
    <t>Jan: salários mais baixos devido a férias em dez; Fev: salário proporcional Marco</t>
  </si>
  <si>
    <t>Jan: pgto atrasado Neoway</t>
  </si>
  <si>
    <t>jan-fev</t>
  </si>
  <si>
    <t>fev-mar</t>
  </si>
  <si>
    <t>Variação da receita</t>
  </si>
  <si>
    <t xml:space="preserve">    Operação</t>
  </si>
  <si>
    <t xml:space="preserve">    Comercial</t>
  </si>
  <si>
    <t>Variação dos custos</t>
  </si>
  <si>
    <t>Folha</t>
  </si>
  <si>
    <t>Jan: Rondine, Ativa e Paula. Mar: Tarcio + parcelas</t>
  </si>
  <si>
    <t xml:space="preserve">    Comercial - custos fixos</t>
  </si>
  <si>
    <t>Jan: Apenas parcela recorrente</t>
  </si>
  <si>
    <t xml:space="preserve">    Comercial - custos variáveis</t>
  </si>
  <si>
    <t>Provisão para evento fev/25?</t>
  </si>
  <si>
    <t>Saída Thiago</t>
  </si>
  <si>
    <t>Jan: saída Claumy e Wallacy; Mar: reposição Thiago</t>
  </si>
  <si>
    <t>Fev: última parcela Go Now</t>
  </si>
  <si>
    <t>Jan: pgto atrasado Saaspro e Ekyte. Fev: segurando Saaspro de jan/25</t>
  </si>
  <si>
    <t>Novas contratações</t>
  </si>
  <si>
    <t>Fev: pgtos Viviane</t>
  </si>
  <si>
    <t>Migração Raphael; Mar: aumento Millena</t>
  </si>
  <si>
    <t>Aumento Luciana</t>
  </si>
  <si>
    <t>Economia Nat</t>
  </si>
  <si>
    <t>Saídas Operação</t>
  </si>
  <si>
    <t>Modalidade</t>
  </si>
  <si>
    <t>Salário total</t>
  </si>
  <si>
    <t>Saídas Comercial</t>
  </si>
  <si>
    <t>Saídas Marketing</t>
  </si>
  <si>
    <t>Nakombi</t>
  </si>
  <si>
    <t>Tirar demissões</t>
  </si>
  <si>
    <t>Evandro</t>
  </si>
  <si>
    <t>CLT</t>
  </si>
  <si>
    <t>Julio</t>
  </si>
  <si>
    <t>PJ</t>
  </si>
  <si>
    <t>Assistência odontológica</t>
  </si>
  <si>
    <t>Atualizar valor assist médica (data primeiro mês?)</t>
  </si>
  <si>
    <t>Gabriela Mota</t>
  </si>
  <si>
    <t>Desyree</t>
  </si>
  <si>
    <t>Maricel - Beelieve Lion</t>
  </si>
  <si>
    <t>Vendas franquias, comissões</t>
  </si>
  <si>
    <t>Isabela Vasconcelos</t>
  </si>
  <si>
    <t>Bruno Andrade</t>
  </si>
  <si>
    <t xml:space="preserve">Pix Danilo Hetzner </t>
  </si>
  <si>
    <t>Vendas clientes e repasses</t>
  </si>
  <si>
    <t>Rayssa</t>
  </si>
  <si>
    <t>Danila Ribeiro</t>
  </si>
  <si>
    <t>Huffix</t>
  </si>
  <si>
    <t>Validar se franquia veio pela ARA e atualizar comissão</t>
  </si>
  <si>
    <t>Bruna Leopoldo</t>
  </si>
  <si>
    <t>Confirmar se terá rescisões</t>
  </si>
  <si>
    <t>Jeanne</t>
  </si>
  <si>
    <t>Distrato Jan</t>
  </si>
  <si>
    <t>Western, Padock e Synter</t>
  </si>
  <si>
    <t>Em atraso</t>
  </si>
  <si>
    <t>Studio Arq e Huffix</t>
  </si>
  <si>
    <t>Entradas Operação</t>
  </si>
  <si>
    <t>Entradas Comercial</t>
  </si>
  <si>
    <t>Distrato Fev</t>
  </si>
  <si>
    <t>Paracord e Varandas</t>
  </si>
  <si>
    <t>Kenderson</t>
  </si>
  <si>
    <t>Caroline</t>
  </si>
  <si>
    <t>Sérgio</t>
  </si>
  <si>
    <t>Queima fev:</t>
  </si>
  <si>
    <t>Considerando metas de clientes e franquias</t>
  </si>
  <si>
    <t>Isadora</t>
  </si>
  <si>
    <t>Laura</t>
  </si>
  <si>
    <t>Reposição SDR a partir de mar/25</t>
  </si>
  <si>
    <t>Gestor de Projetos I</t>
  </si>
  <si>
    <t>subst Douglas</t>
  </si>
  <si>
    <t>Gestor de Projetos II</t>
  </si>
  <si>
    <t>Analista CRM</t>
  </si>
  <si>
    <t>subst Yuri</t>
  </si>
  <si>
    <t>Copywriter</t>
  </si>
  <si>
    <t>subst Marina (squad 1)</t>
  </si>
  <si>
    <t>Valor da venda</t>
  </si>
  <si>
    <t>Valor da comissão</t>
  </si>
  <si>
    <t>Valor sacado</t>
  </si>
  <si>
    <t>Diferença</t>
  </si>
  <si>
    <t>Acumulado</t>
  </si>
  <si>
    <t>Beelieve Lume</t>
  </si>
  <si>
    <t>Beelieve Spread</t>
  </si>
  <si>
    <t>Beelieve Espontanea</t>
  </si>
  <si>
    <t>Beelieve Impact</t>
  </si>
  <si>
    <t>Beelieve Pulse</t>
  </si>
  <si>
    <t>Beelieve Barbieri</t>
  </si>
  <si>
    <t>Class DRE</t>
  </si>
  <si>
    <t>Class nível 2</t>
  </si>
  <si>
    <t>Class nível 3</t>
  </si>
  <si>
    <t>Despesa</t>
  </si>
  <si>
    <t>Salário CLT</t>
  </si>
  <si>
    <t>T&amp;E</t>
  </si>
  <si>
    <t>Bônus</t>
  </si>
  <si>
    <t>Despesas Administrativas Cartão</t>
  </si>
  <si>
    <t>Serviços</t>
  </si>
  <si>
    <t>Redução da Receita</t>
  </si>
  <si>
    <t>Custo</t>
  </si>
  <si>
    <t>Devoluções</t>
  </si>
  <si>
    <t>Intercompany</t>
  </si>
  <si>
    <t>Encargo sobre folha</t>
  </si>
  <si>
    <t>Receita Taxa de Franquia</t>
  </si>
  <si>
    <t>Outras Receitas</t>
  </si>
  <si>
    <t>Indenizações</t>
  </si>
  <si>
    <t>Instalações</t>
  </si>
  <si>
    <t>Reembolso Custas Processuais</t>
  </si>
  <si>
    <t>Transferências</t>
  </si>
  <si>
    <t>Zerado</t>
  </si>
  <si>
    <t>Salário PJ</t>
  </si>
  <si>
    <t>Sócio</t>
  </si>
  <si>
    <t>Despesa Financeira</t>
  </si>
  <si>
    <t>Comissão Expansão</t>
  </si>
  <si>
    <t>Total Geral</t>
  </si>
  <si>
    <t>Resgate de Cartão</t>
  </si>
  <si>
    <t>PARTNER</t>
  </si>
  <si>
    <t>FRANQUEADORA</t>
  </si>
  <si>
    <t>Eletromidia</t>
  </si>
  <si>
    <t>Parcerias</t>
  </si>
  <si>
    <t>BÔNUS COMERCIAL</t>
  </si>
  <si>
    <t>125% acima</t>
  </si>
  <si>
    <t>100% da meta Mês</t>
  </si>
  <si>
    <t>85% A 99% da meta Mês</t>
  </si>
  <si>
    <t>70% A 84,99% da meta Mês</t>
  </si>
  <si>
    <t>Abaixo de 69,99% da meta Mês</t>
  </si>
  <si>
    <t>GANHOS</t>
  </si>
  <si>
    <t>Bônus Comercial* - Gerente de Partner</t>
  </si>
  <si>
    <t>Bônus Comercial - Supervisor</t>
  </si>
  <si>
    <t>R$ 0,00</t>
  </si>
  <si>
    <t>R$ 1.750,00</t>
  </si>
  <si>
    <t>R$ 3.500,00</t>
  </si>
  <si>
    <t>Bônus Comercial - LDR</t>
  </si>
  <si>
    <t>Bônus Comercial - SDR</t>
  </si>
  <si>
    <t>Bônus Comercial - Gerente de Franquias</t>
  </si>
  <si>
    <t>Bônus Expansão - Gerente de Parcerias</t>
  </si>
  <si>
    <t>Bônus Expansão - Time de Expansão</t>
  </si>
  <si>
    <t>Comissão Geral Mensal</t>
  </si>
  <si>
    <t>*Garantido bônus mínimo de R$ 4.000,00 até atingir comissão maior, desde com meta batida.</t>
  </si>
  <si>
    <r>
      <rPr>
        <b/>
        <sz val="11"/>
        <color theme="1"/>
        <rFont val="Calibri"/>
      </rPr>
      <t>Obs.:</t>
    </r>
    <r>
      <rPr>
        <sz val="11"/>
        <color theme="1"/>
        <rFont val="Calibri"/>
      </rPr>
      <t xml:space="preserve"> Pagamento do resultado do Mês Vigente sempre no dia 10 do seguinte. </t>
    </r>
  </si>
  <si>
    <t>TT EXPANSÃO</t>
  </si>
  <si>
    <t>TT COMERCIAL</t>
  </si>
  <si>
    <t>GAP</t>
  </si>
  <si>
    <t>Meta</t>
  </si>
  <si>
    <t>Receita Realizada</t>
  </si>
  <si>
    <t>Distrib 1º tri</t>
  </si>
  <si>
    <t>Base</t>
  </si>
  <si>
    <t>Atual</t>
  </si>
  <si>
    <t>ÁGORA</t>
  </si>
  <si>
    <t>TIME INTERNO</t>
  </si>
  <si>
    <t>Novos</t>
  </si>
  <si>
    <r>
      <rPr>
        <b/>
        <sz val="11"/>
        <color theme="1"/>
        <rFont val="Calibri"/>
      </rPr>
      <t>Obs.:</t>
    </r>
    <r>
      <rPr>
        <sz val="11"/>
        <color theme="1"/>
        <rFont val="Calibri"/>
      </rPr>
      <t xml:space="preserve"> Pagamento do resultado do Mês Vigente sempre no dia 10 do seguinte. </t>
    </r>
  </si>
  <si>
    <t>DESPESA</t>
  </si>
  <si>
    <t>VALOR TRI</t>
  </si>
  <si>
    <t>OBSERVAÇÃO</t>
  </si>
  <si>
    <t>PLATAFORMA</t>
  </si>
  <si>
    <t>SERVIÇOS CONTRATADOS</t>
  </si>
  <si>
    <t>VALOR MENSAL</t>
  </si>
  <si>
    <t>Serviços Contratados Total</t>
  </si>
  <si>
    <t>Profissionais PJ</t>
  </si>
  <si>
    <t>CRM</t>
  </si>
  <si>
    <t>Salários Total</t>
  </si>
  <si>
    <t>Repasse de Franqueados Total</t>
  </si>
  <si>
    <t>HEAD COMERCIAL</t>
  </si>
  <si>
    <t>Plataformas Total</t>
  </si>
  <si>
    <t>Imposto s/ folha CP (50,000000%); IRRF (50,000000%) Total</t>
  </si>
  <si>
    <t>Pacote Google (Gmail, Drive, Agenda...)</t>
  </si>
  <si>
    <t>Analista de Mercado</t>
  </si>
  <si>
    <t>Advogados Total</t>
  </si>
  <si>
    <t>BOT clientes Premium</t>
  </si>
  <si>
    <t>Sales Ops</t>
  </si>
  <si>
    <t>Assistência Médica Total</t>
  </si>
  <si>
    <t>Prospeção</t>
  </si>
  <si>
    <t>Vale Refeição Total</t>
  </si>
  <si>
    <t>Será substituído por Plataforma BlueStar</t>
  </si>
  <si>
    <t>Devolução de Taxa de Franquias Total</t>
  </si>
  <si>
    <t>API de voz</t>
  </si>
  <si>
    <t>Adiantamento Total</t>
  </si>
  <si>
    <t>Quicker</t>
  </si>
  <si>
    <t>Computadores e Periféricos Total</t>
  </si>
  <si>
    <t>Vamos reduzir o plano a partir do próximo mês</t>
  </si>
  <si>
    <t>Comunicação Total</t>
  </si>
  <si>
    <t>Aluguel Total</t>
  </si>
  <si>
    <t>Rescisões Total</t>
  </si>
  <si>
    <t>FGTS Total</t>
  </si>
  <si>
    <t>Comissões Total</t>
  </si>
  <si>
    <t>Consultoria Total</t>
  </si>
  <si>
    <t>ISS Total</t>
  </si>
  <si>
    <t>Parcelamento Imposto Total</t>
  </si>
  <si>
    <t>Viagens Total</t>
  </si>
  <si>
    <t>Indenizações Trabalhistas Total</t>
  </si>
  <si>
    <t>Condomínio Total</t>
  </si>
  <si>
    <t>Contabilidade Total</t>
  </si>
  <si>
    <t>Reembolso Total</t>
  </si>
  <si>
    <t>Contribuição Social Total</t>
  </si>
  <si>
    <t>Aluguel Div Total</t>
  </si>
  <si>
    <t>Seguros Total</t>
  </si>
  <si>
    <t>Vale Transporte Total</t>
  </si>
  <si>
    <t>Internet Total</t>
  </si>
  <si>
    <t>Parcelas Long Beach Total</t>
  </si>
  <si>
    <t>Rescisão Total</t>
  </si>
  <si>
    <t>PIS Total</t>
  </si>
  <si>
    <t>Marketing Total</t>
  </si>
  <si>
    <t>Limpeza Total</t>
  </si>
  <si>
    <t>Seguro de Vida Total</t>
  </si>
  <si>
    <t>Bonificações Total</t>
  </si>
  <si>
    <t>ABF - Associação Brasileira de Franchising Total</t>
  </si>
  <si>
    <t>Exames RH Total</t>
  </si>
  <si>
    <t>Tarifas Bancárias Total</t>
  </si>
  <si>
    <t>Energia Elétrica Total</t>
  </si>
  <si>
    <t>RECEITAS PERDIDAS</t>
  </si>
  <si>
    <t>POSTERGADOS</t>
  </si>
  <si>
    <t>APORTES</t>
  </si>
  <si>
    <t>FECAP</t>
  </si>
  <si>
    <t>Condomínio (nov e dez)</t>
  </si>
  <si>
    <t>Bendita Imagem (set e out)</t>
  </si>
  <si>
    <t>Upgrade</t>
  </si>
  <si>
    <t>Rescisão Daniela</t>
  </si>
  <si>
    <t>Casa de Ração</t>
  </si>
  <si>
    <t>Bem Brindes</t>
  </si>
  <si>
    <t>Tecniforma</t>
  </si>
  <si>
    <t>Studio Arq</t>
  </si>
  <si>
    <t>Rodrigo</t>
  </si>
  <si>
    <t>Itabira</t>
  </si>
  <si>
    <t>Restaurante Duarte</t>
  </si>
  <si>
    <t>Bendita Imagem (dez)</t>
  </si>
  <si>
    <t>Rondine</t>
  </si>
  <si>
    <t>TecMobile</t>
  </si>
  <si>
    <t>Validar equipamentos ociosos</t>
  </si>
  <si>
    <t>Metas não cumpridas vendas</t>
  </si>
  <si>
    <t>Metas não cumpridas franquias</t>
  </si>
  <si>
    <t>DESPESAS A MAIS NA VERSÃO ANTERIOR</t>
  </si>
  <si>
    <t>Canaã</t>
  </si>
  <si>
    <t>RECEITAS POSTERGADAS</t>
  </si>
  <si>
    <t>Almoço Franqueados</t>
  </si>
  <si>
    <t>Mania de Crepe</t>
  </si>
  <si>
    <t>Casa Vet</t>
  </si>
  <si>
    <t>Treinamento de Franquia</t>
  </si>
  <si>
    <t>Música</t>
  </si>
  <si>
    <t>DESPESAS ADICIONADAS</t>
  </si>
  <si>
    <t>AB&amp;C</t>
  </si>
  <si>
    <t>RECEITAS A MAIS</t>
  </si>
  <si>
    <t>Visumania</t>
  </si>
  <si>
    <t>Almeida</t>
  </si>
  <si>
    <t>Xodo</t>
  </si>
  <si>
    <t>13º dez</t>
  </si>
  <si>
    <t>Hospedagem Thaís</t>
  </si>
  <si>
    <t>PJ's</t>
  </si>
  <si>
    <t>Adição Adiantamentos</t>
  </si>
  <si>
    <t>Rescisões Comercial</t>
  </si>
  <si>
    <t>Vamos fzr acordo extrajudicial</t>
  </si>
  <si>
    <t>Repasse receitas novas</t>
  </si>
  <si>
    <t>Ref a out/24</t>
  </si>
  <si>
    <t>Contab</t>
  </si>
  <si>
    <t>Contrato Social</t>
  </si>
  <si>
    <t>Parcelas LongBeach</t>
  </si>
  <si>
    <t>Salários antigo</t>
  </si>
  <si>
    <t>Redução Receitas</t>
  </si>
  <si>
    <t>Salários novo</t>
  </si>
  <si>
    <t>Nova proposta</t>
  </si>
  <si>
    <t>John Somers</t>
  </si>
  <si>
    <t>Salário final</t>
  </si>
  <si>
    <t>Caso o cliente cancele o contrato antes de 12 meses e ele faça um novo contrato com a Beelieve (ou em caso de Upsell), paga-se na forma de recorrência, ou seja, 15% (e não como nova venda, 50%)</t>
  </si>
  <si>
    <t>Casa de Ração Azulao</t>
  </si>
  <si>
    <t>Caso o cliente cancele o contrato antes de 12 meses e ele faça um novo contrato de 12 meses com a Beelieve, não há um novo período de experiência no novo contrato</t>
  </si>
  <si>
    <t>Distrato</t>
  </si>
  <si>
    <t>Job pontual</t>
  </si>
  <si>
    <t>Clínicas Veterinárias</t>
  </si>
  <si>
    <t>Thaís e Luciana</t>
  </si>
  <si>
    <t>BENDITA IMAGEM - set</t>
  </si>
  <si>
    <t>AIRBNB</t>
  </si>
  <si>
    <t>BENDITA IMAGEM - out</t>
  </si>
  <si>
    <t>RODRIGO</t>
  </si>
  <si>
    <t>MÚSICA</t>
  </si>
  <si>
    <t>MAICON - UPGRADE</t>
  </si>
  <si>
    <t>KLEBER - ATIVA</t>
  </si>
  <si>
    <t>RONDINE - EVOLUTION</t>
  </si>
  <si>
    <t>Contabilidade:</t>
  </si>
  <si>
    <t>ITEM</t>
  </si>
  <si>
    <t>RESPONSÁVEL</t>
  </si>
  <si>
    <t>EMPRESA</t>
  </si>
  <si>
    <t>Data pgto 50%</t>
  </si>
  <si>
    <t>Pessoal</t>
  </si>
  <si>
    <t>Beelieve (pelo Markus)</t>
  </si>
  <si>
    <t>Beelieve Ag</t>
  </si>
  <si>
    <t>Long Beach</t>
  </si>
  <si>
    <t>Kuntze</t>
  </si>
  <si>
    <t>Holding</t>
  </si>
  <si>
    <t>Beelieve</t>
  </si>
  <si>
    <t>Beelieve Group</t>
  </si>
  <si>
    <t>TOTAL ESPERADO DE RECEBIMENTO NO DIA</t>
  </si>
  <si>
    <t xml:space="preserve">   Valor efetivamente recebido no dia</t>
  </si>
  <si>
    <t xml:space="preserve">   Valor pago no dia a ser compensado no dia seguinte</t>
  </si>
  <si>
    <t>Cliente atrasou ou compensação caiu no dia seguinte</t>
  </si>
  <si>
    <t xml:space="preserve">   Valor em atraso</t>
  </si>
  <si>
    <t>Cliente atrasou ou pediu para postergar</t>
  </si>
  <si>
    <t>(Espaço das Ferramentas, Paracord, Huffix, Casa de Ração Azulão, Tecniforma, Casa Chiarello)</t>
  </si>
  <si>
    <t xml:space="preserve">   Valor não recebido</t>
  </si>
  <si>
    <t>Ifinc: cliente deu chrun</t>
  </si>
  <si>
    <t>Necessidade adicional de aporte</t>
  </si>
  <si>
    <t>TOTAL ESPERADO DE PAGAMENTO NO DIA</t>
  </si>
  <si>
    <t xml:space="preserve">   Valor efetivamente pago no dia</t>
  </si>
  <si>
    <t>Tec, MLA, hotel, ASO, Adv e fornecedores Growth</t>
  </si>
  <si>
    <t xml:space="preserve">   Valor postergado</t>
  </si>
  <si>
    <t>Contab, plataformas e condomínio</t>
  </si>
  <si>
    <t xml:space="preserve">   Demais valores esperados no dia</t>
  </si>
  <si>
    <t>Espaço das Ferramentas e Paracord</t>
  </si>
  <si>
    <t>John Somers: cliente quer renegociar o contrato</t>
  </si>
  <si>
    <t xml:space="preserve">   Valor que precisa ser pago no dia</t>
  </si>
  <si>
    <t>VR, aluguel, ASO, plataformas e parte Ads</t>
  </si>
  <si>
    <t xml:space="preserve">   Valor que pode ser postergado</t>
  </si>
  <si>
    <t>Contab e parte Ads</t>
  </si>
  <si>
    <t>Espaço das Ferramentas: avisou que pagará em 27/11</t>
  </si>
  <si>
    <t>VR, ASO, despesas treinamento e evento Growth</t>
  </si>
  <si>
    <t>Contab, aluguel, plataformas, Ads e condomínio</t>
  </si>
  <si>
    <t xml:space="preserve">   Valor esperado no dia</t>
  </si>
  <si>
    <t>Espaço das Ferramentas</t>
  </si>
  <si>
    <t>Parte Ads e reembolsos</t>
  </si>
  <si>
    <t xml:space="preserve">   Valor a ser postergado</t>
  </si>
  <si>
    <t>Contab, aluguel, plataformas, parte Ads e condomínio</t>
  </si>
  <si>
    <t xml:space="preserve">   Valor pago no dia mas compensado no próx dia útil</t>
  </si>
  <si>
    <t>Huffix pediu para deixar para 02/12 e Xodó pagará em 03/12</t>
  </si>
  <si>
    <t>Mais 50k depositados na véspera</t>
  </si>
  <si>
    <t>13º, VT, Hubspot, parte contab e outros fornecedores</t>
  </si>
  <si>
    <t>Parte contab, aluguel, Bendita, plataformas, Ads e condomínio</t>
  </si>
  <si>
    <t>Aluguel, Bendita, plataformas, Ads, rescisões e IPTU</t>
  </si>
  <si>
    <t>Contab, condomínio e Saaspro</t>
  </si>
  <si>
    <t>Handover</t>
  </si>
  <si>
    <t>leva 7 dias úteis com o cliente para o handover, lidando com 3 clientes ao mesmo tempo</t>
  </si>
  <si>
    <t>4 clientes por dia</t>
  </si>
  <si>
    <t>Onboarding</t>
  </si>
  <si>
    <t>leva 12 dias úteis com o cliente para o handover, lidando com 5 clientes ao mesmo tempo</t>
  </si>
  <si>
    <t>Estrategista</t>
  </si>
  <si>
    <t>CS e Designer ficam flutuantes</t>
  </si>
  <si>
    <t>Mídias Pagas</t>
  </si>
  <si>
    <t>Copy</t>
  </si>
  <si>
    <t>Auxiliar</t>
  </si>
  <si>
    <t>Nem precisa mexer</t>
  </si>
  <si>
    <t>Copy: está no onboarding e nos squads social e place</t>
  </si>
  <si>
    <t>Copy place ads faz grande volume no onboarding e atua a cada 3 meses. Do professional consegue 2 textos por dia e uma campanha de trafego. Comporta 100 clientes</t>
  </si>
  <si>
    <t>Designer: está no onboarding e nos squads social e professional</t>
  </si>
  <si>
    <t>Faz tranquilamente 6 tarefas por dia/ 30 por semana. Social tem 2 conteúdos por semana, comportando 15 clientes por semana</t>
  </si>
  <si>
    <t>Dev: tudo</t>
  </si>
  <si>
    <t>LP na epoca de onboarding, apontar o blog em professional e premium, criar automação e-mail mkt premium</t>
  </si>
  <si>
    <t>Comporta até 40 clientes em back end (26 clientes em outra empresa), mas precisando de outro dev front end. A validar</t>
  </si>
  <si>
    <t>Editor: tudo</t>
  </si>
  <si>
    <t>Comporta até 40 clientes (20 vídeos em melhor qualidade)</t>
  </si>
  <si>
    <t>Trafego Pago</t>
  </si>
  <si>
    <t>Squad Place Ads</t>
  </si>
  <si>
    <t>100 clientes</t>
  </si>
  <si>
    <t>50 clientes</t>
  </si>
  <si>
    <t>CS</t>
  </si>
  <si>
    <t>50 clientes (Fe: acha muito, estima 25 clientes)</t>
  </si>
  <si>
    <t>Thaís acha q dá 50, pq ele conseguiria 5 reuniões por dia e Place Ads é reunião semanal</t>
  </si>
  <si>
    <t>TP + Social</t>
  </si>
  <si>
    <t>Squad Social</t>
  </si>
  <si>
    <t>35 pq faz mais coisas</t>
  </si>
  <si>
    <t>35 clientes (Fe acha que tem que ser 20)</t>
  </si>
  <si>
    <t>35 clientes</t>
  </si>
  <si>
    <t>Editor de Vídeo</t>
  </si>
  <si>
    <t>70 clientes</t>
  </si>
  <si>
    <t>TP + Social + Blog</t>
  </si>
  <si>
    <t>Professional</t>
  </si>
  <si>
    <t>Limite de 20 clientes</t>
  </si>
  <si>
    <t>25 clientes</t>
  </si>
  <si>
    <t>50 clientes (Fe: acha muito, estima 20 clientes)</t>
  </si>
  <si>
    <t>SEO</t>
  </si>
  <si>
    <t>TP + Social + Blog + e-mail mkt</t>
  </si>
  <si>
    <t>Premium</t>
  </si>
  <si>
    <t>Dev</t>
  </si>
  <si>
    <t>ADM PERSON - Unibee</t>
  </si>
  <si>
    <t>Contabildade</t>
  </si>
  <si>
    <t>Mensalidades ref a out e dez</t>
  </si>
  <si>
    <t>Paulo - Unibee</t>
  </si>
  <si>
    <t>Mensalidade ref a nov</t>
  </si>
  <si>
    <t>Panda</t>
  </si>
  <si>
    <t>Plataforma</t>
  </si>
  <si>
    <t>Mensalidade ref a set e out</t>
  </si>
  <si>
    <t>Mensalidade ref a dez</t>
  </si>
  <si>
    <t>LB</t>
  </si>
  <si>
    <t>Simples Nacional</t>
  </si>
  <si>
    <t>29.307.945/0001-32</t>
  </si>
  <si>
    <t>DAMSP</t>
  </si>
  <si>
    <t>1ª Parcelas 13º</t>
  </si>
  <si>
    <t>2ª Parcelas 13º</t>
  </si>
  <si>
    <t>Contrato Social (Unibee)</t>
  </si>
  <si>
    <t>03.313.161/0001-23</t>
  </si>
  <si>
    <t>413.209.788-94</t>
  </si>
  <si>
    <t>07-12/11</t>
  </si>
  <si>
    <t>09-12/11</t>
  </si>
  <si>
    <t>Millena</t>
  </si>
  <si>
    <t>13/11/2024 e janta dia 1</t>
  </si>
  <si>
    <t>13-17/11</t>
  </si>
  <si>
    <t>18-22/11</t>
  </si>
  <si>
    <t>Verificar o que é</t>
  </si>
  <si>
    <t>Segurar. Cancelaremos</t>
  </si>
  <si>
    <t>Não pagaremos</t>
  </si>
  <si>
    <t>Verificar quanto cobram por exame</t>
  </si>
  <si>
    <t>Vai sair</t>
  </si>
  <si>
    <t>Vai sair e migrar para outro</t>
  </si>
  <si>
    <t>Valor necessário em 18/10</t>
  </si>
  <si>
    <t>Valor necessário em 28/10</t>
  </si>
  <si>
    <t>Adicional Hoffman até 31/10</t>
  </si>
  <si>
    <t>Cenário pessimista</t>
  </si>
  <si>
    <t>Não recebemos dos clientes e temos que pagar Tec Mobile</t>
  </si>
  <si>
    <t>Cenário provável</t>
  </si>
  <si>
    <t>Não recebemos dos clientes críticos e temos que pagar Tec Mobile</t>
  </si>
  <si>
    <t>Cenário otimista</t>
  </si>
  <si>
    <t>Recebemos tudo e não precisamos pagar Tec Mobile</t>
  </si>
  <si>
    <t>Cenário atual</t>
  </si>
  <si>
    <t>Recebemos tudo e precisamos pagar Tec Mobile</t>
  </si>
  <si>
    <t>Dr Felipe Maia</t>
  </si>
  <si>
    <t>White Label</t>
  </si>
  <si>
    <t>White label</t>
  </si>
  <si>
    <t>Igrejas Ativas</t>
  </si>
  <si>
    <t>Novas Igrejas</t>
  </si>
  <si>
    <t>ISS Palhoça</t>
  </si>
  <si>
    <t>Impostos Obrigatórios</t>
  </si>
  <si>
    <t>CPRB/INSS</t>
  </si>
  <si>
    <t>Lucro Presumido</t>
  </si>
  <si>
    <r>
      <t xml:space="preserve">CNAE: </t>
    </r>
    <r>
      <rPr>
        <sz val="10"/>
        <color rgb="FF333333"/>
        <rFont val="Arial"/>
        <family val="2"/>
      </rPr>
      <t>62.04-0-00 - Consultoria em tecnologia da informação</t>
    </r>
  </si>
  <si>
    <t>Igrejas Ativas Dezembro/26</t>
  </si>
  <si>
    <t>Igrejas Ativas Dezembro/27</t>
  </si>
  <si>
    <t>Igrejas Ativas Dezembro/29</t>
  </si>
  <si>
    <t>Igrejas Ativas Dezembro/28</t>
  </si>
  <si>
    <t>Vendedores Ativos</t>
  </si>
  <si>
    <t>META</t>
  </si>
  <si>
    <t>Tabela de Comissão</t>
  </si>
  <si>
    <t>META 100%</t>
  </si>
  <si>
    <t>Abaixo de 50%</t>
  </si>
  <si>
    <t>Setup - Venda Nova</t>
  </si>
  <si>
    <t>META 135%</t>
  </si>
  <si>
    <t>Vendedores</t>
  </si>
  <si>
    <t>AJUDA DE CUSTO</t>
  </si>
  <si>
    <t>Abaixo de -2% de Churn</t>
  </si>
  <si>
    <t>Abaixo de -2,5% de Churn</t>
  </si>
  <si>
    <t>Abaixo de -3% de Churn</t>
  </si>
  <si>
    <t>Regras de Comissões Farmer Recorrente</t>
  </si>
  <si>
    <t>Aluguel Palhoça - Conecta Hub Pedra Branca</t>
  </si>
  <si>
    <t>Licença de AI</t>
  </si>
  <si>
    <t>Contabilidade - Audita Contábil</t>
  </si>
  <si>
    <t>Advogado - Corp Law</t>
  </si>
  <si>
    <t>por usuário</t>
  </si>
  <si>
    <t>Locação de Computadores</t>
  </si>
  <si>
    <t>Software House - Devs</t>
  </si>
  <si>
    <t>APIs Pastor (GPT-4o)</t>
  </si>
  <si>
    <t>APIs Membros (Mini/Flash - uso intenso)</t>
  </si>
  <si>
    <t>Servidor / Banco de Dados / Backup</t>
  </si>
  <si>
    <t>por Igreja</t>
  </si>
  <si>
    <t>BPO</t>
  </si>
  <si>
    <t>a cada 100 clientes ativos</t>
  </si>
  <si>
    <t>Empresa de Prospecção</t>
  </si>
  <si>
    <t>por Lead Qualificado</t>
  </si>
  <si>
    <t>Conta Azul</t>
  </si>
  <si>
    <t>Custo Uso Salas Coworking</t>
  </si>
  <si>
    <t>Assessoria de Imprensa</t>
  </si>
  <si>
    <t>Agência</t>
  </si>
  <si>
    <t>Ajuda</t>
  </si>
  <si>
    <t>Igrejas</t>
  </si>
  <si>
    <t>Venda</t>
  </si>
  <si>
    <t>80% a 99,99%</t>
  </si>
  <si>
    <t>50% a 79,99%</t>
  </si>
  <si>
    <t>Regras de Comissões Vendedor</t>
  </si>
  <si>
    <t>Custo Farmer</t>
  </si>
  <si>
    <t>Custo Comercial</t>
  </si>
  <si>
    <t>Qts de Vendedores</t>
  </si>
  <si>
    <t>Qts de Farmer</t>
  </si>
  <si>
    <t>Igrejas sai uma venda</t>
  </si>
  <si>
    <t>Ruach Partipações e Investimentos LTDA</t>
  </si>
  <si>
    <t>Plathanus Ltda</t>
  </si>
  <si>
    <t>APIs Membros Mini/Flash</t>
  </si>
  <si>
    <t>ano</t>
  </si>
  <si>
    <t xml:space="preserve"> ano</t>
  </si>
  <si>
    <t>Fornecedores Geral</t>
  </si>
  <si>
    <t>5 Meses</t>
  </si>
  <si>
    <t>Fintech Spread</t>
  </si>
  <si>
    <t>Dízimos e Ofertas</t>
  </si>
  <si>
    <t>Lumina Bank</t>
  </si>
  <si>
    <t>ACIMA DE 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</si>
</sst>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4" formatCode="_-&quot;R$&quot;\ * #,##0.00_-;\-&quot;R$&quot;\ * #,##0.00_-;_-&quot;R$&quot;\ * &quot;-&quot;??_-;_-@_-"/>
    <numFmt numFmtId="164" formatCode="_-* #,##0_-;\-* #,##0_-;_-* &quot;-&quot;??_-;_-@"/>
    <numFmt numFmtId="165" formatCode="#,##0;[Red]\(#,##0\)"/>
    <numFmt numFmtId="166" formatCode="0.0%"/>
    <numFmt numFmtId="167" formatCode="_-&quot;R$&quot;\ * #,##0_-;\-&quot;R$&quot;\ * #,##0_-;_-&quot;R$&quot;\ * &quot;-&quot;??_-;_-@"/>
    <numFmt numFmtId="168" formatCode="_-&quot;R$&quot;\ * #,##0.00_-;\-&quot;R$&quot;\ * #,##0.00_-;_-&quot;R$&quot;\ * &quot;-&quot;??_-;_-@"/>
    <numFmt numFmtId="169" formatCode="&quot;R$&quot;\ #,##0.00"/>
    <numFmt numFmtId="170" formatCode="[$R$ -416]#,##0.00"/>
    <numFmt numFmtId="171" formatCode="mmm/d"/>
    <numFmt numFmtId="172" formatCode="_(* #,##0.00_);_(* \(#,##0.00\);_(* &quot;-&quot;??_);_(@_)"/>
    <numFmt numFmtId="173" formatCode="#,##0.00;[Red]\(#,##0.00\)"/>
    <numFmt numFmtId="174" formatCode="d/m/yyyy"/>
    <numFmt numFmtId="175" formatCode="dd/mm"/>
    <numFmt numFmtId="176" formatCode="d/m"/>
    <numFmt numFmtId="177" formatCode="d/m/yy"/>
    <numFmt numFmtId="178" formatCode="dd/mm/yy"/>
    <numFmt numFmtId="179" formatCode="_-* #,##0.00_-;\-* #,##0.00_-;_-* &quot;-&quot;??_-;_-@"/>
    <numFmt numFmtId="180" formatCode="0.0"/>
    <numFmt numFmtId="181" formatCode="#,##0.00;\(#,##0.00\)"/>
  </numFmts>
  <fonts count="66">
    <font>
      <sz val="11"/>
      <color rgb="FF000000"/>
      <name val="Calibri"/>
      <scheme val="minor"/>
    </font>
    <font>
      <sz val="11"/>
      <color theme="1"/>
      <name val="Calibri"/>
      <family val="2"/>
      <scheme val="minor"/>
    </font>
    <font>
      <b/>
      <sz val="11"/>
      <color rgb="FF000000"/>
      <name val="Calibri"/>
    </font>
    <font>
      <b/>
      <sz val="10"/>
      <color rgb="FF000000"/>
      <name val="Calibri"/>
    </font>
    <font>
      <sz val="11"/>
      <color rgb="FF000000"/>
      <name val="Calibri"/>
    </font>
    <font>
      <sz val="11"/>
      <color theme="1"/>
      <name val="Calibri"/>
    </font>
    <font>
      <b/>
      <sz val="11"/>
      <color theme="1"/>
      <name val="Calibri"/>
    </font>
    <font>
      <sz val="11"/>
      <color theme="1"/>
      <name val="Calibri"/>
    </font>
    <font>
      <sz val="11"/>
      <name val="Calibri"/>
    </font>
    <font>
      <i/>
      <sz val="10"/>
      <color theme="1"/>
      <name val="Calibri"/>
    </font>
    <font>
      <sz val="10"/>
      <color theme="1"/>
      <name val="Calibri"/>
    </font>
    <font>
      <sz val="10"/>
      <color rgb="FF000000"/>
      <name val="Calibri"/>
    </font>
    <font>
      <b/>
      <sz val="12"/>
      <color theme="1"/>
      <name val="Calibri"/>
    </font>
    <font>
      <i/>
      <sz val="10"/>
      <color rgb="FF000000"/>
      <name val="Calibri"/>
    </font>
    <font>
      <sz val="9"/>
      <color rgb="FF000000"/>
      <name val="Calibri"/>
    </font>
    <font>
      <sz val="22"/>
      <color rgb="FFFFFFFF"/>
      <name val="Calibri"/>
    </font>
    <font>
      <b/>
      <sz val="24"/>
      <color theme="1"/>
      <name val="Calibri"/>
    </font>
    <font>
      <sz val="11"/>
      <color rgb="FFFF0000"/>
      <name val="Calibri"/>
    </font>
    <font>
      <sz val="11"/>
      <color rgb="FF000000"/>
      <name val="Calibri"/>
      <scheme val="minor"/>
    </font>
    <font>
      <b/>
      <sz val="11"/>
      <color rgb="FFFFFFFF"/>
      <name val="Calibri"/>
    </font>
    <font>
      <sz val="11"/>
      <color rgb="FF000000"/>
      <name val="Arial"/>
    </font>
    <font>
      <b/>
      <sz val="11"/>
      <color rgb="FFFF0000"/>
      <name val="Calibri"/>
    </font>
    <font>
      <sz val="11"/>
      <color rgb="FFFF0000"/>
      <name val="Calibri"/>
    </font>
    <font>
      <sz val="11"/>
      <color rgb="FF000000"/>
      <name val="&quot;Aptos Narrow&quot;"/>
    </font>
    <font>
      <sz val="11"/>
      <color theme="1"/>
      <name val="Arial"/>
    </font>
    <font>
      <b/>
      <sz val="14"/>
      <color rgb="FF005795"/>
      <name val="Calibri"/>
    </font>
    <font>
      <b/>
      <sz val="14"/>
      <color rgb="FF000000"/>
      <name val="Calibri"/>
    </font>
    <font>
      <strike/>
      <sz val="11"/>
      <color theme="1"/>
      <name val="Calibri"/>
    </font>
    <font>
      <strike/>
      <sz val="11"/>
      <color rgb="FFFF0000"/>
      <name val="Calibri"/>
    </font>
    <font>
      <sz val="11"/>
      <color rgb="FFCFE2F3"/>
      <name val="Calibri"/>
    </font>
    <font>
      <sz val="11"/>
      <color rgb="FFD9EAD3"/>
      <name val="Calibri"/>
    </font>
    <font>
      <strike/>
      <sz val="11"/>
      <color rgb="FF000000"/>
      <name val="Calibri"/>
    </font>
    <font>
      <b/>
      <sz val="13"/>
      <color rgb="FFFFFFFF"/>
      <name val="Calibri"/>
    </font>
    <font>
      <sz val="11"/>
      <color rgb="FF38761D"/>
      <name val="Calibri"/>
    </font>
    <font>
      <b/>
      <sz val="18"/>
      <color theme="1"/>
      <name val="Calibri"/>
    </font>
    <font>
      <b/>
      <sz val="13"/>
      <color theme="1"/>
      <name val="Calibri"/>
    </font>
    <font>
      <b/>
      <sz val="17"/>
      <color theme="1"/>
      <name val="Calibri"/>
    </font>
    <font>
      <sz val="11"/>
      <color rgb="FF1F1F1F"/>
      <name val="Arial"/>
    </font>
    <font>
      <sz val="11"/>
      <color rgb="FF00FF00"/>
      <name val="Calibri"/>
    </font>
    <font>
      <strike/>
      <sz val="11"/>
      <color rgb="FF00FF00"/>
      <name val="Calibri"/>
    </font>
    <font>
      <u/>
      <sz val="11"/>
      <color rgb="FF0000FF"/>
      <name val="Calibri"/>
    </font>
    <font>
      <sz val="11"/>
      <color theme="1"/>
      <name val="Calibri"/>
      <family val="2"/>
    </font>
    <font>
      <b/>
      <sz val="12"/>
      <name val="Calibri"/>
      <family val="2"/>
    </font>
    <font>
      <b/>
      <sz val="11"/>
      <color theme="1"/>
      <name val="Calibri"/>
      <family val="2"/>
    </font>
    <font>
      <b/>
      <sz val="11"/>
      <color rgb="FF000000"/>
      <name val="Calibri"/>
      <family val="2"/>
      <scheme val="minor"/>
    </font>
    <font>
      <b/>
      <sz val="11"/>
      <color rgb="FFFF0000"/>
      <name val="Calibri"/>
      <family val="2"/>
    </font>
    <font>
      <sz val="9"/>
      <color rgb="FF000000"/>
      <name val="Calibri"/>
      <family val="2"/>
    </font>
    <font>
      <sz val="11"/>
      <color rgb="FF000000"/>
      <name val="Calibri"/>
      <family val="2"/>
    </font>
    <font>
      <b/>
      <sz val="11"/>
      <color rgb="FF000000"/>
      <name val="Calibri"/>
      <family val="2"/>
    </font>
    <font>
      <b/>
      <sz val="10"/>
      <color rgb="FF333333"/>
      <name val="Arial"/>
      <family val="2"/>
    </font>
    <font>
      <sz val="10"/>
      <color rgb="FF333333"/>
      <name val="Arial"/>
      <family val="2"/>
    </font>
    <font>
      <sz val="10"/>
      <color rgb="FF000000"/>
      <name val="Calibri"/>
      <family val="2"/>
    </font>
    <font>
      <b/>
      <sz val="18"/>
      <color theme="1"/>
      <name val="Calibri"/>
      <family val="2"/>
    </font>
    <font>
      <b/>
      <sz val="20"/>
      <color theme="1"/>
      <name val="Calibri"/>
      <family val="2"/>
    </font>
    <font>
      <b/>
      <sz val="24"/>
      <color theme="1"/>
      <name val="Calibri"/>
      <family val="2"/>
    </font>
    <font>
      <sz val="11"/>
      <name val="Calibri"/>
      <family val="2"/>
    </font>
    <font>
      <sz val="11"/>
      <color theme="1"/>
      <name val="Arial"/>
      <family val="2"/>
    </font>
    <font>
      <b/>
      <sz val="11"/>
      <color theme="1"/>
      <name val="Arial"/>
      <family val="2"/>
    </font>
    <font>
      <b/>
      <sz val="11"/>
      <color rgb="FFFFFFFF"/>
      <name val="Calibri"/>
      <family val="2"/>
    </font>
    <font>
      <sz val="18"/>
      <name val="Calibri"/>
      <family val="2"/>
    </font>
    <font>
      <sz val="10"/>
      <color theme="1"/>
      <name val="Arial"/>
      <family val="2"/>
    </font>
    <font>
      <sz val="10"/>
      <color rgb="FF000000"/>
      <name val="Calibri"/>
      <family val="2"/>
      <scheme val="minor"/>
    </font>
    <font>
      <b/>
      <sz val="10"/>
      <color theme="1"/>
      <name val="Calibri"/>
      <family val="2"/>
    </font>
    <font>
      <b/>
      <sz val="10"/>
      <color theme="1"/>
      <name val="Arial"/>
      <family val="2"/>
    </font>
    <font>
      <i/>
      <sz val="10"/>
      <color theme="1"/>
      <name val="Calibri"/>
      <family val="2"/>
    </font>
    <font>
      <sz val="10"/>
      <color theme="1"/>
      <name val="Calibri"/>
      <family val="2"/>
    </font>
  </fonts>
  <fills count="64">
    <fill>
      <patternFill patternType="none"/>
    </fill>
    <fill>
      <patternFill patternType="gray125"/>
    </fill>
    <fill>
      <patternFill patternType="solid">
        <fgColor theme="6"/>
        <bgColor theme="6"/>
      </patternFill>
    </fill>
    <fill>
      <patternFill patternType="solid">
        <fgColor theme="0"/>
        <bgColor theme="0"/>
      </patternFill>
    </fill>
    <fill>
      <patternFill patternType="solid">
        <fgColor rgb="FFFFFFFF"/>
        <bgColor rgb="FFFFFFFF"/>
      </patternFill>
    </fill>
    <fill>
      <patternFill patternType="solid">
        <fgColor rgb="FFFCE5CD"/>
        <bgColor rgb="FFFCE5CD"/>
      </patternFill>
    </fill>
    <fill>
      <patternFill patternType="solid">
        <fgColor rgb="FFD9EAD3"/>
        <bgColor rgb="FFD9EAD3"/>
      </patternFill>
    </fill>
    <fill>
      <patternFill patternType="solid">
        <fgColor rgb="FFD8D8D8"/>
        <bgColor rgb="FFD8D8D8"/>
      </patternFill>
    </fill>
    <fill>
      <patternFill patternType="solid">
        <fgColor rgb="FFFF9900"/>
        <bgColor rgb="FFFF9900"/>
      </patternFill>
    </fill>
    <fill>
      <patternFill patternType="solid">
        <fgColor rgb="FFD5A6BD"/>
        <bgColor rgb="FFD5A6BD"/>
      </patternFill>
    </fill>
    <fill>
      <patternFill patternType="solid">
        <fgColor rgb="FFB6DDE8"/>
        <bgColor rgb="FFB6DDE8"/>
      </patternFill>
    </fill>
    <fill>
      <patternFill patternType="solid">
        <fgColor rgb="FFCFE2F3"/>
        <bgColor rgb="FFCFE2F3"/>
      </patternFill>
    </fill>
    <fill>
      <patternFill patternType="solid">
        <fgColor rgb="FF00FF00"/>
        <bgColor rgb="FF00FF00"/>
      </patternFill>
    </fill>
    <fill>
      <patternFill patternType="solid">
        <fgColor rgb="FF595959"/>
        <bgColor rgb="FF595959"/>
      </patternFill>
    </fill>
    <fill>
      <patternFill patternType="solid">
        <fgColor rgb="FFEAF1DD"/>
        <bgColor rgb="FFEAF1DD"/>
      </patternFill>
    </fill>
    <fill>
      <patternFill patternType="solid">
        <fgColor rgb="FFB7B7B7"/>
        <bgColor rgb="FFB7B7B7"/>
      </patternFill>
    </fill>
    <fill>
      <patternFill patternType="solid">
        <fgColor rgb="FFB4A7D6"/>
        <bgColor rgb="FFB4A7D6"/>
      </patternFill>
    </fill>
    <fill>
      <patternFill patternType="solid">
        <fgColor rgb="FFE7E6E6"/>
        <bgColor rgb="FFE7E6E6"/>
      </patternFill>
    </fill>
    <fill>
      <patternFill patternType="solid">
        <fgColor rgb="FFF4CCCC"/>
        <bgColor rgb="FFF4CCCC"/>
      </patternFill>
    </fill>
    <fill>
      <patternFill patternType="solid">
        <fgColor rgb="FFD9D9D9"/>
        <bgColor rgb="FFD9D9D9"/>
      </patternFill>
    </fill>
    <fill>
      <patternFill patternType="solid">
        <fgColor rgb="FFE2EFD9"/>
        <bgColor rgb="FFE2EFD9"/>
      </patternFill>
    </fill>
    <fill>
      <patternFill patternType="solid">
        <fgColor rgb="FFFFFF00"/>
        <bgColor rgb="FFFFFF00"/>
      </patternFill>
    </fill>
    <fill>
      <patternFill patternType="solid">
        <fgColor rgb="FFD9E2F3"/>
        <bgColor rgb="FFD9E2F3"/>
      </patternFill>
    </fill>
    <fill>
      <patternFill patternType="solid">
        <fgColor rgb="FFFFF2CC"/>
        <bgColor rgb="FFFFF2CC"/>
      </patternFill>
    </fill>
    <fill>
      <patternFill patternType="solid">
        <fgColor rgb="FFF2DBDB"/>
        <bgColor rgb="FFF2DBDB"/>
      </patternFill>
    </fill>
    <fill>
      <patternFill patternType="solid">
        <fgColor rgb="FFC9DAF8"/>
        <bgColor rgb="FFC9DAF8"/>
      </patternFill>
    </fill>
    <fill>
      <patternFill patternType="solid">
        <fgColor rgb="FF1C4587"/>
        <bgColor rgb="FF1C4587"/>
      </patternFill>
    </fill>
    <fill>
      <patternFill patternType="solid">
        <fgColor rgb="FF93C47D"/>
        <bgColor rgb="FF93C47D"/>
      </patternFill>
    </fill>
    <fill>
      <patternFill patternType="solid">
        <fgColor rgb="FFFBE4D5"/>
        <bgColor rgb="FFFBE4D5"/>
      </patternFill>
    </fill>
    <fill>
      <patternFill patternType="solid">
        <fgColor theme="4"/>
        <bgColor theme="4"/>
      </patternFill>
    </fill>
    <fill>
      <patternFill patternType="solid">
        <fgColor rgb="FFFEF2CB"/>
        <bgColor rgb="FFFEF2CB"/>
      </patternFill>
    </fill>
    <fill>
      <patternFill patternType="solid">
        <fgColor rgb="FFEAD1DC"/>
        <bgColor rgb="FFEAD1DC"/>
      </patternFill>
    </fill>
    <fill>
      <patternFill patternType="solid">
        <fgColor rgb="FFB6D7A8"/>
        <bgColor rgb="FFB6D7A8"/>
      </patternFill>
    </fill>
    <fill>
      <patternFill patternType="solid">
        <fgColor rgb="FF9FC5E8"/>
        <bgColor rgb="FF9FC5E8"/>
      </patternFill>
    </fill>
    <fill>
      <patternFill patternType="solid">
        <fgColor rgb="FFA4C2F4"/>
        <bgColor rgb="FFA4C2F4"/>
      </patternFill>
    </fill>
    <fill>
      <patternFill patternType="solid">
        <fgColor rgb="FFFFE599"/>
        <bgColor rgb="FFFFE599"/>
      </patternFill>
    </fill>
    <fill>
      <patternFill patternType="solid">
        <fgColor rgb="FFFF0000"/>
        <bgColor rgb="FFFF0000"/>
      </patternFill>
    </fill>
    <fill>
      <patternFill patternType="solid">
        <fgColor rgb="FFD0E0E3"/>
        <bgColor rgb="FFD0E0E3"/>
      </patternFill>
    </fill>
    <fill>
      <patternFill patternType="solid">
        <fgColor rgb="FFF9CB9C"/>
        <bgColor rgb="FFF9CB9C"/>
      </patternFill>
    </fill>
    <fill>
      <patternFill patternType="solid">
        <fgColor rgb="FFF6B26B"/>
        <bgColor rgb="FFF6B26B"/>
      </patternFill>
    </fill>
    <fill>
      <patternFill patternType="solid">
        <fgColor rgb="FFEA9999"/>
        <bgColor rgb="FFEA9999"/>
      </patternFill>
    </fill>
    <fill>
      <patternFill patternType="solid">
        <fgColor rgb="FFA8D08D"/>
        <bgColor rgb="FFA8D08D"/>
      </patternFill>
    </fill>
    <fill>
      <patternFill patternType="solid">
        <fgColor rgb="FF548135"/>
        <bgColor rgb="FF548135"/>
      </patternFill>
    </fill>
    <fill>
      <patternFill patternType="solid">
        <fgColor rgb="FFE06666"/>
        <bgColor rgb="FFE06666"/>
      </patternFill>
    </fill>
    <fill>
      <patternFill patternType="solid">
        <fgColor theme="9" tint="0.79998168889431442"/>
        <bgColor rgb="FFCFE2F3"/>
      </patternFill>
    </fill>
    <fill>
      <patternFill patternType="solid">
        <fgColor theme="9"/>
        <bgColor rgb="FFCFE2F3"/>
      </patternFill>
    </fill>
    <fill>
      <patternFill patternType="solid">
        <fgColor theme="9" tint="0.59999389629810485"/>
        <bgColor rgb="FFD8D8D8"/>
      </patternFill>
    </fill>
    <fill>
      <patternFill patternType="solid">
        <fgColor theme="0"/>
        <bgColor rgb="FFD8D8D8"/>
      </patternFill>
    </fill>
    <fill>
      <patternFill patternType="solid">
        <fgColor theme="0"/>
        <bgColor rgb="FFD9D9D9"/>
      </patternFill>
    </fill>
    <fill>
      <patternFill patternType="solid">
        <fgColor theme="0"/>
        <bgColor indexed="64"/>
      </patternFill>
    </fill>
    <fill>
      <patternFill patternType="solid">
        <fgColor theme="6" tint="0.79998168889431442"/>
        <bgColor indexed="64"/>
      </patternFill>
    </fill>
    <fill>
      <patternFill patternType="solid">
        <fgColor theme="0"/>
        <bgColor rgb="FFFFFFFF"/>
      </patternFill>
    </fill>
    <fill>
      <patternFill patternType="solid">
        <fgColor rgb="FFFFFF00"/>
        <bgColor rgb="FFD8D8D8"/>
      </patternFill>
    </fill>
    <fill>
      <patternFill patternType="solid">
        <fgColor rgb="FFFFFF00"/>
        <bgColor rgb="FFF2DBDB"/>
      </patternFill>
    </fill>
    <fill>
      <patternFill patternType="solid">
        <fgColor theme="9"/>
        <bgColor rgb="FFFFFFFF"/>
      </patternFill>
    </fill>
    <fill>
      <patternFill patternType="solid">
        <fgColor theme="0"/>
        <bgColor rgb="FFFF9900"/>
      </patternFill>
    </fill>
    <fill>
      <patternFill patternType="solid">
        <fgColor theme="0"/>
        <bgColor rgb="FFD5A6BD"/>
      </patternFill>
    </fill>
    <fill>
      <patternFill patternType="solid">
        <fgColor rgb="FFFFFF00"/>
        <bgColor indexed="64"/>
      </patternFill>
    </fill>
    <fill>
      <patternFill patternType="solid">
        <fgColor theme="0"/>
        <bgColor rgb="FFB7B7B7"/>
      </patternFill>
    </fill>
    <fill>
      <patternFill patternType="solid">
        <fgColor theme="0"/>
        <bgColor rgb="FFB4A7D6"/>
      </patternFill>
    </fill>
    <fill>
      <patternFill patternType="solid">
        <fgColor rgb="FFFFFF00"/>
        <bgColor theme="0"/>
      </patternFill>
    </fill>
    <fill>
      <patternFill patternType="solid">
        <fgColor theme="9"/>
        <bgColor rgb="FFD8D8D8"/>
      </patternFill>
    </fill>
    <fill>
      <patternFill patternType="solid">
        <fgColor theme="7" tint="0.59999389629810485"/>
        <bgColor rgb="FFD8D8D8"/>
      </patternFill>
    </fill>
    <fill>
      <patternFill patternType="solid">
        <fgColor theme="7" tint="0.59999389629810485"/>
        <bgColor rgb="FFD5A6BD"/>
      </patternFill>
    </fill>
  </fills>
  <borders count="10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right style="thin">
        <color rgb="FFFFFFFF"/>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style="thin">
        <color rgb="FF000000"/>
      </top>
      <bottom/>
      <diagonal/>
    </border>
    <border>
      <left/>
      <right/>
      <top style="thin">
        <color rgb="FF000000"/>
      </top>
      <bottom/>
      <diagonal/>
    </border>
    <border>
      <left/>
      <right/>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right/>
      <top/>
      <bottom style="thin">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bottom/>
      <diagonal/>
    </border>
    <border>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style="thin">
        <color rgb="FF000000"/>
      </left>
      <right style="thin">
        <color rgb="FF000000"/>
      </right>
      <top/>
      <bottom/>
      <diagonal/>
    </border>
    <border>
      <left/>
      <right/>
      <top style="thin">
        <color rgb="FF999999"/>
      </top>
      <bottom style="thin">
        <color rgb="FF999999"/>
      </bottom>
      <diagonal/>
    </border>
    <border>
      <left/>
      <right/>
      <top style="thin">
        <color rgb="FF999999"/>
      </top>
      <bottom style="thin">
        <color rgb="FF999999"/>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style="thin">
        <color rgb="FF000000"/>
      </left>
      <right/>
      <top/>
      <bottom/>
      <diagonal/>
    </border>
    <border>
      <left style="thin">
        <color rgb="FF000000"/>
      </left>
      <right/>
      <top/>
      <bottom style="thin">
        <color rgb="FF000000"/>
      </bottom>
      <diagonal/>
    </border>
    <border>
      <left style="thin">
        <color rgb="FF434343"/>
      </left>
      <right style="thin">
        <color rgb="FF434343"/>
      </right>
      <top style="thin">
        <color rgb="FF434343"/>
      </top>
      <bottom style="thin">
        <color rgb="FF434343"/>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indexed="64"/>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rgb="FF434343"/>
      </left>
      <right/>
      <top style="thin">
        <color rgb="FF434343"/>
      </top>
      <bottom style="thin">
        <color rgb="FF434343"/>
      </bottom>
      <diagonal/>
    </border>
    <border>
      <left/>
      <right style="thin">
        <color rgb="FF434343"/>
      </right>
      <top style="thin">
        <color rgb="FF434343"/>
      </top>
      <bottom style="thin">
        <color rgb="FF434343"/>
      </bottom>
      <diagonal/>
    </border>
    <border>
      <left style="medium">
        <color rgb="FF000000"/>
      </left>
      <right style="medium">
        <color rgb="FF000000"/>
      </right>
      <top/>
      <bottom/>
      <diagonal/>
    </border>
    <border>
      <left style="thick">
        <color rgb="FF0000CC"/>
      </left>
      <right/>
      <top style="thick">
        <color rgb="FF0000CC"/>
      </top>
      <bottom style="medium">
        <color rgb="FF0000CC"/>
      </bottom>
      <diagonal/>
    </border>
    <border>
      <left/>
      <right style="thick">
        <color rgb="FF0000CC"/>
      </right>
      <top style="thick">
        <color rgb="FF0000CC"/>
      </top>
      <bottom style="medium">
        <color rgb="FF0000CC"/>
      </bottom>
      <diagonal/>
    </border>
    <border>
      <left style="thick">
        <color rgb="FF0000CC"/>
      </left>
      <right style="thin">
        <color rgb="FF0000CC"/>
      </right>
      <top/>
      <bottom style="thin">
        <color rgb="FF0000CC"/>
      </bottom>
      <diagonal/>
    </border>
    <border>
      <left style="thin">
        <color rgb="FF0000CC"/>
      </left>
      <right style="thick">
        <color rgb="FF0000CC"/>
      </right>
      <top/>
      <bottom style="thin">
        <color rgb="FF0000CC"/>
      </bottom>
      <diagonal/>
    </border>
    <border>
      <left style="thick">
        <color rgb="FF0000CC"/>
      </left>
      <right style="thin">
        <color rgb="FF0000CC"/>
      </right>
      <top style="thin">
        <color rgb="FF0000CC"/>
      </top>
      <bottom style="thin">
        <color rgb="FF0000CC"/>
      </bottom>
      <diagonal/>
    </border>
    <border>
      <left style="thin">
        <color rgb="FF0000CC"/>
      </left>
      <right style="thick">
        <color rgb="FF0000CC"/>
      </right>
      <top style="thin">
        <color rgb="FF0000CC"/>
      </top>
      <bottom style="thin">
        <color rgb="FF0000CC"/>
      </bottom>
      <diagonal/>
    </border>
    <border>
      <left style="thick">
        <color rgb="FF0000CC"/>
      </left>
      <right style="thin">
        <color rgb="FF0000CC"/>
      </right>
      <top style="thin">
        <color rgb="FF0000CC"/>
      </top>
      <bottom style="thick">
        <color rgb="FF0000CC"/>
      </bottom>
      <diagonal/>
    </border>
    <border>
      <left style="thin">
        <color rgb="FF0000CC"/>
      </left>
      <right style="thick">
        <color rgb="FF0000CC"/>
      </right>
      <top style="thin">
        <color rgb="FF0000CC"/>
      </top>
      <bottom style="thick">
        <color rgb="FF0000CC"/>
      </bottom>
      <diagonal/>
    </border>
    <border>
      <left/>
      <right/>
      <top style="thick">
        <color rgb="FF0000CC"/>
      </top>
      <bottom style="medium">
        <color rgb="FF0000CC"/>
      </bottom>
      <diagonal/>
    </border>
    <border>
      <left style="thick">
        <color rgb="FF0000CC"/>
      </left>
      <right/>
      <top style="medium">
        <color rgb="FF0000CC"/>
      </top>
      <bottom style="thin">
        <color rgb="FF0000CC"/>
      </bottom>
      <diagonal/>
    </border>
    <border>
      <left/>
      <right style="thin">
        <color rgb="FF0000CC"/>
      </right>
      <top style="medium">
        <color rgb="FF0000CC"/>
      </top>
      <bottom style="thin">
        <color rgb="FF0000CC"/>
      </bottom>
      <diagonal/>
    </border>
    <border>
      <left style="thick">
        <color rgb="FF0000CC"/>
      </left>
      <right/>
      <top style="thin">
        <color rgb="FF0000CC"/>
      </top>
      <bottom style="thin">
        <color rgb="FF0000CC"/>
      </bottom>
      <diagonal/>
    </border>
    <border>
      <left/>
      <right style="thin">
        <color rgb="FF0000CC"/>
      </right>
      <top style="thin">
        <color rgb="FF0000CC"/>
      </top>
      <bottom style="thin">
        <color rgb="FF0000CC"/>
      </bottom>
      <diagonal/>
    </border>
    <border>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44" fontId="18" fillId="0" borderId="0" applyFont="0" applyFill="0" applyBorder="0" applyAlignment="0" applyProtection="0"/>
    <xf numFmtId="9" fontId="18" fillId="0" borderId="0" applyFont="0" applyFill="0" applyBorder="0" applyAlignment="0" applyProtection="0"/>
    <xf numFmtId="0" fontId="1" fillId="0" borderId="45"/>
  </cellStyleXfs>
  <cellXfs count="715">
    <xf numFmtId="0" fontId="0" fillId="0" borderId="0" xfId="0"/>
    <xf numFmtId="164" fontId="4" fillId="0" borderId="0" xfId="0" applyNumberFormat="1" applyFont="1" applyAlignment="1">
      <alignment horizontal="center" vertical="center"/>
    </xf>
    <xf numFmtId="164" fontId="4" fillId="0" borderId="0" xfId="0" applyNumberFormat="1" applyFont="1"/>
    <xf numFmtId="0" fontId="5" fillId="3" borderId="0" xfId="0" applyFont="1" applyFill="1"/>
    <xf numFmtId="0" fontId="6" fillId="3" borderId="0" xfId="0" applyFont="1" applyFill="1" applyAlignment="1">
      <alignment horizontal="center"/>
    </xf>
    <xf numFmtId="164" fontId="4" fillId="3" borderId="0" xfId="0" applyNumberFormat="1" applyFont="1" applyFill="1"/>
    <xf numFmtId="0" fontId="7" fillId="3" borderId="0" xfId="0" applyFont="1" applyFill="1" applyAlignment="1">
      <alignment horizontal="center"/>
    </xf>
    <xf numFmtId="0" fontId="5" fillId="4" borderId="0" xfId="0" applyFont="1" applyFill="1"/>
    <xf numFmtId="0" fontId="6" fillId="4" borderId="0" xfId="0" applyFont="1" applyFill="1" applyAlignment="1">
      <alignment horizontal="center"/>
    </xf>
    <xf numFmtId="164" fontId="4" fillId="4" borderId="0" xfId="0" applyNumberFormat="1" applyFont="1" applyFill="1"/>
    <xf numFmtId="0" fontId="7" fillId="4" borderId="0" xfId="0" applyFont="1" applyFill="1" applyAlignment="1">
      <alignment horizontal="center"/>
    </xf>
    <xf numFmtId="0" fontId="7" fillId="0" borderId="0" xfId="0" applyFont="1" applyAlignment="1">
      <alignment horizontal="center"/>
    </xf>
    <xf numFmtId="0" fontId="6" fillId="0" borderId="0" xfId="0" applyFont="1" applyAlignment="1">
      <alignment horizontal="center"/>
    </xf>
    <xf numFmtId="0" fontId="6" fillId="6" borderId="1" xfId="0" applyFont="1" applyFill="1" applyBorder="1" applyAlignment="1">
      <alignment horizontal="center"/>
    </xf>
    <xf numFmtId="0" fontId="6" fillId="7" borderId="1" xfId="0" applyFont="1" applyFill="1" applyBorder="1" applyAlignment="1">
      <alignment horizontal="center"/>
    </xf>
    <xf numFmtId="0" fontId="6" fillId="8" borderId="1" xfId="0" applyFont="1" applyFill="1" applyBorder="1" applyAlignment="1">
      <alignment horizontal="center"/>
    </xf>
    <xf numFmtId="0" fontId="6" fillId="10" borderId="5" xfId="0" applyFont="1" applyFill="1" applyBorder="1" applyAlignment="1">
      <alignment horizontal="center" vertical="center"/>
    </xf>
    <xf numFmtId="0" fontId="6" fillId="10" borderId="6" xfId="0" applyFont="1" applyFill="1" applyBorder="1" applyAlignment="1">
      <alignment horizontal="center" vertical="center"/>
    </xf>
    <xf numFmtId="0" fontId="2" fillId="0" borderId="0" xfId="0" applyFont="1" applyAlignment="1">
      <alignment horizontal="right"/>
    </xf>
    <xf numFmtId="164" fontId="4" fillId="0" borderId="8" xfId="0" applyNumberFormat="1" applyFont="1" applyBorder="1"/>
    <xf numFmtId="9" fontId="9" fillId="0" borderId="0" xfId="0" applyNumberFormat="1" applyFont="1" applyAlignment="1">
      <alignment horizontal="center"/>
    </xf>
    <xf numFmtId="164" fontId="7" fillId="0" borderId="0" xfId="0" applyNumberFormat="1" applyFont="1" applyAlignment="1">
      <alignment horizontal="center"/>
    </xf>
    <xf numFmtId="165" fontId="10" fillId="0" borderId="1" xfId="0" applyNumberFormat="1" applyFont="1" applyBorder="1" applyAlignment="1">
      <alignment horizontal="center"/>
    </xf>
    <xf numFmtId="0" fontId="4" fillId="0" borderId="0" xfId="0" applyFont="1" applyAlignment="1">
      <alignment horizontal="right"/>
    </xf>
    <xf numFmtId="9" fontId="9" fillId="0" borderId="1" xfId="0" applyNumberFormat="1" applyFont="1" applyBorder="1" applyAlignment="1">
      <alignment horizontal="center"/>
    </xf>
    <xf numFmtId="165" fontId="6" fillId="6" borderId="1" xfId="0" applyNumberFormat="1" applyFont="1" applyFill="1" applyBorder="1" applyAlignment="1">
      <alignment horizontal="center"/>
    </xf>
    <xf numFmtId="165" fontId="4" fillId="0" borderId="0" xfId="0" applyNumberFormat="1" applyFont="1"/>
    <xf numFmtId="0" fontId="12" fillId="0" borderId="0" xfId="0" applyFont="1" applyAlignment="1">
      <alignment horizontal="center" vertical="center" textRotation="90"/>
    </xf>
    <xf numFmtId="165" fontId="11" fillId="0" borderId="8" xfId="0" applyNumberFormat="1" applyFont="1" applyBorder="1"/>
    <xf numFmtId="165" fontId="11" fillId="0" borderId="0" xfId="0" applyNumberFormat="1" applyFont="1"/>
    <xf numFmtId="9" fontId="4" fillId="0" borderId="0" xfId="0" applyNumberFormat="1" applyFont="1"/>
    <xf numFmtId="10" fontId="9" fillId="0" borderId="0" xfId="0" applyNumberFormat="1" applyFont="1" applyAlignment="1">
      <alignment horizontal="center"/>
    </xf>
    <xf numFmtId="0" fontId="2" fillId="0" borderId="0" xfId="0" applyFont="1"/>
    <xf numFmtId="166" fontId="2" fillId="0" borderId="0" xfId="0" applyNumberFormat="1" applyFont="1"/>
    <xf numFmtId="164" fontId="2" fillId="0" borderId="0" xfId="0" applyNumberFormat="1" applyFont="1"/>
    <xf numFmtId="0" fontId="5" fillId="0" borderId="0" xfId="0" applyFont="1" applyAlignment="1">
      <alignment horizontal="right"/>
    </xf>
    <xf numFmtId="165" fontId="4" fillId="7" borderId="21" xfId="0" applyNumberFormat="1" applyFont="1" applyFill="1" applyBorder="1"/>
    <xf numFmtId="10" fontId="13" fillId="0" borderId="1" xfId="0" applyNumberFormat="1" applyFont="1" applyBorder="1"/>
    <xf numFmtId="10" fontId="13" fillId="0" borderId="0" xfId="0" applyNumberFormat="1" applyFont="1"/>
    <xf numFmtId="165" fontId="6" fillId="0" borderId="1" xfId="0" applyNumberFormat="1" applyFont="1" applyBorder="1" applyAlignment="1">
      <alignment horizontal="center"/>
    </xf>
    <xf numFmtId="0" fontId="5" fillId="0" borderId="0" xfId="0" applyFont="1" applyAlignment="1">
      <alignment vertical="center"/>
    </xf>
    <xf numFmtId="164" fontId="4" fillId="0" borderId="0" xfId="0" applyNumberFormat="1" applyFont="1" applyAlignment="1">
      <alignment vertical="center"/>
    </xf>
    <xf numFmtId="0" fontId="7" fillId="4" borderId="24" xfId="0" applyFont="1" applyFill="1" applyBorder="1" applyAlignment="1">
      <alignment vertical="center"/>
    </xf>
    <xf numFmtId="0" fontId="7" fillId="4" borderId="24" xfId="0" applyFont="1" applyFill="1" applyBorder="1"/>
    <xf numFmtId="0" fontId="7" fillId="4" borderId="23" xfId="0" applyFont="1" applyFill="1" applyBorder="1" applyAlignment="1">
      <alignment horizontal="center"/>
    </xf>
    <xf numFmtId="0" fontId="7" fillId="4" borderId="21" xfId="0" applyFont="1" applyFill="1" applyBorder="1" applyAlignment="1">
      <alignment horizontal="center"/>
    </xf>
    <xf numFmtId="0" fontId="7" fillId="4" borderId="27" xfId="0" applyFont="1" applyFill="1" applyBorder="1" applyAlignment="1">
      <alignment horizontal="center"/>
    </xf>
    <xf numFmtId="0" fontId="7" fillId="4" borderId="22" xfId="0" applyFont="1" applyFill="1" applyBorder="1" applyAlignment="1">
      <alignment horizontal="center"/>
    </xf>
    <xf numFmtId="0" fontId="6" fillId="4" borderId="24" xfId="0" applyFont="1" applyFill="1" applyBorder="1" applyAlignment="1">
      <alignment vertical="center"/>
    </xf>
    <xf numFmtId="0" fontId="7" fillId="0" borderId="0" xfId="0" applyFont="1"/>
    <xf numFmtId="0" fontId="5" fillId="0" borderId="0" xfId="0" applyFont="1"/>
    <xf numFmtId="9" fontId="7" fillId="4" borderId="24" xfId="0" applyNumberFormat="1" applyFont="1" applyFill="1" applyBorder="1"/>
    <xf numFmtId="0" fontId="7" fillId="4" borderId="23" xfId="0" applyFont="1" applyFill="1" applyBorder="1"/>
    <xf numFmtId="0" fontId="7" fillId="4" borderId="21" xfId="0" applyFont="1" applyFill="1" applyBorder="1"/>
    <xf numFmtId="167" fontId="7" fillId="4" borderId="21" xfId="0" applyNumberFormat="1" applyFont="1" applyFill="1" applyBorder="1" applyAlignment="1">
      <alignment horizontal="right"/>
    </xf>
    <xf numFmtId="0" fontId="7" fillId="4" borderId="7" xfId="0" applyFont="1" applyFill="1" applyBorder="1"/>
    <xf numFmtId="0" fontId="7" fillId="4" borderId="5" xfId="0" applyFont="1" applyFill="1" applyBorder="1"/>
    <xf numFmtId="167" fontId="7" fillId="17" borderId="5" xfId="0" applyNumberFormat="1" applyFont="1" applyFill="1" applyBorder="1" applyAlignment="1">
      <alignment horizontal="right"/>
    </xf>
    <xf numFmtId="0" fontId="7" fillId="4" borderId="30" xfId="0" applyFont="1" applyFill="1" applyBorder="1"/>
    <xf numFmtId="167" fontId="17" fillId="17" borderId="5" xfId="0" applyNumberFormat="1" applyFont="1" applyFill="1" applyBorder="1" applyAlignment="1">
      <alignment horizontal="right"/>
    </xf>
    <xf numFmtId="167" fontId="17" fillId="17" borderId="6" xfId="0" applyNumberFormat="1" applyFont="1" applyFill="1" applyBorder="1" applyAlignment="1">
      <alignment horizontal="right"/>
    </xf>
    <xf numFmtId="0" fontId="6" fillId="4" borderId="25" xfId="0" applyFont="1" applyFill="1" applyBorder="1" applyAlignment="1">
      <alignment vertical="center"/>
    </xf>
    <xf numFmtId="167" fontId="7" fillId="19" borderId="5" xfId="0" applyNumberFormat="1" applyFont="1" applyFill="1" applyBorder="1" applyAlignment="1">
      <alignment horizontal="right"/>
    </xf>
    <xf numFmtId="167" fontId="7" fillId="11" borderId="31" xfId="0" applyNumberFormat="1" applyFont="1" applyFill="1" applyBorder="1" applyAlignment="1">
      <alignment horizontal="right"/>
    </xf>
    <xf numFmtId="0" fontId="7" fillId="7" borderId="23" xfId="0" applyFont="1" applyFill="1" applyBorder="1"/>
    <xf numFmtId="0" fontId="7" fillId="7" borderId="21" xfId="0" applyFont="1" applyFill="1" applyBorder="1"/>
    <xf numFmtId="167" fontId="7" fillId="19" borderId="21" xfId="0" applyNumberFormat="1" applyFont="1" applyFill="1" applyBorder="1" applyAlignment="1">
      <alignment horizontal="right"/>
    </xf>
    <xf numFmtId="167" fontId="7" fillId="19" borderId="33" xfId="0" applyNumberFormat="1" applyFont="1" applyFill="1" applyBorder="1" applyAlignment="1">
      <alignment horizontal="right"/>
    </xf>
    <xf numFmtId="168" fontId="7" fillId="4" borderId="24" xfId="0" applyNumberFormat="1" applyFont="1" applyFill="1" applyBorder="1"/>
    <xf numFmtId="0" fontId="7" fillId="20" borderId="1" xfId="0" applyFont="1" applyFill="1" applyBorder="1"/>
    <xf numFmtId="0" fontId="6" fillId="4" borderId="1" xfId="0" applyFont="1" applyFill="1" applyBorder="1" applyAlignment="1">
      <alignment horizontal="center"/>
    </xf>
    <xf numFmtId="0" fontId="7" fillId="22" borderId="2" xfId="0" applyFont="1" applyFill="1" applyBorder="1"/>
    <xf numFmtId="0" fontId="6" fillId="21" borderId="1" xfId="0" applyFont="1" applyFill="1" applyBorder="1" applyAlignment="1">
      <alignment horizontal="center"/>
    </xf>
    <xf numFmtId="0" fontId="7" fillId="4" borderId="36" xfId="0" applyFont="1" applyFill="1" applyBorder="1" applyAlignment="1">
      <alignment horizontal="center"/>
    </xf>
    <xf numFmtId="0" fontId="7" fillId="4" borderId="1" xfId="0" applyFont="1" applyFill="1" applyBorder="1" applyAlignment="1">
      <alignment horizontal="center"/>
    </xf>
    <xf numFmtId="0" fontId="7" fillId="22" borderId="28" xfId="0" applyFont="1" applyFill="1" applyBorder="1"/>
    <xf numFmtId="0" fontId="7" fillId="4" borderId="19" xfId="0" applyFont="1" applyFill="1" applyBorder="1"/>
    <xf numFmtId="0" fontId="7" fillId="4" borderId="25" xfId="0" applyFont="1" applyFill="1" applyBorder="1"/>
    <xf numFmtId="0" fontId="7" fillId="24" borderId="1" xfId="0" applyFont="1" applyFill="1" applyBorder="1"/>
    <xf numFmtId="0" fontId="7" fillId="4" borderId="25" xfId="0" applyFont="1" applyFill="1" applyBorder="1" applyAlignment="1">
      <alignment vertical="center"/>
    </xf>
    <xf numFmtId="0" fontId="7" fillId="4" borderId="19" xfId="0" applyFont="1" applyFill="1" applyBorder="1" applyAlignment="1">
      <alignment vertical="center"/>
    </xf>
    <xf numFmtId="0" fontId="7" fillId="4" borderId="37" xfId="0" applyFont="1" applyFill="1" applyBorder="1"/>
    <xf numFmtId="1" fontId="7" fillId="4" borderId="1" xfId="0" applyNumberFormat="1" applyFont="1" applyFill="1" applyBorder="1" applyAlignment="1">
      <alignment horizontal="center"/>
    </xf>
    <xf numFmtId="0" fontId="6" fillId="14" borderId="1" xfId="0" applyFont="1" applyFill="1" applyBorder="1" applyAlignment="1">
      <alignment vertical="center"/>
    </xf>
    <xf numFmtId="0" fontId="6" fillId="21" borderId="39" xfId="0" applyFont="1" applyFill="1" applyBorder="1" applyAlignment="1">
      <alignment horizontal="center"/>
    </xf>
    <xf numFmtId="169" fontId="7" fillId="4" borderId="24" xfId="0" applyNumberFormat="1" applyFont="1" applyFill="1" applyBorder="1"/>
    <xf numFmtId="3" fontId="7" fillId="3" borderId="24" xfId="0" applyNumberFormat="1" applyFont="1" applyFill="1" applyBorder="1" applyAlignment="1">
      <alignment horizontal="center"/>
    </xf>
    <xf numFmtId="0" fontId="6" fillId="15" borderId="1" xfId="0" applyFont="1" applyFill="1" applyBorder="1" applyAlignment="1">
      <alignment vertical="center"/>
    </xf>
    <xf numFmtId="3" fontId="7" fillId="4" borderId="24" xfId="0" applyNumberFormat="1" applyFont="1" applyFill="1" applyBorder="1"/>
    <xf numFmtId="0" fontId="7" fillId="3" borderId="24" xfId="0" applyFont="1" applyFill="1" applyBorder="1"/>
    <xf numFmtId="0" fontId="6" fillId="8" borderId="1" xfId="0" applyFont="1" applyFill="1" applyBorder="1" applyAlignment="1">
      <alignment vertical="center"/>
    </xf>
    <xf numFmtId="0" fontId="6" fillId="9" borderId="1" xfId="0" applyFont="1" applyFill="1" applyBorder="1" applyAlignment="1">
      <alignment vertical="center"/>
    </xf>
    <xf numFmtId="170" fontId="7" fillId="0" borderId="0" xfId="0" applyNumberFormat="1" applyFont="1"/>
    <xf numFmtId="0" fontId="7" fillId="0" borderId="0" xfId="0" applyFont="1" applyAlignment="1">
      <alignment horizontal="right"/>
    </xf>
    <xf numFmtId="0" fontId="7" fillId="4" borderId="24" xfId="0" applyFont="1" applyFill="1" applyBorder="1" applyAlignment="1">
      <alignment horizontal="right"/>
    </xf>
    <xf numFmtId="0" fontId="7" fillId="4" borderId="41" xfId="0" applyFont="1" applyFill="1" applyBorder="1"/>
    <xf numFmtId="0" fontId="4" fillId="3" borderId="24" xfId="0" applyFont="1" applyFill="1" applyBorder="1" applyAlignment="1">
      <alignment horizontal="center"/>
    </xf>
    <xf numFmtId="0" fontId="4" fillId="3" borderId="24" xfId="0" applyFont="1" applyFill="1" applyBorder="1"/>
    <xf numFmtId="0" fontId="6" fillId="4" borderId="24" xfId="0" applyFont="1" applyFill="1" applyBorder="1" applyAlignment="1">
      <alignment horizontal="center"/>
    </xf>
    <xf numFmtId="0" fontId="17" fillId="4" borderId="24" xfId="0" applyFont="1" applyFill="1" applyBorder="1"/>
    <xf numFmtId="0" fontId="17" fillId="0" borderId="0" xfId="0" applyFont="1"/>
    <xf numFmtId="9" fontId="7" fillId="0" borderId="0" xfId="0" applyNumberFormat="1" applyFont="1"/>
    <xf numFmtId="167" fontId="7" fillId="0" borderId="0" xfId="0" applyNumberFormat="1" applyFont="1"/>
    <xf numFmtId="0" fontId="7" fillId="7" borderId="7" xfId="0" applyFont="1" applyFill="1" applyBorder="1"/>
    <xf numFmtId="0" fontId="5" fillId="0" borderId="0" xfId="0" applyFont="1" applyAlignment="1">
      <alignment horizontal="center"/>
    </xf>
    <xf numFmtId="167" fontId="5" fillId="0" borderId="0" xfId="0" applyNumberFormat="1" applyFont="1"/>
    <xf numFmtId="10" fontId="7" fillId="4" borderId="24" xfId="0" applyNumberFormat="1" applyFont="1" applyFill="1" applyBorder="1"/>
    <xf numFmtId="169" fontId="7" fillId="4" borderId="6" xfId="0" applyNumberFormat="1" applyFont="1" applyFill="1" applyBorder="1" applyAlignment="1">
      <alignment horizontal="center"/>
    </xf>
    <xf numFmtId="169" fontId="7" fillId="4" borderId="36" xfId="0" applyNumberFormat="1" applyFont="1" applyFill="1" applyBorder="1" applyAlignment="1">
      <alignment horizontal="center"/>
    </xf>
    <xf numFmtId="0" fontId="19" fillId="26" borderId="36" xfId="0" applyFont="1" applyFill="1" applyBorder="1" applyAlignment="1">
      <alignment horizontal="center" vertical="center"/>
    </xf>
    <xf numFmtId="170" fontId="7" fillId="3" borderId="45" xfId="0" applyNumberFormat="1" applyFont="1" applyFill="1" applyBorder="1"/>
    <xf numFmtId="0" fontId="19" fillId="29" borderId="36" xfId="0" applyFont="1" applyFill="1" applyBorder="1" applyAlignment="1">
      <alignment horizontal="center" vertical="center"/>
    </xf>
    <xf numFmtId="0" fontId="4" fillId="3" borderId="0" xfId="0" applyFont="1" applyFill="1"/>
    <xf numFmtId="0" fontId="23" fillId="3" borderId="24" xfId="0" applyFont="1" applyFill="1" applyBorder="1" applyAlignment="1">
      <alignment horizontal="center"/>
    </xf>
    <xf numFmtId="170" fontId="7" fillId="3" borderId="24" xfId="0" applyNumberFormat="1" applyFont="1" applyFill="1" applyBorder="1"/>
    <xf numFmtId="3" fontId="4" fillId="3" borderId="0" xfId="0" applyNumberFormat="1" applyFont="1" applyFill="1" applyAlignment="1">
      <alignment horizontal="center"/>
    </xf>
    <xf numFmtId="3" fontId="5" fillId="0" borderId="0" xfId="0" applyNumberFormat="1" applyFont="1" applyAlignment="1">
      <alignment horizontal="center"/>
    </xf>
    <xf numFmtId="0" fontId="23" fillId="3" borderId="45" xfId="0" applyFont="1" applyFill="1" applyBorder="1" applyAlignment="1">
      <alignment horizontal="center"/>
    </xf>
    <xf numFmtId="0" fontId="7" fillId="3" borderId="45" xfId="0" applyFont="1" applyFill="1" applyBorder="1"/>
    <xf numFmtId="0" fontId="20" fillId="3" borderId="24" xfId="0" applyFont="1" applyFill="1" applyBorder="1" applyAlignment="1">
      <alignment horizontal="center"/>
    </xf>
    <xf numFmtId="0" fontId="23" fillId="21" borderId="24" xfId="0" applyFont="1" applyFill="1" applyBorder="1" applyAlignment="1">
      <alignment horizontal="center"/>
    </xf>
    <xf numFmtId="170" fontId="4" fillId="3" borderId="24" xfId="0" applyNumberFormat="1" applyFont="1" applyFill="1" applyBorder="1"/>
    <xf numFmtId="3" fontId="4" fillId="3" borderId="24" xfId="0" applyNumberFormat="1" applyFont="1" applyFill="1" applyBorder="1" applyAlignment="1">
      <alignment horizontal="center"/>
    </xf>
    <xf numFmtId="170" fontId="17" fillId="3" borderId="24" xfId="0" applyNumberFormat="1" applyFont="1" applyFill="1" applyBorder="1"/>
    <xf numFmtId="0" fontId="4" fillId="3" borderId="24" xfId="0" applyFont="1" applyFill="1" applyBorder="1" applyAlignment="1">
      <alignment horizontal="left"/>
    </xf>
    <xf numFmtId="170" fontId="4" fillId="3" borderId="24" xfId="0" applyNumberFormat="1" applyFont="1" applyFill="1" applyBorder="1" applyAlignment="1">
      <alignment horizontal="center"/>
    </xf>
    <xf numFmtId="0" fontId="4" fillId="0" borderId="0" xfId="0" applyFont="1" applyAlignment="1">
      <alignment horizontal="left"/>
    </xf>
    <xf numFmtId="170" fontId="4" fillId="0" borderId="0" xfId="0" applyNumberFormat="1" applyFont="1" applyAlignment="1">
      <alignment horizontal="center"/>
    </xf>
    <xf numFmtId="0" fontId="7" fillId="0" borderId="0" xfId="0" applyFont="1" applyAlignment="1">
      <alignment horizontal="left"/>
    </xf>
    <xf numFmtId="0" fontId="4" fillId="3" borderId="24" xfId="0" applyFont="1" applyFill="1" applyBorder="1" applyAlignment="1">
      <alignment horizontal="center" vertical="center"/>
    </xf>
    <xf numFmtId="0" fontId="4" fillId="3" borderId="25" xfId="0" applyFont="1" applyFill="1" applyBorder="1"/>
    <xf numFmtId="170" fontId="7" fillId="0" borderId="0" xfId="0" applyNumberFormat="1" applyFont="1" applyAlignment="1">
      <alignment horizontal="center"/>
    </xf>
    <xf numFmtId="0" fontId="6" fillId="30" borderId="25" xfId="0" applyFont="1" applyFill="1" applyBorder="1"/>
    <xf numFmtId="172" fontId="6" fillId="30" borderId="1" xfId="0" applyNumberFormat="1" applyFont="1" applyFill="1" applyBorder="1" applyAlignment="1">
      <alignment horizontal="right"/>
    </xf>
    <xf numFmtId="10" fontId="7" fillId="4" borderId="37" xfId="0" applyNumberFormat="1" applyFont="1" applyFill="1" applyBorder="1" applyAlignment="1">
      <alignment horizontal="right"/>
    </xf>
    <xf numFmtId="10" fontId="7" fillId="4" borderId="24" xfId="0" applyNumberFormat="1" applyFont="1" applyFill="1" applyBorder="1" applyAlignment="1">
      <alignment horizontal="right"/>
    </xf>
    <xf numFmtId="0" fontId="6" fillId="23" borderId="25" xfId="0" applyFont="1" applyFill="1" applyBorder="1"/>
    <xf numFmtId="172" fontId="6" fillId="23" borderId="1" xfId="0" applyNumberFormat="1" applyFont="1" applyFill="1" applyBorder="1" applyAlignment="1">
      <alignment horizontal="center"/>
    </xf>
    <xf numFmtId="172" fontId="7" fillId="4" borderId="37" xfId="0" applyNumberFormat="1" applyFont="1" applyFill="1" applyBorder="1" applyAlignment="1">
      <alignment horizontal="right"/>
    </xf>
    <xf numFmtId="0" fontId="6" fillId="23" borderId="0" xfId="0" applyFont="1" applyFill="1"/>
    <xf numFmtId="10" fontId="6" fillId="23" borderId="1" xfId="0" applyNumberFormat="1" applyFont="1" applyFill="1" applyBorder="1" applyAlignment="1">
      <alignment horizontal="right"/>
    </xf>
    <xf numFmtId="4" fontId="7" fillId="21" borderId="24" xfId="0" applyNumberFormat="1" applyFont="1" applyFill="1" applyBorder="1"/>
    <xf numFmtId="4" fontId="7" fillId="0" borderId="0" xfId="0" applyNumberFormat="1" applyFont="1"/>
    <xf numFmtId="1" fontId="7" fillId="0" borderId="0" xfId="0" applyNumberFormat="1" applyFont="1"/>
    <xf numFmtId="173" fontId="7" fillId="4" borderId="24" xfId="0" applyNumberFormat="1" applyFont="1" applyFill="1" applyBorder="1"/>
    <xf numFmtId="14" fontId="7" fillId="0" borderId="0" xfId="0" applyNumberFormat="1" applyFont="1"/>
    <xf numFmtId="3" fontId="7" fillId="31" borderId="24" xfId="0" applyNumberFormat="1" applyFont="1" applyFill="1" applyBorder="1"/>
    <xf numFmtId="3" fontId="7" fillId="12" borderId="24" xfId="0" applyNumberFormat="1" applyFont="1" applyFill="1" applyBorder="1"/>
    <xf numFmtId="3" fontId="7" fillId="21" borderId="24" xfId="0" applyNumberFormat="1" applyFont="1" applyFill="1" applyBorder="1"/>
    <xf numFmtId="3" fontId="7" fillId="12" borderId="13" xfId="0" applyNumberFormat="1" applyFont="1" applyFill="1" applyBorder="1"/>
    <xf numFmtId="3" fontId="7" fillId="0" borderId="0" xfId="0" applyNumberFormat="1" applyFont="1"/>
    <xf numFmtId="0" fontId="7" fillId="0" borderId="0" xfId="0" quotePrefix="1" applyFont="1"/>
    <xf numFmtId="0" fontId="6" fillId="32" borderId="24" xfId="0" applyFont="1" applyFill="1" applyBorder="1"/>
    <xf numFmtId="3" fontId="6" fillId="32" borderId="24" xfId="0" applyNumberFormat="1" applyFont="1" applyFill="1" applyBorder="1"/>
    <xf numFmtId="0" fontId="6" fillId="0" borderId="0" xfId="0" applyFont="1"/>
    <xf numFmtId="3" fontId="6" fillId="0" borderId="0" xfId="0" applyNumberFormat="1" applyFont="1"/>
    <xf numFmtId="0" fontId="6" fillId="18" borderId="24" xfId="0" applyFont="1" applyFill="1" applyBorder="1"/>
    <xf numFmtId="3" fontId="6" fillId="18" borderId="24" xfId="0" applyNumberFormat="1" applyFont="1" applyFill="1" applyBorder="1"/>
    <xf numFmtId="0" fontId="6" fillId="33" borderId="24" xfId="0" applyFont="1" applyFill="1" applyBorder="1"/>
    <xf numFmtId="3" fontId="6" fillId="33" borderId="24" xfId="0" applyNumberFormat="1" applyFont="1" applyFill="1" applyBorder="1"/>
    <xf numFmtId="0" fontId="25" fillId="4" borderId="47" xfId="0" quotePrefix="1" applyFont="1" applyFill="1" applyBorder="1" applyAlignment="1">
      <alignment horizontal="left" vertical="top"/>
    </xf>
    <xf numFmtId="0" fontId="26" fillId="4" borderId="47" xfId="0" quotePrefix="1" applyFont="1" applyFill="1" applyBorder="1" applyAlignment="1">
      <alignment horizontal="left" vertical="top"/>
    </xf>
    <xf numFmtId="0" fontId="25" fillId="34" borderId="47" xfId="0" quotePrefix="1" applyFont="1" applyFill="1" applyBorder="1" applyAlignment="1">
      <alignment horizontal="left" vertical="top"/>
    </xf>
    <xf numFmtId="1" fontId="7" fillId="0" borderId="0" xfId="0" applyNumberFormat="1" applyFont="1" applyAlignment="1">
      <alignment vertical="top"/>
    </xf>
    <xf numFmtId="14" fontId="7" fillId="0" borderId="0" xfId="0" applyNumberFormat="1" applyFont="1" applyAlignment="1">
      <alignment horizontal="center" vertical="top"/>
    </xf>
    <xf numFmtId="173" fontId="7" fillId="0" borderId="0" xfId="0" applyNumberFormat="1" applyFont="1" applyAlignment="1">
      <alignment horizontal="right" vertical="top"/>
    </xf>
    <xf numFmtId="14" fontId="7" fillId="4" borderId="24" xfId="0" applyNumberFormat="1" applyFont="1" applyFill="1" applyBorder="1"/>
    <xf numFmtId="174" fontId="7" fillId="4" borderId="24" xfId="0" applyNumberFormat="1" applyFont="1" applyFill="1" applyBorder="1"/>
    <xf numFmtId="173" fontId="17" fillId="0" borderId="0" xfId="0" applyNumberFormat="1" applyFont="1" applyAlignment="1">
      <alignment horizontal="right" vertical="top"/>
    </xf>
    <xf numFmtId="173" fontId="17" fillId="6" borderId="24" xfId="0" applyNumberFormat="1" applyFont="1" applyFill="1" applyBorder="1" applyAlignment="1">
      <alignment horizontal="right" vertical="top"/>
    </xf>
    <xf numFmtId="174" fontId="4" fillId="4" borderId="24" xfId="0" applyNumberFormat="1" applyFont="1" applyFill="1" applyBorder="1"/>
    <xf numFmtId="174" fontId="17" fillId="4" borderId="24" xfId="0" applyNumberFormat="1" applyFont="1" applyFill="1" applyBorder="1"/>
    <xf numFmtId="14" fontId="17" fillId="4" borderId="24" xfId="0" applyNumberFormat="1" applyFont="1" applyFill="1" applyBorder="1"/>
    <xf numFmtId="14" fontId="7" fillId="4" borderId="24" xfId="0" applyNumberFormat="1" applyFont="1" applyFill="1" applyBorder="1" applyAlignment="1">
      <alignment horizontal="right"/>
    </xf>
    <xf numFmtId="1" fontId="27" fillId="0" borderId="0" xfId="0" applyNumberFormat="1" applyFont="1" applyAlignment="1">
      <alignment vertical="top"/>
    </xf>
    <xf numFmtId="14" fontId="27" fillId="0" borderId="0" xfId="0" applyNumberFormat="1" applyFont="1" applyAlignment="1">
      <alignment horizontal="center" vertical="top"/>
    </xf>
    <xf numFmtId="173" fontId="28" fillId="0" borderId="0" xfId="0" applyNumberFormat="1" applyFont="1" applyAlignment="1">
      <alignment horizontal="right" vertical="top"/>
    </xf>
    <xf numFmtId="0" fontId="27" fillId="4" borderId="24" xfId="0" applyFont="1" applyFill="1" applyBorder="1"/>
    <xf numFmtId="14" fontId="27" fillId="4" borderId="24" xfId="0" applyNumberFormat="1" applyFont="1" applyFill="1" applyBorder="1"/>
    <xf numFmtId="174" fontId="27" fillId="4" borderId="24" xfId="0" applyNumberFormat="1" applyFont="1" applyFill="1" applyBorder="1"/>
    <xf numFmtId="1" fontId="7" fillId="34" borderId="24" xfId="0" applyNumberFormat="1" applyFont="1" applyFill="1" applyBorder="1" applyAlignment="1">
      <alignment vertical="top"/>
    </xf>
    <xf numFmtId="14" fontId="7" fillId="34" borderId="24" xfId="0" applyNumberFormat="1" applyFont="1" applyFill="1" applyBorder="1" applyAlignment="1">
      <alignment horizontal="center" vertical="top"/>
    </xf>
    <xf numFmtId="173" fontId="17" fillId="34" borderId="24" xfId="0" applyNumberFormat="1" applyFont="1" applyFill="1" applyBorder="1" applyAlignment="1">
      <alignment horizontal="right" vertical="top"/>
    </xf>
    <xf numFmtId="0" fontId="7" fillId="34" borderId="24" xfId="0" applyFont="1" applyFill="1" applyBorder="1"/>
    <xf numFmtId="174" fontId="7" fillId="34" borderId="24" xfId="0" applyNumberFormat="1" applyFont="1" applyFill="1" applyBorder="1"/>
    <xf numFmtId="173" fontId="17" fillId="4" borderId="24" xfId="0" applyNumberFormat="1" applyFont="1" applyFill="1" applyBorder="1" applyAlignment="1">
      <alignment horizontal="right" vertical="top"/>
    </xf>
    <xf numFmtId="173" fontId="7" fillId="34" borderId="24" xfId="0" applyNumberFormat="1" applyFont="1" applyFill="1" applyBorder="1" applyAlignment="1">
      <alignment horizontal="right" vertical="top"/>
    </xf>
    <xf numFmtId="14" fontId="7" fillId="34" borderId="24" xfId="0" applyNumberFormat="1" applyFont="1" applyFill="1" applyBorder="1"/>
    <xf numFmtId="173" fontId="4" fillId="34" borderId="24" xfId="0" applyNumberFormat="1" applyFont="1" applyFill="1" applyBorder="1" applyAlignment="1">
      <alignment horizontal="right" vertical="top"/>
    </xf>
    <xf numFmtId="0" fontId="7" fillId="34" borderId="24" xfId="0" applyFont="1" applyFill="1" applyBorder="1" applyAlignment="1">
      <alignment horizontal="right"/>
    </xf>
    <xf numFmtId="1" fontId="7" fillId="4" borderId="24" xfId="0" applyNumberFormat="1" applyFont="1" applyFill="1" applyBorder="1" applyAlignment="1">
      <alignment vertical="top"/>
    </xf>
    <xf numFmtId="173" fontId="7" fillId="4" borderId="24" xfId="0" applyNumberFormat="1" applyFont="1" applyFill="1" applyBorder="1" applyAlignment="1">
      <alignment horizontal="right" vertical="top"/>
    </xf>
    <xf numFmtId="173" fontId="27" fillId="0" borderId="0" xfId="0" applyNumberFormat="1" applyFont="1" applyAlignment="1">
      <alignment horizontal="right" vertical="top"/>
    </xf>
    <xf numFmtId="0" fontId="7" fillId="35" borderId="24" xfId="0" applyFont="1" applyFill="1" applyBorder="1"/>
    <xf numFmtId="0" fontId="7" fillId="36" borderId="24" xfId="0" applyFont="1" applyFill="1" applyBorder="1"/>
    <xf numFmtId="173" fontId="7" fillId="32" borderId="24" xfId="0" applyNumberFormat="1" applyFont="1" applyFill="1" applyBorder="1" applyAlignment="1">
      <alignment horizontal="right" vertical="top"/>
    </xf>
    <xf numFmtId="0" fontId="7" fillId="8" borderId="24" xfId="0" applyFont="1" applyFill="1" applyBorder="1"/>
    <xf numFmtId="173" fontId="7" fillId="6" borderId="24" xfId="0" applyNumberFormat="1" applyFont="1" applyFill="1" applyBorder="1" applyAlignment="1">
      <alignment horizontal="right" vertical="top"/>
    </xf>
    <xf numFmtId="173" fontId="17" fillId="18" borderId="24" xfId="0" applyNumberFormat="1" applyFont="1" applyFill="1" applyBorder="1" applyAlignment="1">
      <alignment horizontal="right" vertical="top"/>
    </xf>
    <xf numFmtId="175" fontId="7" fillId="4" borderId="24" xfId="0" applyNumberFormat="1" applyFont="1" applyFill="1" applyBorder="1"/>
    <xf numFmtId="173" fontId="4" fillId="18" borderId="24" xfId="0" applyNumberFormat="1" applyFont="1" applyFill="1" applyBorder="1" applyAlignment="1">
      <alignment horizontal="right" vertical="top"/>
    </xf>
    <xf numFmtId="176" fontId="7" fillId="34" borderId="24" xfId="0" applyNumberFormat="1" applyFont="1" applyFill="1" applyBorder="1"/>
    <xf numFmtId="176" fontId="7" fillId="4" borderId="24" xfId="0" applyNumberFormat="1" applyFont="1" applyFill="1" applyBorder="1"/>
    <xf numFmtId="1" fontId="7" fillId="25" borderId="24" xfId="0" applyNumberFormat="1" applyFont="1" applyFill="1" applyBorder="1" applyAlignment="1">
      <alignment vertical="top"/>
    </xf>
    <xf numFmtId="173" fontId="17" fillId="25" borderId="24" xfId="0" applyNumberFormat="1" applyFont="1" applyFill="1" applyBorder="1" applyAlignment="1">
      <alignment horizontal="right" vertical="top"/>
    </xf>
    <xf numFmtId="1" fontId="17" fillId="34" borderId="24" xfId="0" applyNumberFormat="1" applyFont="1" applyFill="1" applyBorder="1" applyAlignment="1">
      <alignment vertical="top"/>
    </xf>
    <xf numFmtId="0" fontId="17" fillId="34" borderId="24" xfId="0" applyFont="1" applyFill="1" applyBorder="1"/>
    <xf numFmtId="14" fontId="17" fillId="34" borderId="24" xfId="0" applyNumberFormat="1" applyFont="1" applyFill="1" applyBorder="1"/>
    <xf numFmtId="14" fontId="17" fillId="34" borderId="24" xfId="0" applyNumberFormat="1" applyFont="1" applyFill="1" applyBorder="1" applyAlignment="1">
      <alignment horizontal="center" vertical="top"/>
    </xf>
    <xf numFmtId="0" fontId="17" fillId="34" borderId="24" xfId="0" applyFont="1" applyFill="1" applyBorder="1" applyAlignment="1">
      <alignment horizontal="right"/>
    </xf>
    <xf numFmtId="174" fontId="17" fillId="34" borderId="24" xfId="0" applyNumberFormat="1" applyFont="1" applyFill="1" applyBorder="1"/>
    <xf numFmtId="174" fontId="7" fillId="34" borderId="24" xfId="0" applyNumberFormat="1" applyFont="1" applyFill="1" applyBorder="1" applyAlignment="1">
      <alignment horizontal="right"/>
    </xf>
    <xf numFmtId="174" fontId="7" fillId="4" borderId="24" xfId="0" applyNumberFormat="1" applyFont="1" applyFill="1" applyBorder="1" applyAlignment="1">
      <alignment horizontal="right"/>
    </xf>
    <xf numFmtId="176" fontId="7" fillId="4" borderId="24" xfId="0" applyNumberFormat="1" applyFont="1" applyFill="1" applyBorder="1" applyAlignment="1">
      <alignment horizontal="right"/>
    </xf>
    <xf numFmtId="173" fontId="7" fillId="25" borderId="24" xfId="0" applyNumberFormat="1" applyFont="1" applyFill="1" applyBorder="1" applyAlignment="1">
      <alignment vertical="top"/>
    </xf>
    <xf numFmtId="173" fontId="7" fillId="34" borderId="24" xfId="0" applyNumberFormat="1" applyFont="1" applyFill="1" applyBorder="1" applyAlignment="1">
      <alignment vertical="top"/>
    </xf>
    <xf numFmtId="14" fontId="7" fillId="34" borderId="24" xfId="0" applyNumberFormat="1" applyFont="1" applyFill="1" applyBorder="1" applyAlignment="1">
      <alignment horizontal="right"/>
    </xf>
    <xf numFmtId="14" fontId="7" fillId="25" borderId="24" xfId="0" applyNumberFormat="1" applyFont="1" applyFill="1" applyBorder="1" applyAlignment="1">
      <alignment horizontal="center" vertical="top"/>
    </xf>
    <xf numFmtId="0" fontId="7" fillId="25" borderId="24" xfId="0" applyFont="1" applyFill="1" applyBorder="1" applyAlignment="1">
      <alignment horizontal="right"/>
    </xf>
    <xf numFmtId="14" fontId="7" fillId="25" borderId="24" xfId="0" applyNumberFormat="1" applyFont="1" applyFill="1" applyBorder="1" applyAlignment="1">
      <alignment horizontal="right"/>
    </xf>
    <xf numFmtId="14" fontId="7" fillId="25" borderId="24" xfId="0" applyNumberFormat="1" applyFont="1" applyFill="1" applyBorder="1"/>
    <xf numFmtId="173" fontId="7" fillId="0" borderId="0" xfId="0" applyNumberFormat="1" applyFont="1" applyAlignment="1">
      <alignment vertical="top"/>
    </xf>
    <xf numFmtId="174" fontId="17" fillId="34" borderId="24" xfId="0" applyNumberFormat="1" applyFont="1" applyFill="1" applyBorder="1" applyAlignment="1">
      <alignment horizontal="right"/>
    </xf>
    <xf numFmtId="176" fontId="17" fillId="34" borderId="24" xfId="0" applyNumberFormat="1" applyFont="1" applyFill="1" applyBorder="1" applyAlignment="1">
      <alignment horizontal="right"/>
    </xf>
    <xf numFmtId="173" fontId="7" fillId="27" borderId="24" xfId="0" applyNumberFormat="1" applyFont="1" applyFill="1" applyBorder="1" applyAlignment="1">
      <alignment horizontal="right" vertical="top"/>
    </xf>
    <xf numFmtId="14" fontId="7" fillId="4" borderId="24" xfId="0" applyNumberFormat="1" applyFont="1" applyFill="1" applyBorder="1" applyAlignment="1">
      <alignment horizontal="center" vertical="top"/>
    </xf>
    <xf numFmtId="173" fontId="17" fillId="32" borderId="24" xfId="0" applyNumberFormat="1" applyFont="1" applyFill="1" applyBorder="1" applyAlignment="1">
      <alignment horizontal="right" vertical="top"/>
    </xf>
    <xf numFmtId="176" fontId="7" fillId="34" borderId="24" xfId="0" applyNumberFormat="1" applyFont="1" applyFill="1" applyBorder="1" applyAlignment="1">
      <alignment horizontal="right"/>
    </xf>
    <xf numFmtId="173" fontId="7" fillId="18" borderId="24" xfId="0" applyNumberFormat="1" applyFont="1" applyFill="1" applyBorder="1" applyAlignment="1">
      <alignment vertical="top"/>
    </xf>
    <xf numFmtId="0" fontId="27" fillId="4" borderId="24" xfId="0" applyFont="1" applyFill="1" applyBorder="1" applyAlignment="1">
      <alignment horizontal="right"/>
    </xf>
    <xf numFmtId="173" fontId="4" fillId="4" borderId="24" xfId="0" applyNumberFormat="1" applyFont="1" applyFill="1" applyBorder="1" applyAlignment="1">
      <alignment horizontal="right" vertical="top"/>
    </xf>
    <xf numFmtId="177" fontId="7" fillId="4" borderId="24" xfId="0" applyNumberFormat="1" applyFont="1" applyFill="1" applyBorder="1"/>
    <xf numFmtId="1" fontId="4" fillId="4" borderId="24" xfId="0" applyNumberFormat="1" applyFont="1" applyFill="1" applyBorder="1" applyAlignment="1">
      <alignment vertical="top"/>
    </xf>
    <xf numFmtId="14" fontId="4" fillId="4" borderId="24" xfId="0" applyNumberFormat="1" applyFont="1" applyFill="1" applyBorder="1" applyAlignment="1">
      <alignment horizontal="center" vertical="top"/>
    </xf>
    <xf numFmtId="0" fontId="4" fillId="4" borderId="24" xfId="0" applyFont="1" applyFill="1" applyBorder="1" applyAlignment="1">
      <alignment horizontal="right"/>
    </xf>
    <xf numFmtId="174" fontId="4" fillId="4" borderId="24" xfId="0" applyNumberFormat="1" applyFont="1" applyFill="1" applyBorder="1" applyAlignment="1">
      <alignment horizontal="right"/>
    </xf>
    <xf numFmtId="0" fontId="4" fillId="4" borderId="24" xfId="0" applyFont="1" applyFill="1" applyBorder="1"/>
    <xf numFmtId="14" fontId="4" fillId="4" borderId="24" xfId="0" applyNumberFormat="1" applyFont="1" applyFill="1" applyBorder="1"/>
    <xf numFmtId="173" fontId="4" fillId="4" borderId="24" xfId="0" applyNumberFormat="1" applyFont="1" applyFill="1" applyBorder="1" applyAlignment="1">
      <alignment vertical="top"/>
    </xf>
    <xf numFmtId="14" fontId="4" fillId="4" borderId="24" xfId="0" applyNumberFormat="1" applyFont="1" applyFill="1" applyBorder="1" applyAlignment="1">
      <alignment horizontal="right"/>
    </xf>
    <xf numFmtId="1" fontId="4" fillId="34" borderId="24" xfId="0" applyNumberFormat="1" applyFont="1" applyFill="1" applyBorder="1" applyAlignment="1">
      <alignment vertical="top"/>
    </xf>
    <xf numFmtId="14" fontId="4" fillId="34" borderId="24" xfId="0" applyNumberFormat="1" applyFont="1" applyFill="1" applyBorder="1" applyAlignment="1">
      <alignment horizontal="center" vertical="top"/>
    </xf>
    <xf numFmtId="0" fontId="4" fillId="34" borderId="24" xfId="0" applyFont="1" applyFill="1" applyBorder="1" applyAlignment="1">
      <alignment horizontal="right"/>
    </xf>
    <xf numFmtId="174" fontId="4" fillId="34" borderId="24" xfId="0" applyNumberFormat="1" applyFont="1" applyFill="1" applyBorder="1" applyAlignment="1">
      <alignment horizontal="right"/>
    </xf>
    <xf numFmtId="14" fontId="4" fillId="34" borderId="24" xfId="0" applyNumberFormat="1" applyFont="1" applyFill="1" applyBorder="1" applyAlignment="1">
      <alignment horizontal="right"/>
    </xf>
    <xf numFmtId="0" fontId="4" fillId="34" borderId="24" xfId="0" applyFont="1" applyFill="1" applyBorder="1"/>
    <xf numFmtId="173" fontId="17" fillId="27" borderId="24" xfId="0" applyNumberFormat="1" applyFont="1" applyFill="1" applyBorder="1" applyAlignment="1">
      <alignment horizontal="right" vertical="top"/>
    </xf>
    <xf numFmtId="173" fontId="7" fillId="25" borderId="24" xfId="0" applyNumberFormat="1" applyFont="1" applyFill="1" applyBorder="1" applyAlignment="1">
      <alignment horizontal="right" vertical="top"/>
    </xf>
    <xf numFmtId="1" fontId="7" fillId="16" borderId="24" xfId="0" applyNumberFormat="1" applyFont="1" applyFill="1" applyBorder="1" applyAlignment="1">
      <alignment vertical="top"/>
    </xf>
    <xf numFmtId="14" fontId="7" fillId="16" borderId="24" xfId="0" applyNumberFormat="1" applyFont="1" applyFill="1" applyBorder="1" applyAlignment="1">
      <alignment horizontal="center" vertical="top"/>
    </xf>
    <xf numFmtId="173" fontId="4" fillId="16" borderId="24" xfId="0" applyNumberFormat="1" applyFont="1" applyFill="1" applyBorder="1" applyAlignment="1">
      <alignment horizontal="right" vertical="top"/>
    </xf>
    <xf numFmtId="0" fontId="7" fillId="16" borderId="24" xfId="0" applyFont="1" applyFill="1" applyBorder="1"/>
    <xf numFmtId="174" fontId="7" fillId="16" borderId="24" xfId="0" applyNumberFormat="1" applyFont="1" applyFill="1" applyBorder="1"/>
    <xf numFmtId="173" fontId="17" fillId="16" borderId="24" xfId="0" applyNumberFormat="1" applyFont="1" applyFill="1" applyBorder="1" applyAlignment="1">
      <alignment horizontal="right" vertical="top"/>
    </xf>
    <xf numFmtId="173" fontId="7" fillId="21" borderId="24" xfId="0" applyNumberFormat="1" applyFont="1" applyFill="1" applyBorder="1" applyAlignment="1">
      <alignment horizontal="right" vertical="top"/>
    </xf>
    <xf numFmtId="14" fontId="7" fillId="9" borderId="24" xfId="0" applyNumberFormat="1" applyFont="1" applyFill="1" applyBorder="1"/>
    <xf numFmtId="177" fontId="7" fillId="34" borderId="24" xfId="0" applyNumberFormat="1" applyFont="1" applyFill="1" applyBorder="1"/>
    <xf numFmtId="0" fontId="7" fillId="23" borderId="24" xfId="0" applyFont="1" applyFill="1" applyBorder="1"/>
    <xf numFmtId="173" fontId="29" fillId="32" borderId="24" xfId="0" applyNumberFormat="1" applyFont="1" applyFill="1" applyBorder="1" applyAlignment="1">
      <alignment horizontal="right" vertical="top"/>
    </xf>
    <xf numFmtId="173" fontId="17" fillId="37" borderId="24" xfId="0" applyNumberFormat="1" applyFont="1" applyFill="1" applyBorder="1" applyAlignment="1">
      <alignment horizontal="right" vertical="top"/>
    </xf>
    <xf numFmtId="178" fontId="7" fillId="0" borderId="0" xfId="0" applyNumberFormat="1" applyFont="1"/>
    <xf numFmtId="174" fontId="7" fillId="0" borderId="0" xfId="0" applyNumberFormat="1" applyFont="1"/>
    <xf numFmtId="173" fontId="17" fillId="23" borderId="24" xfId="0" applyNumberFormat="1" applyFont="1" applyFill="1" applyBorder="1" applyAlignment="1">
      <alignment horizontal="right" vertical="top"/>
    </xf>
    <xf numFmtId="173" fontId="7" fillId="5" borderId="24" xfId="0" applyNumberFormat="1" applyFont="1" applyFill="1" applyBorder="1" applyAlignment="1">
      <alignment horizontal="right" vertical="top"/>
    </xf>
    <xf numFmtId="173" fontId="7" fillId="18" borderId="24" xfId="0" applyNumberFormat="1" applyFont="1" applyFill="1" applyBorder="1" applyAlignment="1">
      <alignment horizontal="right" vertical="top"/>
    </xf>
    <xf numFmtId="175" fontId="7" fillId="34" borderId="24" xfId="0" applyNumberFormat="1" applyFont="1" applyFill="1" applyBorder="1"/>
    <xf numFmtId="173" fontId="7" fillId="16" borderId="24" xfId="0" applyNumberFormat="1" applyFont="1" applyFill="1" applyBorder="1" applyAlignment="1">
      <alignment horizontal="right" vertical="top"/>
    </xf>
    <xf numFmtId="173" fontId="30" fillId="32" borderId="24" xfId="0" applyNumberFormat="1" applyFont="1" applyFill="1" applyBorder="1" applyAlignment="1">
      <alignment horizontal="right" vertical="top"/>
    </xf>
    <xf numFmtId="173" fontId="17" fillId="21" borderId="24" xfId="0" applyNumberFormat="1" applyFont="1" applyFill="1" applyBorder="1" applyAlignment="1">
      <alignment horizontal="right" vertical="top"/>
    </xf>
    <xf numFmtId="173" fontId="4" fillId="27" borderId="24" xfId="0" applyNumberFormat="1" applyFont="1" applyFill="1" applyBorder="1" applyAlignment="1">
      <alignment horizontal="right" vertical="top"/>
    </xf>
    <xf numFmtId="0" fontId="7" fillId="25" borderId="24" xfId="0" applyFont="1" applyFill="1" applyBorder="1"/>
    <xf numFmtId="174" fontId="7" fillId="25" borderId="24" xfId="0" applyNumberFormat="1" applyFont="1" applyFill="1" applyBorder="1"/>
    <xf numFmtId="177" fontId="7" fillId="0" borderId="0" xfId="0" applyNumberFormat="1" applyFont="1"/>
    <xf numFmtId="174" fontId="7" fillId="21" borderId="24" xfId="0" applyNumberFormat="1" applyFont="1" applyFill="1" applyBorder="1"/>
    <xf numFmtId="173" fontId="4" fillId="32" borderId="24" xfId="0" applyNumberFormat="1" applyFont="1" applyFill="1" applyBorder="1" applyAlignment="1">
      <alignment horizontal="right" vertical="top"/>
    </xf>
    <xf numFmtId="173" fontId="4" fillId="6" borderId="24" xfId="0" applyNumberFormat="1" applyFont="1" applyFill="1" applyBorder="1" applyAlignment="1">
      <alignment horizontal="right" vertical="top"/>
    </xf>
    <xf numFmtId="175" fontId="7" fillId="0" borderId="0" xfId="0" applyNumberFormat="1" applyFont="1"/>
    <xf numFmtId="173" fontId="17" fillId="38" borderId="24" xfId="0" applyNumberFormat="1" applyFont="1" applyFill="1" applyBorder="1" applyAlignment="1">
      <alignment horizontal="right" vertical="top"/>
    </xf>
    <xf numFmtId="173" fontId="4" fillId="0" borderId="0" xfId="0" applyNumberFormat="1" applyFont="1" applyAlignment="1">
      <alignment horizontal="right" vertical="top"/>
    </xf>
    <xf numFmtId="1" fontId="7" fillId="37" borderId="24" xfId="0" applyNumberFormat="1" applyFont="1" applyFill="1" applyBorder="1" applyAlignment="1">
      <alignment vertical="top"/>
    </xf>
    <xf numFmtId="14" fontId="7" fillId="37" borderId="24" xfId="0" applyNumberFormat="1" applyFont="1" applyFill="1" applyBorder="1" applyAlignment="1">
      <alignment horizontal="center" vertical="top"/>
    </xf>
    <xf numFmtId="0" fontId="7" fillId="37" borderId="24" xfId="0" applyFont="1" applyFill="1" applyBorder="1"/>
    <xf numFmtId="174" fontId="7" fillId="37" borderId="24" xfId="0" applyNumberFormat="1" applyFont="1" applyFill="1" applyBorder="1"/>
    <xf numFmtId="1" fontId="7" fillId="31" borderId="24" xfId="0" applyNumberFormat="1" applyFont="1" applyFill="1" applyBorder="1" applyAlignment="1">
      <alignment vertical="top"/>
    </xf>
    <xf numFmtId="14" fontId="7" fillId="31" borderId="24" xfId="0" applyNumberFormat="1" applyFont="1" applyFill="1" applyBorder="1" applyAlignment="1">
      <alignment horizontal="center" vertical="top"/>
    </xf>
    <xf numFmtId="173" fontId="7" fillId="31" borderId="24" xfId="0" applyNumberFormat="1" applyFont="1" applyFill="1" applyBorder="1" applyAlignment="1">
      <alignment horizontal="right" vertical="top"/>
    </xf>
    <xf numFmtId="0" fontId="7" fillId="31" borderId="24" xfId="0" applyFont="1" applyFill="1" applyBorder="1"/>
    <xf numFmtId="174" fontId="7" fillId="31" borderId="24" xfId="0" applyNumberFormat="1" applyFont="1" applyFill="1" applyBorder="1"/>
    <xf numFmtId="14" fontId="7" fillId="31" borderId="24" xfId="0" applyNumberFormat="1" applyFont="1" applyFill="1" applyBorder="1"/>
    <xf numFmtId="0" fontId="7" fillId="31" borderId="24" xfId="0" applyFont="1" applyFill="1" applyBorder="1" applyAlignment="1">
      <alignment horizontal="right"/>
    </xf>
    <xf numFmtId="174" fontId="7" fillId="31" borderId="24" xfId="0" applyNumberFormat="1" applyFont="1" applyFill="1" applyBorder="1" applyAlignment="1">
      <alignment horizontal="right"/>
    </xf>
    <xf numFmtId="173" fontId="17" fillId="39" borderId="24" xfId="0" applyNumberFormat="1" applyFont="1" applyFill="1" applyBorder="1" applyAlignment="1">
      <alignment horizontal="right" vertical="top"/>
    </xf>
    <xf numFmtId="173" fontId="7" fillId="38" borderId="24" xfId="0" applyNumberFormat="1" applyFont="1" applyFill="1" applyBorder="1" applyAlignment="1">
      <alignment horizontal="right" vertical="top"/>
    </xf>
    <xf numFmtId="1" fontId="7" fillId="18" borderId="24" xfId="0" applyNumberFormat="1" applyFont="1" applyFill="1" applyBorder="1" applyAlignment="1">
      <alignment vertical="top"/>
    </xf>
    <xf numFmtId="1" fontId="7" fillId="8" borderId="24" xfId="0" applyNumberFormat="1" applyFont="1" applyFill="1" applyBorder="1" applyAlignment="1">
      <alignment vertical="top"/>
    </xf>
    <xf numFmtId="1" fontId="7" fillId="4" borderId="24" xfId="0" applyNumberFormat="1" applyFont="1" applyFill="1" applyBorder="1"/>
    <xf numFmtId="14" fontId="7" fillId="16" borderId="24" xfId="0" applyNumberFormat="1" applyFont="1" applyFill="1" applyBorder="1"/>
    <xf numFmtId="0" fontId="7" fillId="21" borderId="24" xfId="0" applyFont="1" applyFill="1" applyBorder="1"/>
    <xf numFmtId="1" fontId="27" fillId="4" borderId="24" xfId="0" applyNumberFormat="1" applyFont="1" applyFill="1" applyBorder="1" applyAlignment="1">
      <alignment vertical="top"/>
    </xf>
    <xf numFmtId="14" fontId="27" fillId="4" borderId="24" xfId="0" applyNumberFormat="1" applyFont="1" applyFill="1" applyBorder="1" applyAlignment="1">
      <alignment horizontal="center" vertical="top"/>
    </xf>
    <xf numFmtId="1" fontId="31" fillId="4" borderId="24" xfId="0" applyNumberFormat="1" applyFont="1" applyFill="1" applyBorder="1" applyAlignment="1">
      <alignment vertical="top"/>
    </xf>
    <xf numFmtId="173" fontId="28" fillId="4" borderId="24" xfId="0" applyNumberFormat="1" applyFont="1" applyFill="1" applyBorder="1" applyAlignment="1">
      <alignment horizontal="right" vertical="top"/>
    </xf>
    <xf numFmtId="173" fontId="21" fillId="4" borderId="24" xfId="0" applyNumberFormat="1" applyFont="1" applyFill="1" applyBorder="1" applyAlignment="1">
      <alignment horizontal="right" vertical="top"/>
    </xf>
    <xf numFmtId="0" fontId="6" fillId="32" borderId="24" xfId="0" applyFont="1" applyFill="1" applyBorder="1" applyAlignment="1">
      <alignment horizontal="center"/>
    </xf>
    <xf numFmtId="165" fontId="6" fillId="32" borderId="24" xfId="0" applyNumberFormat="1" applyFont="1" applyFill="1" applyBorder="1" applyAlignment="1">
      <alignment horizontal="center"/>
    </xf>
    <xf numFmtId="165" fontId="7" fillId="4" borderId="24" xfId="0" applyNumberFormat="1" applyFont="1" applyFill="1" applyBorder="1"/>
    <xf numFmtId="14" fontId="7" fillId="18" borderId="24" xfId="0" applyNumberFormat="1" applyFont="1" applyFill="1" applyBorder="1"/>
    <xf numFmtId="0" fontId="7" fillId="18" borderId="24" xfId="0" applyFont="1" applyFill="1" applyBorder="1"/>
    <xf numFmtId="4" fontId="7" fillId="18" borderId="24" xfId="0" applyNumberFormat="1" applyFont="1" applyFill="1" applyBorder="1"/>
    <xf numFmtId="14" fontId="7" fillId="23" borderId="24" xfId="0" applyNumberFormat="1" applyFont="1" applyFill="1" applyBorder="1"/>
    <xf numFmtId="4" fontId="7" fillId="23" borderId="24" xfId="0" applyNumberFormat="1" applyFont="1" applyFill="1" applyBorder="1"/>
    <xf numFmtId="14" fontId="7" fillId="6" borderId="24" xfId="0" applyNumberFormat="1" applyFont="1" applyFill="1" applyBorder="1"/>
    <xf numFmtId="14" fontId="17" fillId="6" borderId="24" xfId="0" applyNumberFormat="1" applyFont="1" applyFill="1" applyBorder="1"/>
    <xf numFmtId="0" fontId="7" fillId="6" borderId="24" xfId="0" applyFont="1" applyFill="1" applyBorder="1"/>
    <xf numFmtId="4" fontId="7" fillId="6" borderId="24" xfId="0" applyNumberFormat="1" applyFont="1" applyFill="1" applyBorder="1"/>
    <xf numFmtId="0" fontId="6" fillId="4" borderId="24" xfId="0" applyFont="1" applyFill="1" applyBorder="1"/>
    <xf numFmtId="1" fontId="7" fillId="40" borderId="24" xfId="0" applyNumberFormat="1" applyFont="1" applyFill="1" applyBorder="1"/>
    <xf numFmtId="3" fontId="7" fillId="40" borderId="24" xfId="0" applyNumberFormat="1" applyFont="1" applyFill="1" applyBorder="1"/>
    <xf numFmtId="4" fontId="7" fillId="37" borderId="24" xfId="0" applyNumberFormat="1" applyFont="1" applyFill="1" applyBorder="1"/>
    <xf numFmtId="0" fontId="7" fillId="40" borderId="24" xfId="0" applyFont="1" applyFill="1" applyBorder="1"/>
    <xf numFmtId="0" fontId="6" fillId="18" borderId="24" xfId="0" applyFont="1" applyFill="1" applyBorder="1" applyAlignment="1">
      <alignment horizontal="center"/>
    </xf>
    <xf numFmtId="165" fontId="6" fillId="18" borderId="24" xfId="0" applyNumberFormat="1" applyFont="1" applyFill="1" applyBorder="1" applyAlignment="1">
      <alignment horizontal="center"/>
    </xf>
    <xf numFmtId="165" fontId="6" fillId="4" borderId="24" xfId="0" applyNumberFormat="1" applyFont="1" applyFill="1" applyBorder="1"/>
    <xf numFmtId="1" fontId="7" fillId="38" borderId="24" xfId="0" applyNumberFormat="1" applyFont="1" applyFill="1" applyBorder="1"/>
    <xf numFmtId="3" fontId="7" fillId="38" borderId="24" xfId="0" applyNumberFormat="1" applyFont="1" applyFill="1" applyBorder="1"/>
    <xf numFmtId="174" fontId="7" fillId="23" borderId="24" xfId="0" applyNumberFormat="1" applyFont="1" applyFill="1" applyBorder="1"/>
    <xf numFmtId="3" fontId="6" fillId="4" borderId="24" xfId="0" applyNumberFormat="1" applyFont="1" applyFill="1" applyBorder="1"/>
    <xf numFmtId="165" fontId="6" fillId="4" borderId="24" xfId="0" applyNumberFormat="1" applyFont="1" applyFill="1" applyBorder="1" applyAlignment="1">
      <alignment horizontal="center"/>
    </xf>
    <xf numFmtId="0" fontId="6" fillId="5" borderId="24" xfId="0" applyFont="1" applyFill="1" applyBorder="1" applyAlignment="1">
      <alignment horizontal="center"/>
    </xf>
    <xf numFmtId="165" fontId="6" fillId="5" borderId="24" xfId="0" applyNumberFormat="1" applyFont="1" applyFill="1" applyBorder="1" applyAlignment="1">
      <alignment horizontal="center"/>
    </xf>
    <xf numFmtId="0" fontId="7" fillId="38" borderId="24" xfId="0" applyFont="1" applyFill="1" applyBorder="1"/>
    <xf numFmtId="1" fontId="7" fillId="38" borderId="24" xfId="0" applyNumberFormat="1" applyFont="1" applyFill="1" applyBorder="1" applyAlignment="1">
      <alignment vertical="top"/>
    </xf>
    <xf numFmtId="0" fontId="6" fillId="0" borderId="1" xfId="0" applyFont="1" applyBorder="1" applyAlignment="1">
      <alignment horizontal="center"/>
    </xf>
    <xf numFmtId="1" fontId="7" fillId="40" borderId="24" xfId="0" applyNumberFormat="1" applyFont="1" applyFill="1" applyBorder="1" applyAlignment="1">
      <alignment vertical="top"/>
    </xf>
    <xf numFmtId="3" fontId="7" fillId="23" borderId="24" xfId="0" applyNumberFormat="1" applyFont="1" applyFill="1" applyBorder="1"/>
    <xf numFmtId="1" fontId="7" fillId="23" borderId="24" xfId="0" applyNumberFormat="1" applyFont="1" applyFill="1" applyBorder="1" applyAlignment="1">
      <alignment vertical="top"/>
    </xf>
    <xf numFmtId="1" fontId="7" fillId="23" borderId="24" xfId="0" applyNumberFormat="1" applyFont="1" applyFill="1" applyBorder="1"/>
    <xf numFmtId="1" fontId="7" fillId="6" borderId="24" xfId="0" applyNumberFormat="1" applyFont="1" applyFill="1" applyBorder="1" applyAlignment="1">
      <alignment vertical="top"/>
    </xf>
    <xf numFmtId="3" fontId="7" fillId="6" borderId="24" xfId="0" applyNumberFormat="1" applyFont="1" applyFill="1" applyBorder="1"/>
    <xf numFmtId="0" fontId="32" fillId="26" borderId="24" xfId="0" applyFont="1" applyFill="1" applyBorder="1" applyAlignment="1">
      <alignment horizontal="center"/>
    </xf>
    <xf numFmtId="0" fontId="25" fillId="0" borderId="48" xfId="0" quotePrefix="1" applyFont="1" applyBorder="1" applyAlignment="1">
      <alignment horizontal="left" vertical="top"/>
    </xf>
    <xf numFmtId="0" fontId="25" fillId="0" borderId="48" xfId="0" applyFont="1" applyBorder="1" applyAlignment="1">
      <alignment horizontal="left" vertical="top"/>
    </xf>
    <xf numFmtId="173" fontId="7" fillId="0" borderId="0" xfId="0" applyNumberFormat="1" applyFont="1"/>
    <xf numFmtId="0" fontId="4" fillId="0" borderId="0" xfId="0" applyFont="1"/>
    <xf numFmtId="3" fontId="4" fillId="0" borderId="0" xfId="0" applyNumberFormat="1" applyFont="1"/>
    <xf numFmtId="0" fontId="7" fillId="0" borderId="10" xfId="0" applyFont="1" applyBorder="1"/>
    <xf numFmtId="173" fontId="7" fillId="0" borderId="10" xfId="0" applyNumberFormat="1" applyFont="1" applyBorder="1"/>
    <xf numFmtId="173" fontId="7" fillId="35" borderId="24" xfId="0" applyNumberFormat="1" applyFont="1" applyFill="1" applyBorder="1"/>
    <xf numFmtId="0" fontId="7" fillId="5" borderId="24" xfId="0" applyFont="1" applyFill="1" applyBorder="1"/>
    <xf numFmtId="173" fontId="7" fillId="35" borderId="13" xfId="0" applyNumberFormat="1" applyFont="1" applyFill="1" applyBorder="1"/>
    <xf numFmtId="0" fontId="6" fillId="0" borderId="10" xfId="0" applyFont="1" applyBorder="1"/>
    <xf numFmtId="171" fontId="7" fillId="0" borderId="0" xfId="0" applyNumberFormat="1" applyFont="1"/>
    <xf numFmtId="0" fontId="33" fillId="0" borderId="0" xfId="0" applyFont="1"/>
    <xf numFmtId="3" fontId="33" fillId="0" borderId="0" xfId="0" applyNumberFormat="1" applyFont="1"/>
    <xf numFmtId="171" fontId="33" fillId="0" borderId="0" xfId="0" applyNumberFormat="1" applyFont="1"/>
    <xf numFmtId="173" fontId="17" fillId="0" borderId="0" xfId="0" applyNumberFormat="1" applyFont="1"/>
    <xf numFmtId="0" fontId="4" fillId="34" borderId="24" xfId="0" applyFont="1" applyFill="1" applyBorder="1" applyAlignment="1">
      <alignment vertical="top"/>
    </xf>
    <xf numFmtId="0" fontId="4" fillId="0" borderId="0" xfId="0" applyFont="1" applyAlignment="1">
      <alignment vertical="top"/>
    </xf>
    <xf numFmtId="0" fontId="7" fillId="4" borderId="49" xfId="0" applyFont="1" applyFill="1" applyBorder="1"/>
    <xf numFmtId="0" fontId="7" fillId="4" borderId="50" xfId="0" applyFont="1" applyFill="1" applyBorder="1"/>
    <xf numFmtId="0" fontId="7" fillId="4" borderId="51" xfId="0" applyFont="1" applyFill="1" applyBorder="1"/>
    <xf numFmtId="0" fontId="7" fillId="4" borderId="52" xfId="0" applyFont="1" applyFill="1" applyBorder="1"/>
    <xf numFmtId="0" fontId="7" fillId="7" borderId="5" xfId="0" applyFont="1" applyFill="1" applyBorder="1"/>
    <xf numFmtId="167" fontId="7" fillId="4" borderId="21" xfId="0" applyNumberFormat="1" applyFont="1" applyFill="1" applyBorder="1"/>
    <xf numFmtId="0" fontId="7" fillId="4" borderId="53" xfId="0" applyFont="1" applyFill="1" applyBorder="1"/>
    <xf numFmtId="0" fontId="7" fillId="4" borderId="54" xfId="0" applyFont="1" applyFill="1" applyBorder="1"/>
    <xf numFmtId="0" fontId="6" fillId="28" borderId="39" xfId="0" applyFont="1" applyFill="1" applyBorder="1" applyAlignment="1">
      <alignment horizontal="center"/>
    </xf>
    <xf numFmtId="0" fontId="7" fillId="20" borderId="7" xfId="0" applyFont="1" applyFill="1" applyBorder="1"/>
    <xf numFmtId="169" fontId="6" fillId="21" borderId="59" xfId="0" applyNumberFormat="1" applyFont="1" applyFill="1" applyBorder="1" applyAlignment="1">
      <alignment horizontal="center"/>
    </xf>
    <xf numFmtId="0" fontId="6" fillId="28" borderId="59" xfId="0" applyFont="1" applyFill="1" applyBorder="1" applyAlignment="1">
      <alignment horizontal="center"/>
    </xf>
    <xf numFmtId="0" fontId="7" fillId="22" borderId="23" xfId="0" applyFont="1" applyFill="1" applyBorder="1"/>
    <xf numFmtId="0" fontId="7" fillId="4" borderId="62" xfId="0" applyFont="1" applyFill="1" applyBorder="1" applyAlignment="1">
      <alignment horizontal="center"/>
    </xf>
    <xf numFmtId="0" fontId="7" fillId="4" borderId="6" xfId="0" applyFont="1" applyFill="1" applyBorder="1" applyAlignment="1">
      <alignment horizontal="center"/>
    </xf>
    <xf numFmtId="0" fontId="2" fillId="21" borderId="39" xfId="0" applyFont="1" applyFill="1" applyBorder="1" applyAlignment="1">
      <alignment horizontal="center"/>
    </xf>
    <xf numFmtId="0" fontId="24" fillId="4" borderId="24" xfId="0" applyFont="1" applyFill="1" applyBorder="1"/>
    <xf numFmtId="0" fontId="7" fillId="41" borderId="42" xfId="0" applyFont="1" applyFill="1" applyBorder="1" applyAlignment="1">
      <alignment horizontal="center"/>
    </xf>
    <xf numFmtId="10" fontId="7" fillId="41" borderId="24" xfId="0" applyNumberFormat="1" applyFont="1" applyFill="1" applyBorder="1" applyAlignment="1">
      <alignment horizontal="center"/>
    </xf>
    <xf numFmtId="169" fontId="24" fillId="4" borderId="24" xfId="0" applyNumberFormat="1" applyFont="1" applyFill="1" applyBorder="1"/>
    <xf numFmtId="169" fontId="7" fillId="4" borderId="62" xfId="0" applyNumberFormat="1" applyFont="1" applyFill="1" applyBorder="1" applyAlignment="1">
      <alignment horizontal="center"/>
    </xf>
    <xf numFmtId="10" fontId="7" fillId="4" borderId="6" xfId="0" applyNumberFormat="1" applyFont="1" applyFill="1" applyBorder="1" applyAlignment="1">
      <alignment horizontal="center"/>
    </xf>
    <xf numFmtId="0" fontId="7" fillId="4" borderId="43" xfId="0" applyFont="1" applyFill="1" applyBorder="1" applyAlignment="1">
      <alignment horizontal="center"/>
    </xf>
    <xf numFmtId="10" fontId="7" fillId="4" borderId="40" xfId="0" applyNumberFormat="1" applyFont="1" applyFill="1" applyBorder="1" applyAlignment="1">
      <alignment horizontal="center"/>
    </xf>
    <xf numFmtId="0" fontId="7" fillId="4" borderId="44" xfId="0" applyFont="1" applyFill="1" applyBorder="1" applyAlignment="1">
      <alignment horizontal="center"/>
    </xf>
    <xf numFmtId="10" fontId="7" fillId="4" borderId="14" xfId="0" applyNumberFormat="1" applyFont="1" applyFill="1" applyBorder="1" applyAlignment="1">
      <alignment horizontal="center"/>
    </xf>
    <xf numFmtId="179" fontId="7" fillId="5" borderId="21" xfId="0" applyNumberFormat="1" applyFont="1" applyFill="1" applyBorder="1" applyAlignment="1">
      <alignment horizontal="center"/>
    </xf>
    <xf numFmtId="0" fontId="7" fillId="5" borderId="21" xfId="0" applyFont="1" applyFill="1" applyBorder="1" applyAlignment="1">
      <alignment horizontal="center"/>
    </xf>
    <xf numFmtId="179" fontId="7" fillId="5" borderId="1" xfId="0" applyNumberFormat="1" applyFont="1" applyFill="1" applyBorder="1" applyAlignment="1">
      <alignment horizontal="center"/>
    </xf>
    <xf numFmtId="169" fontId="7" fillId="4" borderId="1" xfId="0" applyNumberFormat="1" applyFont="1" applyFill="1" applyBorder="1" applyAlignment="1">
      <alignment horizontal="center"/>
    </xf>
    <xf numFmtId="170" fontId="7" fillId="4" borderId="14" xfId="0" applyNumberFormat="1" applyFont="1" applyFill="1" applyBorder="1" applyAlignment="1">
      <alignment horizontal="center"/>
    </xf>
    <xf numFmtId="169" fontId="19" fillId="42" borderId="1" xfId="0" applyNumberFormat="1" applyFont="1" applyFill="1" applyBorder="1" applyAlignment="1">
      <alignment horizontal="center"/>
    </xf>
    <xf numFmtId="0" fontId="35" fillId="4" borderId="7" xfId="0" applyFont="1" applyFill="1" applyBorder="1"/>
    <xf numFmtId="171" fontId="7" fillId="0" borderId="28" xfId="0" applyNumberFormat="1" applyFont="1" applyBorder="1" applyAlignment="1">
      <alignment horizontal="right"/>
    </xf>
    <xf numFmtId="167" fontId="7" fillId="4" borderId="5" xfId="0" applyNumberFormat="1" applyFont="1" applyFill="1" applyBorder="1"/>
    <xf numFmtId="0" fontId="7" fillId="4" borderId="6" xfId="0" applyFont="1" applyFill="1" applyBorder="1"/>
    <xf numFmtId="0" fontId="7" fillId="4" borderId="42" xfId="0" applyFont="1" applyFill="1" applyBorder="1"/>
    <xf numFmtId="167" fontId="7" fillId="4" borderId="24" xfId="0" applyNumberFormat="1" applyFont="1" applyFill="1" applyBorder="1" applyAlignment="1">
      <alignment horizontal="right"/>
    </xf>
    <xf numFmtId="0" fontId="7" fillId="4" borderId="40" xfId="0" applyFont="1" applyFill="1" applyBorder="1"/>
    <xf numFmtId="167" fontId="7" fillId="4" borderId="40" xfId="0" applyNumberFormat="1" applyFont="1" applyFill="1" applyBorder="1" applyAlignment="1">
      <alignment horizontal="right"/>
    </xf>
    <xf numFmtId="167" fontId="7" fillId="21" borderId="24" xfId="0" applyNumberFormat="1" applyFont="1" applyFill="1" applyBorder="1" applyAlignment="1">
      <alignment horizontal="right"/>
    </xf>
    <xf numFmtId="0" fontId="7" fillId="4" borderId="15" xfId="0" applyFont="1" applyFill="1" applyBorder="1"/>
    <xf numFmtId="0" fontId="7" fillId="4" borderId="13" xfId="0" applyFont="1" applyFill="1" applyBorder="1"/>
    <xf numFmtId="167" fontId="7" fillId="21" borderId="13" xfId="0" applyNumberFormat="1" applyFont="1" applyFill="1" applyBorder="1" applyAlignment="1">
      <alignment horizontal="right"/>
    </xf>
    <xf numFmtId="167" fontId="7" fillId="4" borderId="13" xfId="0" applyNumberFormat="1" applyFont="1" applyFill="1" applyBorder="1" applyAlignment="1">
      <alignment horizontal="right"/>
    </xf>
    <xf numFmtId="167" fontId="7" fillId="4" borderId="14" xfId="0" applyNumberFormat="1" applyFont="1" applyFill="1" applyBorder="1" applyAlignment="1">
      <alignment horizontal="right"/>
    </xf>
    <xf numFmtId="170" fontId="6" fillId="21" borderId="1" xfId="0" applyNumberFormat="1" applyFont="1" applyFill="1" applyBorder="1" applyAlignment="1">
      <alignment horizontal="center"/>
    </xf>
    <xf numFmtId="0" fontId="12" fillId="4" borderId="1" xfId="0" applyFont="1" applyFill="1" applyBorder="1" applyAlignment="1">
      <alignment horizontal="center" vertical="center"/>
    </xf>
    <xf numFmtId="0" fontId="6" fillId="28" borderId="63" xfId="0" applyFont="1" applyFill="1" applyBorder="1" applyAlignment="1">
      <alignment horizontal="center"/>
    </xf>
    <xf numFmtId="0" fontId="6" fillId="28" borderId="50" xfId="0" applyFont="1" applyFill="1" applyBorder="1" applyAlignment="1">
      <alignment horizontal="center"/>
    </xf>
    <xf numFmtId="0" fontId="6" fillId="28" borderId="64" xfId="0" applyFont="1" applyFill="1" applyBorder="1" applyAlignment="1">
      <alignment horizontal="center"/>
    </xf>
    <xf numFmtId="0" fontId="7" fillId="21" borderId="1" xfId="0" applyFont="1" applyFill="1" applyBorder="1" applyAlignment="1">
      <alignment horizontal="center"/>
    </xf>
    <xf numFmtId="3" fontId="7" fillId="21" borderId="62" xfId="0" applyNumberFormat="1" applyFont="1" applyFill="1" applyBorder="1" applyAlignment="1">
      <alignment horizontal="center"/>
    </xf>
    <xf numFmtId="3" fontId="7" fillId="4" borderId="6" xfId="0" applyNumberFormat="1" applyFont="1" applyFill="1" applyBorder="1" applyAlignment="1">
      <alignment horizontal="center"/>
    </xf>
    <xf numFmtId="3" fontId="7" fillId="4" borderId="36" xfId="0" applyNumberFormat="1" applyFont="1" applyFill="1" applyBorder="1" applyAlignment="1">
      <alignment horizontal="center"/>
    </xf>
    <xf numFmtId="3" fontId="24" fillId="4" borderId="24" xfId="0" applyNumberFormat="1" applyFont="1" applyFill="1" applyBorder="1"/>
    <xf numFmtId="10" fontId="6" fillId="21" borderId="24" xfId="0" applyNumberFormat="1" applyFont="1" applyFill="1" applyBorder="1" applyAlignment="1">
      <alignment horizontal="center"/>
    </xf>
    <xf numFmtId="10" fontId="7" fillId="0" borderId="0" xfId="0" applyNumberFormat="1" applyFont="1"/>
    <xf numFmtId="0" fontId="6" fillId="0" borderId="10" xfId="0" applyFont="1" applyBorder="1" applyAlignment="1">
      <alignment horizontal="center"/>
    </xf>
    <xf numFmtId="173" fontId="6" fillId="0" borderId="10" xfId="0" applyNumberFormat="1" applyFont="1" applyBorder="1" applyAlignment="1">
      <alignment horizontal="center"/>
    </xf>
    <xf numFmtId="166" fontId="6" fillId="0" borderId="10" xfId="0" applyNumberFormat="1" applyFont="1" applyBorder="1" applyAlignment="1">
      <alignment horizontal="center"/>
    </xf>
    <xf numFmtId="166" fontId="7" fillId="0" borderId="0" xfId="0" applyNumberFormat="1" applyFont="1" applyAlignment="1">
      <alignment horizontal="center"/>
    </xf>
    <xf numFmtId="166" fontId="7" fillId="0" borderId="0" xfId="0" applyNumberFormat="1" applyFont="1"/>
    <xf numFmtId="1" fontId="27" fillId="0" borderId="0" xfId="0" applyNumberFormat="1" applyFont="1"/>
    <xf numFmtId="173" fontId="27" fillId="0" borderId="0" xfId="0" applyNumberFormat="1" applyFont="1"/>
    <xf numFmtId="0" fontId="27" fillId="0" borderId="0" xfId="0" applyFont="1"/>
    <xf numFmtId="0" fontId="7" fillId="19" borderId="24" xfId="0" applyFont="1" applyFill="1" applyBorder="1"/>
    <xf numFmtId="0" fontId="6" fillId="19" borderId="24" xfId="0" applyFont="1" applyFill="1" applyBorder="1"/>
    <xf numFmtId="3" fontId="6" fillId="19" borderId="24" xfId="0" applyNumberFormat="1" applyFont="1" applyFill="1" applyBorder="1"/>
    <xf numFmtId="3" fontId="17" fillId="0" borderId="0" xfId="0" applyNumberFormat="1" applyFont="1"/>
    <xf numFmtId="176" fontId="7" fillId="0" borderId="0" xfId="0" applyNumberFormat="1" applyFont="1"/>
    <xf numFmtId="176" fontId="4" fillId="0" borderId="0" xfId="0" applyNumberFormat="1" applyFont="1"/>
    <xf numFmtId="1" fontId="7" fillId="32" borderId="24" xfId="0" applyNumberFormat="1" applyFont="1" applyFill="1" applyBorder="1" applyAlignment="1">
      <alignment vertical="top"/>
    </xf>
    <xf numFmtId="173" fontId="17" fillId="43" borderId="24" xfId="0" applyNumberFormat="1" applyFont="1" applyFill="1" applyBorder="1" applyAlignment="1">
      <alignment horizontal="right" vertical="top"/>
    </xf>
    <xf numFmtId="14" fontId="7" fillId="34" borderId="24" xfId="0" applyNumberFormat="1" applyFont="1" applyFill="1" applyBorder="1" applyAlignment="1">
      <alignment vertical="top"/>
    </xf>
    <xf numFmtId="174" fontId="6" fillId="0" borderId="0" xfId="0" applyNumberFormat="1" applyFont="1"/>
    <xf numFmtId="0" fontId="6" fillId="25" borderId="24" xfId="0" applyFont="1" applyFill="1" applyBorder="1"/>
    <xf numFmtId="3" fontId="6" fillId="25" borderId="24" xfId="0" applyNumberFormat="1" applyFont="1" applyFill="1" applyBorder="1"/>
    <xf numFmtId="0" fontId="6" fillId="6" borderId="24" xfId="0" applyFont="1" applyFill="1" applyBorder="1"/>
    <xf numFmtId="3" fontId="6" fillId="6" borderId="24" xfId="0" applyNumberFormat="1" applyFont="1" applyFill="1" applyBorder="1"/>
    <xf numFmtId="0" fontId="37" fillId="4" borderId="24" xfId="0" applyFont="1" applyFill="1" applyBorder="1"/>
    <xf numFmtId="165" fontId="6" fillId="25" borderId="24" xfId="0" applyNumberFormat="1" applyFont="1" applyFill="1" applyBorder="1"/>
    <xf numFmtId="173" fontId="38" fillId="4" borderId="24" xfId="0" applyNumberFormat="1" applyFont="1" applyFill="1" applyBorder="1" applyAlignment="1">
      <alignment horizontal="right" vertical="top"/>
    </xf>
    <xf numFmtId="173" fontId="38" fillId="6" borderId="24" xfId="0" applyNumberFormat="1" applyFont="1" applyFill="1" applyBorder="1" applyAlignment="1">
      <alignment horizontal="right" vertical="top"/>
    </xf>
    <xf numFmtId="173" fontId="39" fillId="6" borderId="24" xfId="0" applyNumberFormat="1" applyFont="1" applyFill="1" applyBorder="1" applyAlignment="1">
      <alignment horizontal="right" vertical="top"/>
    </xf>
    <xf numFmtId="1" fontId="17" fillId="4" borderId="24" xfId="0" applyNumberFormat="1" applyFont="1" applyFill="1" applyBorder="1" applyAlignment="1">
      <alignment vertical="top"/>
    </xf>
    <xf numFmtId="1" fontId="4" fillId="4" borderId="24" xfId="0" applyNumberFormat="1" applyFont="1" applyFill="1" applyBorder="1"/>
    <xf numFmtId="173" fontId="6" fillId="4" borderId="24" xfId="0" applyNumberFormat="1" applyFont="1" applyFill="1" applyBorder="1"/>
    <xf numFmtId="14" fontId="17" fillId="4" borderId="24" xfId="0" applyNumberFormat="1" applyFont="1" applyFill="1" applyBorder="1" applyAlignment="1">
      <alignment horizontal="center" vertical="top"/>
    </xf>
    <xf numFmtId="0" fontId="40" fillId="0" borderId="0" xfId="0" applyFont="1"/>
    <xf numFmtId="0" fontId="7" fillId="4" borderId="45" xfId="0" applyFont="1" applyFill="1" applyBorder="1"/>
    <xf numFmtId="10" fontId="7" fillId="4" borderId="45" xfId="0" applyNumberFormat="1" applyFont="1" applyFill="1" applyBorder="1"/>
    <xf numFmtId="0" fontId="5" fillId="4" borderId="45" xfId="0" applyFont="1" applyFill="1" applyBorder="1"/>
    <xf numFmtId="0" fontId="8" fillId="0" borderId="32" xfId="0" applyFont="1" applyBorder="1"/>
    <xf numFmtId="0" fontId="7" fillId="4" borderId="28" xfId="0" applyFont="1" applyFill="1" applyBorder="1"/>
    <xf numFmtId="0" fontId="8" fillId="0" borderId="9" xfId="0" applyFont="1" applyBorder="1"/>
    <xf numFmtId="0" fontId="8" fillId="0" borderId="29" xfId="0" applyFont="1" applyBorder="1"/>
    <xf numFmtId="0" fontId="8" fillId="0" borderId="18" xfId="0" applyFont="1" applyBorder="1"/>
    <xf numFmtId="0" fontId="8" fillId="0" borderId="12" xfId="0" applyFont="1" applyBorder="1"/>
    <xf numFmtId="0" fontId="8" fillId="0" borderId="11" xfId="0" applyFont="1" applyBorder="1"/>
    <xf numFmtId="0" fontId="5" fillId="20" borderId="34" xfId="0" applyFont="1" applyFill="1" applyBorder="1"/>
    <xf numFmtId="0" fontId="7" fillId="4" borderId="65" xfId="0" applyFont="1" applyFill="1" applyBorder="1" applyAlignment="1">
      <alignment horizontal="center"/>
    </xf>
    <xf numFmtId="0" fontId="5" fillId="46" borderId="23" xfId="0" applyFont="1" applyFill="1" applyBorder="1"/>
    <xf numFmtId="0" fontId="6" fillId="4" borderId="45" xfId="0" applyFont="1" applyFill="1" applyBorder="1" applyAlignment="1">
      <alignment vertical="center"/>
    </xf>
    <xf numFmtId="0" fontId="5" fillId="47" borderId="45" xfId="0" applyFont="1" applyFill="1" applyBorder="1"/>
    <xf numFmtId="9" fontId="7" fillId="47" borderId="45" xfId="0" applyNumberFormat="1" applyFont="1" applyFill="1" applyBorder="1" applyAlignment="1">
      <alignment horizontal="center"/>
    </xf>
    <xf numFmtId="167" fontId="7" fillId="48" borderId="45" xfId="0" applyNumberFormat="1" applyFont="1" applyFill="1" applyBorder="1" applyAlignment="1">
      <alignment horizontal="right"/>
    </xf>
    <xf numFmtId="0" fontId="0" fillId="49" borderId="0" xfId="0" applyFill="1"/>
    <xf numFmtId="0" fontId="6" fillId="51" borderId="45" xfId="0" applyFont="1" applyFill="1" applyBorder="1" applyAlignment="1">
      <alignment horizontal="center"/>
    </xf>
    <xf numFmtId="0" fontId="7" fillId="4" borderId="33" xfId="0" applyFont="1" applyFill="1" applyBorder="1" applyAlignment="1">
      <alignment horizontal="center"/>
    </xf>
    <xf numFmtId="0" fontId="44" fillId="0" borderId="67" xfId="0" applyFont="1" applyBorder="1" applyAlignment="1">
      <alignment horizontal="center" vertical="center"/>
    </xf>
    <xf numFmtId="0" fontId="0" fillId="0" borderId="45" xfId="0" applyBorder="1"/>
    <xf numFmtId="9" fontId="7" fillId="4" borderId="45" xfId="0" applyNumberFormat="1" applyFont="1" applyFill="1" applyBorder="1"/>
    <xf numFmtId="168" fontId="7" fillId="4" borderId="45" xfId="0" applyNumberFormat="1" applyFont="1" applyFill="1" applyBorder="1"/>
    <xf numFmtId="0" fontId="6" fillId="21" borderId="68" xfId="0" applyFont="1" applyFill="1" applyBorder="1" applyAlignment="1">
      <alignment horizontal="center"/>
    </xf>
    <xf numFmtId="0" fontId="6" fillId="21" borderId="69" xfId="0" applyFont="1" applyFill="1" applyBorder="1" applyAlignment="1">
      <alignment horizontal="center"/>
    </xf>
    <xf numFmtId="0" fontId="6" fillId="21" borderId="70" xfId="0" applyFont="1" applyFill="1" applyBorder="1" applyAlignment="1">
      <alignment horizontal="center"/>
    </xf>
    <xf numFmtId="0" fontId="6" fillId="21" borderId="66" xfId="0" applyFont="1" applyFill="1" applyBorder="1" applyAlignment="1">
      <alignment horizontal="center"/>
    </xf>
    <xf numFmtId="169" fontId="6" fillId="21" borderId="66" xfId="0" applyNumberFormat="1" applyFont="1" applyFill="1" applyBorder="1" applyAlignment="1">
      <alignment horizontal="center"/>
    </xf>
    <xf numFmtId="9" fontId="43" fillId="52" borderId="66" xfId="0" applyNumberFormat="1" applyFont="1" applyFill="1" applyBorder="1" applyAlignment="1">
      <alignment horizontal="center"/>
    </xf>
    <xf numFmtId="9" fontId="45" fillId="53" borderId="72" xfId="0" applyNumberFormat="1" applyFont="1" applyFill="1" applyBorder="1" applyAlignment="1">
      <alignment horizontal="center"/>
    </xf>
    <xf numFmtId="0" fontId="43" fillId="54" borderId="44" xfId="0" applyFont="1" applyFill="1" applyBorder="1" applyAlignment="1">
      <alignment horizontal="center"/>
    </xf>
    <xf numFmtId="1" fontId="44" fillId="0" borderId="67" xfId="0" applyNumberFormat="1" applyFont="1" applyBorder="1" applyAlignment="1">
      <alignment horizontal="center" vertical="center"/>
    </xf>
    <xf numFmtId="0" fontId="6" fillId="10" borderId="65" xfId="0" applyFont="1" applyFill="1" applyBorder="1" applyAlignment="1">
      <alignment horizontal="center" vertical="center"/>
    </xf>
    <xf numFmtId="164" fontId="4" fillId="0" borderId="45" xfId="0" applyNumberFormat="1" applyFont="1" applyBorder="1"/>
    <xf numFmtId="164" fontId="47" fillId="0" borderId="0" xfId="0" applyNumberFormat="1" applyFont="1"/>
    <xf numFmtId="0" fontId="0" fillId="0" borderId="0" xfId="0" applyAlignment="1">
      <alignment horizontal="center"/>
    </xf>
    <xf numFmtId="0" fontId="41" fillId="4" borderId="1" xfId="0" applyFont="1" applyFill="1" applyBorder="1" applyAlignment="1">
      <alignment horizontal="left"/>
    </xf>
    <xf numFmtId="169" fontId="7" fillId="4" borderId="1" xfId="0" applyNumberFormat="1" applyFont="1" applyFill="1" applyBorder="1" applyAlignment="1">
      <alignment horizontal="center" vertical="center"/>
    </xf>
    <xf numFmtId="0" fontId="1" fillId="0" borderId="45" xfId="3"/>
    <xf numFmtId="0" fontId="43" fillId="21" borderId="39" xfId="3" applyFont="1" applyFill="1" applyBorder="1" applyAlignment="1">
      <alignment horizontal="center"/>
    </xf>
    <xf numFmtId="0" fontId="56" fillId="0" borderId="45" xfId="3" applyFont="1"/>
    <xf numFmtId="0" fontId="41" fillId="20" borderId="60" xfId="3" applyFont="1" applyFill="1" applyBorder="1"/>
    <xf numFmtId="169" fontId="43" fillId="21" borderId="82" xfId="3" applyNumberFormat="1" applyFont="1" applyFill="1" applyBorder="1" applyAlignment="1">
      <alignment horizontal="center"/>
    </xf>
    <xf numFmtId="0" fontId="41" fillId="22" borderId="23" xfId="3" applyFont="1" applyFill="1" applyBorder="1"/>
    <xf numFmtId="10" fontId="56" fillId="0" borderId="45" xfId="3" applyNumberFormat="1" applyFont="1"/>
    <xf numFmtId="3" fontId="43" fillId="7" borderId="85" xfId="3" applyNumberFormat="1" applyFont="1" applyFill="1" applyBorder="1" applyAlignment="1">
      <alignment horizontal="center"/>
    </xf>
    <xf numFmtId="170" fontId="56" fillId="0" borderId="45" xfId="3" applyNumberFormat="1" applyFont="1"/>
    <xf numFmtId="9" fontId="56" fillId="0" borderId="45" xfId="3" applyNumberFormat="1" applyFont="1"/>
    <xf numFmtId="9" fontId="41" fillId="0" borderId="87" xfId="3" applyNumberFormat="1" applyFont="1" applyBorder="1" applyAlignment="1">
      <alignment horizontal="center"/>
    </xf>
    <xf numFmtId="10" fontId="43" fillId="0" borderId="88" xfId="3" applyNumberFormat="1" applyFont="1" applyBorder="1" applyAlignment="1">
      <alignment horizontal="center"/>
    </xf>
    <xf numFmtId="3" fontId="41" fillId="0" borderId="87" xfId="3" applyNumberFormat="1" applyFont="1" applyBorder="1" applyAlignment="1">
      <alignment horizontal="center"/>
    </xf>
    <xf numFmtId="3" fontId="56" fillId="4" borderId="45" xfId="3" applyNumberFormat="1" applyFont="1" applyFill="1"/>
    <xf numFmtId="3" fontId="41" fillId="0" borderId="89" xfId="3" applyNumberFormat="1" applyFont="1" applyBorder="1" applyAlignment="1">
      <alignment horizontal="center"/>
    </xf>
    <xf numFmtId="181" fontId="56" fillId="0" borderId="45" xfId="3" applyNumberFormat="1" applyFont="1"/>
    <xf numFmtId="170" fontId="57" fillId="6" borderId="1" xfId="3" applyNumberFormat="1" applyFont="1" applyFill="1" applyBorder="1" applyAlignment="1">
      <alignment horizontal="right"/>
    </xf>
    <xf numFmtId="0" fontId="57" fillId="0" borderId="45" xfId="3" applyFont="1" applyAlignment="1">
      <alignment horizontal="center"/>
    </xf>
    <xf numFmtId="169" fontId="57" fillId="0" borderId="45" xfId="3" applyNumberFormat="1" applyFont="1" applyAlignment="1">
      <alignment horizontal="center"/>
    </xf>
    <xf numFmtId="0" fontId="56" fillId="0" borderId="45" xfId="3" applyFont="1" applyAlignment="1">
      <alignment horizontal="center"/>
    </xf>
    <xf numFmtId="0" fontId="56" fillId="0" borderId="67" xfId="3" applyFont="1" applyBorder="1" applyAlignment="1">
      <alignment horizontal="center"/>
    </xf>
    <xf numFmtId="0" fontId="56" fillId="0" borderId="75" xfId="3" applyFont="1" applyBorder="1" applyAlignment="1">
      <alignment horizontal="center"/>
    </xf>
    <xf numFmtId="170" fontId="57" fillId="21" borderId="44" xfId="3" applyNumberFormat="1" applyFont="1" applyFill="1" applyBorder="1" applyAlignment="1">
      <alignment horizontal="right"/>
    </xf>
    <xf numFmtId="10" fontId="43" fillId="0" borderId="90" xfId="3" applyNumberFormat="1" applyFont="1" applyBorder="1" applyAlignment="1">
      <alignment horizontal="center"/>
    </xf>
    <xf numFmtId="170" fontId="57" fillId="50" borderId="45" xfId="3" applyNumberFormat="1" applyFont="1" applyFill="1" applyAlignment="1">
      <alignment horizontal="center"/>
    </xf>
    <xf numFmtId="0" fontId="53" fillId="0" borderId="45" xfId="3" applyFont="1" applyAlignment="1">
      <alignment vertical="center"/>
    </xf>
    <xf numFmtId="10" fontId="43" fillId="7" borderId="86" xfId="3" applyNumberFormat="1" applyFont="1" applyFill="1" applyBorder="1" applyAlignment="1">
      <alignment horizontal="center"/>
    </xf>
    <xf numFmtId="170" fontId="47" fillId="3" borderId="67" xfId="0" applyNumberFormat="1" applyFont="1" applyFill="1" applyBorder="1" applyAlignment="1">
      <alignment horizontal="left"/>
    </xf>
    <xf numFmtId="170" fontId="4" fillId="3" borderId="67" xfId="0" applyNumberFormat="1" applyFont="1" applyFill="1" applyBorder="1" applyAlignment="1">
      <alignment horizontal="center"/>
    </xf>
    <xf numFmtId="0" fontId="47" fillId="3" borderId="24" xfId="0" applyFont="1" applyFill="1" applyBorder="1" applyAlignment="1">
      <alignment horizontal="left"/>
    </xf>
    <xf numFmtId="169" fontId="4" fillId="3" borderId="24" xfId="0" applyNumberFormat="1" applyFont="1" applyFill="1" applyBorder="1" applyAlignment="1">
      <alignment horizontal="center" vertical="center"/>
    </xf>
    <xf numFmtId="169" fontId="4" fillId="3" borderId="19" xfId="0" applyNumberFormat="1" applyFont="1" applyFill="1" applyBorder="1" applyAlignment="1">
      <alignment horizontal="center"/>
    </xf>
    <xf numFmtId="169" fontId="4" fillId="3" borderId="24" xfId="0" applyNumberFormat="1" applyFont="1" applyFill="1" applyBorder="1" applyAlignment="1">
      <alignment horizontal="center"/>
    </xf>
    <xf numFmtId="169" fontId="0" fillId="0" borderId="0" xfId="0" applyNumberFormat="1" applyAlignment="1">
      <alignment horizontal="center"/>
    </xf>
    <xf numFmtId="0" fontId="47" fillId="3" borderId="24" xfId="0" applyFont="1" applyFill="1" applyBorder="1" applyAlignment="1">
      <alignment horizontal="center"/>
    </xf>
    <xf numFmtId="0" fontId="47" fillId="3" borderId="45" xfId="0" applyFont="1" applyFill="1" applyBorder="1" applyAlignment="1">
      <alignment horizontal="left"/>
    </xf>
    <xf numFmtId="170" fontId="4" fillId="3" borderId="45" xfId="0" applyNumberFormat="1" applyFont="1" applyFill="1" applyBorder="1" applyAlignment="1">
      <alignment horizontal="center"/>
    </xf>
    <xf numFmtId="0" fontId="4" fillId="3" borderId="45" xfId="0" applyFont="1" applyFill="1" applyBorder="1"/>
    <xf numFmtId="169" fontId="4" fillId="3" borderId="45" xfId="0" applyNumberFormat="1" applyFont="1" applyFill="1" applyBorder="1" applyAlignment="1">
      <alignment horizontal="center"/>
    </xf>
    <xf numFmtId="0" fontId="47" fillId="3" borderId="45" xfId="0" applyFont="1" applyFill="1" applyBorder="1" applyAlignment="1">
      <alignment horizontal="center"/>
    </xf>
    <xf numFmtId="170" fontId="47" fillId="3" borderId="45" xfId="0" applyNumberFormat="1" applyFont="1" applyFill="1" applyBorder="1" applyAlignment="1">
      <alignment horizontal="left"/>
    </xf>
    <xf numFmtId="0" fontId="4" fillId="3" borderId="45" xfId="0" applyFont="1" applyFill="1" applyBorder="1" applyAlignment="1">
      <alignment horizontal="center"/>
    </xf>
    <xf numFmtId="0" fontId="4" fillId="3" borderId="45" xfId="0" applyFont="1" applyFill="1" applyBorder="1" applyAlignment="1">
      <alignment horizontal="left"/>
    </xf>
    <xf numFmtId="0" fontId="58" fillId="26" borderId="67" xfId="0" applyFont="1" applyFill="1" applyBorder="1" applyAlignment="1">
      <alignment horizontal="center" vertical="center"/>
    </xf>
    <xf numFmtId="170" fontId="19" fillId="26" borderId="67" xfId="0" applyNumberFormat="1" applyFont="1" applyFill="1" applyBorder="1" applyAlignment="1">
      <alignment horizontal="center" vertical="center"/>
    </xf>
    <xf numFmtId="170" fontId="48" fillId="3" borderId="66" xfId="0" applyNumberFormat="1" applyFont="1" applyFill="1" applyBorder="1" applyAlignment="1">
      <alignment horizontal="center"/>
    </xf>
    <xf numFmtId="0" fontId="47" fillId="0" borderId="0" xfId="0" applyFont="1" applyAlignment="1">
      <alignment horizontal="right"/>
    </xf>
    <xf numFmtId="0" fontId="56" fillId="49" borderId="45" xfId="3" applyFont="1" applyFill="1"/>
    <xf numFmtId="0" fontId="16" fillId="55" borderId="0" xfId="0" applyFont="1" applyFill="1" applyAlignment="1">
      <alignment horizontal="center" vertical="center"/>
    </xf>
    <xf numFmtId="0" fontId="7" fillId="49" borderId="0" xfId="0" applyFont="1" applyFill="1" applyAlignment="1">
      <alignment vertical="center"/>
    </xf>
    <xf numFmtId="0" fontId="16" fillId="56" borderId="0" xfId="0" applyFont="1" applyFill="1" applyAlignment="1">
      <alignment horizontal="center" vertical="center"/>
    </xf>
    <xf numFmtId="170" fontId="22" fillId="49" borderId="0" xfId="0" applyNumberFormat="1" applyFont="1" applyFill="1"/>
    <xf numFmtId="167" fontId="5" fillId="0" borderId="0" xfId="0" applyNumberFormat="1" applyFont="1" applyAlignment="1">
      <alignment horizontal="center"/>
    </xf>
    <xf numFmtId="0" fontId="60" fillId="0" borderId="45" xfId="3" applyFont="1" applyAlignment="1">
      <alignment horizontal="center"/>
    </xf>
    <xf numFmtId="44" fontId="60" fillId="0" borderId="45" xfId="3" applyNumberFormat="1" applyFont="1" applyAlignment="1">
      <alignment horizontal="center"/>
    </xf>
    <xf numFmtId="0" fontId="61" fillId="0" borderId="0" xfId="0" applyFont="1" applyAlignment="1">
      <alignment horizontal="center"/>
    </xf>
    <xf numFmtId="44" fontId="56" fillId="0" borderId="67" xfId="1" applyFont="1" applyBorder="1"/>
    <xf numFmtId="44" fontId="56" fillId="0" borderId="67" xfId="3" applyNumberFormat="1" applyFont="1" applyBorder="1"/>
    <xf numFmtId="44" fontId="0" fillId="0" borderId="67" xfId="0" applyNumberFormat="1" applyBorder="1"/>
    <xf numFmtId="44" fontId="0" fillId="0" borderId="67" xfId="1" applyFont="1" applyBorder="1"/>
    <xf numFmtId="0" fontId="57" fillId="0" borderId="67" xfId="3" applyFont="1" applyBorder="1" applyAlignment="1">
      <alignment horizontal="center"/>
    </xf>
    <xf numFmtId="10" fontId="57" fillId="0" borderId="67" xfId="3" applyNumberFormat="1" applyFont="1" applyBorder="1" applyAlignment="1">
      <alignment horizontal="center"/>
    </xf>
    <xf numFmtId="0" fontId="44" fillId="0" borderId="67" xfId="0" applyFont="1" applyBorder="1" applyAlignment="1">
      <alignment horizontal="center"/>
    </xf>
    <xf numFmtId="170" fontId="0" fillId="0" borderId="67" xfId="0" applyNumberFormat="1" applyBorder="1"/>
    <xf numFmtId="169" fontId="0" fillId="0" borderId="67" xfId="1" applyNumberFormat="1" applyFont="1" applyBorder="1"/>
    <xf numFmtId="44" fontId="56" fillId="0" borderId="76" xfId="1" applyFont="1" applyBorder="1"/>
    <xf numFmtId="44" fontId="56" fillId="0" borderId="77" xfId="3" applyNumberFormat="1" applyFont="1" applyBorder="1"/>
    <xf numFmtId="10" fontId="57" fillId="0" borderId="74" xfId="3" applyNumberFormat="1" applyFont="1" applyBorder="1" applyAlignment="1">
      <alignment horizontal="center"/>
    </xf>
    <xf numFmtId="0" fontId="57" fillId="57" borderId="66" xfId="3" applyFont="1" applyFill="1" applyBorder="1" applyAlignment="1">
      <alignment horizontal="center"/>
    </xf>
    <xf numFmtId="170" fontId="17" fillId="51" borderId="24" xfId="0" applyNumberFormat="1" applyFont="1" applyFill="1" applyBorder="1"/>
    <xf numFmtId="170" fontId="7" fillId="49" borderId="0" xfId="0" applyNumberFormat="1" applyFont="1" applyFill="1"/>
    <xf numFmtId="170" fontId="60" fillId="0" borderId="45" xfId="3" applyNumberFormat="1" applyFont="1" applyAlignment="1">
      <alignment horizontal="center"/>
    </xf>
    <xf numFmtId="0" fontId="8" fillId="0" borderId="45" xfId="0" applyFont="1" applyBorder="1"/>
    <xf numFmtId="0" fontId="44" fillId="0" borderId="0" xfId="0" applyFont="1" applyAlignment="1">
      <alignment horizontal="center"/>
    </xf>
    <xf numFmtId="180" fontId="57" fillId="0" borderId="45" xfId="3" applyNumberFormat="1" applyFont="1" applyAlignment="1">
      <alignment horizontal="center"/>
    </xf>
    <xf numFmtId="0" fontId="63" fillId="0" borderId="45" xfId="3" applyFont="1" applyAlignment="1">
      <alignment horizontal="right"/>
    </xf>
    <xf numFmtId="0" fontId="7" fillId="51" borderId="65" xfId="0" applyFont="1" applyFill="1" applyBorder="1" applyAlignment="1">
      <alignment horizontal="center"/>
    </xf>
    <xf numFmtId="0" fontId="7" fillId="51" borderId="21" xfId="0" applyFont="1" applyFill="1" applyBorder="1" applyAlignment="1">
      <alignment horizontal="center"/>
    </xf>
    <xf numFmtId="0" fontId="7" fillId="51" borderId="22" xfId="0" applyFont="1" applyFill="1" applyBorder="1" applyAlignment="1">
      <alignment horizontal="center"/>
    </xf>
    <xf numFmtId="0" fontId="7" fillId="51" borderId="23" xfId="0" applyFont="1" applyFill="1" applyBorder="1" applyAlignment="1">
      <alignment horizontal="center"/>
    </xf>
    <xf numFmtId="0" fontId="0" fillId="49" borderId="0" xfId="0" applyFill="1" applyAlignment="1">
      <alignment horizontal="center"/>
    </xf>
    <xf numFmtId="0" fontId="47" fillId="3" borderId="77" xfId="0" applyFont="1" applyFill="1" applyBorder="1"/>
    <xf numFmtId="0" fontId="48" fillId="3" borderId="66" xfId="0" applyFont="1" applyFill="1" applyBorder="1" applyAlignment="1">
      <alignment horizontal="center"/>
    </xf>
    <xf numFmtId="169" fontId="47" fillId="3" borderId="45" xfId="0" applyNumberFormat="1" applyFont="1" applyFill="1" applyBorder="1" applyAlignment="1">
      <alignment horizontal="center"/>
    </xf>
    <xf numFmtId="165" fontId="11" fillId="0" borderId="45" xfId="0" applyNumberFormat="1" applyFont="1" applyBorder="1"/>
    <xf numFmtId="0" fontId="46" fillId="0" borderId="1" xfId="0" applyFont="1" applyBorder="1" applyAlignment="1">
      <alignment horizontal="center" vertical="center"/>
    </xf>
    <xf numFmtId="10" fontId="14" fillId="0" borderId="1" xfId="0" applyNumberFormat="1" applyFont="1" applyBorder="1" applyAlignment="1">
      <alignment horizontal="center" vertical="center"/>
    </xf>
    <xf numFmtId="0" fontId="14" fillId="0" borderId="1" xfId="0" applyFont="1" applyBorder="1" applyAlignment="1">
      <alignment horizontal="center" vertical="center"/>
    </xf>
    <xf numFmtId="166" fontId="14" fillId="0" borderId="1" xfId="0" applyNumberFormat="1" applyFont="1" applyBorder="1" applyAlignment="1">
      <alignment horizontal="center" vertical="center"/>
    </xf>
    <xf numFmtId="0" fontId="0" fillId="0" borderId="0" xfId="0" applyAlignment="1">
      <alignment horizontal="center" vertical="center"/>
    </xf>
    <xf numFmtId="164" fontId="4" fillId="0" borderId="0" xfId="0" applyNumberFormat="1" applyFont="1" applyAlignment="1">
      <alignment horizontal="center" vertical="center" wrapText="1"/>
    </xf>
    <xf numFmtId="0" fontId="41" fillId="4" borderId="24" xfId="0" applyFont="1" applyFill="1" applyBorder="1"/>
    <xf numFmtId="10" fontId="7" fillId="4" borderId="45" xfId="0" applyNumberFormat="1" applyFont="1" applyFill="1" applyBorder="1" applyAlignment="1">
      <alignment horizontal="right"/>
    </xf>
    <xf numFmtId="0" fontId="4" fillId="3" borderId="24" xfId="0" applyFont="1" applyFill="1" applyBorder="1" applyAlignment="1">
      <alignment horizontal="right"/>
    </xf>
    <xf numFmtId="0" fontId="47" fillId="3" borderId="24" xfId="0" applyFont="1" applyFill="1" applyBorder="1" applyAlignment="1">
      <alignment horizontal="right"/>
    </xf>
    <xf numFmtId="0" fontId="47" fillId="3" borderId="45" xfId="0" applyFont="1" applyFill="1" applyBorder="1" applyAlignment="1">
      <alignment horizontal="right"/>
    </xf>
    <xf numFmtId="164" fontId="51" fillId="0" borderId="0" xfId="0" applyNumberFormat="1" applyFont="1" applyAlignment="1">
      <alignment horizontal="left" vertical="center"/>
    </xf>
    <xf numFmtId="0" fontId="61" fillId="0" borderId="0" xfId="0" applyFont="1" applyAlignment="1">
      <alignment horizontal="left"/>
    </xf>
    <xf numFmtId="170" fontId="48" fillId="60" borderId="66" xfId="0" applyNumberFormat="1" applyFont="1" applyFill="1" applyBorder="1" applyAlignment="1">
      <alignment horizontal="center"/>
    </xf>
    <xf numFmtId="0" fontId="46" fillId="0" borderId="36" xfId="0" applyFont="1" applyBorder="1" applyAlignment="1">
      <alignment horizontal="center" vertical="center"/>
    </xf>
    <xf numFmtId="10" fontId="14" fillId="0" borderId="36" xfId="0" applyNumberFormat="1" applyFont="1" applyBorder="1" applyAlignment="1">
      <alignment horizontal="center" vertical="center"/>
    </xf>
    <xf numFmtId="0" fontId="46" fillId="0" borderId="67" xfId="0" applyFont="1" applyBorder="1" applyAlignment="1">
      <alignment horizontal="center" vertical="center"/>
    </xf>
    <xf numFmtId="10" fontId="46" fillId="0" borderId="67" xfId="0" applyNumberFormat="1" applyFont="1" applyBorder="1" applyAlignment="1">
      <alignment horizontal="center" vertical="center"/>
    </xf>
    <xf numFmtId="165" fontId="2" fillId="7" borderId="96" xfId="0" applyNumberFormat="1" applyFont="1" applyFill="1" applyBorder="1"/>
    <xf numFmtId="165" fontId="10" fillId="0" borderId="36" xfId="0" applyNumberFormat="1" applyFont="1" applyBorder="1" applyAlignment="1">
      <alignment horizontal="center"/>
    </xf>
    <xf numFmtId="9" fontId="9" fillId="0" borderId="45" xfId="0" applyNumberFormat="1" applyFont="1" applyBorder="1" applyAlignment="1">
      <alignment horizontal="center"/>
    </xf>
    <xf numFmtId="9" fontId="13" fillId="0" borderId="45" xfId="0" applyNumberFormat="1" applyFont="1" applyBorder="1"/>
    <xf numFmtId="165" fontId="10" fillId="0" borderId="45" xfId="0" applyNumberFormat="1" applyFont="1" applyBorder="1" applyAlignment="1">
      <alignment horizontal="center"/>
    </xf>
    <xf numFmtId="165" fontId="7" fillId="7" borderId="97" xfId="0" applyNumberFormat="1" applyFont="1" applyFill="1" applyBorder="1" applyAlignment="1">
      <alignment horizontal="center"/>
    </xf>
    <xf numFmtId="9" fontId="13" fillId="0" borderId="98" xfId="0" applyNumberFormat="1" applyFont="1" applyBorder="1"/>
    <xf numFmtId="9" fontId="9" fillId="0" borderId="36" xfId="0" applyNumberFormat="1" applyFont="1" applyBorder="1" applyAlignment="1">
      <alignment horizontal="center"/>
    </xf>
    <xf numFmtId="165" fontId="10" fillId="0" borderId="97" xfId="0" applyNumberFormat="1" applyFont="1" applyBorder="1" applyAlignment="1">
      <alignment horizontal="center"/>
    </xf>
    <xf numFmtId="9" fontId="9" fillId="0" borderId="98" xfId="0" applyNumberFormat="1" applyFont="1" applyBorder="1" applyAlignment="1">
      <alignment horizontal="center"/>
    </xf>
    <xf numFmtId="164" fontId="2" fillId="7" borderId="96" xfId="0" applyNumberFormat="1" applyFont="1" applyFill="1" applyBorder="1"/>
    <xf numFmtId="165" fontId="51" fillId="0" borderId="38" xfId="0" applyNumberFormat="1" applyFont="1" applyBorder="1"/>
    <xf numFmtId="165" fontId="65" fillId="0" borderId="1" xfId="0" applyNumberFormat="1" applyFont="1" applyBorder="1" applyAlignment="1">
      <alignment horizontal="center"/>
    </xf>
    <xf numFmtId="9" fontId="64" fillId="0" borderId="0" xfId="0" applyNumberFormat="1" applyFont="1" applyAlignment="1">
      <alignment horizontal="center"/>
    </xf>
    <xf numFmtId="164" fontId="41" fillId="0" borderId="0" xfId="0" applyNumberFormat="1" applyFont="1" applyAlignment="1">
      <alignment horizontal="center"/>
    </xf>
    <xf numFmtId="165" fontId="2" fillId="0" borderId="76" xfId="0" applyNumberFormat="1" applyFont="1" applyBorder="1"/>
    <xf numFmtId="165" fontId="2" fillId="0" borderId="96" xfId="0" applyNumberFormat="1" applyFont="1" applyBorder="1"/>
    <xf numFmtId="165" fontId="2" fillId="0" borderId="77" xfId="0" applyNumberFormat="1" applyFont="1" applyBorder="1"/>
    <xf numFmtId="0" fontId="43" fillId="6" borderId="1" xfId="0" applyFont="1" applyFill="1" applyBorder="1" applyAlignment="1">
      <alignment horizontal="center"/>
    </xf>
    <xf numFmtId="164" fontId="3" fillId="0" borderId="99" xfId="0" applyNumberFormat="1" applyFont="1" applyBorder="1" applyAlignment="1">
      <alignment horizontal="center" vertical="center"/>
    </xf>
    <xf numFmtId="164" fontId="2" fillId="2" borderId="67" xfId="0" applyNumberFormat="1" applyFont="1" applyFill="1" applyBorder="1" applyAlignment="1">
      <alignment horizontal="center" vertical="center"/>
    </xf>
    <xf numFmtId="0" fontId="44" fillId="0" borderId="0" xfId="0" applyFont="1" applyAlignment="1">
      <alignment horizontal="right"/>
    </xf>
    <xf numFmtId="165" fontId="0" fillId="0" borderId="0" xfId="0" applyNumberFormat="1"/>
    <xf numFmtId="9" fontId="9" fillId="0" borderId="22" xfId="0" applyNumberFormat="1" applyFont="1" applyBorder="1" applyAlignment="1">
      <alignment horizontal="center"/>
    </xf>
    <xf numFmtId="164" fontId="2" fillId="7" borderId="67" xfId="0" applyNumberFormat="1" applyFont="1" applyFill="1" applyBorder="1"/>
    <xf numFmtId="166" fontId="9" fillId="0" borderId="1" xfId="0" applyNumberFormat="1" applyFont="1" applyBorder="1" applyAlignment="1">
      <alignment horizontal="center"/>
    </xf>
    <xf numFmtId="10" fontId="6" fillId="21" borderId="66" xfId="2" applyNumberFormat="1" applyFont="1" applyFill="1" applyBorder="1" applyAlignment="1">
      <alignment horizontal="center"/>
    </xf>
    <xf numFmtId="0" fontId="41" fillId="20" borderId="1" xfId="0" applyFont="1" applyFill="1" applyBorder="1"/>
    <xf numFmtId="0" fontId="7" fillId="4" borderId="31" xfId="0" applyFont="1" applyFill="1" applyBorder="1"/>
    <xf numFmtId="167" fontId="7" fillId="4" borderId="31" xfId="0" applyNumberFormat="1" applyFont="1" applyFill="1" applyBorder="1" applyAlignment="1">
      <alignment horizontal="right"/>
    </xf>
    <xf numFmtId="169" fontId="6" fillId="21" borderId="66" xfId="2" applyNumberFormat="1" applyFont="1" applyFill="1" applyBorder="1" applyAlignment="1">
      <alignment horizontal="center"/>
    </xf>
    <xf numFmtId="0" fontId="41" fillId="4" borderId="34" xfId="0" applyFont="1" applyFill="1" applyBorder="1"/>
    <xf numFmtId="169" fontId="6" fillId="4" borderId="45" xfId="0" applyNumberFormat="1" applyFont="1" applyFill="1" applyBorder="1" applyAlignment="1">
      <alignment vertical="center"/>
    </xf>
    <xf numFmtId="169" fontId="6" fillId="4" borderId="24" xfId="0" applyNumberFormat="1" applyFont="1" applyFill="1" applyBorder="1" applyAlignment="1">
      <alignment vertical="center"/>
    </xf>
    <xf numFmtId="165" fontId="2" fillId="7" borderId="67" xfId="0" applyNumberFormat="1" applyFont="1" applyFill="1" applyBorder="1"/>
    <xf numFmtId="164" fontId="2" fillId="61" borderId="67" xfId="0" applyNumberFormat="1" applyFont="1" applyFill="1" applyBorder="1"/>
    <xf numFmtId="165" fontId="2" fillId="61" borderId="67" xfId="0" applyNumberFormat="1" applyFont="1" applyFill="1" applyBorder="1"/>
    <xf numFmtId="165" fontId="7" fillId="61" borderId="97" xfId="0" applyNumberFormat="1" applyFont="1" applyFill="1" applyBorder="1" applyAlignment="1">
      <alignment horizontal="center"/>
    </xf>
    <xf numFmtId="164" fontId="2" fillId="62" borderId="67" xfId="0" applyNumberFormat="1" applyFont="1" applyFill="1" applyBorder="1"/>
    <xf numFmtId="165" fontId="2" fillId="62" borderId="67" xfId="0" applyNumberFormat="1" applyFont="1" applyFill="1" applyBorder="1"/>
    <xf numFmtId="165" fontId="7" fillId="62" borderId="97" xfId="0" applyNumberFormat="1" applyFont="1" applyFill="1" applyBorder="1" applyAlignment="1">
      <alignment horizontal="center"/>
    </xf>
    <xf numFmtId="0" fontId="6" fillId="63" borderId="1" xfId="0" applyFont="1" applyFill="1" applyBorder="1" applyAlignment="1">
      <alignment horizontal="center"/>
    </xf>
    <xf numFmtId="10" fontId="13" fillId="0" borderId="22" xfId="0" applyNumberFormat="1" applyFont="1" applyBorder="1"/>
    <xf numFmtId="165" fontId="2" fillId="0" borderId="67" xfId="0" applyNumberFormat="1" applyFont="1" applyBorder="1"/>
    <xf numFmtId="0" fontId="16" fillId="16" borderId="2" xfId="0" applyFont="1" applyFill="1" applyBorder="1" applyAlignment="1">
      <alignment horizontal="center" vertical="center"/>
    </xf>
    <xf numFmtId="0" fontId="8" fillId="0" borderId="3" xfId="0" applyFont="1" applyBorder="1"/>
    <xf numFmtId="0" fontId="8" fillId="0" borderId="4" xfId="0" applyFont="1" applyBorder="1"/>
    <xf numFmtId="0" fontId="6" fillId="4" borderId="25" xfId="0" applyFont="1" applyFill="1" applyBorder="1" applyAlignment="1">
      <alignment horizontal="center"/>
    </xf>
    <xf numFmtId="0" fontId="8" fillId="0" borderId="26" xfId="0" applyFont="1" applyBorder="1"/>
    <xf numFmtId="0" fontId="5" fillId="4" borderId="25" xfId="0" applyFont="1" applyFill="1" applyBorder="1" applyAlignment="1">
      <alignment horizontal="right"/>
    </xf>
    <xf numFmtId="0" fontId="15" fillId="13" borderId="25" xfId="0" applyFont="1" applyFill="1" applyBorder="1" applyAlignment="1">
      <alignment horizontal="center" vertical="center"/>
    </xf>
    <xf numFmtId="0" fontId="12" fillId="4" borderId="46" xfId="0" applyFont="1" applyFill="1" applyBorder="1" applyAlignment="1">
      <alignment horizontal="center" vertical="center" wrapText="1"/>
    </xf>
    <xf numFmtId="0" fontId="8" fillId="0" borderId="17" xfId="0" applyFont="1" applyBorder="1"/>
    <xf numFmtId="0" fontId="8" fillId="0" borderId="20" xfId="0" applyFont="1" applyBorder="1"/>
    <xf numFmtId="0" fontId="16" fillId="15" borderId="2" xfId="0" applyFont="1" applyFill="1" applyBorder="1" applyAlignment="1">
      <alignment horizontal="center" vertical="center"/>
    </xf>
    <xf numFmtId="0" fontId="16" fillId="8" borderId="2" xfId="0" applyFont="1" applyFill="1" applyBorder="1" applyAlignment="1">
      <alignment horizontal="center" vertical="center"/>
    </xf>
    <xf numFmtId="0" fontId="54" fillId="14" borderId="23" xfId="0" applyFont="1" applyFill="1" applyBorder="1" applyAlignment="1">
      <alignment horizontal="center" vertical="center"/>
    </xf>
    <xf numFmtId="0" fontId="54" fillId="14" borderId="33" xfId="0" applyFont="1" applyFill="1" applyBorder="1" applyAlignment="1">
      <alignment horizontal="center" vertical="center"/>
    </xf>
    <xf numFmtId="0" fontId="54" fillId="14" borderId="22" xfId="0" applyFont="1" applyFill="1" applyBorder="1" applyAlignment="1">
      <alignment horizontal="center" vertical="center"/>
    </xf>
    <xf numFmtId="0" fontId="5" fillId="4" borderId="45" xfId="0" applyFont="1" applyFill="1" applyBorder="1" applyAlignment="1">
      <alignment horizontal="right"/>
    </xf>
    <xf numFmtId="0" fontId="7" fillId="4" borderId="45" xfId="0" applyFont="1" applyFill="1" applyBorder="1" applyAlignment="1">
      <alignment horizontal="right"/>
    </xf>
    <xf numFmtId="0" fontId="42" fillId="0" borderId="67" xfId="0" applyFont="1" applyBorder="1" applyAlignment="1">
      <alignment horizontal="center" vertical="center"/>
    </xf>
    <xf numFmtId="0" fontId="5" fillId="45" borderId="23" xfId="0" applyFont="1" applyFill="1" applyBorder="1" applyAlignment="1">
      <alignment horizontal="center" vertical="center"/>
    </xf>
    <xf numFmtId="0" fontId="5" fillId="45" borderId="33" xfId="0" applyFont="1" applyFill="1" applyBorder="1" applyAlignment="1">
      <alignment horizontal="center" vertical="center"/>
    </xf>
    <xf numFmtId="0" fontId="7" fillId="44" borderId="34" xfId="0" applyFont="1" applyFill="1" applyBorder="1" applyAlignment="1">
      <alignment horizontal="center" vertical="center"/>
    </xf>
    <xf numFmtId="0" fontId="7" fillId="44" borderId="35" xfId="0" applyFont="1" applyFill="1" applyBorder="1" applyAlignment="1">
      <alignment horizontal="center" vertical="center"/>
    </xf>
    <xf numFmtId="0" fontId="49" fillId="0" borderId="45" xfId="0" applyFont="1" applyBorder="1" applyAlignment="1">
      <alignment horizontal="center" vertical="center" wrapText="1"/>
    </xf>
    <xf numFmtId="10" fontId="48" fillId="57" borderId="74" xfId="0" applyNumberFormat="1" applyFont="1" applyFill="1" applyBorder="1" applyAlignment="1">
      <alignment horizontal="center" vertical="center"/>
    </xf>
    <xf numFmtId="10" fontId="48" fillId="57" borderId="75" xfId="0" applyNumberFormat="1" applyFont="1" applyFill="1" applyBorder="1" applyAlignment="1">
      <alignment horizontal="center" vertical="center"/>
    </xf>
    <xf numFmtId="0" fontId="12" fillId="0" borderId="71" xfId="0" applyFont="1" applyBorder="1" applyAlignment="1">
      <alignment horizontal="center" vertical="center" textRotation="90"/>
    </xf>
    <xf numFmtId="0" fontId="12" fillId="0" borderId="73" xfId="0" applyFont="1" applyBorder="1" applyAlignment="1">
      <alignment horizontal="center" vertical="center" textRotation="90"/>
    </xf>
    <xf numFmtId="0" fontId="12" fillId="0" borderId="72" xfId="0" applyFont="1" applyBorder="1" applyAlignment="1">
      <alignment horizontal="center" vertical="center" textRotation="90"/>
    </xf>
    <xf numFmtId="0" fontId="8" fillId="0" borderId="38" xfId="0" applyFont="1" applyBorder="1"/>
    <xf numFmtId="0" fontId="62" fillId="0" borderId="71" xfId="0" applyFont="1" applyBorder="1" applyAlignment="1">
      <alignment horizontal="center" vertical="center"/>
    </xf>
    <xf numFmtId="0" fontId="62" fillId="0" borderId="73" xfId="0" applyFont="1" applyBorder="1" applyAlignment="1">
      <alignment horizontal="center" vertical="center"/>
    </xf>
    <xf numFmtId="0" fontId="62" fillId="0" borderId="72" xfId="0" applyFont="1" applyBorder="1" applyAlignment="1">
      <alignment horizontal="center" vertical="center"/>
    </xf>
    <xf numFmtId="164" fontId="51" fillId="0" borderId="76" xfId="0" applyNumberFormat="1" applyFont="1" applyBorder="1" applyAlignment="1">
      <alignment horizontal="center" vertical="center"/>
    </xf>
    <xf numFmtId="164" fontId="51" fillId="0" borderId="77" xfId="0" applyNumberFormat="1" applyFont="1" applyBorder="1" applyAlignment="1">
      <alignment horizontal="center" vertical="center"/>
    </xf>
    <xf numFmtId="164" fontId="51" fillId="0" borderId="78" xfId="0" applyNumberFormat="1" applyFont="1" applyBorder="1" applyAlignment="1">
      <alignment horizontal="center" vertical="center" wrapText="1"/>
    </xf>
    <xf numFmtId="164" fontId="51" fillId="0" borderId="79" xfId="0" applyNumberFormat="1" applyFont="1" applyBorder="1" applyAlignment="1">
      <alignment horizontal="center" vertical="center" wrapText="1"/>
    </xf>
    <xf numFmtId="0" fontId="6" fillId="30" borderId="25" xfId="0" applyFont="1" applyFill="1" applyBorder="1"/>
    <xf numFmtId="0" fontId="52" fillId="4" borderId="80" xfId="3" applyFont="1" applyFill="1" applyBorder="1" applyAlignment="1">
      <alignment horizontal="center" vertical="center"/>
    </xf>
    <xf numFmtId="0" fontId="59" fillId="0" borderId="81" xfId="3" applyFont="1" applyBorder="1" applyAlignment="1">
      <alignment vertical="center"/>
    </xf>
    <xf numFmtId="0" fontId="43" fillId="4" borderId="83" xfId="3" applyFont="1" applyFill="1" applyBorder="1" applyAlignment="1">
      <alignment horizontal="center"/>
    </xf>
    <xf numFmtId="0" fontId="55" fillId="0" borderId="84" xfId="3" applyFont="1" applyBorder="1"/>
    <xf numFmtId="0" fontId="44" fillId="0" borderId="67" xfId="0" applyFont="1" applyBorder="1" applyAlignment="1">
      <alignment horizontal="center" vertical="center"/>
    </xf>
    <xf numFmtId="0" fontId="53" fillId="0" borderId="45" xfId="3" applyFont="1" applyAlignment="1">
      <alignment horizontal="center" vertical="center"/>
    </xf>
    <xf numFmtId="0" fontId="57" fillId="0" borderId="45" xfId="3" applyFont="1" applyAlignment="1">
      <alignment horizontal="right"/>
    </xf>
    <xf numFmtId="0" fontId="63" fillId="0" borderId="45" xfId="3" applyFont="1" applyAlignment="1">
      <alignment horizontal="right"/>
    </xf>
    <xf numFmtId="0" fontId="43" fillId="4" borderId="83" xfId="3" applyFont="1" applyFill="1" applyBorder="1" applyAlignment="1">
      <alignment horizontal="center" vertical="center"/>
    </xf>
    <xf numFmtId="0" fontId="43" fillId="4" borderId="91" xfId="3" applyFont="1" applyFill="1" applyBorder="1" applyAlignment="1">
      <alignment horizontal="center" vertical="center"/>
    </xf>
    <xf numFmtId="0" fontId="55" fillId="0" borderId="84" xfId="3" applyFont="1" applyBorder="1" applyAlignment="1">
      <alignment vertical="center"/>
    </xf>
    <xf numFmtId="0" fontId="52" fillId="0" borderId="45" xfId="3" applyFont="1" applyAlignment="1">
      <alignment horizontal="center" vertical="center"/>
    </xf>
    <xf numFmtId="9" fontId="45" fillId="47" borderId="92" xfId="2" applyFont="1" applyFill="1" applyBorder="1" applyAlignment="1">
      <alignment horizontal="center"/>
    </xf>
    <xf numFmtId="9" fontId="45" fillId="47" borderId="93" xfId="2" applyFont="1" applyFill="1" applyBorder="1" applyAlignment="1">
      <alignment horizontal="center"/>
    </xf>
    <xf numFmtId="9" fontId="45" fillId="47" borderId="94" xfId="2" applyFont="1" applyFill="1" applyBorder="1" applyAlignment="1">
      <alignment horizontal="center"/>
    </xf>
    <xf numFmtId="9" fontId="45" fillId="47" borderId="95" xfId="2" applyFont="1" applyFill="1" applyBorder="1" applyAlignment="1">
      <alignment horizontal="center"/>
    </xf>
    <xf numFmtId="0" fontId="16" fillId="58" borderId="2" xfId="0" applyFont="1" applyFill="1" applyBorder="1" applyAlignment="1">
      <alignment horizontal="center" vertical="center"/>
    </xf>
    <xf numFmtId="0" fontId="8" fillId="49" borderId="3" xfId="0" applyFont="1" applyFill="1" applyBorder="1" applyAlignment="1">
      <alignment horizontal="center"/>
    </xf>
    <xf numFmtId="0" fontId="8" fillId="49" borderId="4" xfId="0" applyFont="1" applyFill="1" applyBorder="1" applyAlignment="1">
      <alignment horizontal="center"/>
    </xf>
    <xf numFmtId="0" fontId="16" fillId="55" borderId="2" xfId="0" applyFont="1" applyFill="1" applyBorder="1" applyAlignment="1">
      <alignment horizontal="center" vertical="center"/>
    </xf>
    <xf numFmtId="0" fontId="16" fillId="59" borderId="2" xfId="0" applyFont="1" applyFill="1" applyBorder="1" applyAlignment="1">
      <alignment horizontal="center" vertical="center"/>
    </xf>
    <xf numFmtId="0" fontId="19" fillId="26" borderId="31" xfId="0" applyFont="1" applyFill="1" applyBorder="1" applyAlignment="1">
      <alignment horizontal="center" vertical="center"/>
    </xf>
    <xf numFmtId="0" fontId="19" fillId="26" borderId="45" xfId="0" applyFont="1" applyFill="1" applyBorder="1" applyAlignment="1">
      <alignment horizontal="center" vertical="center"/>
    </xf>
    <xf numFmtId="170" fontId="19" fillId="26" borderId="31" xfId="0" applyNumberFormat="1" applyFont="1" applyFill="1" applyBorder="1" applyAlignment="1">
      <alignment horizontal="center" vertical="center"/>
    </xf>
    <xf numFmtId="170" fontId="19" fillId="26" borderId="45" xfId="0" applyNumberFormat="1" applyFont="1" applyFill="1" applyBorder="1" applyAlignment="1">
      <alignment horizontal="center" vertical="center"/>
    </xf>
    <xf numFmtId="0" fontId="6" fillId="41" borderId="2" xfId="0" applyFont="1" applyFill="1" applyBorder="1" applyAlignment="1">
      <alignment horizontal="center"/>
    </xf>
    <xf numFmtId="0" fontId="7" fillId="4" borderId="2" xfId="0" applyFont="1" applyFill="1" applyBorder="1"/>
    <xf numFmtId="0" fontId="6" fillId="4" borderId="57" xfId="0" applyFont="1" applyFill="1" applyBorder="1" applyAlignment="1">
      <alignment horizontal="center"/>
    </xf>
    <xf numFmtId="0" fontId="8" fillId="0" borderId="58" xfId="0" applyFont="1" applyBorder="1"/>
    <xf numFmtId="0" fontId="8" fillId="0" borderId="32" xfId="0" applyFont="1" applyBorder="1"/>
    <xf numFmtId="0" fontId="0" fillId="0" borderId="0" xfId="0"/>
    <xf numFmtId="0" fontId="6" fillId="0" borderId="2" xfId="0" applyFont="1" applyBorder="1" applyAlignment="1">
      <alignment horizontal="center"/>
    </xf>
    <xf numFmtId="0" fontId="6" fillId="4" borderId="2" xfId="0" applyFont="1" applyFill="1" applyBorder="1" applyAlignment="1">
      <alignment horizontal="center"/>
    </xf>
    <xf numFmtId="0" fontId="34" fillId="4" borderId="30" xfId="0" applyFont="1" applyFill="1" applyBorder="1" applyAlignment="1">
      <alignment horizontal="center"/>
    </xf>
    <xf numFmtId="0" fontId="8" fillId="0" borderId="60" xfId="0" applyFont="1" applyBorder="1"/>
    <xf numFmtId="0" fontId="8" fillId="0" borderId="61" xfId="0" applyFont="1" applyBorder="1"/>
    <xf numFmtId="0" fontId="34" fillId="4" borderId="16" xfId="0" applyFont="1" applyFill="1" applyBorder="1" applyAlignment="1">
      <alignment horizontal="center"/>
    </xf>
    <xf numFmtId="0" fontId="15" fillId="13" borderId="25" xfId="0" applyFont="1" applyFill="1" applyBorder="1" applyAlignment="1">
      <alignment horizontal="center"/>
    </xf>
    <xf numFmtId="0" fontId="16" fillId="5" borderId="2" xfId="0" applyFont="1" applyFill="1" applyBorder="1" applyAlignment="1">
      <alignment horizontal="center"/>
    </xf>
    <xf numFmtId="0" fontId="6" fillId="4" borderId="55" xfId="0" applyFont="1" applyFill="1" applyBorder="1" applyAlignment="1">
      <alignment horizontal="center"/>
    </xf>
    <xf numFmtId="0" fontId="8" fillId="0" borderId="56" xfId="0" applyFont="1" applyBorder="1"/>
    <xf numFmtId="0" fontId="36" fillId="4" borderId="16" xfId="0" applyFont="1" applyFill="1" applyBorder="1" applyAlignment="1">
      <alignment horizontal="center" vertical="center"/>
    </xf>
    <xf numFmtId="0" fontId="34" fillId="4" borderId="16" xfId="0" applyFont="1" applyFill="1" applyBorder="1" applyAlignment="1">
      <alignment horizontal="center" vertical="center"/>
    </xf>
    <xf numFmtId="0" fontId="7" fillId="4" borderId="16" xfId="0" applyFont="1" applyFill="1" applyBorder="1" applyAlignment="1">
      <alignment horizontal="center" vertical="center"/>
    </xf>
  </cellXfs>
  <cellStyles count="4">
    <cellStyle name="Moeda" xfId="1" builtinId="4"/>
    <cellStyle name="Normal" xfId="0" builtinId="0"/>
    <cellStyle name="Normal 2" xfId="3" xr:uid="{87A47166-EB3D-4D43-AD61-D9393621F041}"/>
    <cellStyle name="Porcentagem" xfId="2" builtinId="5"/>
  </cellStyles>
  <dxfs count="4">
    <dxf>
      <font>
        <color rgb="FFFF0000"/>
      </font>
      <fill>
        <patternFill patternType="solid">
          <fgColor rgb="FFFFFFFF"/>
          <bgColor rgb="FFFFFFFF"/>
        </patternFill>
      </fill>
    </dxf>
    <dxf>
      <fill>
        <patternFill patternType="solid">
          <fgColor rgb="FFB4C6E7"/>
          <bgColor rgb="FFB4C6E7"/>
        </patternFill>
      </fill>
    </dxf>
    <dxf>
      <fill>
        <patternFill patternType="solid">
          <fgColor rgb="FFECECEC"/>
          <bgColor rgb="FFECECEC"/>
        </patternFill>
      </fill>
    </dxf>
    <dxf>
      <fill>
        <patternFill patternType="solid">
          <fgColor theme="6"/>
          <bgColor theme="6"/>
        </patternFill>
      </fill>
    </dxf>
  </dxfs>
  <tableStyles count="1">
    <tableStyle name="3.0 - Valuation-style" pivot="0" count="3" xr9:uid="{00000000-0011-0000-FFFF-FFFF0000000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619125</xdr:colOff>
      <xdr:row>2</xdr:row>
      <xdr:rowOff>66675</xdr:rowOff>
    </xdr:from>
    <xdr:to>
      <xdr:col>2</xdr:col>
      <xdr:colOff>457462</xdr:colOff>
      <xdr:row>5</xdr:row>
      <xdr:rowOff>133439</xdr:rowOff>
    </xdr:to>
    <xdr:pic>
      <xdr:nvPicPr>
        <xdr:cNvPr id="5" name="Imagem 4">
          <a:extLst>
            <a:ext uri="{FF2B5EF4-FFF2-40B4-BE49-F238E27FC236}">
              <a16:creationId xmlns:a16="http://schemas.microsoft.com/office/drawing/2014/main" id="{64AC8595-076D-7AD9-0DD5-117F6B3B8E2B}"/>
            </a:ext>
          </a:extLst>
        </xdr:cNvPr>
        <xdr:cNvPicPr>
          <a:picLocks noChangeAspect="1"/>
        </xdr:cNvPicPr>
      </xdr:nvPicPr>
      <xdr:blipFill>
        <a:blip xmlns:r="http://schemas.openxmlformats.org/officeDocument/2006/relationships" r:embed="rId1"/>
        <a:stretch>
          <a:fillRect/>
        </a:stretch>
      </xdr:blipFill>
      <xdr:spPr>
        <a:xfrm>
          <a:off x="809625" y="752475"/>
          <a:ext cx="1876687" cy="6382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314825" cy="6229350"/>
    <xdr:pic>
      <xdr:nvPicPr>
        <xdr:cNvPr id="2" name="image2.png" title="Imagem">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3" Type="http://schemas.openxmlformats.org/officeDocument/2006/relationships/hyperlink" Target="http://stract.to/" TargetMode="External"/><Relationship Id="rId2" Type="http://schemas.openxmlformats.org/officeDocument/2006/relationships/hyperlink" Target="http://make.com/" TargetMode="External"/><Relationship Id="rId1" Type="http://schemas.openxmlformats.org/officeDocument/2006/relationships/hyperlink" Target="http://leads2b.com/" TargetMode="External"/></Relationships>
</file>

<file path=xl/worksheets/_rels/sheet35.xml.rels><?xml version="1.0" encoding="UTF-8" standalone="yes"?>
<Relationships xmlns="http://schemas.openxmlformats.org/package/2006/relationships"><Relationship Id="rId2" Type="http://schemas.openxmlformats.org/officeDocument/2006/relationships/hyperlink" Target="http://make.com/" TargetMode="External"/><Relationship Id="rId1" Type="http://schemas.openxmlformats.org/officeDocument/2006/relationships/hyperlink" Target="http://mak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FF"/>
  </sheetPr>
  <dimension ref="A1:X993"/>
  <sheetViews>
    <sheetView showGridLines="0" topLeftCell="A7" workbookViewId="0">
      <selection activeCell="H35" sqref="H35:H36"/>
    </sheetView>
  </sheetViews>
  <sheetFormatPr defaultColWidth="14.42578125" defaultRowHeight="15" customHeight="1" outlineLevelCol="1"/>
  <cols>
    <col min="1" max="1" width="3.42578125" customWidth="1"/>
    <col min="2" max="2" width="11.5703125" bestFit="1" customWidth="1"/>
    <col min="3" max="3" width="32.7109375" bestFit="1" customWidth="1"/>
    <col min="4" max="6" width="11.140625" customWidth="1" outlineLevel="1"/>
    <col min="7" max="8" width="12.28515625" customWidth="1" outlineLevel="1"/>
    <col min="9" max="9" width="4.7109375" customWidth="1" outlineLevel="1"/>
    <col min="10" max="10" width="2.28515625" customWidth="1"/>
    <col min="11" max="11" width="12.28515625" customWidth="1"/>
    <col min="12" max="12" width="6.85546875" customWidth="1"/>
    <col min="13" max="13" width="3.5703125" customWidth="1"/>
    <col min="14" max="14" width="11.85546875" customWidth="1"/>
    <col min="15" max="15" width="9.140625" customWidth="1"/>
    <col min="16" max="16" width="2.7109375" customWidth="1"/>
    <col min="17" max="17" width="12" customWidth="1"/>
    <col min="18" max="18" width="9.140625" customWidth="1"/>
    <col min="19" max="19" width="3.28515625" customWidth="1"/>
    <col min="20" max="20" width="12" customWidth="1"/>
    <col min="21" max="22" width="9.140625" customWidth="1"/>
  </cols>
  <sheetData>
    <row r="1" spans="1:24" ht="22.5" customHeight="1">
      <c r="F1" s="2"/>
      <c r="G1" s="2"/>
      <c r="H1" s="2"/>
      <c r="I1" s="2"/>
      <c r="J1" s="2"/>
      <c r="K1" s="2"/>
      <c r="L1" s="2"/>
      <c r="M1" s="2"/>
      <c r="N1" s="2"/>
      <c r="O1" s="2"/>
      <c r="P1" s="2"/>
      <c r="Q1" s="2"/>
      <c r="R1" s="2"/>
      <c r="S1" s="2"/>
      <c r="T1" s="2"/>
      <c r="U1" s="2"/>
      <c r="V1" s="2"/>
    </row>
    <row r="2" spans="1:24" ht="3.75" customHeight="1">
      <c r="A2" s="3"/>
      <c r="B2" s="3"/>
      <c r="C2" s="3"/>
      <c r="D2" s="4"/>
      <c r="E2" s="4"/>
      <c r="F2" s="4"/>
      <c r="G2" s="4"/>
      <c r="H2" s="4"/>
      <c r="I2" s="5"/>
      <c r="J2" s="4"/>
      <c r="K2" s="4"/>
      <c r="L2" s="6"/>
      <c r="M2" s="5"/>
      <c r="N2" s="4"/>
      <c r="O2" s="6"/>
      <c r="P2" s="6"/>
      <c r="Q2" s="4"/>
      <c r="R2" s="6"/>
      <c r="S2" s="6"/>
      <c r="T2" s="4"/>
      <c r="U2" s="6"/>
      <c r="V2" s="6"/>
    </row>
    <row r="3" spans="1:24" ht="14.25" customHeight="1">
      <c r="A3" s="7"/>
      <c r="B3" s="7"/>
      <c r="C3" s="610" t="s">
        <v>0</v>
      </c>
      <c r="D3" s="609">
        <v>125000</v>
      </c>
      <c r="E3" s="609"/>
      <c r="F3" s="609"/>
      <c r="G3" s="609"/>
      <c r="H3" s="609"/>
      <c r="I3" s="9"/>
      <c r="J3" s="8"/>
      <c r="K3" s="8"/>
      <c r="L3" s="10"/>
      <c r="M3" s="9"/>
      <c r="N3" s="8"/>
      <c r="O3" s="10"/>
      <c r="P3" s="10"/>
      <c r="Q3" s="8"/>
      <c r="R3" s="10"/>
      <c r="S3" s="10"/>
      <c r="T3" s="8"/>
      <c r="U3" s="10"/>
      <c r="V3" s="10"/>
    </row>
    <row r="4" spans="1:24" ht="14.25" customHeight="1">
      <c r="D4" s="662"/>
      <c r="E4" s="662"/>
      <c r="F4" s="662"/>
      <c r="G4" s="662"/>
      <c r="H4" s="662"/>
      <c r="I4" s="482"/>
      <c r="J4" s="12"/>
      <c r="K4" s="13" t="s">
        <v>1</v>
      </c>
      <c r="L4" s="11"/>
      <c r="M4" s="2"/>
      <c r="N4" s="14" t="s">
        <v>2</v>
      </c>
      <c r="O4" s="11"/>
      <c r="P4" s="11"/>
      <c r="Q4" s="15" t="s">
        <v>3</v>
      </c>
      <c r="R4" s="11"/>
      <c r="S4" s="11"/>
      <c r="T4" s="631" t="s">
        <v>4</v>
      </c>
      <c r="U4" s="11"/>
      <c r="V4" s="11"/>
    </row>
    <row r="5" spans="1:24" ht="14.25" customHeight="1">
      <c r="D5" s="481" t="s">
        <v>9</v>
      </c>
      <c r="E5" s="16" t="s">
        <v>5</v>
      </c>
      <c r="F5" s="16" t="s">
        <v>6</v>
      </c>
      <c r="G5" s="16" t="s">
        <v>7</v>
      </c>
      <c r="H5" s="17" t="s">
        <v>8</v>
      </c>
      <c r="I5" s="2"/>
      <c r="J5" s="12"/>
      <c r="K5" s="608" t="s">
        <v>2466</v>
      </c>
      <c r="L5" s="11"/>
      <c r="M5" s="2"/>
      <c r="N5" s="14" t="s">
        <v>10</v>
      </c>
      <c r="O5" s="11"/>
      <c r="P5" s="11"/>
      <c r="Q5" s="15" t="s">
        <v>10</v>
      </c>
      <c r="R5" s="11"/>
      <c r="S5" s="11"/>
      <c r="T5" s="631" t="s">
        <v>10</v>
      </c>
      <c r="U5" s="11"/>
      <c r="V5" s="11"/>
    </row>
    <row r="6" spans="1:24" ht="14.25" customHeight="1">
      <c r="C6" s="18" t="s">
        <v>11</v>
      </c>
      <c r="D6" s="19">
        <f>SUM('2.0 - Total Revenue'!H4)</f>
        <v>10631.6</v>
      </c>
      <c r="E6" s="19">
        <f>SUM('2.0 - Total Revenue'!I4)</f>
        <v>29133.98</v>
      </c>
      <c r="F6" s="19">
        <f>SUM('2.0 - Total Revenue'!J4)</f>
        <v>46076.380599999997</v>
      </c>
      <c r="G6" s="19">
        <f>SUM('2.0 - Total Revenue'!K4)</f>
        <v>76016.037182</v>
      </c>
      <c r="H6" s="19">
        <f>SUM('2.0 - Total Revenue'!L4)</f>
        <v>110805.36006654</v>
      </c>
      <c r="I6" s="2"/>
      <c r="J6" s="21"/>
      <c r="K6" s="22">
        <f>SUM(D6:H6)</f>
        <v>272663.35784854001</v>
      </c>
      <c r="L6" s="20"/>
      <c r="M6" s="2"/>
      <c r="N6" s="22">
        <f>SUM('2.0 - Total Revenue'!M4:X4)</f>
        <v>9275265.3907927964</v>
      </c>
      <c r="O6" s="20"/>
      <c r="P6" s="20"/>
      <c r="Q6" s="22">
        <f>SUM('2.0 - Total Revenue'!Y4:AJ4)</f>
        <v>30594323.141489625</v>
      </c>
      <c r="R6" s="20"/>
      <c r="S6" s="20"/>
      <c r="T6" s="22">
        <f>SUM('2.0 - Total Revenue'!AK4:AV4)</f>
        <v>45864137.713723414</v>
      </c>
      <c r="U6" s="20"/>
      <c r="V6" s="20"/>
    </row>
    <row r="7" spans="1:24" ht="14.25" customHeight="1">
      <c r="C7" s="533" t="s">
        <v>12</v>
      </c>
      <c r="D7" s="601">
        <f>-D6*$H$35</f>
        <v>-1701.056</v>
      </c>
      <c r="E7" s="601">
        <f>-E6*$H$35</f>
        <v>-4661.4368000000004</v>
      </c>
      <c r="F7" s="601">
        <f>-F6*$H$35</f>
        <v>-7372.2208959999998</v>
      </c>
      <c r="G7" s="601">
        <f>-G6*$H$35</f>
        <v>-12162.56594912</v>
      </c>
      <c r="H7" s="601">
        <f>-H6*$H$35</f>
        <v>-17728.857610646399</v>
      </c>
      <c r="I7" s="483"/>
      <c r="K7" s="602">
        <f>SUM(D7:H7)</f>
        <v>-43626.1372557664</v>
      </c>
      <c r="L7" s="604"/>
      <c r="N7" s="602">
        <f>-SUM(N6*$H$35)</f>
        <v>-1484042.4625268474</v>
      </c>
      <c r="O7" s="483"/>
      <c r="Q7" s="602">
        <f>-SUM(Q6*$H$35)</f>
        <v>-4895091.7026383402</v>
      </c>
      <c r="R7" s="603"/>
      <c r="T7" s="602">
        <f>-SUM(T6*$H$35)</f>
        <v>-7338262.0341957463</v>
      </c>
      <c r="U7" s="603"/>
      <c r="V7" s="603"/>
      <c r="W7" s="603"/>
      <c r="X7" s="603"/>
    </row>
    <row r="8" spans="1:24" ht="6.75" customHeight="1"/>
    <row r="9" spans="1:24" ht="14.25" customHeight="1">
      <c r="C9" s="18" t="s">
        <v>13</v>
      </c>
      <c r="D9" s="600">
        <f>SUM(D6+D7)</f>
        <v>8930.5439999999999</v>
      </c>
      <c r="E9" s="600">
        <f>SUM(E6+E7)</f>
        <v>24472.5432</v>
      </c>
      <c r="F9" s="600">
        <f>SUM(F6+F7)</f>
        <v>38704.159703999998</v>
      </c>
      <c r="G9" s="600">
        <f>SUM(G6+G7)</f>
        <v>63853.471232880001</v>
      </c>
      <c r="H9" s="600">
        <f>SUM(H6+H7)</f>
        <v>93076.502455893598</v>
      </c>
      <c r="I9" s="2"/>
      <c r="J9" s="2"/>
      <c r="K9" s="25">
        <f>SUM(D9:H9)</f>
        <v>229037.22059277358</v>
      </c>
      <c r="L9" s="24">
        <f>K9/K6</f>
        <v>0.83999999999999986</v>
      </c>
      <c r="M9" s="2"/>
      <c r="N9" s="614">
        <f>SUM(N6+N7)</f>
        <v>7791222.9282659488</v>
      </c>
      <c r="O9" s="613">
        <f>N9/N6</f>
        <v>0.84</v>
      </c>
      <c r="P9" s="20"/>
      <c r="Q9" s="625">
        <f>SUM(Q6+Q7)</f>
        <v>25699231.438851286</v>
      </c>
      <c r="R9" s="613">
        <f>Q9/Q6</f>
        <v>0.84</v>
      </c>
      <c r="S9" s="20"/>
      <c r="T9" s="628">
        <f>SUM(T6+T7)</f>
        <v>38525875.67952767</v>
      </c>
      <c r="U9" s="613">
        <f>T9/T6</f>
        <v>0.84000000000000008</v>
      </c>
      <c r="V9" s="20"/>
    </row>
    <row r="10" spans="1:24" ht="4.5" customHeight="1" thickBot="1">
      <c r="C10" s="18"/>
      <c r="D10" s="2"/>
      <c r="E10" s="2"/>
      <c r="F10" s="2"/>
      <c r="G10" s="2"/>
      <c r="H10" s="2"/>
      <c r="I10" s="2"/>
      <c r="J10" s="2"/>
      <c r="K10" s="26"/>
      <c r="L10" s="2"/>
      <c r="M10" s="2"/>
      <c r="N10" s="26"/>
      <c r="O10" s="2"/>
      <c r="P10" s="2"/>
      <c r="Q10" s="26"/>
      <c r="R10" s="2"/>
      <c r="S10" s="2"/>
      <c r="T10" s="26"/>
      <c r="U10" s="2"/>
      <c r="V10" s="2"/>
    </row>
    <row r="11" spans="1:24" ht="15" customHeight="1">
      <c r="A11" s="27"/>
      <c r="B11" s="663" t="s">
        <v>14</v>
      </c>
      <c r="C11" s="23" t="s">
        <v>15</v>
      </c>
      <c r="D11" s="28">
        <f>-SUM('1.2 - Marketing'!$B$6)</f>
        <v>-10000</v>
      </c>
      <c r="E11" s="28">
        <f>-SUM('1.2 - Marketing'!$B$6)</f>
        <v>-10000</v>
      </c>
      <c r="F11" s="28">
        <f>-SUM('1.2 - Marketing'!$B$6)</f>
        <v>-10000</v>
      </c>
      <c r="G11" s="28">
        <f>-SUM('1.2 - Marketing'!$B$6)</f>
        <v>-10000</v>
      </c>
      <c r="H11" s="28">
        <f>-SUM('1.2 - Marketing'!$B$6)</f>
        <v>-10000</v>
      </c>
      <c r="I11" s="2"/>
      <c r="J11" s="2"/>
      <c r="K11" s="22">
        <f>SUM(D11:H11)</f>
        <v>-50000</v>
      </c>
      <c r="L11" s="24">
        <f>K11/K9</f>
        <v>-0.21830512905541941</v>
      </c>
      <c r="M11" s="2"/>
      <c r="N11" s="22">
        <f>-SUM('1.2 - Marketing'!$B$6*12)*$E$39-'1.2 - Marketing'!$B$6*12</f>
        <v>-192000</v>
      </c>
      <c r="O11" s="24">
        <f>N11/N9</f>
        <v>-2.4643114664764498E-2</v>
      </c>
      <c r="P11" s="20"/>
      <c r="Q11" s="22">
        <f>N11*$E$39+N11</f>
        <v>-307200</v>
      </c>
      <c r="R11" s="24">
        <f>Q11/Q9</f>
        <v>-1.1953664868575981E-2</v>
      </c>
      <c r="S11" s="20"/>
      <c r="T11" s="22">
        <f>Q11*$E$39+Q11</f>
        <v>-491520</v>
      </c>
      <c r="U11" s="24">
        <f>T11/T9</f>
        <v>-1.2758178531453593E-2</v>
      </c>
      <c r="V11" s="20"/>
    </row>
    <row r="12" spans="1:24" ht="15" customHeight="1">
      <c r="A12" s="27"/>
      <c r="B12" s="664"/>
      <c r="C12" s="533" t="s">
        <v>2455</v>
      </c>
      <c r="D12" s="29">
        <f>-SUM('1.1 - Farmer'!D15)</f>
        <v>-3000</v>
      </c>
      <c r="E12" s="29">
        <f>-SUM('1.1 - Farmer'!E15)</f>
        <v>-3000</v>
      </c>
      <c r="F12" s="29">
        <f>-SUM('1.1 - Farmer'!F15)</f>
        <v>-3000</v>
      </c>
      <c r="G12" s="29">
        <f>-SUM('1.1 - Farmer'!G15)</f>
        <v>-3000</v>
      </c>
      <c r="H12" s="29">
        <f>-SUM('1.1 - Farmer'!H15)</f>
        <v>-3000</v>
      </c>
      <c r="I12" s="2"/>
      <c r="J12" s="2"/>
      <c r="K12" s="22">
        <f>SUM(D12:H12)</f>
        <v>-15000</v>
      </c>
      <c r="L12" s="24">
        <f>K12/K9</f>
        <v>-6.5491538716625816E-2</v>
      </c>
      <c r="M12" s="2"/>
      <c r="N12" s="22">
        <f>-SUM('1.1 - Farmer'!I15:T15)</f>
        <v>-417844.44471308333</v>
      </c>
      <c r="O12" s="24">
        <f>N12/N9</f>
        <v>-5.3630148766142513E-2</v>
      </c>
      <c r="P12" s="20"/>
      <c r="Q12" s="22">
        <f>-SUM('1.1 - Farmer'!U15:AF15)</f>
        <v>-2032426.0308163129</v>
      </c>
      <c r="R12" s="24">
        <f>Q12/Q9</f>
        <v>-7.908508998225354E-2</v>
      </c>
      <c r="S12" s="20"/>
      <c r="T12" s="22">
        <f>-SUM('1.1 - Farmer'!AG15:AR15)</f>
        <v>-3464990.8857131959</v>
      </c>
      <c r="U12" s="24">
        <f>T12/T9</f>
        <v>-8.9939315449602181E-2</v>
      </c>
      <c r="V12" s="20"/>
    </row>
    <row r="13" spans="1:24" ht="15" customHeight="1" thickBot="1">
      <c r="A13" s="27"/>
      <c r="B13" s="665"/>
      <c r="C13" s="533" t="s">
        <v>2456</v>
      </c>
      <c r="D13" s="29">
        <f>-SUM('1.0 - Comercial'!D20)</f>
        <v>-3999</v>
      </c>
      <c r="E13" s="29">
        <f>-SUM('1.0 - Comercial'!E20)</f>
        <v>-3999</v>
      </c>
      <c r="F13" s="29">
        <f>-SUM('1.0 - Comercial'!F20)</f>
        <v>-5598.5999999999995</v>
      </c>
      <c r="G13" s="29">
        <f>-SUM('1.0 - Comercial'!G20)</f>
        <v>-8797.7999999999993</v>
      </c>
      <c r="H13" s="29">
        <f>-SUM('1.0 - Comercial'!H20)</f>
        <v>-11997</v>
      </c>
      <c r="I13" s="30"/>
      <c r="J13" s="2"/>
      <c r="K13" s="22">
        <f>SUM(D13:H13)</f>
        <v>-34391.399999999994</v>
      </c>
      <c r="L13" s="24">
        <f>K13/K9</f>
        <v>-0.15015638030793099</v>
      </c>
      <c r="M13" s="2"/>
      <c r="N13" s="22">
        <f>-SUM('1.0 - Comercial'!I20:T20)*E40+-SUM('1.0 - Comercial'!I20:T20)</f>
        <v>-870502.32</v>
      </c>
      <c r="O13" s="24">
        <f>N13/N9</f>
        <v>-0.11172858587345581</v>
      </c>
      <c r="P13" s="20"/>
      <c r="Q13" s="22">
        <f>-SUM('1.0 - Comercial'!U20:AF20)*E40+-SUM('1.0 - Comercial'!U20:AF20)</f>
        <v>-1612396.8</v>
      </c>
      <c r="R13" s="24">
        <f>Q13/Q9</f>
        <v>-6.2741051374883908E-2</v>
      </c>
      <c r="S13" s="20"/>
      <c r="T13" s="22">
        <f>-SUM('1.0 - Comercial'!AG20:AR20)*E40+-SUM('1.0 - Comercial'!AG20:AR20)</f>
        <v>-1612396.8</v>
      </c>
      <c r="U13" s="24">
        <f>T13/T9</f>
        <v>-4.185230761300552E-2</v>
      </c>
      <c r="V13" s="20"/>
    </row>
    <row r="14" spans="1:24" ht="15" customHeight="1">
      <c r="A14" s="27"/>
      <c r="B14" s="559"/>
      <c r="C14" s="18"/>
      <c r="D14" s="2"/>
      <c r="E14" s="2"/>
      <c r="F14" s="2"/>
      <c r="G14" s="2"/>
      <c r="H14" s="2"/>
      <c r="I14" s="30"/>
      <c r="J14" s="2"/>
      <c r="K14" s="26"/>
      <c r="L14" s="2"/>
      <c r="M14" s="2"/>
      <c r="N14" s="26"/>
      <c r="O14" s="2"/>
      <c r="P14" s="2"/>
      <c r="Q14" s="26"/>
      <c r="R14" s="2"/>
      <c r="S14" s="2"/>
      <c r="T14" s="26"/>
      <c r="U14" s="2"/>
      <c r="V14" s="31"/>
    </row>
    <row r="15" spans="1:24" ht="15" customHeight="1">
      <c r="A15" s="27"/>
      <c r="B15" s="559"/>
      <c r="C15" s="18" t="s">
        <v>16</v>
      </c>
      <c r="D15" s="590">
        <f>SUM(D11:D13)+D9</f>
        <v>-8068.4560000000001</v>
      </c>
      <c r="E15" s="590">
        <f>SUM(E11:E13)+E9</f>
        <v>7473.5432000000001</v>
      </c>
      <c r="F15" s="590">
        <f>SUM(F11:F13)+F9</f>
        <v>20105.559703999999</v>
      </c>
      <c r="G15" s="590">
        <f>SUM(G11:G13)+G9</f>
        <v>42055.671232880006</v>
      </c>
      <c r="H15" s="590">
        <f>SUM(H11:H13)+H9</f>
        <v>68079.502455893598</v>
      </c>
      <c r="I15" s="30"/>
      <c r="J15" s="2"/>
      <c r="K15" s="25">
        <f>SUM(D15:H15)</f>
        <v>129645.82059277361</v>
      </c>
      <c r="L15" s="24">
        <f>K15/K9</f>
        <v>0.56604695192002386</v>
      </c>
      <c r="M15" s="34"/>
      <c r="N15" s="624">
        <f>SUM(N11:N13)+N9</f>
        <v>6310876.1635528654</v>
      </c>
      <c r="O15" s="613">
        <f>N15/N9</f>
        <v>0.80999815069563719</v>
      </c>
      <c r="P15" s="20"/>
      <c r="Q15" s="626">
        <f>SUM(Q11:Q13)+Q9</f>
        <v>21747208.608034972</v>
      </c>
      <c r="R15" s="613">
        <f>Q15/Q9</f>
        <v>0.84622019377428659</v>
      </c>
      <c r="S15" s="20"/>
      <c r="T15" s="629">
        <f>SUM(T11:T13)+T9</f>
        <v>32956967.993814476</v>
      </c>
      <c r="U15" s="613">
        <f>T15/T9</f>
        <v>0.85545019840593872</v>
      </c>
      <c r="V15" s="20"/>
    </row>
    <row r="16" spans="1:24" ht="14.25" customHeight="1" thickBot="1">
      <c r="A16" s="27"/>
      <c r="B16" s="559"/>
      <c r="C16" s="35"/>
      <c r="D16" s="2"/>
      <c r="E16" s="2"/>
      <c r="F16" s="2"/>
      <c r="G16" s="2"/>
      <c r="H16" s="2"/>
      <c r="I16" s="26"/>
      <c r="J16" s="2"/>
      <c r="K16" s="26"/>
      <c r="L16" s="2"/>
      <c r="M16" s="2"/>
      <c r="N16" s="26"/>
      <c r="O16" s="2"/>
      <c r="P16" s="2"/>
      <c r="Q16" s="26"/>
      <c r="R16" s="2"/>
      <c r="S16" s="2"/>
      <c r="T16" s="26"/>
      <c r="U16" s="2"/>
      <c r="V16" s="20"/>
    </row>
    <row r="17" spans="1:22">
      <c r="B17" s="659" t="s">
        <v>17</v>
      </c>
      <c r="C17" s="580" t="s">
        <v>131</v>
      </c>
      <c r="D17" s="28">
        <f>-SUM('1.3 - Fornecedores'!F3)-'1.3 - Fornecedores'!$B$3</f>
        <v>-510</v>
      </c>
      <c r="E17" s="28">
        <f>-SUM('1.3 - Fornecedores'!G3)-'1.3 - Fornecedores'!$B$3</f>
        <v>-510</v>
      </c>
      <c r="F17" s="28">
        <f>-SUM('1.3 - Fornecedores'!H3)-'1.3 - Fornecedores'!$B$3</f>
        <v>-542</v>
      </c>
      <c r="G17" s="28">
        <f>-SUM('1.3 - Fornecedores'!I3)-'1.3 - Fornecedores'!$B$3</f>
        <v>-606</v>
      </c>
      <c r="H17" s="28">
        <f>-SUM('1.3 - Fornecedores'!J3)-'1.3 - Fornecedores'!$B$3</f>
        <v>-670</v>
      </c>
      <c r="I17" s="2"/>
      <c r="J17" s="2"/>
      <c r="K17" s="22">
        <f>SUM(D17:H17)</f>
        <v>-2838</v>
      </c>
      <c r="L17" s="24">
        <f>K17/$K$9</f>
        <v>-1.2390999125185606E-2</v>
      </c>
      <c r="M17" s="2"/>
      <c r="N17" s="22">
        <f>-SUM('1.3 - Fornecedores'!K3:V3)</f>
        <v>-21374.08509132003</v>
      </c>
      <c r="O17" s="615">
        <f t="shared" ref="O17:O27" si="0">N17/$N$9</f>
        <v>-2.7433543216657964E-3</v>
      </c>
      <c r="P17" s="20"/>
      <c r="Q17" s="22">
        <f>-SUM('1.3 - Fornecedores'!W3:AH3)</f>
        <v>-55886.94200940273</v>
      </c>
      <c r="R17" s="615">
        <f t="shared" ref="R17:R27" si="1">Q17/$Q$9</f>
        <v>-2.1746542165037128E-3</v>
      </c>
      <c r="S17" s="20"/>
      <c r="T17" s="22">
        <f>-SUM('1.3 - Fornecedores'!AI3:AT3)</f>
        <v>-74437.969583870508</v>
      </c>
      <c r="U17" s="615">
        <f t="shared" ref="U17:U27" si="2">T17/$T$9</f>
        <v>-1.9321551624957932E-3</v>
      </c>
      <c r="V17" s="2"/>
    </row>
    <row r="18" spans="1:22">
      <c r="B18" s="660"/>
      <c r="C18" s="581" t="s">
        <v>2152</v>
      </c>
      <c r="D18" s="571">
        <f>-SUM('1.3 - Fornecedores'!F4)-'1.3 - Fornecedores'!$B$4</f>
        <v>-700</v>
      </c>
      <c r="E18" s="571">
        <f>-SUM('1.3 - Fornecedores'!G4)-'1.3 - Fornecedores'!$B$4</f>
        <v>-700</v>
      </c>
      <c r="F18" s="571">
        <f>-SUM('1.3 - Fornecedores'!H4)-'1.3 - Fornecedores'!$B$4</f>
        <v>-740</v>
      </c>
      <c r="G18" s="571">
        <f>-SUM('1.3 - Fornecedores'!I4)-'1.3 - Fornecedores'!$B$4</f>
        <v>-820</v>
      </c>
      <c r="H18" s="571">
        <f>-SUM('1.3 - Fornecedores'!J4)-'1.3 - Fornecedores'!$B$4</f>
        <v>-900</v>
      </c>
      <c r="I18" s="2"/>
      <c r="J18" s="2"/>
      <c r="K18" s="22">
        <f t="shared" ref="K18:K21" si="3">SUM(D18:H18)</f>
        <v>-3860</v>
      </c>
      <c r="L18" s="24">
        <f t="shared" ref="L18:L21" si="4">K18/$K$9</f>
        <v>-1.6853155963078379E-2</v>
      </c>
      <c r="M18" s="2"/>
      <c r="N18" s="22">
        <f>-SUM('1.3 - Fornecedores'!K4:V4)</f>
        <v>-26717.606364150037</v>
      </c>
      <c r="O18" s="24">
        <f t="shared" si="0"/>
        <v>-3.429192902082245E-3</v>
      </c>
      <c r="P18" s="20"/>
      <c r="Q18" s="22">
        <f>-SUM('1.3 - Fornecedores'!W4:AH4)</f>
        <v>-69858.677511753413</v>
      </c>
      <c r="R18" s="615">
        <f t="shared" si="1"/>
        <v>-2.7183177706296413E-3</v>
      </c>
      <c r="S18" s="20"/>
      <c r="T18" s="22">
        <f>-SUM('1.3 - Fornecedores'!AI4:AT4)</f>
        <v>-93047.461979838117</v>
      </c>
      <c r="U18" s="615">
        <f t="shared" si="2"/>
        <v>-2.4151939531197411E-3</v>
      </c>
      <c r="V18" s="2"/>
    </row>
    <row r="19" spans="1:22">
      <c r="B19" s="660"/>
      <c r="C19" s="581" t="s">
        <v>2435</v>
      </c>
      <c r="D19" s="571">
        <f>-SUM('1.3 - Fornecedores'!F5)-'1.3 - Fornecedores'!$B$5</f>
        <v>-1500</v>
      </c>
      <c r="E19" s="571">
        <f>-SUM('1.3 - Fornecedores'!G5)-'1.3 - Fornecedores'!$B$5</f>
        <v>-1500</v>
      </c>
      <c r="F19" s="571">
        <f>-SUM('1.3 - Fornecedores'!H5)-'1.3 - Fornecedores'!$B$5</f>
        <v>-1600</v>
      </c>
      <c r="G19" s="571">
        <f>-SUM('1.3 - Fornecedores'!I5)-'1.3 - Fornecedores'!$B$5</f>
        <v>-1800</v>
      </c>
      <c r="H19" s="571">
        <f>-SUM('1.3 - Fornecedores'!J5)-'1.3 - Fornecedores'!$B$5</f>
        <v>-2000</v>
      </c>
      <c r="I19" s="2"/>
      <c r="J19" s="2"/>
      <c r="K19" s="22">
        <f t="shared" si="3"/>
        <v>-8400</v>
      </c>
      <c r="L19" s="24">
        <f t="shared" si="4"/>
        <v>-3.667526168131046E-2</v>
      </c>
      <c r="M19" s="2"/>
      <c r="N19" s="22">
        <f>-SUM('1.3 - Fornecedores'!K5:V5)</f>
        <v>-66794.015910375092</v>
      </c>
      <c r="O19" s="24">
        <f t="shared" si="0"/>
        <v>-8.5729822552056134E-3</v>
      </c>
      <c r="P19" s="20"/>
      <c r="Q19" s="22">
        <f>-SUM('1.3 - Fornecedores'!W5:AH5)</f>
        <v>-174646.69377938358</v>
      </c>
      <c r="R19" s="615">
        <f t="shared" si="1"/>
        <v>-6.795794426574105E-3</v>
      </c>
      <c r="S19" s="20"/>
      <c r="T19" s="22">
        <f>-SUM('1.3 - Fornecedores'!AI5:AT5)</f>
        <v>-232618.65494959537</v>
      </c>
      <c r="U19" s="615">
        <f t="shared" si="2"/>
        <v>-6.0379848827993542E-3</v>
      </c>
      <c r="V19" s="2"/>
    </row>
    <row r="20" spans="1:22">
      <c r="B20" s="660"/>
      <c r="C20" s="581" t="s">
        <v>2437</v>
      </c>
      <c r="D20" s="571">
        <f>-SUM('1.3 - Fornecedores'!F6)-'1.3 - Fornecedores'!$B$6</f>
        <v>-261</v>
      </c>
      <c r="E20" s="571">
        <f>-SUM('1.3 - Fornecedores'!G6)-'1.3 - Fornecedores'!$B$6</f>
        <v>-288.17</v>
      </c>
      <c r="F20" s="571">
        <f>-SUM('1.3 - Fornecedores'!H6)-'1.3 - Fornecedores'!$B$6</f>
        <v>-325.5249</v>
      </c>
      <c r="G20" s="571">
        <f>-SUM('1.3 - Fornecedores'!I6)-'1.3 - Fornecedores'!$B$6</f>
        <v>-383.75915299999997</v>
      </c>
      <c r="H20" s="571">
        <f>-SUM('1.3 - Fornecedores'!J6)-'1.3 - Fornecedores'!$B$6</f>
        <v>-462.24637841000003</v>
      </c>
      <c r="I20" s="2"/>
      <c r="J20" s="2"/>
      <c r="K20" s="22">
        <f t="shared" si="3"/>
        <v>-1720.70043141</v>
      </c>
      <c r="L20" s="24">
        <f t="shared" si="4"/>
        <v>-7.5127545948935181E-3</v>
      </c>
      <c r="M20" s="2"/>
      <c r="N20" s="22">
        <f>-SUM('1.3 - Fornecedores'!K6:V6)</f>
        <v>-23588.417501412594</v>
      </c>
      <c r="O20" s="24">
        <f t="shared" si="0"/>
        <v>-3.0275629023315013E-3</v>
      </c>
      <c r="P20" s="20"/>
      <c r="Q20" s="22">
        <f>-SUM('1.3 - Fornecedores'!W6:AH6)</f>
        <v>-99711.363157321903</v>
      </c>
      <c r="R20" s="615">
        <f t="shared" si="1"/>
        <v>-3.8799356079801442E-3</v>
      </c>
      <c r="S20" s="20"/>
      <c r="T20" s="22">
        <f>-SUM('1.3 - Fornecedores'!AI6:AT6)</f>
        <v>-163480.52044455489</v>
      </c>
      <c r="U20" s="615">
        <f t="shared" si="2"/>
        <v>-4.2433953170706792E-3</v>
      </c>
      <c r="V20" s="2"/>
    </row>
    <row r="21" spans="1:22">
      <c r="B21" s="660"/>
      <c r="C21" s="581" t="s">
        <v>2462</v>
      </c>
      <c r="D21" s="571">
        <f>-SUM('1.3 - Fornecedores'!F7)-'1.3 - Fornecedores'!$B$7</f>
        <v>-299</v>
      </c>
      <c r="E21" s="571">
        <f>-SUM('1.3 - Fornecedores'!G7)-'1.3 - Fornecedores'!$B$7</f>
        <v>-420.03</v>
      </c>
      <c r="F21" s="571">
        <f>-SUM('1.3 - Fornecedores'!H7)-'1.3 - Fornecedores'!$B$7</f>
        <v>-586.42910000000006</v>
      </c>
      <c r="G21" s="571">
        <f>-SUM('1.3 - Fornecedores'!I7)-'1.3 - Fornecedores'!$B$7</f>
        <v>-845.83622700000001</v>
      </c>
      <c r="H21" s="571">
        <f>-SUM('1.3 - Fornecedores'!J7)-'1.3 - Fornecedores'!$B$7</f>
        <v>-1195.4611401899999</v>
      </c>
      <c r="I21" s="2"/>
      <c r="J21" s="2"/>
      <c r="K21" s="22">
        <f t="shared" si="3"/>
        <v>-3346.75646719</v>
      </c>
      <c r="L21" s="24">
        <f t="shared" si="4"/>
        <v>-1.4612282049739449E-2</v>
      </c>
      <c r="M21" s="2"/>
      <c r="N21" s="22">
        <f>-SUM('1.3 - Fornecedores'!K7:V7)</f>
        <v>-105075.67796083793</v>
      </c>
      <c r="O21" s="24">
        <f t="shared" si="0"/>
        <v>-1.3486416564931235E-2</v>
      </c>
      <c r="P21" s="20"/>
      <c r="Q21" s="22">
        <f>-SUM('1.3 - Fornecedores'!W7:AH7)</f>
        <v>-444168.79951897939</v>
      </c>
      <c r="R21" s="615">
        <f t="shared" si="1"/>
        <v>-1.7283349526457006E-2</v>
      </c>
      <c r="S21" s="20"/>
      <c r="T21" s="22">
        <f>-SUM('1.3 - Fornecedores'!AI7:AT7)</f>
        <v>-728231.40925301728</v>
      </c>
      <c r="U21" s="615">
        <f t="shared" si="2"/>
        <v>-1.8902397321496664E-2</v>
      </c>
      <c r="V21" s="2"/>
    </row>
    <row r="22" spans="1:22">
      <c r="B22" s="660"/>
      <c r="C22" s="581" t="s">
        <v>2439</v>
      </c>
      <c r="D22" s="571">
        <f>-SUM('1.3 - Fornecedores'!F8)-'1.3 - Fornecedores'!$B$8</f>
        <v>-1100</v>
      </c>
      <c r="E22" s="571">
        <f>-SUM('1.3 - Fornecedores'!G8)-'1.3 - Fornecedores'!$B$8</f>
        <v>-1347</v>
      </c>
      <c r="F22" s="571">
        <f>-SUM('1.3 - Fornecedores'!H8)-'1.3 - Fornecedores'!$B$8</f>
        <v>-1686.5900000000001</v>
      </c>
      <c r="G22" s="571">
        <f>-SUM('1.3 - Fornecedores'!I8)-'1.3 - Fornecedores'!$B$8</f>
        <v>-2215.9922999999999</v>
      </c>
      <c r="H22" s="571">
        <f>-SUM('1.3 - Fornecedores'!J8)-'1.3 - Fornecedores'!$B$8</f>
        <v>-2929.5125309999999</v>
      </c>
      <c r="I22" s="2"/>
      <c r="J22" s="2"/>
      <c r="K22" s="22">
        <f t="shared" ref="K22:K27" si="5">SUM(D22:H22)</f>
        <v>-9279.0948310000003</v>
      </c>
      <c r="L22" s="24">
        <f t="shared" ref="L22:L27" si="6">K22/$K$9</f>
        <v>-4.0513479891978607E-2</v>
      </c>
      <c r="M22" s="2"/>
      <c r="N22" s="22">
        <f>-SUM('1.3 - Fornecedores'!K8:V8)</f>
        <v>-214440.15910375086</v>
      </c>
      <c r="O22" s="24">
        <f t="shared" si="0"/>
        <v>-2.7523299112104559E-2</v>
      </c>
      <c r="P22" s="20"/>
      <c r="Q22" s="22">
        <f>-SUM('1.3 - Fornecedores'!W8:AH8)</f>
        <v>-906466.93779383553</v>
      </c>
      <c r="R22" s="615">
        <f t="shared" si="1"/>
        <v>-3.5272141890728588E-2</v>
      </c>
      <c r="S22" s="20"/>
      <c r="T22" s="22">
        <f>-SUM('1.3 - Fornecedores'!AI8:AT8)</f>
        <v>-1486186.5494959536</v>
      </c>
      <c r="U22" s="615">
        <f t="shared" si="2"/>
        <v>-3.8576321064278905E-2</v>
      </c>
      <c r="V22" s="2"/>
    </row>
    <row r="23" spans="1:22" ht="14.25" customHeight="1">
      <c r="A23" s="32"/>
      <c r="B23" s="660"/>
      <c r="C23" s="581" t="s">
        <v>2443</v>
      </c>
      <c r="D23" s="571">
        <f>-SUM('1.3 - Fornecedores'!F9)-'1.3 - Fornecedores'!$B$9</f>
        <v>-2300</v>
      </c>
      <c r="E23" s="571">
        <f>-SUM('1.3 - Fornecedores'!G9)-'1.3 - Fornecedores'!$B$9</f>
        <v>-3041</v>
      </c>
      <c r="F23" s="571">
        <f>-SUM('1.3 - Fornecedores'!H9)-'1.3 - Fornecedores'!$B$9</f>
        <v>-4059.77</v>
      </c>
      <c r="G23" s="571">
        <f>-SUM('1.3 - Fornecedores'!I9)-'1.3 - Fornecedores'!$B$9</f>
        <v>-5647.9769000000006</v>
      </c>
      <c r="H23" s="571">
        <f>-SUM('1.3 - Fornecedores'!J9)-'1.3 - Fornecedores'!$B$9</f>
        <v>-7788.5375929999991</v>
      </c>
      <c r="I23" s="33"/>
      <c r="J23" s="34"/>
      <c r="K23" s="22">
        <f t="shared" si="5"/>
        <v>-22837.284492999999</v>
      </c>
      <c r="L23" s="24">
        <f t="shared" si="6"/>
        <v>-9.9709926770393864E-2</v>
      </c>
      <c r="M23" s="2"/>
      <c r="N23" s="22">
        <f>-SUM('1.3 - Fornecedores'!K9:V9)</f>
        <v>-643320.4773112525</v>
      </c>
      <c r="O23" s="24">
        <f t="shared" si="0"/>
        <v>-8.2569897336313661E-2</v>
      </c>
      <c r="P23" s="20"/>
      <c r="Q23" s="22">
        <f>-SUM('1.3 - Fornecedores'!W9:AH9)</f>
        <v>-2719400.8133815071</v>
      </c>
      <c r="R23" s="615">
        <f t="shared" si="1"/>
        <v>-0.10581642567218578</v>
      </c>
      <c r="S23" s="20"/>
      <c r="T23" s="22">
        <f>-SUM('1.3 - Fornecedores'!AI9:AT9)</f>
        <v>-4458559.6484878613</v>
      </c>
      <c r="U23" s="615">
        <f t="shared" si="2"/>
        <v>-0.11572896319283672</v>
      </c>
      <c r="V23" s="20"/>
    </row>
    <row r="24" spans="1:22">
      <c r="B24" s="660"/>
      <c r="C24" s="582" t="s">
        <v>2441</v>
      </c>
      <c r="D24" s="571">
        <f>-SUM('1.3 - Fornecedores'!F10)-'1.3 - Fornecedores'!$B$10</f>
        <v>-1500</v>
      </c>
      <c r="E24" s="571">
        <f>-SUM('1.3 - Fornecedores'!G10)-'1.3 - Fornecedores'!$B$10</f>
        <v>-1500</v>
      </c>
      <c r="F24" s="571">
        <f>-SUM('1.3 - Fornecedores'!H10)-'1.3 - Fornecedores'!$B$10</f>
        <v>-1500</v>
      </c>
      <c r="G24" s="571">
        <f>-SUM('1.3 - Fornecedores'!I10)-'1.3 - Fornecedores'!$B$10</f>
        <v>-1500</v>
      </c>
      <c r="H24" s="571">
        <f>-SUM('1.3 - Fornecedores'!J10)-'1.3 - Fornecedores'!$B$10</f>
        <v>-1500</v>
      </c>
      <c r="I24" s="2"/>
      <c r="J24" s="2"/>
      <c r="K24" s="22">
        <f t="shared" si="5"/>
        <v>-7500</v>
      </c>
      <c r="L24" s="24">
        <f t="shared" si="6"/>
        <v>-3.2745769358312908E-2</v>
      </c>
      <c r="M24" s="2"/>
      <c r="N24" s="22">
        <f>-SUM('1.3 - Fornecedores'!K10:V10)</f>
        <v>-41516.31072165259</v>
      </c>
      <c r="O24" s="24">
        <f t="shared" si="0"/>
        <v>-5.3286000290191484E-3</v>
      </c>
      <c r="P24" s="20"/>
      <c r="Q24" s="22">
        <f>-SUM('1.3 - Fornecedores'!W10:AH10)</f>
        <v>-181293.38755876711</v>
      </c>
      <c r="R24" s="615">
        <f t="shared" si="1"/>
        <v>-7.0544283781457176E-3</v>
      </c>
      <c r="S24" s="20"/>
      <c r="T24" s="22">
        <f>-SUM('1.3 - Fornecedores'!AI10:AT10)</f>
        <v>-297237.30989919073</v>
      </c>
      <c r="U24" s="615">
        <f t="shared" si="2"/>
        <v>-7.7152642128557811E-3</v>
      </c>
      <c r="V24" s="2"/>
    </row>
    <row r="25" spans="1:22" ht="15" customHeight="1">
      <c r="A25" s="27"/>
      <c r="B25" s="660"/>
      <c r="C25" s="581" t="s">
        <v>2436</v>
      </c>
      <c r="D25" s="571">
        <f>-SUM('1.3 - Fornecedores'!F12)-'1.3 - Fornecedores'!$B$12</f>
        <v>-10000</v>
      </c>
      <c r="E25" s="571">
        <f>-SUM('1.3 - Fornecedores'!G12)-'1.3 - Fornecedores'!$B$12</f>
        <v>-10000</v>
      </c>
      <c r="F25" s="571">
        <f>-SUM('1.3 - Fornecedores'!H12)-'1.3 - Fornecedores'!$B$12</f>
        <v>-10000</v>
      </c>
      <c r="G25" s="571">
        <f>-SUM('1.3 - Fornecedores'!I12)-'1.3 - Fornecedores'!$B$12</f>
        <v>-10000</v>
      </c>
      <c r="H25" s="571">
        <f>-SUM('1.3 - Fornecedores'!J12)-'1.3 - Fornecedores'!$B$12</f>
        <v>-10000</v>
      </c>
      <c r="I25" s="2"/>
      <c r="J25" s="2"/>
      <c r="K25" s="22">
        <f t="shared" si="5"/>
        <v>-50000</v>
      </c>
      <c r="L25" s="24">
        <f t="shared" si="6"/>
        <v>-0.21830512905541941</v>
      </c>
      <c r="M25" s="2"/>
      <c r="N25" s="22">
        <f>($H$25*12)*E42+$H$25*12</f>
        <v>-144000</v>
      </c>
      <c r="O25" s="24">
        <f t="shared" si="0"/>
        <v>-1.8482335998573372E-2</v>
      </c>
      <c r="P25" s="20"/>
      <c r="Q25" s="22">
        <f>N25*E42+N25</f>
        <v>-172800</v>
      </c>
      <c r="R25" s="615">
        <f t="shared" si="1"/>
        <v>-6.7239364885739901E-3</v>
      </c>
      <c r="S25" s="20"/>
      <c r="T25" s="22">
        <f>Q25*E42+Q25</f>
        <v>-207360</v>
      </c>
      <c r="U25" s="615">
        <f t="shared" si="2"/>
        <v>-5.382356567956984E-3</v>
      </c>
      <c r="V25" s="20"/>
    </row>
    <row r="26" spans="1:22" ht="14.25" customHeight="1">
      <c r="A26" s="27"/>
      <c r="B26" s="660"/>
      <c r="C26" s="533" t="s">
        <v>196</v>
      </c>
      <c r="D26" s="571">
        <f>-SUM('1.3 - Fornecedores'!$B$13)</f>
        <v>-400</v>
      </c>
      <c r="E26" s="571">
        <f>-SUM('1.3 - Fornecedores'!$B$13)</f>
        <v>-400</v>
      </c>
      <c r="F26" s="571">
        <f>-SUM('1.3 - Fornecedores'!$B$13)</f>
        <v>-400</v>
      </c>
      <c r="G26" s="571">
        <f>-SUM('1.3 - Fornecedores'!$B$13)</f>
        <v>-400</v>
      </c>
      <c r="H26" s="571">
        <f>-SUM('1.3 - Fornecedores'!$B$13)</f>
        <v>-400</v>
      </c>
      <c r="I26" s="2"/>
      <c r="J26" s="2"/>
      <c r="K26" s="591">
        <f t="shared" si="5"/>
        <v>-2000</v>
      </c>
      <c r="L26" s="597">
        <f t="shared" si="6"/>
        <v>-8.7322051622167763E-3</v>
      </c>
      <c r="M26" s="2"/>
      <c r="N26" s="22">
        <f>($H$26*12)*E41+$H$26*12</f>
        <v>-9600</v>
      </c>
      <c r="O26" s="24">
        <f t="shared" si="0"/>
        <v>-1.2321557332382249E-3</v>
      </c>
      <c r="P26" s="20"/>
      <c r="Q26" s="22">
        <f>N26*E41+N26</f>
        <v>-19200</v>
      </c>
      <c r="R26" s="615">
        <f t="shared" si="1"/>
        <v>-7.4710405428599883E-4</v>
      </c>
      <c r="S26" s="20"/>
      <c r="T26" s="22">
        <f>Q26*E41+Q26</f>
        <v>-38400</v>
      </c>
      <c r="U26" s="615">
        <f t="shared" si="2"/>
        <v>-9.9673269776981194E-4</v>
      </c>
      <c r="V26" s="20"/>
    </row>
    <row r="27" spans="1:22" ht="14.25" customHeight="1">
      <c r="A27" s="27"/>
      <c r="B27" s="660"/>
      <c r="C27" s="533" t="s">
        <v>2465</v>
      </c>
      <c r="D27" s="571">
        <f>-SUM('1.3 - Fornecedores'!$B$22)</f>
        <v>-6470</v>
      </c>
      <c r="E27" s="571">
        <f>-SUM('1.3 - Fornecedores'!$B$22)</f>
        <v>-6470</v>
      </c>
      <c r="F27" s="571">
        <f>-SUM('1.3 - Fornecedores'!$B$22)</f>
        <v>-6470</v>
      </c>
      <c r="G27" s="571">
        <f>-SUM('1.3 - Fornecedores'!$B$22)</f>
        <v>-6470</v>
      </c>
      <c r="H27" s="571">
        <f>-SUM('1.3 - Fornecedores'!$B$22)</f>
        <v>-6470</v>
      </c>
      <c r="I27" s="2"/>
      <c r="J27" s="2"/>
      <c r="K27" s="598">
        <f t="shared" si="5"/>
        <v>-32350</v>
      </c>
      <c r="L27" s="599">
        <f t="shared" si="6"/>
        <v>-0.14124341849885635</v>
      </c>
      <c r="M27" s="482"/>
      <c r="N27" s="22">
        <f>($H$27*12)*E42+$H$27*12</f>
        <v>-93168</v>
      </c>
      <c r="O27" s="24">
        <f t="shared" si="0"/>
        <v>-1.1958071391076974E-2</v>
      </c>
      <c r="P27" s="592"/>
      <c r="Q27" s="22">
        <f>N27*E38+N27</f>
        <v>-111801.60000000001</v>
      </c>
      <c r="R27" s="615">
        <f t="shared" si="1"/>
        <v>-4.3503869081073718E-3</v>
      </c>
      <c r="S27" s="592"/>
      <c r="T27" s="22">
        <f>Q27*E38+Q27</f>
        <v>-134161.92000000001</v>
      </c>
      <c r="U27" s="615">
        <f t="shared" si="2"/>
        <v>-3.482384699468169E-3</v>
      </c>
      <c r="V27" s="20"/>
    </row>
    <row r="28" spans="1:22" ht="7.5" customHeight="1">
      <c r="A28" s="27"/>
      <c r="B28" s="660"/>
      <c r="C28" s="533"/>
      <c r="D28" s="571"/>
      <c r="E28" s="571"/>
      <c r="F28" s="571"/>
      <c r="G28" s="571"/>
      <c r="H28" s="571"/>
      <c r="I28" s="2"/>
      <c r="J28" s="2"/>
      <c r="K28" s="594"/>
      <c r="L28" s="592"/>
      <c r="M28" s="482"/>
      <c r="N28" s="594"/>
      <c r="O28" s="592"/>
      <c r="P28" s="592"/>
      <c r="Q28" s="594"/>
      <c r="R28" s="592"/>
      <c r="S28" s="592"/>
      <c r="T28" s="594"/>
      <c r="U28" s="592"/>
      <c r="V28" s="20"/>
    </row>
    <row r="29" spans="1:22" ht="14.25" customHeight="1" thickBot="1">
      <c r="A29" s="27"/>
      <c r="B29" s="661"/>
      <c r="C29" s="18" t="s">
        <v>21</v>
      </c>
      <c r="D29" s="36">
        <f>SUM(D17:D27)</f>
        <v>-25040</v>
      </c>
      <c r="E29" s="36">
        <f>SUM(E17:E27)</f>
        <v>-26176.2</v>
      </c>
      <c r="F29" s="36">
        <f>SUM(F17:F27)</f>
        <v>-27910.313999999998</v>
      </c>
      <c r="G29" s="36">
        <f>SUM(G17:G27)</f>
        <v>-30689.564579999998</v>
      </c>
      <c r="H29" s="36">
        <f>SUM(H17:H27)</f>
        <v>-34315.757642600001</v>
      </c>
      <c r="I29" s="2"/>
      <c r="J29" s="2"/>
      <c r="K29" s="595">
        <f>SUM(D29:H29)</f>
        <v>-144131.83622260002</v>
      </c>
      <c r="L29" s="596">
        <f>K29/$K$9</f>
        <v>-0.62929438215138545</v>
      </c>
      <c r="M29" s="482"/>
      <c r="N29" s="595">
        <f>SUM(N17:N27)</f>
        <v>-1389594.7499647518</v>
      </c>
      <c r="O29" s="24">
        <f>N29/$N$9</f>
        <v>-0.17835386854654234</v>
      </c>
      <c r="P29" s="593"/>
      <c r="Q29" s="627">
        <f>SUM(Q17:Q27)</f>
        <v>-4955235.2147109509</v>
      </c>
      <c r="R29" s="615">
        <f>Q29/$Q$9</f>
        <v>-0.19281647494017207</v>
      </c>
      <c r="S29" s="593"/>
      <c r="T29" s="630">
        <f>SUM(T17:T27)</f>
        <v>-7913721.4440938812</v>
      </c>
      <c r="U29" s="615">
        <f>T29/$T$9</f>
        <v>-0.20541314907214858</v>
      </c>
      <c r="V29" s="20"/>
    </row>
    <row r="30" spans="1:22" ht="15" customHeight="1">
      <c r="C30" s="35"/>
      <c r="D30" s="2"/>
      <c r="E30" s="2"/>
      <c r="F30" s="2"/>
      <c r="G30" s="2"/>
      <c r="H30" s="2"/>
      <c r="I30" s="34"/>
      <c r="J30" s="34"/>
      <c r="K30" s="26"/>
      <c r="L30" s="2"/>
      <c r="M30" s="2"/>
      <c r="N30" s="26"/>
      <c r="O30" s="2"/>
      <c r="P30" s="2"/>
      <c r="Q30" s="26"/>
      <c r="R30" s="2"/>
      <c r="S30" s="2"/>
      <c r="T30" s="26"/>
      <c r="U30" s="2"/>
      <c r="V30" s="2"/>
    </row>
    <row r="31" spans="1:22" ht="14.25" customHeight="1">
      <c r="C31" s="18" t="s">
        <v>22</v>
      </c>
      <c r="D31" s="605">
        <f>SUM(D15+D29)+D3</f>
        <v>91891.543999999994</v>
      </c>
      <c r="E31" s="606">
        <f>SUM(E15+E29)</f>
        <v>-18702.656800000001</v>
      </c>
      <c r="F31" s="606">
        <f>SUM(F15+F29)</f>
        <v>-7804.7542959999992</v>
      </c>
      <c r="G31" s="606">
        <f>SUM(G15+G29)</f>
        <v>11366.106652880007</v>
      </c>
      <c r="H31" s="607">
        <f>SUM(H15+H29)</f>
        <v>33763.744813293597</v>
      </c>
      <c r="I31" s="2"/>
      <c r="J31" s="2"/>
      <c r="K31" s="39">
        <f>SUM(D31:H31)</f>
        <v>110513.9843701736</v>
      </c>
      <c r="L31" s="37">
        <f>K31/K9</f>
        <v>0.48251539240718699</v>
      </c>
      <c r="M31" s="2"/>
      <c r="N31" s="633">
        <f>SUM(N15+N29)</f>
        <v>4921281.4135881141</v>
      </c>
      <c r="O31" s="632">
        <f>N31/N9</f>
        <v>0.63164428214909485</v>
      </c>
      <c r="P31" s="38"/>
      <c r="Q31" s="633">
        <f>SUM(Q15+Q29)</f>
        <v>16791973.393324021</v>
      </c>
      <c r="R31" s="615">
        <f>Q31/$Q$9</f>
        <v>0.65340371883411452</v>
      </c>
      <c r="S31" s="2"/>
      <c r="T31" s="633">
        <f>SUM(T15+T29)</f>
        <v>25043246.549720593</v>
      </c>
      <c r="U31" s="615">
        <f>T31/$T$9</f>
        <v>0.65003704933379014</v>
      </c>
      <c r="V31" s="20"/>
    </row>
    <row r="32" spans="1:22">
      <c r="A32" s="40"/>
      <c r="B32" s="40"/>
      <c r="C32" s="611" t="s">
        <v>2074</v>
      </c>
      <c r="D32" s="612">
        <f>D31</f>
        <v>91891.543999999994</v>
      </c>
      <c r="E32" s="612">
        <f>E31+D32</f>
        <v>73188.887199999997</v>
      </c>
      <c r="F32" s="612">
        <f>F31+E32</f>
        <v>65384.132903999998</v>
      </c>
      <c r="G32" s="612">
        <f>G31+F32</f>
        <v>76750.239556879998</v>
      </c>
      <c r="H32" s="612">
        <f>H31+G32</f>
        <v>110513.9843701736</v>
      </c>
      <c r="I32" s="2"/>
      <c r="J32" s="2"/>
      <c r="P32" s="2"/>
      <c r="Q32" s="2"/>
      <c r="R32" s="2"/>
      <c r="S32" s="2"/>
      <c r="T32" s="2"/>
      <c r="U32" s="2"/>
      <c r="V32" s="41"/>
    </row>
    <row r="33" spans="1:22" ht="24.75" customHeight="1">
      <c r="A33" s="40"/>
      <c r="B33" s="40"/>
      <c r="G33" s="2"/>
      <c r="H33" s="2"/>
      <c r="I33" s="2"/>
      <c r="J33" s="2"/>
      <c r="P33" s="2"/>
      <c r="Q33" s="2"/>
      <c r="R33" s="2"/>
      <c r="S33" s="2"/>
      <c r="T33" s="2"/>
      <c r="U33" s="2"/>
      <c r="V33" s="41"/>
    </row>
    <row r="34" spans="1:22" ht="14.25" customHeight="1">
      <c r="D34" s="572" t="s">
        <v>2408</v>
      </c>
      <c r="E34" s="573">
        <v>0.02</v>
      </c>
      <c r="F34" s="1"/>
      <c r="G34" s="666" t="s">
        <v>2411</v>
      </c>
      <c r="H34" s="667"/>
      <c r="I34" s="41"/>
      <c r="J34" s="40"/>
      <c r="P34" s="2"/>
      <c r="Q34" s="2"/>
      <c r="R34" s="2"/>
      <c r="S34" s="2"/>
      <c r="T34" s="2"/>
      <c r="U34" s="2"/>
      <c r="V34" s="2"/>
    </row>
    <row r="35" spans="1:22" ht="14.25" customHeight="1">
      <c r="D35" s="574" t="s">
        <v>24</v>
      </c>
      <c r="E35" s="573">
        <v>3.6499999999999998E-2</v>
      </c>
      <c r="F35" s="1"/>
      <c r="G35" s="668" t="s">
        <v>2409</v>
      </c>
      <c r="H35" s="657">
        <v>0.16</v>
      </c>
      <c r="I35" s="2"/>
      <c r="P35" s="2"/>
      <c r="Q35" s="2"/>
      <c r="R35" s="2"/>
      <c r="S35" s="2"/>
      <c r="T35" s="2"/>
      <c r="U35" s="2"/>
      <c r="V35" s="2"/>
    </row>
    <row r="36" spans="1:22" ht="14.25" customHeight="1">
      <c r="D36" s="572" t="s">
        <v>2410</v>
      </c>
      <c r="E36" s="575">
        <v>2.5000000000000001E-2</v>
      </c>
      <c r="F36" s="1"/>
      <c r="G36" s="669"/>
      <c r="H36" s="658"/>
      <c r="I36" s="2"/>
      <c r="P36" s="2"/>
      <c r="Q36" s="2"/>
      <c r="R36" s="2"/>
      <c r="S36" s="2"/>
      <c r="T36" s="2"/>
      <c r="U36" s="2"/>
      <c r="V36" s="2"/>
    </row>
    <row r="37" spans="1:22" ht="14.25" customHeight="1">
      <c r="D37" s="576"/>
      <c r="E37" s="576"/>
      <c r="F37" s="1"/>
      <c r="G37" s="577"/>
      <c r="H37" s="576"/>
      <c r="I37" s="2"/>
      <c r="P37" s="2"/>
      <c r="Q37" s="2"/>
      <c r="R37" s="2"/>
      <c r="S37" s="2"/>
      <c r="T37" s="2"/>
      <c r="U37" s="2"/>
      <c r="V37" s="2"/>
    </row>
    <row r="38" spans="1:22" ht="14.25" customHeight="1">
      <c r="D38" s="574" t="s">
        <v>20</v>
      </c>
      <c r="E38" s="575">
        <v>0.2</v>
      </c>
      <c r="F38" s="583" t="s">
        <v>2463</v>
      </c>
      <c r="G38" s="656" t="s">
        <v>2412</v>
      </c>
      <c r="H38" s="656"/>
      <c r="I38" s="2"/>
      <c r="P38" s="2"/>
      <c r="Q38" s="2"/>
      <c r="R38" s="2"/>
      <c r="S38" s="2"/>
      <c r="T38" s="2"/>
      <c r="U38" s="2"/>
      <c r="V38" s="2"/>
    </row>
    <row r="39" spans="1:22" ht="14.25" customHeight="1">
      <c r="D39" s="574" t="s">
        <v>25</v>
      </c>
      <c r="E39" s="573">
        <v>0.6</v>
      </c>
      <c r="F39" s="583" t="s">
        <v>2463</v>
      </c>
      <c r="G39" s="656"/>
      <c r="H39" s="656"/>
      <c r="I39" s="2"/>
      <c r="K39" s="2"/>
      <c r="L39" s="2"/>
      <c r="M39" s="2"/>
      <c r="N39" s="2"/>
      <c r="O39" s="2"/>
      <c r="P39" s="2"/>
      <c r="Q39" s="2"/>
      <c r="R39" s="2"/>
      <c r="S39" s="2"/>
      <c r="T39" s="2"/>
      <c r="U39" s="2"/>
      <c r="V39" s="2"/>
    </row>
    <row r="40" spans="1:22" ht="14.25" customHeight="1">
      <c r="D40" s="574" t="s">
        <v>26</v>
      </c>
      <c r="E40" s="573">
        <v>0.2</v>
      </c>
      <c r="F40" s="583" t="s">
        <v>2463</v>
      </c>
      <c r="G40" s="656"/>
      <c r="H40" s="656"/>
      <c r="I40" s="2"/>
      <c r="J40" s="2"/>
      <c r="K40" s="2"/>
      <c r="L40" s="2"/>
      <c r="M40" s="2"/>
      <c r="N40" s="2"/>
      <c r="O40" s="2"/>
      <c r="P40" s="2"/>
      <c r="Q40" s="2"/>
      <c r="R40" s="2"/>
      <c r="S40" s="2"/>
      <c r="T40" s="2"/>
      <c r="U40" s="2"/>
      <c r="V40" s="2"/>
    </row>
    <row r="41" spans="1:22" ht="14.25" customHeight="1">
      <c r="D41" s="586" t="s">
        <v>196</v>
      </c>
      <c r="E41" s="587">
        <v>1</v>
      </c>
      <c r="F41" s="584" t="s">
        <v>2464</v>
      </c>
      <c r="G41" s="30"/>
      <c r="H41" s="2"/>
      <c r="I41" s="2"/>
      <c r="J41" s="2"/>
      <c r="K41" s="2"/>
      <c r="L41" s="2"/>
      <c r="M41" s="2"/>
      <c r="N41" s="2"/>
      <c r="O41" s="2"/>
      <c r="P41" s="2"/>
      <c r="Q41" s="2"/>
      <c r="R41" s="2"/>
      <c r="S41" s="2"/>
      <c r="T41" s="2"/>
      <c r="U41" s="2"/>
      <c r="V41" s="2"/>
    </row>
    <row r="42" spans="1:22" ht="14.25" customHeight="1">
      <c r="D42" s="588" t="s">
        <v>2361</v>
      </c>
      <c r="E42" s="589">
        <v>0.2</v>
      </c>
      <c r="F42" s="584" t="s">
        <v>2464</v>
      </c>
      <c r="G42" s="2"/>
      <c r="H42" s="2"/>
      <c r="I42" s="2"/>
      <c r="J42" s="2"/>
      <c r="K42" s="2"/>
      <c r="L42" s="2"/>
      <c r="M42" s="2"/>
      <c r="N42" s="2"/>
      <c r="O42" s="2"/>
      <c r="P42" s="2"/>
      <c r="Q42" s="2"/>
      <c r="R42" s="2"/>
      <c r="S42" s="2"/>
      <c r="T42" s="2"/>
      <c r="U42" s="2"/>
      <c r="V42" s="2"/>
    </row>
    <row r="43" spans="1:22" ht="14.25" customHeight="1">
      <c r="G43" s="2"/>
      <c r="H43" s="2"/>
      <c r="I43" s="2"/>
      <c r="J43" s="2"/>
      <c r="K43" s="2"/>
      <c r="L43" s="2"/>
      <c r="M43" s="2"/>
      <c r="N43" s="2"/>
      <c r="O43" s="2"/>
      <c r="P43" s="2"/>
      <c r="Q43" s="2"/>
      <c r="R43" s="2"/>
      <c r="S43" s="2"/>
      <c r="T43" s="2"/>
      <c r="U43" s="2"/>
      <c r="V43" s="2"/>
    </row>
    <row r="44" spans="1:22" ht="14.25" customHeight="1">
      <c r="D44" s="2"/>
      <c r="E44" s="2"/>
      <c r="F44" s="2"/>
      <c r="G44" s="2"/>
      <c r="H44" s="2"/>
      <c r="I44" s="2"/>
      <c r="J44" s="2"/>
      <c r="K44" s="2"/>
      <c r="L44" s="2"/>
      <c r="M44" s="2"/>
      <c r="N44" s="2"/>
      <c r="O44" s="2"/>
      <c r="P44" s="2"/>
      <c r="Q44" s="2"/>
      <c r="R44" s="2"/>
      <c r="S44" s="2"/>
      <c r="T44" s="2"/>
      <c r="U44" s="2"/>
      <c r="V44" s="2"/>
    </row>
    <row r="45" spans="1:22" ht="14.25" customHeight="1">
      <c r="D45" s="2"/>
      <c r="E45" s="2"/>
      <c r="F45" s="2"/>
      <c r="G45" s="2"/>
      <c r="H45" s="2"/>
      <c r="I45" s="2"/>
      <c r="J45" s="2"/>
      <c r="K45" s="2"/>
      <c r="L45" s="2"/>
      <c r="M45" s="2"/>
      <c r="N45" s="2"/>
      <c r="O45" s="2"/>
      <c r="P45" s="2"/>
      <c r="Q45" s="2"/>
      <c r="R45" s="2"/>
      <c r="S45" s="2"/>
      <c r="T45" s="2"/>
      <c r="U45" s="2"/>
      <c r="V45" s="2"/>
    </row>
    <row r="46" spans="1:22" ht="14.25" customHeight="1">
      <c r="D46" s="2"/>
      <c r="E46" s="2"/>
      <c r="F46" s="2"/>
      <c r="G46" s="2"/>
      <c r="H46" s="2"/>
      <c r="I46" s="2"/>
      <c r="J46" s="2"/>
      <c r="K46" s="2"/>
      <c r="L46" s="2"/>
      <c r="M46" s="2"/>
      <c r="N46" s="2"/>
      <c r="O46" s="2"/>
      <c r="P46" s="2"/>
      <c r="Q46" s="2"/>
      <c r="R46" s="2"/>
      <c r="S46" s="2"/>
      <c r="T46" s="2"/>
      <c r="U46" s="2"/>
      <c r="V46" s="2"/>
    </row>
    <row r="47" spans="1:22" ht="14.25" customHeight="1">
      <c r="D47" s="2"/>
      <c r="E47" s="2"/>
      <c r="F47" s="2"/>
      <c r="G47" s="2"/>
      <c r="H47" s="2"/>
      <c r="I47" s="2"/>
      <c r="J47" s="2"/>
      <c r="K47" s="2"/>
      <c r="L47" s="2"/>
      <c r="M47" s="2"/>
      <c r="N47" s="2"/>
      <c r="O47" s="2"/>
      <c r="P47" s="2"/>
      <c r="Q47" s="2"/>
      <c r="R47" s="2"/>
      <c r="S47" s="2"/>
      <c r="T47" s="2"/>
      <c r="U47" s="2"/>
      <c r="V47" s="2"/>
    </row>
    <row r="48" spans="1:22" ht="14.25" customHeight="1">
      <c r="D48" s="2"/>
      <c r="E48" s="2"/>
      <c r="F48" s="2"/>
      <c r="G48" s="2"/>
      <c r="H48" s="2"/>
      <c r="I48" s="2"/>
      <c r="J48" s="2"/>
      <c r="K48" s="2"/>
      <c r="L48" s="2"/>
      <c r="M48" s="2"/>
      <c r="N48" s="2"/>
      <c r="O48" s="2"/>
      <c r="P48" s="2"/>
      <c r="Q48" s="2"/>
      <c r="R48" s="2"/>
      <c r="S48" s="2"/>
      <c r="T48" s="2"/>
      <c r="U48" s="2"/>
      <c r="V48" s="2"/>
    </row>
    <row r="49" spans="4:22" ht="14.25" customHeight="1">
      <c r="D49" s="2"/>
      <c r="E49" s="2"/>
      <c r="F49" s="2"/>
      <c r="G49" s="2"/>
      <c r="H49" s="2"/>
      <c r="I49" s="2"/>
      <c r="J49" s="2"/>
      <c r="K49" s="2"/>
      <c r="L49" s="2"/>
      <c r="M49" s="2"/>
      <c r="N49" s="2"/>
      <c r="O49" s="2"/>
      <c r="P49" s="2"/>
      <c r="Q49" s="2"/>
      <c r="R49" s="2"/>
      <c r="S49" s="2"/>
      <c r="T49" s="2"/>
      <c r="U49" s="2"/>
      <c r="V49" s="2"/>
    </row>
    <row r="50" spans="4:22" ht="14.25" customHeight="1">
      <c r="D50" s="2"/>
      <c r="E50" s="2"/>
      <c r="F50" s="2"/>
      <c r="G50" s="2"/>
      <c r="H50" s="2"/>
      <c r="I50" s="2"/>
      <c r="J50" s="2"/>
      <c r="K50" s="2"/>
      <c r="L50" s="2"/>
      <c r="M50" s="2"/>
      <c r="N50" s="2"/>
      <c r="O50" s="2"/>
      <c r="P50" s="2"/>
      <c r="Q50" s="2"/>
      <c r="R50" s="2"/>
      <c r="S50" s="2"/>
      <c r="T50" s="2"/>
      <c r="U50" s="2"/>
      <c r="V50" s="2"/>
    </row>
    <row r="51" spans="4:22" ht="14.25" customHeight="1">
      <c r="D51" s="2"/>
      <c r="E51" s="2"/>
      <c r="F51" s="2"/>
      <c r="G51" s="2"/>
      <c r="H51" s="2"/>
      <c r="I51" s="2"/>
      <c r="J51" s="2"/>
      <c r="K51" s="2"/>
      <c r="L51" s="2"/>
      <c r="M51" s="2"/>
      <c r="N51" s="2"/>
      <c r="O51" s="2"/>
      <c r="P51" s="2"/>
      <c r="Q51" s="2"/>
      <c r="R51" s="2"/>
      <c r="S51" s="2"/>
      <c r="T51" s="2"/>
      <c r="U51" s="2"/>
      <c r="V51" s="2"/>
    </row>
    <row r="52" spans="4:22" ht="14.25" customHeight="1">
      <c r="D52" s="2"/>
      <c r="E52" s="2"/>
      <c r="F52" s="2"/>
      <c r="G52" s="2"/>
      <c r="H52" s="2"/>
      <c r="I52" s="2"/>
      <c r="J52" s="2"/>
      <c r="K52" s="2"/>
      <c r="L52" s="2"/>
      <c r="M52" s="2"/>
      <c r="N52" s="2"/>
      <c r="O52" s="2"/>
      <c r="P52" s="2"/>
      <c r="Q52" s="2"/>
      <c r="R52" s="2"/>
      <c r="S52" s="2"/>
      <c r="T52" s="2"/>
      <c r="U52" s="2"/>
      <c r="V52" s="2"/>
    </row>
    <row r="53" spans="4:22" ht="14.25" customHeight="1">
      <c r="D53" s="2"/>
      <c r="E53" s="2"/>
      <c r="F53" s="2"/>
      <c r="G53" s="2"/>
      <c r="H53" s="2"/>
      <c r="I53" s="2"/>
      <c r="J53" s="2"/>
      <c r="K53" s="2"/>
      <c r="L53" s="2"/>
      <c r="M53" s="2"/>
      <c r="N53" s="2"/>
      <c r="O53" s="2"/>
      <c r="P53" s="2"/>
      <c r="Q53" s="2"/>
      <c r="R53" s="2"/>
      <c r="S53" s="2"/>
      <c r="T53" s="2"/>
      <c r="U53" s="2"/>
      <c r="V53" s="2"/>
    </row>
    <row r="54" spans="4:22" ht="14.25" customHeight="1">
      <c r="D54" s="2"/>
      <c r="E54" s="2"/>
      <c r="F54" s="2"/>
      <c r="G54" s="2"/>
      <c r="H54" s="2"/>
      <c r="I54" s="2"/>
      <c r="J54" s="2"/>
      <c r="K54" s="2"/>
      <c r="L54" s="2"/>
      <c r="M54" s="2"/>
      <c r="N54" s="2"/>
      <c r="O54" s="2"/>
      <c r="P54" s="2"/>
      <c r="Q54" s="2"/>
      <c r="R54" s="2"/>
      <c r="S54" s="2"/>
      <c r="T54" s="2"/>
      <c r="U54" s="2"/>
      <c r="V54" s="2"/>
    </row>
    <row r="55" spans="4:22" ht="14.25" customHeight="1">
      <c r="D55" s="2"/>
      <c r="E55" s="2"/>
      <c r="F55" s="2"/>
      <c r="G55" s="2"/>
      <c r="H55" s="2"/>
      <c r="I55" s="2"/>
      <c r="J55" s="2"/>
      <c r="K55" s="2"/>
      <c r="L55" s="2"/>
      <c r="M55" s="2"/>
      <c r="N55" s="2"/>
      <c r="O55" s="2"/>
      <c r="P55" s="2"/>
      <c r="Q55" s="2"/>
      <c r="R55" s="2"/>
      <c r="S55" s="2"/>
      <c r="T55" s="2"/>
      <c r="U55" s="2"/>
      <c r="V55" s="2"/>
    </row>
    <row r="56" spans="4:22" ht="14.25" customHeight="1">
      <c r="D56" s="2"/>
      <c r="E56" s="2"/>
      <c r="F56" s="2"/>
      <c r="G56" s="2"/>
      <c r="H56" s="2"/>
      <c r="I56" s="2"/>
      <c r="J56" s="2"/>
      <c r="K56" s="2"/>
      <c r="L56" s="2"/>
      <c r="M56" s="2"/>
      <c r="N56" s="2"/>
      <c r="O56" s="2"/>
      <c r="P56" s="2"/>
      <c r="Q56" s="2"/>
      <c r="R56" s="2"/>
      <c r="S56" s="2"/>
      <c r="T56" s="2"/>
      <c r="U56" s="2"/>
      <c r="V56" s="2"/>
    </row>
    <row r="57" spans="4:22" ht="14.25" customHeight="1">
      <c r="D57" s="2"/>
      <c r="E57" s="2"/>
      <c r="F57" s="2"/>
      <c r="G57" s="2"/>
      <c r="H57" s="2"/>
      <c r="I57" s="2"/>
      <c r="J57" s="2"/>
      <c r="K57" s="2"/>
      <c r="L57" s="2"/>
      <c r="M57" s="2"/>
      <c r="N57" s="2"/>
      <c r="O57" s="2"/>
      <c r="P57" s="2"/>
      <c r="Q57" s="2"/>
      <c r="R57" s="2"/>
      <c r="S57" s="2"/>
      <c r="T57" s="2"/>
      <c r="U57" s="2"/>
      <c r="V57" s="2"/>
    </row>
    <row r="58" spans="4:22" ht="14.25" customHeight="1">
      <c r="D58" s="2"/>
      <c r="E58" s="2"/>
      <c r="F58" s="2"/>
      <c r="G58" s="2"/>
      <c r="H58" s="2"/>
      <c r="I58" s="2"/>
      <c r="J58" s="2"/>
      <c r="K58" s="2"/>
      <c r="L58" s="2"/>
      <c r="M58" s="2"/>
      <c r="N58" s="2"/>
      <c r="O58" s="2"/>
      <c r="P58" s="2"/>
      <c r="Q58" s="2"/>
      <c r="R58" s="2"/>
      <c r="S58" s="2"/>
      <c r="T58" s="2"/>
      <c r="U58" s="2"/>
      <c r="V58" s="2"/>
    </row>
    <row r="59" spans="4:22" ht="14.25" customHeight="1">
      <c r="D59" s="2"/>
      <c r="E59" s="2"/>
      <c r="F59" s="2"/>
      <c r="G59" s="2"/>
      <c r="H59" s="2"/>
      <c r="I59" s="2"/>
      <c r="J59" s="2"/>
      <c r="K59" s="2"/>
      <c r="L59" s="2"/>
      <c r="M59" s="2"/>
      <c r="N59" s="2"/>
      <c r="O59" s="2"/>
      <c r="P59" s="2"/>
      <c r="Q59" s="2"/>
      <c r="R59" s="2"/>
      <c r="S59" s="2"/>
      <c r="T59" s="2"/>
      <c r="U59" s="2"/>
      <c r="V59" s="2"/>
    </row>
    <row r="60" spans="4:22" ht="14.25" customHeight="1">
      <c r="D60" s="2"/>
      <c r="E60" s="2"/>
      <c r="F60" s="2"/>
      <c r="G60" s="2"/>
      <c r="H60" s="2"/>
      <c r="I60" s="2"/>
      <c r="J60" s="2"/>
      <c r="K60" s="2"/>
      <c r="L60" s="2"/>
      <c r="M60" s="2"/>
      <c r="N60" s="2"/>
      <c r="O60" s="2"/>
      <c r="P60" s="2"/>
      <c r="Q60" s="2"/>
      <c r="R60" s="2"/>
      <c r="S60" s="2"/>
      <c r="T60" s="2"/>
      <c r="U60" s="2"/>
      <c r="V60" s="2"/>
    </row>
    <row r="61" spans="4:22" ht="14.25" customHeight="1">
      <c r="D61" s="2"/>
      <c r="E61" s="2"/>
      <c r="F61" s="2"/>
      <c r="G61" s="2"/>
      <c r="H61" s="2"/>
      <c r="I61" s="2"/>
      <c r="J61" s="2"/>
      <c r="K61" s="2"/>
      <c r="L61" s="2"/>
      <c r="M61" s="2"/>
      <c r="N61" s="2"/>
      <c r="O61" s="2"/>
      <c r="P61" s="2"/>
      <c r="Q61" s="2"/>
      <c r="R61" s="2"/>
      <c r="S61" s="2"/>
      <c r="T61" s="2"/>
      <c r="U61" s="2"/>
      <c r="V61" s="2"/>
    </row>
    <row r="62" spans="4:22" ht="14.25" customHeight="1">
      <c r="D62" s="2"/>
      <c r="E62" s="2"/>
      <c r="F62" s="2"/>
      <c r="G62" s="2"/>
      <c r="H62" s="2"/>
      <c r="I62" s="2"/>
      <c r="J62" s="2"/>
      <c r="K62" s="2"/>
      <c r="L62" s="2"/>
      <c r="M62" s="2"/>
      <c r="N62" s="2"/>
      <c r="O62" s="2"/>
      <c r="P62" s="2"/>
      <c r="Q62" s="2"/>
      <c r="R62" s="2"/>
      <c r="S62" s="2"/>
      <c r="T62" s="2"/>
      <c r="U62" s="2"/>
      <c r="V62" s="2"/>
    </row>
    <row r="63" spans="4:22" ht="14.25" customHeight="1">
      <c r="D63" s="2"/>
      <c r="E63" s="2"/>
      <c r="F63" s="2"/>
      <c r="G63" s="2"/>
      <c r="H63" s="2"/>
      <c r="I63" s="2"/>
      <c r="J63" s="2"/>
      <c r="K63" s="2"/>
      <c r="L63" s="2"/>
      <c r="M63" s="2"/>
      <c r="N63" s="2"/>
      <c r="O63" s="2"/>
      <c r="P63" s="2"/>
      <c r="Q63" s="2"/>
      <c r="R63" s="2"/>
      <c r="S63" s="2"/>
      <c r="T63" s="2"/>
      <c r="U63" s="2"/>
      <c r="V63" s="2"/>
    </row>
    <row r="64" spans="4:22" ht="14.25" customHeight="1">
      <c r="D64" s="2"/>
      <c r="E64" s="2"/>
      <c r="F64" s="2"/>
      <c r="G64" s="2"/>
      <c r="H64" s="2"/>
      <c r="I64" s="2"/>
      <c r="J64" s="2"/>
      <c r="K64" s="2"/>
      <c r="L64" s="2"/>
      <c r="M64" s="2"/>
      <c r="N64" s="2"/>
      <c r="O64" s="2"/>
      <c r="P64" s="2"/>
      <c r="Q64" s="2"/>
      <c r="R64" s="2"/>
      <c r="S64" s="2"/>
      <c r="T64" s="2"/>
      <c r="U64" s="2"/>
      <c r="V64" s="2"/>
    </row>
    <row r="65" spans="4:22" ht="14.25" customHeight="1">
      <c r="D65" s="2"/>
      <c r="E65" s="2"/>
      <c r="F65" s="2"/>
      <c r="G65" s="2"/>
      <c r="H65" s="2"/>
      <c r="I65" s="2"/>
      <c r="J65" s="2"/>
      <c r="K65" s="2"/>
      <c r="L65" s="2"/>
      <c r="M65" s="2"/>
      <c r="N65" s="2"/>
      <c r="O65" s="2"/>
      <c r="P65" s="2"/>
      <c r="Q65" s="2"/>
      <c r="R65" s="2"/>
      <c r="S65" s="2"/>
      <c r="T65" s="2"/>
      <c r="U65" s="2"/>
      <c r="V65" s="2"/>
    </row>
    <row r="66" spans="4:22" ht="14.25" customHeight="1">
      <c r="D66" s="2"/>
      <c r="E66" s="2"/>
      <c r="F66" s="2"/>
      <c r="G66" s="2"/>
      <c r="H66" s="2"/>
      <c r="I66" s="2"/>
      <c r="J66" s="2"/>
      <c r="K66" s="2"/>
      <c r="L66" s="2"/>
      <c r="M66" s="2"/>
      <c r="N66" s="2"/>
      <c r="O66" s="2"/>
      <c r="P66" s="2"/>
      <c r="Q66" s="2"/>
      <c r="R66" s="2"/>
      <c r="S66" s="2"/>
      <c r="T66" s="2"/>
      <c r="U66" s="2"/>
      <c r="V66" s="2"/>
    </row>
    <row r="67" spans="4:22" ht="14.25" customHeight="1">
      <c r="D67" s="2"/>
      <c r="E67" s="2"/>
      <c r="F67" s="2"/>
      <c r="G67" s="2"/>
      <c r="H67" s="2"/>
      <c r="I67" s="2"/>
      <c r="J67" s="2"/>
      <c r="K67" s="2"/>
      <c r="L67" s="2"/>
      <c r="M67" s="2"/>
      <c r="N67" s="2"/>
      <c r="O67" s="2"/>
      <c r="P67" s="2"/>
      <c r="Q67" s="2"/>
      <c r="R67" s="2"/>
      <c r="S67" s="2"/>
      <c r="T67" s="2"/>
      <c r="U67" s="2"/>
      <c r="V67" s="2"/>
    </row>
    <row r="68" spans="4:22" ht="14.25" customHeight="1">
      <c r="D68" s="2"/>
      <c r="E68" s="2"/>
      <c r="F68" s="2"/>
      <c r="G68" s="2"/>
      <c r="H68" s="2"/>
      <c r="I68" s="2"/>
      <c r="J68" s="2"/>
      <c r="K68" s="2"/>
      <c r="L68" s="2"/>
      <c r="M68" s="2"/>
      <c r="N68" s="2"/>
      <c r="O68" s="2"/>
      <c r="P68" s="2"/>
      <c r="Q68" s="2"/>
      <c r="R68" s="2"/>
      <c r="S68" s="2"/>
      <c r="T68" s="2"/>
      <c r="U68" s="2"/>
      <c r="V68" s="2"/>
    </row>
    <row r="69" spans="4:22" ht="14.25" customHeight="1">
      <c r="D69" s="2"/>
      <c r="E69" s="2"/>
      <c r="F69" s="2"/>
      <c r="G69" s="2"/>
      <c r="H69" s="2"/>
      <c r="I69" s="2"/>
      <c r="J69" s="2"/>
      <c r="K69" s="2"/>
      <c r="L69" s="2"/>
      <c r="M69" s="2"/>
      <c r="N69" s="2"/>
      <c r="O69" s="2"/>
      <c r="P69" s="2"/>
      <c r="Q69" s="2"/>
      <c r="R69" s="2"/>
      <c r="S69" s="2"/>
      <c r="T69" s="2"/>
      <c r="U69" s="2"/>
      <c r="V69" s="2"/>
    </row>
    <row r="70" spans="4:22" ht="14.25" customHeight="1">
      <c r="D70" s="2"/>
      <c r="E70" s="2"/>
      <c r="F70" s="2"/>
      <c r="G70" s="2"/>
      <c r="H70" s="2"/>
      <c r="I70" s="2"/>
      <c r="J70" s="2"/>
      <c r="K70" s="2"/>
      <c r="L70" s="2"/>
      <c r="M70" s="2"/>
      <c r="N70" s="2"/>
      <c r="O70" s="2"/>
      <c r="P70" s="2"/>
      <c r="Q70" s="2"/>
      <c r="R70" s="2"/>
      <c r="S70" s="2"/>
      <c r="T70" s="2"/>
      <c r="U70" s="2"/>
      <c r="V70" s="2"/>
    </row>
    <row r="71" spans="4:22" ht="14.25" customHeight="1">
      <c r="D71" s="2"/>
      <c r="E71" s="2"/>
      <c r="F71" s="2"/>
      <c r="G71" s="2"/>
      <c r="H71" s="2"/>
      <c r="I71" s="2"/>
      <c r="J71" s="2"/>
      <c r="K71" s="2"/>
      <c r="L71" s="2"/>
      <c r="M71" s="2"/>
      <c r="N71" s="2"/>
      <c r="O71" s="2"/>
      <c r="P71" s="2"/>
      <c r="Q71" s="2"/>
      <c r="R71" s="2"/>
      <c r="S71" s="2"/>
      <c r="T71" s="2"/>
      <c r="U71" s="2"/>
      <c r="V71" s="2"/>
    </row>
    <row r="72" spans="4:22" ht="14.25" customHeight="1">
      <c r="D72" s="2"/>
      <c r="E72" s="2"/>
      <c r="F72" s="2"/>
      <c r="G72" s="2"/>
      <c r="H72" s="2"/>
      <c r="I72" s="2"/>
      <c r="J72" s="2"/>
      <c r="K72" s="2"/>
      <c r="L72" s="2"/>
      <c r="M72" s="2"/>
      <c r="N72" s="2"/>
      <c r="O72" s="2"/>
      <c r="P72" s="2"/>
      <c r="Q72" s="2"/>
      <c r="R72" s="2"/>
      <c r="S72" s="2"/>
      <c r="T72" s="2"/>
      <c r="U72" s="2"/>
      <c r="V72" s="2"/>
    </row>
    <row r="73" spans="4:22" ht="14.25" customHeight="1">
      <c r="D73" s="2"/>
      <c r="E73" s="2"/>
      <c r="F73" s="2"/>
      <c r="G73" s="2"/>
      <c r="H73" s="2"/>
      <c r="I73" s="2"/>
      <c r="J73" s="2"/>
      <c r="K73" s="2"/>
      <c r="L73" s="2"/>
      <c r="M73" s="2"/>
      <c r="N73" s="2"/>
      <c r="O73" s="2"/>
      <c r="P73" s="2"/>
      <c r="Q73" s="2"/>
      <c r="R73" s="2"/>
      <c r="S73" s="2"/>
      <c r="T73" s="2"/>
      <c r="U73" s="2"/>
      <c r="V73" s="2"/>
    </row>
    <row r="74" spans="4:22" ht="14.25" customHeight="1">
      <c r="D74" s="2"/>
      <c r="E74" s="2"/>
      <c r="F74" s="2"/>
      <c r="G74" s="2"/>
      <c r="H74" s="2"/>
      <c r="I74" s="2"/>
      <c r="J74" s="2"/>
      <c r="K74" s="2"/>
      <c r="L74" s="2"/>
      <c r="M74" s="2"/>
      <c r="N74" s="2"/>
      <c r="O74" s="2"/>
      <c r="P74" s="2"/>
      <c r="Q74" s="2"/>
      <c r="R74" s="2"/>
      <c r="S74" s="2"/>
      <c r="T74" s="2"/>
      <c r="U74" s="2"/>
      <c r="V74" s="2"/>
    </row>
    <row r="75" spans="4:22" ht="14.25" customHeight="1">
      <c r="D75" s="2"/>
      <c r="E75" s="2"/>
      <c r="F75" s="2"/>
      <c r="G75" s="2"/>
      <c r="H75" s="2"/>
      <c r="I75" s="2"/>
      <c r="J75" s="2"/>
      <c r="K75" s="2"/>
      <c r="L75" s="2"/>
      <c r="M75" s="2"/>
      <c r="N75" s="2"/>
      <c r="O75" s="2"/>
      <c r="P75" s="2"/>
      <c r="Q75" s="2"/>
      <c r="R75" s="2"/>
      <c r="S75" s="2"/>
      <c r="T75" s="2"/>
      <c r="U75" s="2"/>
      <c r="V75" s="2"/>
    </row>
    <row r="76" spans="4:22" ht="14.25" customHeight="1">
      <c r="D76" s="2"/>
      <c r="E76" s="2"/>
      <c r="F76" s="2"/>
      <c r="G76" s="2"/>
      <c r="H76" s="2"/>
      <c r="I76" s="2"/>
      <c r="J76" s="2"/>
      <c r="K76" s="2"/>
      <c r="L76" s="2"/>
      <c r="M76" s="2"/>
      <c r="N76" s="2"/>
      <c r="O76" s="2"/>
      <c r="P76" s="2"/>
      <c r="Q76" s="2"/>
      <c r="R76" s="2"/>
      <c r="S76" s="2"/>
      <c r="T76" s="2"/>
      <c r="U76" s="2"/>
      <c r="V76" s="2"/>
    </row>
    <row r="77" spans="4:22" ht="14.25" customHeight="1">
      <c r="D77" s="2"/>
      <c r="E77" s="2"/>
      <c r="F77" s="2"/>
      <c r="G77" s="2"/>
      <c r="H77" s="2"/>
      <c r="I77" s="2"/>
      <c r="J77" s="2"/>
      <c r="K77" s="2"/>
      <c r="L77" s="2"/>
      <c r="M77" s="2"/>
      <c r="N77" s="2"/>
      <c r="O77" s="2"/>
      <c r="P77" s="2"/>
      <c r="Q77" s="2"/>
      <c r="R77" s="2"/>
      <c r="S77" s="2"/>
      <c r="T77" s="2"/>
      <c r="U77" s="2"/>
      <c r="V77" s="2"/>
    </row>
    <row r="78" spans="4:22" ht="14.25" customHeight="1">
      <c r="D78" s="2"/>
      <c r="E78" s="2"/>
      <c r="F78" s="2"/>
      <c r="G78" s="2"/>
      <c r="H78" s="2"/>
      <c r="I78" s="2"/>
      <c r="J78" s="2"/>
      <c r="K78" s="2"/>
      <c r="L78" s="2"/>
      <c r="M78" s="2"/>
      <c r="N78" s="2"/>
      <c r="O78" s="2"/>
      <c r="P78" s="2"/>
      <c r="Q78" s="2"/>
      <c r="R78" s="2"/>
      <c r="S78" s="2"/>
      <c r="T78" s="2"/>
      <c r="U78" s="2"/>
      <c r="V78" s="2"/>
    </row>
    <row r="79" spans="4:22" ht="14.25" customHeight="1">
      <c r="D79" s="2"/>
      <c r="E79" s="2"/>
      <c r="F79" s="2"/>
      <c r="G79" s="2"/>
      <c r="H79" s="2"/>
      <c r="I79" s="2"/>
      <c r="J79" s="2"/>
      <c r="K79" s="2"/>
      <c r="L79" s="2"/>
      <c r="M79" s="2"/>
      <c r="N79" s="2"/>
      <c r="O79" s="2"/>
      <c r="P79" s="2"/>
      <c r="Q79" s="2"/>
      <c r="R79" s="2"/>
      <c r="S79" s="2"/>
      <c r="T79" s="2"/>
      <c r="U79" s="2"/>
      <c r="V79" s="2"/>
    </row>
    <row r="80" spans="4:22" ht="14.25" customHeight="1">
      <c r="D80" s="2"/>
      <c r="E80" s="2"/>
      <c r="F80" s="2"/>
      <c r="G80" s="2"/>
      <c r="H80" s="2"/>
      <c r="I80" s="2"/>
      <c r="J80" s="2"/>
      <c r="K80" s="2"/>
      <c r="L80" s="2"/>
      <c r="M80" s="2"/>
      <c r="N80" s="2"/>
      <c r="O80" s="2"/>
      <c r="P80" s="2"/>
      <c r="Q80" s="2"/>
      <c r="R80" s="2"/>
      <c r="S80" s="2"/>
      <c r="T80" s="2"/>
      <c r="U80" s="2"/>
      <c r="V80" s="2"/>
    </row>
    <row r="81" spans="4:22" ht="14.25" customHeight="1">
      <c r="D81" s="2"/>
      <c r="E81" s="2"/>
      <c r="F81" s="2"/>
      <c r="G81" s="2"/>
      <c r="H81" s="2"/>
      <c r="I81" s="2"/>
      <c r="J81" s="2"/>
      <c r="K81" s="2"/>
      <c r="L81" s="2"/>
      <c r="M81" s="2"/>
      <c r="N81" s="2"/>
      <c r="O81" s="2"/>
      <c r="P81" s="2"/>
      <c r="Q81" s="2"/>
      <c r="R81" s="2"/>
      <c r="S81" s="2"/>
      <c r="T81" s="2"/>
      <c r="U81" s="2"/>
      <c r="V81" s="2"/>
    </row>
    <row r="82" spans="4:22" ht="14.25" customHeight="1">
      <c r="D82" s="2"/>
      <c r="E82" s="2"/>
      <c r="F82" s="2"/>
      <c r="G82" s="2"/>
      <c r="H82" s="2"/>
      <c r="I82" s="2"/>
      <c r="J82" s="2"/>
      <c r="K82" s="2"/>
      <c r="L82" s="2"/>
      <c r="M82" s="2"/>
      <c r="N82" s="2"/>
      <c r="O82" s="2"/>
      <c r="P82" s="2"/>
      <c r="Q82" s="2"/>
      <c r="R82" s="2"/>
      <c r="S82" s="2"/>
      <c r="T82" s="2"/>
      <c r="U82" s="2"/>
      <c r="V82" s="2"/>
    </row>
    <row r="83" spans="4:22" ht="14.25" customHeight="1">
      <c r="D83" s="2"/>
      <c r="E83" s="2"/>
      <c r="F83" s="2"/>
      <c r="G83" s="2"/>
      <c r="H83" s="2"/>
      <c r="I83" s="2"/>
      <c r="J83" s="2"/>
      <c r="K83" s="2"/>
      <c r="L83" s="2"/>
      <c r="M83" s="2"/>
      <c r="N83" s="2"/>
      <c r="O83" s="2"/>
      <c r="P83" s="2"/>
      <c r="Q83" s="2"/>
      <c r="R83" s="2"/>
      <c r="S83" s="2"/>
      <c r="T83" s="2"/>
      <c r="U83" s="2"/>
      <c r="V83" s="2"/>
    </row>
    <row r="84" spans="4:22" ht="14.25" customHeight="1">
      <c r="D84" s="2"/>
      <c r="E84" s="2"/>
      <c r="F84" s="2"/>
      <c r="G84" s="2"/>
      <c r="H84" s="2"/>
      <c r="I84" s="2"/>
      <c r="J84" s="2"/>
      <c r="K84" s="2"/>
      <c r="L84" s="2"/>
      <c r="M84" s="2"/>
      <c r="N84" s="2"/>
      <c r="O84" s="2"/>
      <c r="P84" s="2"/>
      <c r="Q84" s="2"/>
      <c r="R84" s="2"/>
      <c r="S84" s="2"/>
      <c r="T84" s="2"/>
      <c r="U84" s="2"/>
      <c r="V84" s="2"/>
    </row>
    <row r="85" spans="4:22" ht="14.25" customHeight="1">
      <c r="D85" s="2"/>
      <c r="E85" s="2"/>
      <c r="F85" s="2"/>
      <c r="G85" s="2"/>
      <c r="H85" s="2"/>
      <c r="I85" s="2"/>
      <c r="J85" s="2"/>
      <c r="K85" s="2"/>
      <c r="L85" s="2"/>
      <c r="M85" s="2"/>
      <c r="N85" s="2"/>
      <c r="O85" s="2"/>
      <c r="P85" s="2"/>
      <c r="Q85" s="2"/>
      <c r="R85" s="2"/>
      <c r="S85" s="2"/>
      <c r="T85" s="2"/>
      <c r="U85" s="2"/>
      <c r="V85" s="2"/>
    </row>
    <row r="86" spans="4:22" ht="14.25" customHeight="1">
      <c r="D86" s="2"/>
      <c r="E86" s="2"/>
      <c r="F86" s="2"/>
      <c r="G86" s="2"/>
      <c r="H86" s="2"/>
      <c r="I86" s="2"/>
      <c r="J86" s="2"/>
      <c r="K86" s="2"/>
      <c r="L86" s="2"/>
      <c r="M86" s="2"/>
      <c r="N86" s="2"/>
      <c r="O86" s="2"/>
      <c r="P86" s="2"/>
      <c r="Q86" s="2"/>
      <c r="R86" s="2"/>
      <c r="S86" s="2"/>
      <c r="T86" s="2"/>
      <c r="U86" s="2"/>
      <c r="V86" s="2"/>
    </row>
    <row r="87" spans="4:22" ht="14.25" customHeight="1">
      <c r="D87" s="2"/>
      <c r="E87" s="2"/>
      <c r="F87" s="2"/>
      <c r="G87" s="2"/>
      <c r="H87" s="2"/>
      <c r="I87" s="2"/>
      <c r="J87" s="2"/>
      <c r="K87" s="2"/>
      <c r="L87" s="2"/>
      <c r="M87" s="2"/>
      <c r="N87" s="2"/>
      <c r="O87" s="2"/>
      <c r="P87" s="2"/>
      <c r="Q87" s="2"/>
      <c r="R87" s="2"/>
      <c r="S87" s="2"/>
      <c r="T87" s="2"/>
      <c r="U87" s="2"/>
      <c r="V87" s="2"/>
    </row>
    <row r="88" spans="4:22" ht="14.25" customHeight="1">
      <c r="D88" s="2"/>
      <c r="E88" s="2"/>
      <c r="F88" s="2"/>
      <c r="G88" s="2"/>
      <c r="H88" s="2"/>
      <c r="I88" s="2"/>
      <c r="J88" s="2"/>
      <c r="K88" s="2"/>
      <c r="L88" s="2"/>
      <c r="M88" s="2"/>
      <c r="N88" s="2"/>
      <c r="O88" s="2"/>
      <c r="P88" s="2"/>
      <c r="Q88" s="2"/>
      <c r="R88" s="2"/>
      <c r="S88" s="2"/>
      <c r="T88" s="2"/>
      <c r="U88" s="2"/>
      <c r="V88" s="2"/>
    </row>
    <row r="89" spans="4:22" ht="14.25" customHeight="1">
      <c r="D89" s="2"/>
      <c r="E89" s="2"/>
      <c r="F89" s="2"/>
      <c r="G89" s="2"/>
      <c r="H89" s="2"/>
      <c r="I89" s="2"/>
      <c r="J89" s="2"/>
      <c r="K89" s="2"/>
      <c r="L89" s="2"/>
      <c r="M89" s="2"/>
      <c r="N89" s="2"/>
      <c r="O89" s="2"/>
      <c r="P89" s="2"/>
      <c r="Q89" s="2"/>
      <c r="R89" s="2"/>
      <c r="S89" s="2"/>
      <c r="T89" s="2"/>
      <c r="U89" s="2"/>
      <c r="V89" s="2"/>
    </row>
    <row r="90" spans="4:22" ht="14.25" customHeight="1">
      <c r="D90" s="2"/>
      <c r="E90" s="2"/>
      <c r="F90" s="2"/>
      <c r="G90" s="2"/>
      <c r="H90" s="2"/>
      <c r="I90" s="2"/>
      <c r="J90" s="2"/>
      <c r="K90" s="2"/>
      <c r="L90" s="2"/>
      <c r="M90" s="2"/>
      <c r="N90" s="2"/>
      <c r="O90" s="2"/>
      <c r="P90" s="2"/>
      <c r="Q90" s="2"/>
      <c r="R90" s="2"/>
      <c r="S90" s="2"/>
      <c r="T90" s="2"/>
      <c r="U90" s="2"/>
      <c r="V90" s="2"/>
    </row>
    <row r="91" spans="4:22" ht="14.25" customHeight="1">
      <c r="D91" s="2"/>
      <c r="E91" s="2"/>
      <c r="F91" s="2"/>
      <c r="G91" s="2"/>
      <c r="H91" s="2"/>
      <c r="I91" s="2"/>
      <c r="J91" s="2"/>
      <c r="K91" s="2"/>
      <c r="L91" s="2"/>
      <c r="M91" s="2"/>
      <c r="N91" s="2"/>
      <c r="O91" s="2"/>
      <c r="P91" s="2"/>
      <c r="Q91" s="2"/>
      <c r="R91" s="2"/>
      <c r="S91" s="2"/>
      <c r="T91" s="2"/>
      <c r="U91" s="2"/>
      <c r="V91" s="2"/>
    </row>
    <row r="92" spans="4:22" ht="14.25" customHeight="1">
      <c r="D92" s="2"/>
      <c r="E92" s="2"/>
      <c r="F92" s="2"/>
      <c r="G92" s="2"/>
      <c r="H92" s="2"/>
      <c r="I92" s="2"/>
      <c r="J92" s="2"/>
      <c r="K92" s="2"/>
      <c r="L92" s="2"/>
      <c r="M92" s="2"/>
      <c r="N92" s="2"/>
      <c r="O92" s="2"/>
      <c r="P92" s="2"/>
      <c r="Q92" s="2"/>
      <c r="R92" s="2"/>
      <c r="S92" s="2"/>
      <c r="T92" s="2"/>
      <c r="U92" s="2"/>
      <c r="V92" s="2"/>
    </row>
    <row r="93" spans="4:22" ht="14.25" customHeight="1">
      <c r="D93" s="2"/>
      <c r="E93" s="2"/>
      <c r="F93" s="2"/>
      <c r="G93" s="2"/>
      <c r="H93" s="2"/>
      <c r="I93" s="2"/>
      <c r="J93" s="2"/>
      <c r="K93" s="2"/>
      <c r="L93" s="2"/>
      <c r="M93" s="2"/>
      <c r="N93" s="2"/>
      <c r="O93" s="2"/>
      <c r="P93" s="2"/>
      <c r="Q93" s="2"/>
      <c r="R93" s="2"/>
      <c r="S93" s="2"/>
      <c r="T93" s="2"/>
      <c r="U93" s="2"/>
      <c r="V93" s="2"/>
    </row>
    <row r="94" spans="4:22" ht="14.25" customHeight="1">
      <c r="D94" s="2"/>
      <c r="E94" s="2"/>
      <c r="F94" s="2"/>
      <c r="G94" s="2"/>
      <c r="H94" s="2"/>
      <c r="I94" s="2"/>
      <c r="J94" s="2"/>
      <c r="K94" s="2"/>
      <c r="L94" s="2"/>
      <c r="M94" s="2"/>
      <c r="N94" s="2"/>
      <c r="O94" s="2"/>
      <c r="P94" s="2"/>
      <c r="Q94" s="2"/>
      <c r="R94" s="2"/>
      <c r="S94" s="2"/>
      <c r="T94" s="2"/>
      <c r="U94" s="2"/>
      <c r="V94" s="2"/>
    </row>
    <row r="95" spans="4:22" ht="14.25" customHeight="1">
      <c r="D95" s="2"/>
      <c r="E95" s="2"/>
      <c r="F95" s="2"/>
      <c r="G95" s="2"/>
      <c r="H95" s="2"/>
      <c r="I95" s="2"/>
      <c r="J95" s="2"/>
      <c r="K95" s="2"/>
      <c r="L95" s="2"/>
      <c r="M95" s="2"/>
      <c r="N95" s="2"/>
      <c r="O95" s="2"/>
      <c r="P95" s="2"/>
      <c r="Q95" s="2"/>
      <c r="R95" s="2"/>
      <c r="S95" s="2"/>
      <c r="T95" s="2"/>
      <c r="U95" s="2"/>
      <c r="V95" s="2"/>
    </row>
    <row r="96" spans="4:22" ht="14.25" customHeight="1">
      <c r="D96" s="2"/>
      <c r="E96" s="2"/>
      <c r="F96" s="2"/>
      <c r="G96" s="2"/>
      <c r="H96" s="2"/>
      <c r="I96" s="2"/>
      <c r="J96" s="2"/>
      <c r="K96" s="2"/>
      <c r="L96" s="2"/>
      <c r="M96" s="2"/>
      <c r="N96" s="2"/>
      <c r="O96" s="2"/>
      <c r="P96" s="2"/>
      <c r="Q96" s="2"/>
      <c r="R96" s="2"/>
      <c r="S96" s="2"/>
      <c r="T96" s="2"/>
      <c r="U96" s="2"/>
      <c r="V96" s="2"/>
    </row>
    <row r="97" spans="4:22" ht="14.25" customHeight="1">
      <c r="D97" s="2"/>
      <c r="E97" s="2"/>
      <c r="F97" s="2"/>
      <c r="G97" s="2"/>
      <c r="H97" s="2"/>
      <c r="I97" s="2"/>
      <c r="J97" s="2"/>
      <c r="K97" s="2"/>
      <c r="L97" s="2"/>
      <c r="M97" s="2"/>
      <c r="N97" s="2"/>
      <c r="O97" s="2"/>
      <c r="P97" s="2"/>
      <c r="Q97" s="2"/>
      <c r="R97" s="2"/>
      <c r="S97" s="2"/>
      <c r="T97" s="2"/>
      <c r="U97" s="2"/>
      <c r="V97" s="2"/>
    </row>
    <row r="98" spans="4:22" ht="14.25" customHeight="1">
      <c r="D98" s="2"/>
      <c r="E98" s="2"/>
      <c r="F98" s="2"/>
      <c r="G98" s="2"/>
      <c r="H98" s="2"/>
      <c r="I98" s="2"/>
      <c r="J98" s="2"/>
      <c r="K98" s="2"/>
      <c r="L98" s="2"/>
      <c r="M98" s="2"/>
      <c r="N98" s="2"/>
      <c r="O98" s="2"/>
      <c r="P98" s="2"/>
      <c r="Q98" s="2"/>
      <c r="R98" s="2"/>
      <c r="S98" s="2"/>
      <c r="T98" s="2"/>
      <c r="U98" s="2"/>
      <c r="V98" s="2"/>
    </row>
    <row r="99" spans="4:22" ht="14.25" customHeight="1">
      <c r="D99" s="2"/>
      <c r="E99" s="2"/>
      <c r="F99" s="2"/>
      <c r="G99" s="2"/>
      <c r="H99" s="2"/>
      <c r="I99" s="2"/>
      <c r="J99" s="2"/>
      <c r="K99" s="2"/>
      <c r="L99" s="2"/>
      <c r="M99" s="2"/>
      <c r="N99" s="2"/>
      <c r="O99" s="2"/>
      <c r="P99" s="2"/>
      <c r="Q99" s="2"/>
      <c r="R99" s="2"/>
      <c r="S99" s="2"/>
      <c r="T99" s="2"/>
      <c r="U99" s="2"/>
      <c r="V99" s="2"/>
    </row>
    <row r="100" spans="4:22" ht="14.25" customHeight="1">
      <c r="D100" s="2"/>
      <c r="E100" s="2"/>
      <c r="F100" s="2"/>
      <c r="G100" s="2"/>
      <c r="H100" s="2"/>
      <c r="I100" s="2"/>
      <c r="J100" s="2"/>
      <c r="K100" s="2"/>
      <c r="L100" s="2"/>
      <c r="M100" s="2"/>
      <c r="N100" s="2"/>
      <c r="O100" s="2"/>
      <c r="P100" s="2"/>
      <c r="Q100" s="2"/>
      <c r="R100" s="2"/>
      <c r="S100" s="2"/>
      <c r="T100" s="2"/>
      <c r="U100" s="2"/>
      <c r="V100" s="2"/>
    </row>
    <row r="101" spans="4:22" ht="14.25" customHeight="1">
      <c r="D101" s="2"/>
      <c r="E101" s="2"/>
      <c r="F101" s="2"/>
      <c r="G101" s="2"/>
      <c r="H101" s="2"/>
      <c r="I101" s="2"/>
      <c r="J101" s="2"/>
      <c r="K101" s="2"/>
      <c r="L101" s="2"/>
      <c r="M101" s="2"/>
      <c r="N101" s="2"/>
      <c r="O101" s="2"/>
      <c r="P101" s="2"/>
      <c r="Q101" s="2"/>
      <c r="R101" s="2"/>
      <c r="S101" s="2"/>
      <c r="T101" s="2"/>
      <c r="U101" s="2"/>
      <c r="V101" s="2"/>
    </row>
    <row r="102" spans="4:22" ht="14.25" customHeight="1">
      <c r="D102" s="2"/>
      <c r="E102" s="2"/>
      <c r="F102" s="2"/>
      <c r="G102" s="2"/>
      <c r="H102" s="2"/>
      <c r="I102" s="2"/>
      <c r="J102" s="2"/>
      <c r="K102" s="2"/>
      <c r="L102" s="2"/>
      <c r="M102" s="2"/>
      <c r="N102" s="2"/>
      <c r="O102" s="2"/>
      <c r="P102" s="2"/>
      <c r="Q102" s="2"/>
      <c r="R102" s="2"/>
      <c r="S102" s="2"/>
      <c r="T102" s="2"/>
      <c r="U102" s="2"/>
      <c r="V102" s="2"/>
    </row>
    <row r="103" spans="4:22" ht="14.25" customHeight="1">
      <c r="D103" s="2"/>
      <c r="E103" s="2"/>
      <c r="F103" s="2"/>
      <c r="G103" s="2"/>
      <c r="H103" s="2"/>
      <c r="I103" s="2"/>
      <c r="J103" s="2"/>
      <c r="K103" s="2"/>
      <c r="L103" s="2"/>
      <c r="M103" s="2"/>
      <c r="N103" s="2"/>
      <c r="O103" s="2"/>
      <c r="P103" s="2"/>
      <c r="Q103" s="2"/>
      <c r="R103" s="2"/>
      <c r="S103" s="2"/>
      <c r="T103" s="2"/>
      <c r="U103" s="2"/>
      <c r="V103" s="2"/>
    </row>
    <row r="104" spans="4:22" ht="14.25" customHeight="1">
      <c r="D104" s="2"/>
      <c r="E104" s="2"/>
      <c r="F104" s="2"/>
      <c r="G104" s="2"/>
      <c r="H104" s="2"/>
      <c r="I104" s="2"/>
      <c r="J104" s="2"/>
      <c r="K104" s="2"/>
      <c r="L104" s="2"/>
      <c r="M104" s="2"/>
      <c r="N104" s="2"/>
      <c r="O104" s="2"/>
      <c r="P104" s="2"/>
      <c r="Q104" s="2"/>
      <c r="R104" s="2"/>
      <c r="S104" s="2"/>
      <c r="T104" s="2"/>
      <c r="U104" s="2"/>
      <c r="V104" s="2"/>
    </row>
    <row r="105" spans="4:22" ht="14.25" customHeight="1">
      <c r="D105" s="2"/>
      <c r="E105" s="2"/>
      <c r="F105" s="2"/>
      <c r="G105" s="2"/>
      <c r="H105" s="2"/>
      <c r="I105" s="2"/>
      <c r="J105" s="2"/>
      <c r="K105" s="2"/>
      <c r="L105" s="2"/>
      <c r="M105" s="2"/>
      <c r="N105" s="2"/>
      <c r="O105" s="2"/>
      <c r="P105" s="2"/>
      <c r="Q105" s="2"/>
      <c r="R105" s="2"/>
      <c r="S105" s="2"/>
      <c r="T105" s="2"/>
      <c r="U105" s="2"/>
      <c r="V105" s="2"/>
    </row>
    <row r="106" spans="4:22" ht="14.25" customHeight="1">
      <c r="D106" s="2"/>
      <c r="E106" s="2"/>
      <c r="F106" s="2"/>
      <c r="G106" s="2"/>
      <c r="H106" s="2"/>
      <c r="I106" s="2"/>
      <c r="J106" s="2"/>
      <c r="K106" s="2"/>
      <c r="L106" s="2"/>
      <c r="M106" s="2"/>
      <c r="N106" s="2"/>
      <c r="O106" s="2"/>
      <c r="P106" s="2"/>
      <c r="Q106" s="2"/>
      <c r="R106" s="2"/>
      <c r="S106" s="2"/>
      <c r="T106" s="2"/>
      <c r="U106" s="2"/>
      <c r="V106" s="2"/>
    </row>
    <row r="107" spans="4:22" ht="14.25" customHeight="1">
      <c r="D107" s="2"/>
      <c r="E107" s="2"/>
      <c r="F107" s="2"/>
      <c r="G107" s="2"/>
      <c r="H107" s="2"/>
      <c r="I107" s="2"/>
      <c r="J107" s="2"/>
      <c r="K107" s="2"/>
      <c r="L107" s="2"/>
      <c r="M107" s="2"/>
      <c r="N107" s="2"/>
      <c r="O107" s="2"/>
      <c r="P107" s="2"/>
      <c r="Q107" s="2"/>
      <c r="R107" s="2"/>
      <c r="S107" s="2"/>
      <c r="T107" s="2"/>
      <c r="U107" s="2"/>
      <c r="V107" s="2"/>
    </row>
    <row r="108" spans="4:22" ht="14.25" customHeight="1">
      <c r="D108" s="2"/>
      <c r="E108" s="2"/>
      <c r="F108" s="2"/>
      <c r="G108" s="2"/>
      <c r="H108" s="2"/>
      <c r="I108" s="2"/>
      <c r="J108" s="2"/>
      <c r="K108" s="2"/>
      <c r="L108" s="2"/>
      <c r="M108" s="2"/>
      <c r="N108" s="2"/>
      <c r="O108" s="2"/>
      <c r="P108" s="2"/>
      <c r="Q108" s="2"/>
      <c r="R108" s="2"/>
      <c r="S108" s="2"/>
      <c r="T108" s="2"/>
      <c r="U108" s="2"/>
      <c r="V108" s="2"/>
    </row>
    <row r="109" spans="4:22" ht="14.25" customHeight="1">
      <c r="D109" s="2"/>
      <c r="E109" s="2"/>
      <c r="F109" s="2"/>
      <c r="G109" s="2"/>
      <c r="H109" s="2"/>
      <c r="I109" s="2"/>
      <c r="J109" s="2"/>
      <c r="K109" s="2"/>
      <c r="L109" s="2"/>
      <c r="M109" s="2"/>
      <c r="N109" s="2"/>
      <c r="O109" s="2"/>
      <c r="P109" s="2"/>
      <c r="Q109" s="2"/>
      <c r="R109" s="2"/>
      <c r="S109" s="2"/>
      <c r="T109" s="2"/>
      <c r="U109" s="2"/>
      <c r="V109" s="2"/>
    </row>
    <row r="110" spans="4:22" ht="14.25" customHeight="1">
      <c r="D110" s="2"/>
      <c r="E110" s="2"/>
      <c r="F110" s="2"/>
      <c r="G110" s="2"/>
      <c r="H110" s="2"/>
      <c r="I110" s="2"/>
      <c r="J110" s="2"/>
      <c r="K110" s="2"/>
      <c r="L110" s="2"/>
      <c r="M110" s="2"/>
      <c r="N110" s="2"/>
      <c r="O110" s="2"/>
      <c r="P110" s="2"/>
      <c r="Q110" s="2"/>
      <c r="R110" s="2"/>
      <c r="S110" s="2"/>
      <c r="T110" s="2"/>
      <c r="U110" s="2"/>
      <c r="V110" s="2"/>
    </row>
    <row r="111" spans="4:22" ht="14.25" customHeight="1">
      <c r="D111" s="2"/>
      <c r="E111" s="2"/>
      <c r="F111" s="2"/>
      <c r="G111" s="2"/>
      <c r="H111" s="2"/>
      <c r="I111" s="2"/>
      <c r="J111" s="2"/>
      <c r="K111" s="2"/>
      <c r="L111" s="2"/>
      <c r="M111" s="2"/>
      <c r="N111" s="2"/>
      <c r="O111" s="2"/>
      <c r="P111" s="2"/>
      <c r="Q111" s="2"/>
      <c r="R111" s="2"/>
      <c r="S111" s="2"/>
      <c r="T111" s="2"/>
      <c r="U111" s="2"/>
      <c r="V111" s="2"/>
    </row>
    <row r="112" spans="4:22" ht="14.25" customHeight="1">
      <c r="D112" s="2"/>
      <c r="E112" s="2"/>
      <c r="F112" s="2"/>
      <c r="G112" s="2"/>
      <c r="H112" s="2"/>
      <c r="I112" s="2"/>
      <c r="J112" s="2"/>
      <c r="K112" s="2"/>
      <c r="L112" s="2"/>
      <c r="M112" s="2"/>
      <c r="N112" s="2"/>
      <c r="O112" s="2"/>
      <c r="P112" s="2"/>
      <c r="Q112" s="2"/>
      <c r="R112" s="2"/>
      <c r="S112" s="2"/>
      <c r="T112" s="2"/>
      <c r="U112" s="2"/>
      <c r="V112" s="2"/>
    </row>
    <row r="113" spans="4:22" ht="14.25" customHeight="1">
      <c r="D113" s="2"/>
      <c r="E113" s="2"/>
      <c r="F113" s="2"/>
      <c r="G113" s="2"/>
      <c r="H113" s="2"/>
      <c r="I113" s="2"/>
      <c r="J113" s="2"/>
      <c r="K113" s="2"/>
      <c r="L113" s="2"/>
      <c r="M113" s="2"/>
      <c r="N113" s="2"/>
      <c r="O113" s="2"/>
      <c r="P113" s="2"/>
      <c r="Q113" s="2"/>
      <c r="R113" s="2"/>
      <c r="S113" s="2"/>
      <c r="T113" s="2"/>
      <c r="U113" s="2"/>
      <c r="V113" s="2"/>
    </row>
    <row r="114" spans="4:22" ht="14.25" customHeight="1">
      <c r="D114" s="2"/>
      <c r="E114" s="2"/>
      <c r="F114" s="2"/>
      <c r="G114" s="2"/>
      <c r="H114" s="2"/>
      <c r="I114" s="2"/>
      <c r="J114" s="2"/>
      <c r="K114" s="2"/>
      <c r="L114" s="2"/>
      <c r="M114" s="2"/>
      <c r="N114" s="2"/>
      <c r="O114" s="2"/>
      <c r="P114" s="2"/>
      <c r="Q114" s="2"/>
      <c r="R114" s="2"/>
      <c r="S114" s="2"/>
      <c r="T114" s="2"/>
      <c r="U114" s="2"/>
      <c r="V114" s="2"/>
    </row>
    <row r="115" spans="4:22" ht="14.25" customHeight="1">
      <c r="D115" s="2"/>
      <c r="E115" s="2"/>
      <c r="F115" s="2"/>
      <c r="G115" s="2"/>
      <c r="H115" s="2"/>
      <c r="I115" s="2"/>
      <c r="J115" s="2"/>
      <c r="K115" s="2"/>
      <c r="L115" s="2"/>
      <c r="M115" s="2"/>
      <c r="N115" s="2"/>
      <c r="O115" s="2"/>
      <c r="P115" s="2"/>
      <c r="Q115" s="2"/>
      <c r="R115" s="2"/>
      <c r="S115" s="2"/>
      <c r="T115" s="2"/>
      <c r="U115" s="2"/>
      <c r="V115" s="2"/>
    </row>
    <row r="116" spans="4:22" ht="14.25" customHeight="1">
      <c r="D116" s="2"/>
      <c r="E116" s="2"/>
      <c r="F116" s="2"/>
      <c r="G116" s="2"/>
      <c r="H116" s="2"/>
      <c r="I116" s="2"/>
      <c r="J116" s="2"/>
      <c r="K116" s="2"/>
      <c r="L116" s="2"/>
      <c r="M116" s="2"/>
      <c r="N116" s="2"/>
      <c r="O116" s="2"/>
      <c r="P116" s="2"/>
      <c r="Q116" s="2"/>
      <c r="R116" s="2"/>
      <c r="S116" s="2"/>
      <c r="T116" s="2"/>
      <c r="U116" s="2"/>
      <c r="V116" s="2"/>
    </row>
    <row r="117" spans="4:22" ht="14.25" customHeight="1">
      <c r="D117" s="2"/>
      <c r="E117" s="2"/>
      <c r="F117" s="2"/>
      <c r="G117" s="2"/>
      <c r="H117" s="2"/>
      <c r="I117" s="2"/>
      <c r="J117" s="2"/>
      <c r="K117" s="2"/>
      <c r="L117" s="2"/>
      <c r="M117" s="2"/>
      <c r="N117" s="2"/>
      <c r="O117" s="2"/>
      <c r="P117" s="2"/>
      <c r="Q117" s="2"/>
      <c r="R117" s="2"/>
      <c r="S117" s="2"/>
      <c r="T117" s="2"/>
      <c r="U117" s="2"/>
      <c r="V117" s="2"/>
    </row>
    <row r="118" spans="4:22" ht="14.25" customHeight="1">
      <c r="D118" s="2"/>
      <c r="E118" s="2"/>
      <c r="F118" s="2"/>
      <c r="G118" s="2"/>
      <c r="H118" s="2"/>
      <c r="I118" s="2"/>
      <c r="J118" s="2"/>
      <c r="K118" s="2"/>
      <c r="L118" s="2"/>
      <c r="M118" s="2"/>
      <c r="N118" s="2"/>
      <c r="O118" s="2"/>
      <c r="P118" s="2"/>
      <c r="Q118" s="2"/>
      <c r="R118" s="2"/>
      <c r="S118" s="2"/>
      <c r="T118" s="2"/>
      <c r="U118" s="2"/>
      <c r="V118" s="2"/>
    </row>
    <row r="119" spans="4:22" ht="14.25" customHeight="1">
      <c r="D119" s="2"/>
      <c r="E119" s="2"/>
      <c r="F119" s="2"/>
      <c r="G119" s="2"/>
      <c r="H119" s="2"/>
      <c r="I119" s="2"/>
      <c r="J119" s="2"/>
      <c r="K119" s="2"/>
      <c r="L119" s="2"/>
      <c r="M119" s="2"/>
      <c r="N119" s="2"/>
      <c r="O119" s="2"/>
      <c r="P119" s="2"/>
      <c r="Q119" s="2"/>
      <c r="R119" s="2"/>
      <c r="S119" s="2"/>
      <c r="T119" s="2"/>
      <c r="U119" s="2"/>
      <c r="V119" s="2"/>
    </row>
    <row r="120" spans="4:22" ht="14.25" customHeight="1">
      <c r="D120" s="2"/>
      <c r="E120" s="2"/>
      <c r="F120" s="2"/>
      <c r="G120" s="2"/>
      <c r="H120" s="2"/>
      <c r="I120" s="2"/>
      <c r="J120" s="2"/>
      <c r="K120" s="2"/>
      <c r="L120" s="2"/>
      <c r="M120" s="2"/>
      <c r="N120" s="2"/>
      <c r="O120" s="2"/>
      <c r="P120" s="2"/>
      <c r="Q120" s="2"/>
      <c r="R120" s="2"/>
      <c r="S120" s="2"/>
      <c r="T120" s="2"/>
      <c r="U120" s="2"/>
      <c r="V120" s="2"/>
    </row>
    <row r="121" spans="4:22" ht="14.25" customHeight="1">
      <c r="D121" s="2"/>
      <c r="E121" s="2"/>
      <c r="F121" s="2"/>
      <c r="G121" s="2"/>
      <c r="H121" s="2"/>
      <c r="I121" s="2"/>
      <c r="J121" s="2"/>
      <c r="K121" s="2"/>
      <c r="L121" s="2"/>
      <c r="M121" s="2"/>
      <c r="N121" s="2"/>
      <c r="O121" s="2"/>
      <c r="P121" s="2"/>
      <c r="Q121" s="2"/>
      <c r="R121" s="2"/>
      <c r="S121" s="2"/>
      <c r="T121" s="2"/>
      <c r="U121" s="2"/>
      <c r="V121" s="2"/>
    </row>
    <row r="122" spans="4:22" ht="14.25" customHeight="1">
      <c r="D122" s="2"/>
      <c r="E122" s="2"/>
      <c r="F122" s="2"/>
      <c r="G122" s="2"/>
      <c r="H122" s="2"/>
      <c r="I122" s="2"/>
      <c r="J122" s="2"/>
      <c r="K122" s="2"/>
      <c r="L122" s="2"/>
      <c r="M122" s="2"/>
      <c r="N122" s="2"/>
      <c r="O122" s="2"/>
      <c r="P122" s="2"/>
      <c r="Q122" s="2"/>
      <c r="R122" s="2"/>
      <c r="S122" s="2"/>
      <c r="T122" s="2"/>
      <c r="U122" s="2"/>
      <c r="V122" s="2"/>
    </row>
    <row r="123" spans="4:22" ht="14.25" customHeight="1">
      <c r="D123" s="2"/>
      <c r="E123" s="2"/>
      <c r="F123" s="2"/>
      <c r="G123" s="2"/>
      <c r="H123" s="2"/>
      <c r="I123" s="2"/>
      <c r="J123" s="2"/>
      <c r="K123" s="2"/>
      <c r="L123" s="2"/>
      <c r="M123" s="2"/>
      <c r="N123" s="2"/>
      <c r="O123" s="2"/>
      <c r="P123" s="2"/>
      <c r="Q123" s="2"/>
      <c r="R123" s="2"/>
      <c r="S123" s="2"/>
      <c r="T123" s="2"/>
      <c r="U123" s="2"/>
      <c r="V123" s="2"/>
    </row>
    <row r="124" spans="4:22" ht="14.25" customHeight="1">
      <c r="D124" s="2"/>
      <c r="E124" s="2"/>
      <c r="F124" s="2"/>
      <c r="G124" s="2"/>
      <c r="H124" s="2"/>
      <c r="I124" s="2"/>
      <c r="J124" s="2"/>
      <c r="K124" s="2"/>
      <c r="L124" s="2"/>
      <c r="M124" s="2"/>
      <c r="N124" s="2"/>
      <c r="O124" s="2"/>
      <c r="P124" s="2"/>
      <c r="Q124" s="2"/>
      <c r="R124" s="2"/>
      <c r="S124" s="2"/>
      <c r="T124" s="2"/>
      <c r="U124" s="2"/>
      <c r="V124" s="2"/>
    </row>
    <row r="125" spans="4:22" ht="14.25" customHeight="1">
      <c r="D125" s="2"/>
      <c r="E125" s="2"/>
      <c r="F125" s="2"/>
      <c r="G125" s="2"/>
      <c r="H125" s="2"/>
      <c r="I125" s="2"/>
      <c r="J125" s="2"/>
      <c r="K125" s="2"/>
      <c r="L125" s="2"/>
      <c r="M125" s="2"/>
      <c r="N125" s="2"/>
      <c r="O125" s="2"/>
      <c r="P125" s="2"/>
      <c r="Q125" s="2"/>
      <c r="R125" s="2"/>
      <c r="S125" s="2"/>
      <c r="T125" s="2"/>
      <c r="U125" s="2"/>
      <c r="V125" s="2"/>
    </row>
    <row r="126" spans="4:22" ht="14.25" customHeight="1">
      <c r="D126" s="2"/>
      <c r="E126" s="2"/>
      <c r="F126" s="2"/>
      <c r="G126" s="2"/>
      <c r="H126" s="2"/>
      <c r="I126" s="2"/>
      <c r="J126" s="2"/>
      <c r="K126" s="2"/>
      <c r="L126" s="2"/>
      <c r="M126" s="2"/>
      <c r="N126" s="2"/>
      <c r="O126" s="2"/>
      <c r="P126" s="2"/>
      <c r="Q126" s="2"/>
      <c r="R126" s="2"/>
      <c r="S126" s="2"/>
      <c r="T126" s="2"/>
      <c r="U126" s="2"/>
      <c r="V126" s="2"/>
    </row>
    <row r="127" spans="4:22" ht="14.25" customHeight="1">
      <c r="D127" s="2"/>
      <c r="E127" s="2"/>
      <c r="F127" s="2"/>
      <c r="G127" s="2"/>
      <c r="H127" s="2"/>
      <c r="I127" s="2"/>
      <c r="J127" s="2"/>
      <c r="K127" s="2"/>
      <c r="L127" s="2"/>
      <c r="M127" s="2"/>
      <c r="N127" s="2"/>
      <c r="O127" s="2"/>
      <c r="P127" s="2"/>
      <c r="Q127" s="2"/>
      <c r="R127" s="2"/>
      <c r="S127" s="2"/>
      <c r="T127" s="2"/>
      <c r="U127" s="2"/>
      <c r="V127" s="2"/>
    </row>
    <row r="128" spans="4:22" ht="14.25" customHeight="1">
      <c r="D128" s="2"/>
      <c r="E128" s="2"/>
      <c r="F128" s="2"/>
      <c r="G128" s="2"/>
      <c r="H128" s="2"/>
      <c r="I128" s="2"/>
      <c r="J128" s="2"/>
      <c r="K128" s="2"/>
      <c r="L128" s="2"/>
      <c r="M128" s="2"/>
      <c r="N128" s="2"/>
      <c r="O128" s="2"/>
      <c r="P128" s="2"/>
      <c r="Q128" s="2"/>
      <c r="R128" s="2"/>
      <c r="S128" s="2"/>
      <c r="T128" s="2"/>
      <c r="U128" s="2"/>
      <c r="V128" s="2"/>
    </row>
    <row r="129" spans="4:22" ht="14.25" customHeight="1">
      <c r="D129" s="2"/>
      <c r="E129" s="2"/>
      <c r="F129" s="2"/>
      <c r="G129" s="2"/>
      <c r="H129" s="2"/>
      <c r="I129" s="2"/>
      <c r="J129" s="2"/>
      <c r="K129" s="2"/>
      <c r="L129" s="2"/>
      <c r="M129" s="2"/>
      <c r="N129" s="2"/>
      <c r="O129" s="2"/>
      <c r="P129" s="2"/>
      <c r="Q129" s="2"/>
      <c r="R129" s="2"/>
      <c r="S129" s="2"/>
      <c r="T129" s="2"/>
      <c r="U129" s="2"/>
      <c r="V129" s="2"/>
    </row>
    <row r="130" spans="4:22" ht="14.25" customHeight="1">
      <c r="D130" s="2"/>
      <c r="E130" s="2"/>
      <c r="F130" s="2"/>
      <c r="G130" s="2"/>
      <c r="H130" s="2"/>
      <c r="I130" s="2"/>
      <c r="J130" s="2"/>
      <c r="K130" s="2"/>
      <c r="L130" s="2"/>
      <c r="M130" s="2"/>
      <c r="N130" s="2"/>
      <c r="O130" s="2"/>
      <c r="P130" s="2"/>
      <c r="Q130" s="2"/>
      <c r="R130" s="2"/>
      <c r="S130" s="2"/>
      <c r="T130" s="2"/>
      <c r="U130" s="2"/>
      <c r="V130" s="2"/>
    </row>
    <row r="131" spans="4:22" ht="14.25" customHeight="1">
      <c r="D131" s="2"/>
      <c r="E131" s="2"/>
      <c r="F131" s="2"/>
      <c r="G131" s="2"/>
      <c r="H131" s="2"/>
      <c r="I131" s="2"/>
      <c r="J131" s="2"/>
      <c r="K131" s="2"/>
      <c r="L131" s="2"/>
      <c r="M131" s="2"/>
      <c r="N131" s="2"/>
      <c r="O131" s="2"/>
      <c r="P131" s="2"/>
      <c r="Q131" s="2"/>
      <c r="R131" s="2"/>
      <c r="S131" s="2"/>
      <c r="T131" s="2"/>
      <c r="U131" s="2"/>
      <c r="V131" s="2"/>
    </row>
    <row r="132" spans="4:22" ht="14.25" customHeight="1">
      <c r="D132" s="2"/>
      <c r="E132" s="2"/>
      <c r="F132" s="2"/>
      <c r="G132" s="2"/>
      <c r="H132" s="2"/>
      <c r="I132" s="2"/>
      <c r="J132" s="2"/>
      <c r="K132" s="2"/>
      <c r="L132" s="2"/>
      <c r="M132" s="2"/>
      <c r="N132" s="2"/>
      <c r="O132" s="2"/>
      <c r="P132" s="2"/>
      <c r="Q132" s="2"/>
      <c r="R132" s="2"/>
      <c r="S132" s="2"/>
      <c r="T132" s="2"/>
      <c r="U132" s="2"/>
      <c r="V132" s="2"/>
    </row>
    <row r="133" spans="4:22" ht="14.25" customHeight="1">
      <c r="D133" s="2"/>
      <c r="E133" s="2"/>
      <c r="F133" s="2"/>
      <c r="G133" s="2"/>
      <c r="H133" s="2"/>
      <c r="I133" s="2"/>
      <c r="J133" s="2"/>
      <c r="K133" s="2"/>
      <c r="L133" s="2"/>
      <c r="M133" s="2"/>
      <c r="N133" s="2"/>
      <c r="O133" s="2"/>
      <c r="P133" s="2"/>
      <c r="Q133" s="2"/>
      <c r="R133" s="2"/>
      <c r="S133" s="2"/>
      <c r="T133" s="2"/>
      <c r="U133" s="2"/>
      <c r="V133" s="2"/>
    </row>
    <row r="134" spans="4:22" ht="14.25" customHeight="1">
      <c r="D134" s="2"/>
      <c r="E134" s="2"/>
      <c r="F134" s="2"/>
      <c r="G134" s="2"/>
      <c r="H134" s="2"/>
      <c r="I134" s="2"/>
      <c r="J134" s="2"/>
      <c r="K134" s="2"/>
      <c r="L134" s="2"/>
      <c r="M134" s="2"/>
      <c r="N134" s="2"/>
      <c r="O134" s="2"/>
      <c r="P134" s="2"/>
      <c r="Q134" s="2"/>
      <c r="R134" s="2"/>
      <c r="S134" s="2"/>
      <c r="T134" s="2"/>
      <c r="U134" s="2"/>
      <c r="V134" s="2"/>
    </row>
    <row r="135" spans="4:22" ht="14.25" customHeight="1">
      <c r="D135" s="2"/>
      <c r="E135" s="2"/>
      <c r="F135" s="2"/>
      <c r="G135" s="2"/>
      <c r="H135" s="2"/>
      <c r="I135" s="2"/>
      <c r="J135" s="2"/>
      <c r="K135" s="2"/>
      <c r="L135" s="2"/>
      <c r="M135" s="2"/>
      <c r="N135" s="2"/>
      <c r="O135" s="2"/>
      <c r="P135" s="2"/>
      <c r="Q135" s="2"/>
      <c r="R135" s="2"/>
      <c r="S135" s="2"/>
      <c r="T135" s="2"/>
      <c r="U135" s="2"/>
      <c r="V135" s="2"/>
    </row>
    <row r="136" spans="4:22" ht="14.25" customHeight="1">
      <c r="D136" s="2"/>
      <c r="E136" s="2"/>
      <c r="F136" s="2"/>
      <c r="G136" s="2"/>
      <c r="H136" s="2"/>
      <c r="I136" s="2"/>
      <c r="J136" s="2"/>
      <c r="K136" s="2"/>
      <c r="L136" s="2"/>
      <c r="M136" s="2"/>
      <c r="N136" s="2"/>
      <c r="O136" s="2"/>
      <c r="P136" s="2"/>
      <c r="Q136" s="2"/>
      <c r="R136" s="2"/>
      <c r="S136" s="2"/>
      <c r="T136" s="2"/>
      <c r="U136" s="2"/>
      <c r="V136" s="2"/>
    </row>
    <row r="137" spans="4:22" ht="14.25" customHeight="1">
      <c r="D137" s="2"/>
      <c r="E137" s="2"/>
      <c r="F137" s="2"/>
      <c r="G137" s="2"/>
      <c r="H137" s="2"/>
      <c r="I137" s="2"/>
      <c r="J137" s="2"/>
      <c r="K137" s="2"/>
      <c r="L137" s="2"/>
      <c r="M137" s="2"/>
      <c r="N137" s="2"/>
      <c r="O137" s="2"/>
      <c r="P137" s="2"/>
      <c r="Q137" s="2"/>
      <c r="R137" s="2"/>
      <c r="S137" s="2"/>
      <c r="T137" s="2"/>
      <c r="U137" s="2"/>
      <c r="V137" s="2"/>
    </row>
    <row r="138" spans="4:22" ht="14.25" customHeight="1">
      <c r="D138" s="2"/>
      <c r="E138" s="2"/>
      <c r="F138" s="2"/>
      <c r="G138" s="2"/>
      <c r="H138" s="2"/>
      <c r="I138" s="2"/>
      <c r="J138" s="2"/>
      <c r="K138" s="2"/>
      <c r="L138" s="2"/>
      <c r="M138" s="2"/>
      <c r="N138" s="2"/>
      <c r="O138" s="2"/>
      <c r="P138" s="2"/>
      <c r="Q138" s="2"/>
      <c r="R138" s="2"/>
      <c r="S138" s="2"/>
      <c r="T138" s="2"/>
      <c r="U138" s="2"/>
      <c r="V138" s="2"/>
    </row>
    <row r="139" spans="4:22" ht="14.25" customHeight="1">
      <c r="D139" s="2"/>
      <c r="E139" s="2"/>
      <c r="F139" s="2"/>
      <c r="G139" s="2"/>
      <c r="H139" s="2"/>
      <c r="I139" s="2"/>
      <c r="J139" s="2"/>
      <c r="K139" s="2"/>
      <c r="L139" s="2"/>
      <c r="M139" s="2"/>
      <c r="N139" s="2"/>
      <c r="O139" s="2"/>
      <c r="P139" s="2"/>
      <c r="Q139" s="2"/>
      <c r="R139" s="2"/>
      <c r="S139" s="2"/>
      <c r="T139" s="2"/>
      <c r="U139" s="2"/>
      <c r="V139" s="2"/>
    </row>
    <row r="140" spans="4:22" ht="14.25" customHeight="1">
      <c r="D140" s="2"/>
      <c r="E140" s="2"/>
      <c r="F140" s="2"/>
      <c r="G140" s="2"/>
      <c r="H140" s="2"/>
      <c r="I140" s="2"/>
      <c r="J140" s="2"/>
      <c r="K140" s="2"/>
      <c r="L140" s="2"/>
      <c r="M140" s="2"/>
      <c r="N140" s="2"/>
      <c r="O140" s="2"/>
      <c r="P140" s="2"/>
      <c r="Q140" s="2"/>
      <c r="R140" s="2"/>
      <c r="S140" s="2"/>
      <c r="T140" s="2"/>
      <c r="U140" s="2"/>
      <c r="V140" s="2"/>
    </row>
    <row r="141" spans="4:22" ht="14.25" customHeight="1">
      <c r="D141" s="2"/>
      <c r="E141" s="2"/>
      <c r="F141" s="2"/>
      <c r="G141" s="2"/>
      <c r="H141" s="2"/>
      <c r="I141" s="2"/>
      <c r="J141" s="2"/>
      <c r="K141" s="2"/>
      <c r="L141" s="2"/>
      <c r="M141" s="2"/>
      <c r="N141" s="2"/>
      <c r="O141" s="2"/>
      <c r="P141" s="2"/>
      <c r="Q141" s="2"/>
      <c r="R141" s="2"/>
      <c r="S141" s="2"/>
      <c r="T141" s="2"/>
      <c r="U141" s="2"/>
      <c r="V141" s="2"/>
    </row>
    <row r="142" spans="4:22" ht="14.25" customHeight="1">
      <c r="D142" s="2"/>
      <c r="E142" s="2"/>
      <c r="F142" s="2"/>
      <c r="G142" s="2"/>
      <c r="H142" s="2"/>
      <c r="I142" s="2"/>
      <c r="J142" s="2"/>
      <c r="K142" s="2"/>
      <c r="L142" s="2"/>
      <c r="M142" s="2"/>
      <c r="N142" s="2"/>
      <c r="O142" s="2"/>
      <c r="P142" s="2"/>
      <c r="Q142" s="2"/>
      <c r="R142" s="2"/>
      <c r="S142" s="2"/>
      <c r="T142" s="2"/>
      <c r="U142" s="2"/>
      <c r="V142" s="2"/>
    </row>
    <row r="143" spans="4:22" ht="14.25" customHeight="1">
      <c r="D143" s="2"/>
      <c r="E143" s="2"/>
      <c r="F143" s="2"/>
      <c r="G143" s="2"/>
      <c r="H143" s="2"/>
      <c r="I143" s="2"/>
      <c r="J143" s="2"/>
      <c r="K143" s="2"/>
      <c r="L143" s="2"/>
      <c r="M143" s="2"/>
      <c r="N143" s="2"/>
      <c r="O143" s="2"/>
      <c r="P143" s="2"/>
      <c r="Q143" s="2"/>
      <c r="R143" s="2"/>
      <c r="S143" s="2"/>
      <c r="T143" s="2"/>
      <c r="U143" s="2"/>
      <c r="V143" s="2"/>
    </row>
    <row r="144" spans="4:22" ht="14.25" customHeight="1">
      <c r="D144" s="2"/>
      <c r="E144" s="2"/>
      <c r="F144" s="2"/>
      <c r="G144" s="2"/>
      <c r="H144" s="2"/>
      <c r="I144" s="2"/>
      <c r="J144" s="2"/>
      <c r="K144" s="2"/>
      <c r="L144" s="2"/>
      <c r="M144" s="2"/>
      <c r="N144" s="2"/>
      <c r="O144" s="2"/>
      <c r="P144" s="2"/>
      <c r="Q144" s="2"/>
      <c r="R144" s="2"/>
      <c r="S144" s="2"/>
      <c r="T144" s="2"/>
      <c r="U144" s="2"/>
      <c r="V144" s="2"/>
    </row>
    <row r="145" spans="4:22" ht="14.25" customHeight="1">
      <c r="D145" s="2"/>
      <c r="E145" s="2"/>
      <c r="F145" s="2"/>
      <c r="G145" s="2"/>
      <c r="H145" s="2"/>
      <c r="I145" s="2"/>
      <c r="J145" s="2"/>
      <c r="K145" s="2"/>
      <c r="L145" s="2"/>
      <c r="M145" s="2"/>
      <c r="N145" s="2"/>
      <c r="O145" s="2"/>
      <c r="P145" s="2"/>
      <c r="Q145" s="2"/>
      <c r="R145" s="2"/>
      <c r="S145" s="2"/>
      <c r="T145" s="2"/>
      <c r="U145" s="2"/>
      <c r="V145" s="2"/>
    </row>
    <row r="146" spans="4:22" ht="14.25" customHeight="1">
      <c r="D146" s="2"/>
      <c r="E146" s="2"/>
      <c r="F146" s="2"/>
      <c r="G146" s="2"/>
      <c r="H146" s="2"/>
      <c r="I146" s="2"/>
      <c r="J146" s="2"/>
      <c r="K146" s="2"/>
      <c r="L146" s="2"/>
      <c r="M146" s="2"/>
      <c r="N146" s="2"/>
      <c r="O146" s="2"/>
      <c r="P146" s="2"/>
      <c r="Q146" s="2"/>
      <c r="R146" s="2"/>
      <c r="S146" s="2"/>
      <c r="T146" s="2"/>
      <c r="U146" s="2"/>
      <c r="V146" s="2"/>
    </row>
    <row r="147" spans="4:22" ht="14.25" customHeight="1">
      <c r="D147" s="2"/>
      <c r="E147" s="2"/>
      <c r="F147" s="2"/>
      <c r="G147" s="2"/>
      <c r="H147" s="2"/>
      <c r="I147" s="2"/>
      <c r="J147" s="2"/>
      <c r="K147" s="2"/>
      <c r="L147" s="2"/>
      <c r="M147" s="2"/>
      <c r="N147" s="2"/>
      <c r="O147" s="2"/>
      <c r="P147" s="2"/>
      <c r="Q147" s="2"/>
      <c r="R147" s="2"/>
      <c r="S147" s="2"/>
      <c r="T147" s="2"/>
      <c r="U147" s="2"/>
      <c r="V147" s="2"/>
    </row>
    <row r="148" spans="4:22" ht="14.25" customHeight="1">
      <c r="D148" s="2"/>
      <c r="E148" s="2"/>
      <c r="F148" s="2"/>
      <c r="G148" s="2"/>
      <c r="H148" s="2"/>
      <c r="I148" s="2"/>
      <c r="J148" s="2"/>
      <c r="K148" s="2"/>
      <c r="L148" s="2"/>
      <c r="M148" s="2"/>
      <c r="N148" s="2"/>
      <c r="O148" s="2"/>
      <c r="P148" s="2"/>
      <c r="Q148" s="2"/>
      <c r="R148" s="2"/>
      <c r="S148" s="2"/>
      <c r="T148" s="2"/>
      <c r="U148" s="2"/>
      <c r="V148" s="2"/>
    </row>
    <row r="149" spans="4:22" ht="14.25" customHeight="1">
      <c r="D149" s="2"/>
      <c r="E149" s="2"/>
      <c r="F149" s="2"/>
      <c r="G149" s="2"/>
      <c r="H149" s="2"/>
      <c r="I149" s="2"/>
      <c r="J149" s="2"/>
      <c r="K149" s="2"/>
      <c r="L149" s="2"/>
      <c r="M149" s="2"/>
      <c r="N149" s="2"/>
      <c r="O149" s="2"/>
      <c r="P149" s="2"/>
      <c r="Q149" s="2"/>
      <c r="R149" s="2"/>
      <c r="S149" s="2"/>
      <c r="T149" s="2"/>
      <c r="U149" s="2"/>
      <c r="V149" s="2"/>
    </row>
    <row r="150" spans="4:22" ht="14.25" customHeight="1">
      <c r="D150" s="2"/>
      <c r="E150" s="2"/>
      <c r="F150" s="2"/>
      <c r="G150" s="2"/>
      <c r="H150" s="2"/>
      <c r="I150" s="2"/>
      <c r="J150" s="2"/>
      <c r="K150" s="2"/>
      <c r="L150" s="2"/>
      <c r="M150" s="2"/>
      <c r="N150" s="2"/>
      <c r="O150" s="2"/>
      <c r="P150" s="2"/>
      <c r="Q150" s="2"/>
      <c r="R150" s="2"/>
      <c r="S150" s="2"/>
      <c r="T150" s="2"/>
      <c r="U150" s="2"/>
      <c r="V150" s="2"/>
    </row>
    <row r="151" spans="4:22" ht="14.25" customHeight="1">
      <c r="D151" s="2"/>
      <c r="E151" s="2"/>
      <c r="F151" s="2"/>
      <c r="G151" s="2"/>
      <c r="H151" s="2"/>
      <c r="I151" s="2"/>
      <c r="J151" s="2"/>
      <c r="K151" s="2"/>
      <c r="L151" s="2"/>
      <c r="M151" s="2"/>
      <c r="N151" s="2"/>
      <c r="O151" s="2"/>
      <c r="P151" s="2"/>
      <c r="Q151" s="2"/>
      <c r="R151" s="2"/>
      <c r="S151" s="2"/>
      <c r="T151" s="2"/>
      <c r="U151" s="2"/>
      <c r="V151" s="2"/>
    </row>
    <row r="152" spans="4:22" ht="14.25" customHeight="1">
      <c r="D152" s="2"/>
      <c r="E152" s="2"/>
      <c r="F152" s="2"/>
      <c r="G152" s="2"/>
      <c r="H152" s="2"/>
      <c r="I152" s="2"/>
      <c r="J152" s="2"/>
      <c r="K152" s="2"/>
      <c r="L152" s="2"/>
      <c r="M152" s="2"/>
      <c r="N152" s="2"/>
      <c r="O152" s="2"/>
      <c r="P152" s="2"/>
      <c r="Q152" s="2"/>
      <c r="R152" s="2"/>
      <c r="S152" s="2"/>
      <c r="T152" s="2"/>
      <c r="U152" s="2"/>
      <c r="V152" s="2"/>
    </row>
    <row r="153" spans="4:22" ht="14.25" customHeight="1">
      <c r="D153" s="2"/>
      <c r="E153" s="2"/>
      <c r="F153" s="2"/>
      <c r="G153" s="2"/>
      <c r="H153" s="2"/>
      <c r="I153" s="2"/>
      <c r="J153" s="2"/>
      <c r="K153" s="2"/>
      <c r="L153" s="2"/>
      <c r="M153" s="2"/>
      <c r="N153" s="2"/>
      <c r="O153" s="2"/>
      <c r="P153" s="2"/>
      <c r="Q153" s="2"/>
      <c r="R153" s="2"/>
      <c r="S153" s="2"/>
      <c r="T153" s="2"/>
      <c r="U153" s="2"/>
      <c r="V153" s="2"/>
    </row>
    <row r="154" spans="4:22" ht="14.25" customHeight="1">
      <c r="D154" s="2"/>
      <c r="E154" s="2"/>
      <c r="F154" s="2"/>
      <c r="G154" s="2"/>
      <c r="H154" s="2"/>
      <c r="I154" s="2"/>
      <c r="J154" s="2"/>
      <c r="K154" s="2"/>
      <c r="L154" s="2"/>
      <c r="M154" s="2"/>
      <c r="N154" s="2"/>
      <c r="O154" s="2"/>
      <c r="P154" s="2"/>
      <c r="Q154" s="2"/>
      <c r="R154" s="2"/>
      <c r="S154" s="2"/>
      <c r="T154" s="2"/>
      <c r="U154" s="2"/>
      <c r="V154" s="2"/>
    </row>
    <row r="155" spans="4:22" ht="14.25" customHeight="1">
      <c r="D155" s="2"/>
      <c r="E155" s="2"/>
      <c r="F155" s="2"/>
      <c r="G155" s="2"/>
      <c r="H155" s="2"/>
      <c r="I155" s="2"/>
      <c r="J155" s="2"/>
      <c r="K155" s="2"/>
      <c r="L155" s="2"/>
      <c r="M155" s="2"/>
      <c r="N155" s="2"/>
      <c r="O155" s="2"/>
      <c r="P155" s="2"/>
      <c r="Q155" s="2"/>
      <c r="R155" s="2"/>
      <c r="S155" s="2"/>
      <c r="T155" s="2"/>
      <c r="U155" s="2"/>
      <c r="V155" s="2"/>
    </row>
    <row r="156" spans="4:22" ht="14.25" customHeight="1">
      <c r="D156" s="2"/>
      <c r="E156" s="2"/>
      <c r="F156" s="2"/>
      <c r="G156" s="2"/>
      <c r="H156" s="2"/>
      <c r="I156" s="2"/>
      <c r="J156" s="2"/>
      <c r="K156" s="2"/>
      <c r="L156" s="2"/>
      <c r="M156" s="2"/>
      <c r="N156" s="2"/>
      <c r="O156" s="2"/>
      <c r="P156" s="2"/>
      <c r="Q156" s="2"/>
      <c r="R156" s="2"/>
      <c r="S156" s="2"/>
      <c r="T156" s="2"/>
      <c r="U156" s="2"/>
      <c r="V156" s="2"/>
    </row>
    <row r="157" spans="4:22" ht="14.25" customHeight="1">
      <c r="D157" s="2"/>
      <c r="E157" s="2"/>
      <c r="F157" s="2"/>
      <c r="G157" s="2"/>
      <c r="H157" s="2"/>
      <c r="I157" s="2"/>
      <c r="J157" s="2"/>
      <c r="K157" s="2"/>
      <c r="L157" s="2"/>
      <c r="M157" s="2"/>
      <c r="N157" s="2"/>
      <c r="O157" s="2"/>
      <c r="P157" s="2"/>
      <c r="Q157" s="2"/>
      <c r="R157" s="2"/>
      <c r="S157" s="2"/>
      <c r="T157" s="2"/>
      <c r="U157" s="2"/>
      <c r="V157" s="2"/>
    </row>
    <row r="158" spans="4:22" ht="14.25" customHeight="1">
      <c r="D158" s="2"/>
      <c r="E158" s="2"/>
      <c r="F158" s="2"/>
      <c r="G158" s="2"/>
      <c r="H158" s="2"/>
      <c r="I158" s="2"/>
      <c r="J158" s="2"/>
      <c r="K158" s="2"/>
      <c r="L158" s="2"/>
      <c r="M158" s="2"/>
      <c r="N158" s="2"/>
      <c r="O158" s="2"/>
      <c r="P158" s="2"/>
      <c r="Q158" s="2"/>
      <c r="R158" s="2"/>
      <c r="S158" s="2"/>
      <c r="T158" s="2"/>
      <c r="U158" s="2"/>
      <c r="V158" s="2"/>
    </row>
    <row r="159" spans="4:22" ht="14.25" customHeight="1">
      <c r="D159" s="2"/>
      <c r="E159" s="2"/>
      <c r="F159" s="2"/>
      <c r="G159" s="2"/>
      <c r="H159" s="2"/>
      <c r="I159" s="2"/>
      <c r="J159" s="2"/>
      <c r="K159" s="2"/>
      <c r="L159" s="2"/>
      <c r="M159" s="2"/>
      <c r="N159" s="2"/>
      <c r="O159" s="2"/>
      <c r="P159" s="2"/>
      <c r="Q159" s="2"/>
      <c r="R159" s="2"/>
      <c r="S159" s="2"/>
      <c r="T159" s="2"/>
      <c r="U159" s="2"/>
      <c r="V159" s="2"/>
    </row>
    <row r="160" spans="4:22" ht="14.25" customHeight="1">
      <c r="D160" s="2"/>
      <c r="E160" s="2"/>
      <c r="F160" s="2"/>
      <c r="G160" s="2"/>
      <c r="H160" s="2"/>
      <c r="I160" s="2"/>
      <c r="J160" s="2"/>
      <c r="K160" s="2"/>
      <c r="L160" s="2"/>
      <c r="M160" s="2"/>
      <c r="N160" s="2"/>
      <c r="O160" s="2"/>
      <c r="P160" s="2"/>
      <c r="Q160" s="2"/>
      <c r="R160" s="2"/>
      <c r="S160" s="2"/>
      <c r="T160" s="2"/>
      <c r="U160" s="2"/>
      <c r="V160" s="2"/>
    </row>
    <row r="161" spans="4:22" ht="14.25" customHeight="1">
      <c r="D161" s="2"/>
      <c r="E161" s="2"/>
      <c r="F161" s="2"/>
      <c r="G161" s="2"/>
      <c r="H161" s="2"/>
      <c r="I161" s="2"/>
      <c r="J161" s="2"/>
      <c r="K161" s="2"/>
      <c r="L161" s="2"/>
      <c r="M161" s="2"/>
      <c r="N161" s="2"/>
      <c r="O161" s="2"/>
      <c r="P161" s="2"/>
      <c r="Q161" s="2"/>
      <c r="R161" s="2"/>
      <c r="S161" s="2"/>
      <c r="T161" s="2"/>
      <c r="U161" s="2"/>
      <c r="V161" s="2"/>
    </row>
    <row r="162" spans="4:22" ht="14.25" customHeight="1">
      <c r="D162" s="2"/>
      <c r="E162" s="2"/>
      <c r="F162" s="2"/>
      <c r="G162" s="2"/>
      <c r="H162" s="2"/>
      <c r="I162" s="2"/>
      <c r="J162" s="2"/>
      <c r="K162" s="2"/>
      <c r="L162" s="2"/>
      <c r="M162" s="2"/>
      <c r="N162" s="2"/>
      <c r="O162" s="2"/>
      <c r="P162" s="2"/>
      <c r="Q162" s="2"/>
      <c r="R162" s="2"/>
      <c r="S162" s="2"/>
      <c r="T162" s="2"/>
      <c r="U162" s="2"/>
      <c r="V162" s="2"/>
    </row>
    <row r="163" spans="4:22" ht="14.25" customHeight="1">
      <c r="D163" s="2"/>
      <c r="E163" s="2"/>
      <c r="F163" s="2"/>
      <c r="G163" s="2"/>
      <c r="H163" s="2"/>
      <c r="I163" s="2"/>
      <c r="J163" s="2"/>
      <c r="K163" s="2"/>
      <c r="L163" s="2"/>
      <c r="M163" s="2"/>
      <c r="N163" s="2"/>
      <c r="O163" s="2"/>
      <c r="P163" s="2"/>
      <c r="Q163" s="2"/>
      <c r="R163" s="2"/>
      <c r="S163" s="2"/>
      <c r="T163" s="2"/>
      <c r="U163" s="2"/>
      <c r="V163" s="2"/>
    </row>
    <row r="164" spans="4:22" ht="14.25" customHeight="1">
      <c r="D164" s="2"/>
      <c r="E164" s="2"/>
      <c r="F164" s="2"/>
      <c r="G164" s="2"/>
      <c r="H164" s="2"/>
      <c r="I164" s="2"/>
      <c r="J164" s="2"/>
      <c r="K164" s="2"/>
      <c r="L164" s="2"/>
      <c r="M164" s="2"/>
      <c r="N164" s="2"/>
      <c r="O164" s="2"/>
      <c r="P164" s="2"/>
      <c r="Q164" s="2"/>
      <c r="R164" s="2"/>
      <c r="S164" s="2"/>
      <c r="T164" s="2"/>
      <c r="U164" s="2"/>
      <c r="V164" s="2"/>
    </row>
    <row r="165" spans="4:22" ht="14.25" customHeight="1">
      <c r="D165" s="2"/>
      <c r="E165" s="2"/>
      <c r="F165" s="2"/>
      <c r="G165" s="2"/>
      <c r="H165" s="2"/>
      <c r="I165" s="2"/>
      <c r="J165" s="2"/>
      <c r="K165" s="2"/>
      <c r="L165" s="2"/>
      <c r="M165" s="2"/>
      <c r="N165" s="2"/>
      <c r="O165" s="2"/>
      <c r="P165" s="2"/>
      <c r="Q165" s="2"/>
      <c r="R165" s="2"/>
      <c r="S165" s="2"/>
      <c r="T165" s="2"/>
      <c r="U165" s="2"/>
      <c r="V165" s="2"/>
    </row>
    <row r="166" spans="4:22" ht="14.25" customHeight="1">
      <c r="D166" s="2"/>
      <c r="E166" s="2"/>
      <c r="F166" s="2"/>
      <c r="G166" s="2"/>
      <c r="H166" s="2"/>
      <c r="I166" s="2"/>
      <c r="J166" s="2"/>
      <c r="K166" s="2"/>
      <c r="L166" s="2"/>
      <c r="M166" s="2"/>
      <c r="N166" s="2"/>
      <c r="O166" s="2"/>
      <c r="P166" s="2"/>
      <c r="Q166" s="2"/>
      <c r="R166" s="2"/>
      <c r="S166" s="2"/>
      <c r="T166" s="2"/>
      <c r="U166" s="2"/>
      <c r="V166" s="2"/>
    </row>
    <row r="167" spans="4:22" ht="14.25" customHeight="1">
      <c r="D167" s="2"/>
      <c r="E167" s="2"/>
      <c r="F167" s="2"/>
      <c r="G167" s="2"/>
      <c r="H167" s="2"/>
      <c r="I167" s="2"/>
      <c r="J167" s="2"/>
      <c r="K167" s="2"/>
      <c r="L167" s="2"/>
      <c r="M167" s="2"/>
      <c r="N167" s="2"/>
      <c r="O167" s="2"/>
      <c r="P167" s="2"/>
      <c r="Q167" s="2"/>
      <c r="R167" s="2"/>
      <c r="S167" s="2"/>
      <c r="T167" s="2"/>
      <c r="U167" s="2"/>
      <c r="V167" s="2"/>
    </row>
    <row r="168" spans="4:22" ht="14.25" customHeight="1">
      <c r="D168" s="2"/>
      <c r="E168" s="2"/>
      <c r="F168" s="2"/>
      <c r="G168" s="2"/>
      <c r="H168" s="2"/>
      <c r="I168" s="2"/>
      <c r="J168" s="2"/>
      <c r="K168" s="2"/>
      <c r="L168" s="2"/>
      <c r="M168" s="2"/>
      <c r="N168" s="2"/>
      <c r="O168" s="2"/>
      <c r="P168" s="2"/>
      <c r="Q168" s="2"/>
      <c r="R168" s="2"/>
      <c r="S168" s="2"/>
      <c r="T168" s="2"/>
      <c r="U168" s="2"/>
      <c r="V168" s="2"/>
    </row>
    <row r="169" spans="4:22" ht="14.25" customHeight="1">
      <c r="D169" s="2"/>
      <c r="E169" s="2"/>
      <c r="F169" s="2"/>
      <c r="G169" s="2"/>
      <c r="H169" s="2"/>
      <c r="I169" s="2"/>
      <c r="J169" s="2"/>
      <c r="K169" s="2"/>
      <c r="L169" s="2"/>
      <c r="M169" s="2"/>
      <c r="N169" s="2"/>
      <c r="O169" s="2"/>
      <c r="P169" s="2"/>
      <c r="Q169" s="2"/>
      <c r="R169" s="2"/>
      <c r="S169" s="2"/>
      <c r="T169" s="2"/>
      <c r="U169" s="2"/>
      <c r="V169" s="2"/>
    </row>
    <row r="170" spans="4:22" ht="14.25" customHeight="1">
      <c r="D170" s="2"/>
      <c r="E170" s="2"/>
      <c r="F170" s="2"/>
      <c r="G170" s="2"/>
      <c r="H170" s="2"/>
      <c r="I170" s="2"/>
      <c r="J170" s="2"/>
      <c r="K170" s="2"/>
      <c r="L170" s="2"/>
      <c r="M170" s="2"/>
      <c r="N170" s="2"/>
      <c r="O170" s="2"/>
      <c r="P170" s="2"/>
      <c r="Q170" s="2"/>
      <c r="R170" s="2"/>
      <c r="S170" s="2"/>
      <c r="T170" s="2"/>
      <c r="U170" s="2"/>
      <c r="V170" s="2"/>
    </row>
    <row r="171" spans="4:22" ht="14.25" customHeight="1">
      <c r="D171" s="2"/>
      <c r="E171" s="2"/>
      <c r="F171" s="2"/>
      <c r="G171" s="2"/>
      <c r="H171" s="2"/>
      <c r="I171" s="2"/>
      <c r="J171" s="2"/>
      <c r="K171" s="2"/>
      <c r="L171" s="2"/>
      <c r="M171" s="2"/>
      <c r="N171" s="2"/>
      <c r="O171" s="2"/>
      <c r="P171" s="2"/>
      <c r="Q171" s="2"/>
      <c r="R171" s="2"/>
      <c r="S171" s="2"/>
      <c r="T171" s="2"/>
      <c r="U171" s="2"/>
      <c r="V171" s="2"/>
    </row>
    <row r="172" spans="4:22" ht="14.25" customHeight="1">
      <c r="D172" s="2"/>
      <c r="E172" s="2"/>
      <c r="F172" s="2"/>
      <c r="G172" s="2"/>
      <c r="H172" s="2"/>
      <c r="I172" s="2"/>
      <c r="J172" s="2"/>
      <c r="K172" s="2"/>
      <c r="L172" s="2"/>
      <c r="M172" s="2"/>
      <c r="N172" s="2"/>
      <c r="O172" s="2"/>
      <c r="P172" s="2"/>
      <c r="Q172" s="2"/>
      <c r="R172" s="2"/>
      <c r="S172" s="2"/>
      <c r="T172" s="2"/>
      <c r="U172" s="2"/>
      <c r="V172" s="2"/>
    </row>
    <row r="173" spans="4:22" ht="14.25" customHeight="1">
      <c r="D173" s="2"/>
      <c r="E173" s="2"/>
      <c r="F173" s="2"/>
      <c r="G173" s="2"/>
      <c r="H173" s="2"/>
      <c r="I173" s="2"/>
      <c r="J173" s="2"/>
      <c r="K173" s="2"/>
      <c r="L173" s="2"/>
      <c r="M173" s="2"/>
      <c r="N173" s="2"/>
      <c r="O173" s="2"/>
      <c r="P173" s="2"/>
      <c r="Q173" s="2"/>
      <c r="R173" s="2"/>
      <c r="S173" s="2"/>
      <c r="T173" s="2"/>
      <c r="U173" s="2"/>
      <c r="V173" s="2"/>
    </row>
    <row r="174" spans="4:22" ht="14.25" customHeight="1">
      <c r="D174" s="2"/>
      <c r="E174" s="2"/>
      <c r="F174" s="2"/>
      <c r="G174" s="2"/>
      <c r="H174" s="2"/>
      <c r="I174" s="2"/>
      <c r="J174" s="2"/>
      <c r="K174" s="2"/>
      <c r="L174" s="2"/>
      <c r="M174" s="2"/>
      <c r="N174" s="2"/>
      <c r="O174" s="2"/>
      <c r="P174" s="2"/>
      <c r="Q174" s="2"/>
      <c r="R174" s="2"/>
      <c r="S174" s="2"/>
      <c r="T174" s="2"/>
      <c r="U174" s="2"/>
      <c r="V174" s="2"/>
    </row>
    <row r="175" spans="4:22" ht="14.25" customHeight="1">
      <c r="D175" s="2"/>
      <c r="E175" s="2"/>
      <c r="F175" s="2"/>
      <c r="G175" s="2"/>
      <c r="H175" s="2"/>
      <c r="I175" s="2"/>
      <c r="J175" s="2"/>
      <c r="K175" s="2"/>
      <c r="L175" s="2"/>
      <c r="M175" s="2"/>
      <c r="N175" s="2"/>
      <c r="O175" s="2"/>
      <c r="P175" s="2"/>
      <c r="Q175" s="2"/>
      <c r="R175" s="2"/>
      <c r="S175" s="2"/>
      <c r="T175" s="2"/>
      <c r="U175" s="2"/>
      <c r="V175" s="2"/>
    </row>
    <row r="176" spans="4:22" ht="14.25" customHeight="1">
      <c r="D176" s="2"/>
      <c r="E176" s="2"/>
      <c r="F176" s="2"/>
      <c r="G176" s="2"/>
      <c r="H176" s="2"/>
      <c r="I176" s="2"/>
      <c r="J176" s="2"/>
      <c r="K176" s="2"/>
      <c r="L176" s="2"/>
      <c r="M176" s="2"/>
      <c r="N176" s="2"/>
      <c r="O176" s="2"/>
      <c r="P176" s="2"/>
      <c r="Q176" s="2"/>
      <c r="R176" s="2"/>
      <c r="S176" s="2"/>
      <c r="T176" s="2"/>
      <c r="U176" s="2"/>
      <c r="V176" s="2"/>
    </row>
    <row r="177" spans="4:22" ht="14.25" customHeight="1">
      <c r="D177" s="2"/>
      <c r="E177" s="2"/>
      <c r="F177" s="2"/>
      <c r="G177" s="2"/>
      <c r="H177" s="2"/>
      <c r="I177" s="2"/>
      <c r="J177" s="2"/>
      <c r="K177" s="2"/>
      <c r="L177" s="2"/>
      <c r="M177" s="2"/>
      <c r="N177" s="2"/>
      <c r="O177" s="2"/>
      <c r="P177" s="2"/>
      <c r="Q177" s="2"/>
      <c r="R177" s="2"/>
      <c r="S177" s="2"/>
      <c r="T177" s="2"/>
      <c r="U177" s="2"/>
      <c r="V177" s="2"/>
    </row>
    <row r="178" spans="4:22" ht="14.25" customHeight="1">
      <c r="D178" s="2"/>
      <c r="E178" s="2"/>
      <c r="F178" s="2"/>
      <c r="G178" s="2"/>
      <c r="H178" s="2"/>
      <c r="I178" s="2"/>
      <c r="J178" s="2"/>
      <c r="K178" s="2"/>
      <c r="L178" s="2"/>
      <c r="M178" s="2"/>
      <c r="N178" s="2"/>
      <c r="O178" s="2"/>
      <c r="P178" s="2"/>
      <c r="Q178" s="2"/>
      <c r="R178" s="2"/>
      <c r="S178" s="2"/>
      <c r="T178" s="2"/>
      <c r="U178" s="2"/>
      <c r="V178" s="2"/>
    </row>
    <row r="179" spans="4:22" ht="14.25" customHeight="1">
      <c r="D179" s="2"/>
      <c r="E179" s="2"/>
      <c r="F179" s="2"/>
      <c r="G179" s="2"/>
      <c r="H179" s="2"/>
      <c r="I179" s="2"/>
      <c r="J179" s="2"/>
      <c r="K179" s="2"/>
      <c r="L179" s="2"/>
      <c r="M179" s="2"/>
      <c r="N179" s="2"/>
      <c r="O179" s="2"/>
      <c r="P179" s="2"/>
      <c r="Q179" s="2"/>
      <c r="R179" s="2"/>
      <c r="S179" s="2"/>
      <c r="T179" s="2"/>
      <c r="U179" s="2"/>
      <c r="V179" s="2"/>
    </row>
    <row r="180" spans="4:22" ht="14.25" customHeight="1">
      <c r="D180" s="2"/>
      <c r="E180" s="2"/>
      <c r="F180" s="2"/>
      <c r="G180" s="2"/>
      <c r="H180" s="2"/>
      <c r="I180" s="2"/>
      <c r="J180" s="2"/>
      <c r="K180" s="2"/>
      <c r="L180" s="2"/>
      <c r="M180" s="2"/>
      <c r="N180" s="2"/>
      <c r="O180" s="2"/>
      <c r="P180" s="2"/>
      <c r="Q180" s="2"/>
      <c r="R180" s="2"/>
      <c r="S180" s="2"/>
      <c r="T180" s="2"/>
      <c r="U180" s="2"/>
      <c r="V180" s="2"/>
    </row>
    <row r="181" spans="4:22" ht="14.25" customHeight="1">
      <c r="D181" s="2"/>
      <c r="E181" s="2"/>
      <c r="F181" s="2"/>
      <c r="G181" s="2"/>
      <c r="H181" s="2"/>
      <c r="I181" s="2"/>
      <c r="J181" s="2"/>
      <c r="K181" s="2"/>
      <c r="L181" s="2"/>
      <c r="M181" s="2"/>
      <c r="N181" s="2"/>
      <c r="O181" s="2"/>
      <c r="P181" s="2"/>
      <c r="Q181" s="2"/>
      <c r="R181" s="2"/>
      <c r="S181" s="2"/>
      <c r="T181" s="2"/>
      <c r="U181" s="2"/>
      <c r="V181" s="2"/>
    </row>
    <row r="182" spans="4:22" ht="14.25" customHeight="1">
      <c r="D182" s="2"/>
      <c r="E182" s="2"/>
      <c r="F182" s="2"/>
      <c r="G182" s="2"/>
      <c r="H182" s="2"/>
      <c r="I182" s="2"/>
      <c r="J182" s="2"/>
      <c r="K182" s="2"/>
      <c r="L182" s="2"/>
      <c r="M182" s="2"/>
      <c r="N182" s="2"/>
      <c r="O182" s="2"/>
      <c r="P182" s="2"/>
      <c r="Q182" s="2"/>
      <c r="R182" s="2"/>
      <c r="S182" s="2"/>
      <c r="T182" s="2"/>
      <c r="U182" s="2"/>
      <c r="V182" s="2"/>
    </row>
    <row r="183" spans="4:22" ht="14.25" customHeight="1">
      <c r="D183" s="2"/>
      <c r="E183" s="2"/>
      <c r="F183" s="2"/>
      <c r="G183" s="2"/>
      <c r="H183" s="2"/>
      <c r="I183" s="2"/>
      <c r="J183" s="2"/>
      <c r="K183" s="2"/>
      <c r="L183" s="2"/>
      <c r="M183" s="2"/>
      <c r="N183" s="2"/>
      <c r="O183" s="2"/>
      <c r="P183" s="2"/>
      <c r="Q183" s="2"/>
      <c r="R183" s="2"/>
      <c r="S183" s="2"/>
      <c r="T183" s="2"/>
      <c r="U183" s="2"/>
      <c r="V183" s="2"/>
    </row>
    <row r="184" spans="4:22" ht="14.25" customHeight="1">
      <c r="D184" s="2"/>
      <c r="E184" s="2"/>
      <c r="F184" s="2"/>
      <c r="G184" s="2"/>
      <c r="H184" s="2"/>
      <c r="I184" s="2"/>
      <c r="J184" s="2"/>
      <c r="K184" s="2"/>
      <c r="L184" s="2"/>
      <c r="M184" s="2"/>
      <c r="N184" s="2"/>
      <c r="O184" s="2"/>
      <c r="P184" s="2"/>
      <c r="Q184" s="2"/>
      <c r="R184" s="2"/>
      <c r="S184" s="2"/>
      <c r="T184" s="2"/>
      <c r="U184" s="2"/>
      <c r="V184" s="2"/>
    </row>
    <row r="185" spans="4:22" ht="14.25" customHeight="1">
      <c r="D185" s="2"/>
      <c r="E185" s="2"/>
      <c r="F185" s="2"/>
      <c r="G185" s="2"/>
      <c r="H185" s="2"/>
      <c r="I185" s="2"/>
      <c r="J185" s="2"/>
      <c r="K185" s="2"/>
      <c r="L185" s="2"/>
      <c r="M185" s="2"/>
      <c r="N185" s="2"/>
      <c r="O185" s="2"/>
      <c r="P185" s="2"/>
      <c r="Q185" s="2"/>
      <c r="R185" s="2"/>
      <c r="S185" s="2"/>
      <c r="T185" s="2"/>
      <c r="U185" s="2"/>
      <c r="V185" s="2"/>
    </row>
    <row r="186" spans="4:22" ht="14.25" customHeight="1">
      <c r="D186" s="2"/>
      <c r="E186" s="2"/>
      <c r="F186" s="2"/>
      <c r="G186" s="2"/>
      <c r="H186" s="2"/>
      <c r="I186" s="2"/>
      <c r="J186" s="2"/>
      <c r="K186" s="2"/>
      <c r="L186" s="2"/>
      <c r="M186" s="2"/>
      <c r="N186" s="2"/>
      <c r="O186" s="2"/>
      <c r="P186" s="2"/>
      <c r="Q186" s="2"/>
      <c r="R186" s="2"/>
      <c r="S186" s="2"/>
      <c r="T186" s="2"/>
      <c r="U186" s="2"/>
      <c r="V186" s="2"/>
    </row>
    <row r="187" spans="4:22" ht="14.25" customHeight="1">
      <c r="D187" s="2"/>
      <c r="E187" s="2"/>
      <c r="F187" s="2"/>
      <c r="G187" s="2"/>
      <c r="H187" s="2"/>
      <c r="I187" s="2"/>
      <c r="J187" s="2"/>
      <c r="K187" s="2"/>
      <c r="L187" s="2"/>
      <c r="M187" s="2"/>
      <c r="N187" s="2"/>
      <c r="O187" s="2"/>
      <c r="P187" s="2"/>
      <c r="Q187" s="2"/>
      <c r="R187" s="2"/>
      <c r="S187" s="2"/>
      <c r="T187" s="2"/>
      <c r="U187" s="2"/>
      <c r="V187" s="2"/>
    </row>
    <row r="188" spans="4:22" ht="14.25" customHeight="1">
      <c r="D188" s="2"/>
      <c r="E188" s="2"/>
      <c r="F188" s="2"/>
      <c r="G188" s="2"/>
      <c r="H188" s="2"/>
      <c r="I188" s="2"/>
      <c r="J188" s="2"/>
      <c r="K188" s="2"/>
      <c r="L188" s="2"/>
      <c r="M188" s="2"/>
      <c r="N188" s="2"/>
      <c r="O188" s="2"/>
      <c r="P188" s="2"/>
      <c r="Q188" s="2"/>
      <c r="R188" s="2"/>
      <c r="S188" s="2"/>
      <c r="T188" s="2"/>
      <c r="U188" s="2"/>
      <c r="V188" s="2"/>
    </row>
    <row r="189" spans="4:22" ht="14.25" customHeight="1">
      <c r="D189" s="2"/>
      <c r="E189" s="2"/>
      <c r="F189" s="2"/>
      <c r="G189" s="2"/>
      <c r="H189" s="2"/>
      <c r="I189" s="2"/>
      <c r="J189" s="2"/>
      <c r="K189" s="2"/>
      <c r="L189" s="2"/>
      <c r="M189" s="2"/>
      <c r="N189" s="2"/>
      <c r="O189" s="2"/>
      <c r="P189" s="2"/>
      <c r="Q189" s="2"/>
      <c r="R189" s="2"/>
      <c r="S189" s="2"/>
      <c r="T189" s="2"/>
      <c r="U189" s="2"/>
      <c r="V189" s="2"/>
    </row>
    <row r="190" spans="4:22" ht="14.25" customHeight="1">
      <c r="D190" s="2"/>
      <c r="E190" s="2"/>
      <c r="F190" s="2"/>
      <c r="G190" s="2"/>
      <c r="H190" s="2"/>
      <c r="I190" s="2"/>
      <c r="J190" s="2"/>
      <c r="K190" s="2"/>
      <c r="L190" s="2"/>
      <c r="M190" s="2"/>
      <c r="N190" s="2"/>
      <c r="O190" s="2"/>
      <c r="P190" s="2"/>
      <c r="Q190" s="2"/>
      <c r="R190" s="2"/>
      <c r="S190" s="2"/>
      <c r="T190" s="2"/>
      <c r="U190" s="2"/>
      <c r="V190" s="2"/>
    </row>
    <row r="191" spans="4:22" ht="14.25" customHeight="1">
      <c r="D191" s="2"/>
      <c r="E191" s="2"/>
      <c r="F191" s="2"/>
      <c r="G191" s="2"/>
      <c r="H191" s="2"/>
      <c r="I191" s="2"/>
      <c r="J191" s="2"/>
      <c r="K191" s="2"/>
      <c r="L191" s="2"/>
      <c r="M191" s="2"/>
      <c r="N191" s="2"/>
      <c r="O191" s="2"/>
      <c r="P191" s="2"/>
      <c r="Q191" s="2"/>
      <c r="R191" s="2"/>
      <c r="S191" s="2"/>
      <c r="T191" s="2"/>
      <c r="U191" s="2"/>
      <c r="V191" s="2"/>
    </row>
    <row r="192" spans="4:22" ht="14.25" customHeight="1">
      <c r="D192" s="2"/>
      <c r="E192" s="2"/>
      <c r="F192" s="2"/>
      <c r="G192" s="2"/>
      <c r="H192" s="2"/>
      <c r="I192" s="2"/>
      <c r="J192" s="2"/>
      <c r="K192" s="2"/>
      <c r="L192" s="2"/>
      <c r="M192" s="2"/>
      <c r="N192" s="2"/>
      <c r="O192" s="2"/>
      <c r="P192" s="2"/>
      <c r="Q192" s="2"/>
      <c r="R192" s="2"/>
      <c r="S192" s="2"/>
      <c r="T192" s="2"/>
      <c r="U192" s="2"/>
      <c r="V192" s="2"/>
    </row>
    <row r="193" spans="4:22" ht="14.25" customHeight="1">
      <c r="D193" s="2"/>
      <c r="E193" s="2"/>
      <c r="F193" s="2"/>
      <c r="G193" s="2"/>
      <c r="H193" s="2"/>
      <c r="I193" s="2"/>
      <c r="J193" s="2"/>
      <c r="K193" s="2"/>
      <c r="L193" s="2"/>
      <c r="M193" s="2"/>
      <c r="N193" s="2"/>
      <c r="O193" s="2"/>
      <c r="P193" s="2"/>
      <c r="Q193" s="2"/>
      <c r="R193" s="2"/>
      <c r="S193" s="2"/>
      <c r="T193" s="2"/>
      <c r="U193" s="2"/>
      <c r="V193" s="2"/>
    </row>
    <row r="194" spans="4:22" ht="14.25" customHeight="1">
      <c r="D194" s="2"/>
      <c r="E194" s="2"/>
      <c r="F194" s="2"/>
      <c r="G194" s="2"/>
      <c r="H194" s="2"/>
      <c r="I194" s="2"/>
      <c r="J194" s="2"/>
      <c r="K194" s="2"/>
      <c r="L194" s="2"/>
      <c r="M194" s="2"/>
      <c r="N194" s="2"/>
      <c r="O194" s="2"/>
      <c r="P194" s="2"/>
      <c r="Q194" s="2"/>
      <c r="R194" s="2"/>
      <c r="S194" s="2"/>
      <c r="T194" s="2"/>
      <c r="U194" s="2"/>
      <c r="V194" s="2"/>
    </row>
    <row r="195" spans="4:22" ht="14.25" customHeight="1">
      <c r="D195" s="2"/>
      <c r="E195" s="2"/>
      <c r="F195" s="2"/>
      <c r="G195" s="2"/>
      <c r="H195" s="2"/>
      <c r="I195" s="2"/>
      <c r="J195" s="2"/>
      <c r="K195" s="2"/>
      <c r="L195" s="2"/>
      <c r="M195" s="2"/>
      <c r="N195" s="2"/>
      <c r="O195" s="2"/>
      <c r="P195" s="2"/>
      <c r="Q195" s="2"/>
      <c r="R195" s="2"/>
      <c r="S195" s="2"/>
      <c r="T195" s="2"/>
      <c r="U195" s="2"/>
      <c r="V195" s="2"/>
    </row>
    <row r="196" spans="4:22" ht="14.25" customHeight="1">
      <c r="D196" s="2"/>
      <c r="E196" s="2"/>
      <c r="F196" s="2"/>
      <c r="G196" s="2"/>
      <c r="H196" s="2"/>
      <c r="I196" s="2"/>
      <c r="J196" s="2"/>
      <c r="K196" s="2"/>
      <c r="L196" s="2"/>
      <c r="M196" s="2"/>
      <c r="N196" s="2"/>
      <c r="O196" s="2"/>
      <c r="P196" s="2"/>
      <c r="Q196" s="2"/>
      <c r="R196" s="2"/>
      <c r="S196" s="2"/>
      <c r="T196" s="2"/>
      <c r="U196" s="2"/>
      <c r="V196" s="2"/>
    </row>
    <row r="197" spans="4:22" ht="14.25" customHeight="1">
      <c r="D197" s="2"/>
      <c r="E197" s="2"/>
      <c r="F197" s="2"/>
      <c r="G197" s="2"/>
      <c r="H197" s="2"/>
      <c r="I197" s="2"/>
      <c r="J197" s="2"/>
      <c r="K197" s="2"/>
      <c r="L197" s="2"/>
      <c r="M197" s="2"/>
      <c r="N197" s="2"/>
      <c r="O197" s="2"/>
      <c r="P197" s="2"/>
      <c r="Q197" s="2"/>
      <c r="R197" s="2"/>
      <c r="S197" s="2"/>
      <c r="T197" s="2"/>
      <c r="U197" s="2"/>
      <c r="V197" s="2"/>
    </row>
    <row r="198" spans="4:22" ht="14.25" customHeight="1">
      <c r="D198" s="2"/>
      <c r="E198" s="2"/>
      <c r="F198" s="2"/>
      <c r="G198" s="2"/>
      <c r="H198" s="2"/>
      <c r="I198" s="2"/>
      <c r="J198" s="2"/>
      <c r="K198" s="2"/>
      <c r="L198" s="2"/>
      <c r="M198" s="2"/>
      <c r="N198" s="2"/>
      <c r="O198" s="2"/>
      <c r="P198" s="2"/>
      <c r="Q198" s="2"/>
      <c r="R198" s="2"/>
      <c r="S198" s="2"/>
      <c r="T198" s="2"/>
      <c r="U198" s="2"/>
      <c r="V198" s="2"/>
    </row>
    <row r="199" spans="4:22" ht="14.25" customHeight="1">
      <c r="D199" s="2"/>
      <c r="E199" s="2"/>
      <c r="F199" s="2"/>
      <c r="G199" s="2"/>
      <c r="H199" s="2"/>
      <c r="I199" s="2"/>
      <c r="J199" s="2"/>
      <c r="K199" s="2"/>
      <c r="L199" s="2"/>
      <c r="M199" s="2"/>
      <c r="N199" s="2"/>
      <c r="O199" s="2"/>
      <c r="P199" s="2"/>
      <c r="Q199" s="2"/>
      <c r="R199" s="2"/>
      <c r="S199" s="2"/>
      <c r="T199" s="2"/>
      <c r="U199" s="2"/>
      <c r="V199" s="2"/>
    </row>
    <row r="200" spans="4:22" ht="14.25" customHeight="1">
      <c r="D200" s="2"/>
      <c r="E200" s="2"/>
      <c r="F200" s="2"/>
      <c r="G200" s="2"/>
      <c r="H200" s="2"/>
      <c r="I200" s="2"/>
      <c r="J200" s="2"/>
      <c r="K200" s="2"/>
      <c r="L200" s="2"/>
      <c r="M200" s="2"/>
      <c r="N200" s="2"/>
      <c r="O200" s="2"/>
      <c r="P200" s="2"/>
      <c r="Q200" s="2"/>
      <c r="R200" s="2"/>
      <c r="S200" s="2"/>
      <c r="T200" s="2"/>
      <c r="U200" s="2"/>
      <c r="V200" s="2"/>
    </row>
    <row r="201" spans="4:22" ht="14.25" customHeight="1">
      <c r="D201" s="2"/>
      <c r="E201" s="2"/>
      <c r="F201" s="2"/>
      <c r="G201" s="2"/>
      <c r="H201" s="2"/>
      <c r="I201" s="2"/>
      <c r="J201" s="2"/>
      <c r="K201" s="2"/>
      <c r="L201" s="2"/>
      <c r="M201" s="2"/>
      <c r="N201" s="2"/>
      <c r="O201" s="2"/>
      <c r="P201" s="2"/>
      <c r="Q201" s="2"/>
      <c r="R201" s="2"/>
      <c r="S201" s="2"/>
      <c r="T201" s="2"/>
      <c r="U201" s="2"/>
      <c r="V201" s="2"/>
    </row>
    <row r="202" spans="4:22" ht="14.25" customHeight="1">
      <c r="D202" s="2"/>
      <c r="E202" s="2"/>
      <c r="F202" s="2"/>
      <c r="G202" s="2"/>
      <c r="H202" s="2"/>
      <c r="I202" s="2"/>
      <c r="J202" s="2"/>
      <c r="K202" s="2"/>
      <c r="L202" s="2"/>
      <c r="M202" s="2"/>
      <c r="N202" s="2"/>
      <c r="O202" s="2"/>
      <c r="P202" s="2"/>
      <c r="Q202" s="2"/>
      <c r="R202" s="2"/>
      <c r="S202" s="2"/>
      <c r="T202" s="2"/>
      <c r="U202" s="2"/>
      <c r="V202" s="2"/>
    </row>
    <row r="203" spans="4:22" ht="14.25" customHeight="1">
      <c r="D203" s="2"/>
      <c r="E203" s="2"/>
      <c r="F203" s="2"/>
      <c r="G203" s="2"/>
      <c r="H203" s="2"/>
      <c r="I203" s="2"/>
      <c r="J203" s="2"/>
      <c r="K203" s="2"/>
      <c r="L203" s="2"/>
      <c r="M203" s="2"/>
      <c r="N203" s="2"/>
      <c r="O203" s="2"/>
      <c r="P203" s="2"/>
      <c r="Q203" s="2"/>
      <c r="R203" s="2"/>
      <c r="S203" s="2"/>
      <c r="T203" s="2"/>
      <c r="U203" s="2"/>
      <c r="V203" s="2"/>
    </row>
    <row r="204" spans="4:22" ht="14.25" customHeight="1">
      <c r="D204" s="2"/>
      <c r="E204" s="2"/>
      <c r="F204" s="2"/>
      <c r="G204" s="2"/>
      <c r="H204" s="2"/>
      <c r="I204" s="2"/>
      <c r="J204" s="2"/>
      <c r="K204" s="2"/>
      <c r="L204" s="2"/>
      <c r="M204" s="2"/>
      <c r="N204" s="2"/>
      <c r="O204" s="2"/>
      <c r="P204" s="2"/>
      <c r="Q204" s="2"/>
      <c r="R204" s="2"/>
      <c r="S204" s="2"/>
      <c r="T204" s="2"/>
      <c r="U204" s="2"/>
      <c r="V204" s="2"/>
    </row>
    <row r="205" spans="4:22" ht="14.25" customHeight="1">
      <c r="D205" s="2"/>
      <c r="E205" s="2"/>
      <c r="F205" s="2"/>
      <c r="G205" s="2"/>
      <c r="H205" s="2"/>
      <c r="I205" s="2"/>
      <c r="J205" s="2"/>
      <c r="K205" s="2"/>
      <c r="L205" s="2"/>
      <c r="M205" s="2"/>
      <c r="N205" s="2"/>
      <c r="O205" s="2"/>
      <c r="P205" s="2"/>
      <c r="Q205" s="2"/>
      <c r="R205" s="2"/>
      <c r="S205" s="2"/>
      <c r="T205" s="2"/>
      <c r="U205" s="2"/>
      <c r="V205" s="2"/>
    </row>
    <row r="206" spans="4:22" ht="14.25" customHeight="1">
      <c r="D206" s="2"/>
      <c r="E206" s="2"/>
      <c r="F206" s="2"/>
      <c r="G206" s="2"/>
      <c r="H206" s="2"/>
      <c r="I206" s="2"/>
      <c r="J206" s="2"/>
      <c r="K206" s="2"/>
      <c r="L206" s="2"/>
      <c r="M206" s="2"/>
      <c r="N206" s="2"/>
      <c r="O206" s="2"/>
      <c r="P206" s="2"/>
      <c r="Q206" s="2"/>
      <c r="R206" s="2"/>
      <c r="S206" s="2"/>
      <c r="T206" s="2"/>
      <c r="U206" s="2"/>
      <c r="V206" s="2"/>
    </row>
    <row r="207" spans="4:22" ht="14.25" customHeight="1">
      <c r="D207" s="2"/>
      <c r="E207" s="2"/>
      <c r="F207" s="2"/>
      <c r="G207" s="2"/>
      <c r="H207" s="2"/>
      <c r="I207" s="2"/>
      <c r="J207" s="2"/>
      <c r="K207" s="2"/>
      <c r="L207" s="2"/>
      <c r="M207" s="2"/>
      <c r="N207" s="2"/>
      <c r="O207" s="2"/>
      <c r="P207" s="2"/>
      <c r="Q207" s="2"/>
      <c r="R207" s="2"/>
      <c r="S207" s="2"/>
      <c r="T207" s="2"/>
      <c r="U207" s="2"/>
      <c r="V207" s="2"/>
    </row>
    <row r="208" spans="4:22" ht="14.25" customHeight="1">
      <c r="D208" s="2"/>
      <c r="E208" s="2"/>
      <c r="F208" s="2"/>
      <c r="G208" s="2"/>
      <c r="H208" s="2"/>
      <c r="I208" s="2"/>
      <c r="J208" s="2"/>
      <c r="K208" s="2"/>
      <c r="L208" s="2"/>
      <c r="M208" s="2"/>
      <c r="N208" s="2"/>
      <c r="O208" s="2"/>
      <c r="P208" s="2"/>
      <c r="Q208" s="2"/>
      <c r="R208" s="2"/>
      <c r="S208" s="2"/>
      <c r="T208" s="2"/>
      <c r="U208" s="2"/>
      <c r="V208" s="2"/>
    </row>
    <row r="209" spans="4:22" ht="14.25" customHeight="1">
      <c r="D209" s="2"/>
      <c r="E209" s="2"/>
      <c r="F209" s="2"/>
      <c r="G209" s="2"/>
      <c r="H209" s="2"/>
      <c r="I209" s="2"/>
      <c r="J209" s="2"/>
      <c r="K209" s="2"/>
      <c r="L209" s="2"/>
      <c r="M209" s="2"/>
      <c r="N209" s="2"/>
      <c r="O209" s="2"/>
      <c r="P209" s="2"/>
      <c r="Q209" s="2"/>
      <c r="R209" s="2"/>
      <c r="S209" s="2"/>
      <c r="T209" s="2"/>
      <c r="U209" s="2"/>
      <c r="V209" s="2"/>
    </row>
    <row r="210" spans="4:22" ht="14.25" customHeight="1">
      <c r="D210" s="2"/>
      <c r="E210" s="2"/>
      <c r="F210" s="2"/>
      <c r="G210" s="2"/>
      <c r="H210" s="2"/>
      <c r="I210" s="2"/>
      <c r="J210" s="2"/>
      <c r="K210" s="2"/>
      <c r="L210" s="2"/>
      <c r="M210" s="2"/>
      <c r="N210" s="2"/>
      <c r="O210" s="2"/>
      <c r="P210" s="2"/>
      <c r="Q210" s="2"/>
      <c r="R210" s="2"/>
      <c r="S210" s="2"/>
      <c r="T210" s="2"/>
      <c r="U210" s="2"/>
      <c r="V210" s="2"/>
    </row>
    <row r="211" spans="4:22" ht="14.25" customHeight="1">
      <c r="D211" s="2"/>
      <c r="E211" s="2"/>
      <c r="F211" s="2"/>
      <c r="G211" s="2"/>
      <c r="H211" s="2"/>
      <c r="I211" s="2"/>
      <c r="J211" s="2"/>
      <c r="K211" s="2"/>
      <c r="L211" s="2"/>
      <c r="M211" s="2"/>
      <c r="N211" s="2"/>
      <c r="O211" s="2"/>
      <c r="P211" s="2"/>
      <c r="Q211" s="2"/>
      <c r="R211" s="2"/>
      <c r="S211" s="2"/>
      <c r="T211" s="2"/>
      <c r="U211" s="2"/>
      <c r="V211" s="2"/>
    </row>
    <row r="212" spans="4:22" ht="14.25" customHeight="1">
      <c r="D212" s="2"/>
      <c r="E212" s="2"/>
      <c r="F212" s="2"/>
      <c r="G212" s="2"/>
      <c r="H212" s="2"/>
      <c r="I212" s="2"/>
      <c r="J212" s="2"/>
      <c r="K212" s="2"/>
      <c r="L212" s="2"/>
      <c r="M212" s="2"/>
      <c r="N212" s="2"/>
      <c r="O212" s="2"/>
      <c r="P212" s="2"/>
      <c r="Q212" s="2"/>
      <c r="R212" s="2"/>
      <c r="S212" s="2"/>
      <c r="T212" s="2"/>
      <c r="U212" s="2"/>
      <c r="V212" s="2"/>
    </row>
    <row r="213" spans="4:22" ht="14.25" customHeight="1">
      <c r="D213" s="2"/>
      <c r="E213" s="2"/>
      <c r="F213" s="2"/>
      <c r="G213" s="2"/>
      <c r="H213" s="2"/>
      <c r="I213" s="2"/>
      <c r="J213" s="2"/>
      <c r="K213" s="2"/>
      <c r="L213" s="2"/>
      <c r="M213" s="2"/>
      <c r="N213" s="2"/>
      <c r="O213" s="2"/>
      <c r="P213" s="2"/>
      <c r="Q213" s="2"/>
      <c r="R213" s="2"/>
      <c r="S213" s="2"/>
      <c r="T213" s="2"/>
      <c r="U213" s="2"/>
      <c r="V213" s="2"/>
    </row>
    <row r="214" spans="4:22" ht="14.25" customHeight="1">
      <c r="D214" s="2"/>
      <c r="E214" s="2"/>
      <c r="F214" s="2"/>
      <c r="G214" s="2"/>
      <c r="H214" s="2"/>
      <c r="I214" s="2"/>
      <c r="J214" s="2"/>
      <c r="K214" s="2"/>
      <c r="L214" s="2"/>
      <c r="M214" s="2"/>
      <c r="N214" s="2"/>
      <c r="O214" s="2"/>
      <c r="P214" s="2"/>
      <c r="Q214" s="2"/>
      <c r="R214" s="2"/>
      <c r="S214" s="2"/>
      <c r="T214" s="2"/>
      <c r="U214" s="2"/>
      <c r="V214" s="2"/>
    </row>
    <row r="215" spans="4:22" ht="14.25" customHeight="1">
      <c r="D215" s="2"/>
      <c r="E215" s="2"/>
      <c r="F215" s="2"/>
      <c r="G215" s="2"/>
      <c r="H215" s="2"/>
      <c r="I215" s="2"/>
      <c r="J215" s="2"/>
      <c r="K215" s="2"/>
      <c r="L215" s="2"/>
      <c r="M215" s="2"/>
      <c r="N215" s="2"/>
      <c r="O215" s="2"/>
      <c r="P215" s="2"/>
      <c r="Q215" s="2"/>
      <c r="R215" s="2"/>
      <c r="S215" s="2"/>
      <c r="T215" s="2"/>
      <c r="U215" s="2"/>
      <c r="V215" s="2"/>
    </row>
    <row r="216" spans="4:22" ht="14.25" customHeight="1">
      <c r="D216" s="2"/>
      <c r="E216" s="2"/>
      <c r="F216" s="2"/>
      <c r="G216" s="2"/>
      <c r="H216" s="2"/>
      <c r="I216" s="2"/>
      <c r="J216" s="2"/>
      <c r="K216" s="2"/>
      <c r="L216" s="2"/>
      <c r="M216" s="2"/>
      <c r="N216" s="2"/>
      <c r="O216" s="2"/>
      <c r="P216" s="2"/>
      <c r="Q216" s="2"/>
      <c r="R216" s="2"/>
      <c r="S216" s="2"/>
      <c r="T216" s="2"/>
      <c r="U216" s="2"/>
      <c r="V216" s="2"/>
    </row>
    <row r="217" spans="4:22" ht="14.25" customHeight="1">
      <c r="D217" s="2"/>
      <c r="E217" s="2"/>
      <c r="F217" s="2"/>
      <c r="G217" s="2"/>
      <c r="H217" s="2"/>
      <c r="I217" s="2"/>
      <c r="J217" s="2"/>
      <c r="K217" s="2"/>
      <c r="L217" s="2"/>
      <c r="M217" s="2"/>
      <c r="N217" s="2"/>
      <c r="O217" s="2"/>
      <c r="P217" s="2"/>
      <c r="Q217" s="2"/>
      <c r="R217" s="2"/>
      <c r="S217" s="2"/>
      <c r="T217" s="2"/>
      <c r="U217" s="2"/>
      <c r="V217" s="2"/>
    </row>
    <row r="218" spans="4:22" ht="14.25" customHeight="1">
      <c r="D218" s="2"/>
      <c r="E218" s="2"/>
      <c r="F218" s="2"/>
      <c r="G218" s="2"/>
      <c r="H218" s="2"/>
      <c r="I218" s="2"/>
      <c r="J218" s="2"/>
      <c r="K218" s="2"/>
      <c r="L218" s="2"/>
      <c r="M218" s="2"/>
      <c r="N218" s="2"/>
      <c r="O218" s="2"/>
      <c r="P218" s="2"/>
      <c r="Q218" s="2"/>
      <c r="R218" s="2"/>
      <c r="S218" s="2"/>
      <c r="T218" s="2"/>
      <c r="U218" s="2"/>
      <c r="V218" s="2"/>
    </row>
    <row r="219" spans="4:22" ht="14.25" customHeight="1">
      <c r="D219" s="2"/>
      <c r="E219" s="2"/>
      <c r="F219" s="2"/>
      <c r="G219" s="2"/>
      <c r="H219" s="2"/>
      <c r="I219" s="2"/>
      <c r="J219" s="2"/>
      <c r="K219" s="2"/>
      <c r="L219" s="2"/>
      <c r="M219" s="2"/>
      <c r="N219" s="2"/>
      <c r="O219" s="2"/>
      <c r="P219" s="2"/>
      <c r="Q219" s="2"/>
      <c r="R219" s="2"/>
      <c r="S219" s="2"/>
      <c r="T219" s="2"/>
      <c r="U219" s="2"/>
      <c r="V219" s="2"/>
    </row>
    <row r="220" spans="4:22" ht="14.25" customHeight="1">
      <c r="D220" s="2"/>
      <c r="E220" s="2"/>
      <c r="F220" s="2"/>
      <c r="G220" s="2"/>
      <c r="H220" s="2"/>
      <c r="I220" s="2"/>
      <c r="J220" s="2"/>
      <c r="K220" s="2"/>
      <c r="L220" s="2"/>
      <c r="M220" s="2"/>
      <c r="N220" s="2"/>
      <c r="O220" s="2"/>
      <c r="P220" s="2"/>
      <c r="Q220" s="2"/>
      <c r="R220" s="2"/>
      <c r="S220" s="2"/>
      <c r="T220" s="2"/>
      <c r="U220" s="2"/>
      <c r="V220" s="2"/>
    </row>
    <row r="221" spans="4:22" ht="14.25" customHeight="1">
      <c r="D221" s="2"/>
      <c r="E221" s="2"/>
      <c r="F221" s="2"/>
      <c r="G221" s="2"/>
      <c r="H221" s="2"/>
      <c r="I221" s="2"/>
      <c r="J221" s="2"/>
      <c r="K221" s="2"/>
      <c r="L221" s="2"/>
      <c r="M221" s="2"/>
      <c r="N221" s="2"/>
      <c r="O221" s="2"/>
      <c r="P221" s="2"/>
      <c r="Q221" s="2"/>
      <c r="R221" s="2"/>
      <c r="S221" s="2"/>
      <c r="T221" s="2"/>
      <c r="U221" s="2"/>
      <c r="V221" s="2"/>
    </row>
    <row r="222" spans="4:22" ht="14.25" customHeight="1">
      <c r="D222" s="2"/>
      <c r="E222" s="2"/>
      <c r="F222" s="2"/>
      <c r="G222" s="2"/>
      <c r="H222" s="2"/>
      <c r="I222" s="2"/>
      <c r="J222" s="2"/>
      <c r="K222" s="2"/>
      <c r="L222" s="2"/>
      <c r="M222" s="2"/>
      <c r="N222" s="2"/>
      <c r="O222" s="2"/>
      <c r="P222" s="2"/>
      <c r="Q222" s="2"/>
      <c r="R222" s="2"/>
      <c r="S222" s="2"/>
      <c r="T222" s="2"/>
      <c r="U222" s="2"/>
      <c r="V222" s="2"/>
    </row>
    <row r="223" spans="4:22" ht="14.25" customHeight="1">
      <c r="D223" s="2"/>
      <c r="E223" s="2"/>
      <c r="F223" s="2"/>
      <c r="G223" s="2"/>
      <c r="H223" s="2"/>
      <c r="I223" s="2"/>
      <c r="J223" s="2"/>
      <c r="K223" s="2"/>
      <c r="L223" s="2"/>
      <c r="M223" s="2"/>
      <c r="N223" s="2"/>
      <c r="O223" s="2"/>
      <c r="P223" s="2"/>
      <c r="Q223" s="2"/>
      <c r="R223" s="2"/>
      <c r="S223" s="2"/>
      <c r="T223" s="2"/>
      <c r="U223" s="2"/>
      <c r="V223" s="2"/>
    </row>
    <row r="224" spans="4:22" ht="14.25" customHeight="1">
      <c r="D224" s="2"/>
      <c r="E224" s="2"/>
      <c r="F224" s="2"/>
      <c r="G224" s="2"/>
      <c r="H224" s="2"/>
      <c r="I224" s="2"/>
      <c r="J224" s="2"/>
      <c r="K224" s="2"/>
      <c r="L224" s="2"/>
      <c r="M224" s="2"/>
      <c r="N224" s="2"/>
      <c r="O224" s="2"/>
      <c r="P224" s="2"/>
      <c r="Q224" s="2"/>
      <c r="R224" s="2"/>
      <c r="S224" s="2"/>
      <c r="T224" s="2"/>
      <c r="U224" s="2"/>
      <c r="V224" s="2"/>
    </row>
    <row r="225" spans="4:22" ht="14.25" customHeight="1">
      <c r="D225" s="2"/>
      <c r="E225" s="2"/>
      <c r="F225" s="2"/>
      <c r="G225" s="2"/>
      <c r="H225" s="2"/>
      <c r="I225" s="2"/>
      <c r="J225" s="2"/>
      <c r="K225" s="2"/>
      <c r="L225" s="2"/>
      <c r="M225" s="2"/>
      <c r="N225" s="2"/>
      <c r="O225" s="2"/>
      <c r="P225" s="2"/>
      <c r="Q225" s="2"/>
      <c r="R225" s="2"/>
      <c r="S225" s="2"/>
      <c r="T225" s="2"/>
      <c r="U225" s="2"/>
      <c r="V225" s="2"/>
    </row>
    <row r="226" spans="4:22" ht="14.25" customHeight="1">
      <c r="D226" s="2"/>
      <c r="E226" s="2"/>
      <c r="F226" s="2"/>
      <c r="G226" s="2"/>
      <c r="H226" s="2"/>
      <c r="I226" s="2"/>
      <c r="J226" s="2"/>
      <c r="K226" s="2"/>
      <c r="L226" s="2"/>
      <c r="M226" s="2"/>
      <c r="N226" s="2"/>
      <c r="O226" s="2"/>
      <c r="P226" s="2"/>
      <c r="Q226" s="2"/>
      <c r="R226" s="2"/>
      <c r="S226" s="2"/>
      <c r="T226" s="2"/>
      <c r="U226" s="2"/>
      <c r="V226" s="2"/>
    </row>
    <row r="227" spans="4:22" ht="14.25" customHeight="1">
      <c r="D227" s="2"/>
      <c r="E227" s="2"/>
      <c r="F227" s="2"/>
      <c r="G227" s="2"/>
      <c r="H227" s="2"/>
      <c r="I227" s="2"/>
      <c r="J227" s="2"/>
      <c r="K227" s="2"/>
      <c r="L227" s="2"/>
      <c r="M227" s="2"/>
      <c r="N227" s="2"/>
      <c r="O227" s="2"/>
      <c r="P227" s="2"/>
      <c r="Q227" s="2"/>
      <c r="R227" s="2"/>
      <c r="S227" s="2"/>
      <c r="T227" s="2"/>
      <c r="U227" s="2"/>
      <c r="V227" s="2"/>
    </row>
    <row r="228" spans="4:22" ht="14.25" customHeight="1">
      <c r="D228" s="2"/>
      <c r="E228" s="2"/>
      <c r="F228" s="2"/>
      <c r="G228" s="2"/>
      <c r="H228" s="2"/>
      <c r="I228" s="2"/>
      <c r="J228" s="2"/>
      <c r="K228" s="2"/>
      <c r="L228" s="2"/>
      <c r="M228" s="2"/>
      <c r="N228" s="2"/>
      <c r="O228" s="2"/>
      <c r="P228" s="2"/>
      <c r="Q228" s="2"/>
      <c r="R228" s="2"/>
      <c r="S228" s="2"/>
      <c r="T228" s="2"/>
      <c r="U228" s="2"/>
      <c r="V228" s="2"/>
    </row>
    <row r="229" spans="4:22" ht="14.25" customHeight="1">
      <c r="D229" s="2"/>
      <c r="E229" s="2"/>
      <c r="F229" s="2"/>
      <c r="G229" s="2"/>
      <c r="H229" s="2"/>
      <c r="I229" s="2"/>
      <c r="J229" s="2"/>
      <c r="K229" s="2"/>
      <c r="L229" s="2"/>
      <c r="M229" s="2"/>
      <c r="N229" s="2"/>
      <c r="O229" s="2"/>
      <c r="P229" s="2"/>
      <c r="Q229" s="2"/>
      <c r="R229" s="2"/>
      <c r="S229" s="2"/>
      <c r="T229" s="2"/>
      <c r="U229" s="2"/>
      <c r="V229" s="2"/>
    </row>
    <row r="230" spans="4:22" ht="14.25" customHeight="1">
      <c r="D230" s="2"/>
      <c r="E230" s="2"/>
      <c r="F230" s="2"/>
      <c r="G230" s="2"/>
      <c r="H230" s="2"/>
      <c r="I230" s="2"/>
      <c r="J230" s="2"/>
      <c r="K230" s="2"/>
      <c r="L230" s="2"/>
      <c r="M230" s="2"/>
      <c r="N230" s="2"/>
      <c r="O230" s="2"/>
      <c r="P230" s="2"/>
      <c r="Q230" s="2"/>
      <c r="R230" s="2"/>
      <c r="S230" s="2"/>
      <c r="T230" s="2"/>
      <c r="U230" s="2"/>
      <c r="V230" s="2"/>
    </row>
    <row r="231" spans="4:22" ht="14.25" customHeight="1">
      <c r="D231" s="2"/>
      <c r="E231" s="2"/>
      <c r="F231" s="2"/>
      <c r="G231" s="2"/>
      <c r="H231" s="2"/>
      <c r="I231" s="2"/>
      <c r="J231" s="2"/>
      <c r="K231" s="2"/>
      <c r="L231" s="2"/>
      <c r="M231" s="2"/>
      <c r="N231" s="2"/>
      <c r="O231" s="2"/>
      <c r="P231" s="2"/>
      <c r="Q231" s="2"/>
      <c r="R231" s="2"/>
      <c r="S231" s="2"/>
      <c r="T231" s="2"/>
      <c r="U231" s="2"/>
      <c r="V231" s="2"/>
    </row>
    <row r="232" spans="4:22" ht="14.25" customHeight="1">
      <c r="D232" s="2"/>
      <c r="E232" s="2"/>
      <c r="F232" s="2"/>
      <c r="G232" s="2"/>
      <c r="H232" s="2"/>
      <c r="I232" s="2"/>
      <c r="J232" s="2"/>
      <c r="K232" s="2"/>
      <c r="L232" s="2"/>
      <c r="M232" s="2"/>
      <c r="N232" s="2"/>
      <c r="O232" s="2"/>
      <c r="P232" s="2"/>
      <c r="Q232" s="2"/>
      <c r="R232" s="2"/>
      <c r="S232" s="2"/>
      <c r="T232" s="2"/>
      <c r="U232" s="2"/>
      <c r="V232" s="2"/>
    </row>
    <row r="233" spans="4:22" ht="14.25" customHeight="1">
      <c r="D233" s="2"/>
      <c r="E233" s="2"/>
      <c r="F233" s="2"/>
      <c r="G233" s="2"/>
      <c r="H233" s="2"/>
      <c r="I233" s="2"/>
      <c r="J233" s="2"/>
      <c r="K233" s="2"/>
      <c r="L233" s="2"/>
      <c r="M233" s="2"/>
      <c r="N233" s="2"/>
      <c r="O233" s="2"/>
      <c r="P233" s="2"/>
      <c r="Q233" s="2"/>
      <c r="R233" s="2"/>
      <c r="S233" s="2"/>
      <c r="T233" s="2"/>
      <c r="U233" s="2"/>
      <c r="V233" s="2"/>
    </row>
    <row r="234" spans="4:22" ht="14.25" customHeight="1">
      <c r="D234" s="2"/>
      <c r="E234" s="2"/>
      <c r="F234" s="2"/>
      <c r="G234" s="2"/>
      <c r="H234" s="2"/>
      <c r="I234" s="2"/>
      <c r="J234" s="2"/>
      <c r="K234" s="2"/>
      <c r="L234" s="2"/>
      <c r="M234" s="2"/>
      <c r="N234" s="2"/>
      <c r="O234" s="2"/>
      <c r="P234" s="2"/>
      <c r="Q234" s="2"/>
      <c r="R234" s="2"/>
      <c r="S234" s="2"/>
      <c r="T234" s="2"/>
      <c r="U234" s="2"/>
      <c r="V234" s="2"/>
    </row>
    <row r="235" spans="4:22" ht="14.25" customHeight="1">
      <c r="D235" s="2"/>
      <c r="E235" s="2"/>
      <c r="F235" s="2"/>
      <c r="G235" s="2"/>
      <c r="H235" s="2"/>
      <c r="I235" s="2"/>
      <c r="J235" s="2"/>
      <c r="K235" s="2"/>
      <c r="L235" s="2"/>
      <c r="M235" s="2"/>
      <c r="N235" s="2"/>
      <c r="O235" s="2"/>
      <c r="P235" s="2"/>
      <c r="Q235" s="2"/>
      <c r="R235" s="2"/>
      <c r="S235" s="2"/>
      <c r="T235" s="2"/>
      <c r="U235" s="2"/>
      <c r="V235" s="2"/>
    </row>
    <row r="236" spans="4:22" ht="14.25" customHeight="1">
      <c r="D236" s="2"/>
      <c r="E236" s="2"/>
      <c r="F236" s="2"/>
      <c r="G236" s="2"/>
      <c r="H236" s="2"/>
      <c r="I236" s="2"/>
      <c r="J236" s="2"/>
      <c r="K236" s="2"/>
      <c r="L236" s="2"/>
      <c r="M236" s="2"/>
      <c r="N236" s="2"/>
      <c r="O236" s="2"/>
      <c r="P236" s="2"/>
      <c r="Q236" s="2"/>
      <c r="R236" s="2"/>
      <c r="S236" s="2"/>
      <c r="T236" s="2"/>
      <c r="U236" s="2"/>
      <c r="V236" s="2"/>
    </row>
    <row r="237" spans="4:22" ht="14.25" customHeight="1">
      <c r="D237" s="2"/>
      <c r="E237" s="2"/>
      <c r="F237" s="2"/>
      <c r="G237" s="2"/>
      <c r="H237" s="2"/>
      <c r="I237" s="2"/>
      <c r="J237" s="2"/>
      <c r="K237" s="2"/>
      <c r="L237" s="2"/>
      <c r="M237" s="2"/>
      <c r="N237" s="2"/>
      <c r="O237" s="2"/>
      <c r="P237" s="2"/>
      <c r="Q237" s="2"/>
      <c r="R237" s="2"/>
      <c r="S237" s="2"/>
      <c r="T237" s="2"/>
      <c r="U237" s="2"/>
      <c r="V237" s="2"/>
    </row>
    <row r="238" spans="4:22" ht="14.25" customHeight="1">
      <c r="D238" s="2"/>
      <c r="E238" s="2"/>
      <c r="F238" s="2"/>
      <c r="G238" s="2"/>
      <c r="H238" s="2"/>
      <c r="I238" s="2"/>
      <c r="J238" s="2"/>
      <c r="K238" s="2"/>
      <c r="L238" s="2"/>
      <c r="M238" s="2"/>
      <c r="N238" s="2"/>
      <c r="O238" s="2"/>
      <c r="P238" s="2"/>
      <c r="Q238" s="2"/>
      <c r="R238" s="2"/>
      <c r="S238" s="2"/>
      <c r="T238" s="2"/>
      <c r="U238" s="2"/>
      <c r="V238" s="2"/>
    </row>
    <row r="239" spans="4:22" ht="14.25" customHeight="1">
      <c r="D239" s="2"/>
      <c r="E239" s="2"/>
      <c r="F239" s="2"/>
      <c r="G239" s="2"/>
      <c r="H239" s="2"/>
      <c r="I239" s="2"/>
      <c r="J239" s="2"/>
      <c r="K239" s="2"/>
      <c r="L239" s="2"/>
      <c r="M239" s="2"/>
      <c r="N239" s="2"/>
      <c r="O239" s="2"/>
      <c r="P239" s="2"/>
      <c r="Q239" s="2"/>
      <c r="R239" s="2"/>
      <c r="S239" s="2"/>
      <c r="T239" s="2"/>
      <c r="U239" s="2"/>
      <c r="V239" s="2"/>
    </row>
    <row r="240" spans="4:22" ht="14.25" customHeight="1">
      <c r="D240" s="2"/>
      <c r="E240" s="2"/>
      <c r="F240" s="2"/>
      <c r="G240" s="2"/>
      <c r="H240" s="2"/>
      <c r="I240" s="2"/>
      <c r="J240" s="2"/>
      <c r="K240" s="2"/>
      <c r="L240" s="2"/>
      <c r="M240" s="2"/>
      <c r="N240" s="2"/>
      <c r="O240" s="2"/>
      <c r="P240" s="2"/>
      <c r="Q240" s="2"/>
      <c r="R240" s="2"/>
      <c r="S240" s="2"/>
      <c r="T240" s="2"/>
      <c r="U240" s="2"/>
      <c r="V240" s="2"/>
    </row>
    <row r="241" spans="4:22" ht="14.25" customHeight="1">
      <c r="D241" s="2"/>
      <c r="E241" s="2"/>
      <c r="F241" s="2"/>
      <c r="G241" s="2"/>
      <c r="H241" s="2"/>
      <c r="I241" s="2"/>
      <c r="J241" s="2"/>
      <c r="K241" s="2"/>
      <c r="L241" s="2"/>
      <c r="M241" s="2"/>
      <c r="N241" s="2"/>
      <c r="O241" s="2"/>
      <c r="P241" s="2"/>
      <c r="Q241" s="2"/>
      <c r="R241" s="2"/>
      <c r="S241" s="2"/>
      <c r="T241" s="2"/>
      <c r="U241" s="2"/>
      <c r="V241" s="2"/>
    </row>
    <row r="242" spans="4:22" ht="14.25" customHeight="1">
      <c r="D242" s="2"/>
      <c r="E242" s="2"/>
      <c r="F242" s="2"/>
      <c r="G242" s="2"/>
      <c r="H242" s="2"/>
      <c r="I242" s="2"/>
      <c r="J242" s="2"/>
      <c r="K242" s="2"/>
      <c r="L242" s="2"/>
      <c r="M242" s="2"/>
      <c r="N242" s="2"/>
      <c r="O242" s="2"/>
      <c r="P242" s="2"/>
      <c r="Q242" s="2"/>
      <c r="R242" s="2"/>
      <c r="S242" s="2"/>
      <c r="T242" s="2"/>
      <c r="U242" s="2"/>
      <c r="V242" s="2"/>
    </row>
    <row r="243" spans="4:22" ht="14.25" customHeight="1">
      <c r="D243" s="2"/>
      <c r="E243" s="2"/>
      <c r="F243" s="2"/>
      <c r="G243" s="2"/>
      <c r="H243" s="2"/>
      <c r="I243" s="2"/>
      <c r="J243" s="2"/>
      <c r="K243" s="2"/>
      <c r="L243" s="2"/>
      <c r="M243" s="2"/>
      <c r="N243" s="2"/>
      <c r="O243" s="2"/>
      <c r="P243" s="2"/>
      <c r="Q243" s="2"/>
      <c r="R243" s="2"/>
      <c r="S243" s="2"/>
      <c r="T243" s="2"/>
      <c r="U243" s="2"/>
      <c r="V243" s="2"/>
    </row>
    <row r="244" spans="4:22" ht="14.25" customHeight="1">
      <c r="D244" s="2"/>
      <c r="E244" s="2"/>
      <c r="F244" s="2"/>
      <c r="G244" s="2"/>
      <c r="H244" s="2"/>
      <c r="I244" s="2"/>
      <c r="J244" s="2"/>
      <c r="K244" s="2"/>
      <c r="L244" s="2"/>
      <c r="M244" s="2"/>
      <c r="N244" s="2"/>
      <c r="O244" s="2"/>
      <c r="P244" s="2"/>
      <c r="Q244" s="2"/>
      <c r="R244" s="2"/>
      <c r="S244" s="2"/>
      <c r="T244" s="2"/>
      <c r="U244" s="2"/>
      <c r="V244" s="2"/>
    </row>
    <row r="245" spans="4:22" ht="14.25" customHeight="1">
      <c r="D245" s="2"/>
      <c r="E245" s="2"/>
      <c r="F245" s="2"/>
      <c r="G245" s="2"/>
      <c r="H245" s="2"/>
      <c r="I245" s="2"/>
      <c r="J245" s="2"/>
      <c r="K245" s="2"/>
      <c r="L245" s="2"/>
      <c r="M245" s="2"/>
      <c r="N245" s="2"/>
      <c r="O245" s="2"/>
      <c r="P245" s="2"/>
      <c r="Q245" s="2"/>
      <c r="R245" s="2"/>
      <c r="S245" s="2"/>
      <c r="T245" s="2"/>
      <c r="U245" s="2"/>
      <c r="V245" s="2"/>
    </row>
    <row r="246" spans="4:22" ht="14.25" customHeight="1">
      <c r="D246" s="2"/>
      <c r="E246" s="2"/>
      <c r="F246" s="2"/>
      <c r="G246" s="2"/>
      <c r="H246" s="2"/>
      <c r="I246" s="2"/>
      <c r="J246" s="2"/>
      <c r="K246" s="2"/>
      <c r="L246" s="2"/>
      <c r="M246" s="2"/>
      <c r="N246" s="2"/>
      <c r="O246" s="2"/>
      <c r="P246" s="2"/>
      <c r="Q246" s="2"/>
      <c r="R246" s="2"/>
      <c r="S246" s="2"/>
      <c r="T246" s="2"/>
      <c r="U246" s="2"/>
      <c r="V246" s="2"/>
    </row>
    <row r="247" spans="4:22" ht="14.25" customHeight="1">
      <c r="D247" s="2"/>
      <c r="E247" s="2"/>
      <c r="F247" s="2"/>
      <c r="G247" s="2"/>
      <c r="H247" s="2"/>
      <c r="I247" s="2"/>
      <c r="J247" s="2"/>
      <c r="K247" s="2"/>
      <c r="L247" s="2"/>
      <c r="M247" s="2"/>
      <c r="N247" s="2"/>
      <c r="O247" s="2"/>
      <c r="P247" s="2"/>
      <c r="Q247" s="2"/>
      <c r="R247" s="2"/>
      <c r="S247" s="2"/>
      <c r="T247" s="2"/>
      <c r="U247" s="2"/>
      <c r="V247" s="2"/>
    </row>
    <row r="248" spans="4:22" ht="14.25" customHeight="1">
      <c r="D248" s="2"/>
      <c r="E248" s="2"/>
      <c r="F248" s="2"/>
      <c r="G248" s="2"/>
      <c r="H248" s="2"/>
      <c r="I248" s="2"/>
      <c r="J248" s="2"/>
      <c r="K248" s="2"/>
      <c r="L248" s="2"/>
      <c r="M248" s="2"/>
      <c r="N248" s="2"/>
      <c r="O248" s="2"/>
      <c r="P248" s="2"/>
      <c r="Q248" s="2"/>
      <c r="R248" s="2"/>
      <c r="S248" s="2"/>
      <c r="T248" s="2"/>
      <c r="U248" s="2"/>
      <c r="V248" s="2"/>
    </row>
    <row r="249" spans="4:22" ht="14.25" customHeight="1">
      <c r="D249" s="2"/>
      <c r="E249" s="2"/>
      <c r="F249" s="2"/>
      <c r="G249" s="2"/>
      <c r="H249" s="2"/>
      <c r="I249" s="2"/>
      <c r="J249" s="2"/>
      <c r="K249" s="2"/>
      <c r="L249" s="2"/>
      <c r="M249" s="2"/>
      <c r="N249" s="2"/>
      <c r="O249" s="2"/>
      <c r="P249" s="2"/>
      <c r="Q249" s="2"/>
      <c r="R249" s="2"/>
      <c r="S249" s="2"/>
      <c r="T249" s="2"/>
      <c r="U249" s="2"/>
      <c r="V249" s="2"/>
    </row>
    <row r="250" spans="4:22" ht="14.25" customHeight="1">
      <c r="D250" s="2"/>
      <c r="E250" s="2"/>
      <c r="F250" s="2"/>
      <c r="G250" s="2"/>
      <c r="H250" s="2"/>
      <c r="I250" s="2"/>
      <c r="J250" s="2"/>
      <c r="K250" s="2"/>
      <c r="L250" s="2"/>
      <c r="M250" s="2"/>
      <c r="N250" s="2"/>
      <c r="O250" s="2"/>
      <c r="P250" s="2"/>
      <c r="Q250" s="2"/>
      <c r="R250" s="2"/>
      <c r="S250" s="2"/>
      <c r="T250" s="2"/>
      <c r="U250" s="2"/>
      <c r="V250" s="2"/>
    </row>
    <row r="251" spans="4:22" ht="14.25" customHeight="1">
      <c r="D251" s="2"/>
      <c r="E251" s="2"/>
      <c r="F251" s="2"/>
      <c r="G251" s="2"/>
      <c r="H251" s="2"/>
      <c r="I251" s="2"/>
      <c r="J251" s="2"/>
      <c r="K251" s="2"/>
      <c r="L251" s="2"/>
      <c r="M251" s="2"/>
      <c r="N251" s="2"/>
      <c r="O251" s="2"/>
      <c r="P251" s="2"/>
      <c r="Q251" s="2"/>
      <c r="R251" s="2"/>
      <c r="S251" s="2"/>
      <c r="T251" s="2"/>
      <c r="U251" s="2"/>
      <c r="V251" s="2"/>
    </row>
    <row r="252" spans="4:22" ht="14.25" customHeight="1">
      <c r="D252" s="2"/>
      <c r="E252" s="2"/>
      <c r="F252" s="2"/>
      <c r="G252" s="2"/>
      <c r="H252" s="2"/>
      <c r="I252" s="2"/>
      <c r="J252" s="2"/>
      <c r="K252" s="2"/>
      <c r="L252" s="2"/>
      <c r="M252" s="2"/>
      <c r="N252" s="2"/>
      <c r="O252" s="2"/>
      <c r="P252" s="2"/>
      <c r="Q252" s="2"/>
      <c r="R252" s="2"/>
      <c r="S252" s="2"/>
      <c r="T252" s="2"/>
      <c r="U252" s="2"/>
      <c r="V252" s="2"/>
    </row>
    <row r="253" spans="4:22" ht="14.25" customHeight="1">
      <c r="D253" s="2"/>
      <c r="E253" s="2"/>
      <c r="F253" s="2"/>
      <c r="G253" s="2"/>
      <c r="H253" s="2"/>
      <c r="I253" s="2"/>
      <c r="J253" s="2"/>
      <c r="K253" s="2"/>
      <c r="L253" s="2"/>
      <c r="M253" s="2"/>
      <c r="N253" s="2"/>
      <c r="O253" s="2"/>
      <c r="P253" s="2"/>
      <c r="Q253" s="2"/>
      <c r="R253" s="2"/>
      <c r="S253" s="2"/>
      <c r="T253" s="2"/>
      <c r="U253" s="2"/>
      <c r="V253" s="2"/>
    </row>
    <row r="254" spans="4:22" ht="14.25" customHeight="1">
      <c r="D254" s="2"/>
      <c r="E254" s="2"/>
      <c r="F254" s="2"/>
      <c r="G254" s="2"/>
      <c r="H254" s="2"/>
      <c r="I254" s="2"/>
      <c r="J254" s="2"/>
      <c r="K254" s="2"/>
      <c r="L254" s="2"/>
      <c r="M254" s="2"/>
      <c r="N254" s="2"/>
      <c r="O254" s="2"/>
      <c r="P254" s="2"/>
      <c r="Q254" s="2"/>
      <c r="R254" s="2"/>
      <c r="S254" s="2"/>
      <c r="T254" s="2"/>
      <c r="U254" s="2"/>
      <c r="V254" s="2"/>
    </row>
    <row r="255" spans="4:22" ht="14.25" customHeight="1">
      <c r="D255" s="2"/>
      <c r="E255" s="2"/>
      <c r="F255" s="2"/>
      <c r="G255" s="2"/>
      <c r="H255" s="2"/>
      <c r="I255" s="2"/>
      <c r="J255" s="2"/>
      <c r="K255" s="2"/>
      <c r="L255" s="2"/>
      <c r="M255" s="2"/>
      <c r="N255" s="2"/>
      <c r="O255" s="2"/>
      <c r="P255" s="2"/>
      <c r="Q255" s="2"/>
      <c r="R255" s="2"/>
      <c r="S255" s="2"/>
      <c r="T255" s="2"/>
      <c r="U255" s="2"/>
      <c r="V255" s="2"/>
    </row>
    <row r="256" spans="4:22" ht="14.25" customHeight="1">
      <c r="D256" s="2"/>
      <c r="E256" s="2"/>
      <c r="F256" s="2"/>
      <c r="G256" s="2"/>
      <c r="H256" s="2"/>
      <c r="I256" s="2"/>
      <c r="J256" s="2"/>
      <c r="K256" s="2"/>
      <c r="L256" s="2"/>
      <c r="M256" s="2"/>
      <c r="N256" s="2"/>
      <c r="O256" s="2"/>
      <c r="P256" s="2"/>
      <c r="Q256" s="2"/>
      <c r="R256" s="2"/>
      <c r="S256" s="2"/>
      <c r="T256" s="2"/>
      <c r="U256" s="2"/>
      <c r="V256" s="2"/>
    </row>
    <row r="257" spans="4:22" ht="14.25" customHeight="1">
      <c r="D257" s="2"/>
      <c r="E257" s="2"/>
      <c r="F257" s="2"/>
      <c r="G257" s="2"/>
      <c r="H257" s="2"/>
      <c r="I257" s="2"/>
      <c r="J257" s="2"/>
      <c r="K257" s="2"/>
      <c r="L257" s="2"/>
      <c r="M257" s="2"/>
      <c r="N257" s="2"/>
      <c r="O257" s="2"/>
      <c r="P257" s="2"/>
      <c r="Q257" s="2"/>
      <c r="R257" s="2"/>
      <c r="S257" s="2"/>
      <c r="T257" s="2"/>
      <c r="U257" s="2"/>
      <c r="V257" s="2"/>
    </row>
    <row r="258" spans="4:22" ht="14.25" customHeight="1">
      <c r="D258" s="2"/>
      <c r="E258" s="2"/>
      <c r="F258" s="2"/>
      <c r="G258" s="2"/>
      <c r="H258" s="2"/>
      <c r="I258" s="2"/>
      <c r="J258" s="2"/>
      <c r="K258" s="2"/>
      <c r="L258" s="2"/>
      <c r="M258" s="2"/>
      <c r="N258" s="2"/>
      <c r="O258" s="2"/>
      <c r="P258" s="2"/>
      <c r="Q258" s="2"/>
      <c r="R258" s="2"/>
      <c r="S258" s="2"/>
      <c r="T258" s="2"/>
      <c r="U258" s="2"/>
      <c r="V258" s="2"/>
    </row>
    <row r="259" spans="4:22" ht="14.25" customHeight="1">
      <c r="D259" s="2"/>
      <c r="E259" s="2"/>
      <c r="F259" s="2"/>
      <c r="G259" s="2"/>
      <c r="H259" s="2"/>
      <c r="I259" s="2"/>
      <c r="J259" s="2"/>
      <c r="K259" s="2"/>
      <c r="L259" s="2"/>
      <c r="M259" s="2"/>
      <c r="N259" s="2"/>
      <c r="O259" s="2"/>
      <c r="P259" s="2"/>
      <c r="Q259" s="2"/>
      <c r="R259" s="2"/>
      <c r="S259" s="2"/>
      <c r="T259" s="2"/>
      <c r="U259" s="2"/>
      <c r="V259" s="2"/>
    </row>
    <row r="260" spans="4:22" ht="14.25" customHeight="1">
      <c r="D260" s="2"/>
      <c r="E260" s="2"/>
      <c r="F260" s="2"/>
      <c r="G260" s="2"/>
      <c r="H260" s="2"/>
      <c r="I260" s="2"/>
      <c r="J260" s="2"/>
      <c r="K260" s="2"/>
      <c r="L260" s="2"/>
      <c r="M260" s="2"/>
      <c r="N260" s="2"/>
      <c r="O260" s="2"/>
      <c r="P260" s="2"/>
      <c r="Q260" s="2"/>
      <c r="R260" s="2"/>
      <c r="S260" s="2"/>
      <c r="T260" s="2"/>
      <c r="U260" s="2"/>
      <c r="V260" s="2"/>
    </row>
    <row r="261" spans="4:22" ht="14.25" customHeight="1">
      <c r="D261" s="2"/>
      <c r="E261" s="2"/>
      <c r="F261" s="2"/>
      <c r="G261" s="2"/>
      <c r="H261" s="2"/>
      <c r="I261" s="2"/>
      <c r="J261" s="2"/>
      <c r="K261" s="2"/>
      <c r="L261" s="2"/>
      <c r="M261" s="2"/>
      <c r="N261" s="2"/>
      <c r="O261" s="2"/>
      <c r="P261" s="2"/>
      <c r="Q261" s="2"/>
      <c r="R261" s="2"/>
      <c r="S261" s="2"/>
      <c r="T261" s="2"/>
      <c r="U261" s="2"/>
      <c r="V261" s="2"/>
    </row>
    <row r="262" spans="4:22" ht="14.25" customHeight="1">
      <c r="D262" s="2"/>
      <c r="E262" s="2"/>
      <c r="F262" s="2"/>
      <c r="G262" s="2"/>
      <c r="H262" s="2"/>
      <c r="I262" s="2"/>
      <c r="J262" s="2"/>
      <c r="K262" s="2"/>
      <c r="L262" s="2"/>
      <c r="M262" s="2"/>
      <c r="N262" s="2"/>
      <c r="O262" s="2"/>
      <c r="P262" s="2"/>
      <c r="Q262" s="2"/>
      <c r="R262" s="2"/>
      <c r="S262" s="2"/>
      <c r="T262" s="2"/>
      <c r="U262" s="2"/>
      <c r="V262" s="2"/>
    </row>
    <row r="263" spans="4:22" ht="14.25" customHeight="1">
      <c r="D263" s="2"/>
      <c r="E263" s="2"/>
      <c r="F263" s="2"/>
      <c r="G263" s="2"/>
      <c r="H263" s="2"/>
      <c r="I263" s="2"/>
      <c r="J263" s="2"/>
      <c r="K263" s="2"/>
      <c r="L263" s="2"/>
      <c r="M263" s="2"/>
      <c r="N263" s="2"/>
      <c r="O263" s="2"/>
      <c r="P263" s="2"/>
      <c r="Q263" s="2"/>
      <c r="R263" s="2"/>
      <c r="S263" s="2"/>
      <c r="T263" s="2"/>
      <c r="U263" s="2"/>
      <c r="V263" s="2"/>
    </row>
    <row r="264" spans="4:22" ht="14.25" customHeight="1">
      <c r="D264" s="2"/>
      <c r="E264" s="2"/>
      <c r="F264" s="2"/>
      <c r="G264" s="2"/>
      <c r="H264" s="2"/>
      <c r="I264" s="2"/>
      <c r="J264" s="2"/>
      <c r="K264" s="2"/>
      <c r="L264" s="2"/>
      <c r="M264" s="2"/>
      <c r="N264" s="2"/>
      <c r="O264" s="2"/>
      <c r="P264" s="2"/>
      <c r="Q264" s="2"/>
      <c r="R264" s="2"/>
      <c r="S264" s="2"/>
      <c r="T264" s="2"/>
      <c r="U264" s="2"/>
      <c r="V264" s="2"/>
    </row>
    <row r="265" spans="4:22" ht="14.25" customHeight="1">
      <c r="D265" s="2"/>
      <c r="E265" s="2"/>
      <c r="F265" s="2"/>
      <c r="G265" s="2"/>
      <c r="H265" s="2"/>
      <c r="I265" s="2"/>
      <c r="J265" s="2"/>
      <c r="K265" s="2"/>
      <c r="L265" s="2"/>
      <c r="M265" s="2"/>
      <c r="N265" s="2"/>
      <c r="O265" s="2"/>
      <c r="P265" s="2"/>
      <c r="Q265" s="2"/>
      <c r="R265" s="2"/>
      <c r="S265" s="2"/>
      <c r="T265" s="2"/>
      <c r="U265" s="2"/>
      <c r="V265" s="2"/>
    </row>
    <row r="266" spans="4:22" ht="14.25" customHeight="1">
      <c r="D266" s="2"/>
      <c r="E266" s="2"/>
      <c r="F266" s="2"/>
      <c r="G266" s="2"/>
      <c r="H266" s="2"/>
      <c r="I266" s="2"/>
      <c r="J266" s="2"/>
      <c r="K266" s="2"/>
      <c r="L266" s="2"/>
      <c r="M266" s="2"/>
      <c r="N266" s="2"/>
      <c r="O266" s="2"/>
      <c r="P266" s="2"/>
      <c r="Q266" s="2"/>
      <c r="R266" s="2"/>
      <c r="S266" s="2"/>
      <c r="T266" s="2"/>
      <c r="U266" s="2"/>
      <c r="V266" s="2"/>
    </row>
    <row r="267" spans="4:22" ht="14.25" customHeight="1">
      <c r="D267" s="2"/>
      <c r="E267" s="2"/>
      <c r="F267" s="2"/>
      <c r="G267" s="2"/>
      <c r="H267" s="2"/>
      <c r="I267" s="2"/>
      <c r="J267" s="2"/>
      <c r="K267" s="2"/>
      <c r="L267" s="2"/>
      <c r="M267" s="2"/>
      <c r="N267" s="2"/>
      <c r="O267" s="2"/>
      <c r="P267" s="2"/>
      <c r="Q267" s="2"/>
      <c r="R267" s="2"/>
      <c r="S267" s="2"/>
      <c r="T267" s="2"/>
      <c r="U267" s="2"/>
      <c r="V267" s="2"/>
    </row>
    <row r="268" spans="4:22" ht="14.25" customHeight="1">
      <c r="D268" s="2"/>
      <c r="E268" s="2"/>
      <c r="F268" s="2"/>
      <c r="G268" s="2"/>
      <c r="H268" s="2"/>
      <c r="I268" s="2"/>
      <c r="J268" s="2"/>
      <c r="K268" s="2"/>
      <c r="L268" s="2"/>
      <c r="M268" s="2"/>
      <c r="N268" s="2"/>
      <c r="O268" s="2"/>
      <c r="P268" s="2"/>
      <c r="Q268" s="2"/>
      <c r="R268" s="2"/>
      <c r="S268" s="2"/>
      <c r="T268" s="2"/>
      <c r="U268" s="2"/>
      <c r="V268" s="2"/>
    </row>
    <row r="269" spans="4:22" ht="14.25" customHeight="1">
      <c r="D269" s="2"/>
      <c r="E269" s="2"/>
      <c r="F269" s="2"/>
      <c r="G269" s="2"/>
      <c r="H269" s="2"/>
      <c r="I269" s="2"/>
      <c r="J269" s="2"/>
      <c r="K269" s="2"/>
      <c r="L269" s="2"/>
      <c r="M269" s="2"/>
      <c r="N269" s="2"/>
      <c r="O269" s="2"/>
      <c r="P269" s="2"/>
      <c r="Q269" s="2"/>
      <c r="R269" s="2"/>
      <c r="S269" s="2"/>
      <c r="T269" s="2"/>
      <c r="U269" s="2"/>
      <c r="V269" s="2"/>
    </row>
    <row r="270" spans="4:22" ht="14.25" customHeight="1">
      <c r="D270" s="2"/>
      <c r="E270" s="2"/>
      <c r="F270" s="2"/>
      <c r="G270" s="2"/>
      <c r="H270" s="2"/>
      <c r="I270" s="2"/>
      <c r="J270" s="2"/>
      <c r="K270" s="2"/>
      <c r="L270" s="2"/>
      <c r="M270" s="2"/>
      <c r="N270" s="2"/>
      <c r="O270" s="2"/>
      <c r="P270" s="2"/>
      <c r="Q270" s="2"/>
      <c r="R270" s="2"/>
      <c r="S270" s="2"/>
      <c r="T270" s="2"/>
      <c r="U270" s="2"/>
      <c r="V270" s="2"/>
    </row>
    <row r="271" spans="4:22" ht="14.25" customHeight="1">
      <c r="D271" s="2"/>
      <c r="E271" s="2"/>
      <c r="F271" s="2"/>
      <c r="G271" s="2"/>
      <c r="H271" s="2"/>
      <c r="I271" s="2"/>
      <c r="J271" s="2"/>
      <c r="K271" s="2"/>
      <c r="L271" s="2"/>
      <c r="M271" s="2"/>
      <c r="N271" s="2"/>
      <c r="O271" s="2"/>
      <c r="P271" s="2"/>
      <c r="Q271" s="2"/>
      <c r="R271" s="2"/>
      <c r="S271" s="2"/>
      <c r="T271" s="2"/>
      <c r="U271" s="2"/>
      <c r="V271" s="2"/>
    </row>
    <row r="272" spans="4:22" ht="14.25" customHeight="1">
      <c r="D272" s="2"/>
      <c r="E272" s="2"/>
      <c r="F272" s="2"/>
      <c r="G272" s="2"/>
      <c r="H272" s="2"/>
      <c r="I272" s="2"/>
      <c r="J272" s="2"/>
      <c r="K272" s="2"/>
      <c r="L272" s="2"/>
      <c r="M272" s="2"/>
      <c r="N272" s="2"/>
      <c r="O272" s="2"/>
      <c r="P272" s="2"/>
      <c r="Q272" s="2"/>
      <c r="R272" s="2"/>
      <c r="S272" s="2"/>
      <c r="T272" s="2"/>
      <c r="U272" s="2"/>
      <c r="V272" s="2"/>
    </row>
    <row r="273" spans="4:22" ht="14.25" customHeight="1">
      <c r="D273" s="2"/>
      <c r="E273" s="2"/>
      <c r="F273" s="2"/>
      <c r="G273" s="2"/>
      <c r="H273" s="2"/>
      <c r="I273" s="2"/>
      <c r="J273" s="2"/>
      <c r="K273" s="2"/>
      <c r="L273" s="2"/>
      <c r="M273" s="2"/>
      <c r="N273" s="2"/>
      <c r="O273" s="2"/>
      <c r="P273" s="2"/>
      <c r="Q273" s="2"/>
      <c r="R273" s="2"/>
      <c r="S273" s="2"/>
      <c r="T273" s="2"/>
      <c r="U273" s="2"/>
      <c r="V273" s="2"/>
    </row>
    <row r="274" spans="4:22" ht="14.25" customHeight="1">
      <c r="D274" s="2"/>
      <c r="E274" s="2"/>
      <c r="F274" s="2"/>
      <c r="G274" s="2"/>
      <c r="H274" s="2"/>
      <c r="I274" s="2"/>
      <c r="J274" s="2"/>
      <c r="K274" s="2"/>
      <c r="L274" s="2"/>
      <c r="M274" s="2"/>
      <c r="N274" s="2"/>
      <c r="O274" s="2"/>
      <c r="P274" s="2"/>
      <c r="Q274" s="2"/>
      <c r="R274" s="2"/>
      <c r="S274" s="2"/>
      <c r="T274" s="2"/>
      <c r="U274" s="2"/>
      <c r="V274" s="2"/>
    </row>
    <row r="275" spans="4:22" ht="14.25" customHeight="1">
      <c r="D275" s="2"/>
      <c r="E275" s="2"/>
      <c r="F275" s="2"/>
      <c r="G275" s="2"/>
      <c r="H275" s="2"/>
      <c r="I275" s="2"/>
      <c r="J275" s="2"/>
      <c r="K275" s="2"/>
      <c r="L275" s="2"/>
      <c r="M275" s="2"/>
      <c r="N275" s="2"/>
      <c r="O275" s="2"/>
      <c r="P275" s="2"/>
      <c r="Q275" s="2"/>
      <c r="R275" s="2"/>
      <c r="S275" s="2"/>
      <c r="T275" s="2"/>
      <c r="U275" s="2"/>
      <c r="V275" s="2"/>
    </row>
    <row r="276" spans="4:22" ht="14.25" customHeight="1">
      <c r="D276" s="2"/>
      <c r="E276" s="2"/>
      <c r="F276" s="2"/>
      <c r="G276" s="2"/>
      <c r="H276" s="2"/>
      <c r="I276" s="2"/>
      <c r="J276" s="2"/>
      <c r="K276" s="2"/>
      <c r="L276" s="2"/>
      <c r="M276" s="2"/>
      <c r="N276" s="2"/>
      <c r="O276" s="2"/>
      <c r="P276" s="2"/>
      <c r="Q276" s="2"/>
      <c r="R276" s="2"/>
      <c r="S276" s="2"/>
      <c r="T276" s="2"/>
      <c r="U276" s="2"/>
      <c r="V276" s="2"/>
    </row>
    <row r="277" spans="4:22" ht="14.25" customHeight="1">
      <c r="D277" s="2"/>
      <c r="E277" s="2"/>
      <c r="F277" s="2"/>
      <c r="G277" s="2"/>
      <c r="H277" s="2"/>
      <c r="I277" s="2"/>
      <c r="J277" s="2"/>
      <c r="K277" s="2"/>
      <c r="L277" s="2"/>
      <c r="M277" s="2"/>
      <c r="N277" s="2"/>
      <c r="O277" s="2"/>
      <c r="P277" s="2"/>
      <c r="Q277" s="2"/>
      <c r="R277" s="2"/>
      <c r="S277" s="2"/>
      <c r="T277" s="2"/>
      <c r="U277" s="2"/>
      <c r="V277" s="2"/>
    </row>
    <row r="278" spans="4:22" ht="14.25" customHeight="1">
      <c r="D278" s="2"/>
      <c r="E278" s="2"/>
      <c r="F278" s="2"/>
      <c r="G278" s="2"/>
      <c r="H278" s="2"/>
      <c r="I278" s="2"/>
      <c r="J278" s="2"/>
      <c r="K278" s="2"/>
      <c r="L278" s="2"/>
      <c r="M278" s="2"/>
      <c r="N278" s="2"/>
      <c r="O278" s="2"/>
      <c r="P278" s="2"/>
      <c r="Q278" s="2"/>
      <c r="R278" s="2"/>
      <c r="S278" s="2"/>
      <c r="T278" s="2"/>
      <c r="U278" s="2"/>
      <c r="V278" s="2"/>
    </row>
    <row r="279" spans="4:22" ht="14.25" customHeight="1">
      <c r="D279" s="2"/>
      <c r="E279" s="2"/>
      <c r="F279" s="2"/>
      <c r="G279" s="2"/>
      <c r="H279" s="2"/>
      <c r="I279" s="2"/>
      <c r="J279" s="2"/>
      <c r="K279" s="2"/>
      <c r="L279" s="2"/>
      <c r="M279" s="2"/>
      <c r="N279" s="2"/>
      <c r="O279" s="2"/>
      <c r="P279" s="2"/>
      <c r="Q279" s="2"/>
      <c r="R279" s="2"/>
      <c r="S279" s="2"/>
      <c r="T279" s="2"/>
      <c r="U279" s="2"/>
      <c r="V279" s="2"/>
    </row>
    <row r="280" spans="4:22" ht="14.25" customHeight="1">
      <c r="D280" s="2"/>
      <c r="E280" s="2"/>
      <c r="F280" s="2"/>
      <c r="G280" s="2"/>
      <c r="H280" s="2"/>
      <c r="I280" s="2"/>
      <c r="J280" s="2"/>
      <c r="K280" s="2"/>
      <c r="L280" s="2"/>
      <c r="M280" s="2"/>
      <c r="N280" s="2"/>
      <c r="O280" s="2"/>
      <c r="P280" s="2"/>
      <c r="Q280" s="2"/>
      <c r="R280" s="2"/>
      <c r="S280" s="2"/>
      <c r="T280" s="2"/>
      <c r="U280" s="2"/>
      <c r="V280" s="2"/>
    </row>
    <row r="281" spans="4:22" ht="14.25" customHeight="1">
      <c r="D281" s="2"/>
      <c r="E281" s="2"/>
      <c r="F281" s="2"/>
      <c r="G281" s="2"/>
      <c r="H281" s="2"/>
      <c r="I281" s="2"/>
      <c r="J281" s="2"/>
      <c r="K281" s="2"/>
      <c r="L281" s="2"/>
      <c r="M281" s="2"/>
      <c r="N281" s="2"/>
      <c r="O281" s="2"/>
      <c r="P281" s="2"/>
      <c r="Q281" s="2"/>
      <c r="R281" s="2"/>
      <c r="S281" s="2"/>
      <c r="T281" s="2"/>
      <c r="U281" s="2"/>
      <c r="V281" s="2"/>
    </row>
    <row r="282" spans="4:22" ht="14.25" customHeight="1">
      <c r="D282" s="2"/>
      <c r="E282" s="2"/>
      <c r="F282" s="2"/>
      <c r="G282" s="2"/>
      <c r="H282" s="2"/>
      <c r="I282" s="2"/>
      <c r="J282" s="2"/>
      <c r="K282" s="2"/>
      <c r="L282" s="2"/>
      <c r="M282" s="2"/>
      <c r="N282" s="2"/>
      <c r="O282" s="2"/>
      <c r="P282" s="2"/>
      <c r="Q282" s="2"/>
      <c r="R282" s="2"/>
      <c r="S282" s="2"/>
      <c r="T282" s="2"/>
      <c r="U282" s="2"/>
      <c r="V282" s="2"/>
    </row>
    <row r="283" spans="4:22" ht="14.25" customHeight="1">
      <c r="D283" s="2"/>
      <c r="E283" s="2"/>
      <c r="F283" s="2"/>
      <c r="G283" s="2"/>
      <c r="H283" s="2"/>
      <c r="I283" s="2"/>
      <c r="J283" s="2"/>
      <c r="K283" s="2"/>
      <c r="L283" s="2"/>
      <c r="M283" s="2"/>
      <c r="N283" s="2"/>
      <c r="O283" s="2"/>
      <c r="P283" s="2"/>
      <c r="Q283" s="2"/>
      <c r="R283" s="2"/>
      <c r="S283" s="2"/>
      <c r="T283" s="2"/>
      <c r="U283" s="2"/>
      <c r="V283" s="2"/>
    </row>
    <row r="284" spans="4:22" ht="14.25" customHeight="1">
      <c r="D284" s="2"/>
      <c r="E284" s="2"/>
      <c r="F284" s="2"/>
      <c r="G284" s="2"/>
      <c r="H284" s="2"/>
      <c r="I284" s="2"/>
      <c r="J284" s="2"/>
      <c r="K284" s="2"/>
      <c r="L284" s="2"/>
      <c r="M284" s="2"/>
      <c r="N284" s="2"/>
      <c r="O284" s="2"/>
      <c r="P284" s="2"/>
      <c r="Q284" s="2"/>
      <c r="R284" s="2"/>
      <c r="S284" s="2"/>
      <c r="T284" s="2"/>
      <c r="U284" s="2"/>
      <c r="V284" s="2"/>
    </row>
    <row r="285" spans="4:22" ht="14.25" customHeight="1">
      <c r="D285" s="2"/>
      <c r="E285" s="2"/>
      <c r="F285" s="2"/>
      <c r="G285" s="2"/>
      <c r="H285" s="2"/>
      <c r="I285" s="2"/>
      <c r="J285" s="2"/>
      <c r="K285" s="2"/>
      <c r="L285" s="2"/>
      <c r="M285" s="2"/>
      <c r="N285" s="2"/>
      <c r="O285" s="2"/>
      <c r="P285" s="2"/>
      <c r="Q285" s="2"/>
      <c r="R285" s="2"/>
      <c r="S285" s="2"/>
      <c r="T285" s="2"/>
      <c r="U285" s="2"/>
      <c r="V285" s="2"/>
    </row>
    <row r="286" spans="4:22" ht="14.25" customHeight="1">
      <c r="D286" s="2"/>
      <c r="E286" s="2"/>
      <c r="F286" s="2"/>
      <c r="G286" s="2"/>
      <c r="H286" s="2"/>
      <c r="I286" s="2"/>
      <c r="J286" s="2"/>
      <c r="K286" s="2"/>
      <c r="L286" s="2"/>
      <c r="M286" s="2"/>
      <c r="N286" s="2"/>
      <c r="O286" s="2"/>
      <c r="P286" s="2"/>
      <c r="Q286" s="2"/>
      <c r="R286" s="2"/>
      <c r="S286" s="2"/>
      <c r="T286" s="2"/>
      <c r="U286" s="2"/>
      <c r="V286" s="2"/>
    </row>
    <row r="287" spans="4:22" ht="14.25" customHeight="1">
      <c r="D287" s="2"/>
      <c r="E287" s="2"/>
      <c r="F287" s="2"/>
      <c r="G287" s="2"/>
      <c r="H287" s="2"/>
      <c r="I287" s="2"/>
      <c r="J287" s="2"/>
      <c r="K287" s="2"/>
      <c r="L287" s="2"/>
      <c r="M287" s="2"/>
      <c r="N287" s="2"/>
      <c r="O287" s="2"/>
      <c r="P287" s="2"/>
      <c r="Q287" s="2"/>
      <c r="R287" s="2"/>
      <c r="S287" s="2"/>
      <c r="T287" s="2"/>
      <c r="U287" s="2"/>
      <c r="V287" s="2"/>
    </row>
    <row r="288" spans="4:22" ht="14.25" customHeight="1">
      <c r="D288" s="2"/>
      <c r="E288" s="2"/>
      <c r="F288" s="2"/>
      <c r="G288" s="2"/>
      <c r="H288" s="2"/>
      <c r="I288" s="2"/>
      <c r="J288" s="2"/>
      <c r="K288" s="2"/>
      <c r="L288" s="2"/>
      <c r="M288" s="2"/>
      <c r="N288" s="2"/>
      <c r="O288" s="2"/>
      <c r="P288" s="2"/>
      <c r="Q288" s="2"/>
      <c r="R288" s="2"/>
      <c r="S288" s="2"/>
      <c r="T288" s="2"/>
      <c r="U288" s="2"/>
      <c r="V288" s="2"/>
    </row>
    <row r="289" spans="4:22" ht="14.25" customHeight="1">
      <c r="D289" s="2"/>
      <c r="E289" s="2"/>
      <c r="F289" s="2"/>
      <c r="G289" s="2"/>
      <c r="H289" s="2"/>
      <c r="I289" s="2"/>
      <c r="J289" s="2"/>
      <c r="K289" s="2"/>
      <c r="L289" s="2"/>
      <c r="M289" s="2"/>
      <c r="N289" s="2"/>
      <c r="O289" s="2"/>
      <c r="P289" s="2"/>
      <c r="Q289" s="2"/>
      <c r="R289" s="2"/>
      <c r="S289" s="2"/>
      <c r="T289" s="2"/>
      <c r="U289" s="2"/>
      <c r="V289" s="2"/>
    </row>
    <row r="290" spans="4:22" ht="14.25" customHeight="1">
      <c r="D290" s="2"/>
      <c r="E290" s="2"/>
      <c r="F290" s="2"/>
      <c r="G290" s="2"/>
      <c r="H290" s="2"/>
      <c r="I290" s="2"/>
      <c r="J290" s="2"/>
      <c r="K290" s="2"/>
      <c r="L290" s="2"/>
      <c r="M290" s="2"/>
      <c r="N290" s="2"/>
      <c r="O290" s="2"/>
      <c r="P290" s="2"/>
      <c r="Q290" s="2"/>
      <c r="R290" s="2"/>
      <c r="S290" s="2"/>
      <c r="T290" s="2"/>
      <c r="U290" s="2"/>
      <c r="V290" s="2"/>
    </row>
    <row r="291" spans="4:22" ht="14.25" customHeight="1">
      <c r="D291" s="2"/>
      <c r="E291" s="2"/>
      <c r="F291" s="2"/>
      <c r="G291" s="2"/>
      <c r="H291" s="2"/>
      <c r="I291" s="2"/>
      <c r="J291" s="2"/>
      <c r="K291" s="2"/>
      <c r="L291" s="2"/>
      <c r="M291" s="2"/>
      <c r="N291" s="2"/>
      <c r="O291" s="2"/>
      <c r="P291" s="2"/>
      <c r="Q291" s="2"/>
      <c r="R291" s="2"/>
      <c r="S291" s="2"/>
      <c r="T291" s="2"/>
      <c r="U291" s="2"/>
      <c r="V291" s="2"/>
    </row>
    <row r="292" spans="4:22" ht="14.25" customHeight="1">
      <c r="D292" s="2"/>
      <c r="E292" s="2"/>
      <c r="F292" s="2"/>
      <c r="G292" s="2"/>
      <c r="H292" s="2"/>
      <c r="I292" s="2"/>
      <c r="J292" s="2"/>
      <c r="K292" s="2"/>
      <c r="L292" s="2"/>
      <c r="M292" s="2"/>
      <c r="N292" s="2"/>
      <c r="O292" s="2"/>
      <c r="P292" s="2"/>
      <c r="Q292" s="2"/>
      <c r="R292" s="2"/>
      <c r="S292" s="2"/>
      <c r="T292" s="2"/>
      <c r="U292" s="2"/>
      <c r="V292" s="2"/>
    </row>
    <row r="293" spans="4:22" ht="14.25" customHeight="1">
      <c r="D293" s="2"/>
      <c r="E293" s="2"/>
      <c r="F293" s="2"/>
      <c r="G293" s="2"/>
      <c r="H293" s="2"/>
      <c r="I293" s="2"/>
      <c r="J293" s="2"/>
      <c r="K293" s="2"/>
      <c r="L293" s="2"/>
      <c r="M293" s="2"/>
      <c r="N293" s="2"/>
      <c r="O293" s="2"/>
      <c r="P293" s="2"/>
      <c r="Q293" s="2"/>
      <c r="R293" s="2"/>
      <c r="S293" s="2"/>
      <c r="T293" s="2"/>
      <c r="U293" s="2"/>
      <c r="V293" s="2"/>
    </row>
    <row r="294" spans="4:22" ht="14.25" customHeight="1">
      <c r="D294" s="2"/>
      <c r="E294" s="2"/>
      <c r="F294" s="2"/>
      <c r="G294" s="2"/>
      <c r="H294" s="2"/>
      <c r="I294" s="2"/>
      <c r="J294" s="2"/>
      <c r="K294" s="2"/>
      <c r="L294" s="2"/>
      <c r="M294" s="2"/>
      <c r="N294" s="2"/>
      <c r="O294" s="2"/>
      <c r="P294" s="2"/>
      <c r="Q294" s="2"/>
      <c r="R294" s="2"/>
      <c r="S294" s="2"/>
      <c r="T294" s="2"/>
      <c r="U294" s="2"/>
      <c r="V294" s="2"/>
    </row>
    <row r="295" spans="4:22" ht="14.25" customHeight="1">
      <c r="D295" s="2"/>
      <c r="E295" s="2"/>
      <c r="F295" s="2"/>
      <c r="G295" s="2"/>
      <c r="H295" s="2"/>
      <c r="I295" s="2"/>
      <c r="J295" s="2"/>
      <c r="K295" s="2"/>
      <c r="L295" s="2"/>
      <c r="M295" s="2"/>
      <c r="N295" s="2"/>
      <c r="O295" s="2"/>
      <c r="P295" s="2"/>
      <c r="Q295" s="2"/>
      <c r="R295" s="2"/>
      <c r="S295" s="2"/>
      <c r="T295" s="2"/>
      <c r="U295" s="2"/>
      <c r="V295" s="2"/>
    </row>
    <row r="296" spans="4:22" ht="14.25" customHeight="1">
      <c r="D296" s="2"/>
      <c r="E296" s="2"/>
      <c r="F296" s="2"/>
      <c r="G296" s="2"/>
      <c r="H296" s="2"/>
      <c r="I296" s="2"/>
      <c r="J296" s="2"/>
      <c r="K296" s="2"/>
      <c r="L296" s="2"/>
      <c r="M296" s="2"/>
      <c r="N296" s="2"/>
      <c r="O296" s="2"/>
      <c r="P296" s="2"/>
      <c r="Q296" s="2"/>
      <c r="R296" s="2"/>
      <c r="S296" s="2"/>
      <c r="T296" s="2"/>
      <c r="U296" s="2"/>
      <c r="V296" s="2"/>
    </row>
    <row r="297" spans="4:22" ht="14.25" customHeight="1">
      <c r="D297" s="2"/>
      <c r="E297" s="2"/>
      <c r="F297" s="2"/>
      <c r="G297" s="2"/>
      <c r="H297" s="2"/>
      <c r="I297" s="2"/>
      <c r="J297" s="2"/>
      <c r="K297" s="2"/>
      <c r="L297" s="2"/>
      <c r="M297" s="2"/>
      <c r="N297" s="2"/>
      <c r="O297" s="2"/>
      <c r="P297" s="2"/>
      <c r="Q297" s="2"/>
      <c r="R297" s="2"/>
      <c r="S297" s="2"/>
      <c r="T297" s="2"/>
      <c r="U297" s="2"/>
      <c r="V297" s="2"/>
    </row>
    <row r="298" spans="4:22" ht="14.25" customHeight="1">
      <c r="D298" s="2"/>
      <c r="E298" s="2"/>
      <c r="F298" s="2"/>
      <c r="G298" s="2"/>
      <c r="H298" s="2"/>
      <c r="I298" s="2"/>
      <c r="J298" s="2"/>
      <c r="K298" s="2"/>
      <c r="L298" s="2"/>
      <c r="M298" s="2"/>
      <c r="N298" s="2"/>
      <c r="O298" s="2"/>
      <c r="P298" s="2"/>
      <c r="Q298" s="2"/>
      <c r="R298" s="2"/>
      <c r="S298" s="2"/>
      <c r="T298" s="2"/>
      <c r="U298" s="2"/>
      <c r="V298" s="2"/>
    </row>
    <row r="299" spans="4:22" ht="14.25" customHeight="1">
      <c r="D299" s="2"/>
      <c r="E299" s="2"/>
      <c r="F299" s="2"/>
      <c r="G299" s="2"/>
      <c r="H299" s="2"/>
      <c r="I299" s="2"/>
      <c r="J299" s="2"/>
      <c r="K299" s="2"/>
      <c r="L299" s="2"/>
      <c r="M299" s="2"/>
      <c r="N299" s="2"/>
      <c r="O299" s="2"/>
      <c r="P299" s="2"/>
      <c r="Q299" s="2"/>
      <c r="R299" s="2"/>
      <c r="S299" s="2"/>
      <c r="T299" s="2"/>
      <c r="U299" s="2"/>
      <c r="V299" s="2"/>
    </row>
    <row r="300" spans="4:22" ht="14.25" customHeight="1">
      <c r="D300" s="2"/>
      <c r="E300" s="2"/>
      <c r="F300" s="2"/>
      <c r="G300" s="2"/>
      <c r="H300" s="2"/>
      <c r="I300" s="2"/>
      <c r="J300" s="2"/>
      <c r="K300" s="2"/>
      <c r="L300" s="2"/>
      <c r="M300" s="2"/>
      <c r="N300" s="2"/>
      <c r="O300" s="2"/>
      <c r="P300" s="2"/>
      <c r="Q300" s="2"/>
      <c r="R300" s="2"/>
      <c r="S300" s="2"/>
      <c r="T300" s="2"/>
      <c r="U300" s="2"/>
      <c r="V300" s="2"/>
    </row>
    <row r="301" spans="4:22" ht="14.25" customHeight="1">
      <c r="D301" s="2"/>
      <c r="E301" s="2"/>
      <c r="F301" s="2"/>
      <c r="G301" s="2"/>
      <c r="H301" s="2"/>
      <c r="I301" s="2"/>
      <c r="J301" s="2"/>
      <c r="K301" s="2"/>
      <c r="L301" s="2"/>
      <c r="M301" s="2"/>
      <c r="N301" s="2"/>
      <c r="O301" s="2"/>
      <c r="P301" s="2"/>
      <c r="Q301" s="2"/>
      <c r="R301" s="2"/>
      <c r="S301" s="2"/>
      <c r="T301" s="2"/>
      <c r="U301" s="2"/>
      <c r="V301" s="2"/>
    </row>
    <row r="302" spans="4:22" ht="14.25" customHeight="1">
      <c r="D302" s="2"/>
      <c r="E302" s="2"/>
      <c r="F302" s="2"/>
      <c r="G302" s="2"/>
      <c r="H302" s="2"/>
      <c r="I302" s="2"/>
      <c r="J302" s="2"/>
      <c r="K302" s="2"/>
      <c r="L302" s="2"/>
      <c r="M302" s="2"/>
      <c r="N302" s="2"/>
      <c r="O302" s="2"/>
      <c r="P302" s="2"/>
      <c r="Q302" s="2"/>
      <c r="R302" s="2"/>
      <c r="S302" s="2"/>
      <c r="T302" s="2"/>
      <c r="U302" s="2"/>
      <c r="V302" s="2"/>
    </row>
    <row r="303" spans="4:22" ht="14.25" customHeight="1">
      <c r="D303" s="2"/>
      <c r="E303" s="2"/>
      <c r="F303" s="2"/>
      <c r="G303" s="2"/>
      <c r="H303" s="2"/>
      <c r="I303" s="2"/>
      <c r="J303" s="2"/>
      <c r="K303" s="2"/>
      <c r="L303" s="2"/>
      <c r="M303" s="2"/>
      <c r="N303" s="2"/>
      <c r="O303" s="2"/>
      <c r="P303" s="2"/>
      <c r="Q303" s="2"/>
      <c r="R303" s="2"/>
      <c r="S303" s="2"/>
      <c r="T303" s="2"/>
      <c r="U303" s="2"/>
      <c r="V303" s="2"/>
    </row>
    <row r="304" spans="4:22" ht="14.25" customHeight="1">
      <c r="D304" s="2"/>
      <c r="E304" s="2"/>
      <c r="F304" s="2"/>
      <c r="G304" s="2"/>
      <c r="H304" s="2"/>
      <c r="I304" s="2"/>
      <c r="J304" s="2"/>
      <c r="K304" s="2"/>
      <c r="L304" s="2"/>
      <c r="M304" s="2"/>
      <c r="N304" s="2"/>
      <c r="O304" s="2"/>
      <c r="P304" s="2"/>
      <c r="Q304" s="2"/>
      <c r="R304" s="2"/>
      <c r="S304" s="2"/>
      <c r="T304" s="2"/>
      <c r="U304" s="2"/>
      <c r="V304" s="2"/>
    </row>
    <row r="305" spans="4:22" ht="14.25" customHeight="1">
      <c r="D305" s="2"/>
      <c r="E305" s="2"/>
      <c r="F305" s="2"/>
      <c r="G305" s="2"/>
      <c r="H305" s="2"/>
      <c r="I305" s="2"/>
      <c r="J305" s="2"/>
      <c r="K305" s="2"/>
      <c r="L305" s="2"/>
      <c r="M305" s="2"/>
      <c r="N305" s="2"/>
      <c r="O305" s="2"/>
      <c r="P305" s="2"/>
      <c r="Q305" s="2"/>
      <c r="R305" s="2"/>
      <c r="S305" s="2"/>
      <c r="T305" s="2"/>
      <c r="U305" s="2"/>
      <c r="V305" s="2"/>
    </row>
    <row r="306" spans="4:22" ht="14.25" customHeight="1">
      <c r="D306" s="2"/>
      <c r="E306" s="2"/>
      <c r="F306" s="2"/>
      <c r="G306" s="2"/>
      <c r="H306" s="2"/>
      <c r="I306" s="2"/>
      <c r="J306" s="2"/>
      <c r="K306" s="2"/>
      <c r="L306" s="2"/>
      <c r="M306" s="2"/>
      <c r="N306" s="2"/>
      <c r="O306" s="2"/>
      <c r="P306" s="2"/>
      <c r="Q306" s="2"/>
      <c r="R306" s="2"/>
      <c r="S306" s="2"/>
      <c r="T306" s="2"/>
      <c r="U306" s="2"/>
      <c r="V306" s="2"/>
    </row>
    <row r="307" spans="4:22" ht="14.25" customHeight="1">
      <c r="D307" s="2"/>
      <c r="E307" s="2"/>
      <c r="F307" s="2"/>
      <c r="G307" s="2"/>
      <c r="H307" s="2"/>
      <c r="I307" s="2"/>
      <c r="J307" s="2"/>
      <c r="K307" s="2"/>
      <c r="L307" s="2"/>
      <c r="M307" s="2"/>
      <c r="N307" s="2"/>
      <c r="O307" s="2"/>
      <c r="P307" s="2"/>
      <c r="Q307" s="2"/>
      <c r="R307" s="2"/>
      <c r="S307" s="2"/>
      <c r="T307" s="2"/>
      <c r="U307" s="2"/>
      <c r="V307" s="2"/>
    </row>
    <row r="308" spans="4:22" ht="14.25" customHeight="1">
      <c r="D308" s="2"/>
      <c r="E308" s="2"/>
      <c r="F308" s="2"/>
      <c r="G308" s="2"/>
      <c r="H308" s="2"/>
      <c r="I308" s="2"/>
      <c r="J308" s="2"/>
      <c r="K308" s="2"/>
      <c r="L308" s="2"/>
      <c r="M308" s="2"/>
      <c r="N308" s="2"/>
      <c r="O308" s="2"/>
      <c r="P308" s="2"/>
      <c r="Q308" s="2"/>
      <c r="R308" s="2"/>
      <c r="S308" s="2"/>
      <c r="T308" s="2"/>
      <c r="U308" s="2"/>
      <c r="V308" s="2"/>
    </row>
    <row r="309" spans="4:22" ht="14.25" customHeight="1">
      <c r="D309" s="2"/>
      <c r="E309" s="2"/>
      <c r="F309" s="2"/>
      <c r="G309" s="2"/>
      <c r="H309" s="2"/>
      <c r="I309" s="2"/>
      <c r="J309" s="2"/>
      <c r="K309" s="2"/>
      <c r="L309" s="2"/>
      <c r="M309" s="2"/>
      <c r="N309" s="2"/>
      <c r="O309" s="2"/>
      <c r="P309" s="2"/>
      <c r="Q309" s="2"/>
      <c r="R309" s="2"/>
      <c r="S309" s="2"/>
      <c r="T309" s="2"/>
      <c r="U309" s="2"/>
      <c r="V309" s="2"/>
    </row>
    <row r="310" spans="4:22" ht="14.25" customHeight="1">
      <c r="D310" s="2"/>
      <c r="E310" s="2"/>
      <c r="F310" s="2"/>
      <c r="G310" s="2"/>
      <c r="H310" s="2"/>
      <c r="I310" s="2"/>
      <c r="J310" s="2"/>
      <c r="K310" s="2"/>
      <c r="L310" s="2"/>
      <c r="M310" s="2"/>
      <c r="N310" s="2"/>
      <c r="O310" s="2"/>
      <c r="P310" s="2"/>
      <c r="Q310" s="2"/>
      <c r="R310" s="2"/>
      <c r="S310" s="2"/>
      <c r="T310" s="2"/>
      <c r="U310" s="2"/>
      <c r="V310" s="2"/>
    </row>
    <row r="311" spans="4:22" ht="14.25" customHeight="1">
      <c r="D311" s="2"/>
      <c r="E311" s="2"/>
      <c r="F311" s="2"/>
      <c r="G311" s="2"/>
      <c r="H311" s="2"/>
      <c r="I311" s="2"/>
      <c r="J311" s="2"/>
      <c r="K311" s="2"/>
      <c r="L311" s="2"/>
      <c r="M311" s="2"/>
      <c r="N311" s="2"/>
      <c r="O311" s="2"/>
      <c r="P311" s="2"/>
      <c r="Q311" s="2"/>
      <c r="R311" s="2"/>
      <c r="S311" s="2"/>
      <c r="T311" s="2"/>
      <c r="U311" s="2"/>
      <c r="V311" s="2"/>
    </row>
    <row r="312" spans="4:22" ht="14.25" customHeight="1">
      <c r="D312" s="2"/>
      <c r="E312" s="2"/>
      <c r="F312" s="2"/>
      <c r="G312" s="2"/>
      <c r="H312" s="2"/>
      <c r="I312" s="2"/>
      <c r="J312" s="2"/>
      <c r="K312" s="2"/>
      <c r="L312" s="2"/>
      <c r="M312" s="2"/>
      <c r="N312" s="2"/>
      <c r="O312" s="2"/>
      <c r="P312" s="2"/>
      <c r="Q312" s="2"/>
      <c r="R312" s="2"/>
      <c r="S312" s="2"/>
      <c r="T312" s="2"/>
      <c r="U312" s="2"/>
      <c r="V312" s="2"/>
    </row>
    <row r="313" spans="4:22" ht="14.25" customHeight="1">
      <c r="D313" s="2"/>
      <c r="E313" s="2"/>
      <c r="F313" s="2"/>
      <c r="G313" s="2"/>
      <c r="H313" s="2"/>
      <c r="I313" s="2"/>
      <c r="J313" s="2"/>
      <c r="K313" s="2"/>
      <c r="L313" s="2"/>
      <c r="M313" s="2"/>
      <c r="N313" s="2"/>
      <c r="O313" s="2"/>
      <c r="P313" s="2"/>
      <c r="Q313" s="2"/>
      <c r="R313" s="2"/>
      <c r="S313" s="2"/>
      <c r="T313" s="2"/>
      <c r="U313" s="2"/>
      <c r="V313" s="2"/>
    </row>
    <row r="314" spans="4:22" ht="14.25" customHeight="1">
      <c r="D314" s="2"/>
      <c r="E314" s="2"/>
      <c r="F314" s="2"/>
      <c r="G314" s="2"/>
      <c r="H314" s="2"/>
      <c r="I314" s="2"/>
      <c r="J314" s="2"/>
      <c r="K314" s="2"/>
      <c r="L314" s="2"/>
      <c r="M314" s="2"/>
      <c r="N314" s="2"/>
      <c r="O314" s="2"/>
      <c r="P314" s="2"/>
      <c r="Q314" s="2"/>
      <c r="R314" s="2"/>
      <c r="S314" s="2"/>
      <c r="T314" s="2"/>
      <c r="U314" s="2"/>
      <c r="V314" s="2"/>
    </row>
    <row r="315" spans="4:22" ht="14.25" customHeight="1">
      <c r="D315" s="2"/>
      <c r="E315" s="2"/>
      <c r="F315" s="2"/>
      <c r="G315" s="2"/>
      <c r="H315" s="2"/>
      <c r="I315" s="2"/>
      <c r="J315" s="2"/>
      <c r="K315" s="2"/>
      <c r="L315" s="2"/>
      <c r="M315" s="2"/>
      <c r="N315" s="2"/>
      <c r="O315" s="2"/>
      <c r="P315" s="2"/>
      <c r="Q315" s="2"/>
      <c r="R315" s="2"/>
      <c r="S315" s="2"/>
      <c r="T315" s="2"/>
      <c r="U315" s="2"/>
      <c r="V315" s="2"/>
    </row>
    <row r="316" spans="4:22" ht="14.25" customHeight="1">
      <c r="D316" s="2"/>
      <c r="E316" s="2"/>
      <c r="F316" s="2"/>
      <c r="G316" s="2"/>
      <c r="H316" s="2"/>
      <c r="I316" s="2"/>
      <c r="J316" s="2"/>
      <c r="K316" s="2"/>
      <c r="L316" s="2"/>
      <c r="M316" s="2"/>
      <c r="N316" s="2"/>
      <c r="O316" s="2"/>
      <c r="P316" s="2"/>
      <c r="Q316" s="2"/>
      <c r="R316" s="2"/>
      <c r="S316" s="2"/>
      <c r="T316" s="2"/>
      <c r="U316" s="2"/>
      <c r="V316" s="2"/>
    </row>
    <row r="317" spans="4:22" ht="14.25" customHeight="1">
      <c r="D317" s="2"/>
      <c r="E317" s="2"/>
      <c r="F317" s="2"/>
      <c r="G317" s="2"/>
      <c r="H317" s="2"/>
      <c r="I317" s="2"/>
      <c r="J317" s="2"/>
      <c r="K317" s="2"/>
      <c r="L317" s="2"/>
      <c r="M317" s="2"/>
      <c r="N317" s="2"/>
      <c r="O317" s="2"/>
      <c r="P317" s="2"/>
      <c r="Q317" s="2"/>
      <c r="R317" s="2"/>
      <c r="S317" s="2"/>
      <c r="T317" s="2"/>
      <c r="U317" s="2"/>
      <c r="V317" s="2"/>
    </row>
    <row r="318" spans="4:22" ht="14.25" customHeight="1">
      <c r="D318" s="2"/>
      <c r="E318" s="2"/>
      <c r="F318" s="2"/>
      <c r="G318" s="2"/>
      <c r="H318" s="2"/>
      <c r="I318" s="2"/>
      <c r="J318" s="2"/>
      <c r="K318" s="2"/>
      <c r="L318" s="2"/>
      <c r="M318" s="2"/>
      <c r="N318" s="2"/>
      <c r="O318" s="2"/>
      <c r="P318" s="2"/>
      <c r="Q318" s="2"/>
      <c r="R318" s="2"/>
      <c r="S318" s="2"/>
      <c r="T318" s="2"/>
      <c r="U318" s="2"/>
      <c r="V318" s="2"/>
    </row>
    <row r="319" spans="4:22" ht="14.25" customHeight="1">
      <c r="D319" s="2"/>
      <c r="E319" s="2"/>
      <c r="F319" s="2"/>
      <c r="G319" s="2"/>
      <c r="H319" s="2"/>
      <c r="I319" s="2"/>
      <c r="J319" s="2"/>
      <c r="K319" s="2"/>
      <c r="L319" s="2"/>
      <c r="M319" s="2"/>
      <c r="N319" s="2"/>
      <c r="O319" s="2"/>
      <c r="P319" s="2"/>
      <c r="Q319" s="2"/>
      <c r="R319" s="2"/>
      <c r="S319" s="2"/>
      <c r="T319" s="2"/>
      <c r="U319" s="2"/>
      <c r="V319" s="2"/>
    </row>
    <row r="320" spans="4:22" ht="14.25" customHeight="1">
      <c r="D320" s="2"/>
      <c r="E320" s="2"/>
      <c r="F320" s="2"/>
      <c r="G320" s="2"/>
      <c r="H320" s="2"/>
      <c r="I320" s="2"/>
      <c r="J320" s="2"/>
      <c r="K320" s="2"/>
      <c r="L320" s="2"/>
      <c r="M320" s="2"/>
      <c r="N320" s="2"/>
      <c r="O320" s="2"/>
      <c r="P320" s="2"/>
      <c r="Q320" s="2"/>
      <c r="R320" s="2"/>
      <c r="S320" s="2"/>
      <c r="T320" s="2"/>
      <c r="U320" s="2"/>
      <c r="V320" s="2"/>
    </row>
    <row r="321" spans="4:22" ht="14.25" customHeight="1">
      <c r="D321" s="2"/>
      <c r="E321" s="2"/>
      <c r="F321" s="2"/>
      <c r="G321" s="2"/>
      <c r="H321" s="2"/>
      <c r="I321" s="2"/>
      <c r="J321" s="2"/>
      <c r="K321" s="2"/>
      <c r="L321" s="2"/>
      <c r="M321" s="2"/>
      <c r="N321" s="2"/>
      <c r="O321" s="2"/>
      <c r="P321" s="2"/>
      <c r="Q321" s="2"/>
      <c r="R321" s="2"/>
      <c r="S321" s="2"/>
      <c r="T321" s="2"/>
      <c r="U321" s="2"/>
      <c r="V321" s="2"/>
    </row>
    <row r="322" spans="4:22" ht="14.25" customHeight="1">
      <c r="D322" s="2"/>
      <c r="E322" s="2"/>
      <c r="F322" s="2"/>
      <c r="G322" s="2"/>
      <c r="H322" s="2"/>
      <c r="I322" s="2"/>
      <c r="J322" s="2"/>
      <c r="K322" s="2"/>
      <c r="L322" s="2"/>
      <c r="M322" s="2"/>
      <c r="N322" s="2"/>
      <c r="O322" s="2"/>
      <c r="P322" s="2"/>
      <c r="Q322" s="2"/>
      <c r="R322" s="2"/>
      <c r="S322" s="2"/>
      <c r="T322" s="2"/>
      <c r="U322" s="2"/>
      <c r="V322" s="2"/>
    </row>
    <row r="323" spans="4:22" ht="14.25" customHeight="1">
      <c r="D323" s="2"/>
      <c r="E323" s="2"/>
      <c r="F323" s="2"/>
      <c r="G323" s="2"/>
      <c r="H323" s="2"/>
      <c r="I323" s="2"/>
      <c r="J323" s="2"/>
      <c r="K323" s="2"/>
      <c r="L323" s="2"/>
      <c r="M323" s="2"/>
      <c r="N323" s="2"/>
      <c r="O323" s="2"/>
      <c r="P323" s="2"/>
      <c r="Q323" s="2"/>
      <c r="R323" s="2"/>
      <c r="S323" s="2"/>
      <c r="T323" s="2"/>
      <c r="U323" s="2"/>
      <c r="V323" s="2"/>
    </row>
    <row r="324" spans="4:22" ht="14.25" customHeight="1">
      <c r="D324" s="2"/>
      <c r="E324" s="2"/>
      <c r="F324" s="2"/>
      <c r="G324" s="2"/>
      <c r="H324" s="2"/>
      <c r="I324" s="2"/>
      <c r="J324" s="2"/>
      <c r="K324" s="2"/>
      <c r="L324" s="2"/>
      <c r="M324" s="2"/>
      <c r="N324" s="2"/>
      <c r="O324" s="2"/>
      <c r="P324" s="2"/>
      <c r="Q324" s="2"/>
      <c r="R324" s="2"/>
      <c r="S324" s="2"/>
      <c r="T324" s="2"/>
      <c r="U324" s="2"/>
      <c r="V324" s="2"/>
    </row>
    <row r="325" spans="4:22" ht="14.25" customHeight="1">
      <c r="D325" s="2"/>
      <c r="E325" s="2"/>
      <c r="F325" s="2"/>
      <c r="G325" s="2"/>
      <c r="H325" s="2"/>
      <c r="I325" s="2"/>
      <c r="J325" s="2"/>
      <c r="K325" s="2"/>
      <c r="L325" s="2"/>
      <c r="M325" s="2"/>
      <c r="N325" s="2"/>
      <c r="O325" s="2"/>
      <c r="P325" s="2"/>
      <c r="Q325" s="2"/>
      <c r="R325" s="2"/>
      <c r="S325" s="2"/>
      <c r="T325" s="2"/>
      <c r="U325" s="2"/>
      <c r="V325" s="2"/>
    </row>
    <row r="326" spans="4:22" ht="14.25" customHeight="1">
      <c r="D326" s="2"/>
      <c r="E326" s="2"/>
      <c r="F326" s="2"/>
      <c r="G326" s="2"/>
      <c r="H326" s="2"/>
      <c r="I326" s="2"/>
      <c r="J326" s="2"/>
      <c r="K326" s="2"/>
      <c r="L326" s="2"/>
      <c r="M326" s="2"/>
      <c r="N326" s="2"/>
      <c r="O326" s="2"/>
      <c r="P326" s="2"/>
      <c r="Q326" s="2"/>
      <c r="R326" s="2"/>
      <c r="S326" s="2"/>
      <c r="T326" s="2"/>
      <c r="U326" s="2"/>
      <c r="V326" s="2"/>
    </row>
    <row r="327" spans="4:22" ht="14.25" customHeight="1">
      <c r="D327" s="2"/>
      <c r="E327" s="2"/>
      <c r="F327" s="2"/>
      <c r="G327" s="2"/>
      <c r="H327" s="2"/>
      <c r="I327" s="2"/>
      <c r="J327" s="2"/>
      <c r="K327" s="2"/>
      <c r="L327" s="2"/>
      <c r="M327" s="2"/>
      <c r="N327" s="2"/>
      <c r="O327" s="2"/>
      <c r="P327" s="2"/>
      <c r="Q327" s="2"/>
      <c r="R327" s="2"/>
      <c r="S327" s="2"/>
      <c r="T327" s="2"/>
      <c r="U327" s="2"/>
      <c r="V327" s="2"/>
    </row>
    <row r="328" spans="4:22" ht="14.25" customHeight="1">
      <c r="D328" s="2"/>
      <c r="E328" s="2"/>
      <c r="F328" s="2"/>
      <c r="G328" s="2"/>
      <c r="H328" s="2"/>
      <c r="I328" s="2"/>
      <c r="J328" s="2"/>
      <c r="K328" s="2"/>
      <c r="L328" s="2"/>
      <c r="M328" s="2"/>
      <c r="N328" s="2"/>
      <c r="O328" s="2"/>
      <c r="P328" s="2"/>
      <c r="Q328" s="2"/>
      <c r="R328" s="2"/>
      <c r="S328" s="2"/>
      <c r="T328" s="2"/>
      <c r="U328" s="2"/>
      <c r="V328" s="2"/>
    </row>
    <row r="329" spans="4:22" ht="14.25" customHeight="1">
      <c r="D329" s="2"/>
      <c r="E329" s="2"/>
      <c r="F329" s="2"/>
      <c r="G329" s="2"/>
      <c r="H329" s="2"/>
      <c r="I329" s="2"/>
      <c r="J329" s="2"/>
      <c r="K329" s="2"/>
      <c r="L329" s="2"/>
      <c r="M329" s="2"/>
      <c r="N329" s="2"/>
      <c r="O329" s="2"/>
      <c r="P329" s="2"/>
      <c r="Q329" s="2"/>
      <c r="R329" s="2"/>
      <c r="S329" s="2"/>
      <c r="T329" s="2"/>
      <c r="U329" s="2"/>
      <c r="V329" s="2"/>
    </row>
    <row r="330" spans="4:22" ht="14.25" customHeight="1">
      <c r="D330" s="2"/>
      <c r="E330" s="2"/>
      <c r="F330" s="2"/>
      <c r="G330" s="2"/>
      <c r="H330" s="2"/>
      <c r="I330" s="2"/>
      <c r="J330" s="2"/>
      <c r="K330" s="2"/>
      <c r="L330" s="2"/>
      <c r="M330" s="2"/>
      <c r="N330" s="2"/>
      <c r="O330" s="2"/>
      <c r="P330" s="2"/>
      <c r="Q330" s="2"/>
      <c r="R330" s="2"/>
      <c r="S330" s="2"/>
      <c r="T330" s="2"/>
      <c r="U330" s="2"/>
      <c r="V330" s="2"/>
    </row>
    <row r="331" spans="4:22" ht="14.25" customHeight="1">
      <c r="D331" s="2"/>
      <c r="E331" s="2"/>
      <c r="F331" s="2"/>
      <c r="G331" s="2"/>
      <c r="H331" s="2"/>
      <c r="I331" s="2"/>
      <c r="J331" s="2"/>
      <c r="K331" s="2"/>
      <c r="L331" s="2"/>
      <c r="M331" s="2"/>
      <c r="N331" s="2"/>
      <c r="O331" s="2"/>
      <c r="P331" s="2"/>
      <c r="Q331" s="2"/>
      <c r="R331" s="2"/>
      <c r="S331" s="2"/>
      <c r="T331" s="2"/>
      <c r="U331" s="2"/>
      <c r="V331" s="2"/>
    </row>
    <row r="332" spans="4:22" ht="14.25" customHeight="1">
      <c r="D332" s="2"/>
      <c r="E332" s="2"/>
      <c r="F332" s="2"/>
      <c r="G332" s="2"/>
      <c r="H332" s="2"/>
      <c r="I332" s="2"/>
      <c r="J332" s="2"/>
      <c r="K332" s="2"/>
      <c r="L332" s="2"/>
      <c r="M332" s="2"/>
      <c r="N332" s="2"/>
      <c r="O332" s="2"/>
      <c r="P332" s="2"/>
      <c r="Q332" s="2"/>
      <c r="R332" s="2"/>
      <c r="S332" s="2"/>
      <c r="T332" s="2"/>
      <c r="U332" s="2"/>
      <c r="V332" s="2"/>
    </row>
    <row r="333" spans="4:22" ht="14.25" customHeight="1">
      <c r="D333" s="2"/>
      <c r="E333" s="2"/>
      <c r="F333" s="2"/>
      <c r="G333" s="2"/>
      <c r="H333" s="2"/>
      <c r="I333" s="2"/>
      <c r="J333" s="2"/>
      <c r="K333" s="2"/>
      <c r="L333" s="2"/>
      <c r="M333" s="2"/>
      <c r="N333" s="2"/>
      <c r="O333" s="2"/>
      <c r="P333" s="2"/>
      <c r="Q333" s="2"/>
      <c r="R333" s="2"/>
      <c r="S333" s="2"/>
      <c r="T333" s="2"/>
      <c r="U333" s="2"/>
      <c r="V333" s="2"/>
    </row>
    <row r="334" spans="4:22" ht="14.25" customHeight="1">
      <c r="D334" s="2"/>
      <c r="E334" s="2"/>
      <c r="F334" s="2"/>
      <c r="G334" s="2"/>
      <c r="H334" s="2"/>
      <c r="I334" s="2"/>
      <c r="J334" s="2"/>
      <c r="K334" s="2"/>
      <c r="L334" s="2"/>
      <c r="M334" s="2"/>
      <c r="N334" s="2"/>
      <c r="O334" s="2"/>
      <c r="P334" s="2"/>
      <c r="Q334" s="2"/>
      <c r="R334" s="2"/>
      <c r="S334" s="2"/>
      <c r="T334" s="2"/>
      <c r="U334" s="2"/>
      <c r="V334" s="2"/>
    </row>
    <row r="335" spans="4:22" ht="14.25" customHeight="1">
      <c r="D335" s="2"/>
      <c r="E335" s="2"/>
      <c r="F335" s="2"/>
      <c r="G335" s="2"/>
      <c r="H335" s="2"/>
      <c r="I335" s="2"/>
      <c r="J335" s="2"/>
      <c r="K335" s="2"/>
      <c r="L335" s="2"/>
      <c r="M335" s="2"/>
      <c r="N335" s="2"/>
      <c r="O335" s="2"/>
      <c r="P335" s="2"/>
      <c r="Q335" s="2"/>
      <c r="R335" s="2"/>
      <c r="S335" s="2"/>
      <c r="T335" s="2"/>
      <c r="U335" s="2"/>
      <c r="V335" s="2"/>
    </row>
    <row r="336" spans="4:22" ht="14.25" customHeight="1">
      <c r="D336" s="2"/>
      <c r="E336" s="2"/>
      <c r="F336" s="2"/>
      <c r="G336" s="2"/>
      <c r="H336" s="2"/>
      <c r="I336" s="2"/>
      <c r="J336" s="2"/>
      <c r="K336" s="2"/>
      <c r="L336" s="2"/>
      <c r="M336" s="2"/>
      <c r="N336" s="2"/>
      <c r="O336" s="2"/>
      <c r="P336" s="2"/>
      <c r="Q336" s="2"/>
      <c r="R336" s="2"/>
      <c r="S336" s="2"/>
      <c r="T336" s="2"/>
      <c r="U336" s="2"/>
      <c r="V336" s="2"/>
    </row>
    <row r="337" spans="4:22" ht="14.25" customHeight="1">
      <c r="D337" s="2"/>
      <c r="E337" s="2"/>
      <c r="F337" s="2"/>
      <c r="G337" s="2"/>
      <c r="H337" s="2"/>
      <c r="I337" s="2"/>
      <c r="J337" s="2"/>
      <c r="K337" s="2"/>
      <c r="L337" s="2"/>
      <c r="M337" s="2"/>
      <c r="N337" s="2"/>
      <c r="O337" s="2"/>
      <c r="P337" s="2"/>
      <c r="Q337" s="2"/>
      <c r="R337" s="2"/>
      <c r="S337" s="2"/>
      <c r="T337" s="2"/>
      <c r="U337" s="2"/>
      <c r="V337" s="2"/>
    </row>
    <row r="338" spans="4:22" ht="14.25" customHeight="1">
      <c r="D338" s="2"/>
      <c r="E338" s="2"/>
      <c r="F338" s="2"/>
      <c r="G338" s="2"/>
      <c r="H338" s="2"/>
      <c r="I338" s="2"/>
      <c r="J338" s="2"/>
      <c r="K338" s="2"/>
      <c r="L338" s="2"/>
      <c r="M338" s="2"/>
      <c r="N338" s="2"/>
      <c r="O338" s="2"/>
      <c r="P338" s="2"/>
      <c r="Q338" s="2"/>
      <c r="R338" s="2"/>
      <c r="S338" s="2"/>
      <c r="T338" s="2"/>
      <c r="U338" s="2"/>
      <c r="V338" s="2"/>
    </row>
    <row r="339" spans="4:22" ht="14.25" customHeight="1">
      <c r="D339" s="2"/>
      <c r="E339" s="2"/>
      <c r="F339" s="2"/>
      <c r="G339" s="2"/>
      <c r="H339" s="2"/>
      <c r="I339" s="2"/>
      <c r="J339" s="2"/>
      <c r="K339" s="2"/>
      <c r="L339" s="2"/>
      <c r="M339" s="2"/>
      <c r="N339" s="2"/>
      <c r="O339" s="2"/>
      <c r="P339" s="2"/>
      <c r="Q339" s="2"/>
      <c r="R339" s="2"/>
      <c r="S339" s="2"/>
      <c r="T339" s="2"/>
      <c r="U339" s="2"/>
      <c r="V339" s="2"/>
    </row>
    <row r="340" spans="4:22" ht="14.25" customHeight="1">
      <c r="D340" s="2"/>
      <c r="E340" s="2"/>
      <c r="F340" s="2"/>
      <c r="G340" s="2"/>
      <c r="H340" s="2"/>
      <c r="I340" s="2"/>
      <c r="J340" s="2"/>
      <c r="K340" s="2"/>
      <c r="L340" s="2"/>
      <c r="M340" s="2"/>
      <c r="N340" s="2"/>
      <c r="O340" s="2"/>
      <c r="P340" s="2"/>
      <c r="Q340" s="2"/>
      <c r="R340" s="2"/>
      <c r="S340" s="2"/>
      <c r="T340" s="2"/>
      <c r="U340" s="2"/>
      <c r="V340" s="2"/>
    </row>
    <row r="341" spans="4:22" ht="14.25" customHeight="1">
      <c r="D341" s="2"/>
      <c r="E341" s="2"/>
      <c r="F341" s="2"/>
      <c r="G341" s="2"/>
      <c r="H341" s="2"/>
      <c r="I341" s="2"/>
      <c r="J341" s="2"/>
      <c r="K341" s="2"/>
      <c r="L341" s="2"/>
      <c r="M341" s="2"/>
      <c r="N341" s="2"/>
      <c r="O341" s="2"/>
      <c r="P341" s="2"/>
      <c r="Q341" s="2"/>
      <c r="R341" s="2"/>
      <c r="S341" s="2"/>
      <c r="T341" s="2"/>
      <c r="U341" s="2"/>
      <c r="V341" s="2"/>
    </row>
    <row r="342" spans="4:22" ht="14.25" customHeight="1">
      <c r="D342" s="2"/>
      <c r="E342" s="2"/>
      <c r="F342" s="2"/>
      <c r="G342" s="2"/>
      <c r="H342" s="2"/>
      <c r="I342" s="2"/>
      <c r="J342" s="2"/>
      <c r="K342" s="2"/>
      <c r="L342" s="2"/>
      <c r="M342" s="2"/>
      <c r="N342" s="2"/>
      <c r="O342" s="2"/>
      <c r="P342" s="2"/>
      <c r="Q342" s="2"/>
      <c r="R342" s="2"/>
      <c r="S342" s="2"/>
      <c r="T342" s="2"/>
      <c r="U342" s="2"/>
      <c r="V342" s="2"/>
    </row>
    <row r="343" spans="4:22" ht="14.25" customHeight="1">
      <c r="D343" s="2"/>
      <c r="E343" s="2"/>
      <c r="F343" s="2"/>
      <c r="G343" s="2"/>
      <c r="H343" s="2"/>
      <c r="I343" s="2"/>
      <c r="J343" s="2"/>
      <c r="K343" s="2"/>
      <c r="L343" s="2"/>
      <c r="M343" s="2"/>
      <c r="N343" s="2"/>
      <c r="O343" s="2"/>
      <c r="P343" s="2"/>
      <c r="Q343" s="2"/>
      <c r="R343" s="2"/>
      <c r="S343" s="2"/>
      <c r="T343" s="2"/>
      <c r="U343" s="2"/>
      <c r="V343" s="2"/>
    </row>
    <row r="344" spans="4:22" ht="14.25" customHeight="1">
      <c r="D344" s="2"/>
      <c r="E344" s="2"/>
      <c r="F344" s="2"/>
      <c r="G344" s="2"/>
      <c r="H344" s="2"/>
      <c r="I344" s="2"/>
      <c r="J344" s="2"/>
      <c r="K344" s="2"/>
      <c r="L344" s="2"/>
      <c r="M344" s="2"/>
      <c r="N344" s="2"/>
      <c r="O344" s="2"/>
      <c r="P344" s="2"/>
      <c r="Q344" s="2"/>
      <c r="R344" s="2"/>
      <c r="S344" s="2"/>
      <c r="T344" s="2"/>
      <c r="U344" s="2"/>
      <c r="V344" s="2"/>
    </row>
    <row r="345" spans="4:22" ht="14.25" customHeight="1">
      <c r="D345" s="2"/>
      <c r="E345" s="2"/>
      <c r="F345" s="2"/>
      <c r="G345" s="2"/>
      <c r="H345" s="2"/>
      <c r="I345" s="2"/>
      <c r="J345" s="2"/>
      <c r="K345" s="2"/>
      <c r="L345" s="2"/>
      <c r="M345" s="2"/>
      <c r="N345" s="2"/>
      <c r="O345" s="2"/>
      <c r="P345" s="2"/>
      <c r="Q345" s="2"/>
      <c r="R345" s="2"/>
      <c r="S345" s="2"/>
      <c r="T345" s="2"/>
      <c r="U345" s="2"/>
      <c r="V345" s="2"/>
    </row>
    <row r="346" spans="4:22" ht="14.25" customHeight="1">
      <c r="D346" s="2"/>
      <c r="E346" s="2"/>
      <c r="F346" s="2"/>
      <c r="G346" s="2"/>
      <c r="H346" s="2"/>
      <c r="I346" s="2"/>
      <c r="J346" s="2"/>
      <c r="K346" s="2"/>
      <c r="L346" s="2"/>
      <c r="M346" s="2"/>
      <c r="N346" s="2"/>
      <c r="O346" s="2"/>
      <c r="P346" s="2"/>
      <c r="Q346" s="2"/>
      <c r="R346" s="2"/>
      <c r="S346" s="2"/>
      <c r="T346" s="2"/>
      <c r="U346" s="2"/>
      <c r="V346" s="2"/>
    </row>
    <row r="347" spans="4:22" ht="14.25" customHeight="1">
      <c r="D347" s="2"/>
      <c r="E347" s="2"/>
      <c r="F347" s="2"/>
      <c r="G347" s="2"/>
      <c r="H347" s="2"/>
      <c r="I347" s="2"/>
      <c r="J347" s="2"/>
      <c r="K347" s="2"/>
      <c r="L347" s="2"/>
      <c r="M347" s="2"/>
      <c r="N347" s="2"/>
      <c r="O347" s="2"/>
      <c r="P347" s="2"/>
      <c r="Q347" s="2"/>
      <c r="R347" s="2"/>
      <c r="S347" s="2"/>
      <c r="T347" s="2"/>
      <c r="U347" s="2"/>
      <c r="V347" s="2"/>
    </row>
    <row r="348" spans="4:22" ht="14.25" customHeight="1">
      <c r="D348" s="2"/>
      <c r="E348" s="2"/>
      <c r="F348" s="2"/>
      <c r="G348" s="2"/>
      <c r="H348" s="2"/>
      <c r="I348" s="2"/>
      <c r="J348" s="2"/>
      <c r="K348" s="2"/>
      <c r="L348" s="2"/>
      <c r="M348" s="2"/>
      <c r="N348" s="2"/>
      <c r="O348" s="2"/>
      <c r="P348" s="2"/>
      <c r="Q348" s="2"/>
      <c r="R348" s="2"/>
      <c r="S348" s="2"/>
      <c r="T348" s="2"/>
      <c r="U348" s="2"/>
      <c r="V348" s="2"/>
    </row>
    <row r="349" spans="4:22" ht="14.25" customHeight="1">
      <c r="D349" s="2"/>
      <c r="E349" s="2"/>
      <c r="F349" s="2"/>
      <c r="G349" s="2"/>
      <c r="H349" s="2"/>
      <c r="I349" s="2"/>
      <c r="J349" s="2"/>
      <c r="K349" s="2"/>
      <c r="L349" s="2"/>
      <c r="M349" s="2"/>
      <c r="N349" s="2"/>
      <c r="O349" s="2"/>
      <c r="P349" s="2"/>
      <c r="Q349" s="2"/>
      <c r="R349" s="2"/>
      <c r="S349" s="2"/>
      <c r="T349" s="2"/>
      <c r="U349" s="2"/>
      <c r="V349" s="2"/>
    </row>
    <row r="350" spans="4:22" ht="14.25" customHeight="1">
      <c r="D350" s="2"/>
      <c r="E350" s="2"/>
      <c r="F350" s="2"/>
      <c r="G350" s="2"/>
      <c r="H350" s="2"/>
      <c r="I350" s="2"/>
      <c r="J350" s="2"/>
      <c r="K350" s="2"/>
      <c r="L350" s="2"/>
      <c r="M350" s="2"/>
      <c r="N350" s="2"/>
      <c r="O350" s="2"/>
      <c r="P350" s="2"/>
      <c r="Q350" s="2"/>
      <c r="R350" s="2"/>
      <c r="S350" s="2"/>
      <c r="T350" s="2"/>
      <c r="U350" s="2"/>
      <c r="V350" s="2"/>
    </row>
    <row r="351" spans="4:22" ht="14.25" customHeight="1">
      <c r="D351" s="2"/>
      <c r="E351" s="2"/>
      <c r="F351" s="2"/>
      <c r="G351" s="2"/>
      <c r="H351" s="2"/>
      <c r="I351" s="2"/>
      <c r="J351" s="2"/>
      <c r="K351" s="2"/>
      <c r="L351" s="2"/>
      <c r="M351" s="2"/>
      <c r="N351" s="2"/>
      <c r="O351" s="2"/>
      <c r="P351" s="2"/>
      <c r="Q351" s="2"/>
      <c r="R351" s="2"/>
      <c r="S351" s="2"/>
      <c r="T351" s="2"/>
      <c r="U351" s="2"/>
      <c r="V351" s="2"/>
    </row>
    <row r="352" spans="4:22" ht="14.25" customHeight="1">
      <c r="D352" s="2"/>
      <c r="E352" s="2"/>
      <c r="F352" s="2"/>
      <c r="G352" s="2"/>
      <c r="H352" s="2"/>
      <c r="I352" s="2"/>
      <c r="J352" s="2"/>
      <c r="K352" s="2"/>
      <c r="L352" s="2"/>
      <c r="M352" s="2"/>
      <c r="N352" s="2"/>
      <c r="O352" s="2"/>
      <c r="P352" s="2"/>
      <c r="Q352" s="2"/>
      <c r="R352" s="2"/>
      <c r="S352" s="2"/>
      <c r="T352" s="2"/>
      <c r="U352" s="2"/>
      <c r="V352" s="2"/>
    </row>
    <row r="353" spans="4:22" ht="14.25" customHeight="1">
      <c r="D353" s="2"/>
      <c r="E353" s="2"/>
      <c r="F353" s="2"/>
      <c r="G353" s="2"/>
      <c r="H353" s="2"/>
      <c r="I353" s="2"/>
      <c r="J353" s="2"/>
      <c r="K353" s="2"/>
      <c r="L353" s="2"/>
      <c r="M353" s="2"/>
      <c r="N353" s="2"/>
      <c r="O353" s="2"/>
      <c r="P353" s="2"/>
      <c r="Q353" s="2"/>
      <c r="R353" s="2"/>
      <c r="S353" s="2"/>
      <c r="T353" s="2"/>
      <c r="U353" s="2"/>
      <c r="V353" s="2"/>
    </row>
    <row r="354" spans="4:22" ht="14.25" customHeight="1">
      <c r="D354" s="2"/>
      <c r="E354" s="2"/>
      <c r="F354" s="2"/>
      <c r="G354" s="2"/>
      <c r="H354" s="2"/>
      <c r="I354" s="2"/>
      <c r="J354" s="2"/>
      <c r="K354" s="2"/>
      <c r="L354" s="2"/>
      <c r="M354" s="2"/>
      <c r="N354" s="2"/>
      <c r="O354" s="2"/>
      <c r="P354" s="2"/>
      <c r="Q354" s="2"/>
      <c r="R354" s="2"/>
      <c r="S354" s="2"/>
      <c r="T354" s="2"/>
      <c r="U354" s="2"/>
      <c r="V354" s="2"/>
    </row>
    <row r="355" spans="4:22" ht="14.25" customHeight="1">
      <c r="D355" s="2"/>
      <c r="E355" s="2"/>
      <c r="F355" s="2"/>
      <c r="G355" s="2"/>
      <c r="H355" s="2"/>
      <c r="I355" s="2"/>
      <c r="J355" s="2"/>
      <c r="K355" s="2"/>
      <c r="L355" s="2"/>
      <c r="M355" s="2"/>
      <c r="N355" s="2"/>
      <c r="O355" s="2"/>
      <c r="P355" s="2"/>
      <c r="Q355" s="2"/>
      <c r="R355" s="2"/>
      <c r="S355" s="2"/>
      <c r="T355" s="2"/>
      <c r="U355" s="2"/>
      <c r="V355" s="2"/>
    </row>
    <row r="356" spans="4:22" ht="14.25" customHeight="1">
      <c r="D356" s="2"/>
      <c r="E356" s="2"/>
      <c r="F356" s="2"/>
      <c r="G356" s="2"/>
      <c r="H356" s="2"/>
      <c r="I356" s="2"/>
      <c r="J356" s="2"/>
      <c r="K356" s="2"/>
      <c r="L356" s="2"/>
      <c r="M356" s="2"/>
      <c r="N356" s="2"/>
      <c r="O356" s="2"/>
      <c r="P356" s="2"/>
      <c r="Q356" s="2"/>
      <c r="R356" s="2"/>
      <c r="S356" s="2"/>
      <c r="T356" s="2"/>
      <c r="U356" s="2"/>
      <c r="V356" s="2"/>
    </row>
    <row r="357" spans="4:22" ht="14.25" customHeight="1">
      <c r="D357" s="2"/>
      <c r="E357" s="2"/>
      <c r="F357" s="2"/>
      <c r="G357" s="2"/>
      <c r="H357" s="2"/>
      <c r="I357" s="2"/>
      <c r="J357" s="2"/>
      <c r="K357" s="2"/>
      <c r="L357" s="2"/>
      <c r="M357" s="2"/>
      <c r="N357" s="2"/>
      <c r="O357" s="2"/>
      <c r="P357" s="2"/>
      <c r="Q357" s="2"/>
      <c r="R357" s="2"/>
      <c r="S357" s="2"/>
      <c r="T357" s="2"/>
      <c r="U357" s="2"/>
      <c r="V357" s="2"/>
    </row>
    <row r="358" spans="4:22" ht="14.25" customHeight="1">
      <c r="D358" s="2"/>
      <c r="E358" s="2"/>
      <c r="F358" s="2"/>
      <c r="G358" s="2"/>
      <c r="H358" s="2"/>
      <c r="I358" s="2"/>
      <c r="J358" s="2"/>
      <c r="K358" s="2"/>
      <c r="L358" s="2"/>
      <c r="M358" s="2"/>
      <c r="N358" s="2"/>
      <c r="O358" s="2"/>
      <c r="P358" s="2"/>
      <c r="Q358" s="2"/>
      <c r="R358" s="2"/>
      <c r="S358" s="2"/>
      <c r="T358" s="2"/>
      <c r="U358" s="2"/>
      <c r="V358" s="2"/>
    </row>
    <row r="359" spans="4:22" ht="14.25" customHeight="1">
      <c r="D359" s="2"/>
      <c r="E359" s="2"/>
      <c r="F359" s="2"/>
      <c r="G359" s="2"/>
      <c r="H359" s="2"/>
      <c r="I359" s="2"/>
      <c r="J359" s="2"/>
      <c r="K359" s="2"/>
      <c r="L359" s="2"/>
      <c r="M359" s="2"/>
      <c r="N359" s="2"/>
      <c r="O359" s="2"/>
      <c r="P359" s="2"/>
      <c r="Q359" s="2"/>
      <c r="R359" s="2"/>
      <c r="S359" s="2"/>
      <c r="T359" s="2"/>
      <c r="U359" s="2"/>
      <c r="V359" s="2"/>
    </row>
    <row r="360" spans="4:22" ht="14.25" customHeight="1">
      <c r="D360" s="2"/>
      <c r="E360" s="2"/>
      <c r="F360" s="2"/>
      <c r="G360" s="2"/>
      <c r="H360" s="2"/>
      <c r="I360" s="2"/>
      <c r="J360" s="2"/>
      <c r="K360" s="2"/>
      <c r="L360" s="2"/>
      <c r="M360" s="2"/>
      <c r="N360" s="2"/>
      <c r="O360" s="2"/>
      <c r="P360" s="2"/>
      <c r="Q360" s="2"/>
      <c r="R360" s="2"/>
      <c r="S360" s="2"/>
      <c r="T360" s="2"/>
      <c r="U360" s="2"/>
      <c r="V360" s="2"/>
    </row>
    <row r="361" spans="4:22" ht="14.25" customHeight="1">
      <c r="D361" s="2"/>
      <c r="E361" s="2"/>
      <c r="F361" s="2"/>
      <c r="G361" s="2"/>
      <c r="H361" s="2"/>
      <c r="I361" s="2"/>
      <c r="J361" s="2"/>
      <c r="K361" s="2"/>
      <c r="L361" s="2"/>
      <c r="M361" s="2"/>
      <c r="N361" s="2"/>
      <c r="O361" s="2"/>
      <c r="P361" s="2"/>
      <c r="Q361" s="2"/>
      <c r="R361" s="2"/>
      <c r="S361" s="2"/>
      <c r="T361" s="2"/>
      <c r="U361" s="2"/>
      <c r="V361" s="2"/>
    </row>
    <row r="362" spans="4:22" ht="14.25" customHeight="1">
      <c r="D362" s="2"/>
      <c r="E362" s="2"/>
      <c r="F362" s="2"/>
      <c r="G362" s="2"/>
      <c r="H362" s="2"/>
      <c r="I362" s="2"/>
      <c r="J362" s="2"/>
      <c r="K362" s="2"/>
      <c r="L362" s="2"/>
      <c r="M362" s="2"/>
      <c r="N362" s="2"/>
      <c r="O362" s="2"/>
      <c r="P362" s="2"/>
      <c r="Q362" s="2"/>
      <c r="R362" s="2"/>
      <c r="S362" s="2"/>
      <c r="T362" s="2"/>
      <c r="U362" s="2"/>
      <c r="V362" s="2"/>
    </row>
    <row r="363" spans="4:22" ht="14.25" customHeight="1">
      <c r="D363" s="2"/>
      <c r="E363" s="2"/>
      <c r="F363" s="2"/>
      <c r="G363" s="2"/>
      <c r="H363" s="2"/>
      <c r="I363" s="2"/>
      <c r="J363" s="2"/>
      <c r="K363" s="2"/>
      <c r="L363" s="2"/>
      <c r="M363" s="2"/>
      <c r="N363" s="2"/>
      <c r="O363" s="2"/>
      <c r="P363" s="2"/>
      <c r="Q363" s="2"/>
      <c r="R363" s="2"/>
      <c r="S363" s="2"/>
      <c r="T363" s="2"/>
      <c r="U363" s="2"/>
      <c r="V363" s="2"/>
    </row>
    <row r="364" spans="4:22" ht="14.25" customHeight="1">
      <c r="D364" s="2"/>
      <c r="E364" s="2"/>
      <c r="F364" s="2"/>
      <c r="G364" s="2"/>
      <c r="H364" s="2"/>
      <c r="I364" s="2"/>
      <c r="J364" s="2"/>
      <c r="K364" s="2"/>
      <c r="L364" s="2"/>
      <c r="M364" s="2"/>
      <c r="N364" s="2"/>
      <c r="O364" s="2"/>
      <c r="P364" s="2"/>
      <c r="Q364" s="2"/>
      <c r="R364" s="2"/>
      <c r="S364" s="2"/>
      <c r="T364" s="2"/>
      <c r="U364" s="2"/>
      <c r="V364" s="2"/>
    </row>
    <row r="365" spans="4:22" ht="14.25" customHeight="1">
      <c r="D365" s="2"/>
      <c r="E365" s="2"/>
      <c r="F365" s="2"/>
      <c r="G365" s="2"/>
      <c r="H365" s="2"/>
      <c r="I365" s="2"/>
      <c r="J365" s="2"/>
      <c r="K365" s="2"/>
      <c r="L365" s="2"/>
      <c r="M365" s="2"/>
      <c r="N365" s="2"/>
      <c r="O365" s="2"/>
      <c r="P365" s="2"/>
      <c r="Q365" s="2"/>
      <c r="R365" s="2"/>
      <c r="S365" s="2"/>
      <c r="T365" s="2"/>
      <c r="U365" s="2"/>
      <c r="V365" s="2"/>
    </row>
    <row r="366" spans="4:22" ht="14.25" customHeight="1">
      <c r="D366" s="2"/>
      <c r="E366" s="2"/>
      <c r="F366" s="2"/>
      <c r="G366" s="2"/>
      <c r="H366" s="2"/>
      <c r="I366" s="2"/>
      <c r="J366" s="2"/>
      <c r="K366" s="2"/>
      <c r="L366" s="2"/>
      <c r="M366" s="2"/>
      <c r="N366" s="2"/>
      <c r="O366" s="2"/>
      <c r="P366" s="2"/>
      <c r="Q366" s="2"/>
      <c r="R366" s="2"/>
      <c r="S366" s="2"/>
      <c r="T366" s="2"/>
      <c r="U366" s="2"/>
      <c r="V366" s="2"/>
    </row>
    <row r="367" spans="4:22" ht="14.25" customHeight="1">
      <c r="D367" s="2"/>
      <c r="E367" s="2"/>
      <c r="F367" s="2"/>
      <c r="G367" s="2"/>
      <c r="H367" s="2"/>
      <c r="I367" s="2"/>
      <c r="J367" s="2"/>
      <c r="K367" s="2"/>
      <c r="L367" s="2"/>
      <c r="M367" s="2"/>
      <c r="N367" s="2"/>
      <c r="O367" s="2"/>
      <c r="P367" s="2"/>
      <c r="Q367" s="2"/>
      <c r="R367" s="2"/>
      <c r="S367" s="2"/>
      <c r="T367" s="2"/>
      <c r="U367" s="2"/>
      <c r="V367" s="2"/>
    </row>
    <row r="368" spans="4:22" ht="14.25" customHeight="1">
      <c r="D368" s="2"/>
      <c r="E368" s="2"/>
      <c r="F368" s="2"/>
      <c r="G368" s="2"/>
      <c r="H368" s="2"/>
      <c r="I368" s="2"/>
      <c r="J368" s="2"/>
      <c r="K368" s="2"/>
      <c r="L368" s="2"/>
      <c r="M368" s="2"/>
      <c r="N368" s="2"/>
      <c r="O368" s="2"/>
      <c r="P368" s="2"/>
      <c r="Q368" s="2"/>
      <c r="R368" s="2"/>
      <c r="S368" s="2"/>
      <c r="T368" s="2"/>
      <c r="U368" s="2"/>
      <c r="V368" s="2"/>
    </row>
    <row r="369" spans="4:22" ht="14.25" customHeight="1">
      <c r="D369" s="2"/>
      <c r="E369" s="2"/>
      <c r="F369" s="2"/>
      <c r="G369" s="2"/>
      <c r="H369" s="2"/>
      <c r="I369" s="2"/>
      <c r="J369" s="2"/>
      <c r="K369" s="2"/>
      <c r="L369" s="2"/>
      <c r="M369" s="2"/>
      <c r="N369" s="2"/>
      <c r="O369" s="2"/>
      <c r="P369" s="2"/>
      <c r="Q369" s="2"/>
      <c r="R369" s="2"/>
      <c r="S369" s="2"/>
      <c r="T369" s="2"/>
      <c r="U369" s="2"/>
      <c r="V369" s="2"/>
    </row>
    <row r="370" spans="4:22" ht="14.25" customHeight="1">
      <c r="D370" s="2"/>
      <c r="E370" s="2"/>
      <c r="F370" s="2"/>
      <c r="G370" s="2"/>
      <c r="H370" s="2"/>
      <c r="I370" s="2"/>
      <c r="J370" s="2"/>
      <c r="K370" s="2"/>
      <c r="L370" s="2"/>
      <c r="M370" s="2"/>
      <c r="N370" s="2"/>
      <c r="O370" s="2"/>
      <c r="P370" s="2"/>
      <c r="Q370" s="2"/>
      <c r="R370" s="2"/>
      <c r="S370" s="2"/>
      <c r="T370" s="2"/>
      <c r="U370" s="2"/>
      <c r="V370" s="2"/>
    </row>
    <row r="371" spans="4:22" ht="14.25" customHeight="1">
      <c r="D371" s="2"/>
      <c r="E371" s="2"/>
      <c r="F371" s="2"/>
      <c r="G371" s="2"/>
      <c r="H371" s="2"/>
      <c r="I371" s="2"/>
      <c r="J371" s="2"/>
      <c r="K371" s="2"/>
      <c r="L371" s="2"/>
      <c r="M371" s="2"/>
      <c r="N371" s="2"/>
      <c r="O371" s="2"/>
      <c r="P371" s="2"/>
      <c r="Q371" s="2"/>
      <c r="R371" s="2"/>
      <c r="S371" s="2"/>
      <c r="T371" s="2"/>
      <c r="U371" s="2"/>
      <c r="V371" s="2"/>
    </row>
    <row r="372" spans="4:22" ht="14.25" customHeight="1">
      <c r="D372" s="2"/>
      <c r="E372" s="2"/>
      <c r="F372" s="2"/>
      <c r="G372" s="2"/>
      <c r="H372" s="2"/>
      <c r="I372" s="2"/>
      <c r="J372" s="2"/>
      <c r="K372" s="2"/>
      <c r="L372" s="2"/>
      <c r="M372" s="2"/>
      <c r="N372" s="2"/>
      <c r="O372" s="2"/>
      <c r="P372" s="2"/>
      <c r="Q372" s="2"/>
      <c r="R372" s="2"/>
      <c r="S372" s="2"/>
      <c r="T372" s="2"/>
      <c r="U372" s="2"/>
      <c r="V372" s="2"/>
    </row>
    <row r="373" spans="4:22" ht="14.25" customHeight="1">
      <c r="D373" s="2"/>
      <c r="E373" s="2"/>
      <c r="F373" s="2"/>
      <c r="G373" s="2"/>
      <c r="H373" s="2"/>
      <c r="I373" s="2"/>
      <c r="J373" s="2"/>
      <c r="K373" s="2"/>
      <c r="L373" s="2"/>
      <c r="M373" s="2"/>
      <c r="N373" s="2"/>
      <c r="O373" s="2"/>
      <c r="P373" s="2"/>
      <c r="Q373" s="2"/>
      <c r="R373" s="2"/>
      <c r="S373" s="2"/>
      <c r="T373" s="2"/>
      <c r="U373" s="2"/>
      <c r="V373" s="2"/>
    </row>
    <row r="374" spans="4:22" ht="14.25" customHeight="1">
      <c r="D374" s="2"/>
      <c r="E374" s="2"/>
      <c r="F374" s="2"/>
      <c r="G374" s="2"/>
      <c r="H374" s="2"/>
      <c r="I374" s="2"/>
      <c r="J374" s="2"/>
      <c r="K374" s="2"/>
      <c r="L374" s="2"/>
      <c r="M374" s="2"/>
      <c r="N374" s="2"/>
      <c r="O374" s="2"/>
      <c r="P374" s="2"/>
      <c r="Q374" s="2"/>
      <c r="R374" s="2"/>
      <c r="S374" s="2"/>
      <c r="T374" s="2"/>
      <c r="U374" s="2"/>
      <c r="V374" s="2"/>
    </row>
    <row r="375" spans="4:22" ht="14.25" customHeight="1">
      <c r="D375" s="2"/>
      <c r="E375" s="2"/>
      <c r="F375" s="2"/>
      <c r="G375" s="2"/>
      <c r="H375" s="2"/>
      <c r="I375" s="2"/>
      <c r="J375" s="2"/>
      <c r="K375" s="2"/>
      <c r="L375" s="2"/>
      <c r="M375" s="2"/>
      <c r="N375" s="2"/>
      <c r="O375" s="2"/>
      <c r="P375" s="2"/>
      <c r="Q375" s="2"/>
      <c r="R375" s="2"/>
      <c r="S375" s="2"/>
      <c r="T375" s="2"/>
      <c r="U375" s="2"/>
      <c r="V375" s="2"/>
    </row>
    <row r="376" spans="4:22" ht="14.25" customHeight="1">
      <c r="D376" s="2"/>
      <c r="E376" s="2"/>
      <c r="F376" s="2"/>
      <c r="G376" s="2"/>
      <c r="H376" s="2"/>
      <c r="I376" s="2"/>
      <c r="J376" s="2"/>
      <c r="K376" s="2"/>
      <c r="L376" s="2"/>
      <c r="M376" s="2"/>
      <c r="N376" s="2"/>
      <c r="O376" s="2"/>
      <c r="P376" s="2"/>
      <c r="Q376" s="2"/>
      <c r="R376" s="2"/>
      <c r="S376" s="2"/>
      <c r="T376" s="2"/>
      <c r="U376" s="2"/>
      <c r="V376" s="2"/>
    </row>
    <row r="377" spans="4:22" ht="14.25" customHeight="1">
      <c r="D377" s="2"/>
      <c r="E377" s="2"/>
      <c r="F377" s="2"/>
      <c r="G377" s="2"/>
      <c r="H377" s="2"/>
      <c r="I377" s="2"/>
      <c r="J377" s="2"/>
      <c r="K377" s="2"/>
      <c r="L377" s="2"/>
      <c r="M377" s="2"/>
      <c r="N377" s="2"/>
      <c r="O377" s="2"/>
      <c r="P377" s="2"/>
      <c r="Q377" s="2"/>
      <c r="R377" s="2"/>
      <c r="S377" s="2"/>
      <c r="T377" s="2"/>
      <c r="U377" s="2"/>
      <c r="V377" s="2"/>
    </row>
    <row r="378" spans="4:22" ht="14.25" customHeight="1">
      <c r="D378" s="2"/>
      <c r="E378" s="2"/>
      <c r="F378" s="2"/>
      <c r="G378" s="2"/>
      <c r="H378" s="2"/>
      <c r="I378" s="2"/>
      <c r="J378" s="2"/>
      <c r="K378" s="2"/>
      <c r="L378" s="2"/>
      <c r="M378" s="2"/>
      <c r="N378" s="2"/>
      <c r="O378" s="2"/>
      <c r="P378" s="2"/>
      <c r="Q378" s="2"/>
      <c r="R378" s="2"/>
      <c r="S378" s="2"/>
      <c r="T378" s="2"/>
      <c r="U378" s="2"/>
      <c r="V378" s="2"/>
    </row>
    <row r="379" spans="4:22" ht="14.25" customHeight="1">
      <c r="D379" s="2"/>
      <c r="E379" s="2"/>
      <c r="F379" s="2"/>
      <c r="G379" s="2"/>
      <c r="H379" s="2"/>
      <c r="I379" s="2"/>
      <c r="J379" s="2"/>
      <c r="K379" s="2"/>
      <c r="L379" s="2"/>
      <c r="M379" s="2"/>
      <c r="N379" s="2"/>
      <c r="O379" s="2"/>
      <c r="P379" s="2"/>
      <c r="Q379" s="2"/>
      <c r="R379" s="2"/>
      <c r="S379" s="2"/>
      <c r="T379" s="2"/>
      <c r="U379" s="2"/>
      <c r="V379" s="2"/>
    </row>
    <row r="380" spans="4:22" ht="14.25" customHeight="1">
      <c r="D380" s="2"/>
      <c r="E380" s="2"/>
      <c r="F380" s="2"/>
      <c r="G380" s="2"/>
      <c r="H380" s="2"/>
      <c r="I380" s="2"/>
      <c r="J380" s="2"/>
      <c r="K380" s="2"/>
      <c r="L380" s="2"/>
      <c r="M380" s="2"/>
      <c r="N380" s="2"/>
      <c r="O380" s="2"/>
      <c r="P380" s="2"/>
      <c r="Q380" s="2"/>
      <c r="R380" s="2"/>
      <c r="S380" s="2"/>
      <c r="T380" s="2"/>
      <c r="U380" s="2"/>
      <c r="V380" s="2"/>
    </row>
    <row r="381" spans="4:22" ht="14.25" customHeight="1">
      <c r="D381" s="2"/>
      <c r="E381" s="2"/>
      <c r="F381" s="2"/>
      <c r="G381" s="2"/>
      <c r="H381" s="2"/>
      <c r="I381" s="2"/>
      <c r="J381" s="2"/>
      <c r="K381" s="2"/>
      <c r="L381" s="2"/>
      <c r="M381" s="2"/>
      <c r="N381" s="2"/>
      <c r="O381" s="2"/>
      <c r="P381" s="2"/>
      <c r="Q381" s="2"/>
      <c r="R381" s="2"/>
      <c r="S381" s="2"/>
      <c r="T381" s="2"/>
      <c r="U381" s="2"/>
      <c r="V381" s="2"/>
    </row>
    <row r="382" spans="4:22" ht="14.25" customHeight="1">
      <c r="D382" s="2"/>
      <c r="E382" s="2"/>
      <c r="F382" s="2"/>
      <c r="G382" s="2"/>
      <c r="H382" s="2"/>
      <c r="I382" s="2"/>
      <c r="J382" s="2"/>
      <c r="K382" s="2"/>
      <c r="L382" s="2"/>
      <c r="M382" s="2"/>
      <c r="N382" s="2"/>
      <c r="O382" s="2"/>
      <c r="P382" s="2"/>
      <c r="Q382" s="2"/>
      <c r="R382" s="2"/>
      <c r="S382" s="2"/>
      <c r="T382" s="2"/>
      <c r="U382" s="2"/>
      <c r="V382" s="2"/>
    </row>
    <row r="383" spans="4:22" ht="14.25" customHeight="1">
      <c r="D383" s="2"/>
      <c r="E383" s="2"/>
      <c r="F383" s="2"/>
      <c r="G383" s="2"/>
      <c r="H383" s="2"/>
      <c r="I383" s="2"/>
      <c r="J383" s="2"/>
      <c r="K383" s="2"/>
      <c r="L383" s="2"/>
      <c r="M383" s="2"/>
      <c r="N383" s="2"/>
      <c r="O383" s="2"/>
      <c r="P383" s="2"/>
      <c r="Q383" s="2"/>
      <c r="R383" s="2"/>
      <c r="S383" s="2"/>
      <c r="T383" s="2"/>
      <c r="U383" s="2"/>
      <c r="V383" s="2"/>
    </row>
    <row r="384" spans="4:22" ht="14.25" customHeight="1">
      <c r="D384" s="2"/>
      <c r="E384" s="2"/>
      <c r="F384" s="2"/>
      <c r="G384" s="2"/>
      <c r="H384" s="2"/>
      <c r="I384" s="2"/>
      <c r="J384" s="2"/>
      <c r="K384" s="2"/>
      <c r="L384" s="2"/>
      <c r="M384" s="2"/>
      <c r="N384" s="2"/>
      <c r="O384" s="2"/>
      <c r="P384" s="2"/>
      <c r="Q384" s="2"/>
      <c r="R384" s="2"/>
      <c r="S384" s="2"/>
      <c r="T384" s="2"/>
      <c r="U384" s="2"/>
      <c r="V384" s="2"/>
    </row>
    <row r="385" spans="4:22" ht="14.25" customHeight="1">
      <c r="D385" s="2"/>
      <c r="E385" s="2"/>
      <c r="F385" s="2"/>
      <c r="G385" s="2"/>
      <c r="H385" s="2"/>
      <c r="I385" s="2"/>
      <c r="J385" s="2"/>
      <c r="K385" s="2"/>
      <c r="L385" s="2"/>
      <c r="M385" s="2"/>
      <c r="N385" s="2"/>
      <c r="O385" s="2"/>
      <c r="P385" s="2"/>
      <c r="Q385" s="2"/>
      <c r="R385" s="2"/>
      <c r="S385" s="2"/>
      <c r="T385" s="2"/>
      <c r="U385" s="2"/>
      <c r="V385" s="2"/>
    </row>
    <row r="386" spans="4:22" ht="14.25" customHeight="1">
      <c r="D386" s="2"/>
      <c r="E386" s="2"/>
      <c r="F386" s="2"/>
      <c r="G386" s="2"/>
      <c r="H386" s="2"/>
      <c r="I386" s="2"/>
      <c r="J386" s="2"/>
      <c r="K386" s="2"/>
      <c r="L386" s="2"/>
      <c r="M386" s="2"/>
      <c r="N386" s="2"/>
      <c r="O386" s="2"/>
      <c r="P386" s="2"/>
      <c r="Q386" s="2"/>
      <c r="R386" s="2"/>
      <c r="S386" s="2"/>
      <c r="T386" s="2"/>
      <c r="U386" s="2"/>
      <c r="V386" s="2"/>
    </row>
    <row r="387" spans="4:22" ht="14.25" customHeight="1">
      <c r="D387" s="2"/>
      <c r="E387" s="2"/>
      <c r="F387" s="2"/>
      <c r="G387" s="2"/>
      <c r="H387" s="2"/>
      <c r="I387" s="2"/>
      <c r="J387" s="2"/>
      <c r="K387" s="2"/>
      <c r="L387" s="2"/>
      <c r="M387" s="2"/>
      <c r="N387" s="2"/>
      <c r="O387" s="2"/>
      <c r="P387" s="2"/>
      <c r="Q387" s="2"/>
      <c r="R387" s="2"/>
      <c r="S387" s="2"/>
      <c r="T387" s="2"/>
      <c r="U387" s="2"/>
      <c r="V387" s="2"/>
    </row>
    <row r="388" spans="4:22" ht="14.25" customHeight="1">
      <c r="D388" s="2"/>
      <c r="E388" s="2"/>
      <c r="F388" s="2"/>
      <c r="G388" s="2"/>
      <c r="H388" s="2"/>
      <c r="I388" s="2"/>
      <c r="J388" s="2"/>
      <c r="K388" s="2"/>
      <c r="L388" s="2"/>
      <c r="M388" s="2"/>
      <c r="N388" s="2"/>
      <c r="O388" s="2"/>
      <c r="P388" s="2"/>
      <c r="Q388" s="2"/>
      <c r="R388" s="2"/>
      <c r="S388" s="2"/>
      <c r="T388" s="2"/>
      <c r="U388" s="2"/>
      <c r="V388" s="2"/>
    </row>
    <row r="389" spans="4:22" ht="14.25" customHeight="1">
      <c r="D389" s="2"/>
      <c r="E389" s="2"/>
      <c r="F389" s="2"/>
      <c r="G389" s="2"/>
      <c r="H389" s="2"/>
      <c r="I389" s="2"/>
      <c r="J389" s="2"/>
      <c r="K389" s="2"/>
      <c r="L389" s="2"/>
      <c r="M389" s="2"/>
      <c r="N389" s="2"/>
      <c r="O389" s="2"/>
      <c r="P389" s="2"/>
      <c r="Q389" s="2"/>
      <c r="R389" s="2"/>
      <c r="S389" s="2"/>
      <c r="T389" s="2"/>
      <c r="U389" s="2"/>
      <c r="V389" s="2"/>
    </row>
    <row r="390" spans="4:22" ht="14.25" customHeight="1">
      <c r="D390" s="2"/>
      <c r="E390" s="2"/>
      <c r="F390" s="2"/>
      <c r="G390" s="2"/>
      <c r="H390" s="2"/>
      <c r="I390" s="2"/>
      <c r="J390" s="2"/>
      <c r="K390" s="2"/>
      <c r="L390" s="2"/>
      <c r="M390" s="2"/>
      <c r="N390" s="2"/>
      <c r="O390" s="2"/>
      <c r="P390" s="2"/>
      <c r="Q390" s="2"/>
      <c r="R390" s="2"/>
      <c r="S390" s="2"/>
      <c r="T390" s="2"/>
      <c r="U390" s="2"/>
      <c r="V390" s="2"/>
    </row>
    <row r="391" spans="4:22" ht="14.25" customHeight="1">
      <c r="D391" s="2"/>
      <c r="E391" s="2"/>
      <c r="F391" s="2"/>
      <c r="G391" s="2"/>
      <c r="H391" s="2"/>
      <c r="I391" s="2"/>
      <c r="J391" s="2"/>
      <c r="K391" s="2"/>
      <c r="L391" s="2"/>
      <c r="M391" s="2"/>
      <c r="N391" s="2"/>
      <c r="O391" s="2"/>
      <c r="P391" s="2"/>
      <c r="Q391" s="2"/>
      <c r="R391" s="2"/>
      <c r="S391" s="2"/>
      <c r="T391" s="2"/>
      <c r="U391" s="2"/>
      <c r="V391" s="2"/>
    </row>
    <row r="392" spans="4:22" ht="14.25" customHeight="1">
      <c r="D392" s="2"/>
      <c r="E392" s="2"/>
      <c r="F392" s="2"/>
      <c r="G392" s="2"/>
      <c r="H392" s="2"/>
      <c r="I392" s="2"/>
      <c r="J392" s="2"/>
      <c r="K392" s="2"/>
      <c r="L392" s="2"/>
      <c r="M392" s="2"/>
      <c r="N392" s="2"/>
      <c r="O392" s="2"/>
      <c r="P392" s="2"/>
      <c r="Q392" s="2"/>
      <c r="R392" s="2"/>
      <c r="S392" s="2"/>
      <c r="T392" s="2"/>
      <c r="U392" s="2"/>
      <c r="V392" s="2"/>
    </row>
    <row r="393" spans="4:22" ht="14.25" customHeight="1">
      <c r="D393" s="2"/>
      <c r="E393" s="2"/>
      <c r="F393" s="2"/>
      <c r="G393" s="2"/>
      <c r="H393" s="2"/>
      <c r="I393" s="2"/>
      <c r="J393" s="2"/>
      <c r="K393" s="2"/>
      <c r="L393" s="2"/>
      <c r="M393" s="2"/>
      <c r="N393" s="2"/>
      <c r="O393" s="2"/>
      <c r="P393" s="2"/>
      <c r="Q393" s="2"/>
      <c r="R393" s="2"/>
      <c r="S393" s="2"/>
      <c r="T393" s="2"/>
      <c r="U393" s="2"/>
      <c r="V393" s="2"/>
    </row>
    <row r="394" spans="4:22" ht="14.25" customHeight="1">
      <c r="D394" s="2"/>
      <c r="E394" s="2"/>
      <c r="F394" s="2"/>
      <c r="G394" s="2"/>
      <c r="H394" s="2"/>
      <c r="I394" s="2"/>
      <c r="J394" s="2"/>
      <c r="K394" s="2"/>
      <c r="L394" s="2"/>
      <c r="M394" s="2"/>
      <c r="N394" s="2"/>
      <c r="O394" s="2"/>
      <c r="P394" s="2"/>
      <c r="Q394" s="2"/>
      <c r="R394" s="2"/>
      <c r="S394" s="2"/>
      <c r="T394" s="2"/>
      <c r="U394" s="2"/>
      <c r="V394" s="2"/>
    </row>
    <row r="395" spans="4:22" ht="14.25" customHeight="1">
      <c r="D395" s="2"/>
      <c r="E395" s="2"/>
      <c r="F395" s="2"/>
      <c r="G395" s="2"/>
      <c r="H395" s="2"/>
      <c r="I395" s="2"/>
      <c r="J395" s="2"/>
      <c r="K395" s="2"/>
      <c r="L395" s="2"/>
      <c r="M395" s="2"/>
      <c r="N395" s="2"/>
      <c r="O395" s="2"/>
      <c r="P395" s="2"/>
      <c r="Q395" s="2"/>
      <c r="R395" s="2"/>
      <c r="S395" s="2"/>
      <c r="T395" s="2"/>
      <c r="U395" s="2"/>
      <c r="V395" s="2"/>
    </row>
    <row r="396" spans="4:22" ht="14.25" customHeight="1">
      <c r="D396" s="2"/>
      <c r="E396" s="2"/>
      <c r="F396" s="2"/>
      <c r="G396" s="2"/>
      <c r="H396" s="2"/>
      <c r="I396" s="2"/>
      <c r="J396" s="2"/>
      <c r="K396" s="2"/>
      <c r="L396" s="2"/>
      <c r="M396" s="2"/>
      <c r="N396" s="2"/>
      <c r="O396" s="2"/>
      <c r="P396" s="2"/>
      <c r="Q396" s="2"/>
      <c r="R396" s="2"/>
      <c r="S396" s="2"/>
      <c r="T396" s="2"/>
      <c r="U396" s="2"/>
      <c r="V396" s="2"/>
    </row>
    <row r="397" spans="4:22" ht="14.25" customHeight="1">
      <c r="D397" s="2"/>
      <c r="E397" s="2"/>
      <c r="F397" s="2"/>
      <c r="G397" s="2"/>
      <c r="H397" s="2"/>
      <c r="I397" s="2"/>
      <c r="J397" s="2"/>
      <c r="K397" s="2"/>
      <c r="L397" s="2"/>
      <c r="M397" s="2"/>
      <c r="N397" s="2"/>
      <c r="O397" s="2"/>
      <c r="P397" s="2"/>
      <c r="Q397" s="2"/>
      <c r="R397" s="2"/>
      <c r="S397" s="2"/>
      <c r="T397" s="2"/>
      <c r="U397" s="2"/>
      <c r="V397" s="2"/>
    </row>
    <row r="398" spans="4:22" ht="14.25" customHeight="1">
      <c r="D398" s="2"/>
      <c r="E398" s="2"/>
      <c r="F398" s="2"/>
      <c r="G398" s="2"/>
      <c r="H398" s="2"/>
      <c r="I398" s="2"/>
      <c r="J398" s="2"/>
      <c r="K398" s="2"/>
      <c r="L398" s="2"/>
      <c r="M398" s="2"/>
      <c r="N398" s="2"/>
      <c r="O398" s="2"/>
      <c r="P398" s="2"/>
      <c r="Q398" s="2"/>
      <c r="R398" s="2"/>
      <c r="S398" s="2"/>
      <c r="T398" s="2"/>
      <c r="U398" s="2"/>
      <c r="V398" s="2"/>
    </row>
    <row r="399" spans="4:22" ht="14.25" customHeight="1">
      <c r="D399" s="2"/>
      <c r="E399" s="2"/>
      <c r="F399" s="2"/>
      <c r="G399" s="2"/>
      <c r="H399" s="2"/>
      <c r="I399" s="2"/>
      <c r="J399" s="2"/>
      <c r="K399" s="2"/>
      <c r="L399" s="2"/>
      <c r="M399" s="2"/>
      <c r="N399" s="2"/>
      <c r="O399" s="2"/>
      <c r="P399" s="2"/>
      <c r="Q399" s="2"/>
      <c r="R399" s="2"/>
      <c r="S399" s="2"/>
      <c r="T399" s="2"/>
      <c r="U399" s="2"/>
      <c r="V399" s="2"/>
    </row>
    <row r="400" spans="4:22" ht="14.25" customHeight="1">
      <c r="D400" s="2"/>
      <c r="E400" s="2"/>
      <c r="F400" s="2"/>
      <c r="G400" s="2"/>
      <c r="H400" s="2"/>
      <c r="I400" s="2"/>
      <c r="J400" s="2"/>
      <c r="K400" s="2"/>
      <c r="L400" s="2"/>
      <c r="M400" s="2"/>
      <c r="N400" s="2"/>
      <c r="O400" s="2"/>
      <c r="P400" s="2"/>
      <c r="Q400" s="2"/>
      <c r="R400" s="2"/>
      <c r="S400" s="2"/>
      <c r="T400" s="2"/>
      <c r="U400" s="2"/>
      <c r="V400" s="2"/>
    </row>
    <row r="401" spans="4:22" ht="14.25" customHeight="1">
      <c r="D401" s="2"/>
      <c r="E401" s="2"/>
      <c r="F401" s="2"/>
      <c r="G401" s="2"/>
      <c r="H401" s="2"/>
      <c r="I401" s="2"/>
      <c r="J401" s="2"/>
      <c r="K401" s="2"/>
      <c r="L401" s="2"/>
      <c r="M401" s="2"/>
      <c r="N401" s="2"/>
      <c r="O401" s="2"/>
      <c r="P401" s="2"/>
      <c r="Q401" s="2"/>
      <c r="R401" s="2"/>
      <c r="S401" s="2"/>
      <c r="T401" s="2"/>
      <c r="U401" s="2"/>
      <c r="V401" s="2"/>
    </row>
    <row r="402" spans="4:22" ht="14.25" customHeight="1">
      <c r="D402" s="2"/>
      <c r="E402" s="2"/>
      <c r="F402" s="2"/>
      <c r="G402" s="2"/>
      <c r="H402" s="2"/>
      <c r="I402" s="2"/>
      <c r="J402" s="2"/>
      <c r="K402" s="2"/>
      <c r="L402" s="2"/>
      <c r="M402" s="2"/>
      <c r="N402" s="2"/>
      <c r="O402" s="2"/>
      <c r="P402" s="2"/>
      <c r="Q402" s="2"/>
      <c r="R402" s="2"/>
      <c r="S402" s="2"/>
      <c r="T402" s="2"/>
      <c r="U402" s="2"/>
      <c r="V402" s="2"/>
    </row>
    <row r="403" spans="4:22" ht="14.25" customHeight="1">
      <c r="D403" s="2"/>
      <c r="E403" s="2"/>
      <c r="F403" s="2"/>
      <c r="G403" s="2"/>
      <c r="H403" s="2"/>
      <c r="I403" s="2"/>
      <c r="J403" s="2"/>
      <c r="K403" s="2"/>
      <c r="L403" s="2"/>
      <c r="M403" s="2"/>
      <c r="N403" s="2"/>
      <c r="O403" s="2"/>
      <c r="P403" s="2"/>
      <c r="Q403" s="2"/>
      <c r="R403" s="2"/>
      <c r="S403" s="2"/>
      <c r="T403" s="2"/>
      <c r="U403" s="2"/>
      <c r="V403" s="2"/>
    </row>
    <row r="404" spans="4:22" ht="14.25" customHeight="1">
      <c r="D404" s="2"/>
      <c r="E404" s="2"/>
      <c r="F404" s="2"/>
      <c r="G404" s="2"/>
      <c r="H404" s="2"/>
      <c r="I404" s="2"/>
      <c r="J404" s="2"/>
      <c r="K404" s="2"/>
      <c r="L404" s="2"/>
      <c r="M404" s="2"/>
      <c r="N404" s="2"/>
      <c r="O404" s="2"/>
      <c r="P404" s="2"/>
      <c r="Q404" s="2"/>
      <c r="R404" s="2"/>
      <c r="S404" s="2"/>
      <c r="T404" s="2"/>
      <c r="U404" s="2"/>
      <c r="V404" s="2"/>
    </row>
    <row r="405" spans="4:22" ht="14.25" customHeight="1">
      <c r="D405" s="2"/>
      <c r="E405" s="2"/>
      <c r="F405" s="2"/>
      <c r="G405" s="2"/>
      <c r="H405" s="2"/>
      <c r="I405" s="2"/>
      <c r="J405" s="2"/>
      <c r="K405" s="2"/>
      <c r="L405" s="2"/>
      <c r="M405" s="2"/>
      <c r="N405" s="2"/>
      <c r="O405" s="2"/>
      <c r="P405" s="2"/>
      <c r="Q405" s="2"/>
      <c r="R405" s="2"/>
      <c r="S405" s="2"/>
      <c r="T405" s="2"/>
      <c r="U405" s="2"/>
      <c r="V405" s="2"/>
    </row>
    <row r="406" spans="4:22" ht="14.25" customHeight="1">
      <c r="D406" s="2"/>
      <c r="E406" s="2"/>
      <c r="F406" s="2"/>
      <c r="G406" s="2"/>
      <c r="H406" s="2"/>
      <c r="I406" s="2"/>
      <c r="J406" s="2"/>
      <c r="K406" s="2"/>
      <c r="L406" s="2"/>
      <c r="M406" s="2"/>
      <c r="N406" s="2"/>
      <c r="O406" s="2"/>
      <c r="P406" s="2"/>
      <c r="Q406" s="2"/>
      <c r="R406" s="2"/>
      <c r="S406" s="2"/>
      <c r="T406" s="2"/>
      <c r="U406" s="2"/>
      <c r="V406" s="2"/>
    </row>
    <row r="407" spans="4:22" ht="14.25" customHeight="1">
      <c r="D407" s="2"/>
      <c r="E407" s="2"/>
      <c r="F407" s="2"/>
      <c r="G407" s="2"/>
      <c r="H407" s="2"/>
      <c r="I407" s="2"/>
      <c r="J407" s="2"/>
      <c r="K407" s="2"/>
      <c r="L407" s="2"/>
      <c r="M407" s="2"/>
      <c r="N407" s="2"/>
      <c r="O407" s="2"/>
      <c r="P407" s="2"/>
      <c r="Q407" s="2"/>
      <c r="R407" s="2"/>
      <c r="S407" s="2"/>
      <c r="T407" s="2"/>
      <c r="U407" s="2"/>
      <c r="V407" s="2"/>
    </row>
    <row r="408" spans="4:22" ht="14.25" customHeight="1">
      <c r="D408" s="2"/>
      <c r="E408" s="2"/>
      <c r="F408" s="2"/>
      <c r="G408" s="2"/>
      <c r="H408" s="2"/>
      <c r="I408" s="2"/>
      <c r="J408" s="2"/>
      <c r="K408" s="2"/>
      <c r="L408" s="2"/>
      <c r="M408" s="2"/>
      <c r="N408" s="2"/>
      <c r="O408" s="2"/>
      <c r="P408" s="2"/>
      <c r="Q408" s="2"/>
      <c r="R408" s="2"/>
      <c r="S408" s="2"/>
      <c r="T408" s="2"/>
      <c r="U408" s="2"/>
      <c r="V408" s="2"/>
    </row>
    <row r="409" spans="4:22" ht="14.25" customHeight="1">
      <c r="D409" s="2"/>
      <c r="E409" s="2"/>
      <c r="F409" s="2"/>
      <c r="G409" s="2"/>
      <c r="H409" s="2"/>
      <c r="I409" s="2"/>
      <c r="J409" s="2"/>
      <c r="K409" s="2"/>
      <c r="L409" s="2"/>
      <c r="M409" s="2"/>
      <c r="N409" s="2"/>
      <c r="O409" s="2"/>
      <c r="P409" s="2"/>
      <c r="Q409" s="2"/>
      <c r="R409" s="2"/>
      <c r="S409" s="2"/>
      <c r="T409" s="2"/>
      <c r="U409" s="2"/>
      <c r="V409" s="2"/>
    </row>
    <row r="410" spans="4:22" ht="14.25" customHeight="1">
      <c r="D410" s="2"/>
      <c r="E410" s="2"/>
      <c r="F410" s="2"/>
      <c r="G410" s="2"/>
      <c r="H410" s="2"/>
      <c r="I410" s="2"/>
      <c r="J410" s="2"/>
      <c r="K410" s="2"/>
      <c r="L410" s="2"/>
      <c r="M410" s="2"/>
      <c r="N410" s="2"/>
      <c r="O410" s="2"/>
      <c r="P410" s="2"/>
      <c r="Q410" s="2"/>
      <c r="R410" s="2"/>
      <c r="S410" s="2"/>
      <c r="T410" s="2"/>
      <c r="U410" s="2"/>
      <c r="V410" s="2"/>
    </row>
    <row r="411" spans="4:22" ht="14.25" customHeight="1">
      <c r="D411" s="2"/>
      <c r="E411" s="2"/>
      <c r="F411" s="2"/>
      <c r="G411" s="2"/>
      <c r="H411" s="2"/>
      <c r="I411" s="2"/>
      <c r="J411" s="2"/>
      <c r="K411" s="2"/>
      <c r="L411" s="2"/>
      <c r="M411" s="2"/>
      <c r="N411" s="2"/>
      <c r="O411" s="2"/>
      <c r="P411" s="2"/>
      <c r="Q411" s="2"/>
      <c r="R411" s="2"/>
      <c r="S411" s="2"/>
      <c r="T411" s="2"/>
      <c r="U411" s="2"/>
      <c r="V411" s="2"/>
    </row>
    <row r="412" spans="4:22" ht="14.25" customHeight="1">
      <c r="D412" s="2"/>
      <c r="E412" s="2"/>
      <c r="F412" s="2"/>
      <c r="G412" s="2"/>
      <c r="H412" s="2"/>
      <c r="I412" s="2"/>
      <c r="J412" s="2"/>
      <c r="K412" s="2"/>
      <c r="L412" s="2"/>
      <c r="M412" s="2"/>
      <c r="N412" s="2"/>
      <c r="O412" s="2"/>
      <c r="P412" s="2"/>
      <c r="Q412" s="2"/>
      <c r="R412" s="2"/>
      <c r="S412" s="2"/>
      <c r="T412" s="2"/>
      <c r="U412" s="2"/>
      <c r="V412" s="2"/>
    </row>
    <row r="413" spans="4:22" ht="14.25" customHeight="1">
      <c r="D413" s="2"/>
      <c r="E413" s="2"/>
      <c r="F413" s="2"/>
      <c r="G413" s="2"/>
      <c r="H413" s="2"/>
      <c r="I413" s="2"/>
      <c r="J413" s="2"/>
      <c r="K413" s="2"/>
      <c r="L413" s="2"/>
      <c r="M413" s="2"/>
      <c r="N413" s="2"/>
      <c r="O413" s="2"/>
      <c r="P413" s="2"/>
      <c r="Q413" s="2"/>
      <c r="R413" s="2"/>
      <c r="S413" s="2"/>
      <c r="T413" s="2"/>
      <c r="U413" s="2"/>
      <c r="V413" s="2"/>
    </row>
    <row r="414" spans="4:22" ht="14.25" customHeight="1">
      <c r="D414" s="2"/>
      <c r="E414" s="2"/>
      <c r="F414" s="2"/>
      <c r="G414" s="2"/>
      <c r="H414" s="2"/>
      <c r="I414" s="2"/>
      <c r="J414" s="2"/>
      <c r="K414" s="2"/>
      <c r="L414" s="2"/>
      <c r="M414" s="2"/>
      <c r="N414" s="2"/>
      <c r="O414" s="2"/>
      <c r="P414" s="2"/>
      <c r="Q414" s="2"/>
      <c r="R414" s="2"/>
      <c r="S414" s="2"/>
      <c r="T414" s="2"/>
      <c r="U414" s="2"/>
      <c r="V414" s="2"/>
    </row>
    <row r="415" spans="4:22" ht="14.25" customHeight="1">
      <c r="D415" s="2"/>
      <c r="E415" s="2"/>
      <c r="F415" s="2"/>
      <c r="G415" s="2"/>
      <c r="H415" s="2"/>
      <c r="I415" s="2"/>
      <c r="J415" s="2"/>
      <c r="K415" s="2"/>
      <c r="L415" s="2"/>
      <c r="M415" s="2"/>
      <c r="N415" s="2"/>
      <c r="O415" s="2"/>
      <c r="P415" s="2"/>
      <c r="Q415" s="2"/>
      <c r="R415" s="2"/>
      <c r="S415" s="2"/>
      <c r="T415" s="2"/>
      <c r="U415" s="2"/>
      <c r="V415" s="2"/>
    </row>
    <row r="416" spans="4:22" ht="14.25" customHeight="1">
      <c r="D416" s="2"/>
      <c r="E416" s="2"/>
      <c r="F416" s="2"/>
      <c r="G416" s="2"/>
      <c r="H416" s="2"/>
      <c r="I416" s="2"/>
      <c r="J416" s="2"/>
      <c r="K416" s="2"/>
      <c r="L416" s="2"/>
      <c r="M416" s="2"/>
      <c r="N416" s="2"/>
      <c r="O416" s="2"/>
      <c r="P416" s="2"/>
      <c r="Q416" s="2"/>
      <c r="R416" s="2"/>
      <c r="S416" s="2"/>
      <c r="T416" s="2"/>
      <c r="U416" s="2"/>
      <c r="V416" s="2"/>
    </row>
    <row r="417" spans="4:22" ht="14.25" customHeight="1">
      <c r="D417" s="2"/>
      <c r="E417" s="2"/>
      <c r="F417" s="2"/>
      <c r="G417" s="2"/>
      <c r="H417" s="2"/>
      <c r="I417" s="2"/>
      <c r="J417" s="2"/>
      <c r="K417" s="2"/>
      <c r="L417" s="2"/>
      <c r="M417" s="2"/>
      <c r="N417" s="2"/>
      <c r="O417" s="2"/>
      <c r="P417" s="2"/>
      <c r="Q417" s="2"/>
      <c r="R417" s="2"/>
      <c r="S417" s="2"/>
      <c r="T417" s="2"/>
      <c r="U417" s="2"/>
      <c r="V417" s="2"/>
    </row>
    <row r="418" spans="4:22" ht="14.25" customHeight="1">
      <c r="D418" s="2"/>
      <c r="E418" s="2"/>
      <c r="F418" s="2"/>
      <c r="G418" s="2"/>
      <c r="H418" s="2"/>
      <c r="I418" s="2"/>
      <c r="J418" s="2"/>
      <c r="K418" s="2"/>
      <c r="L418" s="2"/>
      <c r="M418" s="2"/>
      <c r="N418" s="2"/>
      <c r="O418" s="2"/>
      <c r="P418" s="2"/>
      <c r="Q418" s="2"/>
      <c r="R418" s="2"/>
      <c r="S418" s="2"/>
      <c r="T418" s="2"/>
      <c r="U418" s="2"/>
      <c r="V418" s="2"/>
    </row>
    <row r="419" spans="4:22" ht="14.25" customHeight="1">
      <c r="D419" s="2"/>
      <c r="E419" s="2"/>
      <c r="F419" s="2"/>
      <c r="G419" s="2"/>
      <c r="H419" s="2"/>
      <c r="I419" s="2"/>
      <c r="J419" s="2"/>
      <c r="K419" s="2"/>
      <c r="L419" s="2"/>
      <c r="M419" s="2"/>
      <c r="N419" s="2"/>
      <c r="O419" s="2"/>
      <c r="P419" s="2"/>
      <c r="Q419" s="2"/>
      <c r="R419" s="2"/>
      <c r="S419" s="2"/>
      <c r="T419" s="2"/>
      <c r="U419" s="2"/>
      <c r="V419" s="2"/>
    </row>
    <row r="420" spans="4:22" ht="14.25" customHeight="1">
      <c r="D420" s="2"/>
      <c r="E420" s="2"/>
      <c r="F420" s="2"/>
      <c r="G420" s="2"/>
      <c r="H420" s="2"/>
      <c r="I420" s="2"/>
      <c r="J420" s="2"/>
      <c r="K420" s="2"/>
      <c r="L420" s="2"/>
      <c r="M420" s="2"/>
      <c r="N420" s="2"/>
      <c r="O420" s="2"/>
      <c r="P420" s="2"/>
      <c r="Q420" s="2"/>
      <c r="R420" s="2"/>
      <c r="S420" s="2"/>
      <c r="T420" s="2"/>
      <c r="U420" s="2"/>
      <c r="V420" s="2"/>
    </row>
    <row r="421" spans="4:22" ht="14.25" customHeight="1">
      <c r="D421" s="2"/>
      <c r="E421" s="2"/>
      <c r="F421" s="2"/>
      <c r="G421" s="2"/>
      <c r="H421" s="2"/>
      <c r="I421" s="2"/>
      <c r="J421" s="2"/>
      <c r="K421" s="2"/>
      <c r="L421" s="2"/>
      <c r="M421" s="2"/>
      <c r="N421" s="2"/>
      <c r="O421" s="2"/>
      <c r="P421" s="2"/>
      <c r="Q421" s="2"/>
      <c r="R421" s="2"/>
      <c r="S421" s="2"/>
      <c r="T421" s="2"/>
      <c r="U421" s="2"/>
      <c r="V421" s="2"/>
    </row>
    <row r="422" spans="4:22" ht="14.25" customHeight="1">
      <c r="D422" s="2"/>
      <c r="E422" s="2"/>
      <c r="F422" s="2"/>
      <c r="G422" s="2"/>
      <c r="H422" s="2"/>
      <c r="I422" s="2"/>
      <c r="J422" s="2"/>
      <c r="K422" s="2"/>
      <c r="L422" s="2"/>
      <c r="M422" s="2"/>
      <c r="N422" s="2"/>
      <c r="O422" s="2"/>
      <c r="P422" s="2"/>
      <c r="Q422" s="2"/>
      <c r="R422" s="2"/>
      <c r="S422" s="2"/>
      <c r="T422" s="2"/>
      <c r="U422" s="2"/>
      <c r="V422" s="2"/>
    </row>
    <row r="423" spans="4:22" ht="14.25" customHeight="1">
      <c r="D423" s="2"/>
      <c r="E423" s="2"/>
      <c r="F423" s="2"/>
      <c r="G423" s="2"/>
      <c r="H423" s="2"/>
      <c r="I423" s="2"/>
      <c r="J423" s="2"/>
      <c r="K423" s="2"/>
      <c r="L423" s="2"/>
      <c r="M423" s="2"/>
      <c r="N423" s="2"/>
      <c r="O423" s="2"/>
      <c r="P423" s="2"/>
      <c r="Q423" s="2"/>
      <c r="R423" s="2"/>
      <c r="S423" s="2"/>
      <c r="T423" s="2"/>
      <c r="U423" s="2"/>
      <c r="V423" s="2"/>
    </row>
    <row r="424" spans="4:22" ht="14.25" customHeight="1">
      <c r="D424" s="2"/>
      <c r="E424" s="2"/>
      <c r="F424" s="2"/>
      <c r="G424" s="2"/>
      <c r="H424" s="2"/>
      <c r="I424" s="2"/>
      <c r="J424" s="2"/>
      <c r="K424" s="2"/>
      <c r="L424" s="2"/>
      <c r="M424" s="2"/>
      <c r="N424" s="2"/>
      <c r="O424" s="2"/>
      <c r="P424" s="2"/>
      <c r="Q424" s="2"/>
      <c r="R424" s="2"/>
      <c r="S424" s="2"/>
      <c r="T424" s="2"/>
      <c r="U424" s="2"/>
      <c r="V424" s="2"/>
    </row>
    <row r="425" spans="4:22" ht="14.25" customHeight="1">
      <c r="D425" s="2"/>
      <c r="E425" s="2"/>
      <c r="F425" s="2"/>
      <c r="G425" s="2"/>
      <c r="H425" s="2"/>
      <c r="I425" s="2"/>
      <c r="J425" s="2"/>
      <c r="K425" s="2"/>
      <c r="L425" s="2"/>
      <c r="M425" s="2"/>
      <c r="N425" s="2"/>
      <c r="O425" s="2"/>
      <c r="P425" s="2"/>
      <c r="Q425" s="2"/>
      <c r="R425" s="2"/>
      <c r="S425" s="2"/>
      <c r="T425" s="2"/>
      <c r="U425" s="2"/>
      <c r="V425" s="2"/>
    </row>
    <row r="426" spans="4:22" ht="14.25" customHeight="1">
      <c r="D426" s="2"/>
      <c r="E426" s="2"/>
      <c r="F426" s="2"/>
      <c r="G426" s="2"/>
      <c r="H426" s="2"/>
      <c r="I426" s="2"/>
      <c r="J426" s="2"/>
      <c r="K426" s="2"/>
      <c r="L426" s="2"/>
      <c r="M426" s="2"/>
      <c r="N426" s="2"/>
      <c r="O426" s="2"/>
      <c r="P426" s="2"/>
      <c r="Q426" s="2"/>
      <c r="R426" s="2"/>
      <c r="S426" s="2"/>
      <c r="T426" s="2"/>
      <c r="U426" s="2"/>
      <c r="V426" s="2"/>
    </row>
    <row r="427" spans="4:22" ht="14.25" customHeight="1">
      <c r="D427" s="2"/>
      <c r="E427" s="2"/>
      <c r="F427" s="2"/>
      <c r="G427" s="2"/>
      <c r="H427" s="2"/>
      <c r="I427" s="2"/>
      <c r="J427" s="2"/>
      <c r="K427" s="2"/>
      <c r="L427" s="2"/>
      <c r="M427" s="2"/>
      <c r="N427" s="2"/>
      <c r="O427" s="2"/>
      <c r="P427" s="2"/>
      <c r="Q427" s="2"/>
      <c r="R427" s="2"/>
      <c r="S427" s="2"/>
      <c r="T427" s="2"/>
      <c r="U427" s="2"/>
      <c r="V427" s="2"/>
    </row>
    <row r="428" spans="4:22" ht="14.25" customHeight="1">
      <c r="D428" s="2"/>
      <c r="E428" s="2"/>
      <c r="F428" s="2"/>
      <c r="G428" s="2"/>
      <c r="H428" s="2"/>
      <c r="I428" s="2"/>
      <c r="J428" s="2"/>
      <c r="K428" s="2"/>
      <c r="L428" s="2"/>
      <c r="M428" s="2"/>
      <c r="N428" s="2"/>
      <c r="O428" s="2"/>
      <c r="P428" s="2"/>
      <c r="Q428" s="2"/>
      <c r="R428" s="2"/>
      <c r="S428" s="2"/>
      <c r="T428" s="2"/>
      <c r="U428" s="2"/>
      <c r="V428" s="2"/>
    </row>
    <row r="429" spans="4:22" ht="14.25" customHeight="1">
      <c r="D429" s="2"/>
      <c r="E429" s="2"/>
      <c r="F429" s="2"/>
      <c r="G429" s="2"/>
      <c r="H429" s="2"/>
      <c r="I429" s="2"/>
      <c r="J429" s="2"/>
      <c r="K429" s="2"/>
      <c r="L429" s="2"/>
      <c r="M429" s="2"/>
      <c r="N429" s="2"/>
      <c r="O429" s="2"/>
      <c r="P429" s="2"/>
      <c r="Q429" s="2"/>
      <c r="R429" s="2"/>
      <c r="S429" s="2"/>
      <c r="T429" s="2"/>
      <c r="U429" s="2"/>
      <c r="V429" s="2"/>
    </row>
    <row r="430" spans="4:22" ht="14.25" customHeight="1">
      <c r="D430" s="2"/>
      <c r="E430" s="2"/>
      <c r="F430" s="2"/>
      <c r="G430" s="2"/>
      <c r="H430" s="2"/>
      <c r="I430" s="2"/>
      <c r="J430" s="2"/>
      <c r="K430" s="2"/>
      <c r="L430" s="2"/>
      <c r="M430" s="2"/>
      <c r="N430" s="2"/>
      <c r="O430" s="2"/>
      <c r="P430" s="2"/>
      <c r="Q430" s="2"/>
      <c r="R430" s="2"/>
      <c r="S430" s="2"/>
      <c r="T430" s="2"/>
      <c r="U430" s="2"/>
      <c r="V430" s="2"/>
    </row>
    <row r="431" spans="4:22" ht="14.25" customHeight="1">
      <c r="D431" s="2"/>
      <c r="E431" s="2"/>
      <c r="F431" s="2"/>
      <c r="G431" s="2"/>
      <c r="H431" s="2"/>
      <c r="I431" s="2"/>
      <c r="J431" s="2"/>
      <c r="K431" s="2"/>
      <c r="L431" s="2"/>
      <c r="M431" s="2"/>
      <c r="N431" s="2"/>
      <c r="O431" s="2"/>
      <c r="P431" s="2"/>
      <c r="Q431" s="2"/>
      <c r="R431" s="2"/>
      <c r="S431" s="2"/>
      <c r="T431" s="2"/>
      <c r="U431" s="2"/>
      <c r="V431" s="2"/>
    </row>
    <row r="432" spans="4:22" ht="14.25" customHeight="1">
      <c r="D432" s="2"/>
      <c r="E432" s="2"/>
      <c r="F432" s="2"/>
      <c r="G432" s="2"/>
      <c r="H432" s="2"/>
      <c r="I432" s="2"/>
      <c r="J432" s="2"/>
      <c r="K432" s="2"/>
      <c r="L432" s="2"/>
      <c r="M432" s="2"/>
      <c r="N432" s="2"/>
      <c r="O432" s="2"/>
      <c r="P432" s="2"/>
      <c r="Q432" s="2"/>
      <c r="R432" s="2"/>
      <c r="S432" s="2"/>
      <c r="T432" s="2"/>
      <c r="U432" s="2"/>
      <c r="V432" s="2"/>
    </row>
    <row r="433" spans="4:22" ht="14.25" customHeight="1">
      <c r="D433" s="2"/>
      <c r="E433" s="2"/>
      <c r="F433" s="2"/>
      <c r="G433" s="2"/>
      <c r="H433" s="2"/>
      <c r="I433" s="2"/>
      <c r="J433" s="2"/>
      <c r="K433" s="2"/>
      <c r="L433" s="2"/>
      <c r="M433" s="2"/>
      <c r="N433" s="2"/>
      <c r="O433" s="2"/>
      <c r="P433" s="2"/>
      <c r="Q433" s="2"/>
      <c r="R433" s="2"/>
      <c r="S433" s="2"/>
      <c r="T433" s="2"/>
      <c r="U433" s="2"/>
      <c r="V433" s="2"/>
    </row>
    <row r="434" spans="4:22" ht="14.25" customHeight="1">
      <c r="D434" s="2"/>
      <c r="E434" s="2"/>
      <c r="F434" s="2"/>
      <c r="G434" s="2"/>
      <c r="H434" s="2"/>
      <c r="I434" s="2"/>
      <c r="J434" s="2"/>
      <c r="K434" s="2"/>
      <c r="L434" s="2"/>
      <c r="M434" s="2"/>
      <c r="N434" s="2"/>
      <c r="O434" s="2"/>
      <c r="P434" s="2"/>
      <c r="Q434" s="2"/>
      <c r="R434" s="2"/>
      <c r="S434" s="2"/>
      <c r="T434" s="2"/>
      <c r="U434" s="2"/>
      <c r="V434" s="2"/>
    </row>
    <row r="435" spans="4:22" ht="14.25" customHeight="1">
      <c r="D435" s="2"/>
      <c r="E435" s="2"/>
      <c r="F435" s="2"/>
      <c r="G435" s="2"/>
      <c r="H435" s="2"/>
      <c r="I435" s="2"/>
      <c r="J435" s="2"/>
      <c r="K435" s="2"/>
      <c r="L435" s="2"/>
      <c r="M435" s="2"/>
      <c r="N435" s="2"/>
      <c r="O435" s="2"/>
      <c r="P435" s="2"/>
      <c r="Q435" s="2"/>
      <c r="R435" s="2"/>
      <c r="S435" s="2"/>
      <c r="T435" s="2"/>
      <c r="U435" s="2"/>
      <c r="V435" s="2"/>
    </row>
    <row r="436" spans="4:22" ht="14.25" customHeight="1">
      <c r="D436" s="2"/>
      <c r="E436" s="2"/>
      <c r="F436" s="2"/>
      <c r="G436" s="2"/>
      <c r="H436" s="2"/>
      <c r="I436" s="2"/>
      <c r="J436" s="2"/>
      <c r="K436" s="2"/>
      <c r="L436" s="2"/>
      <c r="M436" s="2"/>
      <c r="N436" s="2"/>
      <c r="O436" s="2"/>
      <c r="P436" s="2"/>
      <c r="Q436" s="2"/>
      <c r="R436" s="2"/>
      <c r="S436" s="2"/>
      <c r="T436" s="2"/>
      <c r="U436" s="2"/>
      <c r="V436" s="2"/>
    </row>
    <row r="437" spans="4:22" ht="14.25" customHeight="1">
      <c r="D437" s="2"/>
      <c r="E437" s="2"/>
      <c r="F437" s="2"/>
      <c r="G437" s="2"/>
      <c r="H437" s="2"/>
      <c r="I437" s="2"/>
      <c r="J437" s="2"/>
      <c r="K437" s="2"/>
      <c r="L437" s="2"/>
      <c r="M437" s="2"/>
      <c r="N437" s="2"/>
      <c r="O437" s="2"/>
      <c r="P437" s="2"/>
      <c r="Q437" s="2"/>
      <c r="R437" s="2"/>
      <c r="S437" s="2"/>
      <c r="T437" s="2"/>
      <c r="U437" s="2"/>
      <c r="V437" s="2"/>
    </row>
    <row r="438" spans="4:22" ht="14.25" customHeight="1">
      <c r="D438" s="2"/>
      <c r="E438" s="2"/>
      <c r="F438" s="2"/>
      <c r="G438" s="2"/>
      <c r="H438" s="2"/>
      <c r="I438" s="2"/>
      <c r="J438" s="2"/>
      <c r="K438" s="2"/>
      <c r="L438" s="2"/>
      <c r="M438" s="2"/>
      <c r="N438" s="2"/>
      <c r="O438" s="2"/>
      <c r="P438" s="2"/>
      <c r="Q438" s="2"/>
      <c r="R438" s="2"/>
      <c r="S438" s="2"/>
      <c r="T438" s="2"/>
      <c r="U438" s="2"/>
      <c r="V438" s="2"/>
    </row>
    <row r="439" spans="4:22" ht="14.25" customHeight="1">
      <c r="D439" s="2"/>
      <c r="E439" s="2"/>
      <c r="F439" s="2"/>
      <c r="G439" s="2"/>
      <c r="H439" s="2"/>
      <c r="I439" s="2"/>
      <c r="J439" s="2"/>
      <c r="K439" s="2"/>
      <c r="L439" s="2"/>
      <c r="M439" s="2"/>
      <c r="N439" s="2"/>
      <c r="O439" s="2"/>
      <c r="P439" s="2"/>
      <c r="Q439" s="2"/>
      <c r="R439" s="2"/>
      <c r="S439" s="2"/>
      <c r="T439" s="2"/>
      <c r="U439" s="2"/>
      <c r="V439" s="2"/>
    </row>
    <row r="440" spans="4:22" ht="14.25" customHeight="1">
      <c r="D440" s="2"/>
      <c r="E440" s="2"/>
      <c r="F440" s="2"/>
      <c r="G440" s="2"/>
      <c r="H440" s="2"/>
      <c r="I440" s="2"/>
      <c r="J440" s="2"/>
      <c r="K440" s="2"/>
      <c r="L440" s="2"/>
      <c r="M440" s="2"/>
      <c r="N440" s="2"/>
      <c r="O440" s="2"/>
      <c r="P440" s="2"/>
      <c r="Q440" s="2"/>
      <c r="R440" s="2"/>
      <c r="S440" s="2"/>
      <c r="T440" s="2"/>
      <c r="U440" s="2"/>
      <c r="V440" s="2"/>
    </row>
    <row r="441" spans="4:22" ht="14.25" customHeight="1">
      <c r="D441" s="2"/>
      <c r="E441" s="2"/>
      <c r="F441" s="2"/>
      <c r="G441" s="2"/>
      <c r="H441" s="2"/>
      <c r="I441" s="2"/>
      <c r="J441" s="2"/>
      <c r="K441" s="2"/>
      <c r="L441" s="2"/>
      <c r="M441" s="2"/>
      <c r="N441" s="2"/>
      <c r="O441" s="2"/>
      <c r="P441" s="2"/>
      <c r="Q441" s="2"/>
      <c r="R441" s="2"/>
      <c r="S441" s="2"/>
      <c r="T441" s="2"/>
      <c r="U441" s="2"/>
      <c r="V441" s="2"/>
    </row>
    <row r="442" spans="4:22" ht="14.25" customHeight="1">
      <c r="D442" s="2"/>
      <c r="E442" s="2"/>
      <c r="F442" s="2"/>
      <c r="G442" s="2"/>
      <c r="H442" s="2"/>
      <c r="I442" s="2"/>
      <c r="J442" s="2"/>
      <c r="K442" s="2"/>
      <c r="L442" s="2"/>
      <c r="M442" s="2"/>
      <c r="N442" s="2"/>
      <c r="O442" s="2"/>
      <c r="P442" s="2"/>
      <c r="Q442" s="2"/>
      <c r="R442" s="2"/>
      <c r="S442" s="2"/>
      <c r="T442" s="2"/>
      <c r="U442" s="2"/>
      <c r="V442" s="2"/>
    </row>
    <row r="443" spans="4:22" ht="14.25" customHeight="1">
      <c r="D443" s="2"/>
      <c r="E443" s="2"/>
      <c r="F443" s="2"/>
      <c r="G443" s="2"/>
      <c r="H443" s="2"/>
      <c r="I443" s="2"/>
      <c r="J443" s="2"/>
      <c r="K443" s="2"/>
      <c r="L443" s="2"/>
      <c r="M443" s="2"/>
      <c r="N443" s="2"/>
      <c r="O443" s="2"/>
      <c r="P443" s="2"/>
      <c r="Q443" s="2"/>
      <c r="R443" s="2"/>
      <c r="S443" s="2"/>
      <c r="T443" s="2"/>
      <c r="U443" s="2"/>
      <c r="V443" s="2"/>
    </row>
    <row r="444" spans="4:22" ht="14.25" customHeight="1">
      <c r="D444" s="2"/>
      <c r="E444" s="2"/>
      <c r="F444" s="2"/>
      <c r="G444" s="2"/>
      <c r="H444" s="2"/>
      <c r="I444" s="2"/>
      <c r="J444" s="2"/>
      <c r="K444" s="2"/>
      <c r="L444" s="2"/>
      <c r="M444" s="2"/>
      <c r="N444" s="2"/>
      <c r="O444" s="2"/>
      <c r="P444" s="2"/>
      <c r="Q444" s="2"/>
      <c r="R444" s="2"/>
      <c r="S444" s="2"/>
      <c r="T444" s="2"/>
      <c r="U444" s="2"/>
      <c r="V444" s="2"/>
    </row>
    <row r="445" spans="4:22" ht="14.25" customHeight="1">
      <c r="D445" s="2"/>
      <c r="E445" s="2"/>
      <c r="F445" s="2"/>
      <c r="G445" s="2"/>
      <c r="H445" s="2"/>
      <c r="I445" s="2"/>
      <c r="J445" s="2"/>
      <c r="K445" s="2"/>
      <c r="L445" s="2"/>
      <c r="M445" s="2"/>
      <c r="N445" s="2"/>
      <c r="O445" s="2"/>
      <c r="P445" s="2"/>
      <c r="Q445" s="2"/>
      <c r="R445" s="2"/>
      <c r="S445" s="2"/>
      <c r="T445" s="2"/>
      <c r="U445" s="2"/>
      <c r="V445" s="2"/>
    </row>
    <row r="446" spans="4:22" ht="14.25" customHeight="1">
      <c r="D446" s="2"/>
      <c r="E446" s="2"/>
      <c r="F446" s="2"/>
      <c r="G446" s="2"/>
      <c r="H446" s="2"/>
      <c r="I446" s="2"/>
      <c r="J446" s="2"/>
      <c r="K446" s="2"/>
      <c r="L446" s="2"/>
      <c r="M446" s="2"/>
      <c r="N446" s="2"/>
      <c r="O446" s="2"/>
      <c r="P446" s="2"/>
      <c r="Q446" s="2"/>
      <c r="R446" s="2"/>
      <c r="S446" s="2"/>
      <c r="T446" s="2"/>
      <c r="U446" s="2"/>
      <c r="V446" s="2"/>
    </row>
    <row r="447" spans="4:22" ht="14.25" customHeight="1">
      <c r="D447" s="2"/>
      <c r="E447" s="2"/>
      <c r="F447" s="2"/>
      <c r="G447" s="2"/>
      <c r="H447" s="2"/>
      <c r="I447" s="2"/>
      <c r="J447" s="2"/>
      <c r="K447" s="2"/>
      <c r="L447" s="2"/>
      <c r="M447" s="2"/>
      <c r="N447" s="2"/>
      <c r="O447" s="2"/>
      <c r="P447" s="2"/>
      <c r="Q447" s="2"/>
      <c r="R447" s="2"/>
      <c r="S447" s="2"/>
      <c r="T447" s="2"/>
      <c r="U447" s="2"/>
      <c r="V447" s="2"/>
    </row>
    <row r="448" spans="4:22" ht="14.25" customHeight="1">
      <c r="D448" s="2"/>
      <c r="E448" s="2"/>
      <c r="F448" s="2"/>
      <c r="G448" s="2"/>
      <c r="H448" s="2"/>
      <c r="I448" s="2"/>
      <c r="J448" s="2"/>
      <c r="K448" s="2"/>
      <c r="L448" s="2"/>
      <c r="M448" s="2"/>
      <c r="N448" s="2"/>
      <c r="O448" s="2"/>
      <c r="P448" s="2"/>
      <c r="Q448" s="2"/>
      <c r="R448" s="2"/>
      <c r="S448" s="2"/>
      <c r="T448" s="2"/>
      <c r="U448" s="2"/>
      <c r="V448" s="2"/>
    </row>
    <row r="449" spans="4:22" ht="14.25" customHeight="1">
      <c r="D449" s="2"/>
      <c r="E449" s="2"/>
      <c r="F449" s="2"/>
      <c r="G449" s="2"/>
      <c r="H449" s="2"/>
      <c r="I449" s="2"/>
      <c r="J449" s="2"/>
      <c r="K449" s="2"/>
      <c r="L449" s="2"/>
      <c r="M449" s="2"/>
      <c r="N449" s="2"/>
      <c r="O449" s="2"/>
      <c r="P449" s="2"/>
      <c r="Q449" s="2"/>
      <c r="R449" s="2"/>
      <c r="S449" s="2"/>
      <c r="T449" s="2"/>
      <c r="U449" s="2"/>
      <c r="V449" s="2"/>
    </row>
    <row r="450" spans="4:22" ht="14.25" customHeight="1">
      <c r="D450" s="2"/>
      <c r="E450" s="2"/>
      <c r="F450" s="2"/>
      <c r="G450" s="2"/>
      <c r="H450" s="2"/>
      <c r="I450" s="2"/>
      <c r="J450" s="2"/>
      <c r="K450" s="2"/>
      <c r="L450" s="2"/>
      <c r="M450" s="2"/>
      <c r="N450" s="2"/>
      <c r="O450" s="2"/>
      <c r="P450" s="2"/>
      <c r="Q450" s="2"/>
      <c r="R450" s="2"/>
      <c r="S450" s="2"/>
      <c r="T450" s="2"/>
      <c r="U450" s="2"/>
      <c r="V450" s="2"/>
    </row>
    <row r="451" spans="4:22" ht="14.25" customHeight="1">
      <c r="D451" s="2"/>
      <c r="E451" s="2"/>
      <c r="F451" s="2"/>
      <c r="G451" s="2"/>
      <c r="H451" s="2"/>
      <c r="I451" s="2"/>
      <c r="J451" s="2"/>
      <c r="K451" s="2"/>
      <c r="L451" s="2"/>
      <c r="M451" s="2"/>
      <c r="N451" s="2"/>
      <c r="O451" s="2"/>
      <c r="P451" s="2"/>
      <c r="Q451" s="2"/>
      <c r="R451" s="2"/>
      <c r="S451" s="2"/>
      <c r="T451" s="2"/>
      <c r="U451" s="2"/>
      <c r="V451" s="2"/>
    </row>
    <row r="452" spans="4:22" ht="14.25" customHeight="1">
      <c r="D452" s="2"/>
      <c r="E452" s="2"/>
      <c r="F452" s="2"/>
      <c r="G452" s="2"/>
      <c r="H452" s="2"/>
      <c r="I452" s="2"/>
      <c r="J452" s="2"/>
      <c r="K452" s="2"/>
      <c r="L452" s="2"/>
      <c r="M452" s="2"/>
      <c r="N452" s="2"/>
      <c r="O452" s="2"/>
      <c r="P452" s="2"/>
      <c r="Q452" s="2"/>
      <c r="R452" s="2"/>
      <c r="S452" s="2"/>
      <c r="T452" s="2"/>
      <c r="U452" s="2"/>
      <c r="V452" s="2"/>
    </row>
    <row r="453" spans="4:22" ht="14.25" customHeight="1">
      <c r="D453" s="2"/>
      <c r="E453" s="2"/>
      <c r="F453" s="2"/>
      <c r="G453" s="2"/>
      <c r="H453" s="2"/>
      <c r="I453" s="2"/>
      <c r="J453" s="2"/>
      <c r="K453" s="2"/>
      <c r="L453" s="2"/>
      <c r="M453" s="2"/>
      <c r="N453" s="2"/>
      <c r="O453" s="2"/>
      <c r="P453" s="2"/>
      <c r="Q453" s="2"/>
      <c r="R453" s="2"/>
      <c r="S453" s="2"/>
      <c r="T453" s="2"/>
      <c r="U453" s="2"/>
      <c r="V453" s="2"/>
    </row>
    <row r="454" spans="4:22" ht="14.25" customHeight="1">
      <c r="D454" s="2"/>
      <c r="E454" s="2"/>
      <c r="F454" s="2"/>
      <c r="G454" s="2"/>
      <c r="H454" s="2"/>
      <c r="I454" s="2"/>
      <c r="J454" s="2"/>
      <c r="K454" s="2"/>
      <c r="L454" s="2"/>
      <c r="M454" s="2"/>
      <c r="N454" s="2"/>
      <c r="O454" s="2"/>
      <c r="P454" s="2"/>
      <c r="Q454" s="2"/>
      <c r="R454" s="2"/>
      <c r="S454" s="2"/>
      <c r="T454" s="2"/>
      <c r="U454" s="2"/>
      <c r="V454" s="2"/>
    </row>
    <row r="455" spans="4:22" ht="14.25" customHeight="1">
      <c r="D455" s="2"/>
      <c r="E455" s="2"/>
      <c r="F455" s="2"/>
      <c r="G455" s="2"/>
      <c r="H455" s="2"/>
      <c r="I455" s="2"/>
      <c r="J455" s="2"/>
      <c r="K455" s="2"/>
      <c r="L455" s="2"/>
      <c r="M455" s="2"/>
      <c r="N455" s="2"/>
      <c r="O455" s="2"/>
      <c r="P455" s="2"/>
      <c r="Q455" s="2"/>
      <c r="R455" s="2"/>
      <c r="S455" s="2"/>
      <c r="T455" s="2"/>
      <c r="U455" s="2"/>
      <c r="V455" s="2"/>
    </row>
    <row r="456" spans="4:22" ht="14.25" customHeight="1">
      <c r="D456" s="2"/>
      <c r="E456" s="2"/>
      <c r="F456" s="2"/>
      <c r="G456" s="2"/>
      <c r="H456" s="2"/>
      <c r="I456" s="2"/>
      <c r="J456" s="2"/>
      <c r="K456" s="2"/>
      <c r="L456" s="2"/>
      <c r="M456" s="2"/>
      <c r="N456" s="2"/>
      <c r="O456" s="2"/>
      <c r="P456" s="2"/>
      <c r="Q456" s="2"/>
      <c r="R456" s="2"/>
      <c r="S456" s="2"/>
      <c r="T456" s="2"/>
      <c r="U456" s="2"/>
      <c r="V456" s="2"/>
    </row>
    <row r="457" spans="4:22" ht="14.25" customHeight="1">
      <c r="D457" s="2"/>
      <c r="E457" s="2"/>
      <c r="F457" s="2"/>
      <c r="G457" s="2"/>
      <c r="H457" s="2"/>
      <c r="I457" s="2"/>
      <c r="J457" s="2"/>
      <c r="K457" s="2"/>
      <c r="L457" s="2"/>
      <c r="M457" s="2"/>
      <c r="N457" s="2"/>
      <c r="O457" s="2"/>
      <c r="P457" s="2"/>
      <c r="Q457" s="2"/>
      <c r="R457" s="2"/>
      <c r="S457" s="2"/>
      <c r="T457" s="2"/>
      <c r="U457" s="2"/>
      <c r="V457" s="2"/>
    </row>
    <row r="458" spans="4:22" ht="14.25" customHeight="1">
      <c r="D458" s="2"/>
      <c r="E458" s="2"/>
      <c r="F458" s="2"/>
      <c r="G458" s="2"/>
      <c r="H458" s="2"/>
      <c r="I458" s="2"/>
      <c r="J458" s="2"/>
      <c r="K458" s="2"/>
      <c r="L458" s="2"/>
      <c r="M458" s="2"/>
      <c r="N458" s="2"/>
      <c r="O458" s="2"/>
      <c r="P458" s="2"/>
      <c r="Q458" s="2"/>
      <c r="R458" s="2"/>
      <c r="S458" s="2"/>
      <c r="T458" s="2"/>
      <c r="U458" s="2"/>
      <c r="V458" s="2"/>
    </row>
    <row r="459" spans="4:22" ht="14.25" customHeight="1">
      <c r="D459" s="2"/>
      <c r="E459" s="2"/>
      <c r="F459" s="2"/>
      <c r="G459" s="2"/>
      <c r="H459" s="2"/>
      <c r="I459" s="2"/>
      <c r="J459" s="2"/>
      <c r="K459" s="2"/>
      <c r="L459" s="2"/>
      <c r="M459" s="2"/>
      <c r="N459" s="2"/>
      <c r="O459" s="2"/>
      <c r="P459" s="2"/>
      <c r="Q459" s="2"/>
      <c r="R459" s="2"/>
      <c r="S459" s="2"/>
      <c r="T459" s="2"/>
      <c r="U459" s="2"/>
      <c r="V459" s="2"/>
    </row>
    <row r="460" spans="4:22" ht="14.25" customHeight="1">
      <c r="D460" s="2"/>
      <c r="E460" s="2"/>
      <c r="F460" s="2"/>
      <c r="G460" s="2"/>
      <c r="H460" s="2"/>
      <c r="I460" s="2"/>
      <c r="J460" s="2"/>
      <c r="K460" s="2"/>
      <c r="L460" s="2"/>
      <c r="M460" s="2"/>
      <c r="N460" s="2"/>
      <c r="O460" s="2"/>
      <c r="P460" s="2"/>
      <c r="Q460" s="2"/>
      <c r="R460" s="2"/>
      <c r="S460" s="2"/>
      <c r="T460" s="2"/>
      <c r="U460" s="2"/>
      <c r="V460" s="2"/>
    </row>
    <row r="461" spans="4:22" ht="14.25" customHeight="1">
      <c r="D461" s="2"/>
      <c r="E461" s="2"/>
      <c r="F461" s="2"/>
      <c r="G461" s="2"/>
      <c r="H461" s="2"/>
      <c r="I461" s="2"/>
      <c r="J461" s="2"/>
      <c r="K461" s="2"/>
      <c r="L461" s="2"/>
      <c r="M461" s="2"/>
      <c r="N461" s="2"/>
      <c r="O461" s="2"/>
      <c r="P461" s="2"/>
      <c r="Q461" s="2"/>
      <c r="R461" s="2"/>
      <c r="S461" s="2"/>
      <c r="T461" s="2"/>
      <c r="U461" s="2"/>
      <c r="V461" s="2"/>
    </row>
    <row r="462" spans="4:22" ht="14.25" customHeight="1">
      <c r="D462" s="2"/>
      <c r="E462" s="2"/>
      <c r="F462" s="2"/>
      <c r="G462" s="2"/>
      <c r="H462" s="2"/>
      <c r="I462" s="2"/>
      <c r="J462" s="2"/>
      <c r="K462" s="2"/>
      <c r="L462" s="2"/>
      <c r="M462" s="2"/>
      <c r="N462" s="2"/>
      <c r="O462" s="2"/>
      <c r="P462" s="2"/>
      <c r="Q462" s="2"/>
      <c r="R462" s="2"/>
      <c r="S462" s="2"/>
      <c r="T462" s="2"/>
      <c r="U462" s="2"/>
      <c r="V462" s="2"/>
    </row>
    <row r="463" spans="4:22" ht="14.25" customHeight="1">
      <c r="D463" s="2"/>
      <c r="E463" s="2"/>
      <c r="F463" s="2"/>
      <c r="G463" s="2"/>
      <c r="H463" s="2"/>
      <c r="I463" s="2"/>
      <c r="J463" s="2"/>
      <c r="K463" s="2"/>
      <c r="L463" s="2"/>
      <c r="M463" s="2"/>
      <c r="N463" s="2"/>
      <c r="O463" s="2"/>
      <c r="P463" s="2"/>
      <c r="Q463" s="2"/>
      <c r="R463" s="2"/>
      <c r="S463" s="2"/>
      <c r="T463" s="2"/>
      <c r="U463" s="2"/>
      <c r="V463" s="2"/>
    </row>
    <row r="464" spans="4:22" ht="14.25" customHeight="1">
      <c r="D464" s="2"/>
      <c r="E464" s="2"/>
      <c r="F464" s="2"/>
      <c r="G464" s="2"/>
      <c r="H464" s="2"/>
      <c r="I464" s="2"/>
      <c r="J464" s="2"/>
      <c r="K464" s="2"/>
      <c r="L464" s="2"/>
      <c r="M464" s="2"/>
      <c r="N464" s="2"/>
      <c r="O464" s="2"/>
      <c r="P464" s="2"/>
      <c r="Q464" s="2"/>
      <c r="R464" s="2"/>
      <c r="S464" s="2"/>
      <c r="T464" s="2"/>
      <c r="U464" s="2"/>
      <c r="V464" s="2"/>
    </row>
    <row r="465" spans="4:22" ht="14.25" customHeight="1">
      <c r="D465" s="2"/>
      <c r="E465" s="2"/>
      <c r="F465" s="2"/>
      <c r="G465" s="2"/>
      <c r="H465" s="2"/>
      <c r="I465" s="2"/>
      <c r="J465" s="2"/>
      <c r="K465" s="2"/>
      <c r="L465" s="2"/>
      <c r="M465" s="2"/>
      <c r="N465" s="2"/>
      <c r="O465" s="2"/>
      <c r="P465" s="2"/>
      <c r="Q465" s="2"/>
      <c r="R465" s="2"/>
      <c r="S465" s="2"/>
      <c r="T465" s="2"/>
      <c r="U465" s="2"/>
      <c r="V465" s="2"/>
    </row>
    <row r="466" spans="4:22" ht="14.25" customHeight="1">
      <c r="D466" s="2"/>
      <c r="E466" s="2"/>
      <c r="F466" s="2"/>
      <c r="G466" s="2"/>
      <c r="H466" s="2"/>
      <c r="I466" s="2"/>
      <c r="J466" s="2"/>
      <c r="K466" s="2"/>
      <c r="L466" s="2"/>
      <c r="M466" s="2"/>
      <c r="N466" s="2"/>
      <c r="O466" s="2"/>
      <c r="P466" s="2"/>
      <c r="Q466" s="2"/>
      <c r="R466" s="2"/>
      <c r="S466" s="2"/>
      <c r="T466" s="2"/>
      <c r="U466" s="2"/>
      <c r="V466" s="2"/>
    </row>
    <row r="467" spans="4:22" ht="14.25" customHeight="1">
      <c r="D467" s="2"/>
      <c r="E467" s="2"/>
      <c r="F467" s="2"/>
      <c r="G467" s="2"/>
      <c r="H467" s="2"/>
      <c r="I467" s="2"/>
      <c r="J467" s="2"/>
      <c r="K467" s="2"/>
      <c r="L467" s="2"/>
      <c r="M467" s="2"/>
      <c r="N467" s="2"/>
      <c r="O467" s="2"/>
      <c r="P467" s="2"/>
      <c r="Q467" s="2"/>
      <c r="R467" s="2"/>
      <c r="S467" s="2"/>
      <c r="T467" s="2"/>
      <c r="U467" s="2"/>
      <c r="V467" s="2"/>
    </row>
    <row r="468" spans="4:22" ht="14.25" customHeight="1">
      <c r="D468" s="2"/>
      <c r="E468" s="2"/>
      <c r="F468" s="2"/>
      <c r="G468" s="2"/>
      <c r="H468" s="2"/>
      <c r="I468" s="2"/>
      <c r="J468" s="2"/>
      <c r="K468" s="2"/>
      <c r="L468" s="2"/>
      <c r="M468" s="2"/>
      <c r="N468" s="2"/>
      <c r="O468" s="2"/>
      <c r="P468" s="2"/>
      <c r="Q468" s="2"/>
      <c r="R468" s="2"/>
      <c r="S468" s="2"/>
      <c r="T468" s="2"/>
      <c r="U468" s="2"/>
      <c r="V468" s="2"/>
    </row>
    <row r="469" spans="4:22" ht="14.25" customHeight="1">
      <c r="D469" s="2"/>
      <c r="E469" s="2"/>
      <c r="F469" s="2"/>
      <c r="G469" s="2"/>
      <c r="H469" s="2"/>
      <c r="I469" s="2"/>
      <c r="J469" s="2"/>
      <c r="K469" s="2"/>
      <c r="L469" s="2"/>
      <c r="M469" s="2"/>
      <c r="N469" s="2"/>
      <c r="O469" s="2"/>
      <c r="P469" s="2"/>
      <c r="Q469" s="2"/>
      <c r="R469" s="2"/>
      <c r="S469" s="2"/>
      <c r="T469" s="2"/>
      <c r="U469" s="2"/>
      <c r="V469" s="2"/>
    </row>
    <row r="470" spans="4:22" ht="14.25" customHeight="1">
      <c r="D470" s="2"/>
      <c r="E470" s="2"/>
      <c r="F470" s="2"/>
      <c r="G470" s="2"/>
      <c r="H470" s="2"/>
      <c r="I470" s="2"/>
      <c r="J470" s="2"/>
      <c r="K470" s="2"/>
      <c r="L470" s="2"/>
      <c r="M470" s="2"/>
      <c r="N470" s="2"/>
      <c r="O470" s="2"/>
      <c r="P470" s="2"/>
      <c r="Q470" s="2"/>
      <c r="R470" s="2"/>
      <c r="S470" s="2"/>
      <c r="T470" s="2"/>
      <c r="U470" s="2"/>
      <c r="V470" s="2"/>
    </row>
    <row r="471" spans="4:22" ht="14.25" customHeight="1">
      <c r="D471" s="2"/>
      <c r="E471" s="2"/>
      <c r="F471" s="2"/>
      <c r="G471" s="2"/>
      <c r="H471" s="2"/>
      <c r="I471" s="2"/>
      <c r="J471" s="2"/>
      <c r="K471" s="2"/>
      <c r="L471" s="2"/>
      <c r="M471" s="2"/>
      <c r="N471" s="2"/>
      <c r="O471" s="2"/>
      <c r="P471" s="2"/>
      <c r="Q471" s="2"/>
      <c r="R471" s="2"/>
      <c r="S471" s="2"/>
      <c r="T471" s="2"/>
      <c r="U471" s="2"/>
      <c r="V471" s="2"/>
    </row>
    <row r="472" spans="4:22" ht="14.25" customHeight="1">
      <c r="D472" s="2"/>
      <c r="E472" s="2"/>
      <c r="F472" s="2"/>
      <c r="G472" s="2"/>
      <c r="H472" s="2"/>
      <c r="I472" s="2"/>
      <c r="J472" s="2"/>
      <c r="K472" s="2"/>
      <c r="L472" s="2"/>
      <c r="M472" s="2"/>
      <c r="N472" s="2"/>
      <c r="O472" s="2"/>
      <c r="P472" s="2"/>
      <c r="Q472" s="2"/>
      <c r="R472" s="2"/>
      <c r="S472" s="2"/>
      <c r="T472" s="2"/>
      <c r="U472" s="2"/>
      <c r="V472" s="2"/>
    </row>
    <row r="473" spans="4:22" ht="14.25" customHeight="1">
      <c r="D473" s="2"/>
      <c r="E473" s="2"/>
      <c r="F473" s="2"/>
      <c r="G473" s="2"/>
      <c r="H473" s="2"/>
      <c r="I473" s="2"/>
      <c r="J473" s="2"/>
      <c r="K473" s="2"/>
      <c r="L473" s="2"/>
      <c r="M473" s="2"/>
      <c r="N473" s="2"/>
      <c r="O473" s="2"/>
      <c r="P473" s="2"/>
      <c r="Q473" s="2"/>
      <c r="R473" s="2"/>
      <c r="S473" s="2"/>
      <c r="T473" s="2"/>
      <c r="U473" s="2"/>
      <c r="V473" s="2"/>
    </row>
    <row r="474" spans="4:22" ht="14.25" customHeight="1">
      <c r="D474" s="2"/>
      <c r="E474" s="2"/>
      <c r="F474" s="2"/>
      <c r="G474" s="2"/>
      <c r="H474" s="2"/>
      <c r="I474" s="2"/>
      <c r="J474" s="2"/>
      <c r="K474" s="2"/>
      <c r="L474" s="2"/>
      <c r="M474" s="2"/>
      <c r="N474" s="2"/>
      <c r="O474" s="2"/>
      <c r="P474" s="2"/>
      <c r="Q474" s="2"/>
      <c r="R474" s="2"/>
      <c r="S474" s="2"/>
      <c r="T474" s="2"/>
      <c r="U474" s="2"/>
      <c r="V474" s="2"/>
    </row>
    <row r="475" spans="4:22" ht="14.25" customHeight="1">
      <c r="D475" s="2"/>
      <c r="E475" s="2"/>
      <c r="F475" s="2"/>
      <c r="G475" s="2"/>
      <c r="H475" s="2"/>
      <c r="I475" s="2"/>
      <c r="J475" s="2"/>
      <c r="K475" s="2"/>
      <c r="L475" s="2"/>
      <c r="M475" s="2"/>
      <c r="N475" s="2"/>
      <c r="O475" s="2"/>
      <c r="P475" s="2"/>
      <c r="Q475" s="2"/>
      <c r="R475" s="2"/>
      <c r="S475" s="2"/>
      <c r="T475" s="2"/>
      <c r="U475" s="2"/>
      <c r="V475" s="2"/>
    </row>
    <row r="476" spans="4:22" ht="14.25" customHeight="1">
      <c r="D476" s="2"/>
      <c r="E476" s="2"/>
      <c r="F476" s="2"/>
      <c r="G476" s="2"/>
      <c r="H476" s="2"/>
      <c r="I476" s="2"/>
      <c r="J476" s="2"/>
      <c r="K476" s="2"/>
      <c r="L476" s="2"/>
      <c r="M476" s="2"/>
      <c r="N476" s="2"/>
      <c r="O476" s="2"/>
      <c r="P476" s="2"/>
      <c r="Q476" s="2"/>
      <c r="R476" s="2"/>
      <c r="S476" s="2"/>
      <c r="T476" s="2"/>
      <c r="U476" s="2"/>
      <c r="V476" s="2"/>
    </row>
    <row r="477" spans="4:22" ht="14.25" customHeight="1">
      <c r="D477" s="2"/>
      <c r="E477" s="2"/>
      <c r="F477" s="2"/>
      <c r="G477" s="2"/>
      <c r="H477" s="2"/>
      <c r="I477" s="2"/>
      <c r="J477" s="2"/>
      <c r="K477" s="2"/>
      <c r="L477" s="2"/>
      <c r="M477" s="2"/>
      <c r="N477" s="2"/>
      <c r="O477" s="2"/>
      <c r="P477" s="2"/>
      <c r="Q477" s="2"/>
      <c r="R477" s="2"/>
      <c r="S477" s="2"/>
      <c r="T477" s="2"/>
      <c r="U477" s="2"/>
      <c r="V477" s="2"/>
    </row>
    <row r="478" spans="4:22" ht="14.25" customHeight="1">
      <c r="D478" s="2"/>
      <c r="E478" s="2"/>
      <c r="F478" s="2"/>
      <c r="G478" s="2"/>
      <c r="H478" s="2"/>
      <c r="I478" s="2"/>
      <c r="J478" s="2"/>
      <c r="K478" s="2"/>
      <c r="L478" s="2"/>
      <c r="M478" s="2"/>
      <c r="N478" s="2"/>
      <c r="O478" s="2"/>
      <c r="P478" s="2"/>
      <c r="Q478" s="2"/>
      <c r="R478" s="2"/>
      <c r="S478" s="2"/>
      <c r="T478" s="2"/>
      <c r="U478" s="2"/>
      <c r="V478" s="2"/>
    </row>
    <row r="479" spans="4:22" ht="14.25" customHeight="1">
      <c r="D479" s="2"/>
      <c r="E479" s="2"/>
      <c r="F479" s="2"/>
      <c r="G479" s="2"/>
      <c r="H479" s="2"/>
      <c r="I479" s="2"/>
      <c r="J479" s="2"/>
      <c r="K479" s="2"/>
      <c r="L479" s="2"/>
      <c r="M479" s="2"/>
      <c r="N479" s="2"/>
      <c r="O479" s="2"/>
      <c r="P479" s="2"/>
      <c r="Q479" s="2"/>
      <c r="R479" s="2"/>
      <c r="S479" s="2"/>
      <c r="T479" s="2"/>
      <c r="U479" s="2"/>
      <c r="V479" s="2"/>
    </row>
    <row r="480" spans="4:22" ht="14.25" customHeight="1">
      <c r="D480" s="2"/>
      <c r="E480" s="2"/>
      <c r="F480" s="2"/>
      <c r="G480" s="2"/>
      <c r="H480" s="2"/>
      <c r="I480" s="2"/>
      <c r="J480" s="2"/>
      <c r="K480" s="2"/>
      <c r="L480" s="2"/>
      <c r="M480" s="2"/>
      <c r="N480" s="2"/>
      <c r="O480" s="2"/>
      <c r="P480" s="2"/>
      <c r="Q480" s="2"/>
      <c r="R480" s="2"/>
      <c r="S480" s="2"/>
      <c r="T480" s="2"/>
      <c r="U480" s="2"/>
      <c r="V480" s="2"/>
    </row>
    <row r="481" spans="4:22" ht="14.25" customHeight="1">
      <c r="D481" s="2"/>
      <c r="E481" s="2"/>
      <c r="F481" s="2"/>
      <c r="G481" s="2"/>
      <c r="H481" s="2"/>
      <c r="I481" s="2"/>
      <c r="J481" s="2"/>
      <c r="K481" s="2"/>
      <c r="L481" s="2"/>
      <c r="M481" s="2"/>
      <c r="N481" s="2"/>
      <c r="O481" s="2"/>
      <c r="P481" s="2"/>
      <c r="Q481" s="2"/>
      <c r="R481" s="2"/>
      <c r="S481" s="2"/>
      <c r="T481" s="2"/>
      <c r="U481" s="2"/>
      <c r="V481" s="2"/>
    </row>
    <row r="482" spans="4:22" ht="14.25" customHeight="1">
      <c r="D482" s="2"/>
      <c r="E482" s="2"/>
      <c r="F482" s="2"/>
      <c r="G482" s="2"/>
      <c r="H482" s="2"/>
      <c r="I482" s="2"/>
      <c r="J482" s="2"/>
      <c r="K482" s="2"/>
      <c r="L482" s="2"/>
      <c r="M482" s="2"/>
      <c r="N482" s="2"/>
      <c r="O482" s="2"/>
      <c r="P482" s="2"/>
      <c r="Q482" s="2"/>
      <c r="R482" s="2"/>
      <c r="S482" s="2"/>
      <c r="T482" s="2"/>
      <c r="U482" s="2"/>
      <c r="V482" s="2"/>
    </row>
    <row r="483" spans="4:22" ht="14.25" customHeight="1">
      <c r="D483" s="2"/>
      <c r="E483" s="2"/>
      <c r="F483" s="2"/>
      <c r="G483" s="2"/>
      <c r="H483" s="2"/>
      <c r="I483" s="2"/>
      <c r="J483" s="2"/>
      <c r="K483" s="2"/>
      <c r="L483" s="2"/>
      <c r="M483" s="2"/>
      <c r="N483" s="2"/>
      <c r="O483" s="2"/>
      <c r="P483" s="2"/>
      <c r="Q483" s="2"/>
      <c r="R483" s="2"/>
      <c r="S483" s="2"/>
      <c r="T483" s="2"/>
      <c r="U483" s="2"/>
      <c r="V483" s="2"/>
    </row>
    <row r="484" spans="4:22" ht="14.25" customHeight="1">
      <c r="D484" s="2"/>
      <c r="E484" s="2"/>
      <c r="F484" s="2"/>
      <c r="G484" s="2"/>
      <c r="H484" s="2"/>
      <c r="I484" s="2"/>
      <c r="J484" s="2"/>
      <c r="K484" s="2"/>
      <c r="L484" s="2"/>
      <c r="M484" s="2"/>
      <c r="N484" s="2"/>
      <c r="O484" s="2"/>
      <c r="P484" s="2"/>
      <c r="Q484" s="2"/>
      <c r="R484" s="2"/>
      <c r="S484" s="2"/>
      <c r="T484" s="2"/>
      <c r="U484" s="2"/>
      <c r="V484" s="2"/>
    </row>
    <row r="485" spans="4:22" ht="14.25" customHeight="1">
      <c r="D485" s="2"/>
      <c r="E485" s="2"/>
      <c r="F485" s="2"/>
      <c r="G485" s="2"/>
      <c r="H485" s="2"/>
      <c r="I485" s="2"/>
      <c r="J485" s="2"/>
      <c r="K485" s="2"/>
      <c r="L485" s="2"/>
      <c r="M485" s="2"/>
      <c r="N485" s="2"/>
      <c r="O485" s="2"/>
      <c r="P485" s="2"/>
      <c r="Q485" s="2"/>
      <c r="R485" s="2"/>
      <c r="S485" s="2"/>
      <c r="T485" s="2"/>
      <c r="U485" s="2"/>
      <c r="V485" s="2"/>
    </row>
    <row r="486" spans="4:22" ht="14.25" customHeight="1">
      <c r="D486" s="2"/>
      <c r="E486" s="2"/>
      <c r="F486" s="2"/>
      <c r="G486" s="2"/>
      <c r="H486" s="2"/>
      <c r="I486" s="2"/>
      <c r="J486" s="2"/>
      <c r="K486" s="2"/>
      <c r="L486" s="2"/>
      <c r="M486" s="2"/>
      <c r="N486" s="2"/>
      <c r="O486" s="2"/>
      <c r="P486" s="2"/>
      <c r="Q486" s="2"/>
      <c r="R486" s="2"/>
      <c r="S486" s="2"/>
      <c r="T486" s="2"/>
      <c r="U486" s="2"/>
      <c r="V486" s="2"/>
    </row>
    <row r="487" spans="4:22" ht="14.25" customHeight="1">
      <c r="D487" s="2"/>
      <c r="E487" s="2"/>
      <c r="F487" s="2"/>
      <c r="G487" s="2"/>
      <c r="H487" s="2"/>
      <c r="I487" s="2"/>
      <c r="J487" s="2"/>
      <c r="K487" s="2"/>
      <c r="L487" s="2"/>
      <c r="M487" s="2"/>
      <c r="N487" s="2"/>
      <c r="O487" s="2"/>
      <c r="P487" s="2"/>
      <c r="Q487" s="2"/>
      <c r="R487" s="2"/>
      <c r="S487" s="2"/>
      <c r="T487" s="2"/>
      <c r="U487" s="2"/>
      <c r="V487" s="2"/>
    </row>
    <row r="488" spans="4:22" ht="14.25" customHeight="1">
      <c r="D488" s="2"/>
      <c r="E488" s="2"/>
      <c r="F488" s="2"/>
      <c r="G488" s="2"/>
      <c r="H488" s="2"/>
      <c r="I488" s="2"/>
      <c r="J488" s="2"/>
      <c r="K488" s="2"/>
      <c r="L488" s="2"/>
      <c r="M488" s="2"/>
      <c r="N488" s="2"/>
      <c r="O488" s="2"/>
      <c r="P488" s="2"/>
      <c r="Q488" s="2"/>
      <c r="R488" s="2"/>
      <c r="S488" s="2"/>
      <c r="T488" s="2"/>
      <c r="U488" s="2"/>
      <c r="V488" s="2"/>
    </row>
    <row r="489" spans="4:22" ht="14.25" customHeight="1">
      <c r="D489" s="2"/>
      <c r="E489" s="2"/>
      <c r="F489" s="2"/>
      <c r="G489" s="2"/>
      <c r="H489" s="2"/>
      <c r="I489" s="2"/>
      <c r="J489" s="2"/>
      <c r="K489" s="2"/>
      <c r="L489" s="2"/>
      <c r="M489" s="2"/>
      <c r="N489" s="2"/>
      <c r="O489" s="2"/>
      <c r="P489" s="2"/>
      <c r="Q489" s="2"/>
      <c r="R489" s="2"/>
      <c r="S489" s="2"/>
      <c r="T489" s="2"/>
      <c r="U489" s="2"/>
      <c r="V489" s="2"/>
    </row>
    <row r="490" spans="4:22" ht="14.25" customHeight="1">
      <c r="D490" s="2"/>
      <c r="E490" s="2"/>
      <c r="F490" s="2"/>
      <c r="G490" s="2"/>
      <c r="H490" s="2"/>
      <c r="I490" s="2"/>
      <c r="J490" s="2"/>
      <c r="K490" s="2"/>
      <c r="L490" s="2"/>
      <c r="M490" s="2"/>
      <c r="N490" s="2"/>
      <c r="O490" s="2"/>
      <c r="P490" s="2"/>
      <c r="Q490" s="2"/>
      <c r="R490" s="2"/>
      <c r="S490" s="2"/>
      <c r="T490" s="2"/>
      <c r="U490" s="2"/>
      <c r="V490" s="2"/>
    </row>
    <row r="491" spans="4:22" ht="14.25" customHeight="1">
      <c r="D491" s="2"/>
      <c r="E491" s="2"/>
      <c r="F491" s="2"/>
      <c r="G491" s="2"/>
      <c r="H491" s="2"/>
      <c r="I491" s="2"/>
      <c r="J491" s="2"/>
      <c r="K491" s="2"/>
      <c r="L491" s="2"/>
      <c r="M491" s="2"/>
      <c r="N491" s="2"/>
      <c r="O491" s="2"/>
      <c r="P491" s="2"/>
      <c r="Q491" s="2"/>
      <c r="R491" s="2"/>
      <c r="S491" s="2"/>
      <c r="T491" s="2"/>
      <c r="U491" s="2"/>
      <c r="V491" s="2"/>
    </row>
    <row r="492" spans="4:22" ht="14.25" customHeight="1">
      <c r="D492" s="2"/>
      <c r="E492" s="2"/>
      <c r="F492" s="2"/>
      <c r="G492" s="2"/>
      <c r="H492" s="2"/>
      <c r="I492" s="2"/>
      <c r="J492" s="2"/>
      <c r="K492" s="2"/>
      <c r="L492" s="2"/>
      <c r="M492" s="2"/>
      <c r="N492" s="2"/>
      <c r="O492" s="2"/>
      <c r="P492" s="2"/>
      <c r="Q492" s="2"/>
      <c r="R492" s="2"/>
      <c r="S492" s="2"/>
      <c r="T492" s="2"/>
      <c r="U492" s="2"/>
      <c r="V492" s="2"/>
    </row>
    <row r="493" spans="4:22" ht="14.25" customHeight="1">
      <c r="D493" s="2"/>
      <c r="E493" s="2"/>
      <c r="F493" s="2"/>
      <c r="G493" s="2"/>
      <c r="H493" s="2"/>
      <c r="I493" s="2"/>
      <c r="J493" s="2"/>
      <c r="K493" s="2"/>
      <c r="L493" s="2"/>
      <c r="M493" s="2"/>
      <c r="N493" s="2"/>
      <c r="O493" s="2"/>
      <c r="P493" s="2"/>
      <c r="Q493" s="2"/>
      <c r="R493" s="2"/>
      <c r="S493" s="2"/>
      <c r="T493" s="2"/>
      <c r="U493" s="2"/>
      <c r="V493" s="2"/>
    </row>
    <row r="494" spans="4:22" ht="14.25" customHeight="1">
      <c r="D494" s="2"/>
      <c r="E494" s="2"/>
      <c r="F494" s="2"/>
      <c r="G494" s="2"/>
      <c r="H494" s="2"/>
      <c r="I494" s="2"/>
      <c r="J494" s="2"/>
      <c r="K494" s="2"/>
      <c r="L494" s="2"/>
      <c r="M494" s="2"/>
      <c r="N494" s="2"/>
      <c r="O494" s="2"/>
      <c r="P494" s="2"/>
      <c r="Q494" s="2"/>
      <c r="R494" s="2"/>
      <c r="S494" s="2"/>
      <c r="T494" s="2"/>
      <c r="U494" s="2"/>
      <c r="V494" s="2"/>
    </row>
    <row r="495" spans="4:22" ht="14.25" customHeight="1">
      <c r="D495" s="2"/>
      <c r="E495" s="2"/>
      <c r="F495" s="2"/>
      <c r="G495" s="2"/>
      <c r="H495" s="2"/>
      <c r="I495" s="2"/>
      <c r="J495" s="2"/>
      <c r="K495" s="2"/>
      <c r="L495" s="2"/>
      <c r="M495" s="2"/>
      <c r="N495" s="2"/>
      <c r="O495" s="2"/>
      <c r="P495" s="2"/>
      <c r="Q495" s="2"/>
      <c r="R495" s="2"/>
      <c r="S495" s="2"/>
      <c r="T495" s="2"/>
      <c r="U495" s="2"/>
      <c r="V495" s="2"/>
    </row>
    <row r="496" spans="4:22" ht="14.25" customHeight="1">
      <c r="D496" s="2"/>
      <c r="E496" s="2"/>
      <c r="F496" s="2"/>
      <c r="G496" s="2"/>
      <c r="H496" s="2"/>
      <c r="I496" s="2"/>
      <c r="J496" s="2"/>
      <c r="K496" s="2"/>
      <c r="L496" s="2"/>
      <c r="M496" s="2"/>
      <c r="N496" s="2"/>
      <c r="O496" s="2"/>
      <c r="P496" s="2"/>
      <c r="Q496" s="2"/>
      <c r="R496" s="2"/>
      <c r="S496" s="2"/>
      <c r="T496" s="2"/>
      <c r="U496" s="2"/>
      <c r="V496" s="2"/>
    </row>
    <row r="497" spans="4:22" ht="14.25" customHeight="1">
      <c r="D497" s="2"/>
      <c r="E497" s="2"/>
      <c r="F497" s="2"/>
      <c r="G497" s="2"/>
      <c r="H497" s="2"/>
      <c r="I497" s="2"/>
      <c r="J497" s="2"/>
      <c r="K497" s="2"/>
      <c r="L497" s="2"/>
      <c r="M497" s="2"/>
      <c r="N497" s="2"/>
      <c r="O497" s="2"/>
      <c r="P497" s="2"/>
      <c r="Q497" s="2"/>
      <c r="R497" s="2"/>
      <c r="S497" s="2"/>
      <c r="T497" s="2"/>
      <c r="U497" s="2"/>
      <c r="V497" s="2"/>
    </row>
    <row r="498" spans="4:22" ht="14.25" customHeight="1">
      <c r="D498" s="2"/>
      <c r="E498" s="2"/>
      <c r="F498" s="2"/>
      <c r="G498" s="2"/>
      <c r="H498" s="2"/>
      <c r="I498" s="2"/>
      <c r="J498" s="2"/>
      <c r="K498" s="2"/>
      <c r="L498" s="2"/>
      <c r="M498" s="2"/>
      <c r="N498" s="2"/>
      <c r="O498" s="2"/>
      <c r="P498" s="2"/>
      <c r="Q498" s="2"/>
      <c r="R498" s="2"/>
      <c r="S498" s="2"/>
      <c r="T498" s="2"/>
      <c r="U498" s="2"/>
      <c r="V498" s="2"/>
    </row>
    <row r="499" spans="4:22" ht="14.25" customHeight="1">
      <c r="D499" s="2"/>
      <c r="E499" s="2"/>
      <c r="F499" s="2"/>
      <c r="G499" s="2"/>
      <c r="H499" s="2"/>
      <c r="I499" s="2"/>
      <c r="J499" s="2"/>
      <c r="K499" s="2"/>
      <c r="L499" s="2"/>
      <c r="M499" s="2"/>
      <c r="N499" s="2"/>
      <c r="O499" s="2"/>
      <c r="P499" s="2"/>
      <c r="Q499" s="2"/>
      <c r="R499" s="2"/>
      <c r="S499" s="2"/>
      <c r="T499" s="2"/>
      <c r="U499" s="2"/>
      <c r="V499" s="2"/>
    </row>
    <row r="500" spans="4:22" ht="14.25" customHeight="1">
      <c r="D500" s="2"/>
      <c r="E500" s="2"/>
      <c r="F500" s="2"/>
      <c r="G500" s="2"/>
      <c r="H500" s="2"/>
      <c r="I500" s="2"/>
      <c r="J500" s="2"/>
      <c r="K500" s="2"/>
      <c r="L500" s="2"/>
      <c r="M500" s="2"/>
      <c r="N500" s="2"/>
      <c r="O500" s="2"/>
      <c r="P500" s="2"/>
      <c r="Q500" s="2"/>
      <c r="R500" s="2"/>
      <c r="S500" s="2"/>
      <c r="T500" s="2"/>
      <c r="U500" s="2"/>
      <c r="V500" s="2"/>
    </row>
    <row r="501" spans="4:22" ht="14.25" customHeight="1">
      <c r="D501" s="2"/>
      <c r="E501" s="2"/>
      <c r="F501" s="2"/>
      <c r="G501" s="2"/>
      <c r="H501" s="2"/>
      <c r="I501" s="2"/>
      <c r="J501" s="2"/>
      <c r="K501" s="2"/>
      <c r="L501" s="2"/>
      <c r="M501" s="2"/>
      <c r="N501" s="2"/>
      <c r="O501" s="2"/>
      <c r="P501" s="2"/>
      <c r="Q501" s="2"/>
      <c r="R501" s="2"/>
      <c r="S501" s="2"/>
      <c r="T501" s="2"/>
      <c r="U501" s="2"/>
      <c r="V501" s="2"/>
    </row>
    <row r="502" spans="4:22" ht="14.25" customHeight="1">
      <c r="D502" s="2"/>
      <c r="E502" s="2"/>
      <c r="F502" s="2"/>
      <c r="G502" s="2"/>
      <c r="H502" s="2"/>
      <c r="I502" s="2"/>
      <c r="J502" s="2"/>
      <c r="K502" s="2"/>
      <c r="L502" s="2"/>
      <c r="M502" s="2"/>
      <c r="N502" s="2"/>
      <c r="O502" s="2"/>
      <c r="P502" s="2"/>
      <c r="Q502" s="2"/>
      <c r="R502" s="2"/>
      <c r="S502" s="2"/>
      <c r="T502" s="2"/>
      <c r="U502" s="2"/>
      <c r="V502" s="2"/>
    </row>
    <row r="503" spans="4:22" ht="14.25" customHeight="1">
      <c r="D503" s="2"/>
      <c r="E503" s="2"/>
      <c r="F503" s="2"/>
      <c r="G503" s="2"/>
      <c r="H503" s="2"/>
      <c r="I503" s="2"/>
      <c r="J503" s="2"/>
      <c r="K503" s="2"/>
      <c r="L503" s="2"/>
      <c r="M503" s="2"/>
      <c r="N503" s="2"/>
      <c r="O503" s="2"/>
      <c r="P503" s="2"/>
      <c r="Q503" s="2"/>
      <c r="R503" s="2"/>
      <c r="S503" s="2"/>
      <c r="T503" s="2"/>
      <c r="U503" s="2"/>
      <c r="V503" s="2"/>
    </row>
    <row r="504" spans="4:22" ht="14.25" customHeight="1">
      <c r="D504" s="2"/>
      <c r="E504" s="2"/>
      <c r="F504" s="2"/>
      <c r="G504" s="2"/>
      <c r="H504" s="2"/>
      <c r="I504" s="2"/>
      <c r="J504" s="2"/>
      <c r="K504" s="2"/>
      <c r="L504" s="2"/>
      <c r="M504" s="2"/>
      <c r="N504" s="2"/>
      <c r="O504" s="2"/>
      <c r="P504" s="2"/>
      <c r="Q504" s="2"/>
      <c r="R504" s="2"/>
      <c r="S504" s="2"/>
      <c r="T504" s="2"/>
      <c r="U504" s="2"/>
      <c r="V504" s="2"/>
    </row>
    <row r="505" spans="4:22" ht="14.25" customHeight="1">
      <c r="D505" s="2"/>
      <c r="E505" s="2"/>
      <c r="F505" s="2"/>
      <c r="G505" s="2"/>
      <c r="H505" s="2"/>
      <c r="I505" s="2"/>
      <c r="J505" s="2"/>
      <c r="K505" s="2"/>
      <c r="L505" s="2"/>
      <c r="M505" s="2"/>
      <c r="N505" s="2"/>
      <c r="O505" s="2"/>
      <c r="P505" s="2"/>
      <c r="Q505" s="2"/>
      <c r="R505" s="2"/>
      <c r="S505" s="2"/>
      <c r="T505" s="2"/>
      <c r="U505" s="2"/>
      <c r="V505" s="2"/>
    </row>
    <row r="506" spans="4:22" ht="14.25" customHeight="1">
      <c r="D506" s="2"/>
      <c r="E506" s="2"/>
      <c r="F506" s="2"/>
      <c r="G506" s="2"/>
      <c r="H506" s="2"/>
      <c r="I506" s="2"/>
      <c r="J506" s="2"/>
      <c r="K506" s="2"/>
      <c r="L506" s="2"/>
      <c r="M506" s="2"/>
      <c r="N506" s="2"/>
      <c r="O506" s="2"/>
      <c r="P506" s="2"/>
      <c r="Q506" s="2"/>
      <c r="R506" s="2"/>
      <c r="S506" s="2"/>
      <c r="T506" s="2"/>
      <c r="U506" s="2"/>
      <c r="V506" s="2"/>
    </row>
    <row r="507" spans="4:22" ht="14.25" customHeight="1">
      <c r="D507" s="2"/>
      <c r="E507" s="2"/>
      <c r="F507" s="2"/>
      <c r="G507" s="2"/>
      <c r="H507" s="2"/>
      <c r="I507" s="2"/>
      <c r="J507" s="2"/>
      <c r="K507" s="2"/>
      <c r="L507" s="2"/>
      <c r="M507" s="2"/>
      <c r="N507" s="2"/>
      <c r="O507" s="2"/>
      <c r="P507" s="2"/>
      <c r="Q507" s="2"/>
      <c r="R507" s="2"/>
      <c r="S507" s="2"/>
      <c r="T507" s="2"/>
      <c r="U507" s="2"/>
      <c r="V507" s="2"/>
    </row>
    <row r="508" spans="4:22" ht="14.25" customHeight="1">
      <c r="D508" s="2"/>
      <c r="E508" s="2"/>
      <c r="F508" s="2"/>
      <c r="G508" s="2"/>
      <c r="H508" s="2"/>
      <c r="I508" s="2"/>
      <c r="J508" s="2"/>
      <c r="K508" s="2"/>
      <c r="L508" s="2"/>
      <c r="M508" s="2"/>
      <c r="N508" s="2"/>
      <c r="O508" s="2"/>
      <c r="P508" s="2"/>
      <c r="Q508" s="2"/>
      <c r="R508" s="2"/>
      <c r="S508" s="2"/>
      <c r="T508" s="2"/>
      <c r="U508" s="2"/>
      <c r="V508" s="2"/>
    </row>
    <row r="509" spans="4:22" ht="14.25" customHeight="1">
      <c r="D509" s="2"/>
      <c r="E509" s="2"/>
      <c r="F509" s="2"/>
      <c r="G509" s="2"/>
      <c r="H509" s="2"/>
      <c r="I509" s="2"/>
      <c r="J509" s="2"/>
      <c r="K509" s="2"/>
      <c r="L509" s="2"/>
      <c r="M509" s="2"/>
      <c r="N509" s="2"/>
      <c r="O509" s="2"/>
      <c r="P509" s="2"/>
      <c r="Q509" s="2"/>
      <c r="R509" s="2"/>
      <c r="S509" s="2"/>
      <c r="T509" s="2"/>
      <c r="U509" s="2"/>
      <c r="V509" s="2"/>
    </row>
    <row r="510" spans="4:22" ht="14.25" customHeight="1">
      <c r="D510" s="2"/>
      <c r="E510" s="2"/>
      <c r="F510" s="2"/>
      <c r="G510" s="2"/>
      <c r="H510" s="2"/>
      <c r="I510" s="2"/>
      <c r="J510" s="2"/>
      <c r="K510" s="2"/>
      <c r="L510" s="2"/>
      <c r="M510" s="2"/>
      <c r="N510" s="2"/>
      <c r="O510" s="2"/>
      <c r="P510" s="2"/>
      <c r="Q510" s="2"/>
      <c r="R510" s="2"/>
      <c r="S510" s="2"/>
      <c r="T510" s="2"/>
      <c r="U510" s="2"/>
      <c r="V510" s="2"/>
    </row>
    <row r="511" spans="4:22" ht="14.25" customHeight="1">
      <c r="D511" s="2"/>
      <c r="E511" s="2"/>
      <c r="F511" s="2"/>
      <c r="G511" s="2"/>
      <c r="H511" s="2"/>
      <c r="I511" s="2"/>
      <c r="J511" s="2"/>
      <c r="K511" s="2"/>
      <c r="L511" s="2"/>
      <c r="M511" s="2"/>
      <c r="N511" s="2"/>
      <c r="O511" s="2"/>
      <c r="P511" s="2"/>
      <c r="Q511" s="2"/>
      <c r="R511" s="2"/>
      <c r="S511" s="2"/>
      <c r="T511" s="2"/>
      <c r="U511" s="2"/>
      <c r="V511" s="2"/>
    </row>
    <row r="512" spans="4:22" ht="14.25" customHeight="1">
      <c r="D512" s="2"/>
      <c r="E512" s="2"/>
      <c r="F512" s="2"/>
      <c r="G512" s="2"/>
      <c r="H512" s="2"/>
      <c r="I512" s="2"/>
      <c r="J512" s="2"/>
      <c r="K512" s="2"/>
      <c r="L512" s="2"/>
      <c r="M512" s="2"/>
      <c r="N512" s="2"/>
      <c r="O512" s="2"/>
      <c r="P512" s="2"/>
      <c r="Q512" s="2"/>
      <c r="R512" s="2"/>
      <c r="S512" s="2"/>
      <c r="T512" s="2"/>
      <c r="U512" s="2"/>
      <c r="V512" s="2"/>
    </row>
    <row r="513" spans="4:22" ht="14.25" customHeight="1">
      <c r="D513" s="2"/>
      <c r="E513" s="2"/>
      <c r="F513" s="2"/>
      <c r="G513" s="2"/>
      <c r="H513" s="2"/>
      <c r="I513" s="2"/>
      <c r="J513" s="2"/>
      <c r="K513" s="2"/>
      <c r="L513" s="2"/>
      <c r="M513" s="2"/>
      <c r="N513" s="2"/>
      <c r="O513" s="2"/>
      <c r="P513" s="2"/>
      <c r="Q513" s="2"/>
      <c r="R513" s="2"/>
      <c r="S513" s="2"/>
      <c r="T513" s="2"/>
      <c r="U513" s="2"/>
      <c r="V513" s="2"/>
    </row>
    <row r="514" spans="4:22" ht="14.25" customHeight="1">
      <c r="D514" s="2"/>
      <c r="E514" s="2"/>
      <c r="F514" s="2"/>
      <c r="G514" s="2"/>
      <c r="H514" s="2"/>
      <c r="I514" s="2"/>
      <c r="J514" s="2"/>
      <c r="K514" s="2"/>
      <c r="L514" s="2"/>
      <c r="M514" s="2"/>
      <c r="N514" s="2"/>
      <c r="O514" s="2"/>
      <c r="P514" s="2"/>
      <c r="Q514" s="2"/>
      <c r="R514" s="2"/>
      <c r="S514" s="2"/>
      <c r="T514" s="2"/>
      <c r="U514" s="2"/>
      <c r="V514" s="2"/>
    </row>
    <row r="515" spans="4:22" ht="14.25" customHeight="1">
      <c r="D515" s="2"/>
      <c r="E515" s="2"/>
      <c r="F515" s="2"/>
      <c r="G515" s="2"/>
      <c r="H515" s="2"/>
      <c r="I515" s="2"/>
      <c r="J515" s="2"/>
      <c r="K515" s="2"/>
      <c r="L515" s="2"/>
      <c r="M515" s="2"/>
      <c r="N515" s="2"/>
      <c r="O515" s="2"/>
      <c r="P515" s="2"/>
      <c r="Q515" s="2"/>
      <c r="R515" s="2"/>
      <c r="S515" s="2"/>
      <c r="T515" s="2"/>
      <c r="U515" s="2"/>
      <c r="V515" s="2"/>
    </row>
    <row r="516" spans="4:22" ht="14.25" customHeight="1">
      <c r="D516" s="2"/>
      <c r="E516" s="2"/>
      <c r="F516" s="2"/>
      <c r="G516" s="2"/>
      <c r="H516" s="2"/>
      <c r="I516" s="2"/>
      <c r="J516" s="2"/>
      <c r="K516" s="2"/>
      <c r="L516" s="2"/>
      <c r="M516" s="2"/>
      <c r="N516" s="2"/>
      <c r="O516" s="2"/>
      <c r="P516" s="2"/>
      <c r="Q516" s="2"/>
      <c r="R516" s="2"/>
      <c r="S516" s="2"/>
      <c r="T516" s="2"/>
      <c r="U516" s="2"/>
      <c r="V516" s="2"/>
    </row>
    <row r="517" spans="4:22" ht="14.25" customHeight="1">
      <c r="D517" s="2"/>
      <c r="E517" s="2"/>
      <c r="F517" s="2"/>
      <c r="G517" s="2"/>
      <c r="H517" s="2"/>
      <c r="I517" s="2"/>
      <c r="J517" s="2"/>
      <c r="K517" s="2"/>
      <c r="L517" s="2"/>
      <c r="M517" s="2"/>
      <c r="N517" s="2"/>
      <c r="O517" s="2"/>
      <c r="P517" s="2"/>
      <c r="Q517" s="2"/>
      <c r="R517" s="2"/>
      <c r="S517" s="2"/>
      <c r="T517" s="2"/>
      <c r="U517" s="2"/>
      <c r="V517" s="2"/>
    </row>
    <row r="518" spans="4:22" ht="14.25" customHeight="1">
      <c r="D518" s="2"/>
      <c r="E518" s="2"/>
      <c r="F518" s="2"/>
      <c r="G518" s="2"/>
      <c r="H518" s="2"/>
      <c r="I518" s="2"/>
      <c r="J518" s="2"/>
      <c r="K518" s="2"/>
      <c r="L518" s="2"/>
      <c r="M518" s="2"/>
      <c r="N518" s="2"/>
      <c r="O518" s="2"/>
      <c r="P518" s="2"/>
      <c r="Q518" s="2"/>
      <c r="R518" s="2"/>
      <c r="S518" s="2"/>
      <c r="T518" s="2"/>
      <c r="U518" s="2"/>
      <c r="V518" s="2"/>
    </row>
    <row r="519" spans="4:22" ht="14.25" customHeight="1">
      <c r="D519" s="2"/>
      <c r="E519" s="2"/>
      <c r="F519" s="2"/>
      <c r="G519" s="2"/>
      <c r="H519" s="2"/>
      <c r="I519" s="2"/>
      <c r="J519" s="2"/>
      <c r="K519" s="2"/>
      <c r="L519" s="2"/>
      <c r="M519" s="2"/>
      <c r="N519" s="2"/>
      <c r="O519" s="2"/>
      <c r="P519" s="2"/>
      <c r="Q519" s="2"/>
      <c r="R519" s="2"/>
      <c r="S519" s="2"/>
      <c r="T519" s="2"/>
      <c r="U519" s="2"/>
      <c r="V519" s="2"/>
    </row>
    <row r="520" spans="4:22" ht="14.25" customHeight="1">
      <c r="D520" s="2"/>
      <c r="E520" s="2"/>
      <c r="F520" s="2"/>
      <c r="G520" s="2"/>
      <c r="H520" s="2"/>
      <c r="I520" s="2"/>
      <c r="J520" s="2"/>
      <c r="K520" s="2"/>
      <c r="L520" s="2"/>
      <c r="M520" s="2"/>
      <c r="N520" s="2"/>
      <c r="O520" s="2"/>
      <c r="P520" s="2"/>
      <c r="Q520" s="2"/>
      <c r="R520" s="2"/>
      <c r="S520" s="2"/>
      <c r="T520" s="2"/>
      <c r="U520" s="2"/>
      <c r="V520" s="2"/>
    </row>
    <row r="521" spans="4:22" ht="14.25" customHeight="1">
      <c r="D521" s="2"/>
      <c r="E521" s="2"/>
      <c r="F521" s="2"/>
      <c r="G521" s="2"/>
      <c r="H521" s="2"/>
      <c r="I521" s="2"/>
      <c r="J521" s="2"/>
      <c r="K521" s="2"/>
      <c r="L521" s="2"/>
      <c r="M521" s="2"/>
      <c r="N521" s="2"/>
      <c r="O521" s="2"/>
      <c r="P521" s="2"/>
      <c r="Q521" s="2"/>
      <c r="R521" s="2"/>
      <c r="S521" s="2"/>
      <c r="T521" s="2"/>
      <c r="U521" s="2"/>
      <c r="V521" s="2"/>
    </row>
    <row r="522" spans="4:22" ht="14.25" customHeight="1">
      <c r="D522" s="2"/>
      <c r="E522" s="2"/>
      <c r="F522" s="2"/>
      <c r="G522" s="2"/>
      <c r="H522" s="2"/>
      <c r="I522" s="2"/>
      <c r="J522" s="2"/>
      <c r="K522" s="2"/>
      <c r="L522" s="2"/>
      <c r="M522" s="2"/>
      <c r="N522" s="2"/>
      <c r="O522" s="2"/>
      <c r="P522" s="2"/>
      <c r="Q522" s="2"/>
      <c r="R522" s="2"/>
      <c r="S522" s="2"/>
      <c r="T522" s="2"/>
      <c r="U522" s="2"/>
      <c r="V522" s="2"/>
    </row>
    <row r="523" spans="4:22" ht="14.25" customHeight="1">
      <c r="D523" s="2"/>
      <c r="E523" s="2"/>
      <c r="F523" s="2"/>
      <c r="G523" s="2"/>
      <c r="H523" s="2"/>
      <c r="I523" s="2"/>
      <c r="J523" s="2"/>
      <c r="K523" s="2"/>
      <c r="L523" s="2"/>
      <c r="M523" s="2"/>
      <c r="N523" s="2"/>
      <c r="O523" s="2"/>
      <c r="P523" s="2"/>
      <c r="Q523" s="2"/>
      <c r="R523" s="2"/>
      <c r="S523" s="2"/>
      <c r="T523" s="2"/>
      <c r="U523" s="2"/>
      <c r="V523" s="2"/>
    </row>
    <row r="524" spans="4:22" ht="14.25" customHeight="1">
      <c r="D524" s="2"/>
      <c r="E524" s="2"/>
      <c r="F524" s="2"/>
      <c r="G524" s="2"/>
      <c r="H524" s="2"/>
      <c r="I524" s="2"/>
      <c r="J524" s="2"/>
      <c r="K524" s="2"/>
      <c r="L524" s="2"/>
      <c r="M524" s="2"/>
      <c r="N524" s="2"/>
      <c r="O524" s="2"/>
      <c r="P524" s="2"/>
      <c r="Q524" s="2"/>
      <c r="R524" s="2"/>
      <c r="S524" s="2"/>
      <c r="T524" s="2"/>
      <c r="U524" s="2"/>
      <c r="V524" s="2"/>
    </row>
    <row r="525" spans="4:22" ht="14.25" customHeight="1">
      <c r="D525" s="2"/>
      <c r="E525" s="2"/>
      <c r="F525" s="2"/>
      <c r="G525" s="2"/>
      <c r="H525" s="2"/>
      <c r="I525" s="2"/>
      <c r="J525" s="2"/>
      <c r="K525" s="2"/>
      <c r="L525" s="2"/>
      <c r="M525" s="2"/>
      <c r="N525" s="2"/>
      <c r="O525" s="2"/>
      <c r="P525" s="2"/>
      <c r="Q525" s="2"/>
      <c r="R525" s="2"/>
      <c r="S525" s="2"/>
      <c r="T525" s="2"/>
      <c r="U525" s="2"/>
      <c r="V525" s="2"/>
    </row>
    <row r="526" spans="4:22" ht="14.25" customHeight="1">
      <c r="D526" s="2"/>
      <c r="E526" s="2"/>
      <c r="F526" s="2"/>
      <c r="G526" s="2"/>
      <c r="H526" s="2"/>
      <c r="I526" s="2"/>
      <c r="J526" s="2"/>
      <c r="K526" s="2"/>
      <c r="L526" s="2"/>
      <c r="M526" s="2"/>
      <c r="N526" s="2"/>
      <c r="O526" s="2"/>
      <c r="P526" s="2"/>
      <c r="Q526" s="2"/>
      <c r="R526" s="2"/>
      <c r="S526" s="2"/>
      <c r="T526" s="2"/>
      <c r="U526" s="2"/>
      <c r="V526" s="2"/>
    </row>
    <row r="527" spans="4:22" ht="14.25" customHeight="1">
      <c r="D527" s="2"/>
      <c r="E527" s="2"/>
      <c r="F527" s="2"/>
      <c r="G527" s="2"/>
      <c r="H527" s="2"/>
      <c r="I527" s="2"/>
      <c r="J527" s="2"/>
      <c r="K527" s="2"/>
      <c r="L527" s="2"/>
      <c r="M527" s="2"/>
      <c r="N527" s="2"/>
      <c r="O527" s="2"/>
      <c r="P527" s="2"/>
      <c r="Q527" s="2"/>
      <c r="R527" s="2"/>
      <c r="S527" s="2"/>
      <c r="T527" s="2"/>
      <c r="U527" s="2"/>
      <c r="V527" s="2"/>
    </row>
    <row r="528" spans="4:22" ht="14.25" customHeight="1">
      <c r="D528" s="2"/>
      <c r="E528" s="2"/>
      <c r="F528" s="2"/>
      <c r="G528" s="2"/>
      <c r="H528" s="2"/>
      <c r="I528" s="2"/>
      <c r="J528" s="2"/>
      <c r="K528" s="2"/>
      <c r="L528" s="2"/>
      <c r="M528" s="2"/>
      <c r="N528" s="2"/>
      <c r="O528" s="2"/>
      <c r="P528" s="2"/>
      <c r="Q528" s="2"/>
      <c r="R528" s="2"/>
      <c r="S528" s="2"/>
      <c r="T528" s="2"/>
      <c r="U528" s="2"/>
      <c r="V528" s="2"/>
    </row>
    <row r="529" spans="4:22" ht="14.25" customHeight="1">
      <c r="D529" s="2"/>
      <c r="E529" s="2"/>
      <c r="F529" s="2"/>
      <c r="G529" s="2"/>
      <c r="H529" s="2"/>
      <c r="I529" s="2"/>
      <c r="J529" s="2"/>
      <c r="K529" s="2"/>
      <c r="L529" s="2"/>
      <c r="M529" s="2"/>
      <c r="N529" s="2"/>
      <c r="O529" s="2"/>
      <c r="P529" s="2"/>
      <c r="Q529" s="2"/>
      <c r="R529" s="2"/>
      <c r="S529" s="2"/>
      <c r="T529" s="2"/>
      <c r="U529" s="2"/>
      <c r="V529" s="2"/>
    </row>
    <row r="530" spans="4:22" ht="14.25" customHeight="1">
      <c r="D530" s="2"/>
      <c r="E530" s="2"/>
      <c r="F530" s="2"/>
      <c r="G530" s="2"/>
      <c r="H530" s="2"/>
      <c r="I530" s="2"/>
      <c r="J530" s="2"/>
      <c r="K530" s="2"/>
      <c r="L530" s="2"/>
      <c r="M530" s="2"/>
      <c r="N530" s="2"/>
      <c r="O530" s="2"/>
      <c r="P530" s="2"/>
      <c r="Q530" s="2"/>
      <c r="R530" s="2"/>
      <c r="S530" s="2"/>
      <c r="T530" s="2"/>
      <c r="U530" s="2"/>
      <c r="V530" s="2"/>
    </row>
    <row r="531" spans="4:22" ht="14.25" customHeight="1">
      <c r="D531" s="2"/>
      <c r="E531" s="2"/>
      <c r="F531" s="2"/>
      <c r="G531" s="2"/>
      <c r="H531" s="2"/>
      <c r="I531" s="2"/>
      <c r="J531" s="2"/>
      <c r="K531" s="2"/>
      <c r="L531" s="2"/>
      <c r="M531" s="2"/>
      <c r="N531" s="2"/>
      <c r="O531" s="2"/>
      <c r="P531" s="2"/>
      <c r="Q531" s="2"/>
      <c r="R531" s="2"/>
      <c r="S531" s="2"/>
      <c r="T531" s="2"/>
      <c r="U531" s="2"/>
      <c r="V531" s="2"/>
    </row>
    <row r="532" spans="4:22" ht="14.25" customHeight="1">
      <c r="D532" s="2"/>
      <c r="E532" s="2"/>
      <c r="F532" s="2"/>
      <c r="G532" s="2"/>
      <c r="H532" s="2"/>
      <c r="I532" s="2"/>
      <c r="J532" s="2"/>
      <c r="K532" s="2"/>
      <c r="L532" s="2"/>
      <c r="M532" s="2"/>
      <c r="N532" s="2"/>
      <c r="O532" s="2"/>
      <c r="P532" s="2"/>
      <c r="Q532" s="2"/>
      <c r="R532" s="2"/>
      <c r="S532" s="2"/>
      <c r="T532" s="2"/>
      <c r="U532" s="2"/>
      <c r="V532" s="2"/>
    </row>
    <row r="533" spans="4:22" ht="14.25" customHeight="1">
      <c r="D533" s="2"/>
      <c r="E533" s="2"/>
      <c r="F533" s="2"/>
      <c r="G533" s="2"/>
      <c r="H533" s="2"/>
      <c r="I533" s="2"/>
      <c r="J533" s="2"/>
      <c r="K533" s="2"/>
      <c r="L533" s="2"/>
      <c r="M533" s="2"/>
      <c r="N533" s="2"/>
      <c r="O533" s="2"/>
      <c r="P533" s="2"/>
      <c r="Q533" s="2"/>
      <c r="R533" s="2"/>
      <c r="S533" s="2"/>
      <c r="T533" s="2"/>
      <c r="U533" s="2"/>
      <c r="V533" s="2"/>
    </row>
    <row r="534" spans="4:22" ht="14.25" customHeight="1">
      <c r="D534" s="2"/>
      <c r="E534" s="2"/>
      <c r="F534" s="2"/>
      <c r="G534" s="2"/>
      <c r="H534" s="2"/>
      <c r="I534" s="2"/>
      <c r="J534" s="2"/>
      <c r="K534" s="2"/>
      <c r="L534" s="2"/>
      <c r="M534" s="2"/>
      <c r="N534" s="2"/>
      <c r="O534" s="2"/>
      <c r="P534" s="2"/>
      <c r="Q534" s="2"/>
      <c r="R534" s="2"/>
      <c r="S534" s="2"/>
      <c r="T534" s="2"/>
      <c r="U534" s="2"/>
      <c r="V534" s="2"/>
    </row>
    <row r="535" spans="4:22" ht="14.25" customHeight="1">
      <c r="D535" s="2"/>
      <c r="E535" s="2"/>
      <c r="F535" s="2"/>
      <c r="G535" s="2"/>
      <c r="H535" s="2"/>
      <c r="I535" s="2"/>
      <c r="J535" s="2"/>
      <c r="K535" s="2"/>
      <c r="L535" s="2"/>
      <c r="M535" s="2"/>
      <c r="N535" s="2"/>
      <c r="O535" s="2"/>
      <c r="P535" s="2"/>
      <c r="Q535" s="2"/>
      <c r="R535" s="2"/>
      <c r="S535" s="2"/>
      <c r="T535" s="2"/>
      <c r="U535" s="2"/>
      <c r="V535" s="2"/>
    </row>
    <row r="536" spans="4:22" ht="14.25" customHeight="1">
      <c r="D536" s="2"/>
      <c r="E536" s="2"/>
      <c r="F536" s="2"/>
      <c r="G536" s="2"/>
      <c r="H536" s="2"/>
      <c r="I536" s="2"/>
      <c r="J536" s="2"/>
      <c r="K536" s="2"/>
      <c r="L536" s="2"/>
      <c r="M536" s="2"/>
      <c r="N536" s="2"/>
      <c r="O536" s="2"/>
      <c r="P536" s="2"/>
      <c r="Q536" s="2"/>
      <c r="R536" s="2"/>
      <c r="S536" s="2"/>
      <c r="T536" s="2"/>
      <c r="U536" s="2"/>
      <c r="V536" s="2"/>
    </row>
    <row r="537" spans="4:22" ht="14.25" customHeight="1">
      <c r="D537" s="2"/>
      <c r="E537" s="2"/>
      <c r="F537" s="2"/>
      <c r="G537" s="2"/>
      <c r="H537" s="2"/>
      <c r="I537" s="2"/>
      <c r="J537" s="2"/>
      <c r="K537" s="2"/>
      <c r="L537" s="2"/>
      <c r="M537" s="2"/>
      <c r="N537" s="2"/>
      <c r="O537" s="2"/>
      <c r="P537" s="2"/>
      <c r="Q537" s="2"/>
      <c r="R537" s="2"/>
      <c r="S537" s="2"/>
      <c r="T537" s="2"/>
      <c r="U537" s="2"/>
      <c r="V537" s="2"/>
    </row>
    <row r="538" spans="4:22" ht="14.25" customHeight="1">
      <c r="D538" s="2"/>
      <c r="E538" s="2"/>
      <c r="F538" s="2"/>
      <c r="G538" s="2"/>
      <c r="H538" s="2"/>
      <c r="I538" s="2"/>
      <c r="J538" s="2"/>
      <c r="K538" s="2"/>
      <c r="L538" s="2"/>
      <c r="M538" s="2"/>
      <c r="N538" s="2"/>
      <c r="O538" s="2"/>
      <c r="P538" s="2"/>
      <c r="Q538" s="2"/>
      <c r="R538" s="2"/>
      <c r="S538" s="2"/>
      <c r="T538" s="2"/>
      <c r="U538" s="2"/>
      <c r="V538" s="2"/>
    </row>
    <row r="539" spans="4:22" ht="14.25" customHeight="1">
      <c r="D539" s="2"/>
      <c r="E539" s="2"/>
      <c r="F539" s="2"/>
      <c r="G539" s="2"/>
      <c r="H539" s="2"/>
      <c r="I539" s="2"/>
      <c r="J539" s="2"/>
      <c r="K539" s="2"/>
      <c r="L539" s="2"/>
      <c r="M539" s="2"/>
      <c r="N539" s="2"/>
      <c r="O539" s="2"/>
      <c r="P539" s="2"/>
      <c r="Q539" s="2"/>
      <c r="R539" s="2"/>
      <c r="S539" s="2"/>
      <c r="T539" s="2"/>
      <c r="U539" s="2"/>
      <c r="V539" s="2"/>
    </row>
    <row r="540" spans="4:22" ht="14.25" customHeight="1">
      <c r="D540" s="2"/>
      <c r="E540" s="2"/>
      <c r="F540" s="2"/>
      <c r="G540" s="2"/>
      <c r="H540" s="2"/>
      <c r="I540" s="2"/>
      <c r="J540" s="2"/>
      <c r="K540" s="2"/>
      <c r="L540" s="2"/>
      <c r="M540" s="2"/>
      <c r="N540" s="2"/>
      <c r="O540" s="2"/>
      <c r="P540" s="2"/>
      <c r="Q540" s="2"/>
      <c r="R540" s="2"/>
      <c r="S540" s="2"/>
      <c r="T540" s="2"/>
      <c r="U540" s="2"/>
      <c r="V540" s="2"/>
    </row>
    <row r="541" spans="4:22" ht="14.25" customHeight="1">
      <c r="D541" s="2"/>
      <c r="E541" s="2"/>
      <c r="F541" s="2"/>
      <c r="G541" s="2"/>
      <c r="H541" s="2"/>
      <c r="I541" s="2"/>
      <c r="J541" s="2"/>
      <c r="K541" s="2"/>
      <c r="L541" s="2"/>
      <c r="M541" s="2"/>
      <c r="N541" s="2"/>
      <c r="O541" s="2"/>
      <c r="P541" s="2"/>
      <c r="Q541" s="2"/>
      <c r="R541" s="2"/>
      <c r="S541" s="2"/>
      <c r="T541" s="2"/>
      <c r="U541" s="2"/>
      <c r="V541" s="2"/>
    </row>
    <row r="542" spans="4:22" ht="14.25" customHeight="1">
      <c r="D542" s="2"/>
      <c r="E542" s="2"/>
      <c r="F542" s="2"/>
      <c r="G542" s="2"/>
      <c r="H542" s="2"/>
      <c r="I542" s="2"/>
      <c r="J542" s="2"/>
      <c r="K542" s="2"/>
      <c r="L542" s="2"/>
      <c r="M542" s="2"/>
      <c r="N542" s="2"/>
      <c r="O542" s="2"/>
      <c r="P542" s="2"/>
      <c r="Q542" s="2"/>
      <c r="R542" s="2"/>
      <c r="S542" s="2"/>
      <c r="T542" s="2"/>
      <c r="U542" s="2"/>
      <c r="V542" s="2"/>
    </row>
    <row r="543" spans="4:22" ht="14.25" customHeight="1">
      <c r="D543" s="2"/>
      <c r="E543" s="2"/>
      <c r="F543" s="2"/>
      <c r="G543" s="2"/>
      <c r="H543" s="2"/>
      <c r="I543" s="2"/>
      <c r="J543" s="2"/>
      <c r="K543" s="2"/>
      <c r="L543" s="2"/>
      <c r="M543" s="2"/>
      <c r="N543" s="2"/>
      <c r="O543" s="2"/>
      <c r="P543" s="2"/>
      <c r="Q543" s="2"/>
      <c r="R543" s="2"/>
      <c r="S543" s="2"/>
      <c r="T543" s="2"/>
      <c r="U543" s="2"/>
      <c r="V543" s="2"/>
    </row>
    <row r="544" spans="4:22" ht="14.25" customHeight="1">
      <c r="D544" s="2"/>
      <c r="E544" s="2"/>
      <c r="F544" s="2"/>
      <c r="G544" s="2"/>
      <c r="H544" s="2"/>
      <c r="I544" s="2"/>
      <c r="J544" s="2"/>
      <c r="K544" s="2"/>
      <c r="L544" s="2"/>
      <c r="M544" s="2"/>
      <c r="N544" s="2"/>
      <c r="O544" s="2"/>
      <c r="P544" s="2"/>
      <c r="Q544" s="2"/>
      <c r="R544" s="2"/>
      <c r="S544" s="2"/>
      <c r="T544" s="2"/>
      <c r="U544" s="2"/>
      <c r="V544" s="2"/>
    </row>
    <row r="545" spans="4:22" ht="14.25" customHeight="1">
      <c r="D545" s="2"/>
      <c r="E545" s="2"/>
      <c r="F545" s="2"/>
      <c r="G545" s="2"/>
      <c r="H545" s="2"/>
      <c r="I545" s="2"/>
      <c r="J545" s="2"/>
      <c r="K545" s="2"/>
      <c r="L545" s="2"/>
      <c r="M545" s="2"/>
      <c r="N545" s="2"/>
      <c r="O545" s="2"/>
      <c r="P545" s="2"/>
      <c r="Q545" s="2"/>
      <c r="R545" s="2"/>
      <c r="S545" s="2"/>
      <c r="T545" s="2"/>
      <c r="U545" s="2"/>
      <c r="V545" s="2"/>
    </row>
    <row r="546" spans="4:22" ht="14.25" customHeight="1">
      <c r="D546" s="2"/>
      <c r="E546" s="2"/>
      <c r="F546" s="2"/>
      <c r="G546" s="2"/>
      <c r="H546" s="2"/>
      <c r="I546" s="2"/>
      <c r="J546" s="2"/>
      <c r="K546" s="2"/>
      <c r="L546" s="2"/>
      <c r="M546" s="2"/>
      <c r="N546" s="2"/>
      <c r="O546" s="2"/>
      <c r="P546" s="2"/>
      <c r="Q546" s="2"/>
      <c r="R546" s="2"/>
      <c r="S546" s="2"/>
      <c r="T546" s="2"/>
      <c r="U546" s="2"/>
      <c r="V546" s="2"/>
    </row>
    <row r="547" spans="4:22" ht="14.25" customHeight="1">
      <c r="D547" s="2"/>
      <c r="E547" s="2"/>
      <c r="F547" s="2"/>
      <c r="G547" s="2"/>
      <c r="H547" s="2"/>
      <c r="I547" s="2"/>
      <c r="J547" s="2"/>
      <c r="K547" s="2"/>
      <c r="L547" s="2"/>
      <c r="M547" s="2"/>
      <c r="N547" s="2"/>
      <c r="O547" s="2"/>
      <c r="P547" s="2"/>
      <c r="Q547" s="2"/>
      <c r="R547" s="2"/>
      <c r="S547" s="2"/>
      <c r="T547" s="2"/>
      <c r="U547" s="2"/>
      <c r="V547" s="2"/>
    </row>
    <row r="548" spans="4:22" ht="14.25" customHeight="1">
      <c r="D548" s="2"/>
      <c r="E548" s="2"/>
      <c r="F548" s="2"/>
      <c r="G548" s="2"/>
      <c r="H548" s="2"/>
      <c r="I548" s="2"/>
      <c r="J548" s="2"/>
      <c r="K548" s="2"/>
      <c r="L548" s="2"/>
      <c r="M548" s="2"/>
      <c r="N548" s="2"/>
      <c r="O548" s="2"/>
      <c r="P548" s="2"/>
      <c r="Q548" s="2"/>
      <c r="R548" s="2"/>
      <c r="S548" s="2"/>
      <c r="T548" s="2"/>
      <c r="U548" s="2"/>
      <c r="V548" s="2"/>
    </row>
    <row r="549" spans="4:22" ht="14.25" customHeight="1">
      <c r="D549" s="2"/>
      <c r="E549" s="2"/>
      <c r="F549" s="2"/>
      <c r="G549" s="2"/>
      <c r="H549" s="2"/>
      <c r="I549" s="2"/>
      <c r="J549" s="2"/>
      <c r="K549" s="2"/>
      <c r="L549" s="2"/>
      <c r="M549" s="2"/>
      <c r="N549" s="2"/>
      <c r="O549" s="2"/>
      <c r="P549" s="2"/>
      <c r="Q549" s="2"/>
      <c r="R549" s="2"/>
      <c r="S549" s="2"/>
      <c r="T549" s="2"/>
      <c r="U549" s="2"/>
      <c r="V549" s="2"/>
    </row>
    <row r="550" spans="4:22" ht="14.25" customHeight="1">
      <c r="D550" s="2"/>
      <c r="E550" s="2"/>
      <c r="F550" s="2"/>
      <c r="G550" s="2"/>
      <c r="H550" s="2"/>
      <c r="I550" s="2"/>
      <c r="J550" s="2"/>
      <c r="K550" s="2"/>
      <c r="L550" s="2"/>
      <c r="M550" s="2"/>
      <c r="N550" s="2"/>
      <c r="O550" s="2"/>
      <c r="P550" s="2"/>
      <c r="Q550" s="2"/>
      <c r="R550" s="2"/>
      <c r="S550" s="2"/>
      <c r="T550" s="2"/>
      <c r="U550" s="2"/>
      <c r="V550" s="2"/>
    </row>
    <row r="551" spans="4:22" ht="14.25" customHeight="1">
      <c r="D551" s="2"/>
      <c r="E551" s="2"/>
      <c r="F551" s="2"/>
      <c r="G551" s="2"/>
      <c r="H551" s="2"/>
      <c r="I551" s="2"/>
      <c r="J551" s="2"/>
      <c r="K551" s="2"/>
      <c r="L551" s="2"/>
      <c r="M551" s="2"/>
      <c r="N551" s="2"/>
      <c r="O551" s="2"/>
      <c r="P551" s="2"/>
      <c r="Q551" s="2"/>
      <c r="R551" s="2"/>
      <c r="S551" s="2"/>
      <c r="T551" s="2"/>
      <c r="U551" s="2"/>
      <c r="V551" s="2"/>
    </row>
    <row r="552" spans="4:22" ht="14.25" customHeight="1">
      <c r="D552" s="2"/>
      <c r="E552" s="2"/>
      <c r="F552" s="2"/>
      <c r="G552" s="2"/>
      <c r="H552" s="2"/>
      <c r="I552" s="2"/>
      <c r="J552" s="2"/>
      <c r="K552" s="2"/>
      <c r="L552" s="2"/>
      <c r="M552" s="2"/>
      <c r="N552" s="2"/>
      <c r="O552" s="2"/>
      <c r="P552" s="2"/>
      <c r="Q552" s="2"/>
      <c r="R552" s="2"/>
      <c r="S552" s="2"/>
      <c r="T552" s="2"/>
      <c r="U552" s="2"/>
      <c r="V552" s="2"/>
    </row>
    <row r="553" spans="4:22" ht="14.25" customHeight="1">
      <c r="D553" s="2"/>
      <c r="E553" s="2"/>
      <c r="F553" s="2"/>
      <c r="G553" s="2"/>
      <c r="H553" s="2"/>
      <c r="I553" s="2"/>
      <c r="J553" s="2"/>
      <c r="K553" s="2"/>
      <c r="L553" s="2"/>
      <c r="M553" s="2"/>
      <c r="N553" s="2"/>
      <c r="O553" s="2"/>
      <c r="P553" s="2"/>
      <c r="Q553" s="2"/>
      <c r="R553" s="2"/>
      <c r="S553" s="2"/>
      <c r="T553" s="2"/>
      <c r="U553" s="2"/>
      <c r="V553" s="2"/>
    </row>
    <row r="554" spans="4:22" ht="14.25" customHeight="1">
      <c r="D554" s="2"/>
      <c r="E554" s="2"/>
      <c r="F554" s="2"/>
      <c r="G554" s="2"/>
      <c r="H554" s="2"/>
      <c r="I554" s="2"/>
      <c r="J554" s="2"/>
      <c r="K554" s="2"/>
      <c r="L554" s="2"/>
      <c r="M554" s="2"/>
      <c r="N554" s="2"/>
      <c r="O554" s="2"/>
      <c r="P554" s="2"/>
      <c r="Q554" s="2"/>
      <c r="R554" s="2"/>
      <c r="S554" s="2"/>
      <c r="T554" s="2"/>
      <c r="U554" s="2"/>
      <c r="V554" s="2"/>
    </row>
    <row r="555" spans="4:22" ht="14.25" customHeight="1">
      <c r="D555" s="2"/>
      <c r="E555" s="2"/>
      <c r="F555" s="2"/>
      <c r="G555" s="2"/>
      <c r="H555" s="2"/>
      <c r="I555" s="2"/>
      <c r="J555" s="2"/>
      <c r="K555" s="2"/>
      <c r="L555" s="2"/>
      <c r="M555" s="2"/>
      <c r="N555" s="2"/>
      <c r="O555" s="2"/>
      <c r="P555" s="2"/>
      <c r="Q555" s="2"/>
      <c r="R555" s="2"/>
      <c r="S555" s="2"/>
      <c r="T555" s="2"/>
      <c r="U555" s="2"/>
      <c r="V555" s="2"/>
    </row>
    <row r="556" spans="4:22" ht="14.25" customHeight="1">
      <c r="D556" s="2"/>
      <c r="E556" s="2"/>
      <c r="F556" s="2"/>
      <c r="G556" s="2"/>
      <c r="H556" s="2"/>
      <c r="I556" s="2"/>
      <c r="J556" s="2"/>
      <c r="K556" s="2"/>
      <c r="L556" s="2"/>
      <c r="M556" s="2"/>
      <c r="N556" s="2"/>
      <c r="O556" s="2"/>
      <c r="P556" s="2"/>
      <c r="Q556" s="2"/>
      <c r="R556" s="2"/>
      <c r="S556" s="2"/>
      <c r="T556" s="2"/>
      <c r="U556" s="2"/>
      <c r="V556" s="2"/>
    </row>
    <row r="557" spans="4:22" ht="14.25" customHeight="1">
      <c r="D557" s="2"/>
      <c r="E557" s="2"/>
      <c r="F557" s="2"/>
      <c r="G557" s="2"/>
      <c r="H557" s="2"/>
      <c r="I557" s="2"/>
      <c r="J557" s="2"/>
      <c r="K557" s="2"/>
      <c r="L557" s="2"/>
      <c r="M557" s="2"/>
      <c r="N557" s="2"/>
      <c r="O557" s="2"/>
      <c r="P557" s="2"/>
      <c r="Q557" s="2"/>
      <c r="R557" s="2"/>
      <c r="S557" s="2"/>
      <c r="T557" s="2"/>
      <c r="U557" s="2"/>
      <c r="V557" s="2"/>
    </row>
    <row r="558" spans="4:22" ht="14.25" customHeight="1">
      <c r="D558" s="2"/>
      <c r="E558" s="2"/>
      <c r="F558" s="2"/>
      <c r="G558" s="2"/>
      <c r="H558" s="2"/>
      <c r="I558" s="2"/>
      <c r="J558" s="2"/>
      <c r="K558" s="2"/>
      <c r="L558" s="2"/>
      <c r="M558" s="2"/>
      <c r="N558" s="2"/>
      <c r="O558" s="2"/>
      <c r="P558" s="2"/>
      <c r="Q558" s="2"/>
      <c r="R558" s="2"/>
      <c r="S558" s="2"/>
      <c r="T558" s="2"/>
      <c r="U558" s="2"/>
      <c r="V558" s="2"/>
    </row>
    <row r="559" spans="4:22" ht="14.25" customHeight="1">
      <c r="D559" s="2"/>
      <c r="E559" s="2"/>
      <c r="F559" s="2"/>
      <c r="G559" s="2"/>
      <c r="H559" s="2"/>
      <c r="I559" s="2"/>
      <c r="J559" s="2"/>
      <c r="K559" s="2"/>
      <c r="L559" s="2"/>
      <c r="M559" s="2"/>
      <c r="N559" s="2"/>
      <c r="O559" s="2"/>
      <c r="P559" s="2"/>
      <c r="Q559" s="2"/>
      <c r="R559" s="2"/>
      <c r="S559" s="2"/>
      <c r="T559" s="2"/>
      <c r="U559" s="2"/>
      <c r="V559" s="2"/>
    </row>
    <row r="560" spans="4:22" ht="14.25" customHeight="1">
      <c r="D560" s="2"/>
      <c r="E560" s="2"/>
      <c r="F560" s="2"/>
      <c r="G560" s="2"/>
      <c r="H560" s="2"/>
      <c r="I560" s="2"/>
      <c r="J560" s="2"/>
      <c r="K560" s="2"/>
      <c r="L560" s="2"/>
      <c r="M560" s="2"/>
      <c r="N560" s="2"/>
      <c r="O560" s="2"/>
      <c r="P560" s="2"/>
      <c r="Q560" s="2"/>
      <c r="R560" s="2"/>
      <c r="S560" s="2"/>
      <c r="T560" s="2"/>
      <c r="U560" s="2"/>
      <c r="V560" s="2"/>
    </row>
    <row r="561" spans="4:22" ht="14.25" customHeight="1">
      <c r="D561" s="2"/>
      <c r="E561" s="2"/>
      <c r="F561" s="2"/>
      <c r="G561" s="2"/>
      <c r="H561" s="2"/>
      <c r="I561" s="2"/>
      <c r="J561" s="2"/>
      <c r="K561" s="2"/>
      <c r="L561" s="2"/>
      <c r="M561" s="2"/>
      <c r="N561" s="2"/>
      <c r="O561" s="2"/>
      <c r="P561" s="2"/>
      <c r="Q561" s="2"/>
      <c r="R561" s="2"/>
      <c r="S561" s="2"/>
      <c r="T561" s="2"/>
      <c r="U561" s="2"/>
      <c r="V561" s="2"/>
    </row>
    <row r="562" spans="4:22" ht="14.25" customHeight="1">
      <c r="D562" s="2"/>
      <c r="E562" s="2"/>
      <c r="F562" s="2"/>
      <c r="G562" s="2"/>
      <c r="H562" s="2"/>
      <c r="I562" s="2"/>
      <c r="J562" s="2"/>
      <c r="K562" s="2"/>
      <c r="L562" s="2"/>
      <c r="M562" s="2"/>
      <c r="N562" s="2"/>
      <c r="O562" s="2"/>
      <c r="P562" s="2"/>
      <c r="Q562" s="2"/>
      <c r="R562" s="2"/>
      <c r="S562" s="2"/>
      <c r="T562" s="2"/>
      <c r="U562" s="2"/>
      <c r="V562" s="2"/>
    </row>
    <row r="563" spans="4:22" ht="14.25" customHeight="1">
      <c r="D563" s="2"/>
      <c r="E563" s="2"/>
      <c r="F563" s="2"/>
      <c r="G563" s="2"/>
      <c r="H563" s="2"/>
      <c r="I563" s="2"/>
      <c r="J563" s="2"/>
      <c r="K563" s="2"/>
      <c r="L563" s="2"/>
      <c r="M563" s="2"/>
      <c r="N563" s="2"/>
      <c r="O563" s="2"/>
      <c r="P563" s="2"/>
      <c r="Q563" s="2"/>
      <c r="R563" s="2"/>
      <c r="S563" s="2"/>
      <c r="T563" s="2"/>
      <c r="U563" s="2"/>
      <c r="V563" s="2"/>
    </row>
    <row r="564" spans="4:22" ht="14.25" customHeight="1">
      <c r="D564" s="2"/>
      <c r="E564" s="2"/>
      <c r="F564" s="2"/>
      <c r="G564" s="2"/>
      <c r="H564" s="2"/>
      <c r="I564" s="2"/>
      <c r="J564" s="2"/>
      <c r="K564" s="2"/>
      <c r="L564" s="2"/>
      <c r="M564" s="2"/>
      <c r="N564" s="2"/>
      <c r="O564" s="2"/>
      <c r="P564" s="2"/>
      <c r="Q564" s="2"/>
      <c r="R564" s="2"/>
      <c r="S564" s="2"/>
      <c r="T564" s="2"/>
      <c r="U564" s="2"/>
      <c r="V564" s="2"/>
    </row>
    <row r="565" spans="4:22" ht="14.25" customHeight="1">
      <c r="D565" s="2"/>
      <c r="E565" s="2"/>
      <c r="F565" s="2"/>
      <c r="G565" s="2"/>
      <c r="H565" s="2"/>
      <c r="I565" s="2"/>
      <c r="J565" s="2"/>
      <c r="K565" s="2"/>
      <c r="L565" s="2"/>
      <c r="M565" s="2"/>
      <c r="N565" s="2"/>
      <c r="O565" s="2"/>
      <c r="P565" s="2"/>
      <c r="Q565" s="2"/>
      <c r="R565" s="2"/>
      <c r="S565" s="2"/>
      <c r="T565" s="2"/>
      <c r="U565" s="2"/>
      <c r="V565" s="2"/>
    </row>
    <row r="566" spans="4:22" ht="14.25" customHeight="1">
      <c r="D566" s="2"/>
      <c r="E566" s="2"/>
      <c r="F566" s="2"/>
      <c r="G566" s="2"/>
      <c r="H566" s="2"/>
      <c r="I566" s="2"/>
      <c r="J566" s="2"/>
      <c r="K566" s="2"/>
      <c r="L566" s="2"/>
      <c r="M566" s="2"/>
      <c r="N566" s="2"/>
      <c r="O566" s="2"/>
      <c r="P566" s="2"/>
      <c r="Q566" s="2"/>
      <c r="R566" s="2"/>
      <c r="S566" s="2"/>
      <c r="T566" s="2"/>
      <c r="U566" s="2"/>
      <c r="V566" s="2"/>
    </row>
    <row r="567" spans="4:22" ht="14.25" customHeight="1">
      <c r="D567" s="2"/>
      <c r="E567" s="2"/>
      <c r="F567" s="2"/>
      <c r="G567" s="2"/>
      <c r="H567" s="2"/>
      <c r="I567" s="2"/>
      <c r="J567" s="2"/>
      <c r="K567" s="2"/>
      <c r="L567" s="2"/>
      <c r="M567" s="2"/>
      <c r="N567" s="2"/>
      <c r="O567" s="2"/>
      <c r="P567" s="2"/>
      <c r="Q567" s="2"/>
      <c r="R567" s="2"/>
      <c r="S567" s="2"/>
      <c r="T567" s="2"/>
      <c r="U567" s="2"/>
      <c r="V567" s="2"/>
    </row>
    <row r="568" spans="4:22" ht="14.25" customHeight="1">
      <c r="D568" s="2"/>
      <c r="E568" s="2"/>
      <c r="F568" s="2"/>
      <c r="G568" s="2"/>
      <c r="H568" s="2"/>
      <c r="I568" s="2"/>
      <c r="J568" s="2"/>
      <c r="K568" s="2"/>
      <c r="L568" s="2"/>
      <c r="M568" s="2"/>
      <c r="N568" s="2"/>
      <c r="O568" s="2"/>
      <c r="P568" s="2"/>
      <c r="Q568" s="2"/>
      <c r="R568" s="2"/>
      <c r="S568" s="2"/>
      <c r="T568" s="2"/>
      <c r="U568" s="2"/>
      <c r="V568" s="2"/>
    </row>
    <row r="569" spans="4:22" ht="14.25" customHeight="1">
      <c r="D569" s="2"/>
      <c r="E569" s="2"/>
      <c r="F569" s="2"/>
      <c r="G569" s="2"/>
      <c r="H569" s="2"/>
      <c r="I569" s="2"/>
      <c r="J569" s="2"/>
      <c r="K569" s="2"/>
      <c r="L569" s="2"/>
      <c r="M569" s="2"/>
      <c r="N569" s="2"/>
      <c r="O569" s="2"/>
      <c r="P569" s="2"/>
      <c r="Q569" s="2"/>
      <c r="R569" s="2"/>
      <c r="S569" s="2"/>
      <c r="T569" s="2"/>
      <c r="U569" s="2"/>
      <c r="V569" s="2"/>
    </row>
    <row r="570" spans="4:22" ht="14.25" customHeight="1">
      <c r="D570" s="2"/>
      <c r="E570" s="2"/>
      <c r="F570" s="2"/>
      <c r="G570" s="2"/>
      <c r="H570" s="2"/>
      <c r="I570" s="2"/>
      <c r="J570" s="2"/>
      <c r="K570" s="2"/>
      <c r="L570" s="2"/>
      <c r="M570" s="2"/>
      <c r="N570" s="2"/>
      <c r="O570" s="2"/>
      <c r="P570" s="2"/>
      <c r="Q570" s="2"/>
      <c r="R570" s="2"/>
      <c r="S570" s="2"/>
      <c r="T570" s="2"/>
      <c r="U570" s="2"/>
      <c r="V570" s="2"/>
    </row>
    <row r="571" spans="4:22" ht="14.25" customHeight="1">
      <c r="D571" s="2"/>
      <c r="E571" s="2"/>
      <c r="F571" s="2"/>
      <c r="G571" s="2"/>
      <c r="H571" s="2"/>
      <c r="I571" s="2"/>
      <c r="J571" s="2"/>
      <c r="K571" s="2"/>
      <c r="L571" s="2"/>
      <c r="M571" s="2"/>
      <c r="N571" s="2"/>
      <c r="O571" s="2"/>
      <c r="P571" s="2"/>
      <c r="Q571" s="2"/>
      <c r="R571" s="2"/>
      <c r="S571" s="2"/>
      <c r="T571" s="2"/>
      <c r="U571" s="2"/>
      <c r="V571" s="2"/>
    </row>
    <row r="572" spans="4:22" ht="14.25" customHeight="1">
      <c r="D572" s="2"/>
      <c r="E572" s="2"/>
      <c r="F572" s="2"/>
      <c r="G572" s="2"/>
      <c r="H572" s="2"/>
      <c r="I572" s="2"/>
      <c r="J572" s="2"/>
      <c r="K572" s="2"/>
      <c r="L572" s="2"/>
      <c r="M572" s="2"/>
      <c r="N572" s="2"/>
      <c r="O572" s="2"/>
      <c r="P572" s="2"/>
      <c r="Q572" s="2"/>
      <c r="R572" s="2"/>
      <c r="S572" s="2"/>
      <c r="T572" s="2"/>
      <c r="U572" s="2"/>
      <c r="V572" s="2"/>
    </row>
    <row r="573" spans="4:22" ht="14.25" customHeight="1">
      <c r="D573" s="2"/>
      <c r="E573" s="2"/>
      <c r="F573" s="2"/>
      <c r="G573" s="2"/>
      <c r="H573" s="2"/>
      <c r="I573" s="2"/>
      <c r="J573" s="2"/>
      <c r="K573" s="2"/>
      <c r="L573" s="2"/>
      <c r="M573" s="2"/>
      <c r="N573" s="2"/>
      <c r="O573" s="2"/>
      <c r="P573" s="2"/>
      <c r="Q573" s="2"/>
      <c r="R573" s="2"/>
      <c r="S573" s="2"/>
      <c r="T573" s="2"/>
      <c r="U573" s="2"/>
      <c r="V573" s="2"/>
    </row>
    <row r="574" spans="4:22" ht="14.25" customHeight="1">
      <c r="D574" s="2"/>
      <c r="E574" s="2"/>
      <c r="F574" s="2"/>
      <c r="G574" s="2"/>
      <c r="H574" s="2"/>
      <c r="I574" s="2"/>
      <c r="J574" s="2"/>
      <c r="K574" s="2"/>
      <c r="L574" s="2"/>
      <c r="M574" s="2"/>
      <c r="N574" s="2"/>
      <c r="O574" s="2"/>
      <c r="P574" s="2"/>
      <c r="Q574" s="2"/>
      <c r="R574" s="2"/>
      <c r="S574" s="2"/>
      <c r="T574" s="2"/>
      <c r="U574" s="2"/>
      <c r="V574" s="2"/>
    </row>
    <row r="575" spans="4:22" ht="14.25" customHeight="1">
      <c r="D575" s="2"/>
      <c r="E575" s="2"/>
      <c r="F575" s="2"/>
      <c r="G575" s="2"/>
      <c r="H575" s="2"/>
      <c r="I575" s="2"/>
      <c r="J575" s="2"/>
      <c r="K575" s="2"/>
      <c r="L575" s="2"/>
      <c r="M575" s="2"/>
      <c r="N575" s="2"/>
      <c r="O575" s="2"/>
      <c r="P575" s="2"/>
      <c r="Q575" s="2"/>
      <c r="R575" s="2"/>
      <c r="S575" s="2"/>
      <c r="T575" s="2"/>
      <c r="U575" s="2"/>
      <c r="V575" s="2"/>
    </row>
    <row r="576" spans="4:22" ht="14.25" customHeight="1">
      <c r="D576" s="2"/>
      <c r="E576" s="2"/>
      <c r="F576" s="2"/>
      <c r="G576" s="2"/>
      <c r="H576" s="2"/>
      <c r="I576" s="2"/>
      <c r="J576" s="2"/>
      <c r="K576" s="2"/>
      <c r="L576" s="2"/>
      <c r="M576" s="2"/>
      <c r="N576" s="2"/>
      <c r="O576" s="2"/>
      <c r="P576" s="2"/>
      <c r="Q576" s="2"/>
      <c r="R576" s="2"/>
      <c r="S576" s="2"/>
      <c r="T576" s="2"/>
      <c r="U576" s="2"/>
      <c r="V576" s="2"/>
    </row>
    <row r="577" spans="4:22" ht="14.25" customHeight="1">
      <c r="D577" s="2"/>
      <c r="E577" s="2"/>
      <c r="F577" s="2"/>
      <c r="G577" s="2"/>
      <c r="H577" s="2"/>
      <c r="I577" s="2"/>
      <c r="J577" s="2"/>
      <c r="K577" s="2"/>
      <c r="L577" s="2"/>
      <c r="M577" s="2"/>
      <c r="N577" s="2"/>
      <c r="O577" s="2"/>
      <c r="P577" s="2"/>
      <c r="Q577" s="2"/>
      <c r="R577" s="2"/>
      <c r="S577" s="2"/>
      <c r="T577" s="2"/>
      <c r="U577" s="2"/>
      <c r="V577" s="2"/>
    </row>
    <row r="578" spans="4:22" ht="14.25" customHeight="1">
      <c r="D578" s="2"/>
      <c r="E578" s="2"/>
      <c r="F578" s="2"/>
      <c r="G578" s="2"/>
      <c r="H578" s="2"/>
      <c r="I578" s="2"/>
      <c r="J578" s="2"/>
      <c r="K578" s="2"/>
      <c r="L578" s="2"/>
      <c r="M578" s="2"/>
      <c r="N578" s="2"/>
      <c r="O578" s="2"/>
      <c r="P578" s="2"/>
      <c r="Q578" s="2"/>
      <c r="R578" s="2"/>
      <c r="S578" s="2"/>
      <c r="T578" s="2"/>
      <c r="U578" s="2"/>
      <c r="V578" s="2"/>
    </row>
    <row r="579" spans="4:22" ht="14.25" customHeight="1">
      <c r="D579" s="2"/>
      <c r="E579" s="2"/>
      <c r="F579" s="2"/>
      <c r="G579" s="2"/>
      <c r="H579" s="2"/>
      <c r="I579" s="2"/>
      <c r="J579" s="2"/>
      <c r="K579" s="2"/>
      <c r="L579" s="2"/>
      <c r="M579" s="2"/>
      <c r="N579" s="2"/>
      <c r="O579" s="2"/>
      <c r="P579" s="2"/>
      <c r="Q579" s="2"/>
      <c r="R579" s="2"/>
      <c r="S579" s="2"/>
      <c r="T579" s="2"/>
      <c r="U579" s="2"/>
      <c r="V579" s="2"/>
    </row>
    <row r="580" spans="4:22" ht="14.25" customHeight="1">
      <c r="D580" s="2"/>
      <c r="E580" s="2"/>
      <c r="F580" s="2"/>
      <c r="G580" s="2"/>
      <c r="H580" s="2"/>
      <c r="I580" s="2"/>
      <c r="J580" s="2"/>
      <c r="K580" s="2"/>
      <c r="L580" s="2"/>
      <c r="M580" s="2"/>
      <c r="N580" s="2"/>
      <c r="O580" s="2"/>
      <c r="P580" s="2"/>
      <c r="Q580" s="2"/>
      <c r="R580" s="2"/>
      <c r="S580" s="2"/>
      <c r="T580" s="2"/>
      <c r="U580" s="2"/>
      <c r="V580" s="2"/>
    </row>
    <row r="581" spans="4:22" ht="14.25" customHeight="1">
      <c r="D581" s="2"/>
      <c r="E581" s="2"/>
      <c r="F581" s="2"/>
      <c r="G581" s="2"/>
      <c r="H581" s="2"/>
      <c r="I581" s="2"/>
      <c r="J581" s="2"/>
      <c r="K581" s="2"/>
      <c r="L581" s="2"/>
      <c r="M581" s="2"/>
      <c r="N581" s="2"/>
      <c r="O581" s="2"/>
      <c r="P581" s="2"/>
      <c r="Q581" s="2"/>
      <c r="R581" s="2"/>
      <c r="S581" s="2"/>
      <c r="T581" s="2"/>
      <c r="U581" s="2"/>
      <c r="V581" s="2"/>
    </row>
    <row r="582" spans="4:22" ht="14.25" customHeight="1">
      <c r="D582" s="2"/>
      <c r="E582" s="2"/>
      <c r="F582" s="2"/>
      <c r="G582" s="2"/>
      <c r="H582" s="2"/>
      <c r="I582" s="2"/>
      <c r="J582" s="2"/>
      <c r="K582" s="2"/>
      <c r="L582" s="2"/>
      <c r="M582" s="2"/>
      <c r="N582" s="2"/>
      <c r="O582" s="2"/>
      <c r="P582" s="2"/>
      <c r="Q582" s="2"/>
      <c r="R582" s="2"/>
      <c r="S582" s="2"/>
      <c r="T582" s="2"/>
      <c r="U582" s="2"/>
      <c r="V582" s="2"/>
    </row>
    <row r="583" spans="4:22" ht="14.25" customHeight="1">
      <c r="D583" s="2"/>
      <c r="E583" s="2"/>
      <c r="F583" s="2"/>
      <c r="G583" s="2"/>
      <c r="H583" s="2"/>
      <c r="I583" s="2"/>
      <c r="J583" s="2"/>
      <c r="K583" s="2"/>
      <c r="L583" s="2"/>
      <c r="M583" s="2"/>
      <c r="N583" s="2"/>
      <c r="O583" s="2"/>
      <c r="P583" s="2"/>
      <c r="Q583" s="2"/>
      <c r="R583" s="2"/>
      <c r="S583" s="2"/>
      <c r="T583" s="2"/>
      <c r="U583" s="2"/>
      <c r="V583" s="2"/>
    </row>
    <row r="584" spans="4:22" ht="14.25" customHeight="1">
      <c r="D584" s="2"/>
      <c r="E584" s="2"/>
      <c r="F584" s="2"/>
      <c r="G584" s="2"/>
      <c r="H584" s="2"/>
      <c r="I584" s="2"/>
      <c r="J584" s="2"/>
      <c r="K584" s="2"/>
      <c r="L584" s="2"/>
      <c r="M584" s="2"/>
      <c r="N584" s="2"/>
      <c r="O584" s="2"/>
      <c r="P584" s="2"/>
      <c r="Q584" s="2"/>
      <c r="R584" s="2"/>
      <c r="S584" s="2"/>
      <c r="T584" s="2"/>
      <c r="U584" s="2"/>
      <c r="V584" s="2"/>
    </row>
    <row r="585" spans="4:22" ht="14.25" customHeight="1">
      <c r="D585" s="2"/>
      <c r="E585" s="2"/>
      <c r="F585" s="2"/>
      <c r="G585" s="2"/>
      <c r="H585" s="2"/>
      <c r="I585" s="2"/>
      <c r="J585" s="2"/>
      <c r="K585" s="2"/>
      <c r="L585" s="2"/>
      <c r="M585" s="2"/>
      <c r="N585" s="2"/>
      <c r="O585" s="2"/>
      <c r="P585" s="2"/>
      <c r="Q585" s="2"/>
      <c r="R585" s="2"/>
      <c r="S585" s="2"/>
      <c r="T585" s="2"/>
      <c r="U585" s="2"/>
      <c r="V585" s="2"/>
    </row>
    <row r="586" spans="4:22" ht="14.25" customHeight="1">
      <c r="D586" s="2"/>
      <c r="E586" s="2"/>
      <c r="F586" s="2"/>
      <c r="G586" s="2"/>
      <c r="H586" s="2"/>
      <c r="I586" s="2"/>
      <c r="J586" s="2"/>
      <c r="K586" s="2"/>
      <c r="L586" s="2"/>
      <c r="M586" s="2"/>
      <c r="N586" s="2"/>
      <c r="O586" s="2"/>
      <c r="P586" s="2"/>
      <c r="Q586" s="2"/>
      <c r="R586" s="2"/>
      <c r="S586" s="2"/>
      <c r="T586" s="2"/>
      <c r="U586" s="2"/>
      <c r="V586" s="2"/>
    </row>
    <row r="587" spans="4:22" ht="14.25" customHeight="1">
      <c r="D587" s="2"/>
      <c r="E587" s="2"/>
      <c r="F587" s="2"/>
      <c r="G587" s="2"/>
      <c r="H587" s="2"/>
      <c r="I587" s="2"/>
      <c r="J587" s="2"/>
      <c r="K587" s="2"/>
      <c r="L587" s="2"/>
      <c r="M587" s="2"/>
      <c r="N587" s="2"/>
      <c r="O587" s="2"/>
      <c r="P587" s="2"/>
      <c r="Q587" s="2"/>
      <c r="R587" s="2"/>
      <c r="S587" s="2"/>
      <c r="T587" s="2"/>
      <c r="U587" s="2"/>
      <c r="V587" s="2"/>
    </row>
    <row r="588" spans="4:22" ht="14.25" customHeight="1">
      <c r="D588" s="2"/>
      <c r="E588" s="2"/>
      <c r="F588" s="2"/>
      <c r="G588" s="2"/>
      <c r="H588" s="2"/>
      <c r="I588" s="2"/>
      <c r="J588" s="2"/>
      <c r="K588" s="2"/>
      <c r="L588" s="2"/>
      <c r="M588" s="2"/>
      <c r="N588" s="2"/>
      <c r="O588" s="2"/>
      <c r="P588" s="2"/>
      <c r="Q588" s="2"/>
      <c r="R588" s="2"/>
      <c r="S588" s="2"/>
      <c r="T588" s="2"/>
      <c r="U588" s="2"/>
      <c r="V588" s="2"/>
    </row>
    <row r="589" spans="4:22" ht="14.25" customHeight="1">
      <c r="D589" s="2"/>
      <c r="E589" s="2"/>
      <c r="F589" s="2"/>
      <c r="G589" s="2"/>
      <c r="H589" s="2"/>
      <c r="I589" s="2"/>
      <c r="J589" s="2"/>
      <c r="K589" s="2"/>
      <c r="L589" s="2"/>
      <c r="M589" s="2"/>
      <c r="N589" s="2"/>
      <c r="O589" s="2"/>
      <c r="P589" s="2"/>
      <c r="Q589" s="2"/>
      <c r="R589" s="2"/>
      <c r="S589" s="2"/>
      <c r="T589" s="2"/>
      <c r="U589" s="2"/>
      <c r="V589" s="2"/>
    </row>
    <row r="590" spans="4:22" ht="14.25" customHeight="1">
      <c r="D590" s="2"/>
      <c r="E590" s="2"/>
      <c r="F590" s="2"/>
      <c r="G590" s="2"/>
      <c r="H590" s="2"/>
      <c r="I590" s="2"/>
      <c r="J590" s="2"/>
      <c r="K590" s="2"/>
      <c r="L590" s="2"/>
      <c r="M590" s="2"/>
      <c r="N590" s="2"/>
      <c r="O590" s="2"/>
      <c r="P590" s="2"/>
      <c r="Q590" s="2"/>
      <c r="R590" s="2"/>
      <c r="S590" s="2"/>
      <c r="T590" s="2"/>
      <c r="U590" s="2"/>
      <c r="V590" s="2"/>
    </row>
    <row r="591" spans="4:22" ht="14.25" customHeight="1">
      <c r="D591" s="2"/>
      <c r="E591" s="2"/>
      <c r="F591" s="2"/>
      <c r="G591" s="2"/>
      <c r="H591" s="2"/>
      <c r="I591" s="2"/>
      <c r="J591" s="2"/>
      <c r="K591" s="2"/>
      <c r="L591" s="2"/>
      <c r="M591" s="2"/>
      <c r="N591" s="2"/>
      <c r="O591" s="2"/>
      <c r="P591" s="2"/>
      <c r="Q591" s="2"/>
      <c r="R591" s="2"/>
      <c r="S591" s="2"/>
      <c r="T591" s="2"/>
      <c r="U591" s="2"/>
      <c r="V591" s="2"/>
    </row>
    <row r="592" spans="4:22" ht="14.25" customHeight="1">
      <c r="D592" s="2"/>
      <c r="E592" s="2"/>
      <c r="F592" s="2"/>
      <c r="G592" s="2"/>
      <c r="H592" s="2"/>
      <c r="I592" s="2"/>
      <c r="J592" s="2"/>
      <c r="K592" s="2"/>
      <c r="L592" s="2"/>
      <c r="M592" s="2"/>
      <c r="N592" s="2"/>
      <c r="O592" s="2"/>
      <c r="P592" s="2"/>
      <c r="Q592" s="2"/>
      <c r="R592" s="2"/>
      <c r="S592" s="2"/>
      <c r="T592" s="2"/>
      <c r="U592" s="2"/>
      <c r="V592" s="2"/>
    </row>
    <row r="593" spans="4:22" ht="14.25" customHeight="1">
      <c r="D593" s="2"/>
      <c r="E593" s="2"/>
      <c r="F593" s="2"/>
      <c r="G593" s="2"/>
      <c r="H593" s="2"/>
      <c r="I593" s="2"/>
      <c r="J593" s="2"/>
      <c r="K593" s="2"/>
      <c r="L593" s="2"/>
      <c r="M593" s="2"/>
      <c r="N593" s="2"/>
      <c r="O593" s="2"/>
      <c r="P593" s="2"/>
      <c r="Q593" s="2"/>
      <c r="R593" s="2"/>
      <c r="S593" s="2"/>
      <c r="T593" s="2"/>
      <c r="U593" s="2"/>
      <c r="V593" s="2"/>
    </row>
    <row r="594" spans="4:22" ht="14.25" customHeight="1">
      <c r="D594" s="2"/>
      <c r="E594" s="2"/>
      <c r="F594" s="2"/>
      <c r="G594" s="2"/>
      <c r="H594" s="2"/>
      <c r="I594" s="2"/>
      <c r="J594" s="2"/>
      <c r="K594" s="2"/>
      <c r="L594" s="2"/>
      <c r="M594" s="2"/>
      <c r="N594" s="2"/>
      <c r="O594" s="2"/>
      <c r="P594" s="2"/>
      <c r="Q594" s="2"/>
      <c r="R594" s="2"/>
      <c r="S594" s="2"/>
      <c r="T594" s="2"/>
      <c r="U594" s="2"/>
      <c r="V594" s="2"/>
    </row>
    <row r="595" spans="4:22" ht="14.25" customHeight="1">
      <c r="D595" s="2"/>
      <c r="E595" s="2"/>
      <c r="F595" s="2"/>
      <c r="G595" s="2"/>
      <c r="H595" s="2"/>
      <c r="I595" s="2"/>
      <c r="J595" s="2"/>
      <c r="K595" s="2"/>
      <c r="L595" s="2"/>
      <c r="M595" s="2"/>
      <c r="N595" s="2"/>
      <c r="O595" s="2"/>
      <c r="P595" s="2"/>
      <c r="Q595" s="2"/>
      <c r="R595" s="2"/>
      <c r="S595" s="2"/>
      <c r="T595" s="2"/>
      <c r="U595" s="2"/>
      <c r="V595" s="2"/>
    </row>
    <row r="596" spans="4:22" ht="14.25" customHeight="1">
      <c r="D596" s="2"/>
      <c r="E596" s="2"/>
      <c r="F596" s="2"/>
      <c r="G596" s="2"/>
      <c r="H596" s="2"/>
      <c r="I596" s="2"/>
      <c r="J596" s="2"/>
      <c r="K596" s="2"/>
      <c r="L596" s="2"/>
      <c r="M596" s="2"/>
      <c r="N596" s="2"/>
      <c r="O596" s="2"/>
      <c r="P596" s="2"/>
      <c r="Q596" s="2"/>
      <c r="R596" s="2"/>
      <c r="S596" s="2"/>
      <c r="T596" s="2"/>
      <c r="U596" s="2"/>
      <c r="V596" s="2"/>
    </row>
    <row r="597" spans="4:22" ht="14.25" customHeight="1">
      <c r="D597" s="2"/>
      <c r="E597" s="2"/>
      <c r="F597" s="2"/>
      <c r="G597" s="2"/>
      <c r="H597" s="2"/>
      <c r="I597" s="2"/>
      <c r="J597" s="2"/>
      <c r="K597" s="2"/>
      <c r="L597" s="2"/>
      <c r="M597" s="2"/>
      <c r="N597" s="2"/>
      <c r="O597" s="2"/>
      <c r="P597" s="2"/>
      <c r="Q597" s="2"/>
      <c r="R597" s="2"/>
      <c r="S597" s="2"/>
      <c r="T597" s="2"/>
      <c r="U597" s="2"/>
      <c r="V597" s="2"/>
    </row>
    <row r="598" spans="4:22" ht="14.25" customHeight="1">
      <c r="D598" s="2"/>
      <c r="E598" s="2"/>
      <c r="F598" s="2"/>
      <c r="G598" s="2"/>
      <c r="H598" s="2"/>
      <c r="I598" s="2"/>
      <c r="J598" s="2"/>
      <c r="K598" s="2"/>
      <c r="L598" s="2"/>
      <c r="M598" s="2"/>
      <c r="N598" s="2"/>
      <c r="O598" s="2"/>
      <c r="P598" s="2"/>
      <c r="Q598" s="2"/>
      <c r="R598" s="2"/>
      <c r="S598" s="2"/>
      <c r="T598" s="2"/>
      <c r="U598" s="2"/>
      <c r="V598" s="2"/>
    </row>
    <row r="599" spans="4:22" ht="14.25" customHeight="1">
      <c r="D599" s="2"/>
      <c r="E599" s="2"/>
      <c r="F599" s="2"/>
      <c r="G599" s="2"/>
      <c r="H599" s="2"/>
      <c r="I599" s="2"/>
      <c r="J599" s="2"/>
      <c r="K599" s="2"/>
      <c r="L599" s="2"/>
      <c r="M599" s="2"/>
      <c r="N599" s="2"/>
      <c r="O599" s="2"/>
      <c r="P599" s="2"/>
      <c r="Q599" s="2"/>
      <c r="R599" s="2"/>
      <c r="S599" s="2"/>
      <c r="T599" s="2"/>
      <c r="U599" s="2"/>
      <c r="V599" s="2"/>
    </row>
    <row r="600" spans="4:22" ht="14.25" customHeight="1">
      <c r="D600" s="2"/>
      <c r="E600" s="2"/>
      <c r="F600" s="2"/>
      <c r="G600" s="2"/>
      <c r="H600" s="2"/>
      <c r="I600" s="2"/>
      <c r="J600" s="2"/>
      <c r="K600" s="2"/>
      <c r="L600" s="2"/>
      <c r="M600" s="2"/>
      <c r="N600" s="2"/>
      <c r="O600" s="2"/>
      <c r="P600" s="2"/>
      <c r="Q600" s="2"/>
      <c r="R600" s="2"/>
      <c r="S600" s="2"/>
      <c r="T600" s="2"/>
      <c r="U600" s="2"/>
      <c r="V600" s="2"/>
    </row>
    <row r="601" spans="4:22" ht="14.25" customHeight="1">
      <c r="D601" s="2"/>
      <c r="E601" s="2"/>
      <c r="F601" s="2"/>
      <c r="G601" s="2"/>
      <c r="H601" s="2"/>
      <c r="I601" s="2"/>
      <c r="J601" s="2"/>
      <c r="K601" s="2"/>
      <c r="L601" s="2"/>
      <c r="M601" s="2"/>
      <c r="N601" s="2"/>
      <c r="O601" s="2"/>
      <c r="P601" s="2"/>
      <c r="Q601" s="2"/>
      <c r="R601" s="2"/>
      <c r="S601" s="2"/>
      <c r="T601" s="2"/>
      <c r="U601" s="2"/>
      <c r="V601" s="2"/>
    </row>
    <row r="602" spans="4:22" ht="14.25" customHeight="1">
      <c r="D602" s="2"/>
      <c r="E602" s="2"/>
      <c r="F602" s="2"/>
      <c r="G602" s="2"/>
      <c r="H602" s="2"/>
      <c r="I602" s="2"/>
      <c r="J602" s="2"/>
      <c r="K602" s="2"/>
      <c r="L602" s="2"/>
      <c r="M602" s="2"/>
      <c r="N602" s="2"/>
      <c r="O602" s="2"/>
      <c r="P602" s="2"/>
      <c r="Q602" s="2"/>
      <c r="R602" s="2"/>
      <c r="S602" s="2"/>
      <c r="T602" s="2"/>
      <c r="U602" s="2"/>
      <c r="V602" s="2"/>
    </row>
    <row r="603" spans="4:22" ht="14.25" customHeight="1">
      <c r="D603" s="2"/>
      <c r="E603" s="2"/>
      <c r="F603" s="2"/>
      <c r="G603" s="2"/>
      <c r="H603" s="2"/>
      <c r="I603" s="2"/>
      <c r="J603" s="2"/>
      <c r="K603" s="2"/>
      <c r="L603" s="2"/>
      <c r="M603" s="2"/>
      <c r="N603" s="2"/>
      <c r="O603" s="2"/>
      <c r="P603" s="2"/>
      <c r="Q603" s="2"/>
      <c r="R603" s="2"/>
      <c r="S603" s="2"/>
      <c r="T603" s="2"/>
      <c r="U603" s="2"/>
      <c r="V603" s="2"/>
    </row>
    <row r="604" spans="4:22" ht="14.25" customHeight="1">
      <c r="D604" s="2"/>
      <c r="E604" s="2"/>
      <c r="F604" s="2"/>
      <c r="G604" s="2"/>
      <c r="H604" s="2"/>
      <c r="I604" s="2"/>
      <c r="J604" s="2"/>
      <c r="K604" s="2"/>
      <c r="L604" s="2"/>
      <c r="M604" s="2"/>
      <c r="N604" s="2"/>
      <c r="O604" s="2"/>
      <c r="P604" s="2"/>
      <c r="Q604" s="2"/>
      <c r="R604" s="2"/>
      <c r="S604" s="2"/>
      <c r="T604" s="2"/>
      <c r="U604" s="2"/>
      <c r="V604" s="2"/>
    </row>
    <row r="605" spans="4:22" ht="14.25" customHeight="1">
      <c r="D605" s="2"/>
      <c r="E605" s="2"/>
      <c r="F605" s="2"/>
      <c r="G605" s="2"/>
      <c r="H605" s="2"/>
      <c r="I605" s="2"/>
      <c r="J605" s="2"/>
      <c r="K605" s="2"/>
      <c r="L605" s="2"/>
      <c r="M605" s="2"/>
      <c r="N605" s="2"/>
      <c r="O605" s="2"/>
      <c r="P605" s="2"/>
      <c r="Q605" s="2"/>
      <c r="R605" s="2"/>
      <c r="S605" s="2"/>
      <c r="T605" s="2"/>
      <c r="U605" s="2"/>
      <c r="V605" s="2"/>
    </row>
    <row r="606" spans="4:22" ht="14.25" customHeight="1">
      <c r="D606" s="2"/>
      <c r="E606" s="2"/>
      <c r="F606" s="2"/>
      <c r="G606" s="2"/>
      <c r="H606" s="2"/>
      <c r="I606" s="2"/>
      <c r="J606" s="2"/>
      <c r="K606" s="2"/>
      <c r="L606" s="2"/>
      <c r="M606" s="2"/>
      <c r="N606" s="2"/>
      <c r="O606" s="2"/>
      <c r="P606" s="2"/>
      <c r="Q606" s="2"/>
      <c r="R606" s="2"/>
      <c r="S606" s="2"/>
      <c r="T606" s="2"/>
      <c r="U606" s="2"/>
      <c r="V606" s="2"/>
    </row>
    <row r="607" spans="4:22" ht="14.25" customHeight="1">
      <c r="D607" s="2"/>
      <c r="E607" s="2"/>
      <c r="F607" s="2"/>
      <c r="G607" s="2"/>
      <c r="H607" s="2"/>
      <c r="I607" s="2"/>
      <c r="J607" s="2"/>
      <c r="K607" s="2"/>
      <c r="L607" s="2"/>
      <c r="M607" s="2"/>
      <c r="N607" s="2"/>
      <c r="O607" s="2"/>
      <c r="P607" s="2"/>
      <c r="Q607" s="2"/>
      <c r="R607" s="2"/>
      <c r="S607" s="2"/>
      <c r="T607" s="2"/>
      <c r="U607" s="2"/>
      <c r="V607" s="2"/>
    </row>
    <row r="608" spans="4:22" ht="14.25" customHeight="1">
      <c r="D608" s="2"/>
      <c r="E608" s="2"/>
      <c r="F608" s="2"/>
      <c r="G608" s="2"/>
      <c r="H608" s="2"/>
      <c r="I608" s="2"/>
      <c r="J608" s="2"/>
      <c r="K608" s="2"/>
      <c r="L608" s="2"/>
      <c r="M608" s="2"/>
      <c r="N608" s="2"/>
      <c r="O608" s="2"/>
      <c r="P608" s="2"/>
      <c r="Q608" s="2"/>
      <c r="R608" s="2"/>
      <c r="S608" s="2"/>
      <c r="T608" s="2"/>
      <c r="U608" s="2"/>
      <c r="V608" s="2"/>
    </row>
    <row r="609" spans="4:22" ht="14.25" customHeight="1">
      <c r="D609" s="2"/>
      <c r="E609" s="2"/>
      <c r="F609" s="2"/>
      <c r="G609" s="2"/>
      <c r="H609" s="2"/>
      <c r="I609" s="2"/>
      <c r="J609" s="2"/>
      <c r="K609" s="2"/>
      <c r="L609" s="2"/>
      <c r="M609" s="2"/>
      <c r="N609" s="2"/>
      <c r="O609" s="2"/>
      <c r="P609" s="2"/>
      <c r="Q609" s="2"/>
      <c r="R609" s="2"/>
      <c r="S609" s="2"/>
      <c r="T609" s="2"/>
      <c r="U609" s="2"/>
      <c r="V609" s="2"/>
    </row>
    <row r="610" spans="4:22" ht="14.25" customHeight="1">
      <c r="D610" s="2"/>
      <c r="E610" s="2"/>
      <c r="F610" s="2"/>
      <c r="G610" s="2"/>
      <c r="H610" s="2"/>
      <c r="I610" s="2"/>
      <c r="J610" s="2"/>
      <c r="K610" s="2"/>
      <c r="L610" s="2"/>
      <c r="M610" s="2"/>
      <c r="N610" s="2"/>
      <c r="O610" s="2"/>
      <c r="P610" s="2"/>
      <c r="Q610" s="2"/>
      <c r="R610" s="2"/>
      <c r="S610" s="2"/>
      <c r="T610" s="2"/>
      <c r="U610" s="2"/>
      <c r="V610" s="2"/>
    </row>
    <row r="611" spans="4:22" ht="14.25" customHeight="1">
      <c r="D611" s="2"/>
      <c r="E611" s="2"/>
      <c r="F611" s="2"/>
      <c r="G611" s="2"/>
      <c r="H611" s="2"/>
      <c r="I611" s="2"/>
      <c r="J611" s="2"/>
      <c r="K611" s="2"/>
      <c r="L611" s="2"/>
      <c r="M611" s="2"/>
      <c r="N611" s="2"/>
      <c r="O611" s="2"/>
      <c r="P611" s="2"/>
      <c r="Q611" s="2"/>
      <c r="R611" s="2"/>
      <c r="S611" s="2"/>
      <c r="T611" s="2"/>
      <c r="U611" s="2"/>
      <c r="V611" s="2"/>
    </row>
    <row r="612" spans="4:22" ht="14.25" customHeight="1">
      <c r="D612" s="2"/>
      <c r="E612" s="2"/>
      <c r="F612" s="2"/>
      <c r="G612" s="2"/>
      <c r="H612" s="2"/>
      <c r="I612" s="2"/>
      <c r="J612" s="2"/>
      <c r="K612" s="2"/>
      <c r="L612" s="2"/>
      <c r="M612" s="2"/>
      <c r="N612" s="2"/>
      <c r="O612" s="2"/>
      <c r="P612" s="2"/>
      <c r="Q612" s="2"/>
      <c r="R612" s="2"/>
      <c r="S612" s="2"/>
      <c r="T612" s="2"/>
      <c r="U612" s="2"/>
      <c r="V612" s="2"/>
    </row>
    <row r="613" spans="4:22" ht="14.25" customHeight="1">
      <c r="D613" s="2"/>
      <c r="E613" s="2"/>
      <c r="F613" s="2"/>
      <c r="G613" s="2"/>
      <c r="H613" s="2"/>
      <c r="I613" s="2"/>
      <c r="J613" s="2"/>
      <c r="K613" s="2"/>
      <c r="L613" s="2"/>
      <c r="M613" s="2"/>
      <c r="N613" s="2"/>
      <c r="O613" s="2"/>
      <c r="P613" s="2"/>
      <c r="Q613" s="2"/>
      <c r="R613" s="2"/>
      <c r="S613" s="2"/>
      <c r="T613" s="2"/>
      <c r="U613" s="2"/>
      <c r="V613" s="2"/>
    </row>
    <row r="614" spans="4:22" ht="14.25" customHeight="1">
      <c r="D614" s="2"/>
      <c r="E614" s="2"/>
      <c r="F614" s="2"/>
      <c r="G614" s="2"/>
      <c r="H614" s="2"/>
      <c r="I614" s="2"/>
      <c r="J614" s="2"/>
      <c r="K614" s="2"/>
      <c r="L614" s="2"/>
      <c r="M614" s="2"/>
      <c r="N614" s="2"/>
      <c r="O614" s="2"/>
      <c r="P614" s="2"/>
      <c r="Q614" s="2"/>
      <c r="R614" s="2"/>
      <c r="S614" s="2"/>
      <c r="T614" s="2"/>
      <c r="U614" s="2"/>
      <c r="V614" s="2"/>
    </row>
    <row r="615" spans="4:22" ht="14.25" customHeight="1">
      <c r="D615" s="2"/>
      <c r="E615" s="2"/>
      <c r="F615" s="2"/>
      <c r="G615" s="2"/>
      <c r="H615" s="2"/>
      <c r="I615" s="2"/>
      <c r="J615" s="2"/>
      <c r="K615" s="2"/>
      <c r="L615" s="2"/>
      <c r="M615" s="2"/>
      <c r="N615" s="2"/>
      <c r="O615" s="2"/>
      <c r="P615" s="2"/>
      <c r="Q615" s="2"/>
      <c r="R615" s="2"/>
      <c r="S615" s="2"/>
      <c r="T615" s="2"/>
      <c r="U615" s="2"/>
      <c r="V615" s="2"/>
    </row>
    <row r="616" spans="4:22" ht="14.25" customHeight="1">
      <c r="D616" s="2"/>
      <c r="E616" s="2"/>
      <c r="F616" s="2"/>
      <c r="G616" s="2"/>
      <c r="H616" s="2"/>
      <c r="I616" s="2"/>
      <c r="J616" s="2"/>
      <c r="K616" s="2"/>
      <c r="L616" s="2"/>
      <c r="M616" s="2"/>
      <c r="N616" s="2"/>
      <c r="O616" s="2"/>
      <c r="P616" s="2"/>
      <c r="Q616" s="2"/>
      <c r="R616" s="2"/>
      <c r="S616" s="2"/>
      <c r="T616" s="2"/>
      <c r="U616" s="2"/>
      <c r="V616" s="2"/>
    </row>
    <row r="617" spans="4:22" ht="14.25" customHeight="1">
      <c r="D617" s="2"/>
      <c r="E617" s="2"/>
      <c r="F617" s="2"/>
      <c r="G617" s="2"/>
      <c r="H617" s="2"/>
      <c r="I617" s="2"/>
      <c r="J617" s="2"/>
      <c r="K617" s="2"/>
      <c r="L617" s="2"/>
      <c r="M617" s="2"/>
      <c r="N617" s="2"/>
      <c r="O617" s="2"/>
      <c r="P617" s="2"/>
      <c r="Q617" s="2"/>
      <c r="R617" s="2"/>
      <c r="S617" s="2"/>
      <c r="T617" s="2"/>
      <c r="U617" s="2"/>
      <c r="V617" s="2"/>
    </row>
    <row r="618" spans="4:22" ht="14.25" customHeight="1">
      <c r="D618" s="2"/>
      <c r="E618" s="2"/>
      <c r="F618" s="2"/>
      <c r="G618" s="2"/>
      <c r="H618" s="2"/>
      <c r="I618" s="2"/>
      <c r="J618" s="2"/>
      <c r="K618" s="2"/>
      <c r="L618" s="2"/>
      <c r="M618" s="2"/>
      <c r="N618" s="2"/>
      <c r="O618" s="2"/>
      <c r="P618" s="2"/>
      <c r="Q618" s="2"/>
      <c r="R618" s="2"/>
      <c r="S618" s="2"/>
      <c r="T618" s="2"/>
      <c r="U618" s="2"/>
      <c r="V618" s="2"/>
    </row>
    <row r="619" spans="4:22" ht="14.25" customHeight="1">
      <c r="D619" s="2"/>
      <c r="E619" s="2"/>
      <c r="F619" s="2"/>
      <c r="G619" s="2"/>
      <c r="H619" s="2"/>
      <c r="I619" s="2"/>
      <c r="J619" s="2"/>
      <c r="K619" s="2"/>
      <c r="L619" s="2"/>
      <c r="M619" s="2"/>
      <c r="N619" s="2"/>
      <c r="O619" s="2"/>
      <c r="P619" s="2"/>
      <c r="Q619" s="2"/>
      <c r="R619" s="2"/>
      <c r="S619" s="2"/>
      <c r="T619" s="2"/>
      <c r="U619" s="2"/>
      <c r="V619" s="2"/>
    </row>
    <row r="620" spans="4:22" ht="14.25" customHeight="1">
      <c r="D620" s="2"/>
      <c r="E620" s="2"/>
      <c r="F620" s="2"/>
      <c r="G620" s="2"/>
      <c r="H620" s="2"/>
      <c r="I620" s="2"/>
      <c r="J620" s="2"/>
      <c r="K620" s="2"/>
      <c r="L620" s="2"/>
      <c r="M620" s="2"/>
      <c r="N620" s="2"/>
      <c r="O620" s="2"/>
      <c r="P620" s="2"/>
      <c r="Q620" s="2"/>
      <c r="R620" s="2"/>
      <c r="S620" s="2"/>
      <c r="T620" s="2"/>
      <c r="U620" s="2"/>
      <c r="V620" s="2"/>
    </row>
    <row r="621" spans="4:22" ht="14.25" customHeight="1">
      <c r="D621" s="2"/>
      <c r="E621" s="2"/>
      <c r="F621" s="2"/>
      <c r="G621" s="2"/>
      <c r="H621" s="2"/>
      <c r="I621" s="2"/>
      <c r="J621" s="2"/>
      <c r="K621" s="2"/>
      <c r="L621" s="2"/>
      <c r="M621" s="2"/>
      <c r="N621" s="2"/>
      <c r="O621" s="2"/>
      <c r="P621" s="2"/>
      <c r="Q621" s="2"/>
      <c r="R621" s="2"/>
      <c r="S621" s="2"/>
      <c r="T621" s="2"/>
      <c r="U621" s="2"/>
      <c r="V621" s="2"/>
    </row>
    <row r="622" spans="4:22" ht="14.25" customHeight="1">
      <c r="D622" s="2"/>
      <c r="E622" s="2"/>
      <c r="F622" s="2"/>
      <c r="G622" s="2"/>
      <c r="H622" s="2"/>
      <c r="I622" s="2"/>
      <c r="J622" s="2"/>
      <c r="K622" s="2"/>
      <c r="L622" s="2"/>
      <c r="M622" s="2"/>
      <c r="N622" s="2"/>
      <c r="O622" s="2"/>
      <c r="P622" s="2"/>
      <c r="Q622" s="2"/>
      <c r="R622" s="2"/>
      <c r="S622" s="2"/>
      <c r="T622" s="2"/>
      <c r="U622" s="2"/>
      <c r="V622" s="2"/>
    </row>
    <row r="623" spans="4:22" ht="14.25" customHeight="1">
      <c r="D623" s="2"/>
      <c r="E623" s="2"/>
      <c r="F623" s="2"/>
      <c r="G623" s="2"/>
      <c r="H623" s="2"/>
      <c r="I623" s="2"/>
      <c r="J623" s="2"/>
      <c r="K623" s="2"/>
      <c r="L623" s="2"/>
      <c r="M623" s="2"/>
      <c r="N623" s="2"/>
      <c r="O623" s="2"/>
      <c r="P623" s="2"/>
      <c r="Q623" s="2"/>
      <c r="R623" s="2"/>
      <c r="S623" s="2"/>
      <c r="T623" s="2"/>
      <c r="U623" s="2"/>
      <c r="V623" s="2"/>
    </row>
    <row r="624" spans="4:22" ht="14.25" customHeight="1">
      <c r="D624" s="2"/>
      <c r="E624" s="2"/>
      <c r="F624" s="2"/>
      <c r="G624" s="2"/>
      <c r="H624" s="2"/>
      <c r="I624" s="2"/>
      <c r="J624" s="2"/>
      <c r="K624" s="2"/>
      <c r="L624" s="2"/>
      <c r="M624" s="2"/>
      <c r="N624" s="2"/>
      <c r="O624" s="2"/>
      <c r="P624" s="2"/>
      <c r="Q624" s="2"/>
      <c r="R624" s="2"/>
      <c r="S624" s="2"/>
      <c r="T624" s="2"/>
      <c r="U624" s="2"/>
      <c r="V624" s="2"/>
    </row>
    <row r="625" spans="4:22" ht="14.25" customHeight="1">
      <c r="D625" s="2"/>
      <c r="E625" s="2"/>
      <c r="F625" s="2"/>
      <c r="G625" s="2"/>
      <c r="H625" s="2"/>
      <c r="I625" s="2"/>
      <c r="J625" s="2"/>
      <c r="K625" s="2"/>
      <c r="L625" s="2"/>
      <c r="M625" s="2"/>
      <c r="N625" s="2"/>
      <c r="O625" s="2"/>
      <c r="P625" s="2"/>
      <c r="Q625" s="2"/>
      <c r="R625" s="2"/>
      <c r="S625" s="2"/>
      <c r="T625" s="2"/>
      <c r="U625" s="2"/>
      <c r="V625" s="2"/>
    </row>
    <row r="626" spans="4:22" ht="14.25" customHeight="1">
      <c r="D626" s="2"/>
      <c r="E626" s="2"/>
      <c r="F626" s="2"/>
      <c r="G626" s="2"/>
      <c r="H626" s="2"/>
      <c r="I626" s="2"/>
      <c r="J626" s="2"/>
      <c r="K626" s="2"/>
      <c r="L626" s="2"/>
      <c r="M626" s="2"/>
      <c r="N626" s="2"/>
      <c r="O626" s="2"/>
      <c r="P626" s="2"/>
      <c r="Q626" s="2"/>
      <c r="R626" s="2"/>
      <c r="S626" s="2"/>
      <c r="T626" s="2"/>
      <c r="U626" s="2"/>
      <c r="V626" s="2"/>
    </row>
    <row r="627" spans="4:22" ht="14.25" customHeight="1">
      <c r="D627" s="2"/>
      <c r="E627" s="2"/>
      <c r="F627" s="2"/>
      <c r="G627" s="2"/>
      <c r="H627" s="2"/>
      <c r="I627" s="2"/>
      <c r="J627" s="2"/>
      <c r="K627" s="2"/>
      <c r="L627" s="2"/>
      <c r="M627" s="2"/>
      <c r="N627" s="2"/>
      <c r="O627" s="2"/>
      <c r="P627" s="2"/>
      <c r="Q627" s="2"/>
      <c r="R627" s="2"/>
      <c r="S627" s="2"/>
      <c r="T627" s="2"/>
      <c r="U627" s="2"/>
      <c r="V627" s="2"/>
    </row>
    <row r="628" spans="4:22" ht="14.25" customHeight="1">
      <c r="D628" s="2"/>
      <c r="E628" s="2"/>
      <c r="F628" s="2"/>
      <c r="G628" s="2"/>
      <c r="H628" s="2"/>
      <c r="I628" s="2"/>
      <c r="J628" s="2"/>
      <c r="K628" s="2"/>
      <c r="L628" s="2"/>
      <c r="M628" s="2"/>
      <c r="N628" s="2"/>
      <c r="O628" s="2"/>
      <c r="P628" s="2"/>
      <c r="Q628" s="2"/>
      <c r="R628" s="2"/>
      <c r="S628" s="2"/>
      <c r="T628" s="2"/>
      <c r="U628" s="2"/>
      <c r="V628" s="2"/>
    </row>
    <row r="629" spans="4:22" ht="14.25" customHeight="1">
      <c r="D629" s="2"/>
      <c r="E629" s="2"/>
      <c r="F629" s="2"/>
      <c r="G629" s="2"/>
      <c r="H629" s="2"/>
      <c r="I629" s="2"/>
      <c r="J629" s="2"/>
      <c r="K629" s="2"/>
      <c r="L629" s="2"/>
      <c r="M629" s="2"/>
      <c r="N629" s="2"/>
      <c r="O629" s="2"/>
      <c r="P629" s="2"/>
      <c r="Q629" s="2"/>
      <c r="R629" s="2"/>
      <c r="S629" s="2"/>
      <c r="T629" s="2"/>
      <c r="U629" s="2"/>
      <c r="V629" s="2"/>
    </row>
    <row r="630" spans="4:22" ht="14.25" customHeight="1">
      <c r="D630" s="2"/>
      <c r="E630" s="2"/>
      <c r="F630" s="2"/>
      <c r="G630" s="2"/>
      <c r="H630" s="2"/>
      <c r="I630" s="2"/>
      <c r="J630" s="2"/>
      <c r="K630" s="2"/>
      <c r="L630" s="2"/>
      <c r="M630" s="2"/>
      <c r="N630" s="2"/>
      <c r="O630" s="2"/>
      <c r="P630" s="2"/>
      <c r="Q630" s="2"/>
      <c r="R630" s="2"/>
      <c r="S630" s="2"/>
      <c r="T630" s="2"/>
      <c r="U630" s="2"/>
      <c r="V630" s="2"/>
    </row>
    <row r="631" spans="4:22" ht="14.25" customHeight="1">
      <c r="D631" s="2"/>
      <c r="E631" s="2"/>
      <c r="F631" s="2"/>
      <c r="G631" s="2"/>
      <c r="H631" s="2"/>
      <c r="I631" s="2"/>
      <c r="J631" s="2"/>
      <c r="K631" s="2"/>
      <c r="L631" s="2"/>
      <c r="M631" s="2"/>
      <c r="N631" s="2"/>
      <c r="O631" s="2"/>
      <c r="P631" s="2"/>
      <c r="Q631" s="2"/>
      <c r="R631" s="2"/>
      <c r="S631" s="2"/>
      <c r="T631" s="2"/>
      <c r="U631" s="2"/>
      <c r="V631" s="2"/>
    </row>
    <row r="632" spans="4:22" ht="14.25" customHeight="1">
      <c r="D632" s="2"/>
      <c r="E632" s="2"/>
      <c r="F632" s="2"/>
      <c r="G632" s="2"/>
      <c r="H632" s="2"/>
      <c r="I632" s="2"/>
      <c r="J632" s="2"/>
      <c r="K632" s="2"/>
      <c r="L632" s="2"/>
      <c r="M632" s="2"/>
      <c r="N632" s="2"/>
      <c r="O632" s="2"/>
      <c r="P632" s="2"/>
      <c r="Q632" s="2"/>
      <c r="R632" s="2"/>
      <c r="S632" s="2"/>
      <c r="T632" s="2"/>
      <c r="U632" s="2"/>
      <c r="V632" s="2"/>
    </row>
    <row r="633" spans="4:22" ht="14.25" customHeight="1">
      <c r="D633" s="2"/>
      <c r="E633" s="2"/>
      <c r="F633" s="2"/>
      <c r="G633" s="2"/>
      <c r="H633" s="2"/>
      <c r="I633" s="2"/>
      <c r="J633" s="2"/>
      <c r="K633" s="2"/>
      <c r="L633" s="2"/>
      <c r="M633" s="2"/>
      <c r="N633" s="2"/>
      <c r="O633" s="2"/>
      <c r="P633" s="2"/>
      <c r="Q633" s="2"/>
      <c r="R633" s="2"/>
      <c r="S633" s="2"/>
      <c r="T633" s="2"/>
      <c r="U633" s="2"/>
      <c r="V633" s="2"/>
    </row>
    <row r="634" spans="4:22" ht="14.25" customHeight="1">
      <c r="D634" s="2"/>
      <c r="E634" s="2"/>
      <c r="F634" s="2"/>
      <c r="G634" s="2"/>
      <c r="H634" s="2"/>
      <c r="I634" s="2"/>
      <c r="J634" s="2"/>
      <c r="K634" s="2"/>
      <c r="L634" s="2"/>
      <c r="M634" s="2"/>
      <c r="N634" s="2"/>
      <c r="O634" s="2"/>
      <c r="P634" s="2"/>
      <c r="Q634" s="2"/>
      <c r="R634" s="2"/>
      <c r="S634" s="2"/>
      <c r="T634" s="2"/>
      <c r="U634" s="2"/>
      <c r="V634" s="2"/>
    </row>
    <row r="635" spans="4:22" ht="14.25" customHeight="1">
      <c r="D635" s="2"/>
      <c r="E635" s="2"/>
      <c r="F635" s="2"/>
      <c r="G635" s="2"/>
      <c r="H635" s="2"/>
      <c r="I635" s="2"/>
      <c r="J635" s="2"/>
      <c r="K635" s="2"/>
      <c r="L635" s="2"/>
      <c r="M635" s="2"/>
      <c r="N635" s="2"/>
      <c r="O635" s="2"/>
      <c r="P635" s="2"/>
      <c r="Q635" s="2"/>
      <c r="R635" s="2"/>
      <c r="S635" s="2"/>
      <c r="T635" s="2"/>
      <c r="U635" s="2"/>
      <c r="V635" s="2"/>
    </row>
    <row r="636" spans="4:22" ht="14.25" customHeight="1">
      <c r="D636" s="2"/>
      <c r="E636" s="2"/>
      <c r="F636" s="2"/>
      <c r="G636" s="2"/>
      <c r="H636" s="2"/>
      <c r="I636" s="2"/>
      <c r="J636" s="2"/>
      <c r="K636" s="2"/>
      <c r="L636" s="2"/>
      <c r="M636" s="2"/>
      <c r="N636" s="2"/>
      <c r="O636" s="2"/>
      <c r="P636" s="2"/>
      <c r="Q636" s="2"/>
      <c r="R636" s="2"/>
      <c r="S636" s="2"/>
      <c r="T636" s="2"/>
      <c r="U636" s="2"/>
      <c r="V636" s="2"/>
    </row>
    <row r="637" spans="4:22" ht="14.25" customHeight="1">
      <c r="D637" s="2"/>
      <c r="E637" s="2"/>
      <c r="F637" s="2"/>
      <c r="G637" s="2"/>
      <c r="H637" s="2"/>
      <c r="I637" s="2"/>
      <c r="J637" s="2"/>
      <c r="K637" s="2"/>
      <c r="L637" s="2"/>
      <c r="M637" s="2"/>
      <c r="N637" s="2"/>
      <c r="O637" s="2"/>
      <c r="P637" s="2"/>
      <c r="Q637" s="2"/>
      <c r="R637" s="2"/>
      <c r="S637" s="2"/>
      <c r="T637" s="2"/>
      <c r="U637" s="2"/>
      <c r="V637" s="2"/>
    </row>
    <row r="638" spans="4:22" ht="14.25" customHeight="1">
      <c r="D638" s="2"/>
      <c r="E638" s="2"/>
      <c r="F638" s="2"/>
      <c r="G638" s="2"/>
      <c r="H638" s="2"/>
      <c r="I638" s="2"/>
      <c r="J638" s="2"/>
      <c r="K638" s="2"/>
      <c r="L638" s="2"/>
      <c r="M638" s="2"/>
      <c r="N638" s="2"/>
      <c r="O638" s="2"/>
      <c r="P638" s="2"/>
      <c r="Q638" s="2"/>
      <c r="R638" s="2"/>
      <c r="S638" s="2"/>
      <c r="T638" s="2"/>
      <c r="U638" s="2"/>
      <c r="V638" s="2"/>
    </row>
    <row r="639" spans="4:22" ht="14.25" customHeight="1">
      <c r="D639" s="2"/>
      <c r="E639" s="2"/>
      <c r="F639" s="2"/>
      <c r="G639" s="2"/>
      <c r="H639" s="2"/>
      <c r="I639" s="2"/>
      <c r="J639" s="2"/>
      <c r="K639" s="2"/>
      <c r="L639" s="2"/>
      <c r="M639" s="2"/>
      <c r="N639" s="2"/>
      <c r="O639" s="2"/>
      <c r="P639" s="2"/>
      <c r="Q639" s="2"/>
      <c r="R639" s="2"/>
      <c r="S639" s="2"/>
      <c r="T639" s="2"/>
      <c r="U639" s="2"/>
      <c r="V639" s="2"/>
    </row>
    <row r="640" spans="4:22" ht="14.25" customHeight="1">
      <c r="D640" s="2"/>
      <c r="E640" s="2"/>
      <c r="F640" s="2"/>
      <c r="G640" s="2"/>
      <c r="H640" s="2"/>
      <c r="I640" s="2"/>
      <c r="J640" s="2"/>
      <c r="K640" s="2"/>
      <c r="L640" s="2"/>
      <c r="M640" s="2"/>
      <c r="N640" s="2"/>
      <c r="O640" s="2"/>
      <c r="P640" s="2"/>
      <c r="Q640" s="2"/>
      <c r="R640" s="2"/>
      <c r="S640" s="2"/>
      <c r="T640" s="2"/>
      <c r="U640" s="2"/>
      <c r="V640" s="2"/>
    </row>
    <row r="641" spans="4:22" ht="14.25" customHeight="1">
      <c r="D641" s="2"/>
      <c r="E641" s="2"/>
      <c r="F641" s="2"/>
      <c r="G641" s="2"/>
      <c r="H641" s="2"/>
      <c r="I641" s="2"/>
      <c r="J641" s="2"/>
      <c r="K641" s="2"/>
      <c r="L641" s="2"/>
      <c r="M641" s="2"/>
      <c r="N641" s="2"/>
      <c r="O641" s="2"/>
      <c r="P641" s="2"/>
      <c r="Q641" s="2"/>
      <c r="R641" s="2"/>
      <c r="S641" s="2"/>
      <c r="T641" s="2"/>
      <c r="U641" s="2"/>
      <c r="V641" s="2"/>
    </row>
    <row r="642" spans="4:22" ht="14.25" customHeight="1">
      <c r="D642" s="2"/>
      <c r="E642" s="2"/>
      <c r="F642" s="2"/>
      <c r="G642" s="2"/>
      <c r="H642" s="2"/>
      <c r="I642" s="2"/>
      <c r="J642" s="2"/>
      <c r="K642" s="2"/>
      <c r="L642" s="2"/>
      <c r="M642" s="2"/>
      <c r="N642" s="2"/>
      <c r="O642" s="2"/>
      <c r="P642" s="2"/>
      <c r="Q642" s="2"/>
      <c r="R642" s="2"/>
      <c r="S642" s="2"/>
      <c r="T642" s="2"/>
      <c r="U642" s="2"/>
      <c r="V642" s="2"/>
    </row>
    <row r="643" spans="4:22" ht="14.25" customHeight="1">
      <c r="D643" s="2"/>
      <c r="E643" s="2"/>
      <c r="F643" s="2"/>
      <c r="G643" s="2"/>
      <c r="H643" s="2"/>
      <c r="I643" s="2"/>
      <c r="J643" s="2"/>
      <c r="K643" s="2"/>
      <c r="L643" s="2"/>
      <c r="M643" s="2"/>
      <c r="N643" s="2"/>
      <c r="O643" s="2"/>
      <c r="P643" s="2"/>
      <c r="Q643" s="2"/>
      <c r="R643" s="2"/>
      <c r="S643" s="2"/>
      <c r="T643" s="2"/>
      <c r="U643" s="2"/>
      <c r="V643" s="2"/>
    </row>
    <row r="644" spans="4:22" ht="14.25" customHeight="1">
      <c r="D644" s="2"/>
      <c r="E644" s="2"/>
      <c r="F644" s="2"/>
      <c r="G644" s="2"/>
      <c r="H644" s="2"/>
      <c r="I644" s="2"/>
      <c r="J644" s="2"/>
      <c r="K644" s="2"/>
      <c r="L644" s="2"/>
      <c r="M644" s="2"/>
      <c r="N644" s="2"/>
      <c r="O644" s="2"/>
      <c r="P644" s="2"/>
      <c r="Q644" s="2"/>
      <c r="R644" s="2"/>
      <c r="S644" s="2"/>
      <c r="T644" s="2"/>
      <c r="U644" s="2"/>
      <c r="V644" s="2"/>
    </row>
    <row r="645" spans="4:22" ht="14.25" customHeight="1">
      <c r="D645" s="2"/>
      <c r="E645" s="2"/>
      <c r="F645" s="2"/>
      <c r="G645" s="2"/>
      <c r="H645" s="2"/>
      <c r="I645" s="2"/>
      <c r="J645" s="2"/>
      <c r="K645" s="2"/>
      <c r="L645" s="2"/>
      <c r="M645" s="2"/>
      <c r="N645" s="2"/>
      <c r="O645" s="2"/>
      <c r="P645" s="2"/>
      <c r="Q645" s="2"/>
      <c r="R645" s="2"/>
      <c r="S645" s="2"/>
      <c r="T645" s="2"/>
      <c r="U645" s="2"/>
      <c r="V645" s="2"/>
    </row>
    <row r="646" spans="4:22" ht="14.25" customHeight="1">
      <c r="D646" s="2"/>
      <c r="E646" s="2"/>
      <c r="F646" s="2"/>
      <c r="G646" s="2"/>
      <c r="H646" s="2"/>
      <c r="I646" s="2"/>
      <c r="J646" s="2"/>
      <c r="K646" s="2"/>
      <c r="L646" s="2"/>
      <c r="M646" s="2"/>
      <c r="N646" s="2"/>
      <c r="O646" s="2"/>
      <c r="P646" s="2"/>
      <c r="Q646" s="2"/>
      <c r="R646" s="2"/>
      <c r="S646" s="2"/>
      <c r="T646" s="2"/>
      <c r="U646" s="2"/>
      <c r="V646" s="2"/>
    </row>
    <row r="647" spans="4:22" ht="14.25" customHeight="1">
      <c r="D647" s="2"/>
      <c r="E647" s="2"/>
      <c r="F647" s="2"/>
      <c r="G647" s="2"/>
      <c r="H647" s="2"/>
      <c r="I647" s="2"/>
      <c r="J647" s="2"/>
      <c r="K647" s="2"/>
      <c r="L647" s="2"/>
      <c r="M647" s="2"/>
      <c r="N647" s="2"/>
      <c r="O647" s="2"/>
      <c r="P647" s="2"/>
      <c r="Q647" s="2"/>
      <c r="R647" s="2"/>
      <c r="S647" s="2"/>
      <c r="T647" s="2"/>
      <c r="U647" s="2"/>
      <c r="V647" s="2"/>
    </row>
    <row r="648" spans="4:22" ht="14.25" customHeight="1">
      <c r="D648" s="2"/>
      <c r="E648" s="2"/>
      <c r="F648" s="2"/>
      <c r="G648" s="2"/>
      <c r="H648" s="2"/>
      <c r="I648" s="2"/>
      <c r="J648" s="2"/>
      <c r="K648" s="2"/>
      <c r="L648" s="2"/>
      <c r="M648" s="2"/>
      <c r="N648" s="2"/>
      <c r="O648" s="2"/>
      <c r="P648" s="2"/>
      <c r="Q648" s="2"/>
      <c r="R648" s="2"/>
      <c r="S648" s="2"/>
      <c r="T648" s="2"/>
      <c r="U648" s="2"/>
      <c r="V648" s="2"/>
    </row>
    <row r="649" spans="4:22" ht="14.25" customHeight="1">
      <c r="D649" s="2"/>
      <c r="E649" s="2"/>
      <c r="F649" s="2"/>
      <c r="G649" s="2"/>
      <c r="H649" s="2"/>
      <c r="I649" s="2"/>
      <c r="J649" s="2"/>
      <c r="K649" s="2"/>
      <c r="L649" s="2"/>
      <c r="M649" s="2"/>
      <c r="N649" s="2"/>
      <c r="O649" s="2"/>
      <c r="P649" s="2"/>
      <c r="Q649" s="2"/>
      <c r="R649" s="2"/>
      <c r="S649" s="2"/>
      <c r="T649" s="2"/>
      <c r="U649" s="2"/>
      <c r="V649" s="2"/>
    </row>
    <row r="650" spans="4:22" ht="14.25" customHeight="1">
      <c r="D650" s="2"/>
      <c r="E650" s="2"/>
      <c r="F650" s="2"/>
      <c r="G650" s="2"/>
      <c r="H650" s="2"/>
      <c r="I650" s="2"/>
      <c r="J650" s="2"/>
      <c r="K650" s="2"/>
      <c r="L650" s="2"/>
      <c r="M650" s="2"/>
      <c r="N650" s="2"/>
      <c r="O650" s="2"/>
      <c r="P650" s="2"/>
      <c r="Q650" s="2"/>
      <c r="R650" s="2"/>
      <c r="S650" s="2"/>
      <c r="T650" s="2"/>
      <c r="U650" s="2"/>
      <c r="V650" s="2"/>
    </row>
    <row r="651" spans="4:22" ht="14.25" customHeight="1">
      <c r="D651" s="2"/>
      <c r="E651" s="2"/>
      <c r="F651" s="2"/>
      <c r="G651" s="2"/>
      <c r="H651" s="2"/>
      <c r="I651" s="2"/>
      <c r="J651" s="2"/>
      <c r="K651" s="2"/>
      <c r="L651" s="2"/>
      <c r="M651" s="2"/>
      <c r="N651" s="2"/>
      <c r="O651" s="2"/>
      <c r="P651" s="2"/>
      <c r="Q651" s="2"/>
      <c r="R651" s="2"/>
      <c r="S651" s="2"/>
      <c r="T651" s="2"/>
      <c r="U651" s="2"/>
      <c r="V651" s="2"/>
    </row>
    <row r="652" spans="4:22" ht="14.25" customHeight="1">
      <c r="D652" s="2"/>
      <c r="E652" s="2"/>
      <c r="F652" s="2"/>
      <c r="G652" s="2"/>
      <c r="H652" s="2"/>
      <c r="I652" s="2"/>
      <c r="J652" s="2"/>
      <c r="K652" s="2"/>
      <c r="L652" s="2"/>
      <c r="M652" s="2"/>
      <c r="N652" s="2"/>
      <c r="O652" s="2"/>
      <c r="P652" s="2"/>
      <c r="Q652" s="2"/>
      <c r="R652" s="2"/>
      <c r="S652" s="2"/>
      <c r="T652" s="2"/>
      <c r="U652" s="2"/>
      <c r="V652" s="2"/>
    </row>
    <row r="653" spans="4:22" ht="14.25" customHeight="1">
      <c r="D653" s="2"/>
      <c r="E653" s="2"/>
      <c r="F653" s="2"/>
      <c r="G653" s="2"/>
      <c r="H653" s="2"/>
      <c r="I653" s="2"/>
      <c r="J653" s="2"/>
      <c r="K653" s="2"/>
      <c r="L653" s="2"/>
      <c r="M653" s="2"/>
      <c r="N653" s="2"/>
      <c r="O653" s="2"/>
      <c r="P653" s="2"/>
      <c r="Q653" s="2"/>
      <c r="R653" s="2"/>
      <c r="S653" s="2"/>
      <c r="T653" s="2"/>
      <c r="U653" s="2"/>
      <c r="V653" s="2"/>
    </row>
    <row r="654" spans="4:22" ht="14.25" customHeight="1">
      <c r="D654" s="2"/>
      <c r="E654" s="2"/>
      <c r="F654" s="2"/>
      <c r="G654" s="2"/>
      <c r="H654" s="2"/>
      <c r="I654" s="2"/>
      <c r="J654" s="2"/>
      <c r="K654" s="2"/>
      <c r="L654" s="2"/>
      <c r="M654" s="2"/>
      <c r="N654" s="2"/>
      <c r="O654" s="2"/>
      <c r="P654" s="2"/>
      <c r="Q654" s="2"/>
      <c r="R654" s="2"/>
      <c r="S654" s="2"/>
      <c r="T654" s="2"/>
      <c r="U654" s="2"/>
      <c r="V654" s="2"/>
    </row>
    <row r="655" spans="4:22" ht="14.25" customHeight="1">
      <c r="D655" s="2"/>
      <c r="E655" s="2"/>
      <c r="F655" s="2"/>
      <c r="G655" s="2"/>
      <c r="H655" s="2"/>
      <c r="I655" s="2"/>
      <c r="J655" s="2"/>
      <c r="K655" s="2"/>
      <c r="L655" s="2"/>
      <c r="M655" s="2"/>
      <c r="N655" s="2"/>
      <c r="O655" s="2"/>
      <c r="P655" s="2"/>
      <c r="Q655" s="2"/>
      <c r="R655" s="2"/>
      <c r="S655" s="2"/>
      <c r="T655" s="2"/>
      <c r="U655" s="2"/>
      <c r="V655" s="2"/>
    </row>
    <row r="656" spans="4:22" ht="14.25" customHeight="1">
      <c r="D656" s="2"/>
      <c r="E656" s="2"/>
      <c r="F656" s="2"/>
      <c r="G656" s="2"/>
      <c r="H656" s="2"/>
      <c r="I656" s="2"/>
      <c r="J656" s="2"/>
      <c r="K656" s="2"/>
      <c r="L656" s="2"/>
      <c r="M656" s="2"/>
      <c r="N656" s="2"/>
      <c r="O656" s="2"/>
      <c r="P656" s="2"/>
      <c r="Q656" s="2"/>
      <c r="R656" s="2"/>
      <c r="S656" s="2"/>
      <c r="T656" s="2"/>
      <c r="U656" s="2"/>
      <c r="V656" s="2"/>
    </row>
    <row r="657" spans="4:22" ht="14.25" customHeight="1">
      <c r="D657" s="2"/>
      <c r="E657" s="2"/>
      <c r="F657" s="2"/>
      <c r="G657" s="2"/>
      <c r="H657" s="2"/>
      <c r="I657" s="2"/>
      <c r="J657" s="2"/>
      <c r="K657" s="2"/>
      <c r="L657" s="2"/>
      <c r="M657" s="2"/>
      <c r="N657" s="2"/>
      <c r="O657" s="2"/>
      <c r="P657" s="2"/>
      <c r="Q657" s="2"/>
      <c r="R657" s="2"/>
      <c r="S657" s="2"/>
      <c r="T657" s="2"/>
      <c r="U657" s="2"/>
      <c r="V657" s="2"/>
    </row>
    <row r="658" spans="4:22" ht="14.25" customHeight="1">
      <c r="D658" s="2"/>
      <c r="E658" s="2"/>
      <c r="F658" s="2"/>
      <c r="G658" s="2"/>
      <c r="H658" s="2"/>
      <c r="I658" s="2"/>
      <c r="J658" s="2"/>
      <c r="K658" s="2"/>
      <c r="L658" s="2"/>
      <c r="M658" s="2"/>
      <c r="N658" s="2"/>
      <c r="O658" s="2"/>
      <c r="P658" s="2"/>
      <c r="Q658" s="2"/>
      <c r="R658" s="2"/>
      <c r="S658" s="2"/>
      <c r="T658" s="2"/>
      <c r="U658" s="2"/>
      <c r="V658" s="2"/>
    </row>
    <row r="659" spans="4:22" ht="14.25" customHeight="1">
      <c r="D659" s="2"/>
      <c r="E659" s="2"/>
      <c r="F659" s="2"/>
      <c r="G659" s="2"/>
      <c r="H659" s="2"/>
      <c r="I659" s="2"/>
      <c r="J659" s="2"/>
      <c r="K659" s="2"/>
      <c r="L659" s="2"/>
      <c r="M659" s="2"/>
      <c r="N659" s="2"/>
      <c r="O659" s="2"/>
      <c r="P659" s="2"/>
      <c r="Q659" s="2"/>
      <c r="R659" s="2"/>
      <c r="S659" s="2"/>
      <c r="T659" s="2"/>
      <c r="U659" s="2"/>
      <c r="V659" s="2"/>
    </row>
    <row r="660" spans="4:22" ht="14.25" customHeight="1">
      <c r="D660" s="2"/>
      <c r="E660" s="2"/>
      <c r="F660" s="2"/>
      <c r="G660" s="2"/>
      <c r="H660" s="2"/>
      <c r="I660" s="2"/>
      <c r="J660" s="2"/>
      <c r="K660" s="2"/>
      <c r="L660" s="2"/>
      <c r="M660" s="2"/>
      <c r="N660" s="2"/>
      <c r="O660" s="2"/>
      <c r="P660" s="2"/>
      <c r="Q660" s="2"/>
      <c r="R660" s="2"/>
      <c r="S660" s="2"/>
      <c r="T660" s="2"/>
      <c r="U660" s="2"/>
      <c r="V660" s="2"/>
    </row>
    <row r="661" spans="4:22" ht="14.25" customHeight="1">
      <c r="D661" s="2"/>
      <c r="E661" s="2"/>
      <c r="F661" s="2"/>
      <c r="G661" s="2"/>
      <c r="H661" s="2"/>
      <c r="I661" s="2"/>
      <c r="J661" s="2"/>
      <c r="K661" s="2"/>
      <c r="L661" s="2"/>
      <c r="M661" s="2"/>
      <c r="N661" s="2"/>
      <c r="O661" s="2"/>
      <c r="P661" s="2"/>
      <c r="Q661" s="2"/>
      <c r="R661" s="2"/>
      <c r="S661" s="2"/>
      <c r="T661" s="2"/>
      <c r="U661" s="2"/>
      <c r="V661" s="2"/>
    </row>
    <row r="662" spans="4:22" ht="14.25" customHeight="1">
      <c r="D662" s="2"/>
      <c r="E662" s="2"/>
      <c r="F662" s="2"/>
      <c r="G662" s="2"/>
      <c r="H662" s="2"/>
      <c r="I662" s="2"/>
      <c r="J662" s="2"/>
      <c r="K662" s="2"/>
      <c r="L662" s="2"/>
      <c r="M662" s="2"/>
      <c r="N662" s="2"/>
      <c r="O662" s="2"/>
      <c r="P662" s="2"/>
      <c r="Q662" s="2"/>
      <c r="R662" s="2"/>
      <c r="S662" s="2"/>
      <c r="T662" s="2"/>
      <c r="U662" s="2"/>
      <c r="V662" s="2"/>
    </row>
    <row r="663" spans="4:22" ht="14.25" customHeight="1">
      <c r="D663" s="2"/>
      <c r="E663" s="2"/>
      <c r="F663" s="2"/>
      <c r="G663" s="2"/>
      <c r="H663" s="2"/>
      <c r="I663" s="2"/>
      <c r="J663" s="2"/>
      <c r="K663" s="2"/>
      <c r="L663" s="2"/>
      <c r="M663" s="2"/>
      <c r="N663" s="2"/>
      <c r="O663" s="2"/>
      <c r="P663" s="2"/>
      <c r="Q663" s="2"/>
      <c r="R663" s="2"/>
      <c r="S663" s="2"/>
      <c r="T663" s="2"/>
      <c r="U663" s="2"/>
      <c r="V663" s="2"/>
    </row>
    <row r="664" spans="4:22" ht="14.25" customHeight="1">
      <c r="D664" s="2"/>
      <c r="E664" s="2"/>
      <c r="F664" s="2"/>
      <c r="G664" s="2"/>
      <c r="H664" s="2"/>
      <c r="I664" s="2"/>
      <c r="J664" s="2"/>
      <c r="K664" s="2"/>
      <c r="L664" s="2"/>
      <c r="M664" s="2"/>
      <c r="N664" s="2"/>
      <c r="O664" s="2"/>
      <c r="P664" s="2"/>
      <c r="Q664" s="2"/>
      <c r="R664" s="2"/>
      <c r="S664" s="2"/>
      <c r="T664" s="2"/>
      <c r="U664" s="2"/>
      <c r="V664" s="2"/>
    </row>
    <row r="665" spans="4:22" ht="14.25" customHeight="1">
      <c r="D665" s="2"/>
      <c r="E665" s="2"/>
      <c r="F665" s="2"/>
      <c r="G665" s="2"/>
      <c r="H665" s="2"/>
      <c r="I665" s="2"/>
      <c r="J665" s="2"/>
      <c r="K665" s="2"/>
      <c r="L665" s="2"/>
      <c r="M665" s="2"/>
      <c r="N665" s="2"/>
      <c r="O665" s="2"/>
      <c r="P665" s="2"/>
      <c r="Q665" s="2"/>
      <c r="R665" s="2"/>
      <c r="S665" s="2"/>
      <c r="T665" s="2"/>
      <c r="U665" s="2"/>
      <c r="V665" s="2"/>
    </row>
    <row r="666" spans="4:22" ht="14.25" customHeight="1">
      <c r="D666" s="2"/>
      <c r="E666" s="2"/>
      <c r="F666" s="2"/>
      <c r="G666" s="2"/>
      <c r="H666" s="2"/>
      <c r="I666" s="2"/>
      <c r="J666" s="2"/>
      <c r="K666" s="2"/>
      <c r="L666" s="2"/>
      <c r="M666" s="2"/>
      <c r="N666" s="2"/>
      <c r="O666" s="2"/>
      <c r="P666" s="2"/>
      <c r="Q666" s="2"/>
      <c r="R666" s="2"/>
      <c r="S666" s="2"/>
      <c r="T666" s="2"/>
      <c r="U666" s="2"/>
      <c r="V666" s="2"/>
    </row>
    <row r="667" spans="4:22" ht="14.25" customHeight="1">
      <c r="D667" s="2"/>
      <c r="E667" s="2"/>
      <c r="F667" s="2"/>
      <c r="G667" s="2"/>
      <c r="H667" s="2"/>
      <c r="I667" s="2"/>
      <c r="J667" s="2"/>
      <c r="K667" s="2"/>
      <c r="L667" s="2"/>
      <c r="M667" s="2"/>
      <c r="N667" s="2"/>
      <c r="O667" s="2"/>
      <c r="P667" s="2"/>
      <c r="Q667" s="2"/>
      <c r="R667" s="2"/>
      <c r="S667" s="2"/>
      <c r="T667" s="2"/>
      <c r="U667" s="2"/>
      <c r="V667" s="2"/>
    </row>
    <row r="668" spans="4:22" ht="14.25" customHeight="1">
      <c r="D668" s="2"/>
      <c r="E668" s="2"/>
      <c r="F668" s="2"/>
      <c r="G668" s="2"/>
      <c r="H668" s="2"/>
      <c r="I668" s="2"/>
      <c r="J668" s="2"/>
      <c r="K668" s="2"/>
      <c r="L668" s="2"/>
      <c r="M668" s="2"/>
      <c r="N668" s="2"/>
      <c r="O668" s="2"/>
      <c r="P668" s="2"/>
      <c r="Q668" s="2"/>
      <c r="R668" s="2"/>
      <c r="S668" s="2"/>
      <c r="T668" s="2"/>
      <c r="U668" s="2"/>
      <c r="V668" s="2"/>
    </row>
    <row r="669" spans="4:22" ht="14.25" customHeight="1">
      <c r="D669" s="2"/>
      <c r="E669" s="2"/>
      <c r="F669" s="2"/>
      <c r="G669" s="2"/>
      <c r="H669" s="2"/>
      <c r="I669" s="2"/>
      <c r="J669" s="2"/>
      <c r="K669" s="2"/>
      <c r="L669" s="2"/>
      <c r="M669" s="2"/>
      <c r="N669" s="2"/>
      <c r="O669" s="2"/>
      <c r="P669" s="2"/>
      <c r="Q669" s="2"/>
      <c r="R669" s="2"/>
      <c r="S669" s="2"/>
      <c r="T669" s="2"/>
      <c r="U669" s="2"/>
      <c r="V669" s="2"/>
    </row>
    <row r="670" spans="4:22" ht="14.25" customHeight="1">
      <c r="D670" s="2"/>
      <c r="E670" s="2"/>
      <c r="F670" s="2"/>
      <c r="G670" s="2"/>
      <c r="H670" s="2"/>
      <c r="I670" s="2"/>
      <c r="J670" s="2"/>
      <c r="K670" s="2"/>
      <c r="L670" s="2"/>
      <c r="M670" s="2"/>
      <c r="N670" s="2"/>
      <c r="O670" s="2"/>
      <c r="P670" s="2"/>
      <c r="Q670" s="2"/>
      <c r="R670" s="2"/>
      <c r="S670" s="2"/>
      <c r="T670" s="2"/>
      <c r="U670" s="2"/>
      <c r="V670" s="2"/>
    </row>
    <row r="671" spans="4:22" ht="14.25" customHeight="1">
      <c r="D671" s="2"/>
      <c r="E671" s="2"/>
      <c r="F671" s="2"/>
      <c r="G671" s="2"/>
      <c r="H671" s="2"/>
      <c r="I671" s="2"/>
      <c r="J671" s="2"/>
      <c r="K671" s="2"/>
      <c r="L671" s="2"/>
      <c r="M671" s="2"/>
      <c r="N671" s="2"/>
      <c r="O671" s="2"/>
      <c r="P671" s="2"/>
      <c r="Q671" s="2"/>
      <c r="R671" s="2"/>
      <c r="S671" s="2"/>
      <c r="T671" s="2"/>
      <c r="U671" s="2"/>
      <c r="V671" s="2"/>
    </row>
    <row r="672" spans="4:22" ht="14.25" customHeight="1">
      <c r="D672" s="2"/>
      <c r="E672" s="2"/>
      <c r="F672" s="2"/>
      <c r="G672" s="2"/>
      <c r="H672" s="2"/>
      <c r="I672" s="2"/>
      <c r="J672" s="2"/>
      <c r="K672" s="2"/>
      <c r="L672" s="2"/>
      <c r="M672" s="2"/>
      <c r="N672" s="2"/>
      <c r="O672" s="2"/>
      <c r="P672" s="2"/>
      <c r="Q672" s="2"/>
      <c r="R672" s="2"/>
      <c r="S672" s="2"/>
      <c r="T672" s="2"/>
      <c r="U672" s="2"/>
      <c r="V672" s="2"/>
    </row>
    <row r="673" spans="4:22" ht="14.25" customHeight="1">
      <c r="D673" s="2"/>
      <c r="E673" s="2"/>
      <c r="F673" s="2"/>
      <c r="G673" s="2"/>
      <c r="H673" s="2"/>
      <c r="I673" s="2"/>
      <c r="J673" s="2"/>
      <c r="K673" s="2"/>
      <c r="L673" s="2"/>
      <c r="M673" s="2"/>
      <c r="N673" s="2"/>
      <c r="O673" s="2"/>
      <c r="P673" s="2"/>
      <c r="Q673" s="2"/>
      <c r="R673" s="2"/>
      <c r="S673" s="2"/>
      <c r="T673" s="2"/>
      <c r="U673" s="2"/>
      <c r="V673" s="2"/>
    </row>
    <row r="674" spans="4:22" ht="14.25" customHeight="1">
      <c r="D674" s="2"/>
      <c r="E674" s="2"/>
      <c r="F674" s="2"/>
      <c r="G674" s="2"/>
      <c r="H674" s="2"/>
      <c r="I674" s="2"/>
      <c r="J674" s="2"/>
      <c r="K674" s="2"/>
      <c r="L674" s="2"/>
      <c r="M674" s="2"/>
      <c r="N674" s="2"/>
      <c r="O674" s="2"/>
      <c r="P674" s="2"/>
      <c r="Q674" s="2"/>
      <c r="R674" s="2"/>
      <c r="S674" s="2"/>
      <c r="T674" s="2"/>
      <c r="U674" s="2"/>
      <c r="V674" s="2"/>
    </row>
    <row r="675" spans="4:22" ht="14.25" customHeight="1">
      <c r="D675" s="2"/>
      <c r="E675" s="2"/>
      <c r="F675" s="2"/>
      <c r="G675" s="2"/>
      <c r="H675" s="2"/>
      <c r="I675" s="2"/>
      <c r="J675" s="2"/>
      <c r="K675" s="2"/>
      <c r="L675" s="2"/>
      <c r="M675" s="2"/>
      <c r="N675" s="2"/>
      <c r="O675" s="2"/>
      <c r="P675" s="2"/>
      <c r="Q675" s="2"/>
      <c r="R675" s="2"/>
      <c r="S675" s="2"/>
      <c r="T675" s="2"/>
      <c r="U675" s="2"/>
      <c r="V675" s="2"/>
    </row>
    <row r="676" spans="4:22" ht="14.25" customHeight="1">
      <c r="D676" s="2"/>
      <c r="E676" s="2"/>
      <c r="F676" s="2"/>
      <c r="G676" s="2"/>
      <c r="H676" s="2"/>
      <c r="I676" s="2"/>
      <c r="J676" s="2"/>
      <c r="K676" s="2"/>
      <c r="L676" s="2"/>
      <c r="M676" s="2"/>
      <c r="N676" s="2"/>
      <c r="O676" s="2"/>
      <c r="P676" s="2"/>
      <c r="Q676" s="2"/>
      <c r="R676" s="2"/>
      <c r="S676" s="2"/>
      <c r="T676" s="2"/>
      <c r="U676" s="2"/>
      <c r="V676" s="2"/>
    </row>
    <row r="677" spans="4:22" ht="14.25" customHeight="1">
      <c r="D677" s="2"/>
      <c r="E677" s="2"/>
      <c r="F677" s="2"/>
      <c r="G677" s="2"/>
      <c r="H677" s="2"/>
      <c r="I677" s="2"/>
      <c r="J677" s="2"/>
      <c r="K677" s="2"/>
      <c r="L677" s="2"/>
      <c r="M677" s="2"/>
      <c r="N677" s="2"/>
      <c r="O677" s="2"/>
      <c r="P677" s="2"/>
      <c r="Q677" s="2"/>
      <c r="R677" s="2"/>
      <c r="S677" s="2"/>
      <c r="T677" s="2"/>
      <c r="U677" s="2"/>
      <c r="V677" s="2"/>
    </row>
    <row r="678" spans="4:22" ht="14.25" customHeight="1">
      <c r="D678" s="2"/>
      <c r="E678" s="2"/>
      <c r="F678" s="2"/>
      <c r="G678" s="2"/>
      <c r="H678" s="2"/>
      <c r="I678" s="2"/>
      <c r="J678" s="2"/>
      <c r="K678" s="2"/>
      <c r="L678" s="2"/>
      <c r="M678" s="2"/>
      <c r="N678" s="2"/>
      <c r="O678" s="2"/>
      <c r="P678" s="2"/>
      <c r="Q678" s="2"/>
      <c r="R678" s="2"/>
      <c r="S678" s="2"/>
      <c r="T678" s="2"/>
      <c r="U678" s="2"/>
      <c r="V678" s="2"/>
    </row>
    <row r="679" spans="4:22" ht="14.25" customHeight="1">
      <c r="D679" s="2"/>
      <c r="E679" s="2"/>
      <c r="F679" s="2"/>
      <c r="G679" s="2"/>
      <c r="H679" s="2"/>
      <c r="I679" s="2"/>
      <c r="J679" s="2"/>
      <c r="K679" s="2"/>
      <c r="L679" s="2"/>
      <c r="M679" s="2"/>
      <c r="N679" s="2"/>
      <c r="O679" s="2"/>
      <c r="P679" s="2"/>
      <c r="Q679" s="2"/>
      <c r="R679" s="2"/>
      <c r="S679" s="2"/>
      <c r="T679" s="2"/>
      <c r="U679" s="2"/>
      <c r="V679" s="2"/>
    </row>
    <row r="680" spans="4:22" ht="14.25" customHeight="1">
      <c r="D680" s="2"/>
      <c r="E680" s="2"/>
      <c r="F680" s="2"/>
      <c r="G680" s="2"/>
      <c r="H680" s="2"/>
      <c r="I680" s="2"/>
      <c r="J680" s="2"/>
      <c r="K680" s="2"/>
      <c r="L680" s="2"/>
      <c r="M680" s="2"/>
      <c r="N680" s="2"/>
      <c r="O680" s="2"/>
      <c r="P680" s="2"/>
      <c r="Q680" s="2"/>
      <c r="R680" s="2"/>
      <c r="S680" s="2"/>
      <c r="T680" s="2"/>
      <c r="U680" s="2"/>
      <c r="V680" s="2"/>
    </row>
    <row r="681" spans="4:22" ht="14.25" customHeight="1">
      <c r="D681" s="2"/>
      <c r="E681" s="2"/>
      <c r="F681" s="2"/>
      <c r="G681" s="2"/>
      <c r="H681" s="2"/>
      <c r="I681" s="2"/>
      <c r="J681" s="2"/>
      <c r="K681" s="2"/>
      <c r="L681" s="2"/>
      <c r="M681" s="2"/>
      <c r="N681" s="2"/>
      <c r="O681" s="2"/>
      <c r="P681" s="2"/>
      <c r="Q681" s="2"/>
      <c r="R681" s="2"/>
      <c r="S681" s="2"/>
      <c r="T681" s="2"/>
      <c r="U681" s="2"/>
      <c r="V681" s="2"/>
    </row>
    <row r="682" spans="4:22" ht="14.25" customHeight="1">
      <c r="D682" s="2"/>
      <c r="E682" s="2"/>
      <c r="F682" s="2"/>
      <c r="G682" s="2"/>
      <c r="H682" s="2"/>
      <c r="I682" s="2"/>
      <c r="J682" s="2"/>
      <c r="K682" s="2"/>
      <c r="L682" s="2"/>
      <c r="M682" s="2"/>
      <c r="N682" s="2"/>
      <c r="O682" s="2"/>
      <c r="P682" s="2"/>
      <c r="Q682" s="2"/>
      <c r="R682" s="2"/>
      <c r="S682" s="2"/>
      <c r="T682" s="2"/>
      <c r="U682" s="2"/>
      <c r="V682" s="2"/>
    </row>
    <row r="683" spans="4:22" ht="14.25" customHeight="1">
      <c r="D683" s="2"/>
      <c r="E683" s="2"/>
      <c r="F683" s="2"/>
      <c r="G683" s="2"/>
      <c r="H683" s="2"/>
      <c r="I683" s="2"/>
      <c r="J683" s="2"/>
      <c r="K683" s="2"/>
      <c r="L683" s="2"/>
      <c r="M683" s="2"/>
      <c r="N683" s="2"/>
      <c r="O683" s="2"/>
      <c r="P683" s="2"/>
      <c r="Q683" s="2"/>
      <c r="R683" s="2"/>
      <c r="S683" s="2"/>
      <c r="T683" s="2"/>
      <c r="U683" s="2"/>
      <c r="V683" s="2"/>
    </row>
    <row r="684" spans="4:22" ht="14.25" customHeight="1">
      <c r="D684" s="2"/>
      <c r="E684" s="2"/>
      <c r="F684" s="2"/>
      <c r="G684" s="2"/>
      <c r="H684" s="2"/>
      <c r="I684" s="2"/>
      <c r="J684" s="2"/>
      <c r="K684" s="2"/>
      <c r="L684" s="2"/>
      <c r="M684" s="2"/>
      <c r="N684" s="2"/>
      <c r="O684" s="2"/>
      <c r="P684" s="2"/>
      <c r="Q684" s="2"/>
      <c r="R684" s="2"/>
      <c r="S684" s="2"/>
      <c r="T684" s="2"/>
      <c r="U684" s="2"/>
      <c r="V684" s="2"/>
    </row>
    <row r="685" spans="4:22" ht="14.25" customHeight="1">
      <c r="D685" s="2"/>
      <c r="E685" s="2"/>
      <c r="F685" s="2"/>
      <c r="G685" s="2"/>
      <c r="H685" s="2"/>
      <c r="I685" s="2"/>
      <c r="J685" s="2"/>
      <c r="K685" s="2"/>
      <c r="L685" s="2"/>
      <c r="M685" s="2"/>
      <c r="N685" s="2"/>
      <c r="O685" s="2"/>
      <c r="P685" s="2"/>
      <c r="Q685" s="2"/>
      <c r="R685" s="2"/>
      <c r="S685" s="2"/>
      <c r="T685" s="2"/>
      <c r="U685" s="2"/>
      <c r="V685" s="2"/>
    </row>
    <row r="686" spans="4:22" ht="14.25" customHeight="1">
      <c r="D686" s="2"/>
      <c r="E686" s="2"/>
      <c r="F686" s="2"/>
      <c r="G686" s="2"/>
      <c r="H686" s="2"/>
      <c r="I686" s="2"/>
      <c r="J686" s="2"/>
      <c r="K686" s="2"/>
      <c r="L686" s="2"/>
      <c r="M686" s="2"/>
      <c r="N686" s="2"/>
      <c r="O686" s="2"/>
      <c r="P686" s="2"/>
      <c r="Q686" s="2"/>
      <c r="R686" s="2"/>
      <c r="S686" s="2"/>
      <c r="T686" s="2"/>
      <c r="U686" s="2"/>
      <c r="V686" s="2"/>
    </row>
    <row r="687" spans="4:22" ht="14.25" customHeight="1">
      <c r="D687" s="2"/>
      <c r="E687" s="2"/>
      <c r="F687" s="2"/>
      <c r="G687" s="2"/>
      <c r="H687" s="2"/>
      <c r="I687" s="2"/>
      <c r="J687" s="2"/>
      <c r="K687" s="2"/>
      <c r="L687" s="2"/>
      <c r="M687" s="2"/>
      <c r="N687" s="2"/>
      <c r="O687" s="2"/>
      <c r="P687" s="2"/>
      <c r="Q687" s="2"/>
      <c r="R687" s="2"/>
      <c r="S687" s="2"/>
      <c r="T687" s="2"/>
      <c r="U687" s="2"/>
      <c r="V687" s="2"/>
    </row>
    <row r="688" spans="4:22" ht="14.25" customHeight="1">
      <c r="D688" s="2"/>
      <c r="E688" s="2"/>
      <c r="F688" s="2"/>
      <c r="G688" s="2"/>
      <c r="H688" s="2"/>
      <c r="I688" s="2"/>
      <c r="J688" s="2"/>
      <c r="K688" s="2"/>
      <c r="L688" s="2"/>
      <c r="M688" s="2"/>
      <c r="N688" s="2"/>
      <c r="O688" s="2"/>
      <c r="P688" s="2"/>
      <c r="Q688" s="2"/>
      <c r="R688" s="2"/>
      <c r="S688" s="2"/>
      <c r="T688" s="2"/>
      <c r="U688" s="2"/>
      <c r="V688" s="2"/>
    </row>
    <row r="689" spans="4:22" ht="14.25" customHeight="1">
      <c r="D689" s="2"/>
      <c r="E689" s="2"/>
      <c r="F689" s="2"/>
      <c r="G689" s="2"/>
      <c r="H689" s="2"/>
      <c r="I689" s="2"/>
      <c r="J689" s="2"/>
      <c r="K689" s="2"/>
      <c r="L689" s="2"/>
      <c r="M689" s="2"/>
      <c r="N689" s="2"/>
      <c r="O689" s="2"/>
      <c r="P689" s="2"/>
      <c r="Q689" s="2"/>
      <c r="R689" s="2"/>
      <c r="S689" s="2"/>
      <c r="T689" s="2"/>
      <c r="U689" s="2"/>
      <c r="V689" s="2"/>
    </row>
    <row r="690" spans="4:22" ht="14.25" customHeight="1">
      <c r="D690" s="2"/>
      <c r="E690" s="2"/>
      <c r="F690" s="2"/>
      <c r="G690" s="2"/>
      <c r="H690" s="2"/>
      <c r="I690" s="2"/>
      <c r="J690" s="2"/>
      <c r="K690" s="2"/>
      <c r="L690" s="2"/>
      <c r="M690" s="2"/>
      <c r="N690" s="2"/>
      <c r="O690" s="2"/>
      <c r="P690" s="2"/>
      <c r="Q690" s="2"/>
      <c r="R690" s="2"/>
      <c r="S690" s="2"/>
      <c r="T690" s="2"/>
      <c r="U690" s="2"/>
      <c r="V690" s="2"/>
    </row>
    <row r="691" spans="4:22" ht="14.25" customHeight="1">
      <c r="D691" s="2"/>
      <c r="E691" s="2"/>
      <c r="F691" s="2"/>
      <c r="G691" s="2"/>
      <c r="H691" s="2"/>
      <c r="I691" s="2"/>
      <c r="J691" s="2"/>
      <c r="K691" s="2"/>
      <c r="L691" s="2"/>
      <c r="M691" s="2"/>
      <c r="N691" s="2"/>
      <c r="O691" s="2"/>
      <c r="P691" s="2"/>
      <c r="Q691" s="2"/>
      <c r="R691" s="2"/>
      <c r="S691" s="2"/>
      <c r="T691" s="2"/>
      <c r="U691" s="2"/>
      <c r="V691" s="2"/>
    </row>
    <row r="692" spans="4:22" ht="14.25" customHeight="1">
      <c r="D692" s="2"/>
      <c r="E692" s="2"/>
      <c r="F692" s="2"/>
      <c r="G692" s="2"/>
      <c r="H692" s="2"/>
      <c r="I692" s="2"/>
      <c r="J692" s="2"/>
      <c r="K692" s="2"/>
      <c r="L692" s="2"/>
      <c r="M692" s="2"/>
      <c r="N692" s="2"/>
      <c r="O692" s="2"/>
      <c r="P692" s="2"/>
      <c r="Q692" s="2"/>
      <c r="R692" s="2"/>
      <c r="S692" s="2"/>
      <c r="T692" s="2"/>
      <c r="U692" s="2"/>
      <c r="V692" s="2"/>
    </row>
    <row r="693" spans="4:22" ht="14.25" customHeight="1">
      <c r="D693" s="2"/>
      <c r="E693" s="2"/>
      <c r="F693" s="2"/>
      <c r="G693" s="2"/>
      <c r="H693" s="2"/>
      <c r="I693" s="2"/>
      <c r="J693" s="2"/>
      <c r="K693" s="2"/>
      <c r="L693" s="2"/>
      <c r="M693" s="2"/>
      <c r="N693" s="2"/>
      <c r="O693" s="2"/>
      <c r="P693" s="2"/>
      <c r="Q693" s="2"/>
      <c r="R693" s="2"/>
      <c r="S693" s="2"/>
      <c r="T693" s="2"/>
      <c r="U693" s="2"/>
      <c r="V693" s="2"/>
    </row>
    <row r="694" spans="4:22" ht="14.25" customHeight="1">
      <c r="D694" s="2"/>
      <c r="E694" s="2"/>
      <c r="F694" s="2"/>
      <c r="G694" s="2"/>
      <c r="H694" s="2"/>
      <c r="I694" s="2"/>
      <c r="J694" s="2"/>
      <c r="K694" s="2"/>
      <c r="L694" s="2"/>
      <c r="M694" s="2"/>
      <c r="N694" s="2"/>
      <c r="O694" s="2"/>
      <c r="P694" s="2"/>
      <c r="Q694" s="2"/>
      <c r="R694" s="2"/>
      <c r="S694" s="2"/>
      <c r="T694" s="2"/>
      <c r="U694" s="2"/>
      <c r="V694" s="2"/>
    </row>
    <row r="695" spans="4:22" ht="14.25" customHeight="1">
      <c r="D695" s="2"/>
      <c r="E695" s="2"/>
      <c r="F695" s="2"/>
      <c r="G695" s="2"/>
      <c r="H695" s="2"/>
      <c r="I695" s="2"/>
      <c r="J695" s="2"/>
      <c r="K695" s="2"/>
      <c r="L695" s="2"/>
      <c r="M695" s="2"/>
      <c r="N695" s="2"/>
      <c r="O695" s="2"/>
      <c r="P695" s="2"/>
      <c r="Q695" s="2"/>
      <c r="R695" s="2"/>
      <c r="S695" s="2"/>
      <c r="T695" s="2"/>
      <c r="U695" s="2"/>
      <c r="V695" s="2"/>
    </row>
    <row r="696" spans="4:22" ht="14.25" customHeight="1">
      <c r="D696" s="2"/>
      <c r="E696" s="2"/>
      <c r="F696" s="2"/>
      <c r="G696" s="2"/>
      <c r="H696" s="2"/>
      <c r="I696" s="2"/>
      <c r="J696" s="2"/>
      <c r="K696" s="2"/>
      <c r="L696" s="2"/>
      <c r="M696" s="2"/>
      <c r="N696" s="2"/>
      <c r="O696" s="2"/>
      <c r="P696" s="2"/>
      <c r="Q696" s="2"/>
      <c r="R696" s="2"/>
      <c r="S696" s="2"/>
      <c r="T696" s="2"/>
      <c r="U696" s="2"/>
      <c r="V696" s="2"/>
    </row>
    <row r="697" spans="4:22" ht="14.25" customHeight="1">
      <c r="D697" s="2"/>
      <c r="E697" s="2"/>
      <c r="F697" s="2"/>
      <c r="G697" s="2"/>
      <c r="H697" s="2"/>
      <c r="I697" s="2"/>
      <c r="J697" s="2"/>
      <c r="K697" s="2"/>
      <c r="L697" s="2"/>
      <c r="M697" s="2"/>
      <c r="N697" s="2"/>
      <c r="O697" s="2"/>
      <c r="P697" s="2"/>
      <c r="Q697" s="2"/>
      <c r="R697" s="2"/>
      <c r="S697" s="2"/>
      <c r="T697" s="2"/>
      <c r="U697" s="2"/>
      <c r="V697" s="2"/>
    </row>
    <row r="698" spans="4:22" ht="14.25" customHeight="1">
      <c r="D698" s="2"/>
      <c r="E698" s="2"/>
      <c r="F698" s="2"/>
      <c r="G698" s="2"/>
      <c r="H698" s="2"/>
      <c r="I698" s="2"/>
      <c r="J698" s="2"/>
      <c r="K698" s="2"/>
      <c r="L698" s="2"/>
      <c r="M698" s="2"/>
      <c r="N698" s="2"/>
      <c r="O698" s="2"/>
      <c r="P698" s="2"/>
      <c r="Q698" s="2"/>
      <c r="R698" s="2"/>
      <c r="S698" s="2"/>
      <c r="T698" s="2"/>
      <c r="U698" s="2"/>
      <c r="V698" s="2"/>
    </row>
    <row r="699" spans="4:22" ht="14.25" customHeight="1">
      <c r="D699" s="2"/>
      <c r="E699" s="2"/>
      <c r="F699" s="2"/>
      <c r="G699" s="2"/>
      <c r="H699" s="2"/>
      <c r="I699" s="2"/>
      <c r="J699" s="2"/>
      <c r="K699" s="2"/>
      <c r="L699" s="2"/>
      <c r="M699" s="2"/>
      <c r="N699" s="2"/>
      <c r="O699" s="2"/>
      <c r="P699" s="2"/>
      <c r="Q699" s="2"/>
      <c r="R699" s="2"/>
      <c r="S699" s="2"/>
      <c r="T699" s="2"/>
      <c r="U699" s="2"/>
      <c r="V699" s="2"/>
    </row>
    <row r="700" spans="4:22" ht="14.25" customHeight="1">
      <c r="D700" s="2"/>
      <c r="E700" s="2"/>
      <c r="F700" s="2"/>
      <c r="G700" s="2"/>
      <c r="H700" s="2"/>
      <c r="I700" s="2"/>
      <c r="J700" s="2"/>
      <c r="K700" s="2"/>
      <c r="L700" s="2"/>
      <c r="M700" s="2"/>
      <c r="N700" s="2"/>
      <c r="O700" s="2"/>
      <c r="P700" s="2"/>
      <c r="Q700" s="2"/>
      <c r="R700" s="2"/>
      <c r="S700" s="2"/>
      <c r="T700" s="2"/>
      <c r="U700" s="2"/>
      <c r="V700" s="2"/>
    </row>
    <row r="701" spans="4:22" ht="14.25" customHeight="1">
      <c r="D701" s="2"/>
      <c r="E701" s="2"/>
      <c r="F701" s="2"/>
      <c r="G701" s="2"/>
      <c r="H701" s="2"/>
      <c r="I701" s="2"/>
      <c r="J701" s="2"/>
      <c r="K701" s="2"/>
      <c r="L701" s="2"/>
      <c r="M701" s="2"/>
      <c r="N701" s="2"/>
      <c r="O701" s="2"/>
      <c r="P701" s="2"/>
      <c r="Q701" s="2"/>
      <c r="R701" s="2"/>
      <c r="S701" s="2"/>
      <c r="T701" s="2"/>
      <c r="U701" s="2"/>
      <c r="V701" s="2"/>
    </row>
    <row r="702" spans="4:22" ht="14.25" customHeight="1">
      <c r="D702" s="2"/>
      <c r="E702" s="2"/>
      <c r="F702" s="2"/>
      <c r="G702" s="2"/>
      <c r="H702" s="2"/>
      <c r="I702" s="2"/>
      <c r="J702" s="2"/>
      <c r="K702" s="2"/>
      <c r="L702" s="2"/>
      <c r="M702" s="2"/>
      <c r="N702" s="2"/>
      <c r="O702" s="2"/>
      <c r="P702" s="2"/>
      <c r="Q702" s="2"/>
      <c r="R702" s="2"/>
      <c r="S702" s="2"/>
      <c r="T702" s="2"/>
      <c r="U702" s="2"/>
      <c r="V702" s="2"/>
    </row>
    <row r="703" spans="4:22" ht="14.25" customHeight="1">
      <c r="D703" s="2"/>
      <c r="E703" s="2"/>
      <c r="F703" s="2"/>
      <c r="G703" s="2"/>
      <c r="H703" s="2"/>
      <c r="I703" s="2"/>
      <c r="J703" s="2"/>
      <c r="K703" s="2"/>
      <c r="L703" s="2"/>
      <c r="M703" s="2"/>
      <c r="N703" s="2"/>
      <c r="O703" s="2"/>
      <c r="P703" s="2"/>
      <c r="Q703" s="2"/>
      <c r="R703" s="2"/>
      <c r="S703" s="2"/>
      <c r="T703" s="2"/>
      <c r="U703" s="2"/>
      <c r="V703" s="2"/>
    </row>
    <row r="704" spans="4:22" ht="14.25" customHeight="1">
      <c r="D704" s="2"/>
      <c r="E704" s="2"/>
      <c r="F704" s="2"/>
      <c r="G704" s="2"/>
      <c r="H704" s="2"/>
      <c r="I704" s="2"/>
      <c r="J704" s="2"/>
      <c r="K704" s="2"/>
      <c r="L704" s="2"/>
      <c r="M704" s="2"/>
      <c r="N704" s="2"/>
      <c r="O704" s="2"/>
      <c r="P704" s="2"/>
      <c r="Q704" s="2"/>
      <c r="R704" s="2"/>
      <c r="S704" s="2"/>
      <c r="T704" s="2"/>
      <c r="U704" s="2"/>
      <c r="V704" s="2"/>
    </row>
    <row r="705" spans="4:22" ht="14.25" customHeight="1">
      <c r="D705" s="2"/>
      <c r="E705" s="2"/>
      <c r="F705" s="2"/>
      <c r="G705" s="2"/>
      <c r="H705" s="2"/>
      <c r="I705" s="2"/>
      <c r="J705" s="2"/>
      <c r="K705" s="2"/>
      <c r="L705" s="2"/>
      <c r="M705" s="2"/>
      <c r="N705" s="2"/>
      <c r="O705" s="2"/>
      <c r="P705" s="2"/>
      <c r="Q705" s="2"/>
      <c r="R705" s="2"/>
      <c r="S705" s="2"/>
      <c r="T705" s="2"/>
      <c r="U705" s="2"/>
      <c r="V705" s="2"/>
    </row>
    <row r="706" spans="4:22" ht="14.25" customHeight="1">
      <c r="D706" s="2"/>
      <c r="E706" s="2"/>
      <c r="F706" s="2"/>
      <c r="G706" s="2"/>
      <c r="H706" s="2"/>
      <c r="I706" s="2"/>
      <c r="J706" s="2"/>
      <c r="K706" s="2"/>
      <c r="L706" s="2"/>
      <c r="M706" s="2"/>
      <c r="N706" s="2"/>
      <c r="O706" s="2"/>
      <c r="P706" s="2"/>
      <c r="Q706" s="2"/>
      <c r="R706" s="2"/>
      <c r="S706" s="2"/>
      <c r="T706" s="2"/>
      <c r="U706" s="2"/>
      <c r="V706" s="2"/>
    </row>
    <row r="707" spans="4:22" ht="14.25" customHeight="1">
      <c r="D707" s="2"/>
      <c r="E707" s="2"/>
      <c r="F707" s="2"/>
      <c r="G707" s="2"/>
      <c r="H707" s="2"/>
      <c r="I707" s="2"/>
      <c r="J707" s="2"/>
      <c r="K707" s="2"/>
      <c r="L707" s="2"/>
      <c r="M707" s="2"/>
      <c r="N707" s="2"/>
      <c r="O707" s="2"/>
      <c r="P707" s="2"/>
      <c r="Q707" s="2"/>
      <c r="R707" s="2"/>
      <c r="S707" s="2"/>
      <c r="T707" s="2"/>
      <c r="U707" s="2"/>
      <c r="V707" s="2"/>
    </row>
    <row r="708" spans="4:22" ht="14.25" customHeight="1">
      <c r="D708" s="2"/>
      <c r="E708" s="2"/>
      <c r="F708" s="2"/>
      <c r="G708" s="2"/>
      <c r="H708" s="2"/>
      <c r="I708" s="2"/>
      <c r="J708" s="2"/>
      <c r="K708" s="2"/>
      <c r="L708" s="2"/>
      <c r="M708" s="2"/>
      <c r="N708" s="2"/>
      <c r="O708" s="2"/>
      <c r="P708" s="2"/>
      <c r="Q708" s="2"/>
      <c r="R708" s="2"/>
      <c r="S708" s="2"/>
      <c r="T708" s="2"/>
      <c r="U708" s="2"/>
      <c r="V708" s="2"/>
    </row>
    <row r="709" spans="4:22" ht="14.25" customHeight="1">
      <c r="D709" s="2"/>
      <c r="E709" s="2"/>
      <c r="F709" s="2"/>
      <c r="G709" s="2"/>
      <c r="H709" s="2"/>
      <c r="I709" s="2"/>
      <c r="J709" s="2"/>
      <c r="K709" s="2"/>
      <c r="L709" s="2"/>
      <c r="M709" s="2"/>
      <c r="N709" s="2"/>
      <c r="O709" s="2"/>
      <c r="P709" s="2"/>
      <c r="Q709" s="2"/>
      <c r="R709" s="2"/>
      <c r="S709" s="2"/>
      <c r="T709" s="2"/>
      <c r="U709" s="2"/>
      <c r="V709" s="2"/>
    </row>
    <row r="710" spans="4:22" ht="14.25" customHeight="1">
      <c r="D710" s="2"/>
      <c r="E710" s="2"/>
      <c r="F710" s="2"/>
      <c r="G710" s="2"/>
      <c r="H710" s="2"/>
      <c r="I710" s="2"/>
      <c r="J710" s="2"/>
      <c r="K710" s="2"/>
      <c r="L710" s="2"/>
      <c r="M710" s="2"/>
      <c r="N710" s="2"/>
      <c r="O710" s="2"/>
      <c r="P710" s="2"/>
      <c r="Q710" s="2"/>
      <c r="R710" s="2"/>
      <c r="S710" s="2"/>
      <c r="T710" s="2"/>
      <c r="U710" s="2"/>
      <c r="V710" s="2"/>
    </row>
    <row r="711" spans="4:22" ht="14.25" customHeight="1">
      <c r="D711" s="2"/>
      <c r="E711" s="2"/>
      <c r="F711" s="2"/>
      <c r="G711" s="2"/>
      <c r="H711" s="2"/>
      <c r="I711" s="2"/>
      <c r="J711" s="2"/>
      <c r="K711" s="2"/>
      <c r="L711" s="2"/>
      <c r="M711" s="2"/>
      <c r="N711" s="2"/>
      <c r="O711" s="2"/>
      <c r="P711" s="2"/>
      <c r="Q711" s="2"/>
      <c r="R711" s="2"/>
      <c r="S711" s="2"/>
      <c r="T711" s="2"/>
      <c r="U711" s="2"/>
      <c r="V711" s="2"/>
    </row>
    <row r="712" spans="4:22" ht="14.25" customHeight="1">
      <c r="D712" s="2"/>
      <c r="E712" s="2"/>
      <c r="F712" s="2"/>
      <c r="G712" s="2"/>
      <c r="H712" s="2"/>
      <c r="I712" s="2"/>
      <c r="J712" s="2"/>
      <c r="K712" s="2"/>
      <c r="L712" s="2"/>
      <c r="M712" s="2"/>
      <c r="N712" s="2"/>
      <c r="O712" s="2"/>
      <c r="P712" s="2"/>
      <c r="Q712" s="2"/>
      <c r="R712" s="2"/>
      <c r="S712" s="2"/>
      <c r="T712" s="2"/>
      <c r="U712" s="2"/>
      <c r="V712" s="2"/>
    </row>
    <row r="713" spans="4:22" ht="14.25" customHeight="1">
      <c r="D713" s="2"/>
      <c r="E713" s="2"/>
      <c r="F713" s="2"/>
      <c r="G713" s="2"/>
      <c r="H713" s="2"/>
      <c r="I713" s="2"/>
      <c r="J713" s="2"/>
      <c r="K713" s="2"/>
      <c r="L713" s="2"/>
      <c r="M713" s="2"/>
      <c r="N713" s="2"/>
      <c r="O713" s="2"/>
      <c r="P713" s="2"/>
      <c r="Q713" s="2"/>
      <c r="R713" s="2"/>
      <c r="S713" s="2"/>
      <c r="T713" s="2"/>
      <c r="U713" s="2"/>
      <c r="V713" s="2"/>
    </row>
    <row r="714" spans="4:22" ht="14.25" customHeight="1">
      <c r="D714" s="2"/>
      <c r="E714" s="2"/>
      <c r="F714" s="2"/>
      <c r="G714" s="2"/>
      <c r="H714" s="2"/>
      <c r="I714" s="2"/>
      <c r="J714" s="2"/>
      <c r="K714" s="2"/>
      <c r="L714" s="2"/>
      <c r="M714" s="2"/>
      <c r="N714" s="2"/>
      <c r="O714" s="2"/>
      <c r="P714" s="2"/>
      <c r="Q714" s="2"/>
      <c r="R714" s="2"/>
      <c r="S714" s="2"/>
      <c r="T714" s="2"/>
      <c r="U714" s="2"/>
      <c r="V714" s="2"/>
    </row>
    <row r="715" spans="4:22" ht="14.25" customHeight="1">
      <c r="D715" s="2"/>
      <c r="E715" s="2"/>
      <c r="F715" s="2"/>
      <c r="G715" s="2"/>
      <c r="H715" s="2"/>
      <c r="I715" s="2"/>
      <c r="J715" s="2"/>
      <c r="K715" s="2"/>
      <c r="L715" s="2"/>
      <c r="M715" s="2"/>
      <c r="N715" s="2"/>
      <c r="O715" s="2"/>
      <c r="P715" s="2"/>
      <c r="Q715" s="2"/>
      <c r="R715" s="2"/>
      <c r="S715" s="2"/>
      <c r="T715" s="2"/>
      <c r="U715" s="2"/>
      <c r="V715" s="2"/>
    </row>
    <row r="716" spans="4:22" ht="14.25" customHeight="1">
      <c r="D716" s="2"/>
      <c r="E716" s="2"/>
      <c r="F716" s="2"/>
      <c r="G716" s="2"/>
      <c r="H716" s="2"/>
      <c r="I716" s="2"/>
      <c r="J716" s="2"/>
      <c r="K716" s="2"/>
      <c r="L716" s="2"/>
      <c r="M716" s="2"/>
      <c r="N716" s="2"/>
      <c r="O716" s="2"/>
      <c r="P716" s="2"/>
      <c r="Q716" s="2"/>
      <c r="R716" s="2"/>
      <c r="S716" s="2"/>
      <c r="T716" s="2"/>
      <c r="U716" s="2"/>
      <c r="V716" s="2"/>
    </row>
    <row r="717" spans="4:22" ht="14.25" customHeight="1">
      <c r="D717" s="2"/>
      <c r="E717" s="2"/>
      <c r="F717" s="2"/>
      <c r="G717" s="2"/>
      <c r="H717" s="2"/>
      <c r="I717" s="2"/>
      <c r="J717" s="2"/>
      <c r="K717" s="2"/>
      <c r="L717" s="2"/>
      <c r="M717" s="2"/>
      <c r="N717" s="2"/>
      <c r="O717" s="2"/>
      <c r="P717" s="2"/>
      <c r="Q717" s="2"/>
      <c r="R717" s="2"/>
      <c r="S717" s="2"/>
      <c r="T717" s="2"/>
      <c r="U717" s="2"/>
      <c r="V717" s="2"/>
    </row>
    <row r="718" spans="4:22" ht="14.25" customHeight="1">
      <c r="D718" s="2"/>
      <c r="E718" s="2"/>
      <c r="F718" s="2"/>
      <c r="G718" s="2"/>
      <c r="H718" s="2"/>
      <c r="I718" s="2"/>
      <c r="J718" s="2"/>
      <c r="K718" s="2"/>
      <c r="L718" s="2"/>
      <c r="M718" s="2"/>
      <c r="N718" s="2"/>
      <c r="O718" s="2"/>
      <c r="P718" s="2"/>
      <c r="Q718" s="2"/>
      <c r="R718" s="2"/>
      <c r="S718" s="2"/>
      <c r="T718" s="2"/>
      <c r="U718" s="2"/>
      <c r="V718" s="2"/>
    </row>
    <row r="719" spans="4:22" ht="14.25" customHeight="1">
      <c r="D719" s="2"/>
      <c r="E719" s="2"/>
      <c r="F719" s="2"/>
      <c r="G719" s="2"/>
      <c r="H719" s="2"/>
      <c r="I719" s="2"/>
      <c r="J719" s="2"/>
      <c r="K719" s="2"/>
      <c r="L719" s="2"/>
      <c r="M719" s="2"/>
      <c r="N719" s="2"/>
      <c r="O719" s="2"/>
      <c r="P719" s="2"/>
      <c r="Q719" s="2"/>
      <c r="R719" s="2"/>
      <c r="S719" s="2"/>
      <c r="T719" s="2"/>
      <c r="U719" s="2"/>
      <c r="V719" s="2"/>
    </row>
    <row r="720" spans="4:22" ht="14.25" customHeight="1">
      <c r="D720" s="2"/>
      <c r="E720" s="2"/>
      <c r="F720" s="2"/>
      <c r="G720" s="2"/>
      <c r="H720" s="2"/>
      <c r="I720" s="2"/>
      <c r="J720" s="2"/>
      <c r="K720" s="2"/>
      <c r="L720" s="2"/>
      <c r="M720" s="2"/>
      <c r="N720" s="2"/>
      <c r="O720" s="2"/>
      <c r="P720" s="2"/>
      <c r="Q720" s="2"/>
      <c r="R720" s="2"/>
      <c r="S720" s="2"/>
      <c r="T720" s="2"/>
      <c r="U720" s="2"/>
      <c r="V720" s="2"/>
    </row>
    <row r="721" spans="4:22" ht="14.25" customHeight="1">
      <c r="D721" s="2"/>
      <c r="E721" s="2"/>
      <c r="F721" s="2"/>
      <c r="G721" s="2"/>
      <c r="H721" s="2"/>
      <c r="I721" s="2"/>
      <c r="J721" s="2"/>
      <c r="K721" s="2"/>
      <c r="L721" s="2"/>
      <c r="M721" s="2"/>
      <c r="N721" s="2"/>
      <c r="O721" s="2"/>
      <c r="P721" s="2"/>
      <c r="Q721" s="2"/>
      <c r="R721" s="2"/>
      <c r="S721" s="2"/>
      <c r="T721" s="2"/>
      <c r="U721" s="2"/>
      <c r="V721" s="2"/>
    </row>
    <row r="722" spans="4:22" ht="14.25" customHeight="1">
      <c r="D722" s="2"/>
      <c r="E722" s="2"/>
      <c r="F722" s="2"/>
      <c r="G722" s="2"/>
      <c r="H722" s="2"/>
      <c r="I722" s="2"/>
      <c r="J722" s="2"/>
      <c r="K722" s="2"/>
      <c r="L722" s="2"/>
      <c r="M722" s="2"/>
      <c r="N722" s="2"/>
      <c r="O722" s="2"/>
      <c r="P722" s="2"/>
      <c r="Q722" s="2"/>
      <c r="R722" s="2"/>
      <c r="S722" s="2"/>
      <c r="T722" s="2"/>
      <c r="U722" s="2"/>
      <c r="V722" s="2"/>
    </row>
    <row r="723" spans="4:22" ht="14.25" customHeight="1">
      <c r="D723" s="2"/>
      <c r="E723" s="2"/>
      <c r="F723" s="2"/>
      <c r="G723" s="2"/>
      <c r="H723" s="2"/>
      <c r="I723" s="2"/>
      <c r="J723" s="2"/>
      <c r="K723" s="2"/>
      <c r="L723" s="2"/>
      <c r="M723" s="2"/>
      <c r="N723" s="2"/>
      <c r="O723" s="2"/>
      <c r="P723" s="2"/>
      <c r="Q723" s="2"/>
      <c r="R723" s="2"/>
      <c r="S723" s="2"/>
      <c r="T723" s="2"/>
      <c r="U723" s="2"/>
      <c r="V723" s="2"/>
    </row>
    <row r="724" spans="4:22" ht="14.25" customHeight="1">
      <c r="D724" s="2"/>
      <c r="E724" s="2"/>
      <c r="F724" s="2"/>
      <c r="G724" s="2"/>
      <c r="H724" s="2"/>
      <c r="I724" s="2"/>
      <c r="J724" s="2"/>
      <c r="K724" s="2"/>
      <c r="L724" s="2"/>
      <c r="M724" s="2"/>
      <c r="N724" s="2"/>
      <c r="O724" s="2"/>
      <c r="P724" s="2"/>
      <c r="Q724" s="2"/>
      <c r="R724" s="2"/>
      <c r="S724" s="2"/>
      <c r="T724" s="2"/>
      <c r="U724" s="2"/>
      <c r="V724" s="2"/>
    </row>
    <row r="725" spans="4:22" ht="14.25" customHeight="1">
      <c r="D725" s="2"/>
      <c r="E725" s="2"/>
      <c r="F725" s="2"/>
      <c r="G725" s="2"/>
      <c r="H725" s="2"/>
      <c r="I725" s="2"/>
      <c r="J725" s="2"/>
      <c r="K725" s="2"/>
      <c r="L725" s="2"/>
      <c r="M725" s="2"/>
      <c r="N725" s="2"/>
      <c r="O725" s="2"/>
      <c r="P725" s="2"/>
      <c r="Q725" s="2"/>
      <c r="R725" s="2"/>
      <c r="S725" s="2"/>
      <c r="T725" s="2"/>
      <c r="U725" s="2"/>
      <c r="V725" s="2"/>
    </row>
    <row r="726" spans="4:22" ht="14.25" customHeight="1">
      <c r="D726" s="2"/>
      <c r="E726" s="2"/>
      <c r="F726" s="2"/>
      <c r="G726" s="2"/>
      <c r="H726" s="2"/>
      <c r="I726" s="2"/>
      <c r="J726" s="2"/>
      <c r="K726" s="2"/>
      <c r="L726" s="2"/>
      <c r="M726" s="2"/>
      <c r="N726" s="2"/>
      <c r="O726" s="2"/>
      <c r="P726" s="2"/>
      <c r="Q726" s="2"/>
      <c r="R726" s="2"/>
      <c r="S726" s="2"/>
      <c r="T726" s="2"/>
      <c r="U726" s="2"/>
      <c r="V726" s="2"/>
    </row>
    <row r="727" spans="4:22" ht="14.25" customHeight="1">
      <c r="D727" s="2"/>
      <c r="E727" s="2"/>
      <c r="F727" s="2"/>
      <c r="G727" s="2"/>
      <c r="H727" s="2"/>
      <c r="I727" s="2"/>
      <c r="J727" s="2"/>
      <c r="K727" s="2"/>
      <c r="L727" s="2"/>
      <c r="M727" s="2"/>
      <c r="N727" s="2"/>
      <c r="O727" s="2"/>
      <c r="P727" s="2"/>
      <c r="Q727" s="2"/>
      <c r="R727" s="2"/>
      <c r="S727" s="2"/>
      <c r="T727" s="2"/>
      <c r="U727" s="2"/>
      <c r="V727" s="2"/>
    </row>
    <row r="728" spans="4:22" ht="14.25" customHeight="1">
      <c r="D728" s="2"/>
      <c r="E728" s="2"/>
      <c r="F728" s="2"/>
      <c r="G728" s="2"/>
      <c r="H728" s="2"/>
      <c r="I728" s="2"/>
      <c r="J728" s="2"/>
      <c r="K728" s="2"/>
      <c r="L728" s="2"/>
      <c r="M728" s="2"/>
      <c r="N728" s="2"/>
      <c r="O728" s="2"/>
      <c r="P728" s="2"/>
      <c r="Q728" s="2"/>
      <c r="R728" s="2"/>
      <c r="S728" s="2"/>
      <c r="T728" s="2"/>
      <c r="U728" s="2"/>
      <c r="V728" s="2"/>
    </row>
    <row r="729" spans="4:22" ht="14.25" customHeight="1">
      <c r="D729" s="2"/>
      <c r="E729" s="2"/>
      <c r="F729" s="2"/>
      <c r="G729" s="2"/>
      <c r="H729" s="2"/>
      <c r="I729" s="2"/>
      <c r="J729" s="2"/>
      <c r="K729" s="2"/>
      <c r="L729" s="2"/>
      <c r="M729" s="2"/>
      <c r="N729" s="2"/>
      <c r="O729" s="2"/>
      <c r="P729" s="2"/>
      <c r="Q729" s="2"/>
      <c r="R729" s="2"/>
      <c r="S729" s="2"/>
      <c r="T729" s="2"/>
      <c r="U729" s="2"/>
      <c r="V729" s="2"/>
    </row>
    <row r="730" spans="4:22" ht="14.25" customHeight="1">
      <c r="D730" s="2"/>
      <c r="E730" s="2"/>
      <c r="F730" s="2"/>
      <c r="G730" s="2"/>
      <c r="H730" s="2"/>
      <c r="I730" s="2"/>
      <c r="J730" s="2"/>
      <c r="K730" s="2"/>
      <c r="L730" s="2"/>
      <c r="M730" s="2"/>
      <c r="N730" s="2"/>
      <c r="O730" s="2"/>
      <c r="P730" s="2"/>
      <c r="Q730" s="2"/>
      <c r="R730" s="2"/>
      <c r="S730" s="2"/>
      <c r="T730" s="2"/>
      <c r="U730" s="2"/>
      <c r="V730" s="2"/>
    </row>
    <row r="731" spans="4:22" ht="14.25" customHeight="1">
      <c r="D731" s="2"/>
      <c r="E731" s="2"/>
      <c r="F731" s="2"/>
      <c r="G731" s="2"/>
      <c r="H731" s="2"/>
      <c r="I731" s="2"/>
      <c r="J731" s="2"/>
      <c r="K731" s="2"/>
      <c r="L731" s="2"/>
      <c r="M731" s="2"/>
      <c r="N731" s="2"/>
      <c r="O731" s="2"/>
      <c r="P731" s="2"/>
      <c r="Q731" s="2"/>
      <c r="R731" s="2"/>
      <c r="S731" s="2"/>
      <c r="T731" s="2"/>
      <c r="U731" s="2"/>
      <c r="V731" s="2"/>
    </row>
    <row r="732" spans="4:22" ht="14.25" customHeight="1">
      <c r="D732" s="2"/>
      <c r="E732" s="2"/>
      <c r="F732" s="2"/>
      <c r="G732" s="2"/>
      <c r="H732" s="2"/>
      <c r="I732" s="2"/>
      <c r="J732" s="2"/>
      <c r="K732" s="2"/>
      <c r="L732" s="2"/>
      <c r="M732" s="2"/>
      <c r="N732" s="2"/>
      <c r="O732" s="2"/>
      <c r="P732" s="2"/>
      <c r="Q732" s="2"/>
      <c r="R732" s="2"/>
      <c r="S732" s="2"/>
      <c r="T732" s="2"/>
      <c r="U732" s="2"/>
      <c r="V732" s="2"/>
    </row>
    <row r="733" spans="4:22" ht="14.25" customHeight="1">
      <c r="D733" s="2"/>
      <c r="E733" s="2"/>
      <c r="F733" s="2"/>
      <c r="G733" s="2"/>
      <c r="H733" s="2"/>
      <c r="I733" s="2"/>
      <c r="J733" s="2"/>
      <c r="K733" s="2"/>
      <c r="L733" s="2"/>
      <c r="M733" s="2"/>
      <c r="N733" s="2"/>
      <c r="O733" s="2"/>
      <c r="P733" s="2"/>
      <c r="Q733" s="2"/>
      <c r="R733" s="2"/>
      <c r="S733" s="2"/>
      <c r="T733" s="2"/>
      <c r="U733" s="2"/>
      <c r="V733" s="2"/>
    </row>
    <row r="734" spans="4:22" ht="14.25" customHeight="1">
      <c r="D734" s="2"/>
      <c r="E734" s="2"/>
      <c r="F734" s="2"/>
      <c r="G734" s="2"/>
      <c r="H734" s="2"/>
      <c r="I734" s="2"/>
      <c r="J734" s="2"/>
      <c r="K734" s="2"/>
      <c r="L734" s="2"/>
      <c r="M734" s="2"/>
      <c r="N734" s="2"/>
      <c r="O734" s="2"/>
      <c r="P734" s="2"/>
      <c r="Q734" s="2"/>
      <c r="R734" s="2"/>
      <c r="S734" s="2"/>
      <c r="T734" s="2"/>
      <c r="U734" s="2"/>
      <c r="V734" s="2"/>
    </row>
    <row r="735" spans="4:22" ht="14.25" customHeight="1">
      <c r="D735" s="2"/>
      <c r="E735" s="2"/>
      <c r="F735" s="2"/>
      <c r="G735" s="2"/>
      <c r="H735" s="2"/>
      <c r="I735" s="2"/>
      <c r="J735" s="2"/>
      <c r="K735" s="2"/>
      <c r="L735" s="2"/>
      <c r="M735" s="2"/>
      <c r="N735" s="2"/>
      <c r="O735" s="2"/>
      <c r="P735" s="2"/>
      <c r="Q735" s="2"/>
      <c r="R735" s="2"/>
      <c r="S735" s="2"/>
      <c r="T735" s="2"/>
      <c r="U735" s="2"/>
      <c r="V735" s="2"/>
    </row>
    <row r="736" spans="4:22" ht="14.25" customHeight="1">
      <c r="D736" s="2"/>
      <c r="E736" s="2"/>
      <c r="F736" s="2"/>
      <c r="G736" s="2"/>
      <c r="H736" s="2"/>
      <c r="I736" s="2"/>
      <c r="J736" s="2"/>
      <c r="K736" s="2"/>
      <c r="L736" s="2"/>
      <c r="M736" s="2"/>
      <c r="N736" s="2"/>
      <c r="O736" s="2"/>
      <c r="P736" s="2"/>
      <c r="Q736" s="2"/>
      <c r="R736" s="2"/>
      <c r="S736" s="2"/>
      <c r="T736" s="2"/>
      <c r="U736" s="2"/>
      <c r="V736" s="2"/>
    </row>
    <row r="737" spans="4:22" ht="14.25" customHeight="1">
      <c r="D737" s="2"/>
      <c r="E737" s="2"/>
      <c r="F737" s="2"/>
      <c r="G737" s="2"/>
      <c r="H737" s="2"/>
      <c r="I737" s="2"/>
      <c r="J737" s="2"/>
      <c r="K737" s="2"/>
      <c r="L737" s="2"/>
      <c r="M737" s="2"/>
      <c r="N737" s="2"/>
      <c r="O737" s="2"/>
      <c r="P737" s="2"/>
      <c r="Q737" s="2"/>
      <c r="R737" s="2"/>
      <c r="S737" s="2"/>
      <c r="T737" s="2"/>
      <c r="U737" s="2"/>
      <c r="V737" s="2"/>
    </row>
    <row r="738" spans="4:22" ht="14.25" customHeight="1">
      <c r="D738" s="2"/>
      <c r="E738" s="2"/>
      <c r="F738" s="2"/>
      <c r="G738" s="2"/>
      <c r="H738" s="2"/>
      <c r="I738" s="2"/>
      <c r="J738" s="2"/>
      <c r="K738" s="2"/>
      <c r="L738" s="2"/>
      <c r="M738" s="2"/>
      <c r="N738" s="2"/>
      <c r="O738" s="2"/>
      <c r="P738" s="2"/>
      <c r="Q738" s="2"/>
      <c r="R738" s="2"/>
      <c r="S738" s="2"/>
      <c r="T738" s="2"/>
      <c r="U738" s="2"/>
      <c r="V738" s="2"/>
    </row>
    <row r="739" spans="4:22" ht="14.25" customHeight="1">
      <c r="D739" s="2"/>
      <c r="E739" s="2"/>
      <c r="F739" s="2"/>
      <c r="G739" s="2"/>
      <c r="H739" s="2"/>
      <c r="I739" s="2"/>
      <c r="J739" s="2"/>
      <c r="K739" s="2"/>
      <c r="L739" s="2"/>
      <c r="M739" s="2"/>
      <c r="N739" s="2"/>
      <c r="O739" s="2"/>
      <c r="P739" s="2"/>
      <c r="Q739" s="2"/>
      <c r="R739" s="2"/>
      <c r="S739" s="2"/>
      <c r="T739" s="2"/>
      <c r="U739" s="2"/>
      <c r="V739" s="2"/>
    </row>
    <row r="740" spans="4:22" ht="14.25" customHeight="1">
      <c r="D740" s="2"/>
      <c r="E740" s="2"/>
      <c r="F740" s="2"/>
      <c r="G740" s="2"/>
      <c r="H740" s="2"/>
      <c r="I740" s="2"/>
      <c r="J740" s="2"/>
      <c r="K740" s="2"/>
      <c r="L740" s="2"/>
      <c r="M740" s="2"/>
      <c r="N740" s="2"/>
      <c r="O740" s="2"/>
      <c r="P740" s="2"/>
      <c r="Q740" s="2"/>
      <c r="R740" s="2"/>
      <c r="S740" s="2"/>
      <c r="T740" s="2"/>
      <c r="U740" s="2"/>
      <c r="V740" s="2"/>
    </row>
    <row r="741" spans="4:22" ht="14.25" customHeight="1">
      <c r="D741" s="2"/>
      <c r="E741" s="2"/>
      <c r="F741" s="2"/>
      <c r="G741" s="2"/>
      <c r="H741" s="2"/>
      <c r="I741" s="2"/>
      <c r="J741" s="2"/>
      <c r="K741" s="2"/>
      <c r="L741" s="2"/>
      <c r="M741" s="2"/>
      <c r="N741" s="2"/>
      <c r="O741" s="2"/>
      <c r="P741" s="2"/>
      <c r="Q741" s="2"/>
      <c r="R741" s="2"/>
      <c r="S741" s="2"/>
      <c r="T741" s="2"/>
      <c r="U741" s="2"/>
      <c r="V741" s="2"/>
    </row>
    <row r="742" spans="4:22" ht="14.25" customHeight="1">
      <c r="D742" s="2"/>
      <c r="E742" s="2"/>
      <c r="F742" s="2"/>
      <c r="G742" s="2"/>
      <c r="H742" s="2"/>
      <c r="I742" s="2"/>
      <c r="J742" s="2"/>
      <c r="K742" s="2"/>
      <c r="L742" s="2"/>
      <c r="M742" s="2"/>
      <c r="N742" s="2"/>
      <c r="O742" s="2"/>
      <c r="P742" s="2"/>
      <c r="Q742" s="2"/>
      <c r="R742" s="2"/>
      <c r="S742" s="2"/>
      <c r="T742" s="2"/>
      <c r="U742" s="2"/>
      <c r="V742" s="2"/>
    </row>
    <row r="743" spans="4:22" ht="14.25" customHeight="1">
      <c r="D743" s="2"/>
      <c r="E743" s="2"/>
      <c r="F743" s="2"/>
      <c r="G743" s="2"/>
      <c r="H743" s="2"/>
      <c r="I743" s="2"/>
      <c r="J743" s="2"/>
      <c r="K743" s="2"/>
      <c r="L743" s="2"/>
      <c r="M743" s="2"/>
      <c r="N743" s="2"/>
      <c r="O743" s="2"/>
      <c r="P743" s="2"/>
      <c r="Q743" s="2"/>
      <c r="R743" s="2"/>
      <c r="S743" s="2"/>
      <c r="T743" s="2"/>
      <c r="U743" s="2"/>
      <c r="V743" s="2"/>
    </row>
    <row r="744" spans="4:22" ht="14.25" customHeight="1">
      <c r="D744" s="2"/>
      <c r="E744" s="2"/>
      <c r="F744" s="2"/>
      <c r="G744" s="2"/>
      <c r="H744" s="2"/>
      <c r="I744" s="2"/>
      <c r="J744" s="2"/>
      <c r="K744" s="2"/>
      <c r="L744" s="2"/>
      <c r="M744" s="2"/>
      <c r="N744" s="2"/>
      <c r="O744" s="2"/>
      <c r="P744" s="2"/>
      <c r="Q744" s="2"/>
      <c r="R744" s="2"/>
      <c r="S744" s="2"/>
      <c r="T744" s="2"/>
      <c r="U744" s="2"/>
      <c r="V744" s="2"/>
    </row>
    <row r="745" spans="4:22" ht="14.25" customHeight="1">
      <c r="D745" s="2"/>
      <c r="E745" s="2"/>
      <c r="F745" s="2"/>
      <c r="G745" s="2"/>
      <c r="H745" s="2"/>
      <c r="I745" s="2"/>
      <c r="J745" s="2"/>
      <c r="K745" s="2"/>
      <c r="L745" s="2"/>
      <c r="M745" s="2"/>
      <c r="N745" s="2"/>
      <c r="O745" s="2"/>
      <c r="P745" s="2"/>
      <c r="Q745" s="2"/>
      <c r="R745" s="2"/>
      <c r="S745" s="2"/>
      <c r="T745" s="2"/>
      <c r="U745" s="2"/>
      <c r="V745" s="2"/>
    </row>
    <row r="746" spans="4:22" ht="14.25" customHeight="1">
      <c r="D746" s="2"/>
      <c r="E746" s="2"/>
      <c r="F746" s="2"/>
      <c r="G746" s="2"/>
      <c r="H746" s="2"/>
      <c r="I746" s="2"/>
      <c r="J746" s="2"/>
      <c r="K746" s="2"/>
      <c r="L746" s="2"/>
      <c r="M746" s="2"/>
      <c r="N746" s="2"/>
      <c r="O746" s="2"/>
      <c r="P746" s="2"/>
      <c r="Q746" s="2"/>
      <c r="R746" s="2"/>
      <c r="S746" s="2"/>
      <c r="T746" s="2"/>
      <c r="U746" s="2"/>
      <c r="V746" s="2"/>
    </row>
    <row r="747" spans="4:22" ht="14.25" customHeight="1">
      <c r="D747" s="2"/>
      <c r="E747" s="2"/>
      <c r="F747" s="2"/>
      <c r="G747" s="2"/>
      <c r="H747" s="2"/>
      <c r="I747" s="2"/>
      <c r="J747" s="2"/>
      <c r="K747" s="2"/>
      <c r="L747" s="2"/>
      <c r="M747" s="2"/>
      <c r="N747" s="2"/>
      <c r="O747" s="2"/>
      <c r="P747" s="2"/>
      <c r="Q747" s="2"/>
      <c r="R747" s="2"/>
      <c r="S747" s="2"/>
      <c r="T747" s="2"/>
      <c r="U747" s="2"/>
      <c r="V747" s="2"/>
    </row>
    <row r="748" spans="4:22" ht="14.25" customHeight="1">
      <c r="D748" s="2"/>
      <c r="E748" s="2"/>
      <c r="F748" s="2"/>
      <c r="G748" s="2"/>
      <c r="H748" s="2"/>
      <c r="I748" s="2"/>
      <c r="J748" s="2"/>
      <c r="K748" s="2"/>
      <c r="L748" s="2"/>
      <c r="M748" s="2"/>
      <c r="N748" s="2"/>
      <c r="O748" s="2"/>
      <c r="P748" s="2"/>
      <c r="Q748" s="2"/>
      <c r="R748" s="2"/>
      <c r="S748" s="2"/>
      <c r="T748" s="2"/>
      <c r="U748" s="2"/>
      <c r="V748" s="2"/>
    </row>
    <row r="749" spans="4:22" ht="14.25" customHeight="1">
      <c r="D749" s="2"/>
      <c r="E749" s="2"/>
      <c r="F749" s="2"/>
      <c r="G749" s="2"/>
      <c r="H749" s="2"/>
      <c r="I749" s="2"/>
      <c r="J749" s="2"/>
      <c r="K749" s="2"/>
      <c r="L749" s="2"/>
      <c r="M749" s="2"/>
      <c r="N749" s="2"/>
      <c r="O749" s="2"/>
      <c r="P749" s="2"/>
      <c r="Q749" s="2"/>
      <c r="R749" s="2"/>
      <c r="S749" s="2"/>
      <c r="T749" s="2"/>
      <c r="U749" s="2"/>
      <c r="V749" s="2"/>
    </row>
    <row r="750" spans="4:22" ht="14.25" customHeight="1">
      <c r="D750" s="2"/>
      <c r="E750" s="2"/>
      <c r="F750" s="2"/>
      <c r="G750" s="2"/>
      <c r="H750" s="2"/>
      <c r="I750" s="2"/>
      <c r="J750" s="2"/>
      <c r="K750" s="2"/>
      <c r="L750" s="2"/>
      <c r="M750" s="2"/>
      <c r="N750" s="2"/>
      <c r="O750" s="2"/>
      <c r="P750" s="2"/>
      <c r="Q750" s="2"/>
      <c r="R750" s="2"/>
      <c r="S750" s="2"/>
      <c r="T750" s="2"/>
      <c r="U750" s="2"/>
      <c r="V750" s="2"/>
    </row>
    <row r="751" spans="4:22" ht="14.25" customHeight="1">
      <c r="D751" s="2"/>
      <c r="E751" s="2"/>
      <c r="F751" s="2"/>
      <c r="G751" s="2"/>
      <c r="H751" s="2"/>
      <c r="I751" s="2"/>
      <c r="J751" s="2"/>
      <c r="K751" s="2"/>
      <c r="L751" s="2"/>
      <c r="M751" s="2"/>
      <c r="N751" s="2"/>
      <c r="O751" s="2"/>
      <c r="P751" s="2"/>
      <c r="Q751" s="2"/>
      <c r="R751" s="2"/>
      <c r="S751" s="2"/>
      <c r="T751" s="2"/>
      <c r="U751" s="2"/>
      <c r="V751" s="2"/>
    </row>
    <row r="752" spans="4:22" ht="14.25" customHeight="1">
      <c r="D752" s="2"/>
      <c r="E752" s="2"/>
      <c r="F752" s="2"/>
      <c r="G752" s="2"/>
      <c r="H752" s="2"/>
      <c r="I752" s="2"/>
      <c r="J752" s="2"/>
      <c r="K752" s="2"/>
      <c r="L752" s="2"/>
      <c r="M752" s="2"/>
      <c r="N752" s="2"/>
      <c r="O752" s="2"/>
      <c r="P752" s="2"/>
      <c r="Q752" s="2"/>
      <c r="R752" s="2"/>
      <c r="S752" s="2"/>
      <c r="T752" s="2"/>
      <c r="U752" s="2"/>
      <c r="V752" s="2"/>
    </row>
    <row r="753" spans="4:22" ht="14.25" customHeight="1">
      <c r="D753" s="2"/>
      <c r="E753" s="2"/>
      <c r="F753" s="2"/>
      <c r="G753" s="2"/>
      <c r="H753" s="2"/>
      <c r="I753" s="2"/>
      <c r="J753" s="2"/>
      <c r="K753" s="2"/>
      <c r="L753" s="2"/>
      <c r="M753" s="2"/>
      <c r="N753" s="2"/>
      <c r="O753" s="2"/>
      <c r="P753" s="2"/>
      <c r="Q753" s="2"/>
      <c r="R753" s="2"/>
      <c r="S753" s="2"/>
      <c r="T753" s="2"/>
      <c r="U753" s="2"/>
      <c r="V753" s="2"/>
    </row>
    <row r="754" spans="4:22" ht="14.25" customHeight="1">
      <c r="D754" s="2"/>
      <c r="E754" s="2"/>
      <c r="F754" s="2"/>
      <c r="G754" s="2"/>
      <c r="H754" s="2"/>
      <c r="I754" s="2"/>
      <c r="J754" s="2"/>
      <c r="K754" s="2"/>
      <c r="L754" s="2"/>
      <c r="M754" s="2"/>
      <c r="N754" s="2"/>
      <c r="O754" s="2"/>
      <c r="P754" s="2"/>
      <c r="Q754" s="2"/>
      <c r="R754" s="2"/>
      <c r="S754" s="2"/>
      <c r="T754" s="2"/>
      <c r="U754" s="2"/>
      <c r="V754" s="2"/>
    </row>
    <row r="755" spans="4:22" ht="14.25" customHeight="1">
      <c r="D755" s="2"/>
      <c r="E755" s="2"/>
      <c r="F755" s="2"/>
      <c r="G755" s="2"/>
      <c r="H755" s="2"/>
      <c r="I755" s="2"/>
      <c r="J755" s="2"/>
      <c r="K755" s="2"/>
      <c r="L755" s="2"/>
      <c r="M755" s="2"/>
      <c r="N755" s="2"/>
      <c r="O755" s="2"/>
      <c r="P755" s="2"/>
      <c r="Q755" s="2"/>
      <c r="R755" s="2"/>
      <c r="S755" s="2"/>
      <c r="T755" s="2"/>
      <c r="U755" s="2"/>
      <c r="V755" s="2"/>
    </row>
    <row r="756" spans="4:22" ht="14.25" customHeight="1">
      <c r="D756" s="2"/>
      <c r="E756" s="2"/>
      <c r="F756" s="2"/>
      <c r="G756" s="2"/>
      <c r="H756" s="2"/>
      <c r="I756" s="2"/>
      <c r="J756" s="2"/>
      <c r="K756" s="2"/>
      <c r="L756" s="2"/>
      <c r="M756" s="2"/>
      <c r="N756" s="2"/>
      <c r="O756" s="2"/>
      <c r="P756" s="2"/>
      <c r="Q756" s="2"/>
      <c r="R756" s="2"/>
      <c r="S756" s="2"/>
      <c r="T756" s="2"/>
      <c r="U756" s="2"/>
      <c r="V756" s="2"/>
    </row>
    <row r="757" spans="4:22" ht="14.25" customHeight="1">
      <c r="D757" s="2"/>
      <c r="E757" s="2"/>
      <c r="F757" s="2"/>
      <c r="G757" s="2"/>
      <c r="H757" s="2"/>
      <c r="I757" s="2"/>
      <c r="J757" s="2"/>
      <c r="K757" s="2"/>
      <c r="L757" s="2"/>
      <c r="M757" s="2"/>
      <c r="N757" s="2"/>
      <c r="O757" s="2"/>
      <c r="P757" s="2"/>
      <c r="Q757" s="2"/>
      <c r="R757" s="2"/>
      <c r="S757" s="2"/>
      <c r="T757" s="2"/>
      <c r="U757" s="2"/>
      <c r="V757" s="2"/>
    </row>
    <row r="758" spans="4:22" ht="14.25" customHeight="1">
      <c r="D758" s="2"/>
      <c r="E758" s="2"/>
      <c r="F758" s="2"/>
      <c r="G758" s="2"/>
      <c r="H758" s="2"/>
      <c r="I758" s="2"/>
      <c r="J758" s="2"/>
      <c r="K758" s="2"/>
      <c r="L758" s="2"/>
      <c r="M758" s="2"/>
      <c r="N758" s="2"/>
      <c r="O758" s="2"/>
      <c r="P758" s="2"/>
      <c r="Q758" s="2"/>
      <c r="R758" s="2"/>
      <c r="S758" s="2"/>
      <c r="T758" s="2"/>
      <c r="U758" s="2"/>
      <c r="V758" s="2"/>
    </row>
    <row r="759" spans="4:22" ht="14.25" customHeight="1">
      <c r="D759" s="2"/>
      <c r="E759" s="2"/>
      <c r="F759" s="2"/>
      <c r="G759" s="2"/>
      <c r="H759" s="2"/>
      <c r="I759" s="2"/>
      <c r="J759" s="2"/>
      <c r="K759" s="2"/>
      <c r="L759" s="2"/>
      <c r="M759" s="2"/>
      <c r="N759" s="2"/>
      <c r="O759" s="2"/>
      <c r="P759" s="2"/>
      <c r="Q759" s="2"/>
      <c r="R759" s="2"/>
      <c r="S759" s="2"/>
      <c r="T759" s="2"/>
      <c r="U759" s="2"/>
      <c r="V759" s="2"/>
    </row>
    <row r="760" spans="4:22" ht="14.25" customHeight="1">
      <c r="D760" s="2"/>
      <c r="E760" s="2"/>
      <c r="F760" s="2"/>
      <c r="G760" s="2"/>
      <c r="H760" s="2"/>
      <c r="I760" s="2"/>
      <c r="J760" s="2"/>
      <c r="K760" s="2"/>
      <c r="L760" s="2"/>
      <c r="M760" s="2"/>
      <c r="N760" s="2"/>
      <c r="O760" s="2"/>
      <c r="P760" s="2"/>
      <c r="Q760" s="2"/>
      <c r="R760" s="2"/>
      <c r="S760" s="2"/>
      <c r="T760" s="2"/>
      <c r="U760" s="2"/>
      <c r="V760" s="2"/>
    </row>
    <row r="761" spans="4:22" ht="14.25" customHeight="1">
      <c r="D761" s="2"/>
      <c r="E761" s="2"/>
      <c r="F761" s="2"/>
      <c r="G761" s="2"/>
      <c r="H761" s="2"/>
      <c r="I761" s="2"/>
      <c r="J761" s="2"/>
      <c r="K761" s="2"/>
      <c r="L761" s="2"/>
      <c r="M761" s="2"/>
      <c r="N761" s="2"/>
      <c r="O761" s="2"/>
      <c r="P761" s="2"/>
      <c r="Q761" s="2"/>
      <c r="R761" s="2"/>
      <c r="S761" s="2"/>
      <c r="T761" s="2"/>
      <c r="U761" s="2"/>
      <c r="V761" s="2"/>
    </row>
    <row r="762" spans="4:22" ht="14.25" customHeight="1">
      <c r="D762" s="2"/>
      <c r="E762" s="2"/>
      <c r="F762" s="2"/>
      <c r="G762" s="2"/>
      <c r="H762" s="2"/>
      <c r="I762" s="2"/>
      <c r="J762" s="2"/>
      <c r="K762" s="2"/>
      <c r="L762" s="2"/>
      <c r="M762" s="2"/>
      <c r="N762" s="2"/>
      <c r="O762" s="2"/>
      <c r="P762" s="2"/>
      <c r="Q762" s="2"/>
      <c r="R762" s="2"/>
      <c r="S762" s="2"/>
      <c r="T762" s="2"/>
      <c r="U762" s="2"/>
      <c r="V762" s="2"/>
    </row>
    <row r="763" spans="4:22" ht="14.25" customHeight="1">
      <c r="D763" s="2"/>
      <c r="E763" s="2"/>
      <c r="F763" s="2"/>
      <c r="G763" s="2"/>
      <c r="H763" s="2"/>
      <c r="I763" s="2"/>
      <c r="J763" s="2"/>
      <c r="K763" s="2"/>
      <c r="L763" s="2"/>
      <c r="M763" s="2"/>
      <c r="N763" s="2"/>
      <c r="O763" s="2"/>
      <c r="P763" s="2"/>
      <c r="Q763" s="2"/>
      <c r="R763" s="2"/>
      <c r="S763" s="2"/>
      <c r="T763" s="2"/>
      <c r="U763" s="2"/>
      <c r="V763" s="2"/>
    </row>
    <row r="764" spans="4:22" ht="14.25" customHeight="1">
      <c r="D764" s="2"/>
      <c r="E764" s="2"/>
      <c r="F764" s="2"/>
      <c r="G764" s="2"/>
      <c r="H764" s="2"/>
      <c r="I764" s="2"/>
      <c r="J764" s="2"/>
      <c r="K764" s="2"/>
      <c r="L764" s="2"/>
      <c r="M764" s="2"/>
      <c r="N764" s="2"/>
      <c r="O764" s="2"/>
      <c r="P764" s="2"/>
      <c r="Q764" s="2"/>
      <c r="R764" s="2"/>
      <c r="S764" s="2"/>
      <c r="T764" s="2"/>
      <c r="U764" s="2"/>
      <c r="V764" s="2"/>
    </row>
    <row r="765" spans="4:22" ht="14.25" customHeight="1">
      <c r="D765" s="2"/>
      <c r="E765" s="2"/>
      <c r="F765" s="2"/>
      <c r="G765" s="2"/>
      <c r="H765" s="2"/>
      <c r="I765" s="2"/>
      <c r="J765" s="2"/>
      <c r="K765" s="2"/>
      <c r="L765" s="2"/>
      <c r="M765" s="2"/>
      <c r="N765" s="2"/>
      <c r="O765" s="2"/>
      <c r="P765" s="2"/>
      <c r="Q765" s="2"/>
      <c r="R765" s="2"/>
      <c r="S765" s="2"/>
      <c r="T765" s="2"/>
      <c r="U765" s="2"/>
      <c r="V765" s="2"/>
    </row>
    <row r="766" spans="4:22" ht="14.25" customHeight="1">
      <c r="D766" s="2"/>
      <c r="E766" s="2"/>
      <c r="F766" s="2"/>
      <c r="G766" s="2"/>
      <c r="H766" s="2"/>
      <c r="I766" s="2"/>
      <c r="J766" s="2"/>
      <c r="K766" s="2"/>
      <c r="L766" s="2"/>
      <c r="M766" s="2"/>
      <c r="N766" s="2"/>
      <c r="O766" s="2"/>
      <c r="P766" s="2"/>
      <c r="Q766" s="2"/>
      <c r="R766" s="2"/>
      <c r="S766" s="2"/>
      <c r="T766" s="2"/>
      <c r="U766" s="2"/>
      <c r="V766" s="2"/>
    </row>
    <row r="767" spans="4:22" ht="14.25" customHeight="1">
      <c r="D767" s="2"/>
      <c r="E767" s="2"/>
      <c r="F767" s="2"/>
      <c r="G767" s="2"/>
      <c r="H767" s="2"/>
      <c r="I767" s="2"/>
      <c r="J767" s="2"/>
      <c r="K767" s="2"/>
      <c r="L767" s="2"/>
      <c r="M767" s="2"/>
      <c r="N767" s="2"/>
      <c r="O767" s="2"/>
      <c r="P767" s="2"/>
      <c r="Q767" s="2"/>
      <c r="R767" s="2"/>
      <c r="S767" s="2"/>
      <c r="T767" s="2"/>
      <c r="U767" s="2"/>
      <c r="V767" s="2"/>
    </row>
    <row r="768" spans="4:22" ht="14.25" customHeight="1">
      <c r="D768" s="2"/>
      <c r="E768" s="2"/>
      <c r="F768" s="2"/>
      <c r="G768" s="2"/>
      <c r="H768" s="2"/>
      <c r="I768" s="2"/>
      <c r="J768" s="2"/>
      <c r="K768" s="2"/>
      <c r="L768" s="2"/>
      <c r="M768" s="2"/>
      <c r="N768" s="2"/>
      <c r="O768" s="2"/>
      <c r="P768" s="2"/>
      <c r="Q768" s="2"/>
      <c r="R768" s="2"/>
      <c r="S768" s="2"/>
      <c r="T768" s="2"/>
      <c r="U768" s="2"/>
      <c r="V768" s="2"/>
    </row>
    <row r="769" spans="4:22" ht="14.25" customHeight="1">
      <c r="D769" s="2"/>
      <c r="E769" s="2"/>
      <c r="F769" s="2"/>
      <c r="G769" s="2"/>
      <c r="H769" s="2"/>
      <c r="I769" s="2"/>
      <c r="J769" s="2"/>
      <c r="K769" s="2"/>
      <c r="L769" s="2"/>
      <c r="M769" s="2"/>
      <c r="N769" s="2"/>
      <c r="O769" s="2"/>
      <c r="P769" s="2"/>
      <c r="Q769" s="2"/>
      <c r="R769" s="2"/>
      <c r="S769" s="2"/>
      <c r="T769" s="2"/>
      <c r="U769" s="2"/>
      <c r="V769" s="2"/>
    </row>
    <row r="770" spans="4:22" ht="14.25" customHeight="1">
      <c r="D770" s="2"/>
      <c r="E770" s="2"/>
      <c r="F770" s="2"/>
      <c r="G770" s="2"/>
      <c r="H770" s="2"/>
      <c r="I770" s="2"/>
      <c r="J770" s="2"/>
      <c r="K770" s="2"/>
      <c r="L770" s="2"/>
      <c r="M770" s="2"/>
      <c r="N770" s="2"/>
      <c r="O770" s="2"/>
      <c r="P770" s="2"/>
      <c r="Q770" s="2"/>
      <c r="R770" s="2"/>
      <c r="S770" s="2"/>
      <c r="T770" s="2"/>
      <c r="U770" s="2"/>
      <c r="V770" s="2"/>
    </row>
    <row r="771" spans="4:22" ht="14.25" customHeight="1">
      <c r="D771" s="2"/>
      <c r="E771" s="2"/>
      <c r="F771" s="2"/>
      <c r="G771" s="2"/>
      <c r="H771" s="2"/>
      <c r="I771" s="2"/>
      <c r="J771" s="2"/>
      <c r="K771" s="2"/>
      <c r="L771" s="2"/>
      <c r="M771" s="2"/>
      <c r="N771" s="2"/>
      <c r="O771" s="2"/>
      <c r="P771" s="2"/>
      <c r="Q771" s="2"/>
      <c r="R771" s="2"/>
      <c r="S771" s="2"/>
      <c r="T771" s="2"/>
      <c r="U771" s="2"/>
      <c r="V771" s="2"/>
    </row>
    <row r="772" spans="4:22" ht="14.25" customHeight="1">
      <c r="D772" s="2"/>
      <c r="E772" s="2"/>
      <c r="F772" s="2"/>
      <c r="G772" s="2"/>
      <c r="H772" s="2"/>
      <c r="I772" s="2"/>
      <c r="J772" s="2"/>
      <c r="K772" s="2"/>
      <c r="L772" s="2"/>
      <c r="M772" s="2"/>
      <c r="N772" s="2"/>
      <c r="O772" s="2"/>
      <c r="P772" s="2"/>
      <c r="Q772" s="2"/>
      <c r="R772" s="2"/>
      <c r="S772" s="2"/>
      <c r="T772" s="2"/>
      <c r="U772" s="2"/>
      <c r="V772" s="2"/>
    </row>
    <row r="773" spans="4:22" ht="14.25" customHeight="1">
      <c r="D773" s="2"/>
      <c r="E773" s="2"/>
      <c r="F773" s="2"/>
      <c r="G773" s="2"/>
      <c r="H773" s="2"/>
      <c r="I773" s="2"/>
      <c r="J773" s="2"/>
      <c r="K773" s="2"/>
      <c r="L773" s="2"/>
      <c r="M773" s="2"/>
      <c r="N773" s="2"/>
      <c r="O773" s="2"/>
      <c r="P773" s="2"/>
      <c r="Q773" s="2"/>
      <c r="R773" s="2"/>
      <c r="S773" s="2"/>
      <c r="T773" s="2"/>
      <c r="U773" s="2"/>
      <c r="V773" s="2"/>
    </row>
    <row r="774" spans="4:22" ht="14.25" customHeight="1">
      <c r="D774" s="2"/>
      <c r="E774" s="2"/>
      <c r="F774" s="2"/>
      <c r="G774" s="2"/>
      <c r="H774" s="2"/>
      <c r="I774" s="2"/>
      <c r="J774" s="2"/>
      <c r="K774" s="2"/>
      <c r="L774" s="2"/>
      <c r="M774" s="2"/>
      <c r="N774" s="2"/>
      <c r="O774" s="2"/>
      <c r="P774" s="2"/>
      <c r="Q774" s="2"/>
      <c r="R774" s="2"/>
      <c r="S774" s="2"/>
      <c r="T774" s="2"/>
      <c r="U774" s="2"/>
      <c r="V774" s="2"/>
    </row>
    <row r="775" spans="4:22" ht="14.25" customHeight="1">
      <c r="D775" s="2"/>
      <c r="E775" s="2"/>
      <c r="F775" s="2"/>
      <c r="G775" s="2"/>
      <c r="H775" s="2"/>
      <c r="I775" s="2"/>
      <c r="J775" s="2"/>
      <c r="K775" s="2"/>
      <c r="L775" s="2"/>
      <c r="M775" s="2"/>
      <c r="N775" s="2"/>
      <c r="O775" s="2"/>
      <c r="P775" s="2"/>
      <c r="Q775" s="2"/>
      <c r="R775" s="2"/>
      <c r="S775" s="2"/>
      <c r="T775" s="2"/>
      <c r="U775" s="2"/>
      <c r="V775" s="2"/>
    </row>
    <row r="776" spans="4:22" ht="14.25" customHeight="1">
      <c r="D776" s="2"/>
      <c r="E776" s="2"/>
      <c r="F776" s="2"/>
      <c r="G776" s="2"/>
      <c r="H776" s="2"/>
      <c r="I776" s="2"/>
      <c r="J776" s="2"/>
      <c r="K776" s="2"/>
      <c r="L776" s="2"/>
      <c r="M776" s="2"/>
      <c r="N776" s="2"/>
      <c r="O776" s="2"/>
      <c r="P776" s="2"/>
      <c r="Q776" s="2"/>
      <c r="R776" s="2"/>
      <c r="S776" s="2"/>
      <c r="T776" s="2"/>
      <c r="U776" s="2"/>
      <c r="V776" s="2"/>
    </row>
    <row r="777" spans="4:22" ht="14.25" customHeight="1">
      <c r="D777" s="2"/>
      <c r="E777" s="2"/>
      <c r="F777" s="2"/>
      <c r="G777" s="2"/>
      <c r="H777" s="2"/>
      <c r="I777" s="2"/>
      <c r="J777" s="2"/>
      <c r="K777" s="2"/>
      <c r="L777" s="2"/>
      <c r="M777" s="2"/>
      <c r="N777" s="2"/>
      <c r="O777" s="2"/>
      <c r="P777" s="2"/>
      <c r="Q777" s="2"/>
      <c r="R777" s="2"/>
      <c r="S777" s="2"/>
      <c r="T777" s="2"/>
      <c r="U777" s="2"/>
      <c r="V777" s="2"/>
    </row>
    <row r="778" spans="4:22" ht="14.25" customHeight="1">
      <c r="D778" s="2"/>
      <c r="E778" s="2"/>
      <c r="F778" s="2"/>
      <c r="G778" s="2"/>
      <c r="H778" s="2"/>
      <c r="I778" s="2"/>
      <c r="J778" s="2"/>
      <c r="K778" s="2"/>
      <c r="L778" s="2"/>
      <c r="M778" s="2"/>
      <c r="N778" s="2"/>
      <c r="O778" s="2"/>
      <c r="P778" s="2"/>
      <c r="Q778" s="2"/>
      <c r="R778" s="2"/>
      <c r="S778" s="2"/>
      <c r="T778" s="2"/>
      <c r="U778" s="2"/>
      <c r="V778" s="2"/>
    </row>
    <row r="779" spans="4:22" ht="14.25" customHeight="1">
      <c r="D779" s="2"/>
      <c r="E779" s="2"/>
      <c r="F779" s="2"/>
      <c r="G779" s="2"/>
      <c r="H779" s="2"/>
      <c r="I779" s="2"/>
      <c r="J779" s="2"/>
      <c r="K779" s="2"/>
      <c r="L779" s="2"/>
      <c r="M779" s="2"/>
      <c r="N779" s="2"/>
      <c r="O779" s="2"/>
      <c r="P779" s="2"/>
      <c r="Q779" s="2"/>
      <c r="R779" s="2"/>
      <c r="S779" s="2"/>
      <c r="T779" s="2"/>
      <c r="U779" s="2"/>
      <c r="V779" s="2"/>
    </row>
    <row r="780" spans="4:22" ht="14.25" customHeight="1">
      <c r="D780" s="2"/>
      <c r="E780" s="2"/>
      <c r="F780" s="2"/>
      <c r="G780" s="2"/>
      <c r="H780" s="2"/>
      <c r="I780" s="2"/>
      <c r="J780" s="2"/>
      <c r="K780" s="2"/>
      <c r="L780" s="2"/>
      <c r="M780" s="2"/>
      <c r="N780" s="2"/>
      <c r="O780" s="2"/>
      <c r="P780" s="2"/>
      <c r="Q780" s="2"/>
      <c r="R780" s="2"/>
      <c r="S780" s="2"/>
      <c r="T780" s="2"/>
      <c r="U780" s="2"/>
      <c r="V780" s="2"/>
    </row>
    <row r="781" spans="4:22" ht="14.25" customHeight="1">
      <c r="D781" s="2"/>
      <c r="E781" s="2"/>
      <c r="F781" s="2"/>
      <c r="G781" s="2"/>
      <c r="H781" s="2"/>
      <c r="I781" s="2"/>
      <c r="J781" s="2"/>
      <c r="K781" s="2"/>
      <c r="L781" s="2"/>
      <c r="M781" s="2"/>
      <c r="N781" s="2"/>
      <c r="O781" s="2"/>
      <c r="P781" s="2"/>
      <c r="Q781" s="2"/>
      <c r="R781" s="2"/>
      <c r="S781" s="2"/>
      <c r="T781" s="2"/>
      <c r="U781" s="2"/>
      <c r="V781" s="2"/>
    </row>
    <row r="782" spans="4:22" ht="14.25" customHeight="1">
      <c r="D782" s="2"/>
      <c r="E782" s="2"/>
      <c r="F782" s="2"/>
      <c r="G782" s="2"/>
      <c r="H782" s="2"/>
      <c r="I782" s="2"/>
      <c r="J782" s="2"/>
      <c r="K782" s="2"/>
      <c r="L782" s="2"/>
      <c r="M782" s="2"/>
      <c r="N782" s="2"/>
      <c r="O782" s="2"/>
      <c r="P782" s="2"/>
      <c r="Q782" s="2"/>
      <c r="R782" s="2"/>
      <c r="S782" s="2"/>
      <c r="T782" s="2"/>
      <c r="U782" s="2"/>
      <c r="V782" s="2"/>
    </row>
    <row r="783" spans="4:22" ht="14.25" customHeight="1">
      <c r="D783" s="2"/>
      <c r="E783" s="2"/>
      <c r="F783" s="2"/>
      <c r="G783" s="2"/>
      <c r="H783" s="2"/>
      <c r="I783" s="2"/>
      <c r="J783" s="2"/>
      <c r="K783" s="2"/>
      <c r="L783" s="2"/>
      <c r="M783" s="2"/>
      <c r="N783" s="2"/>
      <c r="O783" s="2"/>
      <c r="P783" s="2"/>
      <c r="Q783" s="2"/>
      <c r="R783" s="2"/>
      <c r="S783" s="2"/>
      <c r="T783" s="2"/>
      <c r="U783" s="2"/>
      <c r="V783" s="2"/>
    </row>
    <row r="784" spans="4:22" ht="14.25" customHeight="1">
      <c r="D784" s="2"/>
      <c r="E784" s="2"/>
      <c r="F784" s="2"/>
      <c r="G784" s="2"/>
      <c r="H784" s="2"/>
      <c r="I784" s="2"/>
      <c r="J784" s="2"/>
      <c r="K784" s="2"/>
      <c r="L784" s="2"/>
      <c r="M784" s="2"/>
      <c r="N784" s="2"/>
      <c r="O784" s="2"/>
      <c r="P784" s="2"/>
      <c r="Q784" s="2"/>
      <c r="R784" s="2"/>
      <c r="S784" s="2"/>
      <c r="T784" s="2"/>
      <c r="U784" s="2"/>
      <c r="V784" s="2"/>
    </row>
    <row r="785" spans="4:22" ht="14.25" customHeight="1">
      <c r="D785" s="2"/>
      <c r="E785" s="2"/>
      <c r="F785" s="2"/>
      <c r="G785" s="2"/>
      <c r="H785" s="2"/>
      <c r="I785" s="2"/>
      <c r="J785" s="2"/>
      <c r="K785" s="2"/>
      <c r="L785" s="2"/>
      <c r="M785" s="2"/>
      <c r="N785" s="2"/>
      <c r="O785" s="2"/>
      <c r="P785" s="2"/>
      <c r="Q785" s="2"/>
      <c r="R785" s="2"/>
      <c r="S785" s="2"/>
      <c r="T785" s="2"/>
      <c r="U785" s="2"/>
      <c r="V785" s="2"/>
    </row>
    <row r="786" spans="4:22" ht="14.25" customHeight="1">
      <c r="D786" s="2"/>
      <c r="E786" s="2"/>
      <c r="F786" s="2"/>
      <c r="G786" s="2"/>
      <c r="H786" s="2"/>
      <c r="I786" s="2"/>
      <c r="J786" s="2"/>
      <c r="K786" s="2"/>
      <c r="L786" s="2"/>
      <c r="M786" s="2"/>
      <c r="N786" s="2"/>
      <c r="O786" s="2"/>
      <c r="P786" s="2"/>
      <c r="Q786" s="2"/>
      <c r="R786" s="2"/>
      <c r="S786" s="2"/>
      <c r="T786" s="2"/>
      <c r="U786" s="2"/>
      <c r="V786" s="2"/>
    </row>
    <row r="787" spans="4:22" ht="14.25" customHeight="1">
      <c r="D787" s="2"/>
      <c r="E787" s="2"/>
      <c r="F787" s="2"/>
      <c r="G787" s="2"/>
      <c r="H787" s="2"/>
      <c r="I787" s="2"/>
      <c r="J787" s="2"/>
      <c r="K787" s="2"/>
      <c r="L787" s="2"/>
      <c r="M787" s="2"/>
      <c r="N787" s="2"/>
      <c r="O787" s="2"/>
      <c r="P787" s="2"/>
      <c r="Q787" s="2"/>
      <c r="R787" s="2"/>
      <c r="S787" s="2"/>
      <c r="T787" s="2"/>
      <c r="U787" s="2"/>
      <c r="V787" s="2"/>
    </row>
    <row r="788" spans="4:22" ht="14.25" customHeight="1">
      <c r="D788" s="2"/>
      <c r="E788" s="2"/>
      <c r="F788" s="2"/>
      <c r="G788" s="2"/>
      <c r="H788" s="2"/>
      <c r="I788" s="2"/>
      <c r="J788" s="2"/>
      <c r="K788" s="2"/>
      <c r="L788" s="2"/>
      <c r="M788" s="2"/>
      <c r="N788" s="2"/>
      <c r="O788" s="2"/>
      <c r="P788" s="2"/>
      <c r="Q788" s="2"/>
      <c r="R788" s="2"/>
      <c r="S788" s="2"/>
      <c r="T788" s="2"/>
      <c r="U788" s="2"/>
      <c r="V788" s="2"/>
    </row>
    <row r="789" spans="4:22" ht="14.25" customHeight="1">
      <c r="D789" s="2"/>
      <c r="E789" s="2"/>
      <c r="F789" s="2"/>
      <c r="G789" s="2"/>
      <c r="H789" s="2"/>
      <c r="I789" s="2"/>
      <c r="J789" s="2"/>
      <c r="K789" s="2"/>
      <c r="L789" s="2"/>
      <c r="M789" s="2"/>
      <c r="N789" s="2"/>
      <c r="O789" s="2"/>
      <c r="P789" s="2"/>
      <c r="Q789" s="2"/>
      <c r="R789" s="2"/>
      <c r="S789" s="2"/>
      <c r="T789" s="2"/>
      <c r="U789" s="2"/>
      <c r="V789" s="2"/>
    </row>
    <row r="790" spans="4:22" ht="14.25" customHeight="1">
      <c r="D790" s="2"/>
      <c r="E790" s="2"/>
      <c r="F790" s="2"/>
      <c r="G790" s="2"/>
      <c r="H790" s="2"/>
      <c r="I790" s="2"/>
      <c r="J790" s="2"/>
      <c r="K790" s="2"/>
      <c r="L790" s="2"/>
      <c r="M790" s="2"/>
      <c r="N790" s="2"/>
      <c r="O790" s="2"/>
      <c r="P790" s="2"/>
      <c r="Q790" s="2"/>
      <c r="R790" s="2"/>
      <c r="S790" s="2"/>
      <c r="T790" s="2"/>
      <c r="U790" s="2"/>
      <c r="V790" s="2"/>
    </row>
    <row r="791" spans="4:22" ht="14.25" customHeight="1">
      <c r="D791" s="2"/>
      <c r="E791" s="2"/>
      <c r="F791" s="2"/>
      <c r="G791" s="2"/>
      <c r="H791" s="2"/>
      <c r="I791" s="2"/>
      <c r="J791" s="2"/>
      <c r="K791" s="2"/>
      <c r="L791" s="2"/>
      <c r="M791" s="2"/>
      <c r="N791" s="2"/>
      <c r="O791" s="2"/>
      <c r="P791" s="2"/>
      <c r="Q791" s="2"/>
      <c r="R791" s="2"/>
      <c r="S791" s="2"/>
      <c r="T791" s="2"/>
      <c r="U791" s="2"/>
      <c r="V791" s="2"/>
    </row>
    <row r="792" spans="4:22" ht="14.25" customHeight="1">
      <c r="D792" s="2"/>
      <c r="E792" s="2"/>
      <c r="F792" s="2"/>
      <c r="G792" s="2"/>
      <c r="H792" s="2"/>
      <c r="I792" s="2"/>
      <c r="J792" s="2"/>
      <c r="K792" s="2"/>
      <c r="L792" s="2"/>
      <c r="M792" s="2"/>
      <c r="N792" s="2"/>
      <c r="O792" s="2"/>
      <c r="P792" s="2"/>
      <c r="Q792" s="2"/>
      <c r="R792" s="2"/>
      <c r="S792" s="2"/>
      <c r="T792" s="2"/>
      <c r="U792" s="2"/>
      <c r="V792" s="2"/>
    </row>
    <row r="793" spans="4:22" ht="14.25" customHeight="1">
      <c r="D793" s="2"/>
      <c r="E793" s="2"/>
      <c r="F793" s="2"/>
      <c r="G793" s="2"/>
      <c r="H793" s="2"/>
      <c r="I793" s="2"/>
      <c r="J793" s="2"/>
      <c r="K793" s="2"/>
      <c r="L793" s="2"/>
      <c r="M793" s="2"/>
      <c r="N793" s="2"/>
      <c r="O793" s="2"/>
      <c r="P793" s="2"/>
      <c r="Q793" s="2"/>
      <c r="R793" s="2"/>
      <c r="S793" s="2"/>
      <c r="T793" s="2"/>
      <c r="U793" s="2"/>
      <c r="V793" s="2"/>
    </row>
    <row r="794" spans="4:22" ht="14.25" customHeight="1">
      <c r="D794" s="2"/>
      <c r="E794" s="2"/>
      <c r="F794" s="2"/>
      <c r="G794" s="2"/>
      <c r="H794" s="2"/>
      <c r="I794" s="2"/>
      <c r="J794" s="2"/>
      <c r="K794" s="2"/>
      <c r="L794" s="2"/>
      <c r="M794" s="2"/>
      <c r="N794" s="2"/>
      <c r="O794" s="2"/>
      <c r="P794" s="2"/>
      <c r="Q794" s="2"/>
      <c r="R794" s="2"/>
      <c r="S794" s="2"/>
      <c r="T794" s="2"/>
      <c r="U794" s="2"/>
      <c r="V794" s="2"/>
    </row>
    <row r="795" spans="4:22" ht="14.25" customHeight="1">
      <c r="D795" s="2"/>
      <c r="E795" s="2"/>
      <c r="F795" s="2"/>
      <c r="G795" s="2"/>
      <c r="H795" s="2"/>
      <c r="I795" s="2"/>
      <c r="J795" s="2"/>
      <c r="K795" s="2"/>
      <c r="L795" s="2"/>
      <c r="M795" s="2"/>
      <c r="N795" s="2"/>
      <c r="O795" s="2"/>
      <c r="P795" s="2"/>
      <c r="Q795" s="2"/>
      <c r="R795" s="2"/>
      <c r="S795" s="2"/>
      <c r="T795" s="2"/>
      <c r="U795" s="2"/>
      <c r="V795" s="2"/>
    </row>
    <row r="796" spans="4:22" ht="14.25" customHeight="1">
      <c r="D796" s="2"/>
      <c r="E796" s="2"/>
      <c r="F796" s="2"/>
      <c r="G796" s="2"/>
      <c r="H796" s="2"/>
      <c r="I796" s="2"/>
      <c r="J796" s="2"/>
      <c r="K796" s="2"/>
      <c r="L796" s="2"/>
      <c r="M796" s="2"/>
      <c r="N796" s="2"/>
      <c r="O796" s="2"/>
      <c r="P796" s="2"/>
      <c r="Q796" s="2"/>
      <c r="R796" s="2"/>
      <c r="S796" s="2"/>
      <c r="T796" s="2"/>
      <c r="U796" s="2"/>
      <c r="V796" s="2"/>
    </row>
    <row r="797" spans="4:22" ht="14.25" customHeight="1">
      <c r="D797" s="2"/>
      <c r="E797" s="2"/>
      <c r="F797" s="2"/>
      <c r="G797" s="2"/>
      <c r="H797" s="2"/>
      <c r="I797" s="2"/>
      <c r="J797" s="2"/>
      <c r="K797" s="2"/>
      <c r="L797" s="2"/>
      <c r="M797" s="2"/>
      <c r="N797" s="2"/>
      <c r="O797" s="2"/>
      <c r="P797" s="2"/>
      <c r="Q797" s="2"/>
      <c r="R797" s="2"/>
      <c r="S797" s="2"/>
      <c r="T797" s="2"/>
      <c r="U797" s="2"/>
      <c r="V797" s="2"/>
    </row>
    <row r="798" spans="4:22" ht="14.25" customHeight="1">
      <c r="D798" s="2"/>
      <c r="E798" s="2"/>
      <c r="F798" s="2"/>
      <c r="G798" s="2"/>
      <c r="H798" s="2"/>
      <c r="I798" s="2"/>
      <c r="J798" s="2"/>
      <c r="K798" s="2"/>
      <c r="L798" s="2"/>
      <c r="M798" s="2"/>
      <c r="N798" s="2"/>
      <c r="O798" s="2"/>
      <c r="P798" s="2"/>
      <c r="Q798" s="2"/>
      <c r="R798" s="2"/>
      <c r="S798" s="2"/>
      <c r="T798" s="2"/>
      <c r="U798" s="2"/>
      <c r="V798" s="2"/>
    </row>
    <row r="799" spans="4:22" ht="14.25" customHeight="1">
      <c r="D799" s="2"/>
      <c r="E799" s="2"/>
      <c r="F799" s="2"/>
      <c r="G799" s="2"/>
      <c r="H799" s="2"/>
      <c r="I799" s="2"/>
      <c r="J799" s="2"/>
      <c r="K799" s="2"/>
      <c r="L799" s="2"/>
      <c r="M799" s="2"/>
      <c r="N799" s="2"/>
      <c r="O799" s="2"/>
      <c r="P799" s="2"/>
      <c r="Q799" s="2"/>
      <c r="R799" s="2"/>
      <c r="S799" s="2"/>
      <c r="T799" s="2"/>
      <c r="U799" s="2"/>
      <c r="V799" s="2"/>
    </row>
    <row r="800" spans="4:22" ht="14.25" customHeight="1">
      <c r="D800" s="2"/>
      <c r="E800" s="2"/>
      <c r="F800" s="2"/>
      <c r="G800" s="2"/>
      <c r="H800" s="2"/>
      <c r="I800" s="2"/>
      <c r="J800" s="2"/>
      <c r="K800" s="2"/>
      <c r="L800" s="2"/>
      <c r="M800" s="2"/>
      <c r="N800" s="2"/>
      <c r="O800" s="2"/>
      <c r="P800" s="2"/>
      <c r="Q800" s="2"/>
      <c r="R800" s="2"/>
      <c r="S800" s="2"/>
      <c r="T800" s="2"/>
      <c r="U800" s="2"/>
      <c r="V800" s="2"/>
    </row>
    <row r="801" spans="4:22" ht="14.25" customHeight="1">
      <c r="D801" s="2"/>
      <c r="E801" s="2"/>
      <c r="F801" s="2"/>
      <c r="G801" s="2"/>
      <c r="H801" s="2"/>
      <c r="I801" s="2"/>
      <c r="J801" s="2"/>
      <c r="K801" s="2"/>
      <c r="L801" s="2"/>
      <c r="M801" s="2"/>
      <c r="N801" s="2"/>
      <c r="O801" s="2"/>
      <c r="P801" s="2"/>
      <c r="Q801" s="2"/>
      <c r="R801" s="2"/>
      <c r="S801" s="2"/>
      <c r="T801" s="2"/>
      <c r="U801" s="2"/>
      <c r="V801" s="2"/>
    </row>
    <row r="802" spans="4:22" ht="14.25" customHeight="1">
      <c r="D802" s="2"/>
      <c r="E802" s="2"/>
      <c r="F802" s="2"/>
      <c r="G802" s="2"/>
      <c r="H802" s="2"/>
      <c r="I802" s="2"/>
      <c r="J802" s="2"/>
      <c r="K802" s="2"/>
      <c r="L802" s="2"/>
      <c r="M802" s="2"/>
      <c r="N802" s="2"/>
      <c r="O802" s="2"/>
      <c r="P802" s="2"/>
      <c r="Q802" s="2"/>
      <c r="R802" s="2"/>
      <c r="S802" s="2"/>
      <c r="T802" s="2"/>
      <c r="U802" s="2"/>
      <c r="V802" s="2"/>
    </row>
    <row r="803" spans="4:22" ht="14.25" customHeight="1">
      <c r="D803" s="2"/>
      <c r="E803" s="2"/>
      <c r="F803" s="2"/>
      <c r="G803" s="2"/>
      <c r="H803" s="2"/>
      <c r="I803" s="2"/>
      <c r="J803" s="2"/>
      <c r="K803" s="2"/>
      <c r="L803" s="2"/>
      <c r="M803" s="2"/>
      <c r="N803" s="2"/>
      <c r="O803" s="2"/>
      <c r="P803" s="2"/>
      <c r="Q803" s="2"/>
      <c r="R803" s="2"/>
      <c r="S803" s="2"/>
      <c r="T803" s="2"/>
      <c r="U803" s="2"/>
      <c r="V803" s="2"/>
    </row>
    <row r="804" spans="4:22" ht="14.25" customHeight="1">
      <c r="D804" s="2"/>
      <c r="E804" s="2"/>
      <c r="F804" s="2"/>
      <c r="G804" s="2"/>
      <c r="H804" s="2"/>
      <c r="I804" s="2"/>
      <c r="J804" s="2"/>
      <c r="K804" s="2"/>
      <c r="L804" s="2"/>
      <c r="M804" s="2"/>
      <c r="N804" s="2"/>
      <c r="O804" s="2"/>
      <c r="P804" s="2"/>
      <c r="Q804" s="2"/>
      <c r="R804" s="2"/>
      <c r="S804" s="2"/>
      <c r="T804" s="2"/>
      <c r="U804" s="2"/>
      <c r="V804" s="2"/>
    </row>
    <row r="805" spans="4:22" ht="14.25" customHeight="1">
      <c r="D805" s="2"/>
      <c r="E805" s="2"/>
      <c r="F805" s="2"/>
      <c r="G805" s="2"/>
      <c r="H805" s="2"/>
      <c r="I805" s="2"/>
      <c r="J805" s="2"/>
      <c r="K805" s="2"/>
      <c r="L805" s="2"/>
      <c r="M805" s="2"/>
      <c r="N805" s="2"/>
      <c r="O805" s="2"/>
      <c r="P805" s="2"/>
      <c r="Q805" s="2"/>
      <c r="R805" s="2"/>
      <c r="S805" s="2"/>
      <c r="T805" s="2"/>
      <c r="U805" s="2"/>
      <c r="V805" s="2"/>
    </row>
    <row r="806" spans="4:22" ht="14.25" customHeight="1">
      <c r="D806" s="2"/>
      <c r="E806" s="2"/>
      <c r="F806" s="2"/>
      <c r="G806" s="2"/>
      <c r="H806" s="2"/>
      <c r="I806" s="2"/>
      <c r="J806" s="2"/>
      <c r="K806" s="2"/>
      <c r="L806" s="2"/>
      <c r="M806" s="2"/>
      <c r="N806" s="2"/>
      <c r="O806" s="2"/>
      <c r="P806" s="2"/>
      <c r="Q806" s="2"/>
      <c r="R806" s="2"/>
      <c r="S806" s="2"/>
      <c r="T806" s="2"/>
      <c r="U806" s="2"/>
      <c r="V806" s="2"/>
    </row>
    <row r="807" spans="4:22" ht="14.25" customHeight="1">
      <c r="D807" s="2"/>
      <c r="E807" s="2"/>
      <c r="F807" s="2"/>
      <c r="G807" s="2"/>
      <c r="H807" s="2"/>
      <c r="I807" s="2"/>
      <c r="J807" s="2"/>
      <c r="K807" s="2"/>
      <c r="L807" s="2"/>
      <c r="M807" s="2"/>
      <c r="N807" s="2"/>
      <c r="O807" s="2"/>
      <c r="P807" s="2"/>
      <c r="Q807" s="2"/>
      <c r="R807" s="2"/>
      <c r="S807" s="2"/>
      <c r="T807" s="2"/>
      <c r="U807" s="2"/>
      <c r="V807" s="2"/>
    </row>
    <row r="808" spans="4:22" ht="14.25" customHeight="1">
      <c r="D808" s="2"/>
      <c r="E808" s="2"/>
      <c r="F808" s="2"/>
      <c r="G808" s="2"/>
      <c r="H808" s="2"/>
      <c r="I808" s="2"/>
      <c r="J808" s="2"/>
      <c r="K808" s="2"/>
      <c r="L808" s="2"/>
      <c r="M808" s="2"/>
      <c r="N808" s="2"/>
      <c r="O808" s="2"/>
      <c r="P808" s="2"/>
      <c r="Q808" s="2"/>
      <c r="R808" s="2"/>
      <c r="S808" s="2"/>
      <c r="T808" s="2"/>
      <c r="U808" s="2"/>
      <c r="V808" s="2"/>
    </row>
    <row r="809" spans="4:22" ht="14.25" customHeight="1">
      <c r="D809" s="2"/>
      <c r="E809" s="2"/>
      <c r="F809" s="2"/>
      <c r="G809" s="2"/>
      <c r="H809" s="2"/>
      <c r="I809" s="2"/>
      <c r="J809" s="2"/>
      <c r="K809" s="2"/>
      <c r="L809" s="2"/>
      <c r="M809" s="2"/>
      <c r="N809" s="2"/>
      <c r="O809" s="2"/>
      <c r="P809" s="2"/>
      <c r="Q809" s="2"/>
      <c r="R809" s="2"/>
      <c r="S809" s="2"/>
      <c r="T809" s="2"/>
      <c r="U809" s="2"/>
      <c r="V809" s="2"/>
    </row>
    <row r="810" spans="4:22" ht="14.25" customHeight="1">
      <c r="D810" s="2"/>
      <c r="E810" s="2"/>
      <c r="F810" s="2"/>
      <c r="G810" s="2"/>
      <c r="H810" s="2"/>
      <c r="I810" s="2"/>
      <c r="J810" s="2"/>
      <c r="K810" s="2"/>
      <c r="L810" s="2"/>
      <c r="M810" s="2"/>
      <c r="N810" s="2"/>
      <c r="O810" s="2"/>
      <c r="P810" s="2"/>
      <c r="Q810" s="2"/>
      <c r="R810" s="2"/>
      <c r="S810" s="2"/>
      <c r="T810" s="2"/>
      <c r="U810" s="2"/>
      <c r="V810" s="2"/>
    </row>
    <row r="811" spans="4:22" ht="14.25" customHeight="1">
      <c r="D811" s="2"/>
      <c r="E811" s="2"/>
      <c r="F811" s="2"/>
      <c r="G811" s="2"/>
      <c r="H811" s="2"/>
      <c r="I811" s="2"/>
      <c r="J811" s="2"/>
      <c r="K811" s="2"/>
      <c r="L811" s="2"/>
      <c r="M811" s="2"/>
      <c r="N811" s="2"/>
      <c r="O811" s="2"/>
      <c r="P811" s="2"/>
      <c r="Q811" s="2"/>
      <c r="R811" s="2"/>
      <c r="S811" s="2"/>
      <c r="T811" s="2"/>
      <c r="U811" s="2"/>
      <c r="V811" s="2"/>
    </row>
    <row r="812" spans="4:22" ht="14.25" customHeight="1">
      <c r="D812" s="2"/>
      <c r="E812" s="2"/>
      <c r="F812" s="2"/>
      <c r="G812" s="2"/>
      <c r="H812" s="2"/>
      <c r="I812" s="2"/>
      <c r="J812" s="2"/>
      <c r="K812" s="2"/>
      <c r="L812" s="2"/>
      <c r="M812" s="2"/>
      <c r="N812" s="2"/>
      <c r="O812" s="2"/>
      <c r="P812" s="2"/>
      <c r="Q812" s="2"/>
      <c r="R812" s="2"/>
      <c r="S812" s="2"/>
      <c r="T812" s="2"/>
      <c r="U812" s="2"/>
      <c r="V812" s="2"/>
    </row>
    <row r="813" spans="4:22" ht="14.25" customHeight="1">
      <c r="D813" s="2"/>
      <c r="E813" s="2"/>
      <c r="F813" s="2"/>
      <c r="G813" s="2"/>
      <c r="H813" s="2"/>
      <c r="I813" s="2"/>
      <c r="J813" s="2"/>
      <c r="K813" s="2"/>
      <c r="L813" s="2"/>
      <c r="M813" s="2"/>
      <c r="N813" s="2"/>
      <c r="O813" s="2"/>
      <c r="P813" s="2"/>
      <c r="Q813" s="2"/>
      <c r="R813" s="2"/>
      <c r="S813" s="2"/>
      <c r="T813" s="2"/>
      <c r="U813" s="2"/>
      <c r="V813" s="2"/>
    </row>
    <row r="814" spans="4:22" ht="14.25" customHeight="1">
      <c r="D814" s="2"/>
      <c r="E814" s="2"/>
      <c r="F814" s="2"/>
      <c r="G814" s="2"/>
      <c r="H814" s="2"/>
      <c r="I814" s="2"/>
      <c r="J814" s="2"/>
      <c r="K814" s="2"/>
      <c r="L814" s="2"/>
      <c r="M814" s="2"/>
      <c r="N814" s="2"/>
      <c r="O814" s="2"/>
      <c r="P814" s="2"/>
      <c r="Q814" s="2"/>
      <c r="R814" s="2"/>
      <c r="S814" s="2"/>
      <c r="T814" s="2"/>
      <c r="U814" s="2"/>
      <c r="V814" s="2"/>
    </row>
    <row r="815" spans="4:22" ht="14.25" customHeight="1">
      <c r="D815" s="2"/>
      <c r="E815" s="2"/>
      <c r="F815" s="2"/>
      <c r="G815" s="2"/>
      <c r="H815" s="2"/>
      <c r="I815" s="2"/>
      <c r="J815" s="2"/>
      <c r="K815" s="2"/>
      <c r="L815" s="2"/>
      <c r="M815" s="2"/>
      <c r="N815" s="2"/>
      <c r="O815" s="2"/>
      <c r="P815" s="2"/>
      <c r="Q815" s="2"/>
      <c r="R815" s="2"/>
      <c r="S815" s="2"/>
      <c r="T815" s="2"/>
      <c r="U815" s="2"/>
      <c r="V815" s="2"/>
    </row>
    <row r="816" spans="4:22" ht="14.25" customHeight="1">
      <c r="D816" s="2"/>
      <c r="E816" s="2"/>
      <c r="F816" s="2"/>
      <c r="G816" s="2"/>
      <c r="H816" s="2"/>
      <c r="I816" s="2"/>
      <c r="J816" s="2"/>
      <c r="K816" s="2"/>
      <c r="L816" s="2"/>
      <c r="M816" s="2"/>
      <c r="N816" s="2"/>
      <c r="O816" s="2"/>
      <c r="P816" s="2"/>
      <c r="Q816" s="2"/>
      <c r="R816" s="2"/>
      <c r="S816" s="2"/>
      <c r="T816" s="2"/>
      <c r="U816" s="2"/>
      <c r="V816" s="2"/>
    </row>
    <row r="817" spans="4:22" ht="14.25" customHeight="1">
      <c r="D817" s="2"/>
      <c r="E817" s="2"/>
      <c r="F817" s="2"/>
      <c r="G817" s="2"/>
      <c r="H817" s="2"/>
      <c r="I817" s="2"/>
      <c r="J817" s="2"/>
      <c r="K817" s="2"/>
      <c r="L817" s="2"/>
      <c r="M817" s="2"/>
      <c r="N817" s="2"/>
      <c r="O817" s="2"/>
      <c r="P817" s="2"/>
      <c r="Q817" s="2"/>
      <c r="R817" s="2"/>
      <c r="S817" s="2"/>
      <c r="T817" s="2"/>
      <c r="U817" s="2"/>
      <c r="V817" s="2"/>
    </row>
    <row r="818" spans="4:22" ht="14.25" customHeight="1">
      <c r="D818" s="2"/>
      <c r="E818" s="2"/>
      <c r="F818" s="2"/>
      <c r="G818" s="2"/>
      <c r="H818" s="2"/>
      <c r="I818" s="2"/>
      <c r="J818" s="2"/>
      <c r="K818" s="2"/>
      <c r="L818" s="2"/>
      <c r="M818" s="2"/>
      <c r="N818" s="2"/>
      <c r="O818" s="2"/>
      <c r="P818" s="2"/>
      <c r="Q818" s="2"/>
      <c r="R818" s="2"/>
      <c r="S818" s="2"/>
      <c r="T818" s="2"/>
      <c r="U818" s="2"/>
      <c r="V818" s="2"/>
    </row>
    <row r="819" spans="4:22" ht="14.25" customHeight="1">
      <c r="D819" s="2"/>
      <c r="E819" s="2"/>
      <c r="F819" s="2"/>
      <c r="G819" s="2"/>
      <c r="H819" s="2"/>
      <c r="I819" s="2"/>
      <c r="J819" s="2"/>
      <c r="K819" s="2"/>
      <c r="L819" s="2"/>
      <c r="M819" s="2"/>
      <c r="N819" s="2"/>
      <c r="O819" s="2"/>
      <c r="P819" s="2"/>
      <c r="Q819" s="2"/>
      <c r="R819" s="2"/>
      <c r="S819" s="2"/>
      <c r="T819" s="2"/>
      <c r="U819" s="2"/>
      <c r="V819" s="2"/>
    </row>
    <row r="820" spans="4:22" ht="14.25" customHeight="1">
      <c r="D820" s="2"/>
      <c r="E820" s="2"/>
      <c r="F820" s="2"/>
      <c r="G820" s="2"/>
      <c r="H820" s="2"/>
      <c r="I820" s="2"/>
      <c r="J820" s="2"/>
      <c r="K820" s="2"/>
      <c r="L820" s="2"/>
      <c r="M820" s="2"/>
      <c r="N820" s="2"/>
      <c r="O820" s="2"/>
      <c r="P820" s="2"/>
      <c r="Q820" s="2"/>
      <c r="R820" s="2"/>
      <c r="S820" s="2"/>
      <c r="T820" s="2"/>
      <c r="U820" s="2"/>
      <c r="V820" s="2"/>
    </row>
    <row r="821" spans="4:22" ht="14.25" customHeight="1">
      <c r="D821" s="2"/>
      <c r="E821" s="2"/>
      <c r="F821" s="2"/>
      <c r="G821" s="2"/>
      <c r="H821" s="2"/>
      <c r="I821" s="2"/>
      <c r="J821" s="2"/>
      <c r="K821" s="2"/>
      <c r="L821" s="2"/>
      <c r="M821" s="2"/>
      <c r="N821" s="2"/>
      <c r="O821" s="2"/>
      <c r="P821" s="2"/>
      <c r="Q821" s="2"/>
      <c r="R821" s="2"/>
      <c r="S821" s="2"/>
      <c r="T821" s="2"/>
      <c r="U821" s="2"/>
      <c r="V821" s="2"/>
    </row>
    <row r="822" spans="4:22" ht="14.25" customHeight="1">
      <c r="D822" s="2"/>
      <c r="E822" s="2"/>
      <c r="F822" s="2"/>
      <c r="G822" s="2"/>
      <c r="H822" s="2"/>
      <c r="I822" s="2"/>
      <c r="J822" s="2"/>
      <c r="K822" s="2"/>
      <c r="L822" s="2"/>
      <c r="M822" s="2"/>
      <c r="N822" s="2"/>
      <c r="O822" s="2"/>
      <c r="P822" s="2"/>
      <c r="Q822" s="2"/>
      <c r="R822" s="2"/>
      <c r="S822" s="2"/>
      <c r="T822" s="2"/>
      <c r="U822" s="2"/>
      <c r="V822" s="2"/>
    </row>
    <row r="823" spans="4:22" ht="14.25" customHeight="1">
      <c r="D823" s="2"/>
      <c r="E823" s="2"/>
      <c r="F823" s="2"/>
      <c r="G823" s="2"/>
      <c r="H823" s="2"/>
      <c r="I823" s="2"/>
      <c r="J823" s="2"/>
      <c r="K823" s="2"/>
      <c r="L823" s="2"/>
      <c r="M823" s="2"/>
      <c r="N823" s="2"/>
      <c r="O823" s="2"/>
      <c r="P823" s="2"/>
      <c r="Q823" s="2"/>
      <c r="R823" s="2"/>
      <c r="S823" s="2"/>
      <c r="T823" s="2"/>
      <c r="U823" s="2"/>
      <c r="V823" s="2"/>
    </row>
    <row r="824" spans="4:22" ht="14.25" customHeight="1">
      <c r="D824" s="2"/>
      <c r="E824" s="2"/>
      <c r="F824" s="2"/>
      <c r="G824" s="2"/>
      <c r="H824" s="2"/>
      <c r="I824" s="2"/>
      <c r="J824" s="2"/>
      <c r="K824" s="2"/>
      <c r="L824" s="2"/>
      <c r="M824" s="2"/>
      <c r="N824" s="2"/>
      <c r="O824" s="2"/>
      <c r="P824" s="2"/>
      <c r="Q824" s="2"/>
      <c r="R824" s="2"/>
      <c r="S824" s="2"/>
      <c r="T824" s="2"/>
      <c r="U824" s="2"/>
      <c r="V824" s="2"/>
    </row>
    <row r="825" spans="4:22" ht="14.25" customHeight="1">
      <c r="D825" s="2"/>
      <c r="E825" s="2"/>
      <c r="F825" s="2"/>
      <c r="G825" s="2"/>
      <c r="H825" s="2"/>
      <c r="I825" s="2"/>
      <c r="J825" s="2"/>
      <c r="K825" s="2"/>
      <c r="L825" s="2"/>
      <c r="M825" s="2"/>
      <c r="N825" s="2"/>
      <c r="O825" s="2"/>
      <c r="P825" s="2"/>
      <c r="Q825" s="2"/>
      <c r="R825" s="2"/>
      <c r="S825" s="2"/>
      <c r="T825" s="2"/>
      <c r="U825" s="2"/>
      <c r="V825" s="2"/>
    </row>
    <row r="826" spans="4:22" ht="14.25" customHeight="1">
      <c r="D826" s="2"/>
      <c r="E826" s="2"/>
      <c r="F826" s="2"/>
      <c r="G826" s="2"/>
      <c r="H826" s="2"/>
      <c r="I826" s="2"/>
      <c r="J826" s="2"/>
      <c r="K826" s="2"/>
      <c r="L826" s="2"/>
      <c r="M826" s="2"/>
      <c r="N826" s="2"/>
      <c r="O826" s="2"/>
      <c r="P826" s="2"/>
      <c r="Q826" s="2"/>
      <c r="R826" s="2"/>
      <c r="S826" s="2"/>
      <c r="T826" s="2"/>
      <c r="U826" s="2"/>
      <c r="V826" s="2"/>
    </row>
    <row r="827" spans="4:22" ht="14.25" customHeight="1">
      <c r="D827" s="2"/>
      <c r="E827" s="2"/>
      <c r="F827" s="2"/>
      <c r="G827" s="2"/>
      <c r="H827" s="2"/>
      <c r="I827" s="2"/>
      <c r="J827" s="2"/>
      <c r="K827" s="2"/>
      <c r="L827" s="2"/>
      <c r="M827" s="2"/>
      <c r="N827" s="2"/>
      <c r="O827" s="2"/>
      <c r="P827" s="2"/>
      <c r="Q827" s="2"/>
      <c r="R827" s="2"/>
      <c r="S827" s="2"/>
      <c r="T827" s="2"/>
      <c r="U827" s="2"/>
      <c r="V827" s="2"/>
    </row>
    <row r="828" spans="4:22" ht="14.25" customHeight="1">
      <c r="D828" s="2"/>
      <c r="E828" s="2"/>
      <c r="F828" s="2"/>
      <c r="G828" s="2"/>
      <c r="H828" s="2"/>
      <c r="I828" s="2"/>
      <c r="J828" s="2"/>
      <c r="K828" s="2"/>
      <c r="L828" s="2"/>
      <c r="M828" s="2"/>
      <c r="N828" s="2"/>
      <c r="O828" s="2"/>
      <c r="P828" s="2"/>
      <c r="Q828" s="2"/>
      <c r="R828" s="2"/>
      <c r="S828" s="2"/>
      <c r="T828" s="2"/>
      <c r="U828" s="2"/>
      <c r="V828" s="2"/>
    </row>
    <row r="829" spans="4:22" ht="14.25" customHeight="1">
      <c r="D829" s="2"/>
      <c r="E829" s="2"/>
      <c r="F829" s="2"/>
      <c r="G829" s="2"/>
      <c r="H829" s="2"/>
      <c r="I829" s="2"/>
      <c r="J829" s="2"/>
      <c r="K829" s="2"/>
      <c r="L829" s="2"/>
      <c r="M829" s="2"/>
      <c r="N829" s="2"/>
      <c r="O829" s="2"/>
      <c r="P829" s="2"/>
      <c r="Q829" s="2"/>
      <c r="R829" s="2"/>
      <c r="S829" s="2"/>
      <c r="T829" s="2"/>
      <c r="U829" s="2"/>
      <c r="V829" s="2"/>
    </row>
    <row r="830" spans="4:22" ht="14.25" customHeight="1">
      <c r="D830" s="2"/>
      <c r="E830" s="2"/>
      <c r="F830" s="2"/>
      <c r="G830" s="2"/>
      <c r="H830" s="2"/>
      <c r="I830" s="2"/>
      <c r="J830" s="2"/>
      <c r="K830" s="2"/>
      <c r="L830" s="2"/>
      <c r="M830" s="2"/>
      <c r="N830" s="2"/>
      <c r="O830" s="2"/>
      <c r="P830" s="2"/>
      <c r="Q830" s="2"/>
      <c r="R830" s="2"/>
      <c r="S830" s="2"/>
      <c r="T830" s="2"/>
      <c r="U830" s="2"/>
      <c r="V830" s="2"/>
    </row>
    <row r="831" spans="4:22" ht="14.25" customHeight="1">
      <c r="D831" s="2"/>
      <c r="E831" s="2"/>
      <c r="F831" s="2"/>
      <c r="G831" s="2"/>
      <c r="H831" s="2"/>
      <c r="I831" s="2"/>
      <c r="J831" s="2"/>
      <c r="K831" s="2"/>
      <c r="L831" s="2"/>
      <c r="M831" s="2"/>
      <c r="N831" s="2"/>
      <c r="O831" s="2"/>
      <c r="P831" s="2"/>
      <c r="Q831" s="2"/>
      <c r="R831" s="2"/>
      <c r="S831" s="2"/>
      <c r="T831" s="2"/>
      <c r="U831" s="2"/>
      <c r="V831" s="2"/>
    </row>
    <row r="832" spans="4:22" ht="14.25" customHeight="1">
      <c r="D832" s="2"/>
      <c r="E832" s="2"/>
      <c r="F832" s="2"/>
      <c r="G832" s="2"/>
      <c r="H832" s="2"/>
      <c r="I832" s="2"/>
      <c r="J832" s="2"/>
      <c r="K832" s="2"/>
      <c r="L832" s="2"/>
      <c r="M832" s="2"/>
      <c r="N832" s="2"/>
      <c r="O832" s="2"/>
      <c r="P832" s="2"/>
      <c r="Q832" s="2"/>
      <c r="R832" s="2"/>
      <c r="S832" s="2"/>
      <c r="T832" s="2"/>
      <c r="U832" s="2"/>
      <c r="V832" s="2"/>
    </row>
    <row r="833" spans="4:22" ht="14.25" customHeight="1">
      <c r="D833" s="2"/>
      <c r="E833" s="2"/>
      <c r="F833" s="2"/>
      <c r="G833" s="2"/>
      <c r="H833" s="2"/>
      <c r="I833" s="2"/>
      <c r="J833" s="2"/>
      <c r="K833" s="2"/>
      <c r="L833" s="2"/>
      <c r="M833" s="2"/>
      <c r="N833" s="2"/>
      <c r="O833" s="2"/>
      <c r="P833" s="2"/>
      <c r="Q833" s="2"/>
      <c r="R833" s="2"/>
      <c r="S833" s="2"/>
      <c r="T833" s="2"/>
      <c r="U833" s="2"/>
      <c r="V833" s="2"/>
    </row>
    <row r="834" spans="4:22" ht="14.25" customHeight="1">
      <c r="D834" s="2"/>
      <c r="E834" s="2"/>
      <c r="F834" s="2"/>
      <c r="G834" s="2"/>
      <c r="H834" s="2"/>
      <c r="I834" s="2"/>
      <c r="J834" s="2"/>
      <c r="K834" s="2"/>
      <c r="L834" s="2"/>
      <c r="M834" s="2"/>
      <c r="N834" s="2"/>
      <c r="O834" s="2"/>
      <c r="P834" s="2"/>
      <c r="Q834" s="2"/>
      <c r="R834" s="2"/>
      <c r="S834" s="2"/>
      <c r="T834" s="2"/>
      <c r="U834" s="2"/>
      <c r="V834" s="2"/>
    </row>
    <row r="835" spans="4:22" ht="14.25" customHeight="1">
      <c r="D835" s="2"/>
      <c r="E835" s="2"/>
      <c r="F835" s="2"/>
      <c r="G835" s="2"/>
      <c r="H835" s="2"/>
      <c r="I835" s="2"/>
      <c r="J835" s="2"/>
      <c r="K835" s="2"/>
      <c r="L835" s="2"/>
      <c r="M835" s="2"/>
      <c r="N835" s="2"/>
      <c r="O835" s="2"/>
      <c r="P835" s="2"/>
      <c r="Q835" s="2"/>
      <c r="R835" s="2"/>
      <c r="S835" s="2"/>
      <c r="T835" s="2"/>
      <c r="U835" s="2"/>
      <c r="V835" s="2"/>
    </row>
    <row r="836" spans="4:22" ht="14.25" customHeight="1">
      <c r="D836" s="2"/>
      <c r="E836" s="2"/>
      <c r="F836" s="2"/>
      <c r="G836" s="2"/>
      <c r="H836" s="2"/>
      <c r="I836" s="2"/>
      <c r="J836" s="2"/>
      <c r="K836" s="2"/>
      <c r="L836" s="2"/>
      <c r="M836" s="2"/>
      <c r="N836" s="2"/>
      <c r="O836" s="2"/>
      <c r="P836" s="2"/>
      <c r="Q836" s="2"/>
      <c r="R836" s="2"/>
      <c r="S836" s="2"/>
      <c r="T836" s="2"/>
      <c r="U836" s="2"/>
      <c r="V836" s="2"/>
    </row>
    <row r="837" spans="4:22" ht="14.25" customHeight="1">
      <c r="D837" s="2"/>
      <c r="E837" s="2"/>
      <c r="F837" s="2"/>
      <c r="G837" s="2"/>
      <c r="H837" s="2"/>
      <c r="I837" s="2"/>
      <c r="J837" s="2"/>
      <c r="K837" s="2"/>
      <c r="L837" s="2"/>
      <c r="M837" s="2"/>
      <c r="N837" s="2"/>
      <c r="O837" s="2"/>
      <c r="P837" s="2"/>
      <c r="Q837" s="2"/>
      <c r="R837" s="2"/>
      <c r="S837" s="2"/>
      <c r="T837" s="2"/>
      <c r="U837" s="2"/>
      <c r="V837" s="2"/>
    </row>
    <row r="838" spans="4:22" ht="14.25" customHeight="1">
      <c r="D838" s="2"/>
      <c r="E838" s="2"/>
      <c r="F838" s="2"/>
      <c r="G838" s="2"/>
      <c r="H838" s="2"/>
      <c r="I838" s="2"/>
      <c r="J838" s="2"/>
      <c r="K838" s="2"/>
      <c r="L838" s="2"/>
      <c r="M838" s="2"/>
      <c r="N838" s="2"/>
      <c r="O838" s="2"/>
      <c r="P838" s="2"/>
      <c r="Q838" s="2"/>
      <c r="R838" s="2"/>
      <c r="S838" s="2"/>
      <c r="T838" s="2"/>
      <c r="U838" s="2"/>
      <c r="V838" s="2"/>
    </row>
    <row r="839" spans="4:22" ht="14.25" customHeight="1">
      <c r="D839" s="2"/>
      <c r="E839" s="2"/>
      <c r="F839" s="2"/>
      <c r="G839" s="2"/>
      <c r="H839" s="2"/>
      <c r="I839" s="2"/>
      <c r="J839" s="2"/>
      <c r="K839" s="2"/>
      <c r="L839" s="2"/>
      <c r="M839" s="2"/>
      <c r="N839" s="2"/>
      <c r="O839" s="2"/>
      <c r="P839" s="2"/>
      <c r="Q839" s="2"/>
      <c r="R839" s="2"/>
      <c r="S839" s="2"/>
      <c r="T839" s="2"/>
      <c r="U839" s="2"/>
      <c r="V839" s="2"/>
    </row>
    <row r="840" spans="4:22" ht="14.25" customHeight="1">
      <c r="D840" s="2"/>
      <c r="E840" s="2"/>
      <c r="F840" s="2"/>
      <c r="G840" s="2"/>
      <c r="H840" s="2"/>
      <c r="I840" s="2"/>
      <c r="J840" s="2"/>
      <c r="K840" s="2"/>
      <c r="L840" s="2"/>
      <c r="M840" s="2"/>
      <c r="N840" s="2"/>
      <c r="O840" s="2"/>
      <c r="P840" s="2"/>
      <c r="Q840" s="2"/>
      <c r="R840" s="2"/>
      <c r="S840" s="2"/>
      <c r="T840" s="2"/>
      <c r="U840" s="2"/>
      <c r="V840" s="2"/>
    </row>
    <row r="841" spans="4:22" ht="14.25" customHeight="1">
      <c r="D841" s="2"/>
      <c r="E841" s="2"/>
      <c r="F841" s="2"/>
      <c r="G841" s="2"/>
      <c r="H841" s="2"/>
      <c r="I841" s="2"/>
      <c r="J841" s="2"/>
      <c r="K841" s="2"/>
      <c r="L841" s="2"/>
      <c r="M841" s="2"/>
      <c r="N841" s="2"/>
      <c r="O841" s="2"/>
      <c r="P841" s="2"/>
      <c r="Q841" s="2"/>
      <c r="R841" s="2"/>
      <c r="S841" s="2"/>
      <c r="T841" s="2"/>
      <c r="U841" s="2"/>
      <c r="V841" s="2"/>
    </row>
    <row r="842" spans="4:22" ht="14.25" customHeight="1">
      <c r="D842" s="2"/>
      <c r="E842" s="2"/>
      <c r="F842" s="2"/>
      <c r="G842" s="2"/>
      <c r="H842" s="2"/>
      <c r="I842" s="2"/>
      <c r="J842" s="2"/>
      <c r="K842" s="2"/>
      <c r="L842" s="2"/>
      <c r="M842" s="2"/>
      <c r="N842" s="2"/>
      <c r="O842" s="2"/>
      <c r="P842" s="2"/>
      <c r="Q842" s="2"/>
      <c r="R842" s="2"/>
      <c r="S842" s="2"/>
      <c r="T842" s="2"/>
      <c r="U842" s="2"/>
      <c r="V842" s="2"/>
    </row>
    <row r="843" spans="4:22" ht="14.25" customHeight="1">
      <c r="D843" s="2"/>
      <c r="E843" s="2"/>
      <c r="F843" s="2"/>
      <c r="G843" s="2"/>
      <c r="H843" s="2"/>
      <c r="I843" s="2"/>
      <c r="J843" s="2"/>
      <c r="K843" s="2"/>
      <c r="L843" s="2"/>
      <c r="M843" s="2"/>
      <c r="N843" s="2"/>
      <c r="O843" s="2"/>
      <c r="P843" s="2"/>
      <c r="Q843" s="2"/>
      <c r="R843" s="2"/>
      <c r="S843" s="2"/>
      <c r="T843" s="2"/>
      <c r="U843" s="2"/>
      <c r="V843" s="2"/>
    </row>
    <row r="844" spans="4:22" ht="14.25" customHeight="1">
      <c r="D844" s="2"/>
      <c r="E844" s="2"/>
      <c r="F844" s="2"/>
      <c r="G844" s="2"/>
      <c r="H844" s="2"/>
      <c r="I844" s="2"/>
      <c r="J844" s="2"/>
      <c r="K844" s="2"/>
      <c r="L844" s="2"/>
      <c r="M844" s="2"/>
      <c r="N844" s="2"/>
      <c r="O844" s="2"/>
      <c r="P844" s="2"/>
      <c r="Q844" s="2"/>
      <c r="R844" s="2"/>
      <c r="S844" s="2"/>
      <c r="T844" s="2"/>
      <c r="U844" s="2"/>
      <c r="V844" s="2"/>
    </row>
    <row r="845" spans="4:22" ht="14.25" customHeight="1">
      <c r="D845" s="2"/>
      <c r="E845" s="2"/>
      <c r="F845" s="2"/>
      <c r="G845" s="2"/>
      <c r="H845" s="2"/>
      <c r="I845" s="2"/>
      <c r="J845" s="2"/>
      <c r="K845" s="2"/>
      <c r="L845" s="2"/>
      <c r="M845" s="2"/>
      <c r="N845" s="2"/>
      <c r="O845" s="2"/>
      <c r="P845" s="2"/>
      <c r="Q845" s="2"/>
      <c r="R845" s="2"/>
      <c r="S845" s="2"/>
      <c r="T845" s="2"/>
      <c r="U845" s="2"/>
      <c r="V845" s="2"/>
    </row>
    <row r="846" spans="4:22" ht="14.25" customHeight="1">
      <c r="D846" s="2"/>
      <c r="E846" s="2"/>
      <c r="F846" s="2"/>
      <c r="G846" s="2"/>
      <c r="H846" s="2"/>
      <c r="I846" s="2"/>
      <c r="J846" s="2"/>
      <c r="K846" s="2"/>
      <c r="L846" s="2"/>
      <c r="M846" s="2"/>
      <c r="N846" s="2"/>
      <c r="O846" s="2"/>
      <c r="P846" s="2"/>
      <c r="Q846" s="2"/>
      <c r="R846" s="2"/>
      <c r="S846" s="2"/>
      <c r="T846" s="2"/>
      <c r="U846" s="2"/>
      <c r="V846" s="2"/>
    </row>
    <row r="847" spans="4:22" ht="14.25" customHeight="1">
      <c r="D847" s="2"/>
      <c r="E847" s="2"/>
      <c r="F847" s="2"/>
      <c r="G847" s="2"/>
      <c r="H847" s="2"/>
      <c r="I847" s="2"/>
      <c r="J847" s="2"/>
      <c r="K847" s="2"/>
      <c r="L847" s="2"/>
      <c r="M847" s="2"/>
      <c r="N847" s="2"/>
      <c r="O847" s="2"/>
      <c r="P847" s="2"/>
      <c r="Q847" s="2"/>
      <c r="R847" s="2"/>
      <c r="S847" s="2"/>
      <c r="T847" s="2"/>
      <c r="U847" s="2"/>
      <c r="V847" s="2"/>
    </row>
    <row r="848" spans="4:22" ht="14.25" customHeight="1">
      <c r="D848" s="2"/>
      <c r="E848" s="2"/>
      <c r="F848" s="2"/>
      <c r="G848" s="2"/>
      <c r="H848" s="2"/>
      <c r="I848" s="2"/>
      <c r="J848" s="2"/>
      <c r="K848" s="2"/>
      <c r="L848" s="2"/>
      <c r="M848" s="2"/>
      <c r="N848" s="2"/>
      <c r="O848" s="2"/>
      <c r="P848" s="2"/>
      <c r="Q848" s="2"/>
      <c r="R848" s="2"/>
      <c r="S848" s="2"/>
      <c r="T848" s="2"/>
      <c r="U848" s="2"/>
      <c r="V848" s="2"/>
    </row>
    <row r="849" spans="4:22" ht="14.25" customHeight="1">
      <c r="D849" s="2"/>
      <c r="E849" s="2"/>
      <c r="F849" s="2"/>
      <c r="G849" s="2"/>
      <c r="H849" s="2"/>
      <c r="I849" s="2"/>
      <c r="J849" s="2"/>
      <c r="K849" s="2"/>
      <c r="L849" s="2"/>
      <c r="M849" s="2"/>
      <c r="N849" s="2"/>
      <c r="O849" s="2"/>
      <c r="P849" s="2"/>
      <c r="Q849" s="2"/>
      <c r="R849" s="2"/>
      <c r="S849" s="2"/>
      <c r="T849" s="2"/>
      <c r="U849" s="2"/>
      <c r="V849" s="2"/>
    </row>
    <row r="850" spans="4:22" ht="14.25" customHeight="1">
      <c r="D850" s="2"/>
      <c r="E850" s="2"/>
      <c r="F850" s="2"/>
      <c r="G850" s="2"/>
      <c r="H850" s="2"/>
      <c r="I850" s="2"/>
      <c r="J850" s="2"/>
      <c r="K850" s="2"/>
      <c r="L850" s="2"/>
      <c r="M850" s="2"/>
      <c r="N850" s="2"/>
      <c r="O850" s="2"/>
      <c r="P850" s="2"/>
      <c r="Q850" s="2"/>
      <c r="R850" s="2"/>
      <c r="S850" s="2"/>
      <c r="T850" s="2"/>
      <c r="U850" s="2"/>
      <c r="V850" s="2"/>
    </row>
    <row r="851" spans="4:22" ht="14.25" customHeight="1">
      <c r="D851" s="2"/>
      <c r="E851" s="2"/>
      <c r="F851" s="2"/>
      <c r="G851" s="2"/>
      <c r="H851" s="2"/>
      <c r="I851" s="2"/>
      <c r="J851" s="2"/>
      <c r="K851" s="2"/>
      <c r="L851" s="2"/>
      <c r="M851" s="2"/>
      <c r="N851" s="2"/>
      <c r="O851" s="2"/>
      <c r="P851" s="2"/>
      <c r="Q851" s="2"/>
      <c r="R851" s="2"/>
      <c r="S851" s="2"/>
      <c r="T851" s="2"/>
      <c r="U851" s="2"/>
      <c r="V851" s="2"/>
    </row>
    <row r="852" spans="4:22" ht="14.25" customHeight="1">
      <c r="D852" s="2"/>
      <c r="E852" s="2"/>
      <c r="F852" s="2"/>
      <c r="G852" s="2"/>
      <c r="H852" s="2"/>
      <c r="I852" s="2"/>
      <c r="J852" s="2"/>
      <c r="K852" s="2"/>
      <c r="L852" s="2"/>
      <c r="M852" s="2"/>
      <c r="N852" s="2"/>
      <c r="O852" s="2"/>
      <c r="P852" s="2"/>
      <c r="Q852" s="2"/>
      <c r="R852" s="2"/>
      <c r="S852" s="2"/>
      <c r="T852" s="2"/>
      <c r="U852" s="2"/>
      <c r="V852" s="2"/>
    </row>
    <row r="853" spans="4:22" ht="14.25" customHeight="1">
      <c r="D853" s="2"/>
      <c r="E853" s="2"/>
      <c r="F853" s="2"/>
      <c r="G853" s="2"/>
      <c r="H853" s="2"/>
      <c r="I853" s="2"/>
      <c r="J853" s="2"/>
      <c r="K853" s="2"/>
      <c r="L853" s="2"/>
      <c r="M853" s="2"/>
      <c r="N853" s="2"/>
      <c r="O853" s="2"/>
      <c r="P853" s="2"/>
      <c r="Q853" s="2"/>
      <c r="R853" s="2"/>
      <c r="S853" s="2"/>
      <c r="T853" s="2"/>
      <c r="U853" s="2"/>
      <c r="V853" s="2"/>
    </row>
    <row r="854" spans="4:22" ht="14.25" customHeight="1">
      <c r="D854" s="2"/>
      <c r="E854" s="2"/>
      <c r="F854" s="2"/>
      <c r="G854" s="2"/>
      <c r="H854" s="2"/>
      <c r="I854" s="2"/>
      <c r="J854" s="2"/>
      <c r="K854" s="2"/>
      <c r="L854" s="2"/>
      <c r="M854" s="2"/>
      <c r="N854" s="2"/>
      <c r="O854" s="2"/>
      <c r="P854" s="2"/>
      <c r="Q854" s="2"/>
      <c r="R854" s="2"/>
      <c r="S854" s="2"/>
      <c r="T854" s="2"/>
      <c r="U854" s="2"/>
      <c r="V854" s="2"/>
    </row>
    <row r="855" spans="4:22" ht="14.25" customHeight="1">
      <c r="D855" s="2"/>
      <c r="E855" s="2"/>
      <c r="F855" s="2"/>
      <c r="G855" s="2"/>
      <c r="H855" s="2"/>
      <c r="I855" s="2"/>
      <c r="J855" s="2"/>
      <c r="K855" s="2"/>
      <c r="L855" s="2"/>
      <c r="M855" s="2"/>
      <c r="N855" s="2"/>
      <c r="O855" s="2"/>
      <c r="P855" s="2"/>
      <c r="Q855" s="2"/>
      <c r="R855" s="2"/>
      <c r="S855" s="2"/>
      <c r="T855" s="2"/>
      <c r="U855" s="2"/>
      <c r="V855" s="2"/>
    </row>
    <row r="856" spans="4:22" ht="14.25" customHeight="1">
      <c r="D856" s="2"/>
      <c r="E856" s="2"/>
      <c r="F856" s="2"/>
      <c r="G856" s="2"/>
      <c r="H856" s="2"/>
      <c r="I856" s="2"/>
      <c r="J856" s="2"/>
      <c r="K856" s="2"/>
      <c r="L856" s="2"/>
      <c r="M856" s="2"/>
      <c r="N856" s="2"/>
      <c r="O856" s="2"/>
      <c r="P856" s="2"/>
      <c r="Q856" s="2"/>
      <c r="R856" s="2"/>
      <c r="S856" s="2"/>
      <c r="T856" s="2"/>
      <c r="U856" s="2"/>
      <c r="V856" s="2"/>
    </row>
    <row r="857" spans="4:22" ht="14.25" customHeight="1">
      <c r="D857" s="2"/>
      <c r="E857" s="2"/>
      <c r="F857" s="2"/>
      <c r="G857" s="2"/>
      <c r="H857" s="2"/>
      <c r="I857" s="2"/>
      <c r="J857" s="2"/>
      <c r="K857" s="2"/>
      <c r="L857" s="2"/>
      <c r="M857" s="2"/>
      <c r="N857" s="2"/>
      <c r="O857" s="2"/>
      <c r="P857" s="2"/>
      <c r="Q857" s="2"/>
      <c r="R857" s="2"/>
      <c r="S857" s="2"/>
      <c r="T857" s="2"/>
      <c r="U857" s="2"/>
      <c r="V857" s="2"/>
    </row>
    <row r="858" spans="4:22" ht="14.25" customHeight="1">
      <c r="D858" s="2"/>
      <c r="E858" s="2"/>
      <c r="F858" s="2"/>
      <c r="G858" s="2"/>
      <c r="H858" s="2"/>
      <c r="I858" s="2"/>
      <c r="J858" s="2"/>
      <c r="K858" s="2"/>
      <c r="L858" s="2"/>
      <c r="M858" s="2"/>
      <c r="N858" s="2"/>
      <c r="O858" s="2"/>
      <c r="P858" s="2"/>
      <c r="Q858" s="2"/>
      <c r="R858" s="2"/>
      <c r="S858" s="2"/>
      <c r="T858" s="2"/>
      <c r="U858" s="2"/>
      <c r="V858" s="2"/>
    </row>
    <row r="859" spans="4:22" ht="14.25" customHeight="1">
      <c r="D859" s="2"/>
      <c r="E859" s="2"/>
      <c r="F859" s="2"/>
      <c r="G859" s="2"/>
      <c r="H859" s="2"/>
      <c r="I859" s="2"/>
      <c r="J859" s="2"/>
      <c r="K859" s="2"/>
      <c r="L859" s="2"/>
      <c r="M859" s="2"/>
      <c r="N859" s="2"/>
      <c r="O859" s="2"/>
      <c r="P859" s="2"/>
      <c r="Q859" s="2"/>
      <c r="R859" s="2"/>
      <c r="S859" s="2"/>
      <c r="T859" s="2"/>
      <c r="U859" s="2"/>
      <c r="V859" s="2"/>
    </row>
    <row r="860" spans="4:22" ht="14.25" customHeight="1">
      <c r="D860" s="2"/>
      <c r="E860" s="2"/>
      <c r="F860" s="2"/>
      <c r="G860" s="2"/>
      <c r="H860" s="2"/>
      <c r="I860" s="2"/>
      <c r="J860" s="2"/>
      <c r="K860" s="2"/>
      <c r="L860" s="2"/>
      <c r="M860" s="2"/>
      <c r="N860" s="2"/>
      <c r="O860" s="2"/>
      <c r="P860" s="2"/>
      <c r="Q860" s="2"/>
      <c r="R860" s="2"/>
      <c r="S860" s="2"/>
      <c r="T860" s="2"/>
      <c r="U860" s="2"/>
      <c r="V860" s="2"/>
    </row>
    <row r="861" spans="4:22" ht="14.25" customHeight="1">
      <c r="D861" s="2"/>
      <c r="E861" s="2"/>
      <c r="F861" s="2"/>
      <c r="G861" s="2"/>
      <c r="H861" s="2"/>
      <c r="I861" s="2"/>
      <c r="J861" s="2"/>
      <c r="K861" s="2"/>
      <c r="L861" s="2"/>
      <c r="M861" s="2"/>
      <c r="N861" s="2"/>
      <c r="O861" s="2"/>
      <c r="P861" s="2"/>
      <c r="Q861" s="2"/>
      <c r="R861" s="2"/>
      <c r="S861" s="2"/>
      <c r="T861" s="2"/>
      <c r="U861" s="2"/>
      <c r="V861" s="2"/>
    </row>
    <row r="862" spans="4:22" ht="14.25" customHeight="1">
      <c r="D862" s="2"/>
      <c r="E862" s="2"/>
      <c r="F862" s="2"/>
      <c r="G862" s="2"/>
      <c r="H862" s="2"/>
      <c r="I862" s="2"/>
      <c r="J862" s="2"/>
      <c r="K862" s="2"/>
      <c r="L862" s="2"/>
      <c r="M862" s="2"/>
      <c r="N862" s="2"/>
      <c r="O862" s="2"/>
      <c r="P862" s="2"/>
      <c r="Q862" s="2"/>
      <c r="R862" s="2"/>
      <c r="S862" s="2"/>
      <c r="T862" s="2"/>
      <c r="U862" s="2"/>
      <c r="V862" s="2"/>
    </row>
    <row r="863" spans="4:22" ht="14.25" customHeight="1">
      <c r="D863" s="2"/>
      <c r="E863" s="2"/>
      <c r="F863" s="2"/>
      <c r="G863" s="2"/>
      <c r="H863" s="2"/>
      <c r="I863" s="2"/>
      <c r="J863" s="2"/>
      <c r="K863" s="2"/>
      <c r="L863" s="2"/>
      <c r="M863" s="2"/>
      <c r="N863" s="2"/>
      <c r="O863" s="2"/>
      <c r="P863" s="2"/>
      <c r="Q863" s="2"/>
      <c r="R863" s="2"/>
      <c r="S863" s="2"/>
      <c r="T863" s="2"/>
      <c r="U863" s="2"/>
      <c r="V863" s="2"/>
    </row>
    <row r="864" spans="4:22" ht="14.25" customHeight="1">
      <c r="D864" s="2"/>
      <c r="E864" s="2"/>
      <c r="F864" s="2"/>
      <c r="G864" s="2"/>
      <c r="H864" s="2"/>
      <c r="I864" s="2"/>
      <c r="J864" s="2"/>
      <c r="K864" s="2"/>
      <c r="L864" s="2"/>
      <c r="M864" s="2"/>
      <c r="N864" s="2"/>
      <c r="O864" s="2"/>
      <c r="P864" s="2"/>
      <c r="Q864" s="2"/>
      <c r="R864" s="2"/>
      <c r="S864" s="2"/>
      <c r="T864" s="2"/>
      <c r="U864" s="2"/>
      <c r="V864" s="2"/>
    </row>
    <row r="865" spans="4:22" ht="14.25" customHeight="1">
      <c r="D865" s="2"/>
      <c r="E865" s="2"/>
      <c r="F865" s="2"/>
      <c r="G865" s="2"/>
      <c r="H865" s="2"/>
      <c r="I865" s="2"/>
      <c r="J865" s="2"/>
      <c r="K865" s="2"/>
      <c r="L865" s="2"/>
      <c r="M865" s="2"/>
      <c r="N865" s="2"/>
      <c r="O865" s="2"/>
      <c r="P865" s="2"/>
      <c r="Q865" s="2"/>
      <c r="R865" s="2"/>
      <c r="S865" s="2"/>
      <c r="T865" s="2"/>
      <c r="U865" s="2"/>
      <c r="V865" s="2"/>
    </row>
    <row r="866" spans="4:22" ht="14.25" customHeight="1">
      <c r="D866" s="2"/>
      <c r="E866" s="2"/>
      <c r="F866" s="2"/>
      <c r="G866" s="2"/>
      <c r="H866" s="2"/>
      <c r="I866" s="2"/>
      <c r="J866" s="2"/>
      <c r="K866" s="2"/>
      <c r="L866" s="2"/>
      <c r="M866" s="2"/>
      <c r="N866" s="2"/>
      <c r="O866" s="2"/>
      <c r="P866" s="2"/>
      <c r="Q866" s="2"/>
      <c r="R866" s="2"/>
      <c r="S866" s="2"/>
      <c r="T866" s="2"/>
      <c r="U866" s="2"/>
      <c r="V866" s="2"/>
    </row>
    <row r="867" spans="4:22" ht="14.25" customHeight="1">
      <c r="D867" s="2"/>
      <c r="E867" s="2"/>
      <c r="F867" s="2"/>
      <c r="G867" s="2"/>
      <c r="H867" s="2"/>
      <c r="I867" s="2"/>
      <c r="J867" s="2"/>
      <c r="K867" s="2"/>
      <c r="L867" s="2"/>
      <c r="M867" s="2"/>
      <c r="N867" s="2"/>
      <c r="O867" s="2"/>
      <c r="P867" s="2"/>
      <c r="Q867" s="2"/>
      <c r="R867" s="2"/>
      <c r="S867" s="2"/>
      <c r="T867" s="2"/>
      <c r="U867" s="2"/>
      <c r="V867" s="2"/>
    </row>
    <row r="868" spans="4:22" ht="14.25" customHeight="1">
      <c r="D868" s="2"/>
      <c r="E868" s="2"/>
      <c r="F868" s="2"/>
      <c r="G868" s="2"/>
      <c r="H868" s="2"/>
      <c r="I868" s="2"/>
      <c r="J868" s="2"/>
      <c r="K868" s="2"/>
      <c r="L868" s="2"/>
      <c r="M868" s="2"/>
      <c r="N868" s="2"/>
      <c r="O868" s="2"/>
      <c r="P868" s="2"/>
      <c r="Q868" s="2"/>
      <c r="R868" s="2"/>
      <c r="S868" s="2"/>
      <c r="T868" s="2"/>
      <c r="U868" s="2"/>
      <c r="V868" s="2"/>
    </row>
    <row r="869" spans="4:22" ht="14.25" customHeight="1">
      <c r="D869" s="2"/>
      <c r="E869" s="2"/>
      <c r="F869" s="2"/>
      <c r="G869" s="2"/>
      <c r="H869" s="2"/>
      <c r="I869" s="2"/>
      <c r="J869" s="2"/>
      <c r="K869" s="2"/>
      <c r="L869" s="2"/>
      <c r="M869" s="2"/>
      <c r="N869" s="2"/>
      <c r="O869" s="2"/>
      <c r="P869" s="2"/>
      <c r="Q869" s="2"/>
      <c r="R869" s="2"/>
      <c r="S869" s="2"/>
      <c r="T869" s="2"/>
      <c r="U869" s="2"/>
      <c r="V869" s="2"/>
    </row>
    <row r="870" spans="4:22" ht="14.25" customHeight="1">
      <c r="D870" s="2"/>
      <c r="E870" s="2"/>
      <c r="F870" s="2"/>
      <c r="G870" s="2"/>
      <c r="H870" s="2"/>
      <c r="I870" s="2"/>
      <c r="J870" s="2"/>
      <c r="K870" s="2"/>
      <c r="L870" s="2"/>
      <c r="M870" s="2"/>
      <c r="N870" s="2"/>
      <c r="O870" s="2"/>
      <c r="P870" s="2"/>
      <c r="Q870" s="2"/>
      <c r="R870" s="2"/>
      <c r="S870" s="2"/>
      <c r="T870" s="2"/>
      <c r="U870" s="2"/>
      <c r="V870" s="2"/>
    </row>
    <row r="871" spans="4:22" ht="14.25" customHeight="1">
      <c r="D871" s="2"/>
      <c r="E871" s="2"/>
      <c r="F871" s="2"/>
      <c r="G871" s="2"/>
      <c r="H871" s="2"/>
      <c r="I871" s="2"/>
      <c r="J871" s="2"/>
      <c r="K871" s="2"/>
      <c r="L871" s="2"/>
      <c r="M871" s="2"/>
      <c r="N871" s="2"/>
      <c r="O871" s="2"/>
      <c r="P871" s="2"/>
      <c r="Q871" s="2"/>
      <c r="R871" s="2"/>
      <c r="S871" s="2"/>
      <c r="T871" s="2"/>
      <c r="U871" s="2"/>
      <c r="V871" s="2"/>
    </row>
    <row r="872" spans="4:22" ht="14.25" customHeight="1">
      <c r="D872" s="2"/>
      <c r="E872" s="2"/>
      <c r="F872" s="2"/>
      <c r="G872" s="2"/>
      <c r="H872" s="2"/>
      <c r="I872" s="2"/>
      <c r="J872" s="2"/>
      <c r="K872" s="2"/>
      <c r="L872" s="2"/>
      <c r="M872" s="2"/>
      <c r="N872" s="2"/>
      <c r="O872" s="2"/>
      <c r="P872" s="2"/>
      <c r="Q872" s="2"/>
      <c r="R872" s="2"/>
      <c r="S872" s="2"/>
      <c r="T872" s="2"/>
      <c r="U872" s="2"/>
      <c r="V872" s="2"/>
    </row>
    <row r="873" spans="4:22" ht="14.25" customHeight="1">
      <c r="D873" s="2"/>
      <c r="E873" s="2"/>
      <c r="F873" s="2"/>
      <c r="G873" s="2"/>
      <c r="H873" s="2"/>
      <c r="I873" s="2"/>
      <c r="J873" s="2"/>
      <c r="K873" s="2"/>
      <c r="L873" s="2"/>
      <c r="M873" s="2"/>
      <c r="N873" s="2"/>
      <c r="O873" s="2"/>
      <c r="P873" s="2"/>
      <c r="Q873" s="2"/>
      <c r="R873" s="2"/>
      <c r="S873" s="2"/>
      <c r="T873" s="2"/>
      <c r="U873" s="2"/>
      <c r="V873" s="2"/>
    </row>
    <row r="874" spans="4:22" ht="14.25" customHeight="1">
      <c r="D874" s="2"/>
      <c r="E874" s="2"/>
      <c r="F874" s="2"/>
      <c r="G874" s="2"/>
      <c r="H874" s="2"/>
      <c r="I874" s="2"/>
      <c r="J874" s="2"/>
      <c r="K874" s="2"/>
      <c r="L874" s="2"/>
      <c r="M874" s="2"/>
      <c r="N874" s="2"/>
      <c r="O874" s="2"/>
      <c r="P874" s="2"/>
      <c r="Q874" s="2"/>
      <c r="R874" s="2"/>
      <c r="S874" s="2"/>
      <c r="T874" s="2"/>
      <c r="U874" s="2"/>
      <c r="V874" s="2"/>
    </row>
    <row r="875" spans="4:22" ht="14.25" customHeight="1">
      <c r="D875" s="2"/>
      <c r="E875" s="2"/>
      <c r="F875" s="2"/>
      <c r="G875" s="2"/>
      <c r="H875" s="2"/>
      <c r="I875" s="2"/>
      <c r="J875" s="2"/>
      <c r="K875" s="2"/>
      <c r="L875" s="2"/>
      <c r="M875" s="2"/>
      <c r="N875" s="2"/>
      <c r="O875" s="2"/>
      <c r="P875" s="2"/>
      <c r="Q875" s="2"/>
      <c r="R875" s="2"/>
      <c r="S875" s="2"/>
      <c r="T875" s="2"/>
      <c r="U875" s="2"/>
      <c r="V875" s="2"/>
    </row>
    <row r="876" spans="4:22" ht="14.25" customHeight="1">
      <c r="D876" s="2"/>
      <c r="E876" s="2"/>
      <c r="F876" s="2"/>
      <c r="G876" s="2"/>
      <c r="H876" s="2"/>
      <c r="I876" s="2"/>
      <c r="J876" s="2"/>
      <c r="K876" s="2"/>
      <c r="L876" s="2"/>
      <c r="M876" s="2"/>
      <c r="N876" s="2"/>
      <c r="O876" s="2"/>
      <c r="P876" s="2"/>
      <c r="Q876" s="2"/>
      <c r="R876" s="2"/>
      <c r="S876" s="2"/>
      <c r="T876" s="2"/>
      <c r="U876" s="2"/>
      <c r="V876" s="2"/>
    </row>
    <row r="877" spans="4:22" ht="14.25" customHeight="1">
      <c r="D877" s="2"/>
      <c r="E877" s="2"/>
      <c r="F877" s="2"/>
      <c r="G877" s="2"/>
      <c r="H877" s="2"/>
      <c r="I877" s="2"/>
      <c r="J877" s="2"/>
      <c r="K877" s="2"/>
      <c r="L877" s="2"/>
      <c r="M877" s="2"/>
      <c r="N877" s="2"/>
      <c r="O877" s="2"/>
      <c r="P877" s="2"/>
      <c r="Q877" s="2"/>
      <c r="R877" s="2"/>
      <c r="S877" s="2"/>
      <c r="T877" s="2"/>
      <c r="U877" s="2"/>
      <c r="V877" s="2"/>
    </row>
    <row r="878" spans="4:22" ht="14.25" customHeight="1">
      <c r="D878" s="2"/>
      <c r="E878" s="2"/>
      <c r="F878" s="2"/>
      <c r="G878" s="2"/>
      <c r="H878" s="2"/>
      <c r="I878" s="2"/>
      <c r="J878" s="2"/>
      <c r="K878" s="2"/>
      <c r="L878" s="2"/>
      <c r="M878" s="2"/>
      <c r="N878" s="2"/>
      <c r="O878" s="2"/>
      <c r="P878" s="2"/>
      <c r="Q878" s="2"/>
      <c r="R878" s="2"/>
      <c r="S878" s="2"/>
      <c r="T878" s="2"/>
      <c r="U878" s="2"/>
      <c r="V878" s="2"/>
    </row>
    <row r="879" spans="4:22" ht="14.25" customHeight="1">
      <c r="D879" s="2"/>
      <c r="E879" s="2"/>
      <c r="F879" s="2"/>
      <c r="G879" s="2"/>
      <c r="H879" s="2"/>
      <c r="I879" s="2"/>
      <c r="J879" s="2"/>
      <c r="K879" s="2"/>
      <c r="L879" s="2"/>
      <c r="M879" s="2"/>
      <c r="N879" s="2"/>
      <c r="O879" s="2"/>
      <c r="P879" s="2"/>
      <c r="Q879" s="2"/>
      <c r="R879" s="2"/>
      <c r="S879" s="2"/>
      <c r="T879" s="2"/>
      <c r="U879" s="2"/>
      <c r="V879" s="2"/>
    </row>
    <row r="880" spans="4:22" ht="14.25" customHeight="1">
      <c r="D880" s="2"/>
      <c r="E880" s="2"/>
      <c r="F880" s="2"/>
      <c r="G880" s="2"/>
      <c r="H880" s="2"/>
      <c r="I880" s="2"/>
      <c r="J880" s="2"/>
      <c r="K880" s="2"/>
      <c r="L880" s="2"/>
      <c r="M880" s="2"/>
      <c r="N880" s="2"/>
      <c r="O880" s="2"/>
      <c r="P880" s="2"/>
      <c r="Q880" s="2"/>
      <c r="R880" s="2"/>
      <c r="S880" s="2"/>
      <c r="T880" s="2"/>
      <c r="U880" s="2"/>
      <c r="V880" s="2"/>
    </row>
    <row r="881" spans="4:22" ht="14.25" customHeight="1">
      <c r="D881" s="2"/>
      <c r="E881" s="2"/>
      <c r="F881" s="2"/>
      <c r="G881" s="2"/>
      <c r="H881" s="2"/>
      <c r="I881" s="2"/>
      <c r="J881" s="2"/>
      <c r="K881" s="2"/>
      <c r="L881" s="2"/>
      <c r="M881" s="2"/>
      <c r="N881" s="2"/>
      <c r="O881" s="2"/>
      <c r="P881" s="2"/>
      <c r="Q881" s="2"/>
      <c r="R881" s="2"/>
      <c r="S881" s="2"/>
      <c r="T881" s="2"/>
      <c r="U881" s="2"/>
      <c r="V881" s="2"/>
    </row>
    <row r="882" spans="4:22" ht="14.25" customHeight="1">
      <c r="D882" s="2"/>
      <c r="E882" s="2"/>
      <c r="F882" s="2"/>
      <c r="G882" s="2"/>
      <c r="H882" s="2"/>
      <c r="I882" s="2"/>
      <c r="J882" s="2"/>
      <c r="K882" s="2"/>
      <c r="L882" s="2"/>
      <c r="M882" s="2"/>
      <c r="N882" s="2"/>
      <c r="O882" s="2"/>
      <c r="P882" s="2"/>
      <c r="Q882" s="2"/>
      <c r="R882" s="2"/>
      <c r="S882" s="2"/>
      <c r="T882" s="2"/>
      <c r="U882" s="2"/>
      <c r="V882" s="2"/>
    </row>
    <row r="883" spans="4:22" ht="14.25" customHeight="1">
      <c r="D883" s="2"/>
      <c r="E883" s="2"/>
      <c r="F883" s="2"/>
      <c r="G883" s="2"/>
      <c r="H883" s="2"/>
      <c r="I883" s="2"/>
      <c r="J883" s="2"/>
      <c r="K883" s="2"/>
      <c r="L883" s="2"/>
      <c r="M883" s="2"/>
      <c r="N883" s="2"/>
      <c r="O883" s="2"/>
      <c r="P883" s="2"/>
      <c r="Q883" s="2"/>
      <c r="R883" s="2"/>
      <c r="S883" s="2"/>
      <c r="T883" s="2"/>
      <c r="U883" s="2"/>
      <c r="V883" s="2"/>
    </row>
    <row r="884" spans="4:22" ht="14.25" customHeight="1">
      <c r="D884" s="2"/>
      <c r="E884" s="2"/>
      <c r="F884" s="2"/>
      <c r="G884" s="2"/>
      <c r="H884" s="2"/>
      <c r="I884" s="2"/>
      <c r="J884" s="2"/>
      <c r="K884" s="2"/>
      <c r="L884" s="2"/>
      <c r="M884" s="2"/>
      <c r="N884" s="2"/>
      <c r="O884" s="2"/>
      <c r="P884" s="2"/>
      <c r="Q884" s="2"/>
      <c r="R884" s="2"/>
      <c r="S884" s="2"/>
      <c r="T884" s="2"/>
      <c r="U884" s="2"/>
      <c r="V884" s="2"/>
    </row>
    <row r="885" spans="4:22" ht="14.25" customHeight="1">
      <c r="D885" s="2"/>
      <c r="E885" s="2"/>
      <c r="F885" s="2"/>
      <c r="G885" s="2"/>
      <c r="H885" s="2"/>
      <c r="I885" s="2"/>
      <c r="J885" s="2"/>
      <c r="K885" s="2"/>
      <c r="L885" s="2"/>
      <c r="M885" s="2"/>
      <c r="N885" s="2"/>
      <c r="O885" s="2"/>
      <c r="P885" s="2"/>
      <c r="Q885" s="2"/>
      <c r="R885" s="2"/>
      <c r="S885" s="2"/>
      <c r="T885" s="2"/>
      <c r="U885" s="2"/>
      <c r="V885" s="2"/>
    </row>
    <row r="886" spans="4:22" ht="14.25" customHeight="1">
      <c r="D886" s="2"/>
      <c r="E886" s="2"/>
      <c r="F886" s="2"/>
      <c r="G886" s="2"/>
      <c r="H886" s="2"/>
      <c r="I886" s="2"/>
      <c r="J886" s="2"/>
      <c r="K886" s="2"/>
      <c r="L886" s="2"/>
      <c r="M886" s="2"/>
      <c r="N886" s="2"/>
      <c r="O886" s="2"/>
      <c r="P886" s="2"/>
      <c r="Q886" s="2"/>
      <c r="R886" s="2"/>
      <c r="S886" s="2"/>
      <c r="T886" s="2"/>
      <c r="U886" s="2"/>
      <c r="V886" s="2"/>
    </row>
    <row r="887" spans="4:22" ht="14.25" customHeight="1">
      <c r="D887" s="2"/>
      <c r="E887" s="2"/>
      <c r="F887" s="2"/>
      <c r="G887" s="2"/>
      <c r="H887" s="2"/>
      <c r="I887" s="2"/>
      <c r="J887" s="2"/>
      <c r="K887" s="2"/>
      <c r="L887" s="2"/>
      <c r="M887" s="2"/>
      <c r="N887" s="2"/>
      <c r="O887" s="2"/>
      <c r="P887" s="2"/>
      <c r="Q887" s="2"/>
      <c r="R887" s="2"/>
      <c r="S887" s="2"/>
      <c r="T887" s="2"/>
      <c r="U887" s="2"/>
      <c r="V887" s="2"/>
    </row>
    <row r="888" spans="4:22" ht="14.25" customHeight="1">
      <c r="D888" s="2"/>
      <c r="E888" s="2"/>
      <c r="F888" s="2"/>
      <c r="G888" s="2"/>
      <c r="H888" s="2"/>
      <c r="I888" s="2"/>
      <c r="J888" s="2"/>
      <c r="K888" s="2"/>
      <c r="L888" s="2"/>
      <c r="M888" s="2"/>
      <c r="N888" s="2"/>
      <c r="O888" s="2"/>
      <c r="P888" s="2"/>
      <c r="Q888" s="2"/>
      <c r="R888" s="2"/>
      <c r="S888" s="2"/>
      <c r="T888" s="2"/>
      <c r="U888" s="2"/>
      <c r="V888" s="2"/>
    </row>
    <row r="889" spans="4:22" ht="14.25" customHeight="1">
      <c r="D889" s="2"/>
      <c r="E889" s="2"/>
      <c r="F889" s="2"/>
      <c r="G889" s="2"/>
      <c r="H889" s="2"/>
      <c r="I889" s="2"/>
      <c r="J889" s="2"/>
      <c r="K889" s="2"/>
      <c r="L889" s="2"/>
      <c r="M889" s="2"/>
      <c r="N889" s="2"/>
      <c r="O889" s="2"/>
      <c r="P889" s="2"/>
      <c r="Q889" s="2"/>
      <c r="R889" s="2"/>
      <c r="S889" s="2"/>
      <c r="T889" s="2"/>
      <c r="U889" s="2"/>
      <c r="V889" s="2"/>
    </row>
    <row r="890" spans="4:22" ht="14.25" customHeight="1">
      <c r="D890" s="2"/>
      <c r="E890" s="2"/>
      <c r="F890" s="2"/>
      <c r="G890" s="2"/>
      <c r="H890" s="2"/>
      <c r="I890" s="2"/>
      <c r="J890" s="2"/>
      <c r="K890" s="2"/>
      <c r="L890" s="2"/>
      <c r="M890" s="2"/>
      <c r="N890" s="2"/>
      <c r="O890" s="2"/>
      <c r="P890" s="2"/>
      <c r="Q890" s="2"/>
      <c r="R890" s="2"/>
      <c r="S890" s="2"/>
      <c r="T890" s="2"/>
      <c r="U890" s="2"/>
      <c r="V890" s="2"/>
    </row>
    <row r="891" spans="4:22" ht="14.25" customHeight="1">
      <c r="D891" s="2"/>
      <c r="E891" s="2"/>
      <c r="F891" s="2"/>
      <c r="G891" s="2"/>
      <c r="H891" s="2"/>
      <c r="I891" s="2"/>
      <c r="J891" s="2"/>
      <c r="K891" s="2"/>
      <c r="L891" s="2"/>
      <c r="M891" s="2"/>
      <c r="N891" s="2"/>
      <c r="O891" s="2"/>
      <c r="P891" s="2"/>
      <c r="Q891" s="2"/>
      <c r="R891" s="2"/>
      <c r="S891" s="2"/>
      <c r="T891" s="2"/>
      <c r="U891" s="2"/>
      <c r="V891" s="2"/>
    </row>
    <row r="892" spans="4:22" ht="14.25" customHeight="1">
      <c r="D892" s="2"/>
      <c r="E892" s="2"/>
      <c r="F892" s="2"/>
      <c r="G892" s="2"/>
      <c r="H892" s="2"/>
      <c r="I892" s="2"/>
      <c r="J892" s="2"/>
      <c r="K892" s="2"/>
      <c r="L892" s="2"/>
      <c r="M892" s="2"/>
      <c r="N892" s="2"/>
      <c r="O892" s="2"/>
      <c r="P892" s="2"/>
      <c r="Q892" s="2"/>
      <c r="R892" s="2"/>
      <c r="S892" s="2"/>
      <c r="T892" s="2"/>
      <c r="U892" s="2"/>
      <c r="V892" s="2"/>
    </row>
    <row r="893" spans="4:22" ht="14.25" customHeight="1">
      <c r="D893" s="2"/>
      <c r="E893" s="2"/>
      <c r="F893" s="2"/>
      <c r="G893" s="2"/>
      <c r="H893" s="2"/>
      <c r="I893" s="2"/>
      <c r="J893" s="2"/>
      <c r="K893" s="2"/>
      <c r="L893" s="2"/>
      <c r="M893" s="2"/>
      <c r="N893" s="2"/>
      <c r="O893" s="2"/>
      <c r="P893" s="2"/>
      <c r="Q893" s="2"/>
      <c r="R893" s="2"/>
      <c r="S893" s="2"/>
      <c r="T893" s="2"/>
      <c r="U893" s="2"/>
      <c r="V893" s="2"/>
    </row>
    <row r="894" spans="4:22" ht="14.25" customHeight="1">
      <c r="D894" s="2"/>
      <c r="E894" s="2"/>
      <c r="F894" s="2"/>
      <c r="G894" s="2"/>
      <c r="H894" s="2"/>
      <c r="I894" s="2"/>
      <c r="J894" s="2"/>
      <c r="K894" s="2"/>
      <c r="L894" s="2"/>
      <c r="M894" s="2"/>
      <c r="N894" s="2"/>
      <c r="O894" s="2"/>
      <c r="P894" s="2"/>
      <c r="Q894" s="2"/>
      <c r="R894" s="2"/>
      <c r="S894" s="2"/>
      <c r="T894" s="2"/>
      <c r="U894" s="2"/>
      <c r="V894" s="2"/>
    </row>
    <row r="895" spans="4:22" ht="14.25" customHeight="1">
      <c r="D895" s="2"/>
      <c r="E895" s="2"/>
      <c r="F895" s="2"/>
      <c r="G895" s="2"/>
      <c r="H895" s="2"/>
      <c r="I895" s="2"/>
      <c r="J895" s="2"/>
      <c r="K895" s="2"/>
      <c r="L895" s="2"/>
      <c r="M895" s="2"/>
      <c r="N895" s="2"/>
      <c r="O895" s="2"/>
      <c r="P895" s="2"/>
      <c r="Q895" s="2"/>
      <c r="R895" s="2"/>
      <c r="S895" s="2"/>
      <c r="T895" s="2"/>
      <c r="U895" s="2"/>
      <c r="V895" s="2"/>
    </row>
    <row r="896" spans="4:22" ht="14.25" customHeight="1">
      <c r="D896" s="2"/>
      <c r="E896" s="2"/>
      <c r="F896" s="2"/>
      <c r="G896" s="2"/>
      <c r="H896" s="2"/>
      <c r="I896" s="2"/>
      <c r="J896" s="2"/>
      <c r="K896" s="2"/>
      <c r="L896" s="2"/>
      <c r="M896" s="2"/>
      <c r="N896" s="2"/>
      <c r="O896" s="2"/>
      <c r="P896" s="2"/>
      <c r="Q896" s="2"/>
      <c r="R896" s="2"/>
      <c r="S896" s="2"/>
      <c r="T896" s="2"/>
      <c r="U896" s="2"/>
      <c r="V896" s="2"/>
    </row>
    <row r="897" spans="4:22" ht="14.25" customHeight="1">
      <c r="D897" s="2"/>
      <c r="E897" s="2"/>
      <c r="F897" s="2"/>
      <c r="G897" s="2"/>
      <c r="H897" s="2"/>
      <c r="I897" s="2"/>
      <c r="J897" s="2"/>
      <c r="K897" s="2"/>
      <c r="L897" s="2"/>
      <c r="M897" s="2"/>
      <c r="N897" s="2"/>
      <c r="O897" s="2"/>
      <c r="P897" s="2"/>
      <c r="Q897" s="2"/>
      <c r="R897" s="2"/>
      <c r="S897" s="2"/>
      <c r="T897" s="2"/>
      <c r="U897" s="2"/>
      <c r="V897" s="2"/>
    </row>
    <row r="898" spans="4:22" ht="14.25" customHeight="1">
      <c r="D898" s="2"/>
      <c r="E898" s="2"/>
      <c r="F898" s="2"/>
      <c r="G898" s="2"/>
      <c r="H898" s="2"/>
      <c r="I898" s="2"/>
      <c r="J898" s="2"/>
      <c r="K898" s="2"/>
      <c r="L898" s="2"/>
      <c r="M898" s="2"/>
      <c r="N898" s="2"/>
      <c r="O898" s="2"/>
      <c r="P898" s="2"/>
      <c r="Q898" s="2"/>
      <c r="R898" s="2"/>
      <c r="S898" s="2"/>
      <c r="T898" s="2"/>
      <c r="U898" s="2"/>
      <c r="V898" s="2"/>
    </row>
    <row r="899" spans="4:22" ht="14.25" customHeight="1">
      <c r="D899" s="2"/>
      <c r="E899" s="2"/>
      <c r="F899" s="2"/>
      <c r="G899" s="2"/>
      <c r="H899" s="2"/>
      <c r="I899" s="2"/>
      <c r="J899" s="2"/>
      <c r="K899" s="2"/>
      <c r="L899" s="2"/>
      <c r="M899" s="2"/>
      <c r="N899" s="2"/>
      <c r="O899" s="2"/>
      <c r="P899" s="2"/>
      <c r="Q899" s="2"/>
      <c r="R899" s="2"/>
      <c r="S899" s="2"/>
      <c r="T899" s="2"/>
      <c r="U899" s="2"/>
      <c r="V899" s="2"/>
    </row>
    <row r="900" spans="4:22" ht="14.25" customHeight="1">
      <c r="D900" s="2"/>
      <c r="E900" s="2"/>
      <c r="F900" s="2"/>
      <c r="G900" s="2"/>
      <c r="H900" s="2"/>
      <c r="I900" s="2"/>
      <c r="J900" s="2"/>
      <c r="K900" s="2"/>
      <c r="L900" s="2"/>
      <c r="M900" s="2"/>
      <c r="N900" s="2"/>
      <c r="O900" s="2"/>
      <c r="P900" s="2"/>
      <c r="Q900" s="2"/>
      <c r="R900" s="2"/>
      <c r="S900" s="2"/>
      <c r="T900" s="2"/>
      <c r="U900" s="2"/>
      <c r="V900" s="2"/>
    </row>
    <row r="901" spans="4:22" ht="14.25" customHeight="1">
      <c r="D901" s="2"/>
      <c r="E901" s="2"/>
      <c r="F901" s="2"/>
      <c r="G901" s="2"/>
      <c r="H901" s="2"/>
      <c r="I901" s="2"/>
      <c r="J901" s="2"/>
      <c r="K901" s="2"/>
      <c r="L901" s="2"/>
      <c r="M901" s="2"/>
      <c r="N901" s="2"/>
      <c r="O901" s="2"/>
      <c r="P901" s="2"/>
      <c r="Q901" s="2"/>
      <c r="R901" s="2"/>
      <c r="S901" s="2"/>
      <c r="T901" s="2"/>
      <c r="U901" s="2"/>
      <c r="V901" s="2"/>
    </row>
    <row r="902" spans="4:22" ht="14.25" customHeight="1">
      <c r="D902" s="2"/>
      <c r="E902" s="2"/>
      <c r="F902" s="2"/>
      <c r="G902" s="2"/>
      <c r="H902" s="2"/>
      <c r="I902" s="2"/>
      <c r="J902" s="2"/>
      <c r="K902" s="2"/>
      <c r="L902" s="2"/>
      <c r="M902" s="2"/>
      <c r="N902" s="2"/>
      <c r="O902" s="2"/>
      <c r="P902" s="2"/>
      <c r="Q902" s="2"/>
      <c r="R902" s="2"/>
      <c r="S902" s="2"/>
      <c r="T902" s="2"/>
      <c r="U902" s="2"/>
      <c r="V902" s="2"/>
    </row>
    <row r="903" spans="4:22" ht="14.25" customHeight="1">
      <c r="D903" s="2"/>
      <c r="E903" s="2"/>
      <c r="F903" s="2"/>
      <c r="G903" s="2"/>
      <c r="H903" s="2"/>
      <c r="I903" s="2"/>
      <c r="J903" s="2"/>
      <c r="K903" s="2"/>
      <c r="L903" s="2"/>
      <c r="M903" s="2"/>
      <c r="N903" s="2"/>
      <c r="O903" s="2"/>
      <c r="P903" s="2"/>
      <c r="Q903" s="2"/>
      <c r="R903" s="2"/>
      <c r="S903" s="2"/>
      <c r="T903" s="2"/>
      <c r="U903" s="2"/>
      <c r="V903" s="2"/>
    </row>
    <row r="904" spans="4:22" ht="14.25" customHeight="1">
      <c r="D904" s="2"/>
      <c r="E904" s="2"/>
      <c r="F904" s="2"/>
      <c r="G904" s="2"/>
      <c r="H904" s="2"/>
      <c r="I904" s="2"/>
      <c r="J904" s="2"/>
      <c r="K904" s="2"/>
      <c r="L904" s="2"/>
      <c r="M904" s="2"/>
      <c r="N904" s="2"/>
      <c r="O904" s="2"/>
      <c r="P904" s="2"/>
      <c r="Q904" s="2"/>
      <c r="R904" s="2"/>
      <c r="S904" s="2"/>
      <c r="T904" s="2"/>
      <c r="U904" s="2"/>
      <c r="V904" s="2"/>
    </row>
    <row r="905" spans="4:22" ht="14.25" customHeight="1">
      <c r="D905" s="2"/>
      <c r="E905" s="2"/>
      <c r="F905" s="2"/>
      <c r="G905" s="2"/>
      <c r="H905" s="2"/>
      <c r="I905" s="2"/>
      <c r="J905" s="2"/>
      <c r="K905" s="2"/>
      <c r="L905" s="2"/>
      <c r="M905" s="2"/>
      <c r="N905" s="2"/>
      <c r="O905" s="2"/>
      <c r="P905" s="2"/>
      <c r="Q905" s="2"/>
      <c r="R905" s="2"/>
      <c r="S905" s="2"/>
      <c r="T905" s="2"/>
      <c r="U905" s="2"/>
      <c r="V905" s="2"/>
    </row>
    <row r="906" spans="4:22" ht="14.25" customHeight="1">
      <c r="D906" s="2"/>
      <c r="E906" s="2"/>
      <c r="F906" s="2"/>
      <c r="G906" s="2"/>
      <c r="H906" s="2"/>
      <c r="I906" s="2"/>
      <c r="J906" s="2"/>
      <c r="K906" s="2"/>
      <c r="L906" s="2"/>
      <c r="M906" s="2"/>
      <c r="N906" s="2"/>
      <c r="O906" s="2"/>
      <c r="P906" s="2"/>
      <c r="Q906" s="2"/>
      <c r="R906" s="2"/>
      <c r="S906" s="2"/>
      <c r="T906" s="2"/>
      <c r="U906" s="2"/>
      <c r="V906" s="2"/>
    </row>
    <row r="907" spans="4:22" ht="14.25" customHeight="1">
      <c r="D907" s="2"/>
      <c r="E907" s="2"/>
      <c r="F907" s="2"/>
      <c r="G907" s="2"/>
      <c r="H907" s="2"/>
      <c r="I907" s="2"/>
      <c r="J907" s="2"/>
      <c r="K907" s="2"/>
      <c r="L907" s="2"/>
      <c r="M907" s="2"/>
      <c r="N907" s="2"/>
      <c r="O907" s="2"/>
      <c r="P907" s="2"/>
      <c r="Q907" s="2"/>
      <c r="R907" s="2"/>
      <c r="S907" s="2"/>
      <c r="T907" s="2"/>
      <c r="U907" s="2"/>
      <c r="V907" s="2"/>
    </row>
    <row r="908" spans="4:22" ht="14.25" customHeight="1">
      <c r="D908" s="2"/>
      <c r="E908" s="2"/>
      <c r="F908" s="2"/>
      <c r="G908" s="2"/>
      <c r="H908" s="2"/>
      <c r="I908" s="2"/>
      <c r="J908" s="2"/>
      <c r="K908" s="2"/>
      <c r="L908" s="2"/>
      <c r="M908" s="2"/>
      <c r="N908" s="2"/>
      <c r="O908" s="2"/>
      <c r="P908" s="2"/>
      <c r="Q908" s="2"/>
      <c r="R908" s="2"/>
      <c r="S908" s="2"/>
      <c r="T908" s="2"/>
      <c r="U908" s="2"/>
      <c r="V908" s="2"/>
    </row>
    <row r="909" spans="4:22" ht="14.25" customHeight="1">
      <c r="D909" s="2"/>
      <c r="E909" s="2"/>
      <c r="F909" s="2"/>
      <c r="G909" s="2"/>
      <c r="H909" s="2"/>
      <c r="I909" s="2"/>
      <c r="J909" s="2"/>
      <c r="K909" s="2"/>
      <c r="L909" s="2"/>
      <c r="M909" s="2"/>
      <c r="N909" s="2"/>
      <c r="O909" s="2"/>
      <c r="P909" s="2"/>
      <c r="Q909" s="2"/>
      <c r="R909" s="2"/>
      <c r="S909" s="2"/>
      <c r="T909" s="2"/>
      <c r="U909" s="2"/>
      <c r="V909" s="2"/>
    </row>
    <row r="910" spans="4:22" ht="14.25" customHeight="1">
      <c r="D910" s="2"/>
      <c r="E910" s="2"/>
      <c r="F910" s="2"/>
      <c r="G910" s="2"/>
      <c r="H910" s="2"/>
      <c r="I910" s="2"/>
      <c r="J910" s="2"/>
      <c r="K910" s="2"/>
      <c r="L910" s="2"/>
      <c r="M910" s="2"/>
      <c r="N910" s="2"/>
      <c r="O910" s="2"/>
      <c r="P910" s="2"/>
      <c r="Q910" s="2"/>
      <c r="R910" s="2"/>
      <c r="S910" s="2"/>
      <c r="T910" s="2"/>
      <c r="U910" s="2"/>
      <c r="V910" s="2"/>
    </row>
    <row r="911" spans="4:22" ht="14.25" customHeight="1">
      <c r="D911" s="2"/>
      <c r="E911" s="2"/>
      <c r="F911" s="2"/>
      <c r="G911" s="2"/>
      <c r="H911" s="2"/>
      <c r="I911" s="2"/>
      <c r="J911" s="2"/>
      <c r="K911" s="2"/>
      <c r="L911" s="2"/>
      <c r="M911" s="2"/>
      <c r="N911" s="2"/>
      <c r="O911" s="2"/>
      <c r="P911" s="2"/>
      <c r="Q911" s="2"/>
      <c r="R911" s="2"/>
      <c r="S911" s="2"/>
      <c r="T911" s="2"/>
      <c r="U911" s="2"/>
      <c r="V911" s="2"/>
    </row>
    <row r="912" spans="4:22" ht="14.25" customHeight="1">
      <c r="D912" s="2"/>
      <c r="E912" s="2"/>
      <c r="F912" s="2"/>
      <c r="G912" s="2"/>
      <c r="H912" s="2"/>
      <c r="I912" s="2"/>
      <c r="J912" s="2"/>
      <c r="K912" s="2"/>
      <c r="L912" s="2"/>
      <c r="M912" s="2"/>
      <c r="N912" s="2"/>
      <c r="O912" s="2"/>
      <c r="P912" s="2"/>
      <c r="Q912" s="2"/>
      <c r="R912" s="2"/>
      <c r="S912" s="2"/>
      <c r="T912" s="2"/>
      <c r="U912" s="2"/>
      <c r="V912" s="2"/>
    </row>
    <row r="913" spans="4:22" ht="14.25" customHeight="1">
      <c r="D913" s="2"/>
      <c r="E913" s="2"/>
      <c r="F913" s="2"/>
      <c r="G913" s="2"/>
      <c r="H913" s="2"/>
      <c r="I913" s="2"/>
      <c r="J913" s="2"/>
      <c r="K913" s="2"/>
      <c r="L913" s="2"/>
      <c r="M913" s="2"/>
      <c r="N913" s="2"/>
      <c r="O913" s="2"/>
      <c r="P913" s="2"/>
      <c r="Q913" s="2"/>
      <c r="R913" s="2"/>
      <c r="S913" s="2"/>
      <c r="T913" s="2"/>
      <c r="U913" s="2"/>
      <c r="V913" s="2"/>
    </row>
    <row r="914" spans="4:22" ht="14.25" customHeight="1">
      <c r="D914" s="2"/>
      <c r="E914" s="2"/>
      <c r="F914" s="2"/>
      <c r="G914" s="2"/>
      <c r="H914" s="2"/>
      <c r="I914" s="2"/>
      <c r="J914" s="2"/>
      <c r="K914" s="2"/>
      <c r="L914" s="2"/>
      <c r="M914" s="2"/>
      <c r="N914" s="2"/>
      <c r="O914" s="2"/>
      <c r="P914" s="2"/>
      <c r="Q914" s="2"/>
      <c r="R914" s="2"/>
      <c r="S914" s="2"/>
      <c r="T914" s="2"/>
      <c r="U914" s="2"/>
      <c r="V914" s="2"/>
    </row>
    <row r="915" spans="4:22" ht="14.25" customHeight="1">
      <c r="D915" s="2"/>
      <c r="E915" s="2"/>
      <c r="F915" s="2"/>
      <c r="G915" s="2"/>
      <c r="H915" s="2"/>
      <c r="I915" s="2"/>
      <c r="J915" s="2"/>
      <c r="K915" s="2"/>
      <c r="L915" s="2"/>
      <c r="M915" s="2"/>
      <c r="N915" s="2"/>
      <c r="O915" s="2"/>
      <c r="P915" s="2"/>
      <c r="Q915" s="2"/>
      <c r="R915" s="2"/>
      <c r="S915" s="2"/>
      <c r="T915" s="2"/>
      <c r="U915" s="2"/>
      <c r="V915" s="2"/>
    </row>
    <row r="916" spans="4:22" ht="14.25" customHeight="1">
      <c r="D916" s="2"/>
      <c r="E916" s="2"/>
      <c r="F916" s="2"/>
      <c r="G916" s="2"/>
      <c r="H916" s="2"/>
      <c r="I916" s="2"/>
      <c r="J916" s="2"/>
      <c r="K916" s="2"/>
      <c r="L916" s="2"/>
      <c r="M916" s="2"/>
      <c r="N916" s="2"/>
      <c r="O916" s="2"/>
      <c r="P916" s="2"/>
      <c r="Q916" s="2"/>
      <c r="R916" s="2"/>
      <c r="S916" s="2"/>
      <c r="T916" s="2"/>
      <c r="U916" s="2"/>
      <c r="V916" s="2"/>
    </row>
    <row r="917" spans="4:22" ht="14.25" customHeight="1">
      <c r="D917" s="2"/>
      <c r="E917" s="2"/>
      <c r="F917" s="2"/>
      <c r="G917" s="2"/>
      <c r="H917" s="2"/>
      <c r="I917" s="2"/>
      <c r="J917" s="2"/>
      <c r="K917" s="2"/>
      <c r="L917" s="2"/>
      <c r="M917" s="2"/>
      <c r="N917" s="2"/>
      <c r="O917" s="2"/>
      <c r="P917" s="2"/>
      <c r="Q917" s="2"/>
      <c r="R917" s="2"/>
      <c r="S917" s="2"/>
      <c r="T917" s="2"/>
      <c r="U917" s="2"/>
      <c r="V917" s="2"/>
    </row>
    <row r="918" spans="4:22" ht="14.25" customHeight="1">
      <c r="D918" s="2"/>
      <c r="E918" s="2"/>
      <c r="F918" s="2"/>
      <c r="G918" s="2"/>
      <c r="H918" s="2"/>
      <c r="I918" s="2"/>
      <c r="J918" s="2"/>
      <c r="K918" s="2"/>
      <c r="L918" s="2"/>
      <c r="M918" s="2"/>
      <c r="N918" s="2"/>
      <c r="O918" s="2"/>
      <c r="P918" s="2"/>
      <c r="Q918" s="2"/>
      <c r="R918" s="2"/>
      <c r="S918" s="2"/>
      <c r="T918" s="2"/>
      <c r="U918" s="2"/>
      <c r="V918" s="2"/>
    </row>
    <row r="919" spans="4:22" ht="14.25" customHeight="1">
      <c r="D919" s="2"/>
      <c r="E919" s="2"/>
      <c r="F919" s="2"/>
      <c r="G919" s="2"/>
      <c r="H919" s="2"/>
      <c r="I919" s="2"/>
      <c r="J919" s="2"/>
      <c r="K919" s="2"/>
      <c r="L919" s="2"/>
      <c r="M919" s="2"/>
      <c r="N919" s="2"/>
      <c r="O919" s="2"/>
      <c r="P919" s="2"/>
      <c r="Q919" s="2"/>
      <c r="R919" s="2"/>
      <c r="S919" s="2"/>
      <c r="T919" s="2"/>
      <c r="U919" s="2"/>
      <c r="V919" s="2"/>
    </row>
    <row r="920" spans="4:22" ht="14.25" customHeight="1">
      <c r="D920" s="2"/>
      <c r="E920" s="2"/>
      <c r="F920" s="2"/>
      <c r="G920" s="2"/>
      <c r="H920" s="2"/>
      <c r="I920" s="2"/>
      <c r="J920" s="2"/>
      <c r="K920" s="2"/>
      <c r="L920" s="2"/>
      <c r="M920" s="2"/>
      <c r="N920" s="2"/>
      <c r="O920" s="2"/>
      <c r="P920" s="2"/>
      <c r="Q920" s="2"/>
      <c r="R920" s="2"/>
      <c r="S920" s="2"/>
      <c r="T920" s="2"/>
      <c r="U920" s="2"/>
      <c r="V920" s="2"/>
    </row>
    <row r="921" spans="4:22" ht="14.25" customHeight="1">
      <c r="D921" s="2"/>
      <c r="E921" s="2"/>
      <c r="F921" s="2"/>
      <c r="G921" s="2"/>
      <c r="H921" s="2"/>
      <c r="I921" s="2"/>
      <c r="J921" s="2"/>
      <c r="K921" s="2"/>
      <c r="L921" s="2"/>
      <c r="M921" s="2"/>
      <c r="N921" s="2"/>
      <c r="O921" s="2"/>
      <c r="P921" s="2"/>
      <c r="Q921" s="2"/>
      <c r="R921" s="2"/>
      <c r="S921" s="2"/>
      <c r="T921" s="2"/>
      <c r="U921" s="2"/>
      <c r="V921" s="2"/>
    </row>
    <row r="922" spans="4:22" ht="14.25" customHeight="1">
      <c r="D922" s="2"/>
      <c r="E922" s="2"/>
      <c r="F922" s="2"/>
      <c r="G922" s="2"/>
      <c r="H922" s="2"/>
      <c r="I922" s="2"/>
      <c r="J922" s="2"/>
      <c r="K922" s="2"/>
      <c r="L922" s="2"/>
      <c r="M922" s="2"/>
      <c r="N922" s="2"/>
      <c r="O922" s="2"/>
      <c r="P922" s="2"/>
      <c r="Q922" s="2"/>
      <c r="R922" s="2"/>
      <c r="S922" s="2"/>
      <c r="T922" s="2"/>
      <c r="U922" s="2"/>
      <c r="V922" s="2"/>
    </row>
    <row r="923" spans="4:22" ht="14.25" customHeight="1">
      <c r="D923" s="2"/>
      <c r="E923" s="2"/>
      <c r="F923" s="2"/>
      <c r="G923" s="2"/>
      <c r="H923" s="2"/>
      <c r="I923" s="2"/>
      <c r="J923" s="2"/>
      <c r="K923" s="2"/>
      <c r="L923" s="2"/>
      <c r="M923" s="2"/>
      <c r="N923" s="2"/>
      <c r="O923" s="2"/>
      <c r="P923" s="2"/>
      <c r="Q923" s="2"/>
      <c r="R923" s="2"/>
      <c r="S923" s="2"/>
      <c r="T923" s="2"/>
      <c r="U923" s="2"/>
      <c r="V923" s="2"/>
    </row>
    <row r="924" spans="4:22" ht="14.25" customHeight="1">
      <c r="D924" s="2"/>
      <c r="E924" s="2"/>
      <c r="F924" s="2"/>
      <c r="G924" s="2"/>
      <c r="H924" s="2"/>
      <c r="I924" s="2"/>
      <c r="J924" s="2"/>
      <c r="K924" s="2"/>
      <c r="L924" s="2"/>
      <c r="M924" s="2"/>
      <c r="N924" s="2"/>
      <c r="O924" s="2"/>
      <c r="P924" s="2"/>
      <c r="Q924" s="2"/>
      <c r="R924" s="2"/>
      <c r="S924" s="2"/>
      <c r="T924" s="2"/>
      <c r="U924" s="2"/>
      <c r="V924" s="2"/>
    </row>
    <row r="925" spans="4:22" ht="14.25" customHeight="1">
      <c r="D925" s="2"/>
      <c r="E925" s="2"/>
      <c r="F925" s="2"/>
      <c r="G925" s="2"/>
      <c r="H925" s="2"/>
      <c r="I925" s="2"/>
      <c r="J925" s="2"/>
      <c r="K925" s="2"/>
      <c r="L925" s="2"/>
      <c r="M925" s="2"/>
      <c r="N925" s="2"/>
      <c r="O925" s="2"/>
      <c r="P925" s="2"/>
      <c r="Q925" s="2"/>
      <c r="R925" s="2"/>
      <c r="S925" s="2"/>
      <c r="T925" s="2"/>
      <c r="U925" s="2"/>
      <c r="V925" s="2"/>
    </row>
    <row r="926" spans="4:22" ht="14.25" customHeight="1">
      <c r="D926" s="2"/>
      <c r="E926" s="2"/>
      <c r="F926" s="2"/>
      <c r="G926" s="2"/>
      <c r="H926" s="2"/>
      <c r="I926" s="2"/>
      <c r="J926" s="2"/>
      <c r="K926" s="2"/>
      <c r="L926" s="2"/>
      <c r="M926" s="2"/>
      <c r="N926" s="2"/>
      <c r="O926" s="2"/>
      <c r="P926" s="2"/>
      <c r="Q926" s="2"/>
      <c r="R926" s="2"/>
      <c r="S926" s="2"/>
      <c r="T926" s="2"/>
      <c r="U926" s="2"/>
      <c r="V926" s="2"/>
    </row>
    <row r="927" spans="4:22" ht="14.25" customHeight="1">
      <c r="D927" s="2"/>
      <c r="E927" s="2"/>
      <c r="F927" s="2"/>
      <c r="G927" s="2"/>
      <c r="H927" s="2"/>
      <c r="I927" s="2"/>
      <c r="J927" s="2"/>
      <c r="K927" s="2"/>
      <c r="L927" s="2"/>
      <c r="M927" s="2"/>
      <c r="N927" s="2"/>
      <c r="O927" s="2"/>
      <c r="P927" s="2"/>
      <c r="Q927" s="2"/>
      <c r="R927" s="2"/>
      <c r="S927" s="2"/>
      <c r="T927" s="2"/>
      <c r="U927" s="2"/>
      <c r="V927" s="2"/>
    </row>
    <row r="928" spans="4:22" ht="14.25" customHeight="1">
      <c r="D928" s="2"/>
      <c r="E928" s="2"/>
      <c r="F928" s="2"/>
      <c r="G928" s="2"/>
      <c r="H928" s="2"/>
      <c r="I928" s="2"/>
      <c r="J928" s="2"/>
      <c r="K928" s="2"/>
      <c r="L928" s="2"/>
      <c r="M928" s="2"/>
      <c r="N928" s="2"/>
      <c r="O928" s="2"/>
      <c r="P928" s="2"/>
      <c r="Q928" s="2"/>
      <c r="R928" s="2"/>
      <c r="S928" s="2"/>
      <c r="T928" s="2"/>
      <c r="U928" s="2"/>
      <c r="V928" s="2"/>
    </row>
    <row r="929" spans="4:22" ht="14.25" customHeight="1">
      <c r="D929" s="2"/>
      <c r="E929" s="2"/>
      <c r="F929" s="2"/>
      <c r="G929" s="2"/>
      <c r="H929" s="2"/>
      <c r="I929" s="2"/>
      <c r="J929" s="2"/>
      <c r="K929" s="2"/>
      <c r="L929" s="2"/>
      <c r="M929" s="2"/>
      <c r="N929" s="2"/>
      <c r="O929" s="2"/>
      <c r="P929" s="2"/>
      <c r="Q929" s="2"/>
      <c r="R929" s="2"/>
      <c r="S929" s="2"/>
      <c r="T929" s="2"/>
      <c r="U929" s="2"/>
      <c r="V929" s="2"/>
    </row>
    <row r="930" spans="4:22" ht="14.25" customHeight="1">
      <c r="D930" s="2"/>
      <c r="E930" s="2"/>
      <c r="F930" s="2"/>
      <c r="G930" s="2"/>
      <c r="H930" s="2"/>
      <c r="I930" s="2"/>
      <c r="J930" s="2"/>
      <c r="K930" s="2"/>
      <c r="L930" s="2"/>
      <c r="M930" s="2"/>
      <c r="N930" s="2"/>
      <c r="O930" s="2"/>
      <c r="P930" s="2"/>
      <c r="Q930" s="2"/>
      <c r="R930" s="2"/>
      <c r="S930" s="2"/>
      <c r="T930" s="2"/>
      <c r="U930" s="2"/>
      <c r="V930" s="2"/>
    </row>
    <row r="931" spans="4:22" ht="14.25" customHeight="1">
      <c r="D931" s="2"/>
      <c r="E931" s="2"/>
      <c r="F931" s="2"/>
      <c r="G931" s="2"/>
      <c r="H931" s="2"/>
      <c r="I931" s="2"/>
      <c r="J931" s="2"/>
      <c r="K931" s="2"/>
      <c r="L931" s="2"/>
      <c r="M931" s="2"/>
      <c r="N931" s="2"/>
      <c r="O931" s="2"/>
      <c r="P931" s="2"/>
      <c r="Q931" s="2"/>
      <c r="R931" s="2"/>
      <c r="S931" s="2"/>
      <c r="T931" s="2"/>
      <c r="U931" s="2"/>
      <c r="V931" s="2"/>
    </row>
    <row r="932" spans="4:22" ht="14.25" customHeight="1">
      <c r="D932" s="2"/>
      <c r="E932" s="2"/>
      <c r="F932" s="2"/>
      <c r="G932" s="2"/>
      <c r="H932" s="2"/>
      <c r="I932" s="2"/>
      <c r="J932" s="2"/>
      <c r="K932" s="2"/>
      <c r="L932" s="2"/>
      <c r="M932" s="2"/>
      <c r="N932" s="2"/>
      <c r="O932" s="2"/>
      <c r="P932" s="2"/>
      <c r="Q932" s="2"/>
      <c r="R932" s="2"/>
      <c r="S932" s="2"/>
      <c r="T932" s="2"/>
      <c r="U932" s="2"/>
      <c r="V932" s="2"/>
    </row>
    <row r="933" spans="4:22" ht="14.25" customHeight="1">
      <c r="D933" s="2"/>
      <c r="E933" s="2"/>
      <c r="F933" s="2"/>
      <c r="G933" s="2"/>
      <c r="H933" s="2"/>
      <c r="I933" s="2"/>
      <c r="J933" s="2"/>
      <c r="K933" s="2"/>
      <c r="L933" s="2"/>
      <c r="M933" s="2"/>
      <c r="N933" s="2"/>
      <c r="O933" s="2"/>
      <c r="P933" s="2"/>
      <c r="Q933" s="2"/>
      <c r="R933" s="2"/>
      <c r="S933" s="2"/>
      <c r="T933" s="2"/>
      <c r="U933" s="2"/>
      <c r="V933" s="2"/>
    </row>
    <row r="934" spans="4:22" ht="14.25" customHeight="1">
      <c r="D934" s="2"/>
      <c r="E934" s="2"/>
      <c r="F934" s="2"/>
      <c r="G934" s="2"/>
      <c r="H934" s="2"/>
      <c r="I934" s="2"/>
      <c r="J934" s="2"/>
      <c r="K934" s="2"/>
      <c r="L934" s="2"/>
      <c r="M934" s="2"/>
      <c r="N934" s="2"/>
      <c r="O934" s="2"/>
      <c r="P934" s="2"/>
      <c r="Q934" s="2"/>
      <c r="R934" s="2"/>
      <c r="S934" s="2"/>
      <c r="T934" s="2"/>
      <c r="U934" s="2"/>
      <c r="V934" s="2"/>
    </row>
    <row r="935" spans="4:22" ht="14.25" customHeight="1">
      <c r="D935" s="2"/>
      <c r="E935" s="2"/>
      <c r="F935" s="2"/>
      <c r="G935" s="2"/>
      <c r="H935" s="2"/>
      <c r="I935" s="2"/>
      <c r="J935" s="2"/>
      <c r="K935" s="2"/>
      <c r="L935" s="2"/>
      <c r="M935" s="2"/>
      <c r="N935" s="2"/>
      <c r="O935" s="2"/>
      <c r="P935" s="2"/>
      <c r="Q935" s="2"/>
      <c r="R935" s="2"/>
      <c r="S935" s="2"/>
      <c r="T935" s="2"/>
      <c r="U935" s="2"/>
      <c r="V935" s="2"/>
    </row>
    <row r="936" spans="4:22" ht="14.25" customHeight="1">
      <c r="D936" s="2"/>
      <c r="E936" s="2"/>
      <c r="F936" s="2"/>
      <c r="G936" s="2"/>
      <c r="H936" s="2"/>
      <c r="I936" s="2"/>
      <c r="J936" s="2"/>
      <c r="K936" s="2"/>
      <c r="L936" s="2"/>
      <c r="M936" s="2"/>
      <c r="N936" s="2"/>
      <c r="O936" s="2"/>
      <c r="P936" s="2"/>
      <c r="Q936" s="2"/>
      <c r="R936" s="2"/>
      <c r="S936" s="2"/>
      <c r="T936" s="2"/>
      <c r="U936" s="2"/>
      <c r="V936" s="2"/>
    </row>
    <row r="937" spans="4:22" ht="14.25" customHeight="1">
      <c r="D937" s="2"/>
      <c r="E937" s="2"/>
      <c r="F937" s="2"/>
      <c r="G937" s="2"/>
      <c r="H937" s="2"/>
      <c r="I937" s="2"/>
      <c r="J937" s="2"/>
      <c r="K937" s="2"/>
      <c r="L937" s="2"/>
      <c r="M937" s="2"/>
      <c r="N937" s="2"/>
      <c r="O937" s="2"/>
      <c r="P937" s="2"/>
      <c r="Q937" s="2"/>
      <c r="R937" s="2"/>
      <c r="S937" s="2"/>
      <c r="T937" s="2"/>
      <c r="U937" s="2"/>
      <c r="V937" s="2"/>
    </row>
    <row r="938" spans="4:22" ht="14.25" customHeight="1">
      <c r="D938" s="2"/>
      <c r="E938" s="2"/>
      <c r="F938" s="2"/>
      <c r="G938" s="2"/>
      <c r="H938" s="2"/>
      <c r="I938" s="2"/>
      <c r="J938" s="2"/>
      <c r="K938" s="2"/>
      <c r="L938" s="2"/>
      <c r="M938" s="2"/>
      <c r="N938" s="2"/>
      <c r="O938" s="2"/>
      <c r="P938" s="2"/>
      <c r="Q938" s="2"/>
      <c r="R938" s="2"/>
      <c r="S938" s="2"/>
      <c r="T938" s="2"/>
      <c r="U938" s="2"/>
      <c r="V938" s="2"/>
    </row>
    <row r="939" spans="4:22" ht="14.25" customHeight="1">
      <c r="D939" s="2"/>
      <c r="E939" s="2"/>
      <c r="F939" s="2"/>
      <c r="G939" s="2"/>
      <c r="H939" s="2"/>
      <c r="I939" s="2"/>
      <c r="J939" s="2"/>
      <c r="K939" s="2"/>
      <c r="L939" s="2"/>
      <c r="M939" s="2"/>
      <c r="N939" s="2"/>
      <c r="O939" s="2"/>
      <c r="P939" s="2"/>
      <c r="Q939" s="2"/>
      <c r="R939" s="2"/>
      <c r="S939" s="2"/>
      <c r="T939" s="2"/>
      <c r="U939" s="2"/>
      <c r="V939" s="2"/>
    </row>
    <row r="940" spans="4:22" ht="14.25" customHeight="1">
      <c r="D940" s="2"/>
      <c r="E940" s="2"/>
      <c r="F940" s="2"/>
      <c r="G940" s="2"/>
      <c r="H940" s="2"/>
      <c r="I940" s="2"/>
      <c r="J940" s="2"/>
      <c r="K940" s="2"/>
      <c r="L940" s="2"/>
      <c r="M940" s="2"/>
      <c r="N940" s="2"/>
      <c r="O940" s="2"/>
      <c r="P940" s="2"/>
      <c r="Q940" s="2"/>
      <c r="R940" s="2"/>
      <c r="S940" s="2"/>
      <c r="T940" s="2"/>
      <c r="U940" s="2"/>
      <c r="V940" s="2"/>
    </row>
    <row r="941" spans="4:22" ht="14.25" customHeight="1">
      <c r="D941" s="2"/>
      <c r="E941" s="2"/>
      <c r="F941" s="2"/>
      <c r="G941" s="2"/>
      <c r="H941" s="2"/>
      <c r="I941" s="2"/>
      <c r="J941" s="2"/>
      <c r="K941" s="2"/>
      <c r="L941" s="2"/>
      <c r="M941" s="2"/>
      <c r="N941" s="2"/>
      <c r="O941" s="2"/>
      <c r="P941" s="2"/>
      <c r="Q941" s="2"/>
      <c r="R941" s="2"/>
      <c r="S941" s="2"/>
      <c r="T941" s="2"/>
      <c r="U941" s="2"/>
      <c r="V941" s="2"/>
    </row>
    <row r="942" spans="4:22" ht="14.25" customHeight="1">
      <c r="D942" s="2"/>
      <c r="E942" s="2"/>
      <c r="F942" s="2"/>
      <c r="G942" s="2"/>
      <c r="H942" s="2"/>
      <c r="I942" s="2"/>
      <c r="J942" s="2"/>
      <c r="K942" s="2"/>
      <c r="L942" s="2"/>
      <c r="M942" s="2"/>
      <c r="N942" s="2"/>
      <c r="O942" s="2"/>
      <c r="P942" s="2"/>
      <c r="Q942" s="2"/>
      <c r="R942" s="2"/>
      <c r="S942" s="2"/>
      <c r="T942" s="2"/>
      <c r="U942" s="2"/>
      <c r="V942" s="2"/>
    </row>
    <row r="943" spans="4:22" ht="14.25" customHeight="1">
      <c r="D943" s="2"/>
      <c r="E943" s="2"/>
      <c r="F943" s="2"/>
      <c r="G943" s="2"/>
      <c r="H943" s="2"/>
      <c r="I943" s="2"/>
      <c r="J943" s="2"/>
      <c r="K943" s="2"/>
      <c r="L943" s="2"/>
      <c r="M943" s="2"/>
      <c r="N943" s="2"/>
      <c r="O943" s="2"/>
      <c r="P943" s="2"/>
      <c r="Q943" s="2"/>
      <c r="R943" s="2"/>
      <c r="S943" s="2"/>
      <c r="T943" s="2"/>
      <c r="U943" s="2"/>
      <c r="V943" s="2"/>
    </row>
    <row r="944" spans="4:22" ht="14.25" customHeight="1">
      <c r="D944" s="2"/>
      <c r="E944" s="2"/>
      <c r="F944" s="2"/>
      <c r="G944" s="2"/>
      <c r="H944" s="2"/>
      <c r="I944" s="2"/>
      <c r="J944" s="2"/>
      <c r="K944" s="2"/>
      <c r="L944" s="2"/>
      <c r="M944" s="2"/>
      <c r="N944" s="2"/>
      <c r="O944" s="2"/>
      <c r="P944" s="2"/>
      <c r="Q944" s="2"/>
      <c r="R944" s="2"/>
      <c r="S944" s="2"/>
      <c r="T944" s="2"/>
      <c r="U944" s="2"/>
      <c r="V944" s="2"/>
    </row>
    <row r="945" spans="4:22" ht="14.25" customHeight="1">
      <c r="D945" s="2"/>
      <c r="E945" s="2"/>
      <c r="F945" s="2"/>
      <c r="G945" s="2"/>
      <c r="H945" s="2"/>
      <c r="I945" s="2"/>
      <c r="J945" s="2"/>
      <c r="K945" s="2"/>
      <c r="L945" s="2"/>
      <c r="M945" s="2"/>
      <c r="N945" s="2"/>
      <c r="O945" s="2"/>
      <c r="P945" s="2"/>
      <c r="Q945" s="2"/>
      <c r="R945" s="2"/>
      <c r="S945" s="2"/>
      <c r="T945" s="2"/>
      <c r="U945" s="2"/>
      <c r="V945" s="2"/>
    </row>
    <row r="946" spans="4:22" ht="14.25" customHeight="1">
      <c r="D946" s="2"/>
      <c r="E946" s="2"/>
      <c r="F946" s="2"/>
      <c r="G946" s="2"/>
      <c r="H946" s="2"/>
      <c r="I946" s="2"/>
      <c r="J946" s="2"/>
      <c r="K946" s="2"/>
      <c r="L946" s="2"/>
      <c r="M946" s="2"/>
      <c r="N946" s="2"/>
      <c r="O946" s="2"/>
      <c r="P946" s="2"/>
      <c r="Q946" s="2"/>
      <c r="R946" s="2"/>
      <c r="S946" s="2"/>
      <c r="T946" s="2"/>
      <c r="U946" s="2"/>
      <c r="V946" s="2"/>
    </row>
    <row r="947" spans="4:22" ht="14.25" customHeight="1">
      <c r="D947" s="2"/>
      <c r="E947" s="2"/>
      <c r="F947" s="2"/>
      <c r="G947" s="2"/>
      <c r="H947" s="2"/>
      <c r="I947" s="2"/>
      <c r="J947" s="2"/>
      <c r="K947" s="2"/>
      <c r="L947" s="2"/>
      <c r="M947" s="2"/>
      <c r="N947" s="2"/>
      <c r="O947" s="2"/>
      <c r="P947" s="2"/>
      <c r="Q947" s="2"/>
      <c r="R947" s="2"/>
      <c r="S947" s="2"/>
      <c r="T947" s="2"/>
      <c r="U947" s="2"/>
      <c r="V947" s="2"/>
    </row>
    <row r="948" spans="4:22" ht="14.25" customHeight="1">
      <c r="D948" s="2"/>
      <c r="E948" s="2"/>
      <c r="F948" s="2"/>
      <c r="G948" s="2"/>
      <c r="H948" s="2"/>
      <c r="I948" s="2"/>
      <c r="J948" s="2"/>
      <c r="K948" s="2"/>
      <c r="L948" s="2"/>
      <c r="M948" s="2"/>
      <c r="N948" s="2"/>
      <c r="O948" s="2"/>
      <c r="P948" s="2"/>
      <c r="Q948" s="2"/>
      <c r="R948" s="2"/>
      <c r="S948" s="2"/>
      <c r="T948" s="2"/>
      <c r="U948" s="2"/>
      <c r="V948" s="2"/>
    </row>
    <row r="949" spans="4:22" ht="14.25" customHeight="1">
      <c r="D949" s="2"/>
      <c r="E949" s="2"/>
      <c r="F949" s="2"/>
      <c r="G949" s="2"/>
      <c r="H949" s="2"/>
      <c r="I949" s="2"/>
      <c r="J949" s="2"/>
      <c r="K949" s="2"/>
      <c r="L949" s="2"/>
      <c r="M949" s="2"/>
      <c r="N949" s="2"/>
      <c r="O949" s="2"/>
      <c r="P949" s="2"/>
      <c r="Q949" s="2"/>
      <c r="R949" s="2"/>
      <c r="S949" s="2"/>
      <c r="T949" s="2"/>
      <c r="U949" s="2"/>
      <c r="V949" s="2"/>
    </row>
    <row r="950" spans="4:22" ht="14.25" customHeight="1">
      <c r="D950" s="2"/>
      <c r="E950" s="2"/>
      <c r="F950" s="2"/>
      <c r="G950" s="2"/>
      <c r="H950" s="2"/>
      <c r="I950" s="2"/>
      <c r="J950" s="2"/>
      <c r="K950" s="2"/>
      <c r="L950" s="2"/>
      <c r="M950" s="2"/>
      <c r="N950" s="2"/>
      <c r="O950" s="2"/>
      <c r="P950" s="2"/>
      <c r="Q950" s="2"/>
      <c r="R950" s="2"/>
      <c r="S950" s="2"/>
      <c r="T950" s="2"/>
      <c r="U950" s="2"/>
      <c r="V950" s="2"/>
    </row>
    <row r="951" spans="4:22" ht="14.25" customHeight="1">
      <c r="D951" s="2"/>
      <c r="E951" s="2"/>
      <c r="F951" s="2"/>
      <c r="G951" s="2"/>
      <c r="H951" s="2"/>
      <c r="I951" s="2"/>
      <c r="J951" s="2"/>
      <c r="K951" s="2"/>
      <c r="L951" s="2"/>
      <c r="M951" s="2"/>
      <c r="N951" s="2"/>
      <c r="O951" s="2"/>
      <c r="P951" s="2"/>
      <c r="Q951" s="2"/>
      <c r="R951" s="2"/>
      <c r="S951" s="2"/>
      <c r="T951" s="2"/>
      <c r="U951" s="2"/>
      <c r="V951" s="2"/>
    </row>
    <row r="952" spans="4:22" ht="14.25" customHeight="1">
      <c r="D952" s="2"/>
      <c r="E952" s="2"/>
      <c r="F952" s="2"/>
      <c r="G952" s="2"/>
      <c r="H952" s="2"/>
      <c r="I952" s="2"/>
      <c r="J952" s="2"/>
      <c r="K952" s="2"/>
      <c r="L952" s="2"/>
      <c r="M952" s="2"/>
      <c r="N952" s="2"/>
      <c r="O952" s="2"/>
      <c r="P952" s="2"/>
      <c r="Q952" s="2"/>
      <c r="R952" s="2"/>
      <c r="S952" s="2"/>
      <c r="T952" s="2"/>
      <c r="U952" s="2"/>
      <c r="V952" s="2"/>
    </row>
    <row r="953" spans="4:22" ht="14.25" customHeight="1">
      <c r="D953" s="2"/>
      <c r="E953" s="2"/>
      <c r="F953" s="2"/>
      <c r="G953" s="2"/>
      <c r="H953" s="2"/>
      <c r="I953" s="2"/>
      <c r="J953" s="2"/>
      <c r="K953" s="2"/>
      <c r="L953" s="2"/>
      <c r="M953" s="2"/>
      <c r="N953" s="2"/>
      <c r="O953" s="2"/>
      <c r="P953" s="2"/>
      <c r="Q953" s="2"/>
      <c r="R953" s="2"/>
      <c r="S953" s="2"/>
      <c r="T953" s="2"/>
      <c r="U953" s="2"/>
      <c r="V953" s="2"/>
    </row>
    <row r="954" spans="4:22" ht="14.25" customHeight="1">
      <c r="D954" s="2"/>
      <c r="E954" s="2"/>
      <c r="F954" s="2"/>
      <c r="G954" s="2"/>
      <c r="H954" s="2"/>
      <c r="I954" s="2"/>
      <c r="J954" s="2"/>
      <c r="K954" s="2"/>
      <c r="L954" s="2"/>
      <c r="M954" s="2"/>
      <c r="N954" s="2"/>
      <c r="O954" s="2"/>
      <c r="P954" s="2"/>
      <c r="Q954" s="2"/>
      <c r="R954" s="2"/>
      <c r="S954" s="2"/>
      <c r="T954" s="2"/>
      <c r="U954" s="2"/>
      <c r="V954" s="2"/>
    </row>
    <row r="955" spans="4:22" ht="14.25" customHeight="1">
      <c r="D955" s="2"/>
      <c r="E955" s="2"/>
      <c r="F955" s="2"/>
      <c r="G955" s="2"/>
      <c r="H955" s="2"/>
      <c r="I955" s="2"/>
      <c r="J955" s="2"/>
      <c r="K955" s="2"/>
      <c r="L955" s="2"/>
      <c r="M955" s="2"/>
      <c r="N955" s="2"/>
      <c r="O955" s="2"/>
      <c r="P955" s="2"/>
      <c r="Q955" s="2"/>
      <c r="R955" s="2"/>
      <c r="S955" s="2"/>
      <c r="T955" s="2"/>
      <c r="U955" s="2"/>
      <c r="V955" s="2"/>
    </row>
    <row r="956" spans="4:22" ht="14.25" customHeight="1">
      <c r="D956" s="2"/>
      <c r="E956" s="2"/>
      <c r="F956" s="2"/>
      <c r="G956" s="2"/>
      <c r="H956" s="2"/>
      <c r="I956" s="2"/>
      <c r="J956" s="2"/>
      <c r="K956" s="2"/>
      <c r="L956" s="2"/>
      <c r="M956" s="2"/>
      <c r="N956" s="2"/>
      <c r="O956" s="2"/>
      <c r="P956" s="2"/>
      <c r="Q956" s="2"/>
      <c r="R956" s="2"/>
      <c r="S956" s="2"/>
      <c r="T956" s="2"/>
      <c r="U956" s="2"/>
      <c r="V956" s="2"/>
    </row>
    <row r="957" spans="4:22" ht="14.25" customHeight="1">
      <c r="D957" s="2"/>
      <c r="E957" s="2"/>
      <c r="F957" s="2"/>
      <c r="G957" s="2"/>
      <c r="H957" s="2"/>
      <c r="I957" s="2"/>
      <c r="J957" s="2"/>
      <c r="K957" s="2"/>
      <c r="L957" s="2"/>
      <c r="M957" s="2"/>
      <c r="N957" s="2"/>
      <c r="O957" s="2"/>
      <c r="P957" s="2"/>
      <c r="Q957" s="2"/>
      <c r="R957" s="2"/>
      <c r="S957" s="2"/>
      <c r="T957" s="2"/>
      <c r="U957" s="2"/>
      <c r="V957" s="2"/>
    </row>
    <row r="958" spans="4:22" ht="14.25" customHeight="1">
      <c r="D958" s="2"/>
      <c r="E958" s="2"/>
      <c r="F958" s="2"/>
      <c r="G958" s="2"/>
      <c r="H958" s="2"/>
      <c r="I958" s="2"/>
      <c r="J958" s="2"/>
      <c r="K958" s="2"/>
      <c r="L958" s="2"/>
      <c r="M958" s="2"/>
      <c r="N958" s="2"/>
      <c r="O958" s="2"/>
      <c r="P958" s="2"/>
      <c r="Q958" s="2"/>
      <c r="R958" s="2"/>
      <c r="S958" s="2"/>
      <c r="T958" s="2"/>
      <c r="U958" s="2"/>
      <c r="V958" s="2"/>
    </row>
    <row r="959" spans="4:22" ht="14.25" customHeight="1">
      <c r="D959" s="2"/>
      <c r="E959" s="2"/>
      <c r="F959" s="2"/>
      <c r="G959" s="2"/>
      <c r="H959" s="2"/>
      <c r="I959" s="2"/>
      <c r="J959" s="2"/>
      <c r="K959" s="2"/>
      <c r="L959" s="2"/>
      <c r="M959" s="2"/>
      <c r="N959" s="2"/>
      <c r="O959" s="2"/>
      <c r="P959" s="2"/>
      <c r="Q959" s="2"/>
      <c r="R959" s="2"/>
      <c r="S959" s="2"/>
      <c r="T959" s="2"/>
      <c r="U959" s="2"/>
      <c r="V959" s="2"/>
    </row>
    <row r="960" spans="4:22" ht="14.25" customHeight="1">
      <c r="D960" s="2"/>
      <c r="E960" s="2"/>
      <c r="F960" s="2"/>
      <c r="G960" s="2"/>
      <c r="H960" s="2"/>
      <c r="I960" s="2"/>
      <c r="J960" s="2"/>
      <c r="K960" s="2"/>
      <c r="L960" s="2"/>
      <c r="M960" s="2"/>
      <c r="N960" s="2"/>
      <c r="O960" s="2"/>
      <c r="P960" s="2"/>
      <c r="Q960" s="2"/>
      <c r="R960" s="2"/>
      <c r="S960" s="2"/>
      <c r="T960" s="2"/>
      <c r="U960" s="2"/>
      <c r="V960" s="2"/>
    </row>
    <row r="961" spans="4:22" ht="14.25" customHeight="1">
      <c r="D961" s="2"/>
      <c r="E961" s="2"/>
      <c r="F961" s="2"/>
      <c r="G961" s="2"/>
      <c r="H961" s="2"/>
      <c r="I961" s="2"/>
      <c r="J961" s="2"/>
      <c r="K961" s="2"/>
      <c r="L961" s="2"/>
      <c r="M961" s="2"/>
      <c r="N961" s="2"/>
      <c r="O961" s="2"/>
      <c r="P961" s="2"/>
      <c r="Q961" s="2"/>
      <c r="R961" s="2"/>
      <c r="S961" s="2"/>
      <c r="T961" s="2"/>
      <c r="U961" s="2"/>
      <c r="V961" s="2"/>
    </row>
    <row r="962" spans="4:22" ht="14.25" customHeight="1">
      <c r="D962" s="2"/>
      <c r="E962" s="2"/>
      <c r="F962" s="2"/>
      <c r="G962" s="2"/>
      <c r="H962" s="2"/>
      <c r="I962" s="2"/>
      <c r="J962" s="2"/>
      <c r="K962" s="2"/>
      <c r="L962" s="2"/>
      <c r="M962" s="2"/>
      <c r="N962" s="2"/>
      <c r="O962" s="2"/>
      <c r="P962" s="2"/>
      <c r="Q962" s="2"/>
      <c r="R962" s="2"/>
      <c r="S962" s="2"/>
      <c r="T962" s="2"/>
      <c r="U962" s="2"/>
      <c r="V962" s="2"/>
    </row>
    <row r="963" spans="4:22" ht="14.25" customHeight="1">
      <c r="D963" s="2"/>
      <c r="E963" s="2"/>
      <c r="F963" s="2"/>
      <c r="G963" s="2"/>
      <c r="H963" s="2"/>
      <c r="I963" s="2"/>
      <c r="J963" s="2"/>
      <c r="K963" s="2"/>
      <c r="L963" s="2"/>
      <c r="M963" s="2"/>
      <c r="N963" s="2"/>
      <c r="O963" s="2"/>
      <c r="P963" s="2"/>
      <c r="Q963" s="2"/>
      <c r="R963" s="2"/>
      <c r="S963" s="2"/>
      <c r="T963" s="2"/>
      <c r="U963" s="2"/>
      <c r="V963" s="2"/>
    </row>
    <row r="964" spans="4:22" ht="14.25" customHeight="1">
      <c r="D964" s="2"/>
      <c r="E964" s="2"/>
      <c r="F964" s="2"/>
      <c r="G964" s="2"/>
      <c r="H964" s="2"/>
      <c r="I964" s="2"/>
      <c r="J964" s="2"/>
      <c r="K964" s="2"/>
      <c r="L964" s="2"/>
      <c r="M964" s="2"/>
      <c r="N964" s="2"/>
      <c r="O964" s="2"/>
      <c r="P964" s="2"/>
      <c r="Q964" s="2"/>
      <c r="R964" s="2"/>
      <c r="S964" s="2"/>
      <c r="T964" s="2"/>
      <c r="U964" s="2"/>
      <c r="V964" s="2"/>
    </row>
    <row r="965" spans="4:22" ht="14.25" customHeight="1">
      <c r="D965" s="2"/>
      <c r="E965" s="2"/>
      <c r="F965" s="2"/>
      <c r="G965" s="2"/>
      <c r="H965" s="2"/>
      <c r="I965" s="2"/>
      <c r="J965" s="2"/>
      <c r="K965" s="2"/>
      <c r="L965" s="2"/>
      <c r="M965" s="2"/>
      <c r="N965" s="2"/>
      <c r="O965" s="2"/>
      <c r="P965" s="2"/>
      <c r="Q965" s="2"/>
      <c r="R965" s="2"/>
      <c r="S965" s="2"/>
      <c r="T965" s="2"/>
      <c r="U965" s="2"/>
      <c r="V965" s="2"/>
    </row>
    <row r="966" spans="4:22" ht="14.25" customHeight="1">
      <c r="D966" s="2"/>
      <c r="E966" s="2"/>
      <c r="F966" s="2"/>
      <c r="G966" s="2"/>
      <c r="H966" s="2"/>
      <c r="I966" s="2"/>
      <c r="J966" s="2"/>
      <c r="K966" s="2"/>
      <c r="L966" s="2"/>
      <c r="M966" s="2"/>
      <c r="N966" s="2"/>
      <c r="O966" s="2"/>
      <c r="P966" s="2"/>
      <c r="Q966" s="2"/>
      <c r="R966" s="2"/>
      <c r="S966" s="2"/>
      <c r="T966" s="2"/>
      <c r="U966" s="2"/>
      <c r="V966" s="2"/>
    </row>
    <row r="967" spans="4:22" ht="14.25" customHeight="1">
      <c r="D967" s="2"/>
      <c r="E967" s="2"/>
      <c r="F967" s="2"/>
      <c r="G967" s="2"/>
      <c r="H967" s="2"/>
      <c r="I967" s="2"/>
      <c r="J967" s="2"/>
      <c r="K967" s="2"/>
      <c r="L967" s="2"/>
      <c r="M967" s="2"/>
      <c r="N967" s="2"/>
      <c r="O967" s="2"/>
      <c r="P967" s="2"/>
      <c r="Q967" s="2"/>
      <c r="R967" s="2"/>
      <c r="S967" s="2"/>
      <c r="T967" s="2"/>
      <c r="U967" s="2"/>
      <c r="V967" s="2"/>
    </row>
    <row r="968" spans="4:22" ht="14.25" customHeight="1">
      <c r="D968" s="2"/>
      <c r="E968" s="2"/>
      <c r="F968" s="2"/>
      <c r="G968" s="2"/>
      <c r="H968" s="2"/>
      <c r="I968" s="2"/>
      <c r="J968" s="2"/>
      <c r="K968" s="2"/>
      <c r="L968" s="2"/>
      <c r="M968" s="2"/>
      <c r="N968" s="2"/>
      <c r="O968" s="2"/>
      <c r="P968" s="2"/>
      <c r="Q968" s="2"/>
      <c r="R968" s="2"/>
      <c r="S968" s="2"/>
      <c r="T968" s="2"/>
      <c r="U968" s="2"/>
      <c r="V968" s="2"/>
    </row>
    <row r="969" spans="4:22" ht="14.25" customHeight="1">
      <c r="D969" s="2"/>
      <c r="E969" s="2"/>
      <c r="F969" s="2"/>
      <c r="G969" s="2"/>
      <c r="H969" s="2"/>
      <c r="I969" s="2"/>
      <c r="J969" s="2"/>
      <c r="K969" s="2"/>
      <c r="L969" s="2"/>
      <c r="M969" s="2"/>
      <c r="N969" s="2"/>
      <c r="O969" s="2"/>
      <c r="P969" s="2"/>
      <c r="Q969" s="2"/>
      <c r="R969" s="2"/>
      <c r="S969" s="2"/>
      <c r="T969" s="2"/>
      <c r="U969" s="2"/>
      <c r="V969" s="2"/>
    </row>
    <row r="970" spans="4:22" ht="14.25" customHeight="1">
      <c r="D970" s="2"/>
      <c r="E970" s="2"/>
      <c r="F970" s="2"/>
      <c r="G970" s="2"/>
      <c r="H970" s="2"/>
      <c r="I970" s="2"/>
      <c r="J970" s="2"/>
      <c r="K970" s="2"/>
      <c r="L970" s="2"/>
      <c r="M970" s="2"/>
      <c r="N970" s="2"/>
      <c r="O970" s="2"/>
      <c r="P970" s="2"/>
      <c r="Q970" s="2"/>
      <c r="R970" s="2"/>
      <c r="S970" s="2"/>
      <c r="T970" s="2"/>
      <c r="U970" s="2"/>
      <c r="V970" s="2"/>
    </row>
    <row r="971" spans="4:22" ht="14.25" customHeight="1">
      <c r="D971" s="2"/>
      <c r="E971" s="2"/>
      <c r="F971" s="2"/>
      <c r="G971" s="2"/>
      <c r="H971" s="2"/>
      <c r="I971" s="2"/>
      <c r="J971" s="2"/>
      <c r="K971" s="2"/>
      <c r="L971" s="2"/>
      <c r="M971" s="2"/>
      <c r="N971" s="2"/>
      <c r="O971" s="2"/>
      <c r="P971" s="2"/>
      <c r="Q971" s="2"/>
      <c r="R971" s="2"/>
      <c r="S971" s="2"/>
      <c r="T971" s="2"/>
      <c r="U971" s="2"/>
      <c r="V971" s="2"/>
    </row>
    <row r="972" spans="4:22" ht="14.25" customHeight="1">
      <c r="D972" s="2"/>
      <c r="E972" s="2"/>
      <c r="F972" s="2"/>
      <c r="G972" s="2"/>
      <c r="H972" s="2"/>
      <c r="I972" s="2"/>
      <c r="J972" s="2"/>
      <c r="K972" s="2"/>
      <c r="L972" s="2"/>
      <c r="M972" s="2"/>
      <c r="N972" s="2"/>
      <c r="O972" s="2"/>
      <c r="P972" s="2"/>
      <c r="Q972" s="2"/>
      <c r="R972" s="2"/>
      <c r="S972" s="2"/>
      <c r="T972" s="2"/>
      <c r="U972" s="2"/>
      <c r="V972" s="2"/>
    </row>
    <row r="973" spans="4:22" ht="14.25" customHeight="1">
      <c r="D973" s="2"/>
      <c r="E973" s="2"/>
      <c r="F973" s="2"/>
      <c r="G973" s="2"/>
      <c r="H973" s="2"/>
      <c r="I973" s="2"/>
      <c r="J973" s="2"/>
      <c r="K973" s="2"/>
      <c r="L973" s="2"/>
      <c r="M973" s="2"/>
      <c r="N973" s="2"/>
      <c r="O973" s="2"/>
      <c r="P973" s="2"/>
      <c r="Q973" s="2"/>
      <c r="R973" s="2"/>
      <c r="S973" s="2"/>
      <c r="T973" s="2"/>
      <c r="U973" s="2"/>
      <c r="V973" s="2"/>
    </row>
    <row r="974" spans="4:22" ht="14.25" customHeight="1">
      <c r="D974" s="2"/>
      <c r="E974" s="2"/>
      <c r="F974" s="2"/>
      <c r="G974" s="2"/>
      <c r="H974" s="2"/>
      <c r="I974" s="2"/>
      <c r="J974" s="2"/>
      <c r="K974" s="2"/>
      <c r="L974" s="2"/>
      <c r="M974" s="2"/>
      <c r="N974" s="2"/>
      <c r="O974" s="2"/>
      <c r="P974" s="2"/>
      <c r="Q974" s="2"/>
      <c r="R974" s="2"/>
      <c r="S974" s="2"/>
      <c r="T974" s="2"/>
      <c r="U974" s="2"/>
      <c r="V974" s="2"/>
    </row>
    <row r="975" spans="4:22" ht="14.25" customHeight="1">
      <c r="D975" s="2"/>
      <c r="E975" s="2"/>
      <c r="F975" s="2"/>
      <c r="G975" s="2"/>
      <c r="H975" s="2"/>
      <c r="I975" s="2"/>
      <c r="J975" s="2"/>
      <c r="K975" s="2"/>
      <c r="L975" s="2"/>
      <c r="M975" s="2"/>
      <c r="N975" s="2"/>
      <c r="O975" s="2"/>
      <c r="P975" s="2"/>
      <c r="Q975" s="2"/>
      <c r="R975" s="2"/>
      <c r="S975" s="2"/>
      <c r="T975" s="2"/>
      <c r="U975" s="2"/>
      <c r="V975" s="2"/>
    </row>
    <row r="976" spans="4:22" ht="14.25" customHeight="1">
      <c r="D976" s="2"/>
      <c r="E976" s="2"/>
      <c r="F976" s="2"/>
      <c r="G976" s="2"/>
      <c r="H976" s="2"/>
      <c r="I976" s="2"/>
      <c r="J976" s="2"/>
      <c r="K976" s="2"/>
      <c r="L976" s="2"/>
      <c r="M976" s="2"/>
      <c r="N976" s="2"/>
      <c r="O976" s="2"/>
      <c r="P976" s="2"/>
      <c r="Q976" s="2"/>
      <c r="R976" s="2"/>
      <c r="S976" s="2"/>
      <c r="T976" s="2"/>
      <c r="U976" s="2"/>
      <c r="V976" s="2"/>
    </row>
    <row r="977" spans="4:22" ht="14.25" customHeight="1">
      <c r="D977" s="2"/>
      <c r="E977" s="2"/>
      <c r="F977" s="2"/>
      <c r="G977" s="2"/>
      <c r="H977" s="2"/>
      <c r="I977" s="2"/>
      <c r="J977" s="2"/>
      <c r="K977" s="2"/>
      <c r="L977" s="2"/>
      <c r="M977" s="2"/>
      <c r="N977" s="2"/>
      <c r="O977" s="2"/>
      <c r="P977" s="2"/>
      <c r="Q977" s="2"/>
      <c r="R977" s="2"/>
      <c r="S977" s="2"/>
      <c r="T977" s="2"/>
      <c r="U977" s="2"/>
      <c r="V977" s="2"/>
    </row>
    <row r="978" spans="4:22" ht="14.25" customHeight="1">
      <c r="D978" s="2"/>
      <c r="E978" s="2"/>
      <c r="F978" s="2"/>
      <c r="G978" s="2"/>
      <c r="H978" s="2"/>
      <c r="I978" s="2"/>
      <c r="J978" s="2"/>
      <c r="K978" s="2"/>
      <c r="L978" s="2"/>
      <c r="M978" s="2"/>
      <c r="N978" s="2"/>
      <c r="O978" s="2"/>
      <c r="P978" s="2"/>
      <c r="Q978" s="2"/>
      <c r="R978" s="2"/>
      <c r="S978" s="2"/>
      <c r="T978" s="2"/>
      <c r="U978" s="2"/>
      <c r="V978" s="2"/>
    </row>
    <row r="979" spans="4:22" ht="14.25" customHeight="1">
      <c r="D979" s="2"/>
      <c r="E979" s="2"/>
      <c r="F979" s="2"/>
      <c r="G979" s="2"/>
      <c r="H979" s="2"/>
      <c r="I979" s="2"/>
      <c r="J979" s="2"/>
      <c r="K979" s="2"/>
      <c r="L979" s="2"/>
      <c r="M979" s="2"/>
      <c r="N979" s="2"/>
      <c r="O979" s="2"/>
      <c r="P979" s="2"/>
      <c r="Q979" s="2"/>
      <c r="R979" s="2"/>
      <c r="S979" s="2"/>
      <c r="T979" s="2"/>
      <c r="U979" s="2"/>
      <c r="V979" s="2"/>
    </row>
    <row r="980" spans="4:22" ht="14.25" customHeight="1">
      <c r="D980" s="2"/>
      <c r="E980" s="2"/>
      <c r="F980" s="2"/>
      <c r="G980" s="2"/>
      <c r="H980" s="2"/>
      <c r="I980" s="2"/>
      <c r="J980" s="2"/>
      <c r="K980" s="2"/>
      <c r="L980" s="2"/>
      <c r="M980" s="2"/>
      <c r="N980" s="2"/>
      <c r="O980" s="2"/>
      <c r="P980" s="2"/>
      <c r="Q980" s="2"/>
      <c r="R980" s="2"/>
      <c r="S980" s="2"/>
      <c r="T980" s="2"/>
      <c r="U980" s="2"/>
      <c r="V980" s="2"/>
    </row>
    <row r="981" spans="4:22" ht="14.25" customHeight="1">
      <c r="D981" s="2"/>
      <c r="E981" s="2"/>
      <c r="F981" s="2"/>
      <c r="G981" s="2"/>
      <c r="H981" s="2"/>
      <c r="I981" s="2"/>
      <c r="J981" s="2"/>
      <c r="K981" s="2"/>
      <c r="L981" s="2"/>
      <c r="M981" s="2"/>
      <c r="N981" s="2"/>
      <c r="O981" s="2"/>
      <c r="P981" s="2"/>
      <c r="Q981" s="2"/>
      <c r="R981" s="2"/>
      <c r="S981" s="2"/>
      <c r="T981" s="2"/>
      <c r="U981" s="2"/>
      <c r="V981" s="2"/>
    </row>
    <row r="982" spans="4:22" ht="14.25" customHeight="1">
      <c r="D982" s="2"/>
      <c r="E982" s="2"/>
      <c r="F982" s="2"/>
      <c r="G982" s="2"/>
      <c r="H982" s="2"/>
      <c r="I982" s="2"/>
      <c r="J982" s="2"/>
      <c r="K982" s="2"/>
      <c r="L982" s="2"/>
      <c r="M982" s="2"/>
      <c r="N982" s="2"/>
      <c r="O982" s="2"/>
      <c r="P982" s="2"/>
      <c r="Q982" s="2"/>
      <c r="R982" s="2"/>
      <c r="S982" s="2"/>
      <c r="T982" s="2"/>
      <c r="U982" s="2"/>
      <c r="V982" s="2"/>
    </row>
    <row r="983" spans="4:22" ht="14.25" customHeight="1">
      <c r="D983" s="2"/>
      <c r="E983" s="2"/>
      <c r="F983" s="2"/>
      <c r="G983" s="2"/>
      <c r="H983" s="2"/>
      <c r="I983" s="2"/>
      <c r="J983" s="2"/>
      <c r="K983" s="2"/>
      <c r="L983" s="2"/>
      <c r="M983" s="2"/>
      <c r="N983" s="2"/>
      <c r="O983" s="2"/>
      <c r="P983" s="2"/>
      <c r="Q983" s="2"/>
      <c r="R983" s="2"/>
      <c r="S983" s="2"/>
      <c r="T983" s="2"/>
      <c r="U983" s="2"/>
      <c r="V983" s="2"/>
    </row>
    <row r="984" spans="4:22" ht="14.25" customHeight="1">
      <c r="D984" s="2"/>
      <c r="E984" s="2"/>
      <c r="F984" s="2"/>
      <c r="G984" s="2"/>
      <c r="H984" s="2"/>
      <c r="I984" s="2"/>
      <c r="J984" s="2"/>
      <c r="K984" s="2"/>
      <c r="L984" s="2"/>
      <c r="M984" s="2"/>
      <c r="N984" s="2"/>
      <c r="O984" s="2"/>
      <c r="P984" s="2"/>
      <c r="Q984" s="2"/>
      <c r="R984" s="2"/>
      <c r="S984" s="2"/>
      <c r="T984" s="2"/>
      <c r="U984" s="2"/>
      <c r="V984" s="2"/>
    </row>
    <row r="985" spans="4:22" ht="14.25" customHeight="1">
      <c r="D985" s="2"/>
      <c r="E985" s="2"/>
      <c r="F985" s="2"/>
      <c r="G985" s="2"/>
      <c r="H985" s="2"/>
      <c r="I985" s="2"/>
      <c r="J985" s="2"/>
      <c r="K985" s="2"/>
      <c r="L985" s="2"/>
      <c r="M985" s="2"/>
      <c r="N985" s="2"/>
      <c r="O985" s="2"/>
      <c r="P985" s="2"/>
      <c r="Q985" s="2"/>
      <c r="R985" s="2"/>
      <c r="S985" s="2"/>
      <c r="T985" s="2"/>
      <c r="U985" s="2"/>
      <c r="V985" s="2"/>
    </row>
    <row r="986" spans="4:22" ht="14.25" customHeight="1">
      <c r="D986" s="2"/>
      <c r="E986" s="2"/>
      <c r="F986" s="2"/>
      <c r="G986" s="2"/>
      <c r="H986" s="2"/>
      <c r="I986" s="2"/>
      <c r="J986" s="2"/>
      <c r="V986" s="2"/>
    </row>
    <row r="987" spans="4:22" ht="14.25" customHeight="1">
      <c r="D987" s="2"/>
      <c r="E987" s="2"/>
      <c r="F987" s="2"/>
      <c r="G987" s="2"/>
      <c r="H987" s="2"/>
      <c r="I987" s="2"/>
      <c r="J987" s="2"/>
      <c r="V987" s="2"/>
    </row>
    <row r="988" spans="4:22" ht="14.25" customHeight="1">
      <c r="D988" s="2"/>
      <c r="E988" s="2"/>
      <c r="F988" s="2"/>
      <c r="G988" s="2"/>
      <c r="H988" s="2"/>
      <c r="I988" s="2"/>
      <c r="J988" s="2"/>
      <c r="V988" s="2"/>
    </row>
    <row r="989" spans="4:22" ht="14.25" customHeight="1">
      <c r="D989" s="2"/>
      <c r="E989" s="2"/>
      <c r="F989" s="2"/>
      <c r="G989" s="2"/>
      <c r="H989" s="2"/>
      <c r="I989" s="2"/>
      <c r="J989" s="2"/>
      <c r="V989" s="2"/>
    </row>
    <row r="990" spans="4:22" ht="14.25" customHeight="1">
      <c r="D990" s="2"/>
      <c r="E990" s="2"/>
      <c r="F990" s="2"/>
      <c r="G990" s="2"/>
      <c r="H990" s="2"/>
      <c r="I990" s="2"/>
      <c r="J990" s="2"/>
      <c r="V990" s="2"/>
    </row>
    <row r="991" spans="4:22" ht="14.25" customHeight="1">
      <c r="I991" s="2"/>
      <c r="J991" s="2"/>
      <c r="V991" s="2"/>
    </row>
    <row r="992" spans="4:22" ht="14.25" customHeight="1">
      <c r="I992" s="2"/>
      <c r="J992" s="2"/>
      <c r="V992" s="2"/>
    </row>
    <row r="993" spans="9:10" ht="15" customHeight="1">
      <c r="I993" s="2"/>
      <c r="J993" s="2"/>
    </row>
  </sheetData>
  <mergeCells count="7">
    <mergeCell ref="G38:H40"/>
    <mergeCell ref="H35:H36"/>
    <mergeCell ref="B17:B29"/>
    <mergeCell ref="D4:H4"/>
    <mergeCell ref="B11:B13"/>
    <mergeCell ref="G34:H34"/>
    <mergeCell ref="G35:G36"/>
  </mergeCells>
  <pageMargins left="0.511811024" right="0.511811024" top="0.78740157499999996" bottom="0.78740157499999996"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B2:F69"/>
  <sheetViews>
    <sheetView showGridLines="0" workbookViewId="0"/>
  </sheetViews>
  <sheetFormatPr defaultColWidth="14.42578125" defaultRowHeight="15" customHeight="1"/>
  <cols>
    <col min="2" max="2" width="32.140625" customWidth="1"/>
    <col min="5" max="5" width="29.5703125" customWidth="1"/>
    <col min="6" max="6" width="120.85546875" customWidth="1"/>
  </cols>
  <sheetData>
    <row r="2" spans="2:6" ht="15" customHeight="1">
      <c r="B2" s="12" t="s">
        <v>123</v>
      </c>
      <c r="C2" s="12" t="s">
        <v>119</v>
      </c>
      <c r="D2" s="12" t="s">
        <v>179</v>
      </c>
      <c r="E2" s="12" t="s">
        <v>180</v>
      </c>
      <c r="F2" s="12" t="s">
        <v>77</v>
      </c>
    </row>
    <row r="3" spans="2:6" ht="15" customHeight="1">
      <c r="B3" s="143" t="s">
        <v>181</v>
      </c>
      <c r="C3" s="144">
        <v>11313.87</v>
      </c>
      <c r="D3" s="145">
        <v>45786</v>
      </c>
      <c r="E3" s="49" t="s">
        <v>182</v>
      </c>
      <c r="F3" s="49" t="s">
        <v>73</v>
      </c>
    </row>
    <row r="4" spans="2:6" ht="15" customHeight="1">
      <c r="B4" s="143" t="s">
        <v>183</v>
      </c>
      <c r="C4" s="144">
        <v>669.9</v>
      </c>
      <c r="D4" s="145">
        <v>45786</v>
      </c>
      <c r="E4" s="49" t="s">
        <v>182</v>
      </c>
      <c r="F4" s="49" t="s">
        <v>73</v>
      </c>
    </row>
    <row r="5" spans="2:6" ht="15" customHeight="1">
      <c r="B5" s="143" t="s">
        <v>184</v>
      </c>
      <c r="C5" s="144">
        <v>570.83000000000004</v>
      </c>
      <c r="D5" s="145">
        <v>45786</v>
      </c>
      <c r="E5" s="49" t="s">
        <v>182</v>
      </c>
      <c r="F5" s="49" t="s">
        <v>73</v>
      </c>
    </row>
    <row r="6" spans="2:6" ht="15" customHeight="1">
      <c r="B6" s="143" t="s">
        <v>185</v>
      </c>
      <c r="C6" s="144">
        <v>624.85</v>
      </c>
      <c r="D6" s="145">
        <v>45786</v>
      </c>
      <c r="E6" s="49" t="s">
        <v>182</v>
      </c>
      <c r="F6" s="49" t="s">
        <v>73</v>
      </c>
    </row>
    <row r="7" spans="2:6" ht="15" customHeight="1">
      <c r="B7" s="49" t="s">
        <v>186</v>
      </c>
      <c r="C7" s="146">
        <v>2090</v>
      </c>
      <c r="D7" s="145">
        <v>45770</v>
      </c>
      <c r="E7" s="49" t="s">
        <v>187</v>
      </c>
      <c r="F7" s="49" t="s">
        <v>188</v>
      </c>
    </row>
    <row r="8" spans="2:6" ht="15" customHeight="1">
      <c r="B8" s="49" t="s">
        <v>189</v>
      </c>
      <c r="C8" s="146">
        <v>680</v>
      </c>
      <c r="D8" s="145">
        <v>45772</v>
      </c>
      <c r="E8" s="49" t="s">
        <v>190</v>
      </c>
      <c r="F8" s="49" t="s">
        <v>191</v>
      </c>
    </row>
    <row r="9" spans="2:6" ht="15" customHeight="1">
      <c r="B9" s="49" t="s">
        <v>192</v>
      </c>
      <c r="C9" s="147">
        <v>6500</v>
      </c>
      <c r="D9" s="145">
        <v>45746</v>
      </c>
      <c r="E9" s="49" t="s">
        <v>193</v>
      </c>
      <c r="F9" s="49" t="s">
        <v>194</v>
      </c>
    </row>
    <row r="10" spans="2:6" ht="15" customHeight="1">
      <c r="B10" s="49" t="s">
        <v>192</v>
      </c>
      <c r="C10" s="147">
        <v>8000</v>
      </c>
      <c r="D10" s="145">
        <v>45778</v>
      </c>
    </row>
    <row r="11" spans="2:6" ht="15" customHeight="1">
      <c r="B11" s="49" t="s">
        <v>195</v>
      </c>
      <c r="C11" s="146">
        <v>17000</v>
      </c>
      <c r="D11" s="145">
        <v>45769</v>
      </c>
      <c r="E11" s="49" t="s">
        <v>196</v>
      </c>
      <c r="F11" s="49" t="s">
        <v>197</v>
      </c>
    </row>
    <row r="12" spans="2:6" ht="15" customHeight="1">
      <c r="B12" s="49" t="s">
        <v>198</v>
      </c>
      <c r="C12" s="146">
        <v>1123</v>
      </c>
      <c r="D12" s="145">
        <v>45767</v>
      </c>
      <c r="E12" s="49" t="s">
        <v>199</v>
      </c>
      <c r="F12" s="49" t="s">
        <v>200</v>
      </c>
    </row>
    <row r="13" spans="2:6" ht="15" customHeight="1">
      <c r="B13" s="49" t="s">
        <v>201</v>
      </c>
      <c r="C13" s="148">
        <v>18229.79</v>
      </c>
      <c r="D13" s="145">
        <v>45726</v>
      </c>
      <c r="E13" s="49" t="s">
        <v>202</v>
      </c>
      <c r="F13" s="49" t="s">
        <v>203</v>
      </c>
    </row>
    <row r="14" spans="2:6" ht="15" customHeight="1">
      <c r="B14" s="49" t="s">
        <v>204</v>
      </c>
      <c r="C14" s="146">
        <f>120+227.73+130</f>
        <v>477.73</v>
      </c>
      <c r="D14" s="145">
        <v>45737</v>
      </c>
      <c r="E14" s="49" t="s">
        <v>199</v>
      </c>
      <c r="F14" s="49" t="s">
        <v>205</v>
      </c>
    </row>
    <row r="15" spans="2:6" ht="15" customHeight="1">
      <c r="B15" s="49" t="s">
        <v>206</v>
      </c>
      <c r="C15" s="146">
        <v>500</v>
      </c>
      <c r="D15" s="11" t="s">
        <v>207</v>
      </c>
      <c r="E15" s="49" t="s">
        <v>199</v>
      </c>
      <c r="F15" s="49" t="s">
        <v>208</v>
      </c>
    </row>
    <row r="16" spans="2:6" ht="15" customHeight="1">
      <c r="B16" s="49" t="s">
        <v>209</v>
      </c>
      <c r="C16" s="146">
        <v>860.29</v>
      </c>
      <c r="D16" s="145">
        <v>45754</v>
      </c>
      <c r="E16" s="49" t="s">
        <v>209</v>
      </c>
      <c r="F16" s="49" t="s">
        <v>210</v>
      </c>
    </row>
    <row r="17" spans="2:6" ht="15" customHeight="1">
      <c r="B17" s="49" t="s">
        <v>211</v>
      </c>
      <c r="C17" s="149">
        <v>5000</v>
      </c>
      <c r="D17" s="145">
        <v>45777</v>
      </c>
      <c r="E17" s="49" t="s">
        <v>212</v>
      </c>
      <c r="F17" s="49" t="s">
        <v>213</v>
      </c>
    </row>
    <row r="18" spans="2:6" ht="15" customHeight="1">
      <c r="C18" s="150">
        <f>SUM(C7:C17)</f>
        <v>60460.810000000005</v>
      </c>
    </row>
    <row r="22" spans="2:6" ht="15" customHeight="1">
      <c r="B22" s="151" t="s">
        <v>214</v>
      </c>
    </row>
    <row r="24" spans="2:6" ht="15" customHeight="1">
      <c r="B24" s="152" t="s">
        <v>215</v>
      </c>
      <c r="C24" s="153">
        <f>SUM(C25:C26)</f>
        <v>35724.450000000004</v>
      </c>
    </row>
    <row r="25" spans="2:6" ht="15" customHeight="1">
      <c r="B25" s="49" t="s">
        <v>216</v>
      </c>
      <c r="C25" s="150">
        <f>3516.37+31200-1490.92+2499</f>
        <v>35724.450000000004</v>
      </c>
    </row>
    <row r="26" spans="2:6" ht="15" customHeight="1">
      <c r="B26" s="49" t="s">
        <v>217</v>
      </c>
      <c r="C26" s="150">
        <v>0</v>
      </c>
    </row>
    <row r="27" spans="2:6" ht="15" customHeight="1">
      <c r="B27" s="154"/>
      <c r="C27" s="155"/>
    </row>
    <row r="28" spans="2:6" ht="15" customHeight="1">
      <c r="B28" s="156" t="s">
        <v>218</v>
      </c>
      <c r="C28" s="157">
        <f>SUM(C29:C50)</f>
        <v>-167914.93</v>
      </c>
    </row>
    <row r="29" spans="2:6" ht="15" customHeight="1">
      <c r="B29" s="49" t="s">
        <v>219</v>
      </c>
      <c r="C29" s="150">
        <v>-597.92999999999995</v>
      </c>
    </row>
    <row r="30" spans="2:6" ht="15" customHeight="1">
      <c r="B30" s="49" t="s">
        <v>220</v>
      </c>
      <c r="C30" s="150">
        <v>-4787</v>
      </c>
    </row>
    <row r="31" spans="2:6" ht="15" customHeight="1">
      <c r="B31" s="49" t="s">
        <v>221</v>
      </c>
      <c r="C31" s="150">
        <v>-11500</v>
      </c>
      <c r="D31" s="49" t="s">
        <v>222</v>
      </c>
    </row>
    <row r="32" spans="2:6" ht="15" customHeight="1">
      <c r="B32" s="49" t="s">
        <v>223</v>
      </c>
      <c r="C32" s="150">
        <v>-1400</v>
      </c>
    </row>
    <row r="33" spans="2:4" ht="15" customHeight="1">
      <c r="B33" s="49" t="s">
        <v>224</v>
      </c>
      <c r="C33" s="150">
        <v>-29500</v>
      </c>
    </row>
    <row r="34" spans="2:4" ht="15" customHeight="1">
      <c r="B34" s="49" t="s">
        <v>225</v>
      </c>
      <c r="C34" s="150">
        <v>-1250</v>
      </c>
    </row>
    <row r="35" spans="2:4" ht="15" customHeight="1">
      <c r="B35" s="49" t="s">
        <v>226</v>
      </c>
      <c r="C35" s="150">
        <v>-24000</v>
      </c>
    </row>
    <row r="36" spans="2:4" ht="15" customHeight="1">
      <c r="B36" s="49" t="s">
        <v>227</v>
      </c>
      <c r="C36" s="150">
        <v>-6000</v>
      </c>
    </row>
    <row r="37" spans="2:4" ht="15" customHeight="1">
      <c r="B37" s="49" t="s">
        <v>228</v>
      </c>
      <c r="C37" s="150">
        <v>-140</v>
      </c>
      <c r="D37" s="49" t="s">
        <v>229</v>
      </c>
    </row>
    <row r="38" spans="2:4">
      <c r="B38" s="49" t="s">
        <v>230</v>
      </c>
      <c r="C38" s="150">
        <v>-14600</v>
      </c>
    </row>
    <row r="39" spans="2:4">
      <c r="B39" s="49" t="s">
        <v>231</v>
      </c>
      <c r="C39" s="150">
        <v>-800</v>
      </c>
    </row>
    <row r="40" spans="2:4">
      <c r="B40" s="49" t="s">
        <v>232</v>
      </c>
      <c r="C40" s="150">
        <v>-16500</v>
      </c>
    </row>
    <row r="41" spans="2:4">
      <c r="B41" s="49" t="s">
        <v>233</v>
      </c>
      <c r="C41" s="150">
        <v>-5000</v>
      </c>
    </row>
    <row r="42" spans="2:4">
      <c r="B42" s="49" t="s">
        <v>234</v>
      </c>
      <c r="C42" s="150">
        <v>-10000</v>
      </c>
    </row>
    <row r="43" spans="2:4">
      <c r="B43" s="49" t="s">
        <v>235</v>
      </c>
      <c r="C43" s="150">
        <v>-10000</v>
      </c>
    </row>
    <row r="44" spans="2:4">
      <c r="B44" s="49" t="s">
        <v>236</v>
      </c>
      <c r="C44" s="150">
        <v>-500</v>
      </c>
    </row>
    <row r="45" spans="2:4">
      <c r="B45" s="49" t="s">
        <v>237</v>
      </c>
      <c r="C45" s="150">
        <v>-1740</v>
      </c>
    </row>
    <row r="46" spans="2:4">
      <c r="B46" s="49" t="s">
        <v>238</v>
      </c>
      <c r="C46" s="150">
        <v>-8000</v>
      </c>
    </row>
    <row r="47" spans="2:4">
      <c r="B47" s="49" t="s">
        <v>239</v>
      </c>
      <c r="C47" s="150">
        <v>-8000</v>
      </c>
    </row>
    <row r="48" spans="2:4">
      <c r="B48" s="49" t="s">
        <v>240</v>
      </c>
      <c r="C48" s="150">
        <v>-11000</v>
      </c>
    </row>
    <row r="49" spans="2:4">
      <c r="B49" s="49" t="s">
        <v>241</v>
      </c>
      <c r="C49" s="150">
        <v>-2100</v>
      </c>
    </row>
    <row r="50" spans="2:4">
      <c r="B50" s="49" t="s">
        <v>242</v>
      </c>
      <c r="C50" s="150">
        <v>-500</v>
      </c>
    </row>
    <row r="52" spans="2:4">
      <c r="B52" s="158" t="s">
        <v>81</v>
      </c>
      <c r="C52" s="159">
        <f>SUM(C24,C28)</f>
        <v>-132190.47999999998</v>
      </c>
    </row>
    <row r="55" spans="2:4">
      <c r="B55" s="151" t="s">
        <v>243</v>
      </c>
    </row>
    <row r="57" spans="2:4">
      <c r="B57" s="152" t="s">
        <v>215</v>
      </c>
      <c r="C57" s="153">
        <f>SUM(C58:C60)</f>
        <v>32309.520000000019</v>
      </c>
    </row>
    <row r="58" spans="2:4">
      <c r="B58" s="49" t="s">
        <v>244</v>
      </c>
      <c r="C58" s="150">
        <f>C52</f>
        <v>-132190.47999999998</v>
      </c>
    </row>
    <row r="59" spans="2:4">
      <c r="B59" s="49" t="s">
        <v>245</v>
      </c>
      <c r="C59" s="150">
        <v>22000</v>
      </c>
    </row>
    <row r="60" spans="2:4">
      <c r="B60" s="49" t="s">
        <v>246</v>
      </c>
      <c r="C60" s="150">
        <f>125000+17500</f>
        <v>142500</v>
      </c>
    </row>
    <row r="61" spans="2:4">
      <c r="B61" s="154"/>
      <c r="C61" s="155"/>
    </row>
    <row r="62" spans="2:4">
      <c r="B62" s="156" t="s">
        <v>247</v>
      </c>
      <c r="C62" s="157">
        <f>SUM(C63:C67)</f>
        <v>-130513</v>
      </c>
    </row>
    <row r="63" spans="2:4">
      <c r="B63" s="49" t="s">
        <v>248</v>
      </c>
      <c r="C63" s="150">
        <v>-5110</v>
      </c>
    </row>
    <row r="64" spans="2:4">
      <c r="B64" s="49" t="s">
        <v>249</v>
      </c>
      <c r="C64" s="150">
        <v>-117000</v>
      </c>
      <c r="D64" s="49" t="s">
        <v>250</v>
      </c>
    </row>
    <row r="65" spans="2:4">
      <c r="B65" s="49" t="s">
        <v>251</v>
      </c>
      <c r="C65" s="150">
        <v>-5000</v>
      </c>
    </row>
    <row r="66" spans="2:4">
      <c r="B66" s="49" t="s">
        <v>221</v>
      </c>
      <c r="C66" s="150">
        <f>-105-1900-120-880-111-252</f>
        <v>-3368</v>
      </c>
      <c r="D66" s="49" t="s">
        <v>252</v>
      </c>
    </row>
    <row r="67" spans="2:4">
      <c r="B67" s="49" t="s">
        <v>253</v>
      </c>
      <c r="C67" s="150">
        <v>-35</v>
      </c>
      <c r="D67" s="49" t="s">
        <v>254</v>
      </c>
    </row>
    <row r="69" spans="2:4">
      <c r="B69" s="158" t="s">
        <v>81</v>
      </c>
      <c r="C69" s="159">
        <f>SUM(C57,C62)</f>
        <v>-98203.479999999981</v>
      </c>
    </row>
  </sheetData>
  <pageMargins left="0.511811024" right="0.511811024" top="0.78740157499999996" bottom="0.78740157499999996"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filterMode="1"/>
  <dimension ref="A1:AB2934"/>
  <sheetViews>
    <sheetView showGridLines="0" workbookViewId="0">
      <pane ySplit="1" topLeftCell="A2" activePane="bottomLeft" state="frozen"/>
      <selection pane="bottomLeft" activeCell="B3" sqref="B3"/>
    </sheetView>
  </sheetViews>
  <sheetFormatPr defaultColWidth="14.42578125" defaultRowHeight="15" customHeight="1" outlineLevelCol="1"/>
  <cols>
    <col min="1" max="1" width="13.42578125" customWidth="1"/>
    <col min="2" max="2" width="15.140625" customWidth="1" outlineLevel="1"/>
    <col min="3" max="3" width="36.7109375" customWidth="1"/>
    <col min="4" max="4" width="25.140625" hidden="1" customWidth="1" outlineLevel="1"/>
    <col min="5" max="5" width="26.5703125" customWidth="1" collapsed="1"/>
    <col min="6" max="7" width="19.140625" customWidth="1"/>
    <col min="8" max="8" width="13.140625" hidden="1" customWidth="1"/>
    <col min="9" max="9" width="29.7109375" hidden="1" customWidth="1"/>
    <col min="10" max="10" width="23.42578125" hidden="1" customWidth="1"/>
    <col min="11" max="11" width="20.5703125" hidden="1" customWidth="1"/>
    <col min="12" max="12" width="14.5703125" hidden="1" customWidth="1"/>
    <col min="13" max="13" width="22.28515625" hidden="1" customWidth="1"/>
    <col min="14" max="14" width="35.28515625" hidden="1" customWidth="1"/>
    <col min="15" max="15" width="23.42578125" hidden="1" customWidth="1"/>
    <col min="16" max="16" width="24.7109375" hidden="1" customWidth="1"/>
    <col min="17" max="17" width="14.5703125" hidden="1" customWidth="1"/>
    <col min="18" max="18" width="71.85546875" hidden="1" customWidth="1" outlineLevel="1"/>
    <col min="19" max="19" width="52.28515625" hidden="1" customWidth="1" outlineLevel="1"/>
    <col min="20" max="20" width="8.7109375" hidden="1" customWidth="1" outlineLevel="1"/>
    <col min="21" max="21" width="13.5703125" customWidth="1" collapsed="1"/>
    <col min="22" max="28" width="8.7109375" customWidth="1"/>
  </cols>
  <sheetData>
    <row r="1" spans="1:28" ht="14.25" customHeight="1">
      <c r="A1" s="160" t="s">
        <v>255</v>
      </c>
      <c r="B1" s="160" t="s">
        <v>256</v>
      </c>
      <c r="C1" s="160" t="s">
        <v>257</v>
      </c>
      <c r="D1" s="160" t="s">
        <v>258</v>
      </c>
      <c r="E1" s="161" t="s">
        <v>180</v>
      </c>
      <c r="F1" s="160" t="s">
        <v>259</v>
      </c>
      <c r="G1" s="162" t="s">
        <v>260</v>
      </c>
      <c r="H1" s="160" t="s">
        <v>261</v>
      </c>
      <c r="I1" s="160" t="s">
        <v>262</v>
      </c>
      <c r="J1" s="160" t="s">
        <v>263</v>
      </c>
      <c r="K1" s="160" t="s">
        <v>264</v>
      </c>
      <c r="L1" s="160" t="s">
        <v>265</v>
      </c>
      <c r="M1" s="160" t="s">
        <v>266</v>
      </c>
      <c r="N1" s="160" t="s">
        <v>267</v>
      </c>
      <c r="O1" s="160" t="s">
        <v>268</v>
      </c>
      <c r="P1" s="160" t="s">
        <v>269</v>
      </c>
      <c r="Q1" s="160" t="s">
        <v>270</v>
      </c>
      <c r="R1" s="160" t="s">
        <v>271</v>
      </c>
      <c r="S1" s="160" t="s">
        <v>272</v>
      </c>
      <c r="T1" s="43" t="s">
        <v>273</v>
      </c>
      <c r="U1" s="43" t="s">
        <v>274</v>
      </c>
      <c r="V1" s="43" t="s">
        <v>275</v>
      </c>
      <c r="W1" s="43" t="s">
        <v>74</v>
      </c>
      <c r="X1" s="43" t="s">
        <v>276</v>
      </c>
      <c r="Y1" s="43" t="s">
        <v>277</v>
      </c>
      <c r="Z1" s="43"/>
      <c r="AA1" s="43"/>
      <c r="AB1" s="43"/>
    </row>
    <row r="2" spans="1:28" ht="14.25" hidden="1" customHeight="1">
      <c r="A2" s="163"/>
      <c r="B2" s="164">
        <v>45596</v>
      </c>
      <c r="C2" s="163" t="s">
        <v>278</v>
      </c>
      <c r="D2" s="163"/>
      <c r="E2" s="163"/>
      <c r="F2" s="165">
        <v>0</v>
      </c>
      <c r="G2" s="165">
        <v>574.1</v>
      </c>
      <c r="H2" s="163"/>
      <c r="I2" s="163"/>
      <c r="J2" s="163"/>
      <c r="K2" s="163"/>
      <c r="L2" s="163"/>
      <c r="M2" s="163"/>
      <c r="N2" s="163"/>
      <c r="O2" s="163"/>
      <c r="P2" s="163"/>
      <c r="Q2" s="163"/>
      <c r="R2" s="163"/>
      <c r="S2" s="163"/>
      <c r="T2" s="43">
        <f t="shared" ref="T2:T231" si="0">MONTH(B2)</f>
        <v>10</v>
      </c>
      <c r="U2" s="166">
        <f t="shared" ref="U2:U256" si="1">IF(V2="",B2,V2)</f>
        <v>45596</v>
      </c>
      <c r="V2" s="43"/>
      <c r="W2" s="43"/>
      <c r="X2" s="43"/>
      <c r="Y2" s="43"/>
      <c r="Z2" s="43"/>
      <c r="AA2" s="43"/>
      <c r="AB2" s="43"/>
    </row>
    <row r="3" spans="1:28" ht="14.25" hidden="1" customHeight="1">
      <c r="A3" s="163" t="s">
        <v>279</v>
      </c>
      <c r="B3" s="164">
        <v>45597</v>
      </c>
      <c r="C3" s="163" t="s">
        <v>280</v>
      </c>
      <c r="D3" s="163" t="s">
        <v>281</v>
      </c>
      <c r="E3" s="163" t="s">
        <v>282</v>
      </c>
      <c r="F3" s="165">
        <v>9250</v>
      </c>
      <c r="G3" s="165">
        <f t="shared" ref="G3:G257" si="2">F3+G2</f>
        <v>9824.1</v>
      </c>
      <c r="H3" s="163"/>
      <c r="I3" s="163" t="s">
        <v>283</v>
      </c>
      <c r="J3" s="163" t="s">
        <v>284</v>
      </c>
      <c r="K3" s="163"/>
      <c r="L3" s="163"/>
      <c r="M3" s="163"/>
      <c r="N3" s="163" t="s">
        <v>285</v>
      </c>
      <c r="O3" s="163"/>
      <c r="P3" s="163"/>
      <c r="Q3" s="163"/>
      <c r="R3" s="163" t="s">
        <v>286</v>
      </c>
      <c r="S3" s="163" t="s">
        <v>287</v>
      </c>
      <c r="T3" s="43">
        <f t="shared" si="0"/>
        <v>11</v>
      </c>
      <c r="U3" s="166">
        <f t="shared" si="1"/>
        <v>45597</v>
      </c>
      <c r="V3" s="43"/>
      <c r="W3" s="43"/>
      <c r="X3" s="43"/>
      <c r="Y3" s="43"/>
      <c r="Z3" s="43"/>
      <c r="AA3" s="43"/>
      <c r="AB3" s="43"/>
    </row>
    <row r="4" spans="1:28" ht="14.25" hidden="1" customHeight="1">
      <c r="A4" s="163" t="s">
        <v>279</v>
      </c>
      <c r="B4" s="164">
        <v>45597</v>
      </c>
      <c r="C4" s="163" t="s">
        <v>288</v>
      </c>
      <c r="D4" s="163" t="s">
        <v>281</v>
      </c>
      <c r="E4" s="163" t="s">
        <v>289</v>
      </c>
      <c r="F4" s="165">
        <v>17020</v>
      </c>
      <c r="G4" s="165">
        <f t="shared" si="2"/>
        <v>26844.1</v>
      </c>
      <c r="H4" s="163"/>
      <c r="I4" s="163" t="s">
        <v>283</v>
      </c>
      <c r="J4" s="163" t="s">
        <v>290</v>
      </c>
      <c r="K4" s="163"/>
      <c r="L4" s="163"/>
      <c r="M4" s="163"/>
      <c r="N4" s="163" t="s">
        <v>285</v>
      </c>
      <c r="O4" s="163"/>
      <c r="P4" s="163"/>
      <c r="Q4" s="163"/>
      <c r="R4" s="163" t="s">
        <v>291</v>
      </c>
      <c r="S4" s="163" t="s">
        <v>292</v>
      </c>
      <c r="T4" s="43">
        <f t="shared" si="0"/>
        <v>11</v>
      </c>
      <c r="U4" s="166">
        <f t="shared" si="1"/>
        <v>45597</v>
      </c>
      <c r="V4" s="167"/>
      <c r="W4" s="43"/>
      <c r="X4" s="43"/>
      <c r="Y4" s="43"/>
      <c r="Z4" s="43"/>
      <c r="AA4" s="43"/>
      <c r="AB4" s="43"/>
    </row>
    <row r="5" spans="1:28" ht="14.25" hidden="1" customHeight="1">
      <c r="A5" s="163" t="s">
        <v>279</v>
      </c>
      <c r="B5" s="164">
        <v>45597</v>
      </c>
      <c r="C5" s="163" t="s">
        <v>293</v>
      </c>
      <c r="D5" s="163" t="s">
        <v>281</v>
      </c>
      <c r="E5" s="163" t="s">
        <v>294</v>
      </c>
      <c r="F5" s="168">
        <v>-2058.8000000000002</v>
      </c>
      <c r="G5" s="165">
        <f t="shared" si="2"/>
        <v>24785.3</v>
      </c>
      <c r="H5" s="163"/>
      <c r="I5" s="163" t="s">
        <v>283</v>
      </c>
      <c r="J5" s="163"/>
      <c r="K5" s="163"/>
      <c r="L5" s="163" t="s">
        <v>295</v>
      </c>
      <c r="M5" s="163" t="s">
        <v>296</v>
      </c>
      <c r="N5" s="163" t="s">
        <v>297</v>
      </c>
      <c r="O5" s="163"/>
      <c r="P5" s="163"/>
      <c r="Q5" s="163"/>
      <c r="R5" s="163" t="s">
        <v>298</v>
      </c>
      <c r="S5" s="163" t="s">
        <v>299</v>
      </c>
      <c r="T5" s="43">
        <f t="shared" si="0"/>
        <v>11</v>
      </c>
      <c r="U5" s="166">
        <f t="shared" si="1"/>
        <v>45597</v>
      </c>
      <c r="V5" s="43"/>
      <c r="W5" s="43"/>
      <c r="X5" s="43"/>
      <c r="Y5" s="43"/>
      <c r="Z5" s="43"/>
      <c r="AA5" s="43"/>
      <c r="AB5" s="43"/>
    </row>
    <row r="6" spans="1:28" ht="14.25" hidden="1" customHeight="1">
      <c r="A6" s="163" t="s">
        <v>279</v>
      </c>
      <c r="B6" s="164">
        <v>45597</v>
      </c>
      <c r="C6" s="163" t="s">
        <v>300</v>
      </c>
      <c r="D6" s="163" t="s">
        <v>281</v>
      </c>
      <c r="E6" s="163" t="s">
        <v>301</v>
      </c>
      <c r="F6" s="168">
        <v>-2193.04</v>
      </c>
      <c r="G6" s="165">
        <f t="shared" si="2"/>
        <v>22592.26</v>
      </c>
      <c r="H6" s="163"/>
      <c r="I6" s="163" t="s">
        <v>283</v>
      </c>
      <c r="J6" s="163"/>
      <c r="K6" s="163"/>
      <c r="L6" s="163" t="s">
        <v>302</v>
      </c>
      <c r="M6" s="163" t="s">
        <v>303</v>
      </c>
      <c r="N6" s="163" t="s">
        <v>297</v>
      </c>
      <c r="O6" s="163"/>
      <c r="P6" s="163"/>
      <c r="Q6" s="163"/>
      <c r="R6" s="163" t="s">
        <v>300</v>
      </c>
      <c r="S6" s="163" t="s">
        <v>304</v>
      </c>
      <c r="T6" s="43">
        <f t="shared" si="0"/>
        <v>11</v>
      </c>
      <c r="U6" s="166">
        <f t="shared" si="1"/>
        <v>45597</v>
      </c>
      <c r="V6" s="167"/>
      <c r="W6" s="43"/>
      <c r="X6" s="43"/>
      <c r="Y6" s="43"/>
      <c r="Z6" s="43"/>
      <c r="AA6" s="43"/>
      <c r="AB6" s="43"/>
    </row>
    <row r="7" spans="1:28" ht="14.25" hidden="1" customHeight="1">
      <c r="A7" s="163" t="s">
        <v>279</v>
      </c>
      <c r="B7" s="164">
        <v>45597</v>
      </c>
      <c r="C7" s="163" t="s">
        <v>300</v>
      </c>
      <c r="D7" s="163" t="s">
        <v>281</v>
      </c>
      <c r="E7" s="163" t="s">
        <v>122</v>
      </c>
      <c r="F7" s="168">
        <v>-436.8</v>
      </c>
      <c r="G7" s="165">
        <f t="shared" si="2"/>
        <v>22155.46</v>
      </c>
      <c r="H7" s="163"/>
      <c r="I7" s="163" t="s">
        <v>283</v>
      </c>
      <c r="J7" s="163"/>
      <c r="K7" s="163"/>
      <c r="L7" s="163" t="s">
        <v>305</v>
      </c>
      <c r="M7" s="163" t="s">
        <v>306</v>
      </c>
      <c r="N7" s="163" t="s">
        <v>297</v>
      </c>
      <c r="O7" s="163"/>
      <c r="P7" s="163"/>
      <c r="Q7" s="163"/>
      <c r="R7" s="163" t="s">
        <v>300</v>
      </c>
      <c r="S7" s="163" t="s">
        <v>304</v>
      </c>
      <c r="T7" s="43">
        <f t="shared" si="0"/>
        <v>11</v>
      </c>
      <c r="U7" s="166">
        <f t="shared" si="1"/>
        <v>45597</v>
      </c>
      <c r="V7" s="167"/>
      <c r="W7" s="43"/>
      <c r="X7" s="43"/>
      <c r="Y7" s="43"/>
      <c r="Z7" s="43"/>
      <c r="AA7" s="43"/>
      <c r="AB7" s="43"/>
    </row>
    <row r="8" spans="1:28" ht="14.25" hidden="1" customHeight="1">
      <c r="A8" s="163" t="s">
        <v>279</v>
      </c>
      <c r="B8" s="164">
        <v>45597</v>
      </c>
      <c r="C8" s="163" t="s">
        <v>307</v>
      </c>
      <c r="D8" s="163" t="s">
        <v>281</v>
      </c>
      <c r="E8" s="163" t="s">
        <v>308</v>
      </c>
      <c r="F8" s="168">
        <v>-165</v>
      </c>
      <c r="G8" s="165">
        <f t="shared" si="2"/>
        <v>21990.46</v>
      </c>
      <c r="H8" s="163"/>
      <c r="I8" s="163" t="s">
        <v>283</v>
      </c>
      <c r="J8" s="163"/>
      <c r="K8" s="163"/>
      <c r="L8" s="163" t="s">
        <v>305</v>
      </c>
      <c r="M8" s="163" t="s">
        <v>309</v>
      </c>
      <c r="N8" s="163" t="s">
        <v>297</v>
      </c>
      <c r="O8" s="163"/>
      <c r="P8" s="163"/>
      <c r="Q8" s="163"/>
      <c r="R8" s="163" t="s">
        <v>310</v>
      </c>
      <c r="S8" s="163" t="s">
        <v>311</v>
      </c>
      <c r="T8" s="43">
        <f t="shared" si="0"/>
        <v>11</v>
      </c>
      <c r="U8" s="166">
        <f t="shared" si="1"/>
        <v>45597</v>
      </c>
      <c r="V8" s="167"/>
      <c r="W8" s="43"/>
      <c r="X8" s="43"/>
      <c r="Y8" s="43"/>
      <c r="Z8" s="43"/>
      <c r="AA8" s="43"/>
      <c r="AB8" s="43"/>
    </row>
    <row r="9" spans="1:28" ht="14.25" hidden="1" customHeight="1">
      <c r="A9" s="163" t="s">
        <v>279</v>
      </c>
      <c r="B9" s="164">
        <v>45597</v>
      </c>
      <c r="C9" s="163" t="s">
        <v>312</v>
      </c>
      <c r="D9" s="163" t="s">
        <v>281</v>
      </c>
      <c r="E9" s="163" t="s">
        <v>308</v>
      </c>
      <c r="F9" s="168">
        <v>-106</v>
      </c>
      <c r="G9" s="165">
        <f t="shared" si="2"/>
        <v>21884.46</v>
      </c>
      <c r="H9" s="163"/>
      <c r="I9" s="163" t="s">
        <v>283</v>
      </c>
      <c r="J9" s="163"/>
      <c r="K9" s="163"/>
      <c r="L9" s="163" t="s">
        <v>305</v>
      </c>
      <c r="M9" s="163" t="s">
        <v>313</v>
      </c>
      <c r="N9" s="163" t="s">
        <v>297</v>
      </c>
      <c r="O9" s="163"/>
      <c r="P9" s="163"/>
      <c r="Q9" s="163"/>
      <c r="R9" s="163" t="s">
        <v>314</v>
      </c>
      <c r="S9" s="163" t="s">
        <v>315</v>
      </c>
      <c r="T9" s="43">
        <f t="shared" si="0"/>
        <v>11</v>
      </c>
      <c r="U9" s="166">
        <f t="shared" si="1"/>
        <v>45597</v>
      </c>
      <c r="V9" s="167"/>
      <c r="W9" s="43"/>
      <c r="X9" s="43"/>
      <c r="Y9" s="43"/>
      <c r="Z9" s="43"/>
      <c r="AA9" s="43"/>
      <c r="AB9" s="43"/>
    </row>
    <row r="10" spans="1:28" ht="14.25" hidden="1" customHeight="1">
      <c r="A10" s="163" t="s">
        <v>279</v>
      </c>
      <c r="B10" s="164">
        <v>45597</v>
      </c>
      <c r="C10" s="163" t="s">
        <v>316</v>
      </c>
      <c r="D10" s="163" t="s">
        <v>281</v>
      </c>
      <c r="E10" s="163" t="s">
        <v>308</v>
      </c>
      <c r="F10" s="168">
        <v>-87.6</v>
      </c>
      <c r="G10" s="165">
        <f t="shared" si="2"/>
        <v>21796.86</v>
      </c>
      <c r="H10" s="163"/>
      <c r="I10" s="163" t="s">
        <v>283</v>
      </c>
      <c r="J10" s="163"/>
      <c r="K10" s="163"/>
      <c r="L10" s="163" t="s">
        <v>305</v>
      </c>
      <c r="M10" s="163" t="s">
        <v>317</v>
      </c>
      <c r="N10" s="163" t="s">
        <v>297</v>
      </c>
      <c r="O10" s="163"/>
      <c r="P10" s="163"/>
      <c r="Q10" s="163"/>
      <c r="R10" s="163" t="s">
        <v>316</v>
      </c>
      <c r="S10" s="163" t="s">
        <v>318</v>
      </c>
      <c r="T10" s="43">
        <f t="shared" si="0"/>
        <v>11</v>
      </c>
      <c r="U10" s="166">
        <f t="shared" si="1"/>
        <v>45597</v>
      </c>
      <c r="V10" s="167"/>
      <c r="W10" s="43"/>
      <c r="X10" s="43"/>
      <c r="Y10" s="43"/>
      <c r="Z10" s="43"/>
      <c r="AA10" s="43"/>
      <c r="AB10" s="43"/>
    </row>
    <row r="11" spans="1:28" ht="14.25" hidden="1" customHeight="1">
      <c r="A11" s="163" t="s">
        <v>279</v>
      </c>
      <c r="B11" s="164">
        <v>45597</v>
      </c>
      <c r="C11" s="163" t="s">
        <v>111</v>
      </c>
      <c r="D11" s="163" t="s">
        <v>281</v>
      </c>
      <c r="E11" s="163" t="s">
        <v>308</v>
      </c>
      <c r="F11" s="168">
        <v>-396.34</v>
      </c>
      <c r="G11" s="165">
        <f t="shared" si="2"/>
        <v>21400.52</v>
      </c>
      <c r="H11" s="163"/>
      <c r="I11" s="163" t="s">
        <v>283</v>
      </c>
      <c r="J11" s="163"/>
      <c r="K11" s="163"/>
      <c r="L11" s="163" t="s">
        <v>305</v>
      </c>
      <c r="M11" s="163" t="s">
        <v>319</v>
      </c>
      <c r="N11" s="163" t="s">
        <v>297</v>
      </c>
      <c r="O11" s="163"/>
      <c r="P11" s="163"/>
      <c r="Q11" s="163"/>
      <c r="R11" s="163" t="s">
        <v>111</v>
      </c>
      <c r="S11" s="163" t="s">
        <v>320</v>
      </c>
      <c r="T11" s="43">
        <f t="shared" si="0"/>
        <v>11</v>
      </c>
      <c r="U11" s="166">
        <f t="shared" si="1"/>
        <v>45597</v>
      </c>
      <c r="V11" s="167"/>
      <c r="W11" s="43"/>
      <c r="X11" s="43"/>
      <c r="Y11" s="43"/>
      <c r="Z11" s="43"/>
      <c r="AA11" s="43"/>
      <c r="AB11" s="43"/>
    </row>
    <row r="12" spans="1:28" ht="14.25" hidden="1" customHeight="1">
      <c r="A12" s="163" t="s">
        <v>279</v>
      </c>
      <c r="B12" s="164">
        <v>45597</v>
      </c>
      <c r="C12" s="163" t="s">
        <v>321</v>
      </c>
      <c r="D12" s="163" t="s">
        <v>281</v>
      </c>
      <c r="E12" s="163" t="s">
        <v>308</v>
      </c>
      <c r="F12" s="168">
        <v>-34.99</v>
      </c>
      <c r="G12" s="165">
        <f t="shared" si="2"/>
        <v>21365.53</v>
      </c>
      <c r="H12" s="163"/>
      <c r="I12" s="163" t="s">
        <v>283</v>
      </c>
      <c r="J12" s="163"/>
      <c r="K12" s="163"/>
      <c r="L12" s="163" t="s">
        <v>305</v>
      </c>
      <c r="M12" s="163" t="s">
        <v>322</v>
      </c>
      <c r="N12" s="163" t="s">
        <v>297</v>
      </c>
      <c r="O12" s="163"/>
      <c r="P12" s="163"/>
      <c r="Q12" s="163"/>
      <c r="R12" s="163" t="s">
        <v>321</v>
      </c>
      <c r="S12" s="163" t="s">
        <v>323</v>
      </c>
      <c r="T12" s="43">
        <f t="shared" si="0"/>
        <v>11</v>
      </c>
      <c r="U12" s="166">
        <f t="shared" si="1"/>
        <v>45597</v>
      </c>
      <c r="V12" s="167"/>
      <c r="W12" s="43"/>
      <c r="X12" s="43"/>
      <c r="Y12" s="43"/>
      <c r="Z12" s="43"/>
      <c r="AA12" s="43"/>
      <c r="AB12" s="43"/>
    </row>
    <row r="13" spans="1:28" ht="14.25" hidden="1" customHeight="1">
      <c r="A13" s="163" t="s">
        <v>279</v>
      </c>
      <c r="B13" s="164">
        <v>45597</v>
      </c>
      <c r="C13" s="163" t="s">
        <v>87</v>
      </c>
      <c r="D13" s="163" t="s">
        <v>281</v>
      </c>
      <c r="E13" s="163" t="s">
        <v>25</v>
      </c>
      <c r="F13" s="168">
        <v>-66.88</v>
      </c>
      <c r="G13" s="165">
        <f t="shared" si="2"/>
        <v>21298.649999999998</v>
      </c>
      <c r="H13" s="163"/>
      <c r="I13" s="163" t="s">
        <v>283</v>
      </c>
      <c r="J13" s="163"/>
      <c r="K13" s="163"/>
      <c r="L13" s="163" t="s">
        <v>305</v>
      </c>
      <c r="M13" s="163" t="s">
        <v>324</v>
      </c>
      <c r="N13" s="163" t="s">
        <v>297</v>
      </c>
      <c r="O13" s="163"/>
      <c r="P13" s="163"/>
      <c r="Q13" s="163"/>
      <c r="R13" s="163" t="s">
        <v>87</v>
      </c>
      <c r="S13" s="163" t="s">
        <v>325</v>
      </c>
      <c r="T13" s="43">
        <f t="shared" si="0"/>
        <v>11</v>
      </c>
      <c r="U13" s="166">
        <f t="shared" si="1"/>
        <v>45597</v>
      </c>
      <c r="V13" s="167"/>
      <c r="W13" s="43"/>
      <c r="X13" s="43"/>
      <c r="Y13" s="43"/>
      <c r="Z13" s="43"/>
      <c r="AA13" s="43"/>
      <c r="AB13" s="43"/>
    </row>
    <row r="14" spans="1:28" ht="14.25" hidden="1" customHeight="1">
      <c r="A14" s="163" t="s">
        <v>279</v>
      </c>
      <c r="B14" s="164">
        <v>45597</v>
      </c>
      <c r="C14" s="163" t="s">
        <v>326</v>
      </c>
      <c r="D14" s="163" t="s">
        <v>281</v>
      </c>
      <c r="E14" s="163" t="s">
        <v>308</v>
      </c>
      <c r="F14" s="168">
        <v>-286.81</v>
      </c>
      <c r="G14" s="165">
        <f t="shared" si="2"/>
        <v>21011.839999999997</v>
      </c>
      <c r="H14" s="163"/>
      <c r="I14" s="163" t="s">
        <v>283</v>
      </c>
      <c r="J14" s="163"/>
      <c r="K14" s="163"/>
      <c r="L14" s="163" t="s">
        <v>305</v>
      </c>
      <c r="M14" s="163" t="s">
        <v>327</v>
      </c>
      <c r="N14" s="163" t="s">
        <v>297</v>
      </c>
      <c r="O14" s="163"/>
      <c r="P14" s="163"/>
      <c r="Q14" s="163"/>
      <c r="R14" s="163" t="s">
        <v>328</v>
      </c>
      <c r="S14" s="163" t="s">
        <v>329</v>
      </c>
      <c r="T14" s="43">
        <f t="shared" si="0"/>
        <v>11</v>
      </c>
      <c r="U14" s="166">
        <f t="shared" si="1"/>
        <v>45597</v>
      </c>
      <c r="V14" s="167"/>
      <c r="W14" s="43"/>
      <c r="X14" s="43"/>
      <c r="Y14" s="43"/>
      <c r="Z14" s="43"/>
      <c r="AA14" s="43"/>
      <c r="AB14" s="43"/>
    </row>
    <row r="15" spans="1:28" ht="14.25" hidden="1" customHeight="1">
      <c r="A15" s="163" t="s">
        <v>279</v>
      </c>
      <c r="B15" s="164">
        <v>45597</v>
      </c>
      <c r="C15" s="163" t="s">
        <v>300</v>
      </c>
      <c r="D15" s="163" t="s">
        <v>281</v>
      </c>
      <c r="E15" s="163" t="s">
        <v>301</v>
      </c>
      <c r="F15" s="168">
        <v>-2537.0700000000002</v>
      </c>
      <c r="G15" s="165">
        <f t="shared" si="2"/>
        <v>18474.769999999997</v>
      </c>
      <c r="H15" s="163"/>
      <c r="I15" s="163" t="s">
        <v>283</v>
      </c>
      <c r="J15" s="163"/>
      <c r="K15" s="163"/>
      <c r="L15" s="163" t="s">
        <v>302</v>
      </c>
      <c r="M15" s="163" t="s">
        <v>303</v>
      </c>
      <c r="N15" s="163" t="s">
        <v>297</v>
      </c>
      <c r="O15" s="163"/>
      <c r="P15" s="163"/>
      <c r="Q15" s="163"/>
      <c r="R15" s="163" t="s">
        <v>300</v>
      </c>
      <c r="S15" s="163" t="s">
        <v>304</v>
      </c>
      <c r="T15" s="43">
        <f t="shared" si="0"/>
        <v>11</v>
      </c>
      <c r="U15" s="166">
        <f t="shared" si="1"/>
        <v>45597</v>
      </c>
      <c r="V15" s="167"/>
      <c r="W15" s="43"/>
      <c r="X15" s="43"/>
      <c r="Y15" s="43"/>
      <c r="Z15" s="43"/>
      <c r="AA15" s="43"/>
      <c r="AB15" s="43"/>
    </row>
    <row r="16" spans="1:28" ht="14.25" hidden="1" customHeight="1">
      <c r="A16" s="163" t="s">
        <v>279</v>
      </c>
      <c r="B16" s="164">
        <v>45597</v>
      </c>
      <c r="C16" s="163"/>
      <c r="D16" s="163" t="s">
        <v>281</v>
      </c>
      <c r="E16" s="163" t="s">
        <v>330</v>
      </c>
      <c r="F16" s="168">
        <v>-0.5</v>
      </c>
      <c r="G16" s="165">
        <f t="shared" si="2"/>
        <v>18474.269999999997</v>
      </c>
      <c r="H16" s="163"/>
      <c r="I16" s="163" t="s">
        <v>331</v>
      </c>
      <c r="J16" s="163" t="s">
        <v>332</v>
      </c>
      <c r="K16" s="163"/>
      <c r="L16" s="163"/>
      <c r="M16" s="163"/>
      <c r="N16" s="163" t="s">
        <v>333</v>
      </c>
      <c r="O16" s="163"/>
      <c r="P16" s="163"/>
      <c r="Q16" s="163"/>
      <c r="R16" s="163"/>
      <c r="S16" s="163"/>
      <c r="T16" s="43">
        <f t="shared" si="0"/>
        <v>11</v>
      </c>
      <c r="U16" s="166">
        <f t="shared" si="1"/>
        <v>45597</v>
      </c>
      <c r="V16" s="167"/>
      <c r="W16" s="43"/>
      <c r="X16" s="43"/>
      <c r="Y16" s="43"/>
      <c r="Z16" s="43"/>
      <c r="AA16" s="43"/>
      <c r="AB16" s="43"/>
    </row>
    <row r="17" spans="1:28" ht="14.25" hidden="1" customHeight="1">
      <c r="A17" s="163" t="s">
        <v>279</v>
      </c>
      <c r="B17" s="164">
        <v>45597</v>
      </c>
      <c r="C17" s="163"/>
      <c r="D17" s="163" t="s">
        <v>281</v>
      </c>
      <c r="E17" s="163" t="s">
        <v>330</v>
      </c>
      <c r="F17" s="168">
        <v>-0.5</v>
      </c>
      <c r="G17" s="165">
        <f t="shared" si="2"/>
        <v>18473.769999999997</v>
      </c>
      <c r="H17" s="163"/>
      <c r="I17" s="163" t="s">
        <v>331</v>
      </c>
      <c r="J17" s="163" t="s">
        <v>334</v>
      </c>
      <c r="K17" s="163"/>
      <c r="L17" s="163"/>
      <c r="M17" s="163"/>
      <c r="N17" s="163" t="s">
        <v>333</v>
      </c>
      <c r="O17" s="163"/>
      <c r="P17" s="163"/>
      <c r="Q17" s="163"/>
      <c r="R17" s="163"/>
      <c r="S17" s="163"/>
      <c r="T17" s="43">
        <f t="shared" si="0"/>
        <v>11</v>
      </c>
      <c r="U17" s="166">
        <f t="shared" si="1"/>
        <v>45597</v>
      </c>
      <c r="V17" s="167"/>
      <c r="W17" s="43"/>
      <c r="X17" s="43"/>
      <c r="Y17" s="43"/>
      <c r="Z17" s="43"/>
      <c r="AA17" s="43"/>
      <c r="AB17" s="43"/>
    </row>
    <row r="18" spans="1:28" ht="14.25" hidden="1" customHeight="1">
      <c r="A18" s="163" t="s">
        <v>279</v>
      </c>
      <c r="B18" s="164">
        <v>45597</v>
      </c>
      <c r="C18" s="163"/>
      <c r="D18" s="163" t="s">
        <v>281</v>
      </c>
      <c r="E18" s="163" t="s">
        <v>330</v>
      </c>
      <c r="F18" s="168">
        <v>-0.5</v>
      </c>
      <c r="G18" s="165">
        <f t="shared" si="2"/>
        <v>18473.269999999997</v>
      </c>
      <c r="H18" s="163"/>
      <c r="I18" s="163" t="s">
        <v>331</v>
      </c>
      <c r="J18" s="163" t="s">
        <v>334</v>
      </c>
      <c r="K18" s="163"/>
      <c r="L18" s="163"/>
      <c r="M18" s="163"/>
      <c r="N18" s="163" t="s">
        <v>333</v>
      </c>
      <c r="O18" s="163"/>
      <c r="P18" s="163"/>
      <c r="Q18" s="163"/>
      <c r="R18" s="163"/>
      <c r="S18" s="163"/>
      <c r="T18" s="43">
        <f t="shared" si="0"/>
        <v>11</v>
      </c>
      <c r="U18" s="166">
        <f t="shared" si="1"/>
        <v>45597</v>
      </c>
      <c r="V18" s="167"/>
      <c r="W18" s="43"/>
      <c r="X18" s="43"/>
      <c r="Y18" s="43"/>
      <c r="Z18" s="43"/>
      <c r="AA18" s="43"/>
      <c r="AB18" s="43"/>
    </row>
    <row r="19" spans="1:28" ht="14.25" hidden="1" customHeight="1">
      <c r="A19" s="163" t="s">
        <v>279</v>
      </c>
      <c r="B19" s="164">
        <v>45597</v>
      </c>
      <c r="C19" s="163"/>
      <c r="D19" s="163" t="s">
        <v>281</v>
      </c>
      <c r="E19" s="163" t="s">
        <v>330</v>
      </c>
      <c r="F19" s="168">
        <v>-0.5</v>
      </c>
      <c r="G19" s="165">
        <f t="shared" si="2"/>
        <v>18472.769999999997</v>
      </c>
      <c r="H19" s="163"/>
      <c r="I19" s="163" t="s">
        <v>331</v>
      </c>
      <c r="J19" s="163" t="s">
        <v>335</v>
      </c>
      <c r="K19" s="163"/>
      <c r="L19" s="163"/>
      <c r="M19" s="163"/>
      <c r="N19" s="163" t="s">
        <v>333</v>
      </c>
      <c r="O19" s="163"/>
      <c r="P19" s="163"/>
      <c r="Q19" s="163"/>
      <c r="R19" s="163"/>
      <c r="S19" s="163"/>
      <c r="T19" s="43">
        <f t="shared" si="0"/>
        <v>11</v>
      </c>
      <c r="U19" s="166">
        <f t="shared" si="1"/>
        <v>45597</v>
      </c>
      <c r="V19" s="167"/>
      <c r="W19" s="43"/>
      <c r="X19" s="43"/>
      <c r="Y19" s="43"/>
      <c r="Z19" s="43"/>
      <c r="AA19" s="43"/>
      <c r="AB19" s="43"/>
    </row>
    <row r="20" spans="1:28" ht="14.25" hidden="1" customHeight="1">
      <c r="A20" s="163" t="s">
        <v>279</v>
      </c>
      <c r="B20" s="164">
        <v>45597</v>
      </c>
      <c r="C20" s="163"/>
      <c r="D20" s="163" t="s">
        <v>281</v>
      </c>
      <c r="E20" s="163" t="s">
        <v>330</v>
      </c>
      <c r="F20" s="168">
        <v>-0.5</v>
      </c>
      <c r="G20" s="165">
        <f t="shared" si="2"/>
        <v>18472.269999999997</v>
      </c>
      <c r="H20" s="163"/>
      <c r="I20" s="163" t="s">
        <v>331</v>
      </c>
      <c r="J20" s="163" t="s">
        <v>336</v>
      </c>
      <c r="K20" s="163"/>
      <c r="L20" s="163"/>
      <c r="M20" s="163"/>
      <c r="N20" s="163" t="s">
        <v>333</v>
      </c>
      <c r="O20" s="163"/>
      <c r="P20" s="163"/>
      <c r="Q20" s="163"/>
      <c r="R20" s="163"/>
      <c r="S20" s="163"/>
      <c r="T20" s="43">
        <f t="shared" si="0"/>
        <v>11</v>
      </c>
      <c r="U20" s="166">
        <f t="shared" si="1"/>
        <v>45597</v>
      </c>
      <c r="V20" s="167"/>
      <c r="W20" s="43"/>
      <c r="X20" s="43"/>
      <c r="Y20" s="43"/>
      <c r="Z20" s="43"/>
      <c r="AA20" s="43"/>
      <c r="AB20" s="43"/>
    </row>
    <row r="21" spans="1:28" ht="14.25" hidden="1" customHeight="1">
      <c r="A21" s="163" t="s">
        <v>279</v>
      </c>
      <c r="B21" s="164">
        <v>45597</v>
      </c>
      <c r="C21" s="163"/>
      <c r="D21" s="163" t="s">
        <v>281</v>
      </c>
      <c r="E21" s="163" t="s">
        <v>330</v>
      </c>
      <c r="F21" s="168">
        <v>-0.5</v>
      </c>
      <c r="G21" s="165">
        <f t="shared" si="2"/>
        <v>18471.769999999997</v>
      </c>
      <c r="H21" s="163"/>
      <c r="I21" s="163" t="s">
        <v>331</v>
      </c>
      <c r="J21" s="163" t="s">
        <v>337</v>
      </c>
      <c r="K21" s="163"/>
      <c r="L21" s="163"/>
      <c r="M21" s="163"/>
      <c r="N21" s="163" t="s">
        <v>333</v>
      </c>
      <c r="O21" s="163"/>
      <c r="P21" s="163"/>
      <c r="Q21" s="163"/>
      <c r="R21" s="163"/>
      <c r="S21" s="163"/>
      <c r="T21" s="43">
        <f t="shared" si="0"/>
        <v>11</v>
      </c>
      <c r="U21" s="166">
        <f t="shared" si="1"/>
        <v>45597</v>
      </c>
      <c r="V21" s="166"/>
      <c r="W21" s="43"/>
      <c r="X21" s="43"/>
      <c r="Y21" s="43"/>
      <c r="Z21" s="43"/>
      <c r="AA21" s="43"/>
      <c r="AB21" s="43"/>
    </row>
    <row r="22" spans="1:28" ht="14.25" hidden="1" customHeight="1">
      <c r="A22" s="163" t="s">
        <v>279</v>
      </c>
      <c r="B22" s="164">
        <v>45597</v>
      </c>
      <c r="C22" s="163"/>
      <c r="D22" s="163" t="s">
        <v>281</v>
      </c>
      <c r="E22" s="163" t="s">
        <v>330</v>
      </c>
      <c r="F22" s="168">
        <v>-0.5</v>
      </c>
      <c r="G22" s="165">
        <f t="shared" si="2"/>
        <v>18471.269999999997</v>
      </c>
      <c r="H22" s="163"/>
      <c r="I22" s="163" t="s">
        <v>331</v>
      </c>
      <c r="J22" s="163" t="s">
        <v>338</v>
      </c>
      <c r="K22" s="163"/>
      <c r="L22" s="163"/>
      <c r="M22" s="163"/>
      <c r="N22" s="163" t="s">
        <v>333</v>
      </c>
      <c r="O22" s="163"/>
      <c r="P22" s="163"/>
      <c r="Q22" s="163"/>
      <c r="R22" s="163"/>
      <c r="S22" s="163"/>
      <c r="T22" s="43">
        <f t="shared" si="0"/>
        <v>11</v>
      </c>
      <c r="U22" s="166">
        <f t="shared" si="1"/>
        <v>45597</v>
      </c>
      <c r="V22" s="167"/>
      <c r="W22" s="43"/>
      <c r="X22" s="43"/>
      <c r="Y22" s="43"/>
      <c r="Z22" s="43"/>
      <c r="AA22" s="43"/>
      <c r="AB22" s="43"/>
    </row>
    <row r="23" spans="1:28" ht="14.25" hidden="1" customHeight="1">
      <c r="A23" s="163" t="s">
        <v>279</v>
      </c>
      <c r="B23" s="164">
        <v>45597</v>
      </c>
      <c r="C23" s="163"/>
      <c r="D23" s="163" t="s">
        <v>281</v>
      </c>
      <c r="E23" s="163" t="s">
        <v>330</v>
      </c>
      <c r="F23" s="168">
        <v>-0.5</v>
      </c>
      <c r="G23" s="165">
        <f t="shared" si="2"/>
        <v>18470.769999999997</v>
      </c>
      <c r="H23" s="163"/>
      <c r="I23" s="163" t="s">
        <v>331</v>
      </c>
      <c r="J23" s="163" t="s">
        <v>339</v>
      </c>
      <c r="K23" s="163"/>
      <c r="L23" s="163"/>
      <c r="M23" s="163"/>
      <c r="N23" s="163" t="s">
        <v>333</v>
      </c>
      <c r="O23" s="163"/>
      <c r="P23" s="163"/>
      <c r="Q23" s="163"/>
      <c r="R23" s="163"/>
      <c r="S23" s="163"/>
      <c r="T23" s="43">
        <f t="shared" si="0"/>
        <v>11</v>
      </c>
      <c r="U23" s="166">
        <f t="shared" si="1"/>
        <v>45597</v>
      </c>
      <c r="V23" s="167"/>
      <c r="W23" s="43"/>
      <c r="X23" s="43"/>
      <c r="Y23" s="43"/>
      <c r="Z23" s="43"/>
      <c r="AA23" s="43"/>
      <c r="AB23" s="43"/>
    </row>
    <row r="24" spans="1:28" ht="14.25" hidden="1" customHeight="1">
      <c r="A24" s="163" t="s">
        <v>279</v>
      </c>
      <c r="B24" s="164">
        <v>45597</v>
      </c>
      <c r="C24" s="163"/>
      <c r="D24" s="163" t="s">
        <v>281</v>
      </c>
      <c r="E24" s="163" t="s">
        <v>330</v>
      </c>
      <c r="F24" s="168">
        <v>-0.5</v>
      </c>
      <c r="G24" s="165">
        <f t="shared" si="2"/>
        <v>18470.269999999997</v>
      </c>
      <c r="H24" s="163"/>
      <c r="I24" s="163" t="s">
        <v>331</v>
      </c>
      <c r="J24" s="163" t="s">
        <v>340</v>
      </c>
      <c r="K24" s="163"/>
      <c r="L24" s="163"/>
      <c r="M24" s="163"/>
      <c r="N24" s="163" t="s">
        <v>333</v>
      </c>
      <c r="O24" s="163"/>
      <c r="P24" s="163"/>
      <c r="Q24" s="163"/>
      <c r="R24" s="163"/>
      <c r="S24" s="163"/>
      <c r="T24" s="43">
        <f t="shared" si="0"/>
        <v>11</v>
      </c>
      <c r="U24" s="166">
        <f t="shared" si="1"/>
        <v>45597</v>
      </c>
      <c r="V24" s="167"/>
      <c r="W24" s="43"/>
      <c r="X24" s="43"/>
      <c r="Y24" s="43"/>
      <c r="Z24" s="43"/>
      <c r="AA24" s="43"/>
      <c r="AB24" s="43"/>
    </row>
    <row r="25" spans="1:28" ht="14.25" hidden="1" customHeight="1">
      <c r="A25" s="163" t="s">
        <v>279</v>
      </c>
      <c r="B25" s="164">
        <v>45597</v>
      </c>
      <c r="C25" s="163"/>
      <c r="D25" s="163" t="s">
        <v>281</v>
      </c>
      <c r="E25" s="163" t="s">
        <v>330</v>
      </c>
      <c r="F25" s="168">
        <v>-0.5</v>
      </c>
      <c r="G25" s="165">
        <f t="shared" si="2"/>
        <v>18469.769999999997</v>
      </c>
      <c r="H25" s="163"/>
      <c r="I25" s="163" t="s">
        <v>331</v>
      </c>
      <c r="J25" s="163" t="s">
        <v>340</v>
      </c>
      <c r="K25" s="163"/>
      <c r="L25" s="163"/>
      <c r="M25" s="163"/>
      <c r="N25" s="163" t="s">
        <v>333</v>
      </c>
      <c r="O25" s="163"/>
      <c r="P25" s="163"/>
      <c r="Q25" s="163"/>
      <c r="R25" s="163"/>
      <c r="S25" s="163"/>
      <c r="T25" s="43">
        <f t="shared" si="0"/>
        <v>11</v>
      </c>
      <c r="U25" s="166">
        <f t="shared" si="1"/>
        <v>45597</v>
      </c>
      <c r="V25" s="167"/>
      <c r="W25" s="43"/>
      <c r="X25" s="43"/>
      <c r="Y25" s="43"/>
      <c r="Z25" s="43"/>
      <c r="AA25" s="43"/>
      <c r="AB25" s="43"/>
    </row>
    <row r="26" spans="1:28" ht="14.25" hidden="1" customHeight="1">
      <c r="A26" s="163" t="s">
        <v>279</v>
      </c>
      <c r="B26" s="164">
        <v>45597</v>
      </c>
      <c r="C26" s="163"/>
      <c r="D26" s="163" t="s">
        <v>281</v>
      </c>
      <c r="E26" s="163" t="s">
        <v>330</v>
      </c>
      <c r="F26" s="168">
        <v>-0.5</v>
      </c>
      <c r="G26" s="165">
        <f t="shared" si="2"/>
        <v>18469.269999999997</v>
      </c>
      <c r="H26" s="163"/>
      <c r="I26" s="163" t="s">
        <v>331</v>
      </c>
      <c r="J26" s="163" t="s">
        <v>341</v>
      </c>
      <c r="K26" s="163"/>
      <c r="L26" s="163"/>
      <c r="M26" s="163"/>
      <c r="N26" s="163" t="s">
        <v>333</v>
      </c>
      <c r="O26" s="163"/>
      <c r="P26" s="163"/>
      <c r="Q26" s="163"/>
      <c r="R26" s="163"/>
      <c r="S26" s="163"/>
      <c r="T26" s="43">
        <f t="shared" si="0"/>
        <v>11</v>
      </c>
      <c r="U26" s="166">
        <f t="shared" si="1"/>
        <v>45597</v>
      </c>
      <c r="V26" s="167"/>
      <c r="W26" s="43"/>
      <c r="X26" s="43"/>
      <c r="Y26" s="43"/>
      <c r="Z26" s="43"/>
      <c r="AA26" s="43"/>
      <c r="AB26" s="43"/>
    </row>
    <row r="27" spans="1:28" ht="14.25" hidden="1" customHeight="1">
      <c r="A27" s="163" t="s">
        <v>279</v>
      </c>
      <c r="B27" s="164">
        <v>45597</v>
      </c>
      <c r="C27" s="163" t="s">
        <v>209</v>
      </c>
      <c r="D27" s="163" t="s">
        <v>281</v>
      </c>
      <c r="E27" s="163" t="s">
        <v>209</v>
      </c>
      <c r="F27" s="168">
        <v>-823.14</v>
      </c>
      <c r="G27" s="165">
        <f t="shared" si="2"/>
        <v>17646.129999999997</v>
      </c>
      <c r="H27" s="163"/>
      <c r="I27" s="163" t="s">
        <v>342</v>
      </c>
      <c r="J27" s="163"/>
      <c r="K27" s="163"/>
      <c r="L27" s="163" t="s">
        <v>343</v>
      </c>
      <c r="M27" s="163" t="s">
        <v>344</v>
      </c>
      <c r="N27" s="163" t="s">
        <v>297</v>
      </c>
      <c r="O27" s="163"/>
      <c r="P27" s="163"/>
      <c r="Q27" s="163"/>
      <c r="R27" s="163" t="s">
        <v>209</v>
      </c>
      <c r="S27" s="163" t="s">
        <v>345</v>
      </c>
      <c r="T27" s="43">
        <f t="shared" si="0"/>
        <v>11</v>
      </c>
      <c r="U27" s="166">
        <f t="shared" si="1"/>
        <v>45597</v>
      </c>
      <c r="V27" s="167"/>
      <c r="W27" s="43"/>
      <c r="X27" s="43"/>
      <c r="Y27" s="43"/>
      <c r="Z27" s="43"/>
      <c r="AA27" s="43"/>
      <c r="AB27" s="43"/>
    </row>
    <row r="28" spans="1:28" ht="14.25" hidden="1" customHeight="1">
      <c r="A28" s="163"/>
      <c r="B28" s="164">
        <v>45597</v>
      </c>
      <c r="C28" s="163" t="s">
        <v>346</v>
      </c>
      <c r="D28" s="163"/>
      <c r="E28" s="163"/>
      <c r="F28" s="165">
        <v>0</v>
      </c>
      <c r="G28" s="165">
        <f t="shared" si="2"/>
        <v>17646.129999999997</v>
      </c>
      <c r="H28" s="163"/>
      <c r="I28" s="163"/>
      <c r="J28" s="163"/>
      <c r="K28" s="163"/>
      <c r="L28" s="163"/>
      <c r="M28" s="163"/>
      <c r="N28" s="163"/>
      <c r="O28" s="163"/>
      <c r="P28" s="163"/>
      <c r="Q28" s="163"/>
      <c r="R28" s="163"/>
      <c r="S28" s="163"/>
      <c r="T28" s="43">
        <f t="shared" si="0"/>
        <v>11</v>
      </c>
      <c r="U28" s="166">
        <f t="shared" si="1"/>
        <v>45597</v>
      </c>
      <c r="V28" s="167"/>
      <c r="W28" s="43"/>
      <c r="X28" s="43"/>
      <c r="Y28" s="43"/>
      <c r="Z28" s="43"/>
      <c r="AA28" s="43"/>
      <c r="AB28" s="43"/>
    </row>
    <row r="29" spans="1:28" ht="14.25" hidden="1" customHeight="1">
      <c r="A29" s="163"/>
      <c r="B29" s="164">
        <v>45598</v>
      </c>
      <c r="C29" s="163" t="s">
        <v>346</v>
      </c>
      <c r="D29" s="163"/>
      <c r="E29" s="163"/>
      <c r="F29" s="165">
        <v>0</v>
      </c>
      <c r="G29" s="165">
        <f t="shared" si="2"/>
        <v>17646.129999999997</v>
      </c>
      <c r="H29" s="163"/>
      <c r="I29" s="163"/>
      <c r="J29" s="163"/>
      <c r="K29" s="163"/>
      <c r="L29" s="163"/>
      <c r="M29" s="163"/>
      <c r="N29" s="163"/>
      <c r="O29" s="163"/>
      <c r="P29" s="163"/>
      <c r="Q29" s="163"/>
      <c r="R29" s="163"/>
      <c r="S29" s="163"/>
      <c r="T29" s="43">
        <f t="shared" si="0"/>
        <v>11</v>
      </c>
      <c r="U29" s="166">
        <f t="shared" si="1"/>
        <v>45598</v>
      </c>
      <c r="V29" s="167"/>
      <c r="W29" s="43"/>
      <c r="X29" s="43"/>
      <c r="Y29" s="43"/>
      <c r="Z29" s="43"/>
      <c r="AA29" s="43"/>
      <c r="AB29" s="43"/>
    </row>
    <row r="30" spans="1:28" ht="14.25" hidden="1" customHeight="1">
      <c r="A30" s="163"/>
      <c r="B30" s="164">
        <v>45599</v>
      </c>
      <c r="C30" s="163" t="s">
        <v>346</v>
      </c>
      <c r="D30" s="163"/>
      <c r="E30" s="163"/>
      <c r="F30" s="165">
        <v>0</v>
      </c>
      <c r="G30" s="165">
        <f t="shared" si="2"/>
        <v>17646.129999999997</v>
      </c>
      <c r="H30" s="163"/>
      <c r="I30" s="163"/>
      <c r="J30" s="163"/>
      <c r="K30" s="163"/>
      <c r="L30" s="163"/>
      <c r="M30" s="163"/>
      <c r="N30" s="163"/>
      <c r="O30" s="163"/>
      <c r="P30" s="163"/>
      <c r="Q30" s="163"/>
      <c r="R30" s="163"/>
      <c r="S30" s="163"/>
      <c r="T30" s="43">
        <f t="shared" si="0"/>
        <v>11</v>
      </c>
      <c r="U30" s="166">
        <f t="shared" si="1"/>
        <v>45599</v>
      </c>
      <c r="V30" s="167"/>
      <c r="W30" s="43"/>
      <c r="X30" s="43"/>
      <c r="Y30" s="43"/>
      <c r="Z30" s="43"/>
      <c r="AA30" s="43"/>
      <c r="AB30" s="43"/>
    </row>
    <row r="31" spans="1:28" ht="14.25" hidden="1" customHeight="1">
      <c r="A31" s="163" t="s">
        <v>279</v>
      </c>
      <c r="B31" s="164">
        <v>45600</v>
      </c>
      <c r="C31" s="163" t="s">
        <v>280</v>
      </c>
      <c r="D31" s="163" t="s">
        <v>281</v>
      </c>
      <c r="E31" s="163" t="s">
        <v>282</v>
      </c>
      <c r="F31" s="165">
        <v>50000</v>
      </c>
      <c r="G31" s="165">
        <f t="shared" si="2"/>
        <v>67646.13</v>
      </c>
      <c r="H31" s="163"/>
      <c r="I31" s="163" t="s">
        <v>283</v>
      </c>
      <c r="J31" s="163" t="s">
        <v>347</v>
      </c>
      <c r="K31" s="163"/>
      <c r="L31" s="163"/>
      <c r="M31" s="163"/>
      <c r="N31" s="163" t="s">
        <v>285</v>
      </c>
      <c r="O31" s="163"/>
      <c r="P31" s="163"/>
      <c r="Q31" s="163"/>
      <c r="R31" s="163" t="s">
        <v>286</v>
      </c>
      <c r="S31" s="163" t="s">
        <v>287</v>
      </c>
      <c r="T31" s="43">
        <f t="shared" si="0"/>
        <v>11</v>
      </c>
      <c r="U31" s="166">
        <f t="shared" si="1"/>
        <v>45600</v>
      </c>
      <c r="V31" s="167"/>
      <c r="W31" s="43"/>
      <c r="X31" s="43"/>
      <c r="Y31" s="43"/>
      <c r="Z31" s="43"/>
      <c r="AA31" s="43"/>
      <c r="AB31" s="43"/>
    </row>
    <row r="32" spans="1:28" ht="14.25" hidden="1" customHeight="1">
      <c r="A32" s="163" t="s">
        <v>279</v>
      </c>
      <c r="B32" s="164">
        <v>45600</v>
      </c>
      <c r="C32" s="163" t="s">
        <v>348</v>
      </c>
      <c r="D32" s="163" t="s">
        <v>281</v>
      </c>
      <c r="E32" s="163" t="s">
        <v>289</v>
      </c>
      <c r="F32" s="165">
        <v>34999.99</v>
      </c>
      <c r="G32" s="165">
        <f t="shared" si="2"/>
        <v>102646.12</v>
      </c>
      <c r="H32" s="163"/>
      <c r="I32" s="163" t="s">
        <v>283</v>
      </c>
      <c r="J32" s="163" t="s">
        <v>349</v>
      </c>
      <c r="K32" s="163"/>
      <c r="L32" s="163"/>
      <c r="M32" s="163"/>
      <c r="N32" s="163" t="s">
        <v>285</v>
      </c>
      <c r="O32" s="163"/>
      <c r="P32" s="163"/>
      <c r="Q32" s="163"/>
      <c r="R32" s="163" t="s">
        <v>348</v>
      </c>
      <c r="S32" s="163" t="s">
        <v>350</v>
      </c>
      <c r="T32" s="43">
        <f t="shared" si="0"/>
        <v>11</v>
      </c>
      <c r="U32" s="166">
        <f t="shared" si="1"/>
        <v>45600</v>
      </c>
      <c r="V32" s="167"/>
      <c r="W32" s="43"/>
      <c r="X32" s="43"/>
      <c r="Y32" s="43"/>
      <c r="Z32" s="43"/>
      <c r="AA32" s="43"/>
      <c r="AB32" s="43"/>
    </row>
    <row r="33" spans="1:28" ht="14.25" hidden="1" customHeight="1">
      <c r="A33" s="163" t="s">
        <v>279</v>
      </c>
      <c r="B33" s="164">
        <v>45600</v>
      </c>
      <c r="C33" s="163" t="s">
        <v>351</v>
      </c>
      <c r="D33" s="163" t="s">
        <v>281</v>
      </c>
      <c r="E33" s="163" t="s">
        <v>199</v>
      </c>
      <c r="F33" s="168">
        <v>-13536.51</v>
      </c>
      <c r="G33" s="165">
        <f t="shared" si="2"/>
        <v>89109.61</v>
      </c>
      <c r="H33" s="163"/>
      <c r="I33" s="163" t="s">
        <v>283</v>
      </c>
      <c r="J33" s="163" t="s">
        <v>352</v>
      </c>
      <c r="K33" s="163"/>
      <c r="L33" s="163"/>
      <c r="M33" s="163"/>
      <c r="N33" s="163" t="s">
        <v>333</v>
      </c>
      <c r="O33" s="163"/>
      <c r="P33" s="163"/>
      <c r="Q33" s="163"/>
      <c r="R33" s="163" t="s">
        <v>353</v>
      </c>
      <c r="S33" s="163" t="s">
        <v>354</v>
      </c>
      <c r="T33" s="43">
        <f t="shared" si="0"/>
        <v>11</v>
      </c>
      <c r="U33" s="166">
        <f t="shared" si="1"/>
        <v>45600</v>
      </c>
      <c r="V33" s="43"/>
      <c r="W33" s="43"/>
      <c r="X33" s="43"/>
      <c r="Y33" s="43"/>
      <c r="Z33" s="43"/>
      <c r="AA33" s="43"/>
      <c r="AB33" s="43"/>
    </row>
    <row r="34" spans="1:28" ht="14.25" hidden="1" customHeight="1">
      <c r="A34" s="163" t="s">
        <v>279</v>
      </c>
      <c r="B34" s="164">
        <v>45600</v>
      </c>
      <c r="C34" s="163"/>
      <c r="D34" s="163" t="s">
        <v>281</v>
      </c>
      <c r="E34" s="163" t="s">
        <v>330</v>
      </c>
      <c r="F34" s="168">
        <v>-0.5</v>
      </c>
      <c r="G34" s="165">
        <f t="shared" si="2"/>
        <v>89109.11</v>
      </c>
      <c r="H34" s="163"/>
      <c r="I34" s="163" t="s">
        <v>331</v>
      </c>
      <c r="J34" s="163" t="s">
        <v>355</v>
      </c>
      <c r="K34" s="163"/>
      <c r="L34" s="163"/>
      <c r="M34" s="163"/>
      <c r="N34" s="163" t="s">
        <v>333</v>
      </c>
      <c r="O34" s="163"/>
      <c r="P34" s="163"/>
      <c r="Q34" s="163"/>
      <c r="R34" s="163"/>
      <c r="S34" s="163"/>
      <c r="T34" s="43">
        <f t="shared" si="0"/>
        <v>11</v>
      </c>
      <c r="U34" s="166">
        <f t="shared" si="1"/>
        <v>45600</v>
      </c>
      <c r="V34" s="167"/>
      <c r="W34" s="43"/>
      <c r="X34" s="43"/>
      <c r="Y34" s="43"/>
      <c r="Z34" s="43"/>
      <c r="AA34" s="43"/>
      <c r="AB34" s="43"/>
    </row>
    <row r="35" spans="1:28" ht="14.25" hidden="1" customHeight="1">
      <c r="A35" s="163" t="s">
        <v>279</v>
      </c>
      <c r="B35" s="164">
        <v>45600</v>
      </c>
      <c r="C35" s="163" t="s">
        <v>326</v>
      </c>
      <c r="D35" s="163" t="s">
        <v>281</v>
      </c>
      <c r="E35" s="163" t="s">
        <v>356</v>
      </c>
      <c r="F35" s="168">
        <v>-400</v>
      </c>
      <c r="G35" s="165">
        <f t="shared" si="2"/>
        <v>88709.11</v>
      </c>
      <c r="H35" s="163"/>
      <c r="I35" s="163" t="s">
        <v>283</v>
      </c>
      <c r="J35" s="163"/>
      <c r="K35" s="163"/>
      <c r="L35" s="163" t="s">
        <v>305</v>
      </c>
      <c r="M35" s="163" t="s">
        <v>357</v>
      </c>
      <c r="N35" s="163" t="s">
        <v>297</v>
      </c>
      <c r="O35" s="163"/>
      <c r="P35" s="163"/>
      <c r="Q35" s="163"/>
      <c r="R35" s="163" t="s">
        <v>328</v>
      </c>
      <c r="S35" s="163" t="s">
        <v>329</v>
      </c>
      <c r="T35" s="43">
        <f t="shared" si="0"/>
        <v>11</v>
      </c>
      <c r="U35" s="166">
        <f t="shared" si="1"/>
        <v>45600</v>
      </c>
      <c r="V35" s="167"/>
      <c r="W35" s="43"/>
      <c r="X35" s="43"/>
      <c r="Y35" s="43"/>
      <c r="Z35" s="43"/>
      <c r="AA35" s="43"/>
      <c r="AB35" s="43"/>
    </row>
    <row r="36" spans="1:28" ht="14.25" hidden="1" customHeight="1">
      <c r="A36" s="163" t="s">
        <v>279</v>
      </c>
      <c r="B36" s="164">
        <v>45600</v>
      </c>
      <c r="C36" s="163" t="s">
        <v>358</v>
      </c>
      <c r="D36" s="163" t="s">
        <v>281</v>
      </c>
      <c r="E36" s="163" t="s">
        <v>359</v>
      </c>
      <c r="F36" s="168">
        <v>-200</v>
      </c>
      <c r="G36" s="165">
        <f t="shared" si="2"/>
        <v>88509.11</v>
      </c>
      <c r="H36" s="163"/>
      <c r="I36" s="163" t="s">
        <v>283</v>
      </c>
      <c r="J36" s="163"/>
      <c r="K36" s="163"/>
      <c r="L36" s="163" t="s">
        <v>305</v>
      </c>
      <c r="M36" s="163" t="s">
        <v>360</v>
      </c>
      <c r="N36" s="163" t="s">
        <v>297</v>
      </c>
      <c r="O36" s="163"/>
      <c r="P36" s="163"/>
      <c r="Q36" s="163"/>
      <c r="R36" s="163" t="s">
        <v>358</v>
      </c>
      <c r="S36" s="163" t="s">
        <v>361</v>
      </c>
      <c r="T36" s="43">
        <f t="shared" si="0"/>
        <v>11</v>
      </c>
      <c r="U36" s="166">
        <f t="shared" si="1"/>
        <v>45600</v>
      </c>
      <c r="V36" s="167"/>
      <c r="W36" s="43"/>
      <c r="X36" s="43"/>
      <c r="Y36" s="43"/>
      <c r="Z36" s="43"/>
      <c r="AA36" s="43"/>
      <c r="AB36" s="43"/>
    </row>
    <row r="37" spans="1:28" ht="14.25" hidden="1" customHeight="1">
      <c r="A37" s="163" t="s">
        <v>279</v>
      </c>
      <c r="B37" s="164">
        <v>45600</v>
      </c>
      <c r="C37" s="163" t="s">
        <v>362</v>
      </c>
      <c r="D37" s="163" t="s">
        <v>281</v>
      </c>
      <c r="E37" s="163" t="s">
        <v>359</v>
      </c>
      <c r="F37" s="168">
        <v>-100</v>
      </c>
      <c r="G37" s="165">
        <f t="shared" si="2"/>
        <v>88409.11</v>
      </c>
      <c r="H37" s="163"/>
      <c r="I37" s="163" t="s">
        <v>283</v>
      </c>
      <c r="J37" s="163"/>
      <c r="K37" s="163"/>
      <c r="L37" s="163" t="s">
        <v>305</v>
      </c>
      <c r="M37" s="163" t="s">
        <v>363</v>
      </c>
      <c r="N37" s="163" t="s">
        <v>297</v>
      </c>
      <c r="O37" s="163"/>
      <c r="P37" s="163"/>
      <c r="Q37" s="163"/>
      <c r="R37" s="163" t="s">
        <v>362</v>
      </c>
      <c r="S37" s="163" t="s">
        <v>364</v>
      </c>
      <c r="T37" s="43">
        <f t="shared" si="0"/>
        <v>11</v>
      </c>
      <c r="U37" s="166">
        <f t="shared" si="1"/>
        <v>45600</v>
      </c>
      <c r="V37" s="167"/>
      <c r="W37" s="43"/>
      <c r="X37" s="43"/>
      <c r="Y37" s="43"/>
      <c r="Z37" s="43"/>
      <c r="AA37" s="43"/>
      <c r="AB37" s="43"/>
    </row>
    <row r="38" spans="1:28" ht="14.25" hidden="1" customHeight="1">
      <c r="A38" s="163" t="s">
        <v>279</v>
      </c>
      <c r="B38" s="164">
        <v>45600</v>
      </c>
      <c r="C38" s="163" t="s">
        <v>365</v>
      </c>
      <c r="D38" s="163" t="s">
        <v>281</v>
      </c>
      <c r="E38" s="163" t="s">
        <v>199</v>
      </c>
      <c r="F38" s="168">
        <v>-296.10000000000002</v>
      </c>
      <c r="G38" s="165">
        <f t="shared" si="2"/>
        <v>88113.01</v>
      </c>
      <c r="H38" s="163"/>
      <c r="I38" s="163" t="s">
        <v>342</v>
      </c>
      <c r="J38" s="163"/>
      <c r="K38" s="163"/>
      <c r="L38" s="163" t="s">
        <v>366</v>
      </c>
      <c r="M38" s="163" t="s">
        <v>367</v>
      </c>
      <c r="N38" s="163" t="s">
        <v>297</v>
      </c>
      <c r="O38" s="163"/>
      <c r="P38" s="163"/>
      <c r="Q38" s="163"/>
      <c r="R38" s="163" t="s">
        <v>368</v>
      </c>
      <c r="S38" s="163" t="s">
        <v>369</v>
      </c>
      <c r="T38" s="43">
        <f t="shared" si="0"/>
        <v>11</v>
      </c>
      <c r="U38" s="166">
        <f t="shared" si="1"/>
        <v>45600</v>
      </c>
      <c r="V38" s="167"/>
      <c r="W38" s="43"/>
      <c r="X38" s="43"/>
      <c r="Y38" s="43"/>
      <c r="Z38" s="43"/>
      <c r="AA38" s="43"/>
      <c r="AB38" s="43"/>
    </row>
    <row r="39" spans="1:28" ht="14.25" hidden="1" customHeight="1">
      <c r="A39" s="163" t="s">
        <v>279</v>
      </c>
      <c r="B39" s="164">
        <v>45600</v>
      </c>
      <c r="C39" s="163"/>
      <c r="D39" s="163" t="s">
        <v>281</v>
      </c>
      <c r="E39" s="163" t="s">
        <v>330</v>
      </c>
      <c r="F39" s="168">
        <v>-0.5</v>
      </c>
      <c r="G39" s="165">
        <f t="shared" si="2"/>
        <v>88112.51</v>
      </c>
      <c r="H39" s="163"/>
      <c r="I39" s="163" t="s">
        <v>331</v>
      </c>
      <c r="J39" s="163" t="s">
        <v>370</v>
      </c>
      <c r="K39" s="163"/>
      <c r="L39" s="163"/>
      <c r="M39" s="163"/>
      <c r="N39" s="163" t="s">
        <v>333</v>
      </c>
      <c r="O39" s="163"/>
      <c r="P39" s="163"/>
      <c r="Q39" s="163"/>
      <c r="R39" s="163"/>
      <c r="S39" s="163"/>
      <c r="T39" s="43">
        <f t="shared" si="0"/>
        <v>11</v>
      </c>
      <c r="U39" s="166">
        <f t="shared" si="1"/>
        <v>45600</v>
      </c>
      <c r="V39" s="167"/>
      <c r="W39" s="43"/>
      <c r="X39" s="43"/>
      <c r="Y39" s="43"/>
      <c r="Z39" s="43"/>
      <c r="AA39" s="43"/>
      <c r="AB39" s="43"/>
    </row>
    <row r="40" spans="1:28" ht="14.25" hidden="1" customHeight="1">
      <c r="A40" s="163" t="s">
        <v>279</v>
      </c>
      <c r="B40" s="164">
        <v>45600</v>
      </c>
      <c r="C40" s="163"/>
      <c r="D40" s="163" t="s">
        <v>281</v>
      </c>
      <c r="E40" s="163" t="s">
        <v>330</v>
      </c>
      <c r="F40" s="168">
        <v>-0.5</v>
      </c>
      <c r="G40" s="165">
        <f t="shared" si="2"/>
        <v>88112.01</v>
      </c>
      <c r="H40" s="163"/>
      <c r="I40" s="163" t="s">
        <v>331</v>
      </c>
      <c r="J40" s="163" t="s">
        <v>370</v>
      </c>
      <c r="K40" s="163"/>
      <c r="L40" s="163"/>
      <c r="M40" s="163"/>
      <c r="N40" s="163" t="s">
        <v>333</v>
      </c>
      <c r="O40" s="163"/>
      <c r="P40" s="163"/>
      <c r="Q40" s="163"/>
      <c r="R40" s="163"/>
      <c r="S40" s="163"/>
      <c r="T40" s="43">
        <f t="shared" si="0"/>
        <v>11</v>
      </c>
      <c r="U40" s="166">
        <f t="shared" si="1"/>
        <v>45600</v>
      </c>
      <c r="V40" s="167"/>
      <c r="W40" s="43"/>
      <c r="X40" s="43"/>
      <c r="Y40" s="43"/>
      <c r="Z40" s="43"/>
      <c r="AA40" s="43"/>
      <c r="AB40" s="43"/>
    </row>
    <row r="41" spans="1:28" ht="14.25" hidden="1" customHeight="1">
      <c r="A41" s="163" t="s">
        <v>279</v>
      </c>
      <c r="B41" s="164">
        <v>45600</v>
      </c>
      <c r="C41" s="163" t="s">
        <v>371</v>
      </c>
      <c r="D41" s="163" t="s">
        <v>281</v>
      </c>
      <c r="E41" s="163" t="s">
        <v>372</v>
      </c>
      <c r="F41" s="168">
        <v>-150</v>
      </c>
      <c r="G41" s="165">
        <f t="shared" si="2"/>
        <v>87962.01</v>
      </c>
      <c r="H41" s="163"/>
      <c r="I41" s="163" t="s">
        <v>283</v>
      </c>
      <c r="J41" s="163" t="s">
        <v>373</v>
      </c>
      <c r="K41" s="163"/>
      <c r="L41" s="163" t="s">
        <v>305</v>
      </c>
      <c r="M41" s="163" t="s">
        <v>374</v>
      </c>
      <c r="N41" s="163" t="s">
        <v>297</v>
      </c>
      <c r="O41" s="163"/>
      <c r="P41" s="163"/>
      <c r="Q41" s="163"/>
      <c r="R41" s="163" t="s">
        <v>371</v>
      </c>
      <c r="S41" s="163" t="s">
        <v>375</v>
      </c>
      <c r="T41" s="43">
        <f t="shared" si="0"/>
        <v>11</v>
      </c>
      <c r="U41" s="166">
        <f t="shared" si="1"/>
        <v>45600</v>
      </c>
      <c r="V41" s="167"/>
      <c r="W41" s="43"/>
      <c r="X41" s="43"/>
      <c r="Y41" s="43"/>
      <c r="Z41" s="43"/>
      <c r="AA41" s="43"/>
      <c r="AB41" s="43"/>
    </row>
    <row r="42" spans="1:28" ht="14.25" hidden="1" customHeight="1">
      <c r="A42" s="163" t="s">
        <v>279</v>
      </c>
      <c r="B42" s="164">
        <v>45600</v>
      </c>
      <c r="C42" s="163"/>
      <c r="D42" s="163" t="s">
        <v>281</v>
      </c>
      <c r="E42" s="163" t="s">
        <v>330</v>
      </c>
      <c r="F42" s="168">
        <v>-0.5</v>
      </c>
      <c r="G42" s="165">
        <f t="shared" si="2"/>
        <v>87961.51</v>
      </c>
      <c r="H42" s="163"/>
      <c r="I42" s="163" t="s">
        <v>331</v>
      </c>
      <c r="J42" s="163" t="s">
        <v>376</v>
      </c>
      <c r="K42" s="163"/>
      <c r="L42" s="163"/>
      <c r="M42" s="163"/>
      <c r="N42" s="163" t="s">
        <v>333</v>
      </c>
      <c r="O42" s="163"/>
      <c r="P42" s="163"/>
      <c r="Q42" s="163"/>
      <c r="R42" s="163"/>
      <c r="S42" s="163"/>
      <c r="T42" s="43">
        <f t="shared" si="0"/>
        <v>11</v>
      </c>
      <c r="U42" s="166">
        <f t="shared" si="1"/>
        <v>45600</v>
      </c>
      <c r="V42" s="167"/>
      <c r="W42" s="43"/>
      <c r="X42" s="43"/>
      <c r="Y42" s="43"/>
      <c r="Z42" s="43"/>
      <c r="AA42" s="43"/>
      <c r="AB42" s="43"/>
    </row>
    <row r="43" spans="1:28" ht="14.25" hidden="1" customHeight="1">
      <c r="A43" s="163" t="s">
        <v>279</v>
      </c>
      <c r="B43" s="164">
        <v>45600</v>
      </c>
      <c r="C43" s="163"/>
      <c r="D43" s="163" t="s">
        <v>281</v>
      </c>
      <c r="E43" s="163" t="s">
        <v>330</v>
      </c>
      <c r="F43" s="168">
        <v>-0.5</v>
      </c>
      <c r="G43" s="165">
        <f t="shared" si="2"/>
        <v>87961.01</v>
      </c>
      <c r="H43" s="163"/>
      <c r="I43" s="163" t="s">
        <v>331</v>
      </c>
      <c r="J43" s="163" t="s">
        <v>377</v>
      </c>
      <c r="K43" s="163"/>
      <c r="L43" s="163"/>
      <c r="M43" s="163"/>
      <c r="N43" s="163" t="s">
        <v>333</v>
      </c>
      <c r="O43" s="163"/>
      <c r="P43" s="163"/>
      <c r="Q43" s="163"/>
      <c r="R43" s="163"/>
      <c r="S43" s="163"/>
      <c r="T43" s="43">
        <f t="shared" si="0"/>
        <v>11</v>
      </c>
      <c r="U43" s="166">
        <f t="shared" si="1"/>
        <v>45600</v>
      </c>
      <c r="V43" s="167"/>
      <c r="W43" s="43"/>
      <c r="X43" s="43"/>
      <c r="Y43" s="43"/>
      <c r="Z43" s="43"/>
      <c r="AA43" s="43"/>
      <c r="AB43" s="43"/>
    </row>
    <row r="44" spans="1:28" ht="14.25" hidden="1" customHeight="1">
      <c r="A44" s="163" t="s">
        <v>279</v>
      </c>
      <c r="B44" s="164">
        <v>45600</v>
      </c>
      <c r="C44" s="163"/>
      <c r="D44" s="163" t="s">
        <v>281</v>
      </c>
      <c r="E44" s="163" t="s">
        <v>330</v>
      </c>
      <c r="F44" s="168">
        <v>-0.5</v>
      </c>
      <c r="G44" s="165">
        <f t="shared" si="2"/>
        <v>87960.51</v>
      </c>
      <c r="H44" s="163"/>
      <c r="I44" s="163" t="s">
        <v>331</v>
      </c>
      <c r="J44" s="163" t="s">
        <v>377</v>
      </c>
      <c r="K44" s="163"/>
      <c r="L44" s="163"/>
      <c r="M44" s="163"/>
      <c r="N44" s="163" t="s">
        <v>333</v>
      </c>
      <c r="O44" s="163"/>
      <c r="P44" s="163"/>
      <c r="Q44" s="163"/>
      <c r="R44" s="163"/>
      <c r="S44" s="163"/>
      <c r="T44" s="43">
        <f t="shared" si="0"/>
        <v>11</v>
      </c>
      <c r="U44" s="166">
        <f t="shared" si="1"/>
        <v>45600</v>
      </c>
      <c r="V44" s="43"/>
      <c r="W44" s="43"/>
      <c r="X44" s="43"/>
      <c r="Y44" s="43"/>
      <c r="Z44" s="43"/>
      <c r="AA44" s="43"/>
      <c r="AB44" s="43"/>
    </row>
    <row r="45" spans="1:28" ht="14.25" hidden="1" customHeight="1">
      <c r="A45" s="163" t="s">
        <v>279</v>
      </c>
      <c r="B45" s="164">
        <v>45600</v>
      </c>
      <c r="C45" s="163" t="s">
        <v>111</v>
      </c>
      <c r="D45" s="163" t="s">
        <v>281</v>
      </c>
      <c r="E45" s="163" t="s">
        <v>359</v>
      </c>
      <c r="F45" s="168">
        <v>-300</v>
      </c>
      <c r="G45" s="165">
        <f t="shared" si="2"/>
        <v>87660.51</v>
      </c>
      <c r="H45" s="163"/>
      <c r="I45" s="163" t="s">
        <v>283</v>
      </c>
      <c r="J45" s="163" t="s">
        <v>378</v>
      </c>
      <c r="K45" s="163"/>
      <c r="L45" s="163" t="s">
        <v>305</v>
      </c>
      <c r="M45" s="163" t="s">
        <v>379</v>
      </c>
      <c r="N45" s="163" t="s">
        <v>297</v>
      </c>
      <c r="O45" s="163"/>
      <c r="P45" s="163"/>
      <c r="Q45" s="163"/>
      <c r="R45" s="163" t="s">
        <v>111</v>
      </c>
      <c r="S45" s="163" t="s">
        <v>320</v>
      </c>
      <c r="T45" s="43">
        <f t="shared" si="0"/>
        <v>11</v>
      </c>
      <c r="U45" s="166">
        <f t="shared" si="1"/>
        <v>45600</v>
      </c>
      <c r="V45" s="167"/>
      <c r="W45" s="43"/>
      <c r="X45" s="43"/>
      <c r="Y45" s="43"/>
      <c r="Z45" s="43"/>
      <c r="AA45" s="43"/>
      <c r="AB45" s="43"/>
    </row>
    <row r="46" spans="1:28" ht="14.25" hidden="1" customHeight="1">
      <c r="A46" s="163" t="s">
        <v>279</v>
      </c>
      <c r="B46" s="164">
        <v>45600</v>
      </c>
      <c r="C46" s="163" t="s">
        <v>380</v>
      </c>
      <c r="D46" s="163" t="s">
        <v>281</v>
      </c>
      <c r="E46" s="163" t="s">
        <v>381</v>
      </c>
      <c r="F46" s="168">
        <v>-14390</v>
      </c>
      <c r="G46" s="165">
        <f t="shared" si="2"/>
        <v>73270.509999999995</v>
      </c>
      <c r="H46" s="163"/>
      <c r="I46" s="163" t="s">
        <v>283</v>
      </c>
      <c r="J46" s="163" t="s">
        <v>382</v>
      </c>
      <c r="K46" s="163"/>
      <c r="L46" s="163"/>
      <c r="M46" s="163"/>
      <c r="N46" s="163" t="s">
        <v>383</v>
      </c>
      <c r="O46" s="163"/>
      <c r="P46" s="163"/>
      <c r="Q46" s="163"/>
      <c r="R46" s="163" t="s">
        <v>353</v>
      </c>
      <c r="S46" s="163" t="s">
        <v>354</v>
      </c>
      <c r="T46" s="43">
        <f t="shared" si="0"/>
        <v>11</v>
      </c>
      <c r="U46" s="166">
        <f t="shared" si="1"/>
        <v>45600</v>
      </c>
      <c r="V46" s="167"/>
      <c r="W46" s="43"/>
      <c r="X46" s="43"/>
      <c r="Y46" s="43"/>
      <c r="Z46" s="43"/>
      <c r="AA46" s="43"/>
      <c r="AB46" s="43"/>
    </row>
    <row r="47" spans="1:28" ht="14.25" hidden="1" customHeight="1">
      <c r="A47" s="163" t="s">
        <v>279</v>
      </c>
      <c r="B47" s="164">
        <v>45600</v>
      </c>
      <c r="C47" s="163"/>
      <c r="D47" s="163" t="s">
        <v>281</v>
      </c>
      <c r="E47" s="163" t="s">
        <v>330</v>
      </c>
      <c r="F47" s="168">
        <v>-0.5</v>
      </c>
      <c r="G47" s="165">
        <f t="shared" si="2"/>
        <v>73270.009999999995</v>
      </c>
      <c r="H47" s="163"/>
      <c r="I47" s="163" t="s">
        <v>331</v>
      </c>
      <c r="J47" s="163" t="s">
        <v>384</v>
      </c>
      <c r="K47" s="163"/>
      <c r="L47" s="163"/>
      <c r="M47" s="163"/>
      <c r="N47" s="163" t="s">
        <v>333</v>
      </c>
      <c r="O47" s="163"/>
      <c r="P47" s="163"/>
      <c r="Q47" s="163"/>
      <c r="R47" s="163"/>
      <c r="S47" s="163"/>
      <c r="T47" s="43">
        <f t="shared" si="0"/>
        <v>11</v>
      </c>
      <c r="U47" s="166">
        <f t="shared" si="1"/>
        <v>45600</v>
      </c>
      <c r="V47" s="167"/>
      <c r="W47" s="43"/>
      <c r="X47" s="43"/>
      <c r="Y47" s="43"/>
      <c r="Z47" s="43"/>
      <c r="AA47" s="43"/>
      <c r="AB47" s="43"/>
    </row>
    <row r="48" spans="1:28" ht="14.25" hidden="1" customHeight="1">
      <c r="A48" s="163" t="s">
        <v>279</v>
      </c>
      <c r="B48" s="164">
        <v>45600</v>
      </c>
      <c r="C48" s="163" t="s">
        <v>385</v>
      </c>
      <c r="D48" s="163" t="s">
        <v>281</v>
      </c>
      <c r="E48" s="163" t="s">
        <v>386</v>
      </c>
      <c r="F48" s="168">
        <v>-2061.79</v>
      </c>
      <c r="G48" s="165">
        <f t="shared" si="2"/>
        <v>71208.22</v>
      </c>
      <c r="H48" s="163"/>
      <c r="I48" s="163" t="s">
        <v>342</v>
      </c>
      <c r="J48" s="163"/>
      <c r="K48" s="163"/>
      <c r="L48" s="163" t="s">
        <v>387</v>
      </c>
      <c r="M48" s="163" t="s">
        <v>388</v>
      </c>
      <c r="N48" s="163" t="s">
        <v>297</v>
      </c>
      <c r="O48" s="163"/>
      <c r="P48" s="163"/>
      <c r="Q48" s="163"/>
      <c r="R48" s="163" t="s">
        <v>389</v>
      </c>
      <c r="S48" s="163" t="s">
        <v>390</v>
      </c>
      <c r="T48" s="43">
        <f t="shared" si="0"/>
        <v>11</v>
      </c>
      <c r="U48" s="166">
        <f t="shared" si="1"/>
        <v>45600</v>
      </c>
      <c r="V48" s="43"/>
      <c r="W48" s="43"/>
      <c r="X48" s="43"/>
      <c r="Y48" s="43"/>
      <c r="Z48" s="43"/>
      <c r="AA48" s="43"/>
      <c r="AB48" s="43"/>
    </row>
    <row r="49" spans="1:28" ht="14.25" hidden="1" customHeight="1">
      <c r="A49" s="163"/>
      <c r="B49" s="164">
        <v>45600</v>
      </c>
      <c r="C49" s="163" t="s">
        <v>346</v>
      </c>
      <c r="D49" s="163"/>
      <c r="E49" s="163"/>
      <c r="F49" s="165">
        <v>0</v>
      </c>
      <c r="G49" s="165">
        <f t="shared" si="2"/>
        <v>71208.22</v>
      </c>
      <c r="H49" s="163"/>
      <c r="I49" s="163"/>
      <c r="J49" s="163"/>
      <c r="K49" s="163"/>
      <c r="L49" s="163"/>
      <c r="M49" s="163"/>
      <c r="N49" s="163"/>
      <c r="O49" s="163"/>
      <c r="P49" s="163"/>
      <c r="Q49" s="163"/>
      <c r="R49" s="163"/>
      <c r="S49" s="163"/>
      <c r="T49" s="43">
        <f t="shared" si="0"/>
        <v>11</v>
      </c>
      <c r="U49" s="166">
        <f t="shared" si="1"/>
        <v>45600</v>
      </c>
      <c r="V49" s="43"/>
      <c r="W49" s="43"/>
      <c r="X49" s="43"/>
      <c r="Y49" s="43"/>
      <c r="Z49" s="43"/>
      <c r="AA49" s="43"/>
      <c r="AB49" s="43"/>
    </row>
    <row r="50" spans="1:28" ht="14.25" hidden="1" customHeight="1">
      <c r="A50" s="163" t="s">
        <v>279</v>
      </c>
      <c r="B50" s="164">
        <v>45601</v>
      </c>
      <c r="C50" s="163" t="s">
        <v>391</v>
      </c>
      <c r="D50" s="163" t="s">
        <v>281</v>
      </c>
      <c r="E50" s="163" t="s">
        <v>392</v>
      </c>
      <c r="F50" s="168">
        <v>-5000</v>
      </c>
      <c r="G50" s="165">
        <f t="shared" si="2"/>
        <v>66208.22</v>
      </c>
      <c r="H50" s="163"/>
      <c r="I50" s="163" t="s">
        <v>283</v>
      </c>
      <c r="J50" s="163"/>
      <c r="K50" s="163"/>
      <c r="L50" s="163" t="s">
        <v>366</v>
      </c>
      <c r="M50" s="163" t="s">
        <v>393</v>
      </c>
      <c r="N50" s="163" t="s">
        <v>297</v>
      </c>
      <c r="O50" s="163"/>
      <c r="P50" s="163"/>
      <c r="Q50" s="163"/>
      <c r="R50" s="163" t="s">
        <v>394</v>
      </c>
      <c r="S50" s="163" t="s">
        <v>395</v>
      </c>
      <c r="T50" s="43">
        <f t="shared" si="0"/>
        <v>11</v>
      </c>
      <c r="U50" s="166">
        <f t="shared" si="1"/>
        <v>45601</v>
      </c>
      <c r="V50" s="43"/>
      <c r="W50" s="43"/>
      <c r="X50" s="43"/>
      <c r="Y50" s="43"/>
      <c r="Z50" s="43"/>
      <c r="AA50" s="43"/>
      <c r="AB50" s="43"/>
    </row>
    <row r="51" spans="1:28" ht="14.25" hidden="1" customHeight="1">
      <c r="A51" s="163" t="s">
        <v>279</v>
      </c>
      <c r="B51" s="164">
        <v>45601</v>
      </c>
      <c r="C51" s="163" t="s">
        <v>396</v>
      </c>
      <c r="D51" s="163" t="s">
        <v>281</v>
      </c>
      <c r="E51" s="163" t="s">
        <v>196</v>
      </c>
      <c r="F51" s="168">
        <v>-8879.65</v>
      </c>
      <c r="G51" s="165">
        <f t="shared" si="2"/>
        <v>57328.57</v>
      </c>
      <c r="H51" s="163"/>
      <c r="I51" s="163" t="s">
        <v>342</v>
      </c>
      <c r="J51" s="163"/>
      <c r="K51" s="163"/>
      <c r="L51" s="163" t="s">
        <v>366</v>
      </c>
      <c r="M51" s="163" t="s">
        <v>397</v>
      </c>
      <c r="N51" s="163" t="s">
        <v>297</v>
      </c>
      <c r="O51" s="163"/>
      <c r="P51" s="163"/>
      <c r="Q51" s="163"/>
      <c r="R51" s="163" t="s">
        <v>396</v>
      </c>
      <c r="S51" s="163" t="s">
        <v>398</v>
      </c>
      <c r="T51" s="43">
        <f t="shared" si="0"/>
        <v>11</v>
      </c>
      <c r="U51" s="166">
        <f t="shared" si="1"/>
        <v>45601</v>
      </c>
      <c r="V51" s="43"/>
      <c r="W51" s="43"/>
      <c r="X51" s="43"/>
      <c r="Y51" s="43"/>
      <c r="Z51" s="43"/>
      <c r="AA51" s="43"/>
      <c r="AB51" s="43"/>
    </row>
    <row r="52" spans="1:28" ht="14.25" hidden="1" customHeight="1">
      <c r="A52" s="163" t="s">
        <v>279</v>
      </c>
      <c r="B52" s="164">
        <v>45601</v>
      </c>
      <c r="C52" s="163" t="s">
        <v>396</v>
      </c>
      <c r="D52" s="163" t="s">
        <v>281</v>
      </c>
      <c r="E52" s="163" t="s">
        <v>399</v>
      </c>
      <c r="F52" s="168">
        <v>-4034.06</v>
      </c>
      <c r="G52" s="165">
        <f t="shared" si="2"/>
        <v>53294.51</v>
      </c>
      <c r="H52" s="163"/>
      <c r="I52" s="163" t="s">
        <v>342</v>
      </c>
      <c r="J52" s="163"/>
      <c r="K52" s="163"/>
      <c r="L52" s="163" t="s">
        <v>366</v>
      </c>
      <c r="M52" s="163" t="s">
        <v>400</v>
      </c>
      <c r="N52" s="163" t="s">
        <v>297</v>
      </c>
      <c r="O52" s="163"/>
      <c r="P52" s="163"/>
      <c r="Q52" s="163"/>
      <c r="R52" s="163" t="s">
        <v>396</v>
      </c>
      <c r="S52" s="163" t="s">
        <v>398</v>
      </c>
      <c r="T52" s="43">
        <f t="shared" si="0"/>
        <v>11</v>
      </c>
      <c r="U52" s="166">
        <f t="shared" si="1"/>
        <v>45601</v>
      </c>
      <c r="V52" s="43"/>
      <c r="W52" s="43"/>
      <c r="X52" s="43"/>
      <c r="Y52" s="43"/>
      <c r="Z52" s="43"/>
      <c r="AA52" s="43"/>
      <c r="AB52" s="43"/>
    </row>
    <row r="53" spans="1:28" ht="14.25" hidden="1" customHeight="1">
      <c r="A53" s="163" t="s">
        <v>279</v>
      </c>
      <c r="B53" s="164">
        <v>45601</v>
      </c>
      <c r="C53" s="163"/>
      <c r="D53" s="163" t="s">
        <v>281</v>
      </c>
      <c r="E53" s="163" t="s">
        <v>330</v>
      </c>
      <c r="F53" s="168">
        <v>-0.5</v>
      </c>
      <c r="G53" s="165">
        <f t="shared" si="2"/>
        <v>53294.01</v>
      </c>
      <c r="H53" s="163"/>
      <c r="I53" s="163" t="s">
        <v>331</v>
      </c>
      <c r="J53" s="163" t="s">
        <v>401</v>
      </c>
      <c r="K53" s="163"/>
      <c r="L53" s="163"/>
      <c r="M53" s="163"/>
      <c r="N53" s="163" t="s">
        <v>333</v>
      </c>
      <c r="O53" s="163"/>
      <c r="P53" s="163"/>
      <c r="Q53" s="163"/>
      <c r="R53" s="163"/>
      <c r="S53" s="163"/>
      <c r="T53" s="43">
        <f t="shared" si="0"/>
        <v>11</v>
      </c>
      <c r="U53" s="166">
        <f t="shared" si="1"/>
        <v>45601</v>
      </c>
      <c r="V53" s="43"/>
      <c r="W53" s="43"/>
      <c r="X53" s="43"/>
      <c r="Y53" s="43"/>
      <c r="Z53" s="43"/>
      <c r="AA53" s="43"/>
      <c r="AB53" s="43"/>
    </row>
    <row r="54" spans="1:28" ht="14.25" hidden="1" customHeight="1">
      <c r="A54" s="163" t="s">
        <v>279</v>
      </c>
      <c r="B54" s="164">
        <v>45601</v>
      </c>
      <c r="C54" s="163" t="s">
        <v>402</v>
      </c>
      <c r="D54" s="163" t="s">
        <v>281</v>
      </c>
      <c r="E54" s="163" t="s">
        <v>356</v>
      </c>
      <c r="F54" s="168">
        <v>-75</v>
      </c>
      <c r="G54" s="165">
        <f t="shared" si="2"/>
        <v>53219.01</v>
      </c>
      <c r="H54" s="163"/>
      <c r="I54" s="163" t="s">
        <v>342</v>
      </c>
      <c r="J54" s="163"/>
      <c r="K54" s="163"/>
      <c r="L54" s="163" t="s">
        <v>305</v>
      </c>
      <c r="M54" s="163" t="s">
        <v>403</v>
      </c>
      <c r="N54" s="163" t="s">
        <v>297</v>
      </c>
      <c r="O54" s="163"/>
      <c r="P54" s="163"/>
      <c r="Q54" s="163"/>
      <c r="R54" s="163" t="s">
        <v>404</v>
      </c>
      <c r="S54" s="163" t="s">
        <v>405</v>
      </c>
      <c r="T54" s="43">
        <f t="shared" si="0"/>
        <v>11</v>
      </c>
      <c r="U54" s="166">
        <f t="shared" si="1"/>
        <v>45601</v>
      </c>
      <c r="V54" s="43"/>
      <c r="W54" s="43"/>
      <c r="X54" s="43"/>
      <c r="Y54" s="43"/>
      <c r="Z54" s="43"/>
      <c r="AA54" s="43"/>
      <c r="AB54" s="43"/>
    </row>
    <row r="55" spans="1:28" ht="14.25" hidden="1" customHeight="1">
      <c r="A55" s="163"/>
      <c r="B55" s="164">
        <v>45601</v>
      </c>
      <c r="C55" s="163" t="s">
        <v>346</v>
      </c>
      <c r="D55" s="163"/>
      <c r="E55" s="163"/>
      <c r="F55" s="165">
        <v>0</v>
      </c>
      <c r="G55" s="165">
        <f t="shared" si="2"/>
        <v>53219.01</v>
      </c>
      <c r="H55" s="163"/>
      <c r="I55" s="163"/>
      <c r="J55" s="163"/>
      <c r="K55" s="163"/>
      <c r="L55" s="163"/>
      <c r="M55" s="163"/>
      <c r="N55" s="163"/>
      <c r="O55" s="163"/>
      <c r="P55" s="163"/>
      <c r="Q55" s="163"/>
      <c r="R55" s="163"/>
      <c r="S55" s="163"/>
      <c r="T55" s="43">
        <f t="shared" si="0"/>
        <v>11</v>
      </c>
      <c r="U55" s="166">
        <f t="shared" si="1"/>
        <v>45601</v>
      </c>
      <c r="V55" s="167"/>
      <c r="W55" s="43"/>
      <c r="X55" s="43"/>
      <c r="Y55" s="43"/>
      <c r="Z55" s="43"/>
      <c r="AA55" s="43"/>
      <c r="AB55" s="43"/>
    </row>
    <row r="56" spans="1:28" ht="14.25" hidden="1" customHeight="1">
      <c r="A56" s="163" t="s">
        <v>279</v>
      </c>
      <c r="B56" s="164">
        <v>45602</v>
      </c>
      <c r="C56" s="163" t="s">
        <v>406</v>
      </c>
      <c r="D56" s="163" t="s">
        <v>281</v>
      </c>
      <c r="E56" s="163" t="s">
        <v>407</v>
      </c>
      <c r="F56" s="165">
        <v>4200</v>
      </c>
      <c r="G56" s="165">
        <f t="shared" si="2"/>
        <v>57419.01</v>
      </c>
      <c r="H56" s="163"/>
      <c r="I56" s="163" t="s">
        <v>342</v>
      </c>
      <c r="J56" s="163" t="s">
        <v>408</v>
      </c>
      <c r="K56" s="163" t="s">
        <v>409</v>
      </c>
      <c r="L56" s="163" t="s">
        <v>305</v>
      </c>
      <c r="M56" s="163" t="s">
        <v>410</v>
      </c>
      <c r="N56" s="163" t="s">
        <v>411</v>
      </c>
      <c r="O56" s="163" t="s">
        <v>412</v>
      </c>
      <c r="P56" s="163" t="s">
        <v>57</v>
      </c>
      <c r="Q56" s="163"/>
      <c r="R56" s="163" t="s">
        <v>406</v>
      </c>
      <c r="S56" s="163" t="s">
        <v>413</v>
      </c>
      <c r="T56" s="43">
        <f t="shared" si="0"/>
        <v>11</v>
      </c>
      <c r="U56" s="166">
        <f t="shared" si="1"/>
        <v>45602</v>
      </c>
      <c r="V56" s="167"/>
      <c r="W56" s="43"/>
      <c r="X56" s="43"/>
      <c r="Y56" s="43"/>
      <c r="Z56" s="43"/>
      <c r="AA56" s="43"/>
      <c r="AB56" s="43"/>
    </row>
    <row r="57" spans="1:28" ht="14.25" hidden="1" customHeight="1">
      <c r="A57" s="163" t="s">
        <v>279</v>
      </c>
      <c r="B57" s="164">
        <v>45602</v>
      </c>
      <c r="C57" s="163" t="s">
        <v>67</v>
      </c>
      <c r="D57" s="163" t="s">
        <v>281</v>
      </c>
      <c r="E57" s="163" t="s">
        <v>407</v>
      </c>
      <c r="F57" s="165">
        <v>3700</v>
      </c>
      <c r="G57" s="165">
        <f t="shared" si="2"/>
        <v>61119.01</v>
      </c>
      <c r="H57" s="163"/>
      <c r="I57" s="163" t="s">
        <v>342</v>
      </c>
      <c r="J57" s="163" t="s">
        <v>414</v>
      </c>
      <c r="K57" s="163" t="s">
        <v>415</v>
      </c>
      <c r="L57" s="163" t="s">
        <v>305</v>
      </c>
      <c r="M57" s="163" t="s">
        <v>416</v>
      </c>
      <c r="N57" s="163" t="s">
        <v>411</v>
      </c>
      <c r="O57" s="163" t="s">
        <v>417</v>
      </c>
      <c r="P57" s="163" t="s">
        <v>418</v>
      </c>
      <c r="Q57" s="163"/>
      <c r="R57" s="163" t="s">
        <v>419</v>
      </c>
      <c r="S57" s="163" t="s">
        <v>420</v>
      </c>
      <c r="T57" s="43">
        <f t="shared" si="0"/>
        <v>11</v>
      </c>
      <c r="U57" s="166">
        <f t="shared" si="1"/>
        <v>45602</v>
      </c>
      <c r="V57" s="43"/>
      <c r="W57" s="43"/>
      <c r="X57" s="43"/>
      <c r="Y57" s="43"/>
      <c r="Z57" s="43"/>
      <c r="AA57" s="43"/>
      <c r="AB57" s="43"/>
    </row>
    <row r="58" spans="1:28" ht="14.25" hidden="1" customHeight="1">
      <c r="A58" s="163" t="s">
        <v>279</v>
      </c>
      <c r="B58" s="164">
        <v>45602</v>
      </c>
      <c r="C58" s="163" t="s">
        <v>421</v>
      </c>
      <c r="D58" s="163" t="s">
        <v>281</v>
      </c>
      <c r="E58" s="163" t="s">
        <v>407</v>
      </c>
      <c r="F58" s="165">
        <v>2800</v>
      </c>
      <c r="G58" s="165">
        <f t="shared" si="2"/>
        <v>63919.01</v>
      </c>
      <c r="H58" s="163"/>
      <c r="I58" s="163" t="s">
        <v>342</v>
      </c>
      <c r="J58" s="163" t="s">
        <v>422</v>
      </c>
      <c r="K58" s="163" t="s">
        <v>423</v>
      </c>
      <c r="L58" s="163" t="s">
        <v>305</v>
      </c>
      <c r="M58" s="163" t="s">
        <v>424</v>
      </c>
      <c r="N58" s="163" t="s">
        <v>411</v>
      </c>
      <c r="O58" s="163" t="s">
        <v>425</v>
      </c>
      <c r="P58" s="163" t="s">
        <v>57</v>
      </c>
      <c r="Q58" s="163"/>
      <c r="R58" s="163" t="s">
        <v>426</v>
      </c>
      <c r="S58" s="163" t="s">
        <v>427</v>
      </c>
      <c r="T58" s="43">
        <f t="shared" si="0"/>
        <v>11</v>
      </c>
      <c r="U58" s="166">
        <f t="shared" si="1"/>
        <v>45602</v>
      </c>
      <c r="V58" s="43"/>
      <c r="W58" s="43"/>
      <c r="X58" s="43"/>
      <c r="Y58" s="43"/>
      <c r="Z58" s="43"/>
      <c r="AA58" s="43"/>
      <c r="AB58" s="43"/>
    </row>
    <row r="59" spans="1:28" ht="14.25" hidden="1" customHeight="1">
      <c r="A59" s="163" t="s">
        <v>279</v>
      </c>
      <c r="B59" s="164">
        <v>45602</v>
      </c>
      <c r="C59" s="163" t="s">
        <v>280</v>
      </c>
      <c r="D59" s="163" t="s">
        <v>281</v>
      </c>
      <c r="E59" s="163" t="s">
        <v>282</v>
      </c>
      <c r="F59" s="165">
        <v>50000</v>
      </c>
      <c r="G59" s="165">
        <f t="shared" si="2"/>
        <v>113919.01000000001</v>
      </c>
      <c r="H59" s="163"/>
      <c r="I59" s="163" t="s">
        <v>283</v>
      </c>
      <c r="J59" s="163" t="s">
        <v>428</v>
      </c>
      <c r="K59" s="163"/>
      <c r="L59" s="163"/>
      <c r="M59" s="163"/>
      <c r="N59" s="163" t="s">
        <v>285</v>
      </c>
      <c r="O59" s="163"/>
      <c r="P59" s="163"/>
      <c r="Q59" s="163"/>
      <c r="R59" s="163" t="s">
        <v>286</v>
      </c>
      <c r="S59" s="163" t="s">
        <v>287</v>
      </c>
      <c r="T59" s="43">
        <f t="shared" si="0"/>
        <v>11</v>
      </c>
      <c r="U59" s="166">
        <f t="shared" si="1"/>
        <v>45602</v>
      </c>
      <c r="V59" s="43"/>
      <c r="W59" s="43"/>
      <c r="X59" s="43"/>
      <c r="Y59" s="43"/>
      <c r="Z59" s="43"/>
      <c r="AA59" s="43"/>
      <c r="AB59" s="43"/>
    </row>
    <row r="60" spans="1:28" ht="14.25" hidden="1" customHeight="1">
      <c r="A60" s="163" t="s">
        <v>279</v>
      </c>
      <c r="B60" s="164">
        <v>45602</v>
      </c>
      <c r="C60" s="163"/>
      <c r="D60" s="163" t="s">
        <v>281</v>
      </c>
      <c r="E60" s="163" t="s">
        <v>330</v>
      </c>
      <c r="F60" s="168">
        <v>-1.99</v>
      </c>
      <c r="G60" s="165">
        <f t="shared" si="2"/>
        <v>113917.02</v>
      </c>
      <c r="H60" s="163"/>
      <c r="I60" s="163" t="s">
        <v>331</v>
      </c>
      <c r="J60" s="163" t="s">
        <v>429</v>
      </c>
      <c r="K60" s="163"/>
      <c r="L60" s="163"/>
      <c r="M60" s="163"/>
      <c r="N60" s="163" t="s">
        <v>333</v>
      </c>
      <c r="O60" s="163"/>
      <c r="P60" s="163" t="s">
        <v>57</v>
      </c>
      <c r="Q60" s="163"/>
      <c r="R60" s="163"/>
      <c r="S60" s="163"/>
      <c r="T60" s="43">
        <f t="shared" si="0"/>
        <v>11</v>
      </c>
      <c r="U60" s="166">
        <f t="shared" si="1"/>
        <v>45602</v>
      </c>
      <c r="V60" s="43"/>
      <c r="W60" s="43"/>
      <c r="X60" s="43"/>
      <c r="Y60" s="43"/>
      <c r="Z60" s="43"/>
      <c r="AA60" s="43"/>
      <c r="AB60" s="43"/>
    </row>
    <row r="61" spans="1:28" ht="14.25" hidden="1" customHeight="1">
      <c r="A61" s="163" t="s">
        <v>279</v>
      </c>
      <c r="B61" s="164">
        <v>45602</v>
      </c>
      <c r="C61" s="163"/>
      <c r="D61" s="163" t="s">
        <v>281</v>
      </c>
      <c r="E61" s="163" t="s">
        <v>330</v>
      </c>
      <c r="F61" s="168">
        <v>-1.99</v>
      </c>
      <c r="G61" s="165">
        <f t="shared" si="2"/>
        <v>113915.03</v>
      </c>
      <c r="H61" s="163"/>
      <c r="I61" s="163" t="s">
        <v>331</v>
      </c>
      <c r="J61" s="163" t="s">
        <v>430</v>
      </c>
      <c r="K61" s="163"/>
      <c r="L61" s="163"/>
      <c r="M61" s="163"/>
      <c r="N61" s="163" t="s">
        <v>333</v>
      </c>
      <c r="O61" s="163"/>
      <c r="P61" s="163" t="s">
        <v>418</v>
      </c>
      <c r="Q61" s="163"/>
      <c r="R61" s="163"/>
      <c r="S61" s="163"/>
      <c r="T61" s="43">
        <f t="shared" si="0"/>
        <v>11</v>
      </c>
      <c r="U61" s="166">
        <f t="shared" si="1"/>
        <v>45602</v>
      </c>
      <c r="V61" s="43"/>
      <c r="W61" s="43"/>
      <c r="X61" s="43"/>
      <c r="Y61" s="43"/>
      <c r="Z61" s="43"/>
      <c r="AA61" s="43"/>
      <c r="AB61" s="43"/>
    </row>
    <row r="62" spans="1:28" ht="14.25" hidden="1" customHeight="1">
      <c r="A62" s="163" t="s">
        <v>279</v>
      </c>
      <c r="B62" s="164">
        <v>45602</v>
      </c>
      <c r="C62" s="163"/>
      <c r="D62" s="163" t="s">
        <v>281</v>
      </c>
      <c r="E62" s="163" t="s">
        <v>330</v>
      </c>
      <c r="F62" s="168">
        <v>-1.99</v>
      </c>
      <c r="G62" s="165">
        <f t="shared" si="2"/>
        <v>113913.04</v>
      </c>
      <c r="H62" s="163"/>
      <c r="I62" s="163" t="s">
        <v>331</v>
      </c>
      <c r="J62" s="163" t="s">
        <v>431</v>
      </c>
      <c r="K62" s="163"/>
      <c r="L62" s="163"/>
      <c r="M62" s="163"/>
      <c r="N62" s="163" t="s">
        <v>333</v>
      </c>
      <c r="O62" s="163"/>
      <c r="P62" s="163" t="s">
        <v>57</v>
      </c>
      <c r="Q62" s="163"/>
      <c r="R62" s="163"/>
      <c r="S62" s="163"/>
      <c r="T62" s="43">
        <f t="shared" si="0"/>
        <v>11</v>
      </c>
      <c r="U62" s="166">
        <f t="shared" si="1"/>
        <v>45602</v>
      </c>
      <c r="V62" s="43"/>
      <c r="W62" s="43"/>
      <c r="X62" s="43"/>
      <c r="Y62" s="43"/>
      <c r="Z62" s="43"/>
      <c r="AA62" s="43"/>
      <c r="AB62" s="43"/>
    </row>
    <row r="63" spans="1:28" ht="14.25" hidden="1" customHeight="1">
      <c r="A63" s="163" t="s">
        <v>279</v>
      </c>
      <c r="B63" s="164">
        <v>45602</v>
      </c>
      <c r="C63" s="163" t="s">
        <v>87</v>
      </c>
      <c r="D63" s="163" t="s">
        <v>281</v>
      </c>
      <c r="E63" s="163" t="s">
        <v>18</v>
      </c>
      <c r="F63" s="168">
        <v>-5716.59</v>
      </c>
      <c r="G63" s="165">
        <f t="shared" si="2"/>
        <v>108196.45</v>
      </c>
      <c r="H63" s="163"/>
      <c r="I63" s="163" t="s">
        <v>283</v>
      </c>
      <c r="J63" s="163"/>
      <c r="K63" s="163"/>
      <c r="L63" s="163" t="s">
        <v>366</v>
      </c>
      <c r="M63" s="163" t="s">
        <v>432</v>
      </c>
      <c r="N63" s="163" t="s">
        <v>297</v>
      </c>
      <c r="O63" s="163"/>
      <c r="P63" s="163"/>
      <c r="Q63" s="163"/>
      <c r="R63" s="163" t="s">
        <v>87</v>
      </c>
      <c r="S63" s="163" t="s">
        <v>325</v>
      </c>
      <c r="T63" s="43">
        <f t="shared" si="0"/>
        <v>11</v>
      </c>
      <c r="U63" s="166">
        <f t="shared" si="1"/>
        <v>45602</v>
      </c>
      <c r="V63" s="43"/>
      <c r="W63" s="43"/>
      <c r="X63" s="43"/>
      <c r="Y63" s="43"/>
      <c r="Z63" s="43"/>
      <c r="AA63" s="43"/>
      <c r="AB63" s="43"/>
    </row>
    <row r="64" spans="1:28" ht="14.25" hidden="1" customHeight="1">
      <c r="A64" s="163" t="s">
        <v>279</v>
      </c>
      <c r="B64" s="164">
        <v>45602</v>
      </c>
      <c r="C64" s="163" t="s">
        <v>433</v>
      </c>
      <c r="D64" s="163" t="s">
        <v>281</v>
      </c>
      <c r="E64" s="163" t="s">
        <v>18</v>
      </c>
      <c r="F64" s="168">
        <v>-3998.6</v>
      </c>
      <c r="G64" s="165">
        <f t="shared" si="2"/>
        <v>104197.84999999999</v>
      </c>
      <c r="H64" s="163"/>
      <c r="I64" s="163" t="s">
        <v>283</v>
      </c>
      <c r="J64" s="163"/>
      <c r="K64" s="163"/>
      <c r="L64" s="163" t="s">
        <v>366</v>
      </c>
      <c r="M64" s="163" t="s">
        <v>434</v>
      </c>
      <c r="N64" s="163" t="s">
        <v>297</v>
      </c>
      <c r="O64" s="163"/>
      <c r="P64" s="163"/>
      <c r="Q64" s="163"/>
      <c r="R64" s="163" t="s">
        <v>433</v>
      </c>
      <c r="S64" s="163" t="s">
        <v>435</v>
      </c>
      <c r="T64" s="43">
        <f t="shared" si="0"/>
        <v>11</v>
      </c>
      <c r="U64" s="166">
        <f t="shared" si="1"/>
        <v>45602</v>
      </c>
      <c r="V64" s="43"/>
      <c r="W64" s="43"/>
      <c r="X64" s="43"/>
      <c r="Y64" s="43"/>
      <c r="Z64" s="43"/>
      <c r="AA64" s="43"/>
      <c r="AB64" s="43"/>
    </row>
    <row r="65" spans="1:28" ht="14.25" hidden="1" customHeight="1">
      <c r="A65" s="163" t="s">
        <v>279</v>
      </c>
      <c r="B65" s="164">
        <v>45602</v>
      </c>
      <c r="C65" s="163" t="s">
        <v>436</v>
      </c>
      <c r="D65" s="163" t="s">
        <v>281</v>
      </c>
      <c r="E65" s="163" t="s">
        <v>18</v>
      </c>
      <c r="F65" s="168">
        <v>-2213.5300000000002</v>
      </c>
      <c r="G65" s="165">
        <f t="shared" si="2"/>
        <v>101984.31999999999</v>
      </c>
      <c r="H65" s="163"/>
      <c r="I65" s="163" t="s">
        <v>283</v>
      </c>
      <c r="J65" s="163"/>
      <c r="K65" s="163"/>
      <c r="L65" s="163" t="s">
        <v>366</v>
      </c>
      <c r="M65" s="163" t="s">
        <v>437</v>
      </c>
      <c r="N65" s="163" t="s">
        <v>297</v>
      </c>
      <c r="O65" s="163"/>
      <c r="P65" s="163"/>
      <c r="Q65" s="163"/>
      <c r="R65" s="163" t="s">
        <v>436</v>
      </c>
      <c r="S65" s="163" t="s">
        <v>438</v>
      </c>
      <c r="T65" s="43">
        <f t="shared" si="0"/>
        <v>11</v>
      </c>
      <c r="U65" s="166">
        <f t="shared" si="1"/>
        <v>45602</v>
      </c>
      <c r="V65" s="43"/>
      <c r="W65" s="43"/>
      <c r="X65" s="43"/>
      <c r="Y65" s="43"/>
      <c r="Z65" s="43"/>
      <c r="AA65" s="43"/>
      <c r="AB65" s="43"/>
    </row>
    <row r="66" spans="1:28" ht="14.25" hidden="1" customHeight="1">
      <c r="A66" s="163" t="s">
        <v>279</v>
      </c>
      <c r="B66" s="164">
        <v>45602</v>
      </c>
      <c r="C66" s="163" t="s">
        <v>95</v>
      </c>
      <c r="D66" s="163" t="s">
        <v>281</v>
      </c>
      <c r="E66" s="163" t="s">
        <v>18</v>
      </c>
      <c r="F66" s="168">
        <v>-2028.7</v>
      </c>
      <c r="G66" s="165">
        <f t="shared" si="2"/>
        <v>99955.62</v>
      </c>
      <c r="H66" s="163"/>
      <c r="I66" s="163" t="s">
        <v>283</v>
      </c>
      <c r="J66" s="163"/>
      <c r="K66" s="163"/>
      <c r="L66" s="163" t="s">
        <v>366</v>
      </c>
      <c r="M66" s="163" t="s">
        <v>439</v>
      </c>
      <c r="N66" s="163" t="s">
        <v>297</v>
      </c>
      <c r="O66" s="163"/>
      <c r="P66" s="163"/>
      <c r="Q66" s="163"/>
      <c r="R66" s="163" t="s">
        <v>95</v>
      </c>
      <c r="S66" s="163" t="s">
        <v>440</v>
      </c>
      <c r="T66" s="43">
        <f t="shared" si="0"/>
        <v>11</v>
      </c>
      <c r="U66" s="166">
        <f t="shared" si="1"/>
        <v>45602</v>
      </c>
      <c r="V66" s="43"/>
      <c r="W66" s="43"/>
      <c r="X66" s="43"/>
      <c r="Y66" s="43"/>
      <c r="Z66" s="43"/>
      <c r="AA66" s="43"/>
      <c r="AB66" s="43"/>
    </row>
    <row r="67" spans="1:28" ht="14.25" hidden="1" customHeight="1">
      <c r="A67" s="163" t="s">
        <v>279</v>
      </c>
      <c r="B67" s="164">
        <v>45602</v>
      </c>
      <c r="C67" s="163" t="s">
        <v>441</v>
      </c>
      <c r="D67" s="163" t="s">
        <v>281</v>
      </c>
      <c r="E67" s="163" t="s">
        <v>18</v>
      </c>
      <c r="F67" s="168">
        <v>-1686.48</v>
      </c>
      <c r="G67" s="165">
        <f t="shared" si="2"/>
        <v>98269.14</v>
      </c>
      <c r="H67" s="163"/>
      <c r="I67" s="163" t="s">
        <v>283</v>
      </c>
      <c r="J67" s="163"/>
      <c r="K67" s="163"/>
      <c r="L67" s="163" t="s">
        <v>366</v>
      </c>
      <c r="M67" s="163" t="s">
        <v>442</v>
      </c>
      <c r="N67" s="163" t="s">
        <v>297</v>
      </c>
      <c r="O67" s="163"/>
      <c r="P67" s="163"/>
      <c r="Q67" s="163"/>
      <c r="R67" s="163" t="s">
        <v>441</v>
      </c>
      <c r="S67" s="163" t="s">
        <v>443</v>
      </c>
      <c r="T67" s="43">
        <f t="shared" si="0"/>
        <v>11</v>
      </c>
      <c r="U67" s="166">
        <f t="shared" si="1"/>
        <v>45602</v>
      </c>
      <c r="V67" s="43"/>
      <c r="W67" s="43"/>
      <c r="X67" s="43"/>
      <c r="Y67" s="43"/>
      <c r="Z67" s="43"/>
      <c r="AA67" s="43"/>
      <c r="AB67" s="43"/>
    </row>
    <row r="68" spans="1:28" ht="14.25" hidden="1" customHeight="1">
      <c r="A68" s="163" t="s">
        <v>279</v>
      </c>
      <c r="B68" s="164">
        <v>45602</v>
      </c>
      <c r="C68" s="163" t="s">
        <v>444</v>
      </c>
      <c r="D68" s="163" t="s">
        <v>281</v>
      </c>
      <c r="E68" s="163" t="s">
        <v>18</v>
      </c>
      <c r="F68" s="168">
        <v>-1686.48</v>
      </c>
      <c r="G68" s="165">
        <f t="shared" si="2"/>
        <v>96582.66</v>
      </c>
      <c r="H68" s="163"/>
      <c r="I68" s="163" t="s">
        <v>283</v>
      </c>
      <c r="J68" s="163"/>
      <c r="K68" s="163"/>
      <c r="L68" s="163" t="s">
        <v>366</v>
      </c>
      <c r="M68" s="163" t="s">
        <v>445</v>
      </c>
      <c r="N68" s="163" t="s">
        <v>297</v>
      </c>
      <c r="O68" s="163"/>
      <c r="P68" s="163"/>
      <c r="Q68" s="163"/>
      <c r="R68" s="163" t="s">
        <v>444</v>
      </c>
      <c r="S68" s="163" t="s">
        <v>446</v>
      </c>
      <c r="T68" s="43">
        <f t="shared" si="0"/>
        <v>11</v>
      </c>
      <c r="U68" s="166">
        <f t="shared" si="1"/>
        <v>45602</v>
      </c>
      <c r="V68" s="43"/>
      <c r="W68" s="43"/>
      <c r="X68" s="43"/>
      <c r="Y68" s="43"/>
      <c r="Z68" s="43"/>
      <c r="AA68" s="43"/>
      <c r="AB68" s="43"/>
    </row>
    <row r="69" spans="1:28" ht="14.25" hidden="1" customHeight="1">
      <c r="A69" s="163" t="s">
        <v>279</v>
      </c>
      <c r="B69" s="164">
        <v>45602</v>
      </c>
      <c r="C69" s="163" t="s">
        <v>447</v>
      </c>
      <c r="D69" s="163" t="s">
        <v>281</v>
      </c>
      <c r="E69" s="163" t="s">
        <v>18</v>
      </c>
      <c r="F69" s="168">
        <v>-1640.73</v>
      </c>
      <c r="G69" s="165">
        <f t="shared" si="2"/>
        <v>94941.930000000008</v>
      </c>
      <c r="H69" s="163"/>
      <c r="I69" s="163" t="s">
        <v>283</v>
      </c>
      <c r="J69" s="163"/>
      <c r="K69" s="163"/>
      <c r="L69" s="163" t="s">
        <v>366</v>
      </c>
      <c r="M69" s="163" t="s">
        <v>448</v>
      </c>
      <c r="N69" s="163" t="s">
        <v>297</v>
      </c>
      <c r="O69" s="163"/>
      <c r="P69" s="163"/>
      <c r="Q69" s="163"/>
      <c r="R69" s="163" t="s">
        <v>447</v>
      </c>
      <c r="S69" s="163" t="s">
        <v>449</v>
      </c>
      <c r="T69" s="43">
        <f t="shared" si="0"/>
        <v>11</v>
      </c>
      <c r="U69" s="166">
        <f t="shared" si="1"/>
        <v>45602</v>
      </c>
      <c r="V69" s="167"/>
      <c r="W69" s="43"/>
      <c r="X69" s="43"/>
      <c r="Y69" s="43"/>
      <c r="Z69" s="43"/>
      <c r="AA69" s="43"/>
      <c r="AB69" s="43"/>
    </row>
    <row r="70" spans="1:28" ht="14.25" hidden="1" customHeight="1">
      <c r="A70" s="163" t="s">
        <v>279</v>
      </c>
      <c r="B70" s="164">
        <v>45602</v>
      </c>
      <c r="C70" s="163" t="s">
        <v>321</v>
      </c>
      <c r="D70" s="163" t="s">
        <v>281</v>
      </c>
      <c r="E70" s="163" t="s">
        <v>18</v>
      </c>
      <c r="F70" s="168">
        <v>-2709.85</v>
      </c>
      <c r="G70" s="165">
        <f t="shared" si="2"/>
        <v>92232.08</v>
      </c>
      <c r="H70" s="163"/>
      <c r="I70" s="163" t="s">
        <v>283</v>
      </c>
      <c r="J70" s="163"/>
      <c r="K70" s="163"/>
      <c r="L70" s="163" t="s">
        <v>366</v>
      </c>
      <c r="M70" s="163" t="s">
        <v>450</v>
      </c>
      <c r="N70" s="163" t="s">
        <v>297</v>
      </c>
      <c r="O70" s="163"/>
      <c r="P70" s="163"/>
      <c r="Q70" s="163"/>
      <c r="R70" s="163" t="s">
        <v>321</v>
      </c>
      <c r="S70" s="163" t="s">
        <v>323</v>
      </c>
      <c r="T70" s="43">
        <f t="shared" si="0"/>
        <v>11</v>
      </c>
      <c r="U70" s="166">
        <f t="shared" si="1"/>
        <v>45602</v>
      </c>
      <c r="V70" s="43"/>
      <c r="W70" s="43"/>
      <c r="X70" s="43"/>
      <c r="Y70" s="43"/>
      <c r="Z70" s="43"/>
      <c r="AA70" s="43"/>
      <c r="AB70" s="43"/>
    </row>
    <row r="71" spans="1:28" ht="14.25" hidden="1" customHeight="1">
      <c r="A71" s="163" t="s">
        <v>279</v>
      </c>
      <c r="B71" s="164">
        <v>45602</v>
      </c>
      <c r="C71" s="163" t="s">
        <v>451</v>
      </c>
      <c r="D71" s="163" t="s">
        <v>281</v>
      </c>
      <c r="E71" s="163" t="s">
        <v>18</v>
      </c>
      <c r="F71" s="168">
        <v>-1602.53</v>
      </c>
      <c r="G71" s="165">
        <f t="shared" si="2"/>
        <v>90629.55</v>
      </c>
      <c r="H71" s="163"/>
      <c r="I71" s="163" t="s">
        <v>283</v>
      </c>
      <c r="J71" s="163"/>
      <c r="K71" s="163"/>
      <c r="L71" s="163" t="s">
        <v>366</v>
      </c>
      <c r="M71" s="163" t="s">
        <v>452</v>
      </c>
      <c r="N71" s="163" t="s">
        <v>297</v>
      </c>
      <c r="O71" s="163"/>
      <c r="P71" s="163"/>
      <c r="Q71" s="163"/>
      <c r="R71" s="163" t="s">
        <v>451</v>
      </c>
      <c r="S71" s="163" t="s">
        <v>453</v>
      </c>
      <c r="T71" s="43">
        <f t="shared" si="0"/>
        <v>11</v>
      </c>
      <c r="U71" s="166">
        <f t="shared" si="1"/>
        <v>45602</v>
      </c>
      <c r="V71" s="43"/>
      <c r="W71" s="43"/>
      <c r="X71" s="43"/>
      <c r="Y71" s="43"/>
      <c r="Z71" s="43"/>
      <c r="AA71" s="43"/>
      <c r="AB71" s="43"/>
    </row>
    <row r="72" spans="1:28" ht="14.25" hidden="1" customHeight="1">
      <c r="A72" s="163" t="s">
        <v>279</v>
      </c>
      <c r="B72" s="164">
        <v>45602</v>
      </c>
      <c r="C72" s="163" t="s">
        <v>358</v>
      </c>
      <c r="D72" s="163" t="s">
        <v>281</v>
      </c>
      <c r="E72" s="163" t="s">
        <v>18</v>
      </c>
      <c r="F72" s="168">
        <v>-1743.59</v>
      </c>
      <c r="G72" s="165">
        <f t="shared" si="2"/>
        <v>88885.96</v>
      </c>
      <c r="H72" s="163"/>
      <c r="I72" s="163" t="s">
        <v>283</v>
      </c>
      <c r="J72" s="163"/>
      <c r="K72" s="163"/>
      <c r="L72" s="163" t="s">
        <v>366</v>
      </c>
      <c r="M72" s="163" t="s">
        <v>454</v>
      </c>
      <c r="N72" s="163" t="s">
        <v>297</v>
      </c>
      <c r="O72" s="163"/>
      <c r="P72" s="163"/>
      <c r="Q72" s="163"/>
      <c r="R72" s="163" t="s">
        <v>358</v>
      </c>
      <c r="S72" s="163" t="s">
        <v>361</v>
      </c>
      <c r="T72" s="43">
        <f t="shared" si="0"/>
        <v>11</v>
      </c>
      <c r="U72" s="166">
        <f t="shared" si="1"/>
        <v>45602</v>
      </c>
      <c r="V72" s="43"/>
      <c r="W72" s="43"/>
      <c r="X72" s="43"/>
      <c r="Y72" s="43"/>
      <c r="Z72" s="43"/>
      <c r="AA72" s="43"/>
      <c r="AB72" s="43"/>
    </row>
    <row r="73" spans="1:28" ht="14.25" hidden="1" customHeight="1">
      <c r="A73" s="163" t="s">
        <v>279</v>
      </c>
      <c r="B73" s="164">
        <v>45602</v>
      </c>
      <c r="C73" s="163" t="s">
        <v>99</v>
      </c>
      <c r="D73" s="163" t="s">
        <v>281</v>
      </c>
      <c r="E73" s="163" t="s">
        <v>18</v>
      </c>
      <c r="F73" s="168">
        <v>-4273.04</v>
      </c>
      <c r="G73" s="165">
        <f t="shared" si="2"/>
        <v>84612.920000000013</v>
      </c>
      <c r="H73" s="163"/>
      <c r="I73" s="163" t="s">
        <v>283</v>
      </c>
      <c r="J73" s="163"/>
      <c r="K73" s="163"/>
      <c r="L73" s="163" t="s">
        <v>366</v>
      </c>
      <c r="M73" s="163" t="s">
        <v>455</v>
      </c>
      <c r="N73" s="163" t="s">
        <v>297</v>
      </c>
      <c r="O73" s="163"/>
      <c r="P73" s="163"/>
      <c r="Q73" s="163"/>
      <c r="R73" s="163" t="s">
        <v>99</v>
      </c>
      <c r="S73" s="163" t="s">
        <v>456</v>
      </c>
      <c r="T73" s="43">
        <f t="shared" si="0"/>
        <v>11</v>
      </c>
      <c r="U73" s="166">
        <f t="shared" si="1"/>
        <v>45602</v>
      </c>
      <c r="V73" s="43"/>
      <c r="W73" s="43"/>
      <c r="X73" s="43"/>
      <c r="Y73" s="43"/>
      <c r="Z73" s="43"/>
      <c r="AA73" s="43"/>
      <c r="AB73" s="43"/>
    </row>
    <row r="74" spans="1:28" ht="14.25" hidden="1" customHeight="1">
      <c r="A74" s="163" t="s">
        <v>279</v>
      </c>
      <c r="B74" s="164">
        <v>45602</v>
      </c>
      <c r="C74" s="163" t="s">
        <v>457</v>
      </c>
      <c r="D74" s="163" t="s">
        <v>281</v>
      </c>
      <c r="E74" s="163" t="s">
        <v>18</v>
      </c>
      <c r="F74" s="168">
        <v>-1887.81</v>
      </c>
      <c r="G74" s="165">
        <f t="shared" si="2"/>
        <v>82725.110000000015</v>
      </c>
      <c r="H74" s="163"/>
      <c r="I74" s="163" t="s">
        <v>283</v>
      </c>
      <c r="J74" s="163"/>
      <c r="K74" s="163"/>
      <c r="L74" s="163" t="s">
        <v>366</v>
      </c>
      <c r="M74" s="163" t="s">
        <v>458</v>
      </c>
      <c r="N74" s="163" t="s">
        <v>297</v>
      </c>
      <c r="O74" s="163"/>
      <c r="P74" s="163"/>
      <c r="Q74" s="163"/>
      <c r="R74" s="163" t="s">
        <v>457</v>
      </c>
      <c r="S74" s="163" t="s">
        <v>459</v>
      </c>
      <c r="T74" s="43">
        <f t="shared" si="0"/>
        <v>11</v>
      </c>
      <c r="U74" s="166">
        <f t="shared" si="1"/>
        <v>45602</v>
      </c>
      <c r="V74" s="43"/>
      <c r="W74" s="43"/>
      <c r="X74" s="43"/>
      <c r="Y74" s="43"/>
      <c r="Z74" s="43"/>
      <c r="AA74" s="43"/>
      <c r="AB74" s="43"/>
    </row>
    <row r="75" spans="1:28" ht="14.25" hidden="1" customHeight="1">
      <c r="A75" s="163" t="s">
        <v>279</v>
      </c>
      <c r="B75" s="164">
        <v>45602</v>
      </c>
      <c r="C75" s="163" t="s">
        <v>460</v>
      </c>
      <c r="D75" s="163" t="s">
        <v>281</v>
      </c>
      <c r="E75" s="163" t="s">
        <v>18</v>
      </c>
      <c r="F75" s="168">
        <v>-4044.74</v>
      </c>
      <c r="G75" s="165">
        <f t="shared" si="2"/>
        <v>78680.37000000001</v>
      </c>
      <c r="H75" s="163"/>
      <c r="I75" s="163" t="s">
        <v>283</v>
      </c>
      <c r="J75" s="163"/>
      <c r="K75" s="163"/>
      <c r="L75" s="163" t="s">
        <v>366</v>
      </c>
      <c r="M75" s="163" t="s">
        <v>461</v>
      </c>
      <c r="N75" s="163" t="s">
        <v>297</v>
      </c>
      <c r="O75" s="163"/>
      <c r="P75" s="163"/>
      <c r="Q75" s="163"/>
      <c r="R75" s="163" t="s">
        <v>460</v>
      </c>
      <c r="S75" s="163" t="s">
        <v>462</v>
      </c>
      <c r="T75" s="43">
        <f t="shared" si="0"/>
        <v>11</v>
      </c>
      <c r="U75" s="166">
        <f t="shared" si="1"/>
        <v>45602</v>
      </c>
      <c r="V75" s="43"/>
      <c r="W75" s="43"/>
      <c r="X75" s="43"/>
      <c r="Y75" s="43"/>
      <c r="Z75" s="43"/>
      <c r="AA75" s="43"/>
      <c r="AB75" s="43"/>
    </row>
    <row r="76" spans="1:28" ht="14.25" hidden="1" customHeight="1">
      <c r="A76" s="163" t="s">
        <v>279</v>
      </c>
      <c r="B76" s="164">
        <v>45602</v>
      </c>
      <c r="C76" s="163" t="s">
        <v>463</v>
      </c>
      <c r="D76" s="163" t="s">
        <v>281</v>
      </c>
      <c r="E76" s="163" t="s">
        <v>18</v>
      </c>
      <c r="F76" s="168">
        <v>-1648.61</v>
      </c>
      <c r="G76" s="165">
        <f t="shared" si="2"/>
        <v>77031.760000000009</v>
      </c>
      <c r="H76" s="163"/>
      <c r="I76" s="163" t="s">
        <v>283</v>
      </c>
      <c r="J76" s="163"/>
      <c r="K76" s="163"/>
      <c r="L76" s="163" t="s">
        <v>366</v>
      </c>
      <c r="M76" s="163" t="s">
        <v>464</v>
      </c>
      <c r="N76" s="163" t="s">
        <v>297</v>
      </c>
      <c r="O76" s="163"/>
      <c r="P76" s="163"/>
      <c r="Q76" s="163"/>
      <c r="R76" s="163" t="s">
        <v>463</v>
      </c>
      <c r="S76" s="163" t="s">
        <v>465</v>
      </c>
      <c r="T76" s="43">
        <f t="shared" si="0"/>
        <v>11</v>
      </c>
      <c r="U76" s="166">
        <f t="shared" si="1"/>
        <v>45602</v>
      </c>
      <c r="V76" s="43"/>
      <c r="W76" s="43"/>
      <c r="X76" s="43"/>
      <c r="Y76" s="43"/>
      <c r="Z76" s="43"/>
      <c r="AA76" s="43"/>
      <c r="AB76" s="43"/>
    </row>
    <row r="77" spans="1:28" ht="14.25" hidden="1" customHeight="1">
      <c r="A77" s="163" t="s">
        <v>279</v>
      </c>
      <c r="B77" s="164">
        <v>45602</v>
      </c>
      <c r="C77" s="163" t="s">
        <v>466</v>
      </c>
      <c r="D77" s="163" t="s">
        <v>281</v>
      </c>
      <c r="E77" s="163" t="s">
        <v>18</v>
      </c>
      <c r="F77" s="168">
        <v>-1611.17</v>
      </c>
      <c r="G77" s="165">
        <f t="shared" si="2"/>
        <v>75420.590000000011</v>
      </c>
      <c r="H77" s="163"/>
      <c r="I77" s="163" t="s">
        <v>283</v>
      </c>
      <c r="J77" s="163"/>
      <c r="K77" s="163"/>
      <c r="L77" s="163" t="s">
        <v>366</v>
      </c>
      <c r="M77" s="163" t="s">
        <v>467</v>
      </c>
      <c r="N77" s="163" t="s">
        <v>297</v>
      </c>
      <c r="O77" s="163"/>
      <c r="P77" s="163"/>
      <c r="Q77" s="163"/>
      <c r="R77" s="163" t="s">
        <v>466</v>
      </c>
      <c r="S77" s="163" t="s">
        <v>468</v>
      </c>
      <c r="T77" s="43">
        <f t="shared" si="0"/>
        <v>11</v>
      </c>
      <c r="U77" s="166">
        <f t="shared" si="1"/>
        <v>45602</v>
      </c>
      <c r="V77" s="43"/>
      <c r="W77" s="43"/>
      <c r="X77" s="43"/>
      <c r="Y77" s="43"/>
      <c r="Z77" s="43"/>
      <c r="AA77" s="43"/>
      <c r="AB77" s="43"/>
    </row>
    <row r="78" spans="1:28" ht="14.25" hidden="1" customHeight="1">
      <c r="A78" s="163" t="s">
        <v>279</v>
      </c>
      <c r="B78" s="164">
        <v>45602</v>
      </c>
      <c r="C78" s="163" t="s">
        <v>469</v>
      </c>
      <c r="D78" s="163" t="s">
        <v>281</v>
      </c>
      <c r="E78" s="163" t="s">
        <v>18</v>
      </c>
      <c r="F78" s="168">
        <v>-2457.27</v>
      </c>
      <c r="G78" s="165">
        <f t="shared" si="2"/>
        <v>72963.320000000007</v>
      </c>
      <c r="H78" s="163"/>
      <c r="I78" s="163" t="s">
        <v>283</v>
      </c>
      <c r="J78" s="163"/>
      <c r="K78" s="163"/>
      <c r="L78" s="163" t="s">
        <v>366</v>
      </c>
      <c r="M78" s="163" t="s">
        <v>470</v>
      </c>
      <c r="N78" s="163" t="s">
        <v>297</v>
      </c>
      <c r="O78" s="163"/>
      <c r="P78" s="163"/>
      <c r="Q78" s="163"/>
      <c r="R78" s="163" t="s">
        <v>469</v>
      </c>
      <c r="S78" s="163" t="s">
        <v>471</v>
      </c>
      <c r="T78" s="43">
        <f t="shared" si="0"/>
        <v>11</v>
      </c>
      <c r="U78" s="166">
        <f t="shared" si="1"/>
        <v>45602</v>
      </c>
      <c r="V78" s="167"/>
      <c r="W78" s="43"/>
      <c r="X78" s="43"/>
      <c r="Y78" s="43"/>
      <c r="Z78" s="43"/>
      <c r="AA78" s="43"/>
      <c r="AB78" s="43"/>
    </row>
    <row r="79" spans="1:28" ht="14.25" hidden="1" customHeight="1">
      <c r="A79" s="163" t="s">
        <v>279</v>
      </c>
      <c r="B79" s="164">
        <v>45602</v>
      </c>
      <c r="C79" s="163" t="s">
        <v>472</v>
      </c>
      <c r="D79" s="163" t="s">
        <v>281</v>
      </c>
      <c r="E79" s="163" t="s">
        <v>18</v>
      </c>
      <c r="F79" s="169">
        <v>-2235.9899999999998</v>
      </c>
      <c r="G79" s="165">
        <f t="shared" si="2"/>
        <v>70727.33</v>
      </c>
      <c r="H79" s="163"/>
      <c r="I79" s="163" t="s">
        <v>283</v>
      </c>
      <c r="J79" s="163"/>
      <c r="K79" s="163"/>
      <c r="L79" s="163" t="s">
        <v>473</v>
      </c>
      <c r="M79" s="163" t="s">
        <v>474</v>
      </c>
      <c r="N79" s="163" t="s">
        <v>297</v>
      </c>
      <c r="O79" s="163"/>
      <c r="P79" s="163"/>
      <c r="Q79" s="163"/>
      <c r="R79" s="163" t="s">
        <v>472</v>
      </c>
      <c r="S79" s="163" t="s">
        <v>475</v>
      </c>
      <c r="T79" s="43">
        <f t="shared" si="0"/>
        <v>11</v>
      </c>
      <c r="U79" s="166">
        <f t="shared" si="1"/>
        <v>45602</v>
      </c>
      <c r="V79" s="43"/>
      <c r="W79" s="43"/>
      <c r="X79" s="43"/>
      <c r="Y79" s="43"/>
      <c r="Z79" s="43"/>
      <c r="AA79" s="43"/>
      <c r="AB79" s="43"/>
    </row>
    <row r="80" spans="1:28" ht="14.25" hidden="1" customHeight="1">
      <c r="A80" s="163" t="s">
        <v>279</v>
      </c>
      <c r="B80" s="164">
        <v>45602</v>
      </c>
      <c r="C80" s="163" t="s">
        <v>476</v>
      </c>
      <c r="D80" s="163" t="s">
        <v>281</v>
      </c>
      <c r="E80" s="163" t="s">
        <v>196</v>
      </c>
      <c r="F80" s="168">
        <v>-4000</v>
      </c>
      <c r="G80" s="165">
        <f t="shared" si="2"/>
        <v>66727.33</v>
      </c>
      <c r="H80" s="163"/>
      <c r="I80" s="163" t="s">
        <v>283</v>
      </c>
      <c r="J80" s="163"/>
      <c r="K80" s="163"/>
      <c r="L80" s="163" t="s">
        <v>477</v>
      </c>
      <c r="M80" s="163" t="s">
        <v>478</v>
      </c>
      <c r="N80" s="163" t="s">
        <v>297</v>
      </c>
      <c r="O80" s="163"/>
      <c r="P80" s="163"/>
      <c r="Q80" s="163"/>
      <c r="R80" s="163" t="s">
        <v>479</v>
      </c>
      <c r="S80" s="163" t="s">
        <v>480</v>
      </c>
      <c r="T80" s="43">
        <f t="shared" si="0"/>
        <v>11</v>
      </c>
      <c r="U80" s="166">
        <f t="shared" si="1"/>
        <v>45602</v>
      </c>
      <c r="V80" s="43"/>
      <c r="W80" s="43"/>
      <c r="X80" s="43"/>
      <c r="Y80" s="43"/>
      <c r="Z80" s="43"/>
      <c r="AA80" s="43"/>
      <c r="AB80" s="43"/>
    </row>
    <row r="81" spans="1:28" ht="14.25" hidden="1" customHeight="1">
      <c r="A81" s="163" t="s">
        <v>279</v>
      </c>
      <c r="B81" s="164">
        <v>45602</v>
      </c>
      <c r="C81" s="163" t="s">
        <v>481</v>
      </c>
      <c r="D81" s="163" t="s">
        <v>281</v>
      </c>
      <c r="E81" s="163" t="s">
        <v>18</v>
      </c>
      <c r="F81" s="168">
        <v>-3487.35</v>
      </c>
      <c r="G81" s="165">
        <f t="shared" si="2"/>
        <v>63239.98</v>
      </c>
      <c r="H81" s="163"/>
      <c r="I81" s="163" t="s">
        <v>283</v>
      </c>
      <c r="J81" s="163"/>
      <c r="K81" s="163"/>
      <c r="L81" s="163" t="s">
        <v>477</v>
      </c>
      <c r="M81" s="163" t="s">
        <v>482</v>
      </c>
      <c r="N81" s="163" t="s">
        <v>297</v>
      </c>
      <c r="O81" s="163"/>
      <c r="P81" s="163"/>
      <c r="Q81" s="163"/>
      <c r="R81" s="163" t="s">
        <v>481</v>
      </c>
      <c r="S81" s="163" t="s">
        <v>483</v>
      </c>
      <c r="T81" s="43">
        <f t="shared" si="0"/>
        <v>11</v>
      </c>
      <c r="U81" s="166">
        <f t="shared" si="1"/>
        <v>45602</v>
      </c>
      <c r="V81" s="43"/>
      <c r="W81" s="43"/>
      <c r="X81" s="43"/>
      <c r="Y81" s="43"/>
      <c r="Z81" s="43"/>
      <c r="AA81" s="43"/>
      <c r="AB81" s="43"/>
    </row>
    <row r="82" spans="1:28" ht="14.25" hidden="1" customHeight="1">
      <c r="A82" s="163" t="s">
        <v>279</v>
      </c>
      <c r="B82" s="164">
        <v>45602</v>
      </c>
      <c r="C82" s="163" t="s">
        <v>484</v>
      </c>
      <c r="D82" s="163" t="s">
        <v>281</v>
      </c>
      <c r="E82" s="163" t="s">
        <v>18</v>
      </c>
      <c r="F82" s="168">
        <v>-1721.18</v>
      </c>
      <c r="G82" s="165">
        <f t="shared" si="2"/>
        <v>61518.8</v>
      </c>
      <c r="H82" s="163"/>
      <c r="I82" s="163" t="s">
        <v>283</v>
      </c>
      <c r="J82" s="163"/>
      <c r="K82" s="163"/>
      <c r="L82" s="163" t="s">
        <v>485</v>
      </c>
      <c r="M82" s="163" t="s">
        <v>486</v>
      </c>
      <c r="N82" s="163" t="s">
        <v>297</v>
      </c>
      <c r="O82" s="163"/>
      <c r="P82" s="163"/>
      <c r="Q82" s="163"/>
      <c r="R82" s="163" t="s">
        <v>484</v>
      </c>
      <c r="S82" s="163" t="s">
        <v>487</v>
      </c>
      <c r="T82" s="43">
        <f t="shared" si="0"/>
        <v>11</v>
      </c>
      <c r="U82" s="166">
        <f t="shared" si="1"/>
        <v>45602</v>
      </c>
      <c r="V82" s="167"/>
      <c r="W82" s="43"/>
      <c r="X82" s="43"/>
      <c r="Y82" s="43"/>
      <c r="Z82" s="43"/>
      <c r="AA82" s="43"/>
      <c r="AB82" s="43"/>
    </row>
    <row r="83" spans="1:28" ht="14.25" hidden="1" customHeight="1">
      <c r="A83" s="163" t="s">
        <v>279</v>
      </c>
      <c r="B83" s="164">
        <v>45602</v>
      </c>
      <c r="C83" s="163" t="s">
        <v>488</v>
      </c>
      <c r="D83" s="163" t="s">
        <v>281</v>
      </c>
      <c r="E83" s="163" t="s">
        <v>18</v>
      </c>
      <c r="F83" s="168">
        <v>-3166.15</v>
      </c>
      <c r="G83" s="165">
        <f t="shared" si="2"/>
        <v>58352.65</v>
      </c>
      <c r="H83" s="163"/>
      <c r="I83" s="163" t="s">
        <v>283</v>
      </c>
      <c r="J83" s="163"/>
      <c r="K83" s="163"/>
      <c r="L83" s="163" t="s">
        <v>485</v>
      </c>
      <c r="M83" s="163" t="s">
        <v>489</v>
      </c>
      <c r="N83" s="163" t="s">
        <v>297</v>
      </c>
      <c r="O83" s="163"/>
      <c r="P83" s="163"/>
      <c r="Q83" s="163"/>
      <c r="R83" s="163" t="s">
        <v>488</v>
      </c>
      <c r="S83" s="163" t="s">
        <v>490</v>
      </c>
      <c r="T83" s="43">
        <f t="shared" si="0"/>
        <v>11</v>
      </c>
      <c r="U83" s="166">
        <f t="shared" si="1"/>
        <v>45602</v>
      </c>
      <c r="V83" s="166"/>
      <c r="W83" s="43"/>
      <c r="X83" s="43"/>
      <c r="Y83" s="43"/>
      <c r="Z83" s="43"/>
      <c r="AA83" s="43"/>
      <c r="AB83" s="43"/>
    </row>
    <row r="84" spans="1:28" ht="14.25" hidden="1" customHeight="1">
      <c r="A84" s="163" t="s">
        <v>279</v>
      </c>
      <c r="B84" s="164">
        <v>45602</v>
      </c>
      <c r="C84" s="163" t="s">
        <v>491</v>
      </c>
      <c r="D84" s="163" t="s">
        <v>281</v>
      </c>
      <c r="E84" s="163" t="s">
        <v>18</v>
      </c>
      <c r="F84" s="168">
        <v>-3122.35</v>
      </c>
      <c r="G84" s="165">
        <f t="shared" si="2"/>
        <v>55230.3</v>
      </c>
      <c r="H84" s="163"/>
      <c r="I84" s="163" t="s">
        <v>283</v>
      </c>
      <c r="J84" s="163"/>
      <c r="K84" s="163"/>
      <c r="L84" s="163" t="s">
        <v>485</v>
      </c>
      <c r="M84" s="163" t="s">
        <v>492</v>
      </c>
      <c r="N84" s="163" t="s">
        <v>297</v>
      </c>
      <c r="O84" s="163"/>
      <c r="P84" s="163"/>
      <c r="Q84" s="163"/>
      <c r="R84" s="163" t="s">
        <v>491</v>
      </c>
      <c r="S84" s="163" t="s">
        <v>493</v>
      </c>
      <c r="T84" s="43">
        <f t="shared" si="0"/>
        <v>11</v>
      </c>
      <c r="U84" s="166">
        <f t="shared" si="1"/>
        <v>45602</v>
      </c>
      <c r="V84" s="43"/>
      <c r="W84" s="43"/>
      <c r="X84" s="43"/>
      <c r="Y84" s="43"/>
      <c r="Z84" s="43"/>
      <c r="AA84" s="43"/>
      <c r="AB84" s="43"/>
    </row>
    <row r="85" spans="1:28" ht="14.25" hidden="1" customHeight="1">
      <c r="A85" s="163" t="s">
        <v>279</v>
      </c>
      <c r="B85" s="164">
        <v>45602</v>
      </c>
      <c r="C85" s="163" t="s">
        <v>494</v>
      </c>
      <c r="D85" s="163" t="s">
        <v>281</v>
      </c>
      <c r="E85" s="163" t="s">
        <v>18</v>
      </c>
      <c r="F85" s="168">
        <v>-1841.18</v>
      </c>
      <c r="G85" s="165">
        <f t="shared" si="2"/>
        <v>53389.120000000003</v>
      </c>
      <c r="H85" s="163"/>
      <c r="I85" s="163" t="s">
        <v>283</v>
      </c>
      <c r="J85" s="163"/>
      <c r="K85" s="163"/>
      <c r="L85" s="163" t="s">
        <v>485</v>
      </c>
      <c r="M85" s="163" t="s">
        <v>495</v>
      </c>
      <c r="N85" s="163" t="s">
        <v>297</v>
      </c>
      <c r="O85" s="163"/>
      <c r="P85" s="163"/>
      <c r="Q85" s="163"/>
      <c r="R85" s="163" t="s">
        <v>494</v>
      </c>
      <c r="S85" s="163" t="s">
        <v>496</v>
      </c>
      <c r="T85" s="43">
        <f t="shared" si="0"/>
        <v>11</v>
      </c>
      <c r="U85" s="166">
        <f t="shared" si="1"/>
        <v>45602</v>
      </c>
      <c r="V85" s="43"/>
      <c r="W85" s="43"/>
      <c r="X85" s="43"/>
      <c r="Y85" s="43"/>
      <c r="Z85" s="43"/>
      <c r="AA85" s="43"/>
      <c r="AB85" s="43"/>
    </row>
    <row r="86" spans="1:28" ht="14.25" hidden="1" customHeight="1">
      <c r="A86" s="163" t="s">
        <v>279</v>
      </c>
      <c r="B86" s="164">
        <v>45602</v>
      </c>
      <c r="C86" s="163" t="s">
        <v>497</v>
      </c>
      <c r="D86" s="163" t="s">
        <v>281</v>
      </c>
      <c r="E86" s="163" t="s">
        <v>18</v>
      </c>
      <c r="F86" s="168">
        <v>-2888.99</v>
      </c>
      <c r="G86" s="165">
        <f t="shared" si="2"/>
        <v>50500.130000000005</v>
      </c>
      <c r="H86" s="163"/>
      <c r="I86" s="163" t="s">
        <v>283</v>
      </c>
      <c r="J86" s="163"/>
      <c r="K86" s="163"/>
      <c r="L86" s="163" t="s">
        <v>498</v>
      </c>
      <c r="M86" s="163" t="s">
        <v>499</v>
      </c>
      <c r="N86" s="163" t="s">
        <v>297</v>
      </c>
      <c r="O86" s="163"/>
      <c r="P86" s="163"/>
      <c r="Q86" s="163"/>
      <c r="R86" s="163" t="s">
        <v>497</v>
      </c>
      <c r="S86" s="163" t="s">
        <v>500</v>
      </c>
      <c r="T86" s="43">
        <f t="shared" si="0"/>
        <v>11</v>
      </c>
      <c r="U86" s="166">
        <f t="shared" si="1"/>
        <v>45602</v>
      </c>
      <c r="V86" s="43"/>
      <c r="W86" s="43"/>
      <c r="X86" s="43"/>
      <c r="Y86" s="43"/>
      <c r="Z86" s="43"/>
      <c r="AA86" s="43"/>
      <c r="AB86" s="43"/>
    </row>
    <row r="87" spans="1:28" ht="14.25" hidden="1" customHeight="1">
      <c r="A87" s="163" t="s">
        <v>279</v>
      </c>
      <c r="B87" s="164">
        <v>45602</v>
      </c>
      <c r="C87" s="163" t="s">
        <v>501</v>
      </c>
      <c r="D87" s="163" t="s">
        <v>281</v>
      </c>
      <c r="E87" s="163" t="s">
        <v>18</v>
      </c>
      <c r="F87" s="168">
        <v>-1919.37</v>
      </c>
      <c r="G87" s="165">
        <f t="shared" si="2"/>
        <v>48580.76</v>
      </c>
      <c r="H87" s="163"/>
      <c r="I87" s="163" t="s">
        <v>283</v>
      </c>
      <c r="J87" s="163"/>
      <c r="K87" s="163"/>
      <c r="L87" s="163" t="s">
        <v>485</v>
      </c>
      <c r="M87" s="163" t="s">
        <v>502</v>
      </c>
      <c r="N87" s="163" t="s">
        <v>297</v>
      </c>
      <c r="O87" s="163"/>
      <c r="P87" s="163"/>
      <c r="Q87" s="163"/>
      <c r="R87" s="163" t="s">
        <v>501</v>
      </c>
      <c r="S87" s="163" t="s">
        <v>503</v>
      </c>
      <c r="T87" s="43">
        <f t="shared" si="0"/>
        <v>11</v>
      </c>
      <c r="U87" s="166">
        <f t="shared" si="1"/>
        <v>45602</v>
      </c>
      <c r="V87" s="43"/>
      <c r="W87" s="43"/>
      <c r="X87" s="43"/>
      <c r="Y87" s="43"/>
      <c r="Z87" s="43"/>
      <c r="AA87" s="43"/>
      <c r="AB87" s="43"/>
    </row>
    <row r="88" spans="1:28" ht="14.25" hidden="1" customHeight="1">
      <c r="A88" s="163" t="s">
        <v>279</v>
      </c>
      <c r="B88" s="164">
        <v>45602</v>
      </c>
      <c r="C88" s="163" t="s">
        <v>362</v>
      </c>
      <c r="D88" s="163" t="s">
        <v>281</v>
      </c>
      <c r="E88" s="163" t="s">
        <v>18</v>
      </c>
      <c r="F88" s="168">
        <v>-3268.35</v>
      </c>
      <c r="G88" s="165">
        <f t="shared" si="2"/>
        <v>45312.41</v>
      </c>
      <c r="H88" s="163"/>
      <c r="I88" s="163" t="s">
        <v>283</v>
      </c>
      <c r="J88" s="163"/>
      <c r="K88" s="163"/>
      <c r="L88" s="163" t="s">
        <v>485</v>
      </c>
      <c r="M88" s="163" t="s">
        <v>504</v>
      </c>
      <c r="N88" s="163" t="s">
        <v>297</v>
      </c>
      <c r="O88" s="163"/>
      <c r="P88" s="163"/>
      <c r="Q88" s="163"/>
      <c r="R88" s="163" t="s">
        <v>362</v>
      </c>
      <c r="S88" s="163" t="s">
        <v>364</v>
      </c>
      <c r="T88" s="43">
        <f t="shared" si="0"/>
        <v>11</v>
      </c>
      <c r="U88" s="166">
        <f t="shared" si="1"/>
        <v>45602</v>
      </c>
      <c r="V88" s="43"/>
      <c r="W88" s="43"/>
      <c r="X88" s="43"/>
      <c r="Y88" s="43"/>
      <c r="Z88" s="43"/>
      <c r="AA88" s="43"/>
      <c r="AB88" s="43"/>
    </row>
    <row r="89" spans="1:28" ht="14.25" hidden="1" customHeight="1">
      <c r="A89" s="163" t="s">
        <v>279</v>
      </c>
      <c r="B89" s="164">
        <v>45602</v>
      </c>
      <c r="C89" s="163" t="s">
        <v>505</v>
      </c>
      <c r="D89" s="163" t="s">
        <v>281</v>
      </c>
      <c r="E89" s="163" t="s">
        <v>18</v>
      </c>
      <c r="F89" s="168">
        <v>-2148.69</v>
      </c>
      <c r="G89" s="165">
        <f t="shared" si="2"/>
        <v>43163.72</v>
      </c>
      <c r="H89" s="163"/>
      <c r="I89" s="163" t="s">
        <v>283</v>
      </c>
      <c r="J89" s="163"/>
      <c r="K89" s="163"/>
      <c r="L89" s="163" t="s">
        <v>485</v>
      </c>
      <c r="M89" s="163" t="s">
        <v>506</v>
      </c>
      <c r="N89" s="163" t="s">
        <v>297</v>
      </c>
      <c r="O89" s="163"/>
      <c r="P89" s="163"/>
      <c r="Q89" s="163"/>
      <c r="R89" s="163" t="s">
        <v>505</v>
      </c>
      <c r="S89" s="163" t="s">
        <v>507</v>
      </c>
      <c r="T89" s="43">
        <f t="shared" si="0"/>
        <v>11</v>
      </c>
      <c r="U89" s="166">
        <f t="shared" si="1"/>
        <v>45602</v>
      </c>
      <c r="V89" s="43"/>
      <c r="W89" s="43"/>
      <c r="X89" s="43"/>
      <c r="Y89" s="43"/>
      <c r="Z89" s="43"/>
      <c r="AA89" s="43"/>
      <c r="AB89" s="43"/>
    </row>
    <row r="90" spans="1:28" ht="14.25" hidden="1" customHeight="1">
      <c r="A90" s="163" t="s">
        <v>279</v>
      </c>
      <c r="B90" s="164">
        <v>45602</v>
      </c>
      <c r="C90" s="163" t="s">
        <v>111</v>
      </c>
      <c r="D90" s="163" t="s">
        <v>281</v>
      </c>
      <c r="E90" s="163" t="s">
        <v>18</v>
      </c>
      <c r="F90" s="168">
        <v>-1887.35</v>
      </c>
      <c r="G90" s="165">
        <f t="shared" si="2"/>
        <v>41276.370000000003</v>
      </c>
      <c r="H90" s="163"/>
      <c r="I90" s="163" t="s">
        <v>283</v>
      </c>
      <c r="J90" s="163"/>
      <c r="K90" s="163"/>
      <c r="L90" s="163" t="s">
        <v>508</v>
      </c>
      <c r="M90" s="163" t="s">
        <v>509</v>
      </c>
      <c r="N90" s="163" t="s">
        <v>297</v>
      </c>
      <c r="O90" s="163"/>
      <c r="P90" s="163"/>
      <c r="Q90" s="163"/>
      <c r="R90" s="163" t="s">
        <v>111</v>
      </c>
      <c r="S90" s="163" t="s">
        <v>320</v>
      </c>
      <c r="T90" s="43">
        <f t="shared" si="0"/>
        <v>11</v>
      </c>
      <c r="U90" s="166">
        <f t="shared" si="1"/>
        <v>45602</v>
      </c>
      <c r="V90" s="43"/>
      <c r="W90" s="43"/>
      <c r="X90" s="43"/>
      <c r="Y90" s="43"/>
      <c r="Z90" s="43"/>
      <c r="AA90" s="43"/>
      <c r="AB90" s="43"/>
    </row>
    <row r="91" spans="1:28" ht="14.25" hidden="1" customHeight="1">
      <c r="A91" s="163" t="s">
        <v>279</v>
      </c>
      <c r="B91" s="164">
        <v>45602</v>
      </c>
      <c r="C91" s="163" t="s">
        <v>510</v>
      </c>
      <c r="D91" s="163" t="s">
        <v>281</v>
      </c>
      <c r="E91" s="163" t="s">
        <v>18</v>
      </c>
      <c r="F91" s="168">
        <v>-2296.1799999999998</v>
      </c>
      <c r="G91" s="165">
        <f t="shared" si="2"/>
        <v>38980.19</v>
      </c>
      <c r="H91" s="163"/>
      <c r="I91" s="163" t="s">
        <v>283</v>
      </c>
      <c r="J91" s="163"/>
      <c r="K91" s="163"/>
      <c r="L91" s="163" t="s">
        <v>508</v>
      </c>
      <c r="M91" s="163" t="s">
        <v>511</v>
      </c>
      <c r="N91" s="163" t="s">
        <v>297</v>
      </c>
      <c r="O91" s="163"/>
      <c r="P91" s="163"/>
      <c r="Q91" s="163"/>
      <c r="R91" s="163" t="s">
        <v>510</v>
      </c>
      <c r="S91" s="163" t="s">
        <v>512</v>
      </c>
      <c r="T91" s="43">
        <f t="shared" si="0"/>
        <v>11</v>
      </c>
      <c r="U91" s="166">
        <f t="shared" si="1"/>
        <v>45602</v>
      </c>
      <c r="V91" s="43"/>
      <c r="W91" s="43"/>
      <c r="X91" s="43"/>
      <c r="Y91" s="43"/>
      <c r="Z91" s="43"/>
      <c r="AA91" s="43"/>
      <c r="AB91" s="43"/>
    </row>
    <row r="92" spans="1:28" ht="14.25" hidden="1" customHeight="1">
      <c r="A92" s="163" t="s">
        <v>279</v>
      </c>
      <c r="B92" s="164">
        <v>45602</v>
      </c>
      <c r="C92" s="163" t="s">
        <v>513</v>
      </c>
      <c r="D92" s="163" t="s">
        <v>281</v>
      </c>
      <c r="E92" s="163" t="s">
        <v>18</v>
      </c>
      <c r="F92" s="168">
        <v>-770.84</v>
      </c>
      <c r="G92" s="165">
        <f t="shared" si="2"/>
        <v>38209.350000000006</v>
      </c>
      <c r="H92" s="163"/>
      <c r="I92" s="163" t="s">
        <v>283</v>
      </c>
      <c r="J92" s="163"/>
      <c r="K92" s="163"/>
      <c r="L92" s="163" t="s">
        <v>508</v>
      </c>
      <c r="M92" s="163" t="s">
        <v>514</v>
      </c>
      <c r="N92" s="163" t="s">
        <v>297</v>
      </c>
      <c r="O92" s="163"/>
      <c r="P92" s="163"/>
      <c r="Q92" s="163"/>
      <c r="R92" s="163" t="s">
        <v>513</v>
      </c>
      <c r="S92" s="163" t="s">
        <v>515</v>
      </c>
      <c r="T92" s="43">
        <f t="shared" si="0"/>
        <v>11</v>
      </c>
      <c r="U92" s="166">
        <f t="shared" si="1"/>
        <v>45602</v>
      </c>
      <c r="V92" s="43"/>
      <c r="W92" s="43"/>
      <c r="X92" s="43"/>
      <c r="Y92" s="43"/>
      <c r="Z92" s="43"/>
      <c r="AA92" s="43"/>
      <c r="AB92" s="43"/>
    </row>
    <row r="93" spans="1:28" ht="14.25" hidden="1" customHeight="1">
      <c r="A93" s="163" t="s">
        <v>279</v>
      </c>
      <c r="B93" s="164">
        <v>45602</v>
      </c>
      <c r="C93" s="163" t="s">
        <v>516</v>
      </c>
      <c r="D93" s="163" t="s">
        <v>281</v>
      </c>
      <c r="E93" s="163" t="s">
        <v>18</v>
      </c>
      <c r="F93" s="168">
        <v>-1841.18</v>
      </c>
      <c r="G93" s="165">
        <f t="shared" si="2"/>
        <v>36368.170000000006</v>
      </c>
      <c r="H93" s="163"/>
      <c r="I93" s="163" t="s">
        <v>283</v>
      </c>
      <c r="J93" s="163"/>
      <c r="K93" s="163"/>
      <c r="L93" s="163" t="s">
        <v>508</v>
      </c>
      <c r="M93" s="163" t="s">
        <v>517</v>
      </c>
      <c r="N93" s="163" t="s">
        <v>297</v>
      </c>
      <c r="O93" s="163"/>
      <c r="P93" s="163"/>
      <c r="Q93" s="163"/>
      <c r="R93" s="163" t="s">
        <v>516</v>
      </c>
      <c r="S93" s="163" t="s">
        <v>518</v>
      </c>
      <c r="T93" s="43">
        <f t="shared" si="0"/>
        <v>11</v>
      </c>
      <c r="U93" s="166">
        <f t="shared" si="1"/>
        <v>45602</v>
      </c>
      <c r="V93" s="43"/>
      <c r="W93" s="43"/>
      <c r="X93" s="43"/>
      <c r="Y93" s="43"/>
      <c r="Z93" s="43"/>
      <c r="AA93" s="43"/>
      <c r="AB93" s="43"/>
    </row>
    <row r="94" spans="1:28" ht="14.25" hidden="1" customHeight="1">
      <c r="A94" s="163" t="s">
        <v>279</v>
      </c>
      <c r="B94" s="164">
        <v>45602</v>
      </c>
      <c r="C94" s="163" t="s">
        <v>519</v>
      </c>
      <c r="D94" s="163" t="s">
        <v>281</v>
      </c>
      <c r="E94" s="163" t="s">
        <v>18</v>
      </c>
      <c r="F94" s="168">
        <v>-1048.3399999999999</v>
      </c>
      <c r="G94" s="165">
        <f t="shared" si="2"/>
        <v>35319.830000000009</v>
      </c>
      <c r="H94" s="163"/>
      <c r="I94" s="163" t="s">
        <v>283</v>
      </c>
      <c r="J94" s="163"/>
      <c r="K94" s="163"/>
      <c r="L94" s="163" t="s">
        <v>508</v>
      </c>
      <c r="M94" s="163" t="s">
        <v>520</v>
      </c>
      <c r="N94" s="163" t="s">
        <v>297</v>
      </c>
      <c r="O94" s="163"/>
      <c r="P94" s="163"/>
      <c r="Q94" s="163"/>
      <c r="R94" s="163" t="s">
        <v>519</v>
      </c>
      <c r="S94" s="163" t="s">
        <v>521</v>
      </c>
      <c r="T94" s="43">
        <f t="shared" si="0"/>
        <v>11</v>
      </c>
      <c r="U94" s="166">
        <f t="shared" si="1"/>
        <v>45602</v>
      </c>
      <c r="V94" s="43"/>
      <c r="W94" s="43"/>
      <c r="X94" s="43"/>
      <c r="Y94" s="43"/>
      <c r="Z94" s="43"/>
      <c r="AA94" s="43"/>
      <c r="AB94" s="43"/>
    </row>
    <row r="95" spans="1:28" ht="14.25" hidden="1" customHeight="1">
      <c r="A95" s="163" t="s">
        <v>279</v>
      </c>
      <c r="B95" s="164">
        <v>45602</v>
      </c>
      <c r="C95" s="163" t="s">
        <v>522</v>
      </c>
      <c r="D95" s="163" t="s">
        <v>281</v>
      </c>
      <c r="E95" s="163" t="s">
        <v>18</v>
      </c>
      <c r="F95" s="168">
        <v>-1826.02</v>
      </c>
      <c r="G95" s="165">
        <f t="shared" si="2"/>
        <v>33493.810000000012</v>
      </c>
      <c r="H95" s="163"/>
      <c r="I95" s="163" t="s">
        <v>283</v>
      </c>
      <c r="J95" s="163"/>
      <c r="K95" s="163"/>
      <c r="L95" s="163" t="s">
        <v>508</v>
      </c>
      <c r="M95" s="163" t="s">
        <v>523</v>
      </c>
      <c r="N95" s="163" t="s">
        <v>297</v>
      </c>
      <c r="O95" s="163"/>
      <c r="P95" s="163"/>
      <c r="Q95" s="163"/>
      <c r="R95" s="163" t="s">
        <v>522</v>
      </c>
      <c r="S95" s="163" t="s">
        <v>524</v>
      </c>
      <c r="T95" s="43">
        <f t="shared" si="0"/>
        <v>11</v>
      </c>
      <c r="U95" s="166">
        <f t="shared" si="1"/>
        <v>45602</v>
      </c>
      <c r="V95" s="43"/>
      <c r="W95" s="43"/>
      <c r="X95" s="43"/>
      <c r="Y95" s="43"/>
      <c r="Z95" s="43"/>
      <c r="AA95" s="43"/>
      <c r="AB95" s="43"/>
    </row>
    <row r="96" spans="1:28" ht="14.25" hidden="1" customHeight="1">
      <c r="A96" s="163" t="s">
        <v>279</v>
      </c>
      <c r="B96" s="164">
        <v>45602</v>
      </c>
      <c r="C96" s="163" t="s">
        <v>525</v>
      </c>
      <c r="D96" s="163" t="s">
        <v>281</v>
      </c>
      <c r="E96" s="163" t="s">
        <v>18</v>
      </c>
      <c r="F96" s="168">
        <v>-3122.35</v>
      </c>
      <c r="G96" s="165">
        <f t="shared" si="2"/>
        <v>30371.460000000014</v>
      </c>
      <c r="H96" s="163"/>
      <c r="I96" s="163" t="s">
        <v>283</v>
      </c>
      <c r="J96" s="163"/>
      <c r="K96" s="163"/>
      <c r="L96" s="163" t="s">
        <v>508</v>
      </c>
      <c r="M96" s="163" t="s">
        <v>526</v>
      </c>
      <c r="N96" s="163" t="s">
        <v>297</v>
      </c>
      <c r="O96" s="163"/>
      <c r="P96" s="163"/>
      <c r="Q96" s="163"/>
      <c r="R96" s="163" t="s">
        <v>525</v>
      </c>
      <c r="S96" s="163" t="s">
        <v>527</v>
      </c>
      <c r="T96" s="43">
        <f t="shared" si="0"/>
        <v>11</v>
      </c>
      <c r="U96" s="166">
        <f t="shared" si="1"/>
        <v>45602</v>
      </c>
      <c r="V96" s="43"/>
      <c r="W96" s="43"/>
      <c r="X96" s="43"/>
      <c r="Y96" s="43"/>
      <c r="Z96" s="43"/>
      <c r="AA96" s="43"/>
      <c r="AB96" s="43"/>
    </row>
    <row r="97" spans="1:28" ht="14.25" hidden="1" customHeight="1">
      <c r="A97" s="163" t="s">
        <v>279</v>
      </c>
      <c r="B97" s="164">
        <v>45602</v>
      </c>
      <c r="C97" s="163" t="s">
        <v>528</v>
      </c>
      <c r="D97" s="163" t="s">
        <v>281</v>
      </c>
      <c r="E97" s="163" t="s">
        <v>18</v>
      </c>
      <c r="F97" s="168">
        <v>-1841.18</v>
      </c>
      <c r="G97" s="165">
        <f t="shared" si="2"/>
        <v>28530.280000000013</v>
      </c>
      <c r="H97" s="163"/>
      <c r="I97" s="163" t="s">
        <v>283</v>
      </c>
      <c r="J97" s="163"/>
      <c r="K97" s="163"/>
      <c r="L97" s="163" t="s">
        <v>508</v>
      </c>
      <c r="M97" s="163" t="s">
        <v>529</v>
      </c>
      <c r="N97" s="163" t="s">
        <v>297</v>
      </c>
      <c r="O97" s="163"/>
      <c r="P97" s="163"/>
      <c r="Q97" s="163"/>
      <c r="R97" s="163" t="s">
        <v>528</v>
      </c>
      <c r="S97" s="163" t="s">
        <v>530</v>
      </c>
      <c r="T97" s="43">
        <f t="shared" si="0"/>
        <v>11</v>
      </c>
      <c r="U97" s="166">
        <f t="shared" si="1"/>
        <v>45602</v>
      </c>
      <c r="V97" s="43"/>
      <c r="W97" s="43"/>
      <c r="X97" s="43"/>
      <c r="Y97" s="43"/>
      <c r="Z97" s="43"/>
      <c r="AA97" s="43"/>
      <c r="AB97" s="43"/>
    </row>
    <row r="98" spans="1:28" ht="14.25" hidden="1" customHeight="1">
      <c r="A98" s="163" t="s">
        <v>279</v>
      </c>
      <c r="B98" s="164">
        <v>45602</v>
      </c>
      <c r="C98" s="163" t="s">
        <v>112</v>
      </c>
      <c r="D98" s="163" t="s">
        <v>281</v>
      </c>
      <c r="E98" s="163" t="s">
        <v>18</v>
      </c>
      <c r="F98" s="168">
        <v>-770.84</v>
      </c>
      <c r="G98" s="165">
        <f t="shared" si="2"/>
        <v>27759.440000000013</v>
      </c>
      <c r="H98" s="163"/>
      <c r="I98" s="163" t="s">
        <v>283</v>
      </c>
      <c r="J98" s="163"/>
      <c r="K98" s="163"/>
      <c r="L98" s="163" t="s">
        <v>508</v>
      </c>
      <c r="M98" s="163" t="s">
        <v>531</v>
      </c>
      <c r="N98" s="163" t="s">
        <v>297</v>
      </c>
      <c r="O98" s="163"/>
      <c r="P98" s="163"/>
      <c r="Q98" s="163"/>
      <c r="R98" s="163" t="s">
        <v>112</v>
      </c>
      <c r="S98" s="163" t="s">
        <v>532</v>
      </c>
      <c r="T98" s="43">
        <f t="shared" si="0"/>
        <v>11</v>
      </c>
      <c r="U98" s="166">
        <f t="shared" si="1"/>
        <v>45602</v>
      </c>
      <c r="V98" s="43"/>
      <c r="W98" s="43"/>
      <c r="X98" s="43"/>
      <c r="Y98" s="43"/>
      <c r="Z98" s="43"/>
      <c r="AA98" s="43"/>
      <c r="AB98" s="43"/>
    </row>
    <row r="99" spans="1:28" ht="14.25" hidden="1" customHeight="1">
      <c r="A99" s="163" t="s">
        <v>279</v>
      </c>
      <c r="B99" s="164">
        <v>45602</v>
      </c>
      <c r="C99" s="163" t="s">
        <v>533</v>
      </c>
      <c r="D99" s="163" t="s">
        <v>281</v>
      </c>
      <c r="E99" s="163" t="s">
        <v>18</v>
      </c>
      <c r="F99" s="168">
        <v>-431.67</v>
      </c>
      <c r="G99" s="165">
        <f t="shared" si="2"/>
        <v>27327.770000000015</v>
      </c>
      <c r="H99" s="163"/>
      <c r="I99" s="163" t="s">
        <v>283</v>
      </c>
      <c r="J99" s="163"/>
      <c r="K99" s="163"/>
      <c r="L99" s="163" t="s">
        <v>508</v>
      </c>
      <c r="M99" s="163" t="s">
        <v>534</v>
      </c>
      <c r="N99" s="163" t="s">
        <v>297</v>
      </c>
      <c r="O99" s="163"/>
      <c r="P99" s="163"/>
      <c r="Q99" s="163"/>
      <c r="R99" s="163" t="s">
        <v>533</v>
      </c>
      <c r="S99" s="163" t="s">
        <v>535</v>
      </c>
      <c r="T99" s="43">
        <f t="shared" si="0"/>
        <v>11</v>
      </c>
      <c r="U99" s="166">
        <f t="shared" si="1"/>
        <v>45602</v>
      </c>
      <c r="V99" s="43"/>
      <c r="W99" s="43"/>
      <c r="X99" s="43"/>
      <c r="Y99" s="43"/>
      <c r="Z99" s="43"/>
      <c r="AA99" s="43"/>
      <c r="AB99" s="43"/>
    </row>
    <row r="100" spans="1:28" ht="14.25" hidden="1" customHeight="1">
      <c r="A100" s="163" t="s">
        <v>279</v>
      </c>
      <c r="B100" s="164">
        <v>45602</v>
      </c>
      <c r="C100" s="163" t="s">
        <v>536</v>
      </c>
      <c r="D100" s="163" t="s">
        <v>281</v>
      </c>
      <c r="E100" s="163" t="s">
        <v>18</v>
      </c>
      <c r="F100" s="168">
        <v>-1048.3399999999999</v>
      </c>
      <c r="G100" s="165">
        <f t="shared" si="2"/>
        <v>26279.430000000015</v>
      </c>
      <c r="H100" s="163"/>
      <c r="I100" s="163" t="s">
        <v>283</v>
      </c>
      <c r="J100" s="163"/>
      <c r="K100" s="163"/>
      <c r="L100" s="163" t="s">
        <v>508</v>
      </c>
      <c r="M100" s="163" t="s">
        <v>537</v>
      </c>
      <c r="N100" s="163" t="s">
        <v>297</v>
      </c>
      <c r="O100" s="163"/>
      <c r="P100" s="163"/>
      <c r="Q100" s="163"/>
      <c r="R100" s="163" t="s">
        <v>536</v>
      </c>
      <c r="S100" s="163" t="s">
        <v>538</v>
      </c>
      <c r="T100" s="43">
        <f t="shared" si="0"/>
        <v>11</v>
      </c>
      <c r="U100" s="166">
        <f t="shared" si="1"/>
        <v>45602</v>
      </c>
      <c r="V100" s="43"/>
      <c r="W100" s="43"/>
      <c r="X100" s="43"/>
      <c r="Y100" s="43"/>
      <c r="Z100" s="43"/>
      <c r="AA100" s="43"/>
      <c r="AB100" s="43"/>
    </row>
    <row r="101" spans="1:28" ht="14.25" hidden="1" customHeight="1">
      <c r="A101" s="163" t="s">
        <v>279</v>
      </c>
      <c r="B101" s="164">
        <v>45602</v>
      </c>
      <c r="C101" s="163" t="s">
        <v>93</v>
      </c>
      <c r="D101" s="163" t="s">
        <v>281</v>
      </c>
      <c r="E101" s="163" t="s">
        <v>18</v>
      </c>
      <c r="F101" s="168">
        <v>-8067.08</v>
      </c>
      <c r="G101" s="165">
        <f t="shared" si="2"/>
        <v>18212.350000000013</v>
      </c>
      <c r="H101" s="163"/>
      <c r="I101" s="163" t="s">
        <v>283</v>
      </c>
      <c r="J101" s="163"/>
      <c r="K101" s="163"/>
      <c r="L101" s="163" t="s">
        <v>508</v>
      </c>
      <c r="M101" s="163" t="s">
        <v>539</v>
      </c>
      <c r="N101" s="163" t="s">
        <v>297</v>
      </c>
      <c r="O101" s="163"/>
      <c r="P101" s="163"/>
      <c r="Q101" s="163"/>
      <c r="R101" s="163" t="s">
        <v>93</v>
      </c>
      <c r="S101" s="163" t="s">
        <v>540</v>
      </c>
      <c r="T101" s="43">
        <f t="shared" si="0"/>
        <v>11</v>
      </c>
      <c r="U101" s="166">
        <f t="shared" si="1"/>
        <v>45602</v>
      </c>
      <c r="V101" s="43"/>
      <c r="W101" s="43"/>
      <c r="X101" s="43"/>
      <c r="Y101" s="43"/>
      <c r="Z101" s="43"/>
      <c r="AA101" s="43"/>
      <c r="AB101" s="43"/>
    </row>
    <row r="102" spans="1:28" ht="14.25" hidden="1" customHeight="1">
      <c r="A102" s="163" t="s">
        <v>279</v>
      </c>
      <c r="B102" s="164">
        <v>45602</v>
      </c>
      <c r="C102" s="163" t="s">
        <v>88</v>
      </c>
      <c r="D102" s="163" t="s">
        <v>281</v>
      </c>
      <c r="E102" s="163" t="s">
        <v>18</v>
      </c>
      <c r="F102" s="168">
        <v>-3828.54</v>
      </c>
      <c r="G102" s="165">
        <f t="shared" si="2"/>
        <v>14383.810000000012</v>
      </c>
      <c r="H102" s="163"/>
      <c r="I102" s="163" t="s">
        <v>283</v>
      </c>
      <c r="J102" s="163"/>
      <c r="K102" s="163"/>
      <c r="L102" s="163" t="s">
        <v>508</v>
      </c>
      <c r="M102" s="163" t="s">
        <v>541</v>
      </c>
      <c r="N102" s="163" t="s">
        <v>297</v>
      </c>
      <c r="O102" s="163"/>
      <c r="P102" s="163"/>
      <c r="Q102" s="163"/>
      <c r="R102" s="163" t="s">
        <v>88</v>
      </c>
      <c r="S102" s="163" t="s">
        <v>542</v>
      </c>
      <c r="T102" s="43">
        <f t="shared" si="0"/>
        <v>11</v>
      </c>
      <c r="U102" s="166">
        <f t="shared" si="1"/>
        <v>45602</v>
      </c>
      <c r="V102" s="43"/>
      <c r="W102" s="43"/>
      <c r="X102" s="43"/>
      <c r="Y102" s="43"/>
      <c r="Z102" s="43"/>
      <c r="AA102" s="43"/>
      <c r="AB102" s="43"/>
    </row>
    <row r="103" spans="1:28" ht="14.25" hidden="1" customHeight="1">
      <c r="A103" s="163" t="s">
        <v>279</v>
      </c>
      <c r="B103" s="164">
        <v>45602</v>
      </c>
      <c r="C103" s="163" t="s">
        <v>543</v>
      </c>
      <c r="D103" s="163" t="s">
        <v>281</v>
      </c>
      <c r="E103" s="163" t="s">
        <v>18</v>
      </c>
      <c r="F103" s="168">
        <v>-539.59</v>
      </c>
      <c r="G103" s="165">
        <f t="shared" si="2"/>
        <v>13844.220000000012</v>
      </c>
      <c r="H103" s="163"/>
      <c r="I103" s="163" t="s">
        <v>283</v>
      </c>
      <c r="J103" s="163"/>
      <c r="K103" s="163"/>
      <c r="L103" s="163" t="s">
        <v>508</v>
      </c>
      <c r="M103" s="163" t="s">
        <v>544</v>
      </c>
      <c r="N103" s="163" t="s">
        <v>297</v>
      </c>
      <c r="O103" s="163"/>
      <c r="P103" s="163"/>
      <c r="Q103" s="163"/>
      <c r="R103" s="163" t="s">
        <v>543</v>
      </c>
      <c r="S103" s="163" t="s">
        <v>545</v>
      </c>
      <c r="T103" s="43">
        <f t="shared" si="0"/>
        <v>11</v>
      </c>
      <c r="U103" s="166">
        <f t="shared" si="1"/>
        <v>45602</v>
      </c>
      <c r="V103" s="166"/>
      <c r="W103" s="43"/>
      <c r="X103" s="43"/>
      <c r="Y103" s="43"/>
      <c r="Z103" s="43"/>
      <c r="AA103" s="43"/>
      <c r="AB103" s="43"/>
    </row>
    <row r="104" spans="1:28" ht="14.25" hidden="1" customHeight="1">
      <c r="A104" s="163" t="s">
        <v>279</v>
      </c>
      <c r="B104" s="164">
        <v>45602</v>
      </c>
      <c r="C104" s="163" t="s">
        <v>546</v>
      </c>
      <c r="D104" s="163" t="s">
        <v>281</v>
      </c>
      <c r="E104" s="163" t="s">
        <v>18</v>
      </c>
      <c r="F104" s="168">
        <v>-2332.73</v>
      </c>
      <c r="G104" s="165">
        <f t="shared" si="2"/>
        <v>11511.490000000013</v>
      </c>
      <c r="H104" s="163"/>
      <c r="I104" s="163" t="s">
        <v>283</v>
      </c>
      <c r="J104" s="163"/>
      <c r="K104" s="163"/>
      <c r="L104" s="163" t="s">
        <v>508</v>
      </c>
      <c r="M104" s="163" t="s">
        <v>547</v>
      </c>
      <c r="N104" s="163" t="s">
        <v>297</v>
      </c>
      <c r="O104" s="163"/>
      <c r="P104" s="163"/>
      <c r="Q104" s="163"/>
      <c r="R104" s="163" t="s">
        <v>546</v>
      </c>
      <c r="S104" s="163" t="s">
        <v>548</v>
      </c>
      <c r="T104" s="43">
        <f t="shared" si="0"/>
        <v>11</v>
      </c>
      <c r="U104" s="166">
        <f t="shared" si="1"/>
        <v>45602</v>
      </c>
      <c r="V104" s="166"/>
      <c r="W104" s="43"/>
      <c r="X104" s="43"/>
      <c r="Y104" s="43"/>
      <c r="Z104" s="43"/>
      <c r="AA104" s="43"/>
      <c r="AB104" s="43"/>
    </row>
    <row r="105" spans="1:28" ht="14.25" hidden="1" customHeight="1">
      <c r="A105" s="163" t="s">
        <v>279</v>
      </c>
      <c r="B105" s="164">
        <v>45602</v>
      </c>
      <c r="C105" s="163" t="s">
        <v>549</v>
      </c>
      <c r="D105" s="163" t="s">
        <v>281</v>
      </c>
      <c r="E105" s="163" t="s">
        <v>18</v>
      </c>
      <c r="F105" s="168">
        <v>-200.42</v>
      </c>
      <c r="G105" s="165">
        <f t="shared" si="2"/>
        <v>11311.070000000012</v>
      </c>
      <c r="H105" s="163"/>
      <c r="I105" s="163" t="s">
        <v>283</v>
      </c>
      <c r="J105" s="163"/>
      <c r="K105" s="163"/>
      <c r="L105" s="163" t="s">
        <v>508</v>
      </c>
      <c r="M105" s="163" t="s">
        <v>550</v>
      </c>
      <c r="N105" s="163" t="s">
        <v>297</v>
      </c>
      <c r="O105" s="163"/>
      <c r="P105" s="163"/>
      <c r="Q105" s="163"/>
      <c r="R105" s="163" t="s">
        <v>549</v>
      </c>
      <c r="S105" s="163" t="s">
        <v>551</v>
      </c>
      <c r="T105" s="43">
        <f t="shared" si="0"/>
        <v>11</v>
      </c>
      <c r="U105" s="166">
        <f t="shared" si="1"/>
        <v>45602</v>
      </c>
      <c r="V105" s="43"/>
      <c r="W105" s="43"/>
      <c r="X105" s="43"/>
      <c r="Y105" s="43"/>
      <c r="Z105" s="43"/>
      <c r="AA105" s="43"/>
      <c r="AB105" s="43"/>
    </row>
    <row r="106" spans="1:28" ht="14.25" hidden="1" customHeight="1">
      <c r="A106" s="163" t="s">
        <v>279</v>
      </c>
      <c r="B106" s="164">
        <v>45602</v>
      </c>
      <c r="C106" s="163" t="s">
        <v>552</v>
      </c>
      <c r="D106" s="163" t="s">
        <v>281</v>
      </c>
      <c r="E106" s="163" t="s">
        <v>199</v>
      </c>
      <c r="F106" s="168">
        <v>-357.6</v>
      </c>
      <c r="G106" s="165">
        <f t="shared" si="2"/>
        <v>10953.470000000012</v>
      </c>
      <c r="H106" s="163"/>
      <c r="I106" s="163" t="s">
        <v>342</v>
      </c>
      <c r="J106" s="163"/>
      <c r="K106" s="163"/>
      <c r="L106" s="163" t="s">
        <v>366</v>
      </c>
      <c r="M106" s="163" t="s">
        <v>553</v>
      </c>
      <c r="N106" s="163" t="s">
        <v>297</v>
      </c>
      <c r="O106" s="163"/>
      <c r="P106" s="163"/>
      <c r="Q106" s="163"/>
      <c r="R106" s="163" t="s">
        <v>128</v>
      </c>
      <c r="S106" s="163" t="s">
        <v>554</v>
      </c>
      <c r="T106" s="43">
        <f t="shared" si="0"/>
        <v>11</v>
      </c>
      <c r="U106" s="166">
        <f t="shared" si="1"/>
        <v>45602</v>
      </c>
      <c r="V106" s="167"/>
      <c r="W106" s="43"/>
      <c r="X106" s="43"/>
      <c r="Y106" s="43"/>
      <c r="Z106" s="43"/>
      <c r="AA106" s="43"/>
      <c r="AB106" s="43"/>
    </row>
    <row r="107" spans="1:28" ht="14.25" hidden="1" customHeight="1">
      <c r="A107" s="163" t="s">
        <v>279</v>
      </c>
      <c r="B107" s="164">
        <v>45602</v>
      </c>
      <c r="C107" s="163"/>
      <c r="D107" s="163" t="s">
        <v>281</v>
      </c>
      <c r="E107" s="163" t="s">
        <v>330</v>
      </c>
      <c r="F107" s="168">
        <v>-0.5</v>
      </c>
      <c r="G107" s="165">
        <f t="shared" si="2"/>
        <v>10952.970000000012</v>
      </c>
      <c r="H107" s="163"/>
      <c r="I107" s="163" t="s">
        <v>331</v>
      </c>
      <c r="J107" s="163" t="s">
        <v>555</v>
      </c>
      <c r="K107" s="163"/>
      <c r="L107" s="163"/>
      <c r="M107" s="163"/>
      <c r="N107" s="163" t="s">
        <v>333</v>
      </c>
      <c r="O107" s="163"/>
      <c r="P107" s="163"/>
      <c r="Q107" s="163"/>
      <c r="R107" s="163"/>
      <c r="S107" s="163"/>
      <c r="T107" s="43">
        <f t="shared" si="0"/>
        <v>11</v>
      </c>
      <c r="U107" s="166">
        <f t="shared" si="1"/>
        <v>45602</v>
      </c>
      <c r="V107" s="43"/>
      <c r="W107" s="43"/>
      <c r="X107" s="43"/>
      <c r="Y107" s="43"/>
      <c r="Z107" s="43"/>
      <c r="AA107" s="43"/>
      <c r="AB107" s="43"/>
    </row>
    <row r="108" spans="1:28" ht="14.25" hidden="1" customHeight="1">
      <c r="A108" s="163" t="s">
        <v>279</v>
      </c>
      <c r="B108" s="164">
        <v>45602</v>
      </c>
      <c r="C108" s="163"/>
      <c r="D108" s="163" t="s">
        <v>281</v>
      </c>
      <c r="E108" s="163" t="s">
        <v>330</v>
      </c>
      <c r="F108" s="168">
        <v>-0.5</v>
      </c>
      <c r="G108" s="165">
        <f t="shared" si="2"/>
        <v>10952.470000000012</v>
      </c>
      <c r="H108" s="163"/>
      <c r="I108" s="163" t="s">
        <v>331</v>
      </c>
      <c r="J108" s="163" t="s">
        <v>556</v>
      </c>
      <c r="K108" s="163"/>
      <c r="L108" s="163"/>
      <c r="M108" s="163"/>
      <c r="N108" s="163" t="s">
        <v>333</v>
      </c>
      <c r="O108" s="163"/>
      <c r="P108" s="163"/>
      <c r="Q108" s="163"/>
      <c r="R108" s="163"/>
      <c r="S108" s="163"/>
      <c r="T108" s="43">
        <f t="shared" si="0"/>
        <v>11</v>
      </c>
      <c r="U108" s="166">
        <f t="shared" si="1"/>
        <v>45602</v>
      </c>
      <c r="V108" s="43"/>
      <c r="W108" s="43"/>
      <c r="X108" s="43"/>
      <c r="Y108" s="43"/>
      <c r="Z108" s="43"/>
      <c r="AA108" s="43"/>
      <c r="AB108" s="43"/>
    </row>
    <row r="109" spans="1:28" ht="14.25" hidden="1" customHeight="1">
      <c r="A109" s="163" t="s">
        <v>279</v>
      </c>
      <c r="B109" s="164">
        <v>45602</v>
      </c>
      <c r="C109" s="163"/>
      <c r="D109" s="163" t="s">
        <v>281</v>
      </c>
      <c r="E109" s="163" t="s">
        <v>330</v>
      </c>
      <c r="F109" s="168">
        <v>-0.5</v>
      </c>
      <c r="G109" s="165">
        <f t="shared" si="2"/>
        <v>10951.970000000012</v>
      </c>
      <c r="H109" s="163"/>
      <c r="I109" s="163" t="s">
        <v>331</v>
      </c>
      <c r="J109" s="163" t="s">
        <v>557</v>
      </c>
      <c r="K109" s="163"/>
      <c r="L109" s="163"/>
      <c r="M109" s="163"/>
      <c r="N109" s="163" t="s">
        <v>333</v>
      </c>
      <c r="O109" s="163"/>
      <c r="P109" s="163"/>
      <c r="Q109" s="163"/>
      <c r="R109" s="163"/>
      <c r="S109" s="163"/>
      <c r="T109" s="43">
        <f t="shared" si="0"/>
        <v>11</v>
      </c>
      <c r="U109" s="166">
        <f t="shared" si="1"/>
        <v>45602</v>
      </c>
      <c r="V109" s="43"/>
      <c r="W109" s="43"/>
      <c r="X109" s="43"/>
      <c r="Y109" s="43"/>
      <c r="Z109" s="43"/>
      <c r="AA109" s="43"/>
      <c r="AB109" s="43"/>
    </row>
    <row r="110" spans="1:28" ht="14.25" hidden="1" customHeight="1">
      <c r="A110" s="163" t="s">
        <v>279</v>
      </c>
      <c r="B110" s="164">
        <v>45602</v>
      </c>
      <c r="C110" s="163"/>
      <c r="D110" s="163" t="s">
        <v>281</v>
      </c>
      <c r="E110" s="163" t="s">
        <v>330</v>
      </c>
      <c r="F110" s="168">
        <v>-0.5</v>
      </c>
      <c r="G110" s="165">
        <f t="shared" si="2"/>
        <v>10951.470000000012</v>
      </c>
      <c r="H110" s="163"/>
      <c r="I110" s="163" t="s">
        <v>331</v>
      </c>
      <c r="J110" s="163" t="s">
        <v>558</v>
      </c>
      <c r="K110" s="163"/>
      <c r="L110" s="163"/>
      <c r="M110" s="163"/>
      <c r="N110" s="163" t="s">
        <v>333</v>
      </c>
      <c r="O110" s="163"/>
      <c r="P110" s="163"/>
      <c r="Q110" s="163"/>
      <c r="R110" s="163"/>
      <c r="S110" s="163"/>
      <c r="T110" s="43">
        <f t="shared" si="0"/>
        <v>11</v>
      </c>
      <c r="U110" s="166">
        <f t="shared" si="1"/>
        <v>45602</v>
      </c>
      <c r="V110" s="43"/>
      <c r="W110" s="43"/>
      <c r="X110" s="43"/>
      <c r="Y110" s="43"/>
      <c r="Z110" s="43"/>
      <c r="AA110" s="43"/>
      <c r="AB110" s="43"/>
    </row>
    <row r="111" spans="1:28" ht="14.25" hidden="1" customHeight="1">
      <c r="A111" s="163" t="s">
        <v>279</v>
      </c>
      <c r="B111" s="164">
        <v>45602</v>
      </c>
      <c r="C111" s="163"/>
      <c r="D111" s="163" t="s">
        <v>281</v>
      </c>
      <c r="E111" s="163" t="s">
        <v>330</v>
      </c>
      <c r="F111" s="168">
        <v>-0.5</v>
      </c>
      <c r="G111" s="165">
        <f t="shared" si="2"/>
        <v>10950.970000000012</v>
      </c>
      <c r="H111" s="163"/>
      <c r="I111" s="163" t="s">
        <v>331</v>
      </c>
      <c r="J111" s="163" t="s">
        <v>559</v>
      </c>
      <c r="K111" s="163"/>
      <c r="L111" s="163"/>
      <c r="M111" s="163"/>
      <c r="N111" s="163" t="s">
        <v>333</v>
      </c>
      <c r="O111" s="163"/>
      <c r="P111" s="163"/>
      <c r="Q111" s="163"/>
      <c r="R111" s="163"/>
      <c r="S111" s="163"/>
      <c r="T111" s="43">
        <f t="shared" si="0"/>
        <v>11</v>
      </c>
      <c r="U111" s="166">
        <f t="shared" si="1"/>
        <v>45602</v>
      </c>
      <c r="V111" s="43"/>
      <c r="W111" s="43"/>
      <c r="X111" s="43"/>
      <c r="Y111" s="43"/>
      <c r="Z111" s="43"/>
      <c r="AA111" s="43"/>
      <c r="AB111" s="43"/>
    </row>
    <row r="112" spans="1:28" ht="14.25" hidden="1" customHeight="1">
      <c r="A112" s="163" t="s">
        <v>279</v>
      </c>
      <c r="B112" s="164">
        <v>45602</v>
      </c>
      <c r="C112" s="163"/>
      <c r="D112" s="163" t="s">
        <v>281</v>
      </c>
      <c r="E112" s="163" t="s">
        <v>330</v>
      </c>
      <c r="F112" s="168">
        <v>-0.5</v>
      </c>
      <c r="G112" s="165">
        <f t="shared" si="2"/>
        <v>10950.470000000012</v>
      </c>
      <c r="H112" s="163"/>
      <c r="I112" s="163" t="s">
        <v>331</v>
      </c>
      <c r="J112" s="163" t="s">
        <v>560</v>
      </c>
      <c r="K112" s="163"/>
      <c r="L112" s="163"/>
      <c r="M112" s="163"/>
      <c r="N112" s="163" t="s">
        <v>333</v>
      </c>
      <c r="O112" s="163"/>
      <c r="P112" s="163"/>
      <c r="Q112" s="163"/>
      <c r="R112" s="163"/>
      <c r="S112" s="163"/>
      <c r="T112" s="43">
        <f t="shared" si="0"/>
        <v>11</v>
      </c>
      <c r="U112" s="166">
        <f t="shared" si="1"/>
        <v>45602</v>
      </c>
      <c r="V112" s="43"/>
      <c r="W112" s="43"/>
      <c r="X112" s="43"/>
      <c r="Y112" s="43"/>
      <c r="Z112" s="43"/>
      <c r="AA112" s="43"/>
      <c r="AB112" s="43"/>
    </row>
    <row r="113" spans="1:28" ht="14.25" hidden="1" customHeight="1">
      <c r="A113" s="163" t="s">
        <v>279</v>
      </c>
      <c r="B113" s="164">
        <v>45602</v>
      </c>
      <c r="C113" s="163"/>
      <c r="D113" s="163" t="s">
        <v>281</v>
      </c>
      <c r="E113" s="163" t="s">
        <v>330</v>
      </c>
      <c r="F113" s="168">
        <v>-0.5</v>
      </c>
      <c r="G113" s="165">
        <f t="shared" si="2"/>
        <v>10949.970000000012</v>
      </c>
      <c r="H113" s="163"/>
      <c r="I113" s="163" t="s">
        <v>331</v>
      </c>
      <c r="J113" s="163" t="s">
        <v>561</v>
      </c>
      <c r="K113" s="163"/>
      <c r="L113" s="163"/>
      <c r="M113" s="163"/>
      <c r="N113" s="163" t="s">
        <v>333</v>
      </c>
      <c r="O113" s="163"/>
      <c r="P113" s="163"/>
      <c r="Q113" s="163"/>
      <c r="R113" s="163"/>
      <c r="S113" s="163"/>
      <c r="T113" s="43">
        <f t="shared" si="0"/>
        <v>11</v>
      </c>
      <c r="U113" s="166">
        <f t="shared" si="1"/>
        <v>45602</v>
      </c>
      <c r="V113" s="43"/>
      <c r="W113" s="43"/>
      <c r="X113" s="43"/>
      <c r="Y113" s="43"/>
      <c r="Z113" s="43"/>
      <c r="AA113" s="43"/>
      <c r="AB113" s="43"/>
    </row>
    <row r="114" spans="1:28" ht="14.25" hidden="1" customHeight="1">
      <c r="A114" s="163" t="s">
        <v>279</v>
      </c>
      <c r="B114" s="164">
        <v>45602</v>
      </c>
      <c r="C114" s="163"/>
      <c r="D114" s="163" t="s">
        <v>281</v>
      </c>
      <c r="E114" s="163" t="s">
        <v>330</v>
      </c>
      <c r="F114" s="168">
        <v>-0.5</v>
      </c>
      <c r="G114" s="165">
        <f t="shared" si="2"/>
        <v>10949.470000000012</v>
      </c>
      <c r="H114" s="163"/>
      <c r="I114" s="163" t="s">
        <v>331</v>
      </c>
      <c r="J114" s="163" t="s">
        <v>562</v>
      </c>
      <c r="K114" s="163"/>
      <c r="L114" s="163"/>
      <c r="M114" s="163"/>
      <c r="N114" s="163" t="s">
        <v>333</v>
      </c>
      <c r="O114" s="163"/>
      <c r="P114" s="163"/>
      <c r="Q114" s="163"/>
      <c r="R114" s="163"/>
      <c r="S114" s="163"/>
      <c r="T114" s="43">
        <f t="shared" si="0"/>
        <v>11</v>
      </c>
      <c r="U114" s="166">
        <f t="shared" si="1"/>
        <v>45602</v>
      </c>
      <c r="V114" s="43"/>
      <c r="W114" s="43"/>
      <c r="X114" s="43"/>
      <c r="Y114" s="43"/>
      <c r="Z114" s="43"/>
      <c r="AA114" s="43"/>
      <c r="AB114" s="43"/>
    </row>
    <row r="115" spans="1:28" ht="14.25" hidden="1" customHeight="1">
      <c r="A115" s="163" t="s">
        <v>279</v>
      </c>
      <c r="B115" s="164">
        <v>45602</v>
      </c>
      <c r="C115" s="163"/>
      <c r="D115" s="163" t="s">
        <v>281</v>
      </c>
      <c r="E115" s="163" t="s">
        <v>330</v>
      </c>
      <c r="F115" s="168">
        <v>-0.5</v>
      </c>
      <c r="G115" s="165">
        <f t="shared" si="2"/>
        <v>10948.970000000012</v>
      </c>
      <c r="H115" s="163"/>
      <c r="I115" s="163" t="s">
        <v>331</v>
      </c>
      <c r="J115" s="163" t="s">
        <v>563</v>
      </c>
      <c r="K115" s="163"/>
      <c r="L115" s="163"/>
      <c r="M115" s="163"/>
      <c r="N115" s="163" t="s">
        <v>333</v>
      </c>
      <c r="O115" s="163"/>
      <c r="P115" s="163"/>
      <c r="Q115" s="163"/>
      <c r="R115" s="163"/>
      <c r="S115" s="163"/>
      <c r="T115" s="43">
        <f t="shared" si="0"/>
        <v>11</v>
      </c>
      <c r="U115" s="166">
        <f t="shared" si="1"/>
        <v>45602</v>
      </c>
      <c r="V115" s="43"/>
      <c r="W115" s="43"/>
      <c r="X115" s="43"/>
      <c r="Y115" s="43"/>
      <c r="Z115" s="43"/>
      <c r="AA115" s="43"/>
      <c r="AB115" s="43"/>
    </row>
    <row r="116" spans="1:28" ht="14.25" hidden="1" customHeight="1">
      <c r="A116" s="163" t="s">
        <v>279</v>
      </c>
      <c r="B116" s="164">
        <v>45602</v>
      </c>
      <c r="C116" s="163"/>
      <c r="D116" s="163" t="s">
        <v>281</v>
      </c>
      <c r="E116" s="163" t="s">
        <v>330</v>
      </c>
      <c r="F116" s="168">
        <v>-0.5</v>
      </c>
      <c r="G116" s="165">
        <f t="shared" si="2"/>
        <v>10948.470000000012</v>
      </c>
      <c r="H116" s="163"/>
      <c r="I116" s="163" t="s">
        <v>331</v>
      </c>
      <c r="J116" s="163" t="s">
        <v>564</v>
      </c>
      <c r="K116" s="163"/>
      <c r="L116" s="163"/>
      <c r="M116" s="163"/>
      <c r="N116" s="163" t="s">
        <v>333</v>
      </c>
      <c r="O116" s="163"/>
      <c r="P116" s="163"/>
      <c r="Q116" s="163"/>
      <c r="R116" s="163"/>
      <c r="S116" s="163"/>
      <c r="T116" s="43">
        <f t="shared" si="0"/>
        <v>11</v>
      </c>
      <c r="U116" s="166">
        <f t="shared" si="1"/>
        <v>45602</v>
      </c>
      <c r="V116" s="43"/>
      <c r="W116" s="43"/>
      <c r="X116" s="43"/>
      <c r="Y116" s="43"/>
      <c r="Z116" s="43"/>
      <c r="AA116" s="43"/>
      <c r="AB116" s="43"/>
    </row>
    <row r="117" spans="1:28" ht="14.25" hidden="1" customHeight="1">
      <c r="A117" s="163" t="s">
        <v>279</v>
      </c>
      <c r="B117" s="164">
        <v>45602</v>
      </c>
      <c r="C117" s="163"/>
      <c r="D117" s="163" t="s">
        <v>281</v>
      </c>
      <c r="E117" s="163" t="s">
        <v>330</v>
      </c>
      <c r="F117" s="168">
        <v>-0.5</v>
      </c>
      <c r="G117" s="165">
        <f t="shared" si="2"/>
        <v>10947.970000000012</v>
      </c>
      <c r="H117" s="163"/>
      <c r="I117" s="163" t="s">
        <v>331</v>
      </c>
      <c r="J117" s="163" t="s">
        <v>565</v>
      </c>
      <c r="K117" s="163"/>
      <c r="L117" s="163"/>
      <c r="M117" s="163"/>
      <c r="N117" s="163" t="s">
        <v>333</v>
      </c>
      <c r="O117" s="163"/>
      <c r="P117" s="163"/>
      <c r="Q117" s="163"/>
      <c r="R117" s="163"/>
      <c r="S117" s="163"/>
      <c r="T117" s="43">
        <f t="shared" si="0"/>
        <v>11</v>
      </c>
      <c r="U117" s="166">
        <f t="shared" si="1"/>
        <v>45602</v>
      </c>
      <c r="V117" s="43"/>
      <c r="W117" s="43"/>
      <c r="X117" s="43"/>
      <c r="Y117" s="43"/>
      <c r="Z117" s="43"/>
      <c r="AA117" s="43"/>
      <c r="AB117" s="43"/>
    </row>
    <row r="118" spans="1:28" ht="14.25" hidden="1" customHeight="1">
      <c r="A118" s="163" t="s">
        <v>279</v>
      </c>
      <c r="B118" s="164">
        <v>45602</v>
      </c>
      <c r="C118" s="163"/>
      <c r="D118" s="163" t="s">
        <v>281</v>
      </c>
      <c r="E118" s="163" t="s">
        <v>330</v>
      </c>
      <c r="F118" s="168">
        <v>-0.5</v>
      </c>
      <c r="G118" s="165">
        <f t="shared" si="2"/>
        <v>10947.470000000012</v>
      </c>
      <c r="H118" s="163"/>
      <c r="I118" s="163" t="s">
        <v>331</v>
      </c>
      <c r="J118" s="163" t="s">
        <v>566</v>
      </c>
      <c r="K118" s="163"/>
      <c r="L118" s="163"/>
      <c r="M118" s="163"/>
      <c r="N118" s="163" t="s">
        <v>333</v>
      </c>
      <c r="O118" s="163"/>
      <c r="P118" s="163"/>
      <c r="Q118" s="163"/>
      <c r="R118" s="163"/>
      <c r="S118" s="163"/>
      <c r="T118" s="43">
        <f t="shared" si="0"/>
        <v>11</v>
      </c>
      <c r="U118" s="166">
        <f t="shared" si="1"/>
        <v>45602</v>
      </c>
      <c r="V118" s="43"/>
      <c r="W118" s="43"/>
      <c r="X118" s="43"/>
      <c r="Y118" s="43"/>
      <c r="Z118" s="43"/>
      <c r="AA118" s="43"/>
      <c r="AB118" s="43"/>
    </row>
    <row r="119" spans="1:28" ht="14.25" hidden="1" customHeight="1">
      <c r="A119" s="163" t="s">
        <v>279</v>
      </c>
      <c r="B119" s="164">
        <v>45602</v>
      </c>
      <c r="C119" s="163"/>
      <c r="D119" s="163" t="s">
        <v>281</v>
      </c>
      <c r="E119" s="163" t="s">
        <v>330</v>
      </c>
      <c r="F119" s="168">
        <v>-0.5</v>
      </c>
      <c r="G119" s="165">
        <f t="shared" si="2"/>
        <v>10946.970000000012</v>
      </c>
      <c r="H119" s="163"/>
      <c r="I119" s="163" t="s">
        <v>331</v>
      </c>
      <c r="J119" s="163" t="s">
        <v>567</v>
      </c>
      <c r="K119" s="163"/>
      <c r="L119" s="163"/>
      <c r="M119" s="163"/>
      <c r="N119" s="163" t="s">
        <v>333</v>
      </c>
      <c r="O119" s="163"/>
      <c r="P119" s="163"/>
      <c r="Q119" s="163"/>
      <c r="R119" s="163"/>
      <c r="S119" s="163"/>
      <c r="T119" s="43">
        <f t="shared" si="0"/>
        <v>11</v>
      </c>
      <c r="U119" s="166">
        <f t="shared" si="1"/>
        <v>45602</v>
      </c>
      <c r="V119" s="43"/>
      <c r="W119" s="43"/>
      <c r="X119" s="43"/>
      <c r="Y119" s="43"/>
      <c r="Z119" s="43"/>
      <c r="AA119" s="43"/>
      <c r="AB119" s="43"/>
    </row>
    <row r="120" spans="1:28" ht="14.25" hidden="1" customHeight="1">
      <c r="A120" s="163" t="s">
        <v>279</v>
      </c>
      <c r="B120" s="164">
        <v>45602</v>
      </c>
      <c r="C120" s="163"/>
      <c r="D120" s="163" t="s">
        <v>281</v>
      </c>
      <c r="E120" s="163" t="s">
        <v>330</v>
      </c>
      <c r="F120" s="168">
        <v>-0.5</v>
      </c>
      <c r="G120" s="165">
        <f t="shared" si="2"/>
        <v>10946.470000000012</v>
      </c>
      <c r="H120" s="163"/>
      <c r="I120" s="163" t="s">
        <v>331</v>
      </c>
      <c r="J120" s="163" t="s">
        <v>568</v>
      </c>
      <c r="K120" s="163"/>
      <c r="L120" s="163"/>
      <c r="M120" s="163"/>
      <c r="N120" s="163" t="s">
        <v>333</v>
      </c>
      <c r="O120" s="163"/>
      <c r="P120" s="163"/>
      <c r="Q120" s="163"/>
      <c r="R120" s="163"/>
      <c r="S120" s="163"/>
      <c r="T120" s="43">
        <f t="shared" si="0"/>
        <v>11</v>
      </c>
      <c r="U120" s="166">
        <f t="shared" si="1"/>
        <v>45602</v>
      </c>
      <c r="V120" s="43"/>
      <c r="W120" s="43"/>
      <c r="X120" s="43"/>
      <c r="Y120" s="43"/>
      <c r="Z120" s="43"/>
      <c r="AA120" s="43"/>
      <c r="AB120" s="43"/>
    </row>
    <row r="121" spans="1:28" ht="14.25" hidden="1" customHeight="1">
      <c r="A121" s="163" t="s">
        <v>279</v>
      </c>
      <c r="B121" s="164">
        <v>45602</v>
      </c>
      <c r="C121" s="163"/>
      <c r="D121" s="163" t="s">
        <v>281</v>
      </c>
      <c r="E121" s="163" t="s">
        <v>330</v>
      </c>
      <c r="F121" s="168">
        <v>-0.5</v>
      </c>
      <c r="G121" s="165">
        <f t="shared" si="2"/>
        <v>10945.970000000012</v>
      </c>
      <c r="H121" s="163"/>
      <c r="I121" s="163" t="s">
        <v>331</v>
      </c>
      <c r="J121" s="163" t="s">
        <v>569</v>
      </c>
      <c r="K121" s="163"/>
      <c r="L121" s="163"/>
      <c r="M121" s="163"/>
      <c r="N121" s="163" t="s">
        <v>333</v>
      </c>
      <c r="O121" s="163"/>
      <c r="P121" s="163"/>
      <c r="Q121" s="163"/>
      <c r="R121" s="163"/>
      <c r="S121" s="163"/>
      <c r="T121" s="43">
        <f t="shared" si="0"/>
        <v>11</v>
      </c>
      <c r="U121" s="166">
        <f t="shared" si="1"/>
        <v>45602</v>
      </c>
      <c r="V121" s="166"/>
      <c r="W121" s="43"/>
      <c r="X121" s="43"/>
      <c r="Y121" s="43"/>
      <c r="Z121" s="43"/>
      <c r="AA121" s="43"/>
      <c r="AB121" s="43"/>
    </row>
    <row r="122" spans="1:28" ht="14.25" hidden="1" customHeight="1">
      <c r="A122" s="163" t="s">
        <v>279</v>
      </c>
      <c r="B122" s="164">
        <v>45602</v>
      </c>
      <c r="C122" s="163"/>
      <c r="D122" s="163" t="s">
        <v>281</v>
      </c>
      <c r="E122" s="163" t="s">
        <v>330</v>
      </c>
      <c r="F122" s="168">
        <v>-0.5</v>
      </c>
      <c r="G122" s="165">
        <f t="shared" si="2"/>
        <v>10945.470000000012</v>
      </c>
      <c r="H122" s="163"/>
      <c r="I122" s="163" t="s">
        <v>331</v>
      </c>
      <c r="J122" s="163" t="s">
        <v>570</v>
      </c>
      <c r="K122" s="163"/>
      <c r="L122" s="163"/>
      <c r="M122" s="163"/>
      <c r="N122" s="163" t="s">
        <v>333</v>
      </c>
      <c r="O122" s="163"/>
      <c r="P122" s="163"/>
      <c r="Q122" s="163"/>
      <c r="R122" s="163"/>
      <c r="S122" s="163"/>
      <c r="T122" s="43">
        <f t="shared" si="0"/>
        <v>11</v>
      </c>
      <c r="U122" s="166">
        <f t="shared" si="1"/>
        <v>45602</v>
      </c>
      <c r="V122" s="43"/>
      <c r="W122" s="43"/>
      <c r="X122" s="43"/>
      <c r="Y122" s="43"/>
      <c r="Z122" s="43"/>
      <c r="AA122" s="43"/>
      <c r="AB122" s="43"/>
    </row>
    <row r="123" spans="1:28" ht="14.25" hidden="1" customHeight="1">
      <c r="A123" s="163" t="s">
        <v>279</v>
      </c>
      <c r="B123" s="164">
        <v>45602</v>
      </c>
      <c r="C123" s="163"/>
      <c r="D123" s="163" t="s">
        <v>281</v>
      </c>
      <c r="E123" s="163" t="s">
        <v>330</v>
      </c>
      <c r="F123" s="168">
        <v>-0.5</v>
      </c>
      <c r="G123" s="165">
        <f t="shared" si="2"/>
        <v>10944.970000000012</v>
      </c>
      <c r="H123" s="163"/>
      <c r="I123" s="163" t="s">
        <v>331</v>
      </c>
      <c r="J123" s="163" t="s">
        <v>571</v>
      </c>
      <c r="K123" s="163"/>
      <c r="L123" s="163"/>
      <c r="M123" s="163"/>
      <c r="N123" s="163" t="s">
        <v>333</v>
      </c>
      <c r="O123" s="163"/>
      <c r="P123" s="163"/>
      <c r="Q123" s="163"/>
      <c r="R123" s="163"/>
      <c r="S123" s="163"/>
      <c r="T123" s="43">
        <f t="shared" si="0"/>
        <v>11</v>
      </c>
      <c r="U123" s="166">
        <f t="shared" si="1"/>
        <v>45602</v>
      </c>
      <c r="V123" s="43"/>
      <c r="W123" s="43"/>
      <c r="X123" s="43"/>
      <c r="Y123" s="43"/>
      <c r="Z123" s="43"/>
      <c r="AA123" s="43"/>
      <c r="AB123" s="43"/>
    </row>
    <row r="124" spans="1:28" ht="14.25" hidden="1" customHeight="1">
      <c r="A124" s="163" t="s">
        <v>279</v>
      </c>
      <c r="B124" s="164">
        <v>45602</v>
      </c>
      <c r="C124" s="163"/>
      <c r="D124" s="163" t="s">
        <v>281</v>
      </c>
      <c r="E124" s="163" t="s">
        <v>330</v>
      </c>
      <c r="F124" s="168">
        <v>-0.5</v>
      </c>
      <c r="G124" s="165">
        <f t="shared" si="2"/>
        <v>10944.470000000012</v>
      </c>
      <c r="H124" s="163"/>
      <c r="I124" s="163" t="s">
        <v>331</v>
      </c>
      <c r="J124" s="163" t="s">
        <v>572</v>
      </c>
      <c r="K124" s="163"/>
      <c r="L124" s="163"/>
      <c r="M124" s="163"/>
      <c r="N124" s="163" t="s">
        <v>333</v>
      </c>
      <c r="O124" s="163"/>
      <c r="P124" s="163"/>
      <c r="Q124" s="163"/>
      <c r="R124" s="163"/>
      <c r="S124" s="163"/>
      <c r="T124" s="43">
        <f t="shared" si="0"/>
        <v>11</v>
      </c>
      <c r="U124" s="166">
        <f t="shared" si="1"/>
        <v>45602</v>
      </c>
      <c r="V124" s="43"/>
      <c r="W124" s="43"/>
      <c r="X124" s="43"/>
      <c r="Y124" s="43"/>
      <c r="Z124" s="43"/>
      <c r="AA124" s="43"/>
      <c r="AB124" s="43"/>
    </row>
    <row r="125" spans="1:28" ht="14.25" hidden="1" customHeight="1">
      <c r="A125" s="163" t="s">
        <v>279</v>
      </c>
      <c r="B125" s="164">
        <v>45602</v>
      </c>
      <c r="C125" s="163"/>
      <c r="D125" s="163" t="s">
        <v>281</v>
      </c>
      <c r="E125" s="163" t="s">
        <v>330</v>
      </c>
      <c r="F125" s="168">
        <v>-0.5</v>
      </c>
      <c r="G125" s="165">
        <f t="shared" si="2"/>
        <v>10943.970000000012</v>
      </c>
      <c r="H125" s="163"/>
      <c r="I125" s="163" t="s">
        <v>331</v>
      </c>
      <c r="J125" s="163" t="s">
        <v>573</v>
      </c>
      <c r="K125" s="163"/>
      <c r="L125" s="163"/>
      <c r="M125" s="163"/>
      <c r="N125" s="163" t="s">
        <v>333</v>
      </c>
      <c r="O125" s="163"/>
      <c r="P125" s="163"/>
      <c r="Q125" s="163"/>
      <c r="R125" s="163"/>
      <c r="S125" s="163"/>
      <c r="T125" s="43">
        <f t="shared" si="0"/>
        <v>11</v>
      </c>
      <c r="U125" s="166">
        <f t="shared" si="1"/>
        <v>45602</v>
      </c>
      <c r="V125" s="43"/>
      <c r="W125" s="43"/>
      <c r="X125" s="43"/>
      <c r="Y125" s="43"/>
      <c r="Z125" s="43"/>
      <c r="AA125" s="43"/>
      <c r="AB125" s="43"/>
    </row>
    <row r="126" spans="1:28" ht="14.25" hidden="1" customHeight="1">
      <c r="A126" s="163" t="s">
        <v>279</v>
      </c>
      <c r="B126" s="164">
        <v>45602</v>
      </c>
      <c r="C126" s="163"/>
      <c r="D126" s="163" t="s">
        <v>281</v>
      </c>
      <c r="E126" s="163" t="s">
        <v>330</v>
      </c>
      <c r="F126" s="168">
        <v>-0.5</v>
      </c>
      <c r="G126" s="165">
        <f t="shared" si="2"/>
        <v>10943.470000000012</v>
      </c>
      <c r="H126" s="163"/>
      <c r="I126" s="163" t="s">
        <v>331</v>
      </c>
      <c r="J126" s="163" t="s">
        <v>574</v>
      </c>
      <c r="K126" s="163"/>
      <c r="L126" s="163"/>
      <c r="M126" s="163"/>
      <c r="N126" s="163" t="s">
        <v>333</v>
      </c>
      <c r="O126" s="163"/>
      <c r="P126" s="163"/>
      <c r="Q126" s="163"/>
      <c r="R126" s="163"/>
      <c r="S126" s="163"/>
      <c r="T126" s="43">
        <f t="shared" si="0"/>
        <v>11</v>
      </c>
      <c r="U126" s="166">
        <f t="shared" si="1"/>
        <v>45602</v>
      </c>
      <c r="V126" s="43"/>
      <c r="W126" s="43"/>
      <c r="X126" s="43"/>
      <c r="Y126" s="43"/>
      <c r="Z126" s="43"/>
      <c r="AA126" s="43"/>
      <c r="AB126" s="43"/>
    </row>
    <row r="127" spans="1:28" ht="14.25" hidden="1" customHeight="1">
      <c r="A127" s="163" t="s">
        <v>279</v>
      </c>
      <c r="B127" s="164">
        <v>45602</v>
      </c>
      <c r="C127" s="163"/>
      <c r="D127" s="163" t="s">
        <v>281</v>
      </c>
      <c r="E127" s="163" t="s">
        <v>330</v>
      </c>
      <c r="F127" s="168">
        <v>-0.5</v>
      </c>
      <c r="G127" s="165">
        <f t="shared" si="2"/>
        <v>10942.970000000012</v>
      </c>
      <c r="H127" s="163"/>
      <c r="I127" s="163" t="s">
        <v>331</v>
      </c>
      <c r="J127" s="163" t="s">
        <v>575</v>
      </c>
      <c r="K127" s="163"/>
      <c r="L127" s="163"/>
      <c r="M127" s="163"/>
      <c r="N127" s="163" t="s">
        <v>333</v>
      </c>
      <c r="O127" s="163"/>
      <c r="P127" s="163"/>
      <c r="Q127" s="163"/>
      <c r="R127" s="163"/>
      <c r="S127" s="163"/>
      <c r="T127" s="43">
        <f t="shared" si="0"/>
        <v>11</v>
      </c>
      <c r="U127" s="166">
        <f t="shared" si="1"/>
        <v>45602</v>
      </c>
      <c r="V127" s="43"/>
      <c r="W127" s="43"/>
      <c r="X127" s="43"/>
      <c r="Y127" s="43"/>
      <c r="Z127" s="43"/>
      <c r="AA127" s="43"/>
      <c r="AB127" s="43"/>
    </row>
    <row r="128" spans="1:28" ht="14.25" hidden="1" customHeight="1">
      <c r="A128" s="163" t="s">
        <v>279</v>
      </c>
      <c r="B128" s="164">
        <v>45602</v>
      </c>
      <c r="C128" s="163"/>
      <c r="D128" s="163" t="s">
        <v>281</v>
      </c>
      <c r="E128" s="163" t="s">
        <v>330</v>
      </c>
      <c r="F128" s="168">
        <v>-0.5</v>
      </c>
      <c r="G128" s="165">
        <f t="shared" si="2"/>
        <v>10942.470000000012</v>
      </c>
      <c r="H128" s="163"/>
      <c r="I128" s="163" t="s">
        <v>331</v>
      </c>
      <c r="J128" s="163" t="s">
        <v>576</v>
      </c>
      <c r="K128" s="163"/>
      <c r="L128" s="163"/>
      <c r="M128" s="163"/>
      <c r="N128" s="163" t="s">
        <v>333</v>
      </c>
      <c r="O128" s="163"/>
      <c r="P128" s="163"/>
      <c r="Q128" s="163"/>
      <c r="R128" s="163"/>
      <c r="S128" s="163"/>
      <c r="T128" s="43">
        <f t="shared" si="0"/>
        <v>11</v>
      </c>
      <c r="U128" s="166">
        <f t="shared" si="1"/>
        <v>45602</v>
      </c>
      <c r="V128" s="43"/>
      <c r="W128" s="43"/>
      <c r="X128" s="43"/>
      <c r="Y128" s="43"/>
      <c r="Z128" s="43"/>
      <c r="AA128" s="43"/>
      <c r="AB128" s="43"/>
    </row>
    <row r="129" spans="1:28" ht="14.25" hidden="1" customHeight="1">
      <c r="A129" s="163" t="s">
        <v>279</v>
      </c>
      <c r="B129" s="164">
        <v>45602</v>
      </c>
      <c r="C129" s="163"/>
      <c r="D129" s="163" t="s">
        <v>281</v>
      </c>
      <c r="E129" s="163" t="s">
        <v>330</v>
      </c>
      <c r="F129" s="168">
        <v>-0.5</v>
      </c>
      <c r="G129" s="165">
        <f t="shared" si="2"/>
        <v>10941.970000000012</v>
      </c>
      <c r="H129" s="163"/>
      <c r="I129" s="163" t="s">
        <v>331</v>
      </c>
      <c r="J129" s="163" t="s">
        <v>577</v>
      </c>
      <c r="K129" s="163"/>
      <c r="L129" s="163"/>
      <c r="M129" s="163"/>
      <c r="N129" s="163" t="s">
        <v>333</v>
      </c>
      <c r="O129" s="163"/>
      <c r="P129" s="163"/>
      <c r="Q129" s="163"/>
      <c r="R129" s="163"/>
      <c r="S129" s="163"/>
      <c r="T129" s="43">
        <f t="shared" si="0"/>
        <v>11</v>
      </c>
      <c r="U129" s="166">
        <f t="shared" si="1"/>
        <v>45602</v>
      </c>
      <c r="V129" s="43"/>
      <c r="W129" s="43"/>
      <c r="X129" s="43"/>
      <c r="Y129" s="43"/>
      <c r="Z129" s="43"/>
      <c r="AA129" s="43"/>
      <c r="AB129" s="43"/>
    </row>
    <row r="130" spans="1:28" ht="14.25" hidden="1" customHeight="1">
      <c r="A130" s="163" t="s">
        <v>279</v>
      </c>
      <c r="B130" s="164">
        <v>45602</v>
      </c>
      <c r="C130" s="163"/>
      <c r="D130" s="163" t="s">
        <v>281</v>
      </c>
      <c r="E130" s="163" t="s">
        <v>330</v>
      </c>
      <c r="F130" s="168">
        <v>-0.5</v>
      </c>
      <c r="G130" s="165">
        <f t="shared" si="2"/>
        <v>10941.470000000012</v>
      </c>
      <c r="H130" s="163"/>
      <c r="I130" s="163" t="s">
        <v>331</v>
      </c>
      <c r="J130" s="163" t="s">
        <v>578</v>
      </c>
      <c r="K130" s="163"/>
      <c r="L130" s="163"/>
      <c r="M130" s="163"/>
      <c r="N130" s="163" t="s">
        <v>333</v>
      </c>
      <c r="O130" s="163"/>
      <c r="P130" s="163"/>
      <c r="Q130" s="163"/>
      <c r="R130" s="163"/>
      <c r="S130" s="163"/>
      <c r="T130" s="43">
        <f t="shared" si="0"/>
        <v>11</v>
      </c>
      <c r="U130" s="166">
        <f t="shared" si="1"/>
        <v>45602</v>
      </c>
      <c r="V130" s="166"/>
      <c r="W130" s="43"/>
      <c r="X130" s="43"/>
      <c r="Y130" s="43"/>
      <c r="Z130" s="43"/>
      <c r="AA130" s="43"/>
      <c r="AB130" s="43"/>
    </row>
    <row r="131" spans="1:28" ht="14.25" hidden="1" customHeight="1">
      <c r="A131" s="163" t="s">
        <v>279</v>
      </c>
      <c r="B131" s="164">
        <v>45602</v>
      </c>
      <c r="C131" s="163"/>
      <c r="D131" s="163" t="s">
        <v>281</v>
      </c>
      <c r="E131" s="163" t="s">
        <v>330</v>
      </c>
      <c r="F131" s="168">
        <v>-0.5</v>
      </c>
      <c r="G131" s="165">
        <f t="shared" si="2"/>
        <v>10940.970000000012</v>
      </c>
      <c r="H131" s="163"/>
      <c r="I131" s="163" t="s">
        <v>331</v>
      </c>
      <c r="J131" s="163" t="s">
        <v>579</v>
      </c>
      <c r="K131" s="163"/>
      <c r="L131" s="163"/>
      <c r="M131" s="163"/>
      <c r="N131" s="163" t="s">
        <v>333</v>
      </c>
      <c r="O131" s="163"/>
      <c r="P131" s="163"/>
      <c r="Q131" s="163"/>
      <c r="R131" s="163"/>
      <c r="S131" s="163"/>
      <c r="T131" s="43">
        <f t="shared" si="0"/>
        <v>11</v>
      </c>
      <c r="U131" s="166">
        <f t="shared" si="1"/>
        <v>45602</v>
      </c>
      <c r="V131" s="166"/>
      <c r="W131" s="43"/>
      <c r="X131" s="43"/>
      <c r="Y131" s="43"/>
      <c r="Z131" s="43"/>
      <c r="AA131" s="43"/>
      <c r="AB131" s="43"/>
    </row>
    <row r="132" spans="1:28" ht="14.25" hidden="1" customHeight="1">
      <c r="A132" s="163" t="s">
        <v>279</v>
      </c>
      <c r="B132" s="164">
        <v>45602</v>
      </c>
      <c r="C132" s="163"/>
      <c r="D132" s="163" t="s">
        <v>281</v>
      </c>
      <c r="E132" s="163" t="s">
        <v>330</v>
      </c>
      <c r="F132" s="168">
        <v>-0.5</v>
      </c>
      <c r="G132" s="165">
        <f t="shared" si="2"/>
        <v>10940.470000000012</v>
      </c>
      <c r="H132" s="163"/>
      <c r="I132" s="163" t="s">
        <v>331</v>
      </c>
      <c r="J132" s="163" t="s">
        <v>580</v>
      </c>
      <c r="K132" s="163"/>
      <c r="L132" s="163"/>
      <c r="M132" s="163"/>
      <c r="N132" s="163" t="s">
        <v>333</v>
      </c>
      <c r="O132" s="163"/>
      <c r="P132" s="163"/>
      <c r="Q132" s="163"/>
      <c r="R132" s="163"/>
      <c r="S132" s="163"/>
      <c r="T132" s="43">
        <f t="shared" si="0"/>
        <v>11</v>
      </c>
      <c r="U132" s="166">
        <f t="shared" si="1"/>
        <v>45602</v>
      </c>
      <c r="V132" s="166"/>
      <c r="W132" s="43"/>
      <c r="X132" s="43"/>
      <c r="Y132" s="43"/>
      <c r="Z132" s="43"/>
      <c r="AA132" s="43"/>
      <c r="AB132" s="43"/>
    </row>
    <row r="133" spans="1:28" ht="14.25" hidden="1" customHeight="1">
      <c r="A133" s="163" t="s">
        <v>279</v>
      </c>
      <c r="B133" s="164">
        <v>45602</v>
      </c>
      <c r="C133" s="163"/>
      <c r="D133" s="163" t="s">
        <v>281</v>
      </c>
      <c r="E133" s="163" t="s">
        <v>330</v>
      </c>
      <c r="F133" s="168">
        <v>-0.5</v>
      </c>
      <c r="G133" s="165">
        <f t="shared" si="2"/>
        <v>10939.970000000012</v>
      </c>
      <c r="H133" s="163"/>
      <c r="I133" s="163" t="s">
        <v>331</v>
      </c>
      <c r="J133" s="163" t="s">
        <v>581</v>
      </c>
      <c r="K133" s="163"/>
      <c r="L133" s="163"/>
      <c r="M133" s="163"/>
      <c r="N133" s="163" t="s">
        <v>333</v>
      </c>
      <c r="O133" s="163"/>
      <c r="P133" s="163"/>
      <c r="Q133" s="163"/>
      <c r="R133" s="163"/>
      <c r="S133" s="163"/>
      <c r="T133" s="43">
        <f t="shared" si="0"/>
        <v>11</v>
      </c>
      <c r="U133" s="166">
        <f t="shared" si="1"/>
        <v>45602</v>
      </c>
      <c r="V133" s="166"/>
      <c r="W133" s="43"/>
      <c r="X133" s="43"/>
      <c r="Y133" s="43"/>
      <c r="Z133" s="43"/>
      <c r="AA133" s="43"/>
      <c r="AB133" s="43"/>
    </row>
    <row r="134" spans="1:28" ht="14.25" hidden="1" customHeight="1">
      <c r="A134" s="163" t="s">
        <v>279</v>
      </c>
      <c r="B134" s="164">
        <v>45602</v>
      </c>
      <c r="C134" s="163"/>
      <c r="D134" s="163" t="s">
        <v>281</v>
      </c>
      <c r="E134" s="163" t="s">
        <v>330</v>
      </c>
      <c r="F134" s="168">
        <v>-0.5</v>
      </c>
      <c r="G134" s="165">
        <f t="shared" si="2"/>
        <v>10939.470000000012</v>
      </c>
      <c r="H134" s="163"/>
      <c r="I134" s="163" t="s">
        <v>331</v>
      </c>
      <c r="J134" s="163" t="s">
        <v>582</v>
      </c>
      <c r="K134" s="163"/>
      <c r="L134" s="163"/>
      <c r="M134" s="163"/>
      <c r="N134" s="163" t="s">
        <v>333</v>
      </c>
      <c r="O134" s="163"/>
      <c r="P134" s="163"/>
      <c r="Q134" s="163"/>
      <c r="R134" s="163"/>
      <c r="S134" s="163"/>
      <c r="T134" s="43">
        <f t="shared" si="0"/>
        <v>11</v>
      </c>
      <c r="U134" s="166">
        <f t="shared" si="1"/>
        <v>45602</v>
      </c>
      <c r="V134" s="166"/>
      <c r="W134" s="43"/>
      <c r="X134" s="43"/>
      <c r="Y134" s="43"/>
      <c r="Z134" s="43"/>
      <c r="AA134" s="43"/>
      <c r="AB134" s="43"/>
    </row>
    <row r="135" spans="1:28" ht="14.25" hidden="1" customHeight="1">
      <c r="A135" s="163" t="s">
        <v>279</v>
      </c>
      <c r="B135" s="164">
        <v>45602</v>
      </c>
      <c r="C135" s="163"/>
      <c r="D135" s="163" t="s">
        <v>281</v>
      </c>
      <c r="E135" s="163" t="s">
        <v>330</v>
      </c>
      <c r="F135" s="168">
        <v>-0.5</v>
      </c>
      <c r="G135" s="165">
        <f t="shared" si="2"/>
        <v>10938.970000000012</v>
      </c>
      <c r="H135" s="163"/>
      <c r="I135" s="163" t="s">
        <v>331</v>
      </c>
      <c r="J135" s="163" t="s">
        <v>583</v>
      </c>
      <c r="K135" s="163"/>
      <c r="L135" s="163"/>
      <c r="M135" s="163"/>
      <c r="N135" s="163" t="s">
        <v>333</v>
      </c>
      <c r="O135" s="163"/>
      <c r="P135" s="163"/>
      <c r="Q135" s="163"/>
      <c r="R135" s="163"/>
      <c r="S135" s="163"/>
      <c r="T135" s="43">
        <f t="shared" si="0"/>
        <v>11</v>
      </c>
      <c r="U135" s="166">
        <f t="shared" si="1"/>
        <v>45602</v>
      </c>
      <c r="V135" s="166"/>
      <c r="W135" s="43"/>
      <c r="X135" s="43"/>
      <c r="Y135" s="43"/>
      <c r="Z135" s="43"/>
      <c r="AA135" s="43"/>
      <c r="AB135" s="43"/>
    </row>
    <row r="136" spans="1:28" ht="14.25" hidden="1" customHeight="1">
      <c r="A136" s="163" t="s">
        <v>279</v>
      </c>
      <c r="B136" s="164">
        <v>45602</v>
      </c>
      <c r="C136" s="163"/>
      <c r="D136" s="163" t="s">
        <v>281</v>
      </c>
      <c r="E136" s="163" t="s">
        <v>330</v>
      </c>
      <c r="F136" s="168">
        <v>-0.5</v>
      </c>
      <c r="G136" s="165">
        <f t="shared" si="2"/>
        <v>10938.470000000012</v>
      </c>
      <c r="H136" s="163"/>
      <c r="I136" s="163" t="s">
        <v>331</v>
      </c>
      <c r="J136" s="163" t="s">
        <v>584</v>
      </c>
      <c r="K136" s="163"/>
      <c r="L136" s="163"/>
      <c r="M136" s="163"/>
      <c r="N136" s="163" t="s">
        <v>333</v>
      </c>
      <c r="O136" s="163"/>
      <c r="P136" s="163"/>
      <c r="Q136" s="163"/>
      <c r="R136" s="163"/>
      <c r="S136" s="163"/>
      <c r="T136" s="43">
        <f t="shared" si="0"/>
        <v>11</v>
      </c>
      <c r="U136" s="166">
        <f t="shared" si="1"/>
        <v>45602</v>
      </c>
      <c r="V136" s="166"/>
      <c r="W136" s="43"/>
      <c r="X136" s="43"/>
      <c r="Y136" s="43"/>
      <c r="Z136" s="43"/>
      <c r="AA136" s="43"/>
      <c r="AB136" s="43"/>
    </row>
    <row r="137" spans="1:28" ht="14.25" hidden="1" customHeight="1">
      <c r="A137" s="163" t="s">
        <v>279</v>
      </c>
      <c r="B137" s="164">
        <v>45602</v>
      </c>
      <c r="C137" s="163"/>
      <c r="D137" s="163" t="s">
        <v>281</v>
      </c>
      <c r="E137" s="163" t="s">
        <v>330</v>
      </c>
      <c r="F137" s="168">
        <v>-0.5</v>
      </c>
      <c r="G137" s="165">
        <f t="shared" si="2"/>
        <v>10937.970000000012</v>
      </c>
      <c r="H137" s="163"/>
      <c r="I137" s="163" t="s">
        <v>331</v>
      </c>
      <c r="J137" s="163" t="s">
        <v>585</v>
      </c>
      <c r="K137" s="163"/>
      <c r="L137" s="163"/>
      <c r="M137" s="163"/>
      <c r="N137" s="163" t="s">
        <v>333</v>
      </c>
      <c r="O137" s="163"/>
      <c r="P137" s="163"/>
      <c r="Q137" s="163"/>
      <c r="R137" s="163"/>
      <c r="S137" s="163"/>
      <c r="T137" s="43">
        <f t="shared" si="0"/>
        <v>11</v>
      </c>
      <c r="U137" s="166">
        <f t="shared" si="1"/>
        <v>45602</v>
      </c>
      <c r="V137" s="166"/>
      <c r="W137" s="43"/>
      <c r="X137" s="43"/>
      <c r="Y137" s="43"/>
      <c r="Z137" s="43"/>
      <c r="AA137" s="43"/>
      <c r="AB137" s="43"/>
    </row>
    <row r="138" spans="1:28" ht="14.25" hidden="1" customHeight="1">
      <c r="A138" s="163" t="s">
        <v>279</v>
      </c>
      <c r="B138" s="164">
        <v>45602</v>
      </c>
      <c r="C138" s="163"/>
      <c r="D138" s="163" t="s">
        <v>281</v>
      </c>
      <c r="E138" s="163" t="s">
        <v>330</v>
      </c>
      <c r="F138" s="168">
        <v>-0.5</v>
      </c>
      <c r="G138" s="165">
        <f t="shared" si="2"/>
        <v>10937.470000000012</v>
      </c>
      <c r="H138" s="163"/>
      <c r="I138" s="163" t="s">
        <v>331</v>
      </c>
      <c r="J138" s="163" t="s">
        <v>586</v>
      </c>
      <c r="K138" s="163"/>
      <c r="L138" s="163"/>
      <c r="M138" s="163"/>
      <c r="N138" s="163" t="s">
        <v>333</v>
      </c>
      <c r="O138" s="163"/>
      <c r="P138" s="163"/>
      <c r="Q138" s="163"/>
      <c r="R138" s="163"/>
      <c r="S138" s="163"/>
      <c r="T138" s="43">
        <f t="shared" si="0"/>
        <v>11</v>
      </c>
      <c r="U138" s="166">
        <f t="shared" si="1"/>
        <v>45602</v>
      </c>
      <c r="V138" s="166"/>
      <c r="W138" s="43"/>
      <c r="X138" s="43"/>
      <c r="Y138" s="43"/>
      <c r="Z138" s="43"/>
      <c r="AA138" s="43"/>
      <c r="AB138" s="43"/>
    </row>
    <row r="139" spans="1:28" ht="14.25" hidden="1" customHeight="1">
      <c r="A139" s="163" t="s">
        <v>279</v>
      </c>
      <c r="B139" s="164">
        <v>45602</v>
      </c>
      <c r="C139" s="163"/>
      <c r="D139" s="163" t="s">
        <v>281</v>
      </c>
      <c r="E139" s="163" t="s">
        <v>330</v>
      </c>
      <c r="F139" s="168">
        <v>-0.5</v>
      </c>
      <c r="G139" s="165">
        <f t="shared" si="2"/>
        <v>10936.970000000012</v>
      </c>
      <c r="H139" s="163"/>
      <c r="I139" s="163" t="s">
        <v>331</v>
      </c>
      <c r="J139" s="163" t="s">
        <v>587</v>
      </c>
      <c r="K139" s="163"/>
      <c r="L139" s="163"/>
      <c r="M139" s="163"/>
      <c r="N139" s="163" t="s">
        <v>333</v>
      </c>
      <c r="O139" s="163"/>
      <c r="P139" s="163"/>
      <c r="Q139" s="163"/>
      <c r="R139" s="163"/>
      <c r="S139" s="163"/>
      <c r="T139" s="43">
        <f t="shared" si="0"/>
        <v>11</v>
      </c>
      <c r="U139" s="166">
        <f t="shared" si="1"/>
        <v>45602</v>
      </c>
      <c r="V139" s="166"/>
      <c r="W139" s="43"/>
      <c r="X139" s="43"/>
      <c r="Y139" s="43"/>
      <c r="Z139" s="43"/>
      <c r="AA139" s="43"/>
      <c r="AB139" s="43"/>
    </row>
    <row r="140" spans="1:28" ht="14.25" hidden="1" customHeight="1">
      <c r="A140" s="163" t="s">
        <v>279</v>
      </c>
      <c r="B140" s="164">
        <v>45602</v>
      </c>
      <c r="C140" s="163"/>
      <c r="D140" s="163" t="s">
        <v>281</v>
      </c>
      <c r="E140" s="163" t="s">
        <v>330</v>
      </c>
      <c r="F140" s="168">
        <v>-0.5</v>
      </c>
      <c r="G140" s="165">
        <f t="shared" si="2"/>
        <v>10936.470000000012</v>
      </c>
      <c r="H140" s="163"/>
      <c r="I140" s="163" t="s">
        <v>331</v>
      </c>
      <c r="J140" s="163" t="s">
        <v>588</v>
      </c>
      <c r="K140" s="163"/>
      <c r="L140" s="163"/>
      <c r="M140" s="163"/>
      <c r="N140" s="163" t="s">
        <v>333</v>
      </c>
      <c r="O140" s="163"/>
      <c r="P140" s="163"/>
      <c r="Q140" s="163"/>
      <c r="R140" s="163"/>
      <c r="S140" s="163"/>
      <c r="T140" s="43">
        <f t="shared" si="0"/>
        <v>11</v>
      </c>
      <c r="U140" s="166">
        <f t="shared" si="1"/>
        <v>45602</v>
      </c>
      <c r="V140" s="166"/>
      <c r="W140" s="43"/>
      <c r="X140" s="43"/>
      <c r="Y140" s="43"/>
      <c r="Z140" s="43"/>
      <c r="AA140" s="43"/>
      <c r="AB140" s="43"/>
    </row>
    <row r="141" spans="1:28" ht="14.25" hidden="1" customHeight="1">
      <c r="A141" s="163" t="s">
        <v>279</v>
      </c>
      <c r="B141" s="164">
        <v>45602</v>
      </c>
      <c r="C141" s="163"/>
      <c r="D141" s="163" t="s">
        <v>281</v>
      </c>
      <c r="E141" s="163" t="s">
        <v>330</v>
      </c>
      <c r="F141" s="168">
        <v>-0.5</v>
      </c>
      <c r="G141" s="165">
        <f t="shared" si="2"/>
        <v>10935.970000000012</v>
      </c>
      <c r="H141" s="163"/>
      <c r="I141" s="163" t="s">
        <v>331</v>
      </c>
      <c r="J141" s="163" t="s">
        <v>589</v>
      </c>
      <c r="K141" s="163"/>
      <c r="L141" s="163"/>
      <c r="M141" s="163"/>
      <c r="N141" s="163" t="s">
        <v>333</v>
      </c>
      <c r="O141" s="163"/>
      <c r="P141" s="163"/>
      <c r="Q141" s="163"/>
      <c r="R141" s="163"/>
      <c r="S141" s="163"/>
      <c r="T141" s="43">
        <f t="shared" si="0"/>
        <v>11</v>
      </c>
      <c r="U141" s="166">
        <f t="shared" si="1"/>
        <v>45602</v>
      </c>
      <c r="V141" s="166"/>
      <c r="W141" s="43"/>
      <c r="X141" s="43"/>
      <c r="Y141" s="43"/>
      <c r="Z141" s="43"/>
      <c r="AA141" s="43"/>
      <c r="AB141" s="43"/>
    </row>
    <row r="142" spans="1:28" ht="14.25" hidden="1" customHeight="1">
      <c r="A142" s="163" t="s">
        <v>279</v>
      </c>
      <c r="B142" s="164">
        <v>45602</v>
      </c>
      <c r="C142" s="163"/>
      <c r="D142" s="163" t="s">
        <v>281</v>
      </c>
      <c r="E142" s="163" t="s">
        <v>330</v>
      </c>
      <c r="F142" s="168">
        <v>-0.5</v>
      </c>
      <c r="G142" s="165">
        <f t="shared" si="2"/>
        <v>10935.470000000012</v>
      </c>
      <c r="H142" s="163"/>
      <c r="I142" s="163" t="s">
        <v>331</v>
      </c>
      <c r="J142" s="163" t="s">
        <v>590</v>
      </c>
      <c r="K142" s="163"/>
      <c r="L142" s="163"/>
      <c r="M142" s="163"/>
      <c r="N142" s="163" t="s">
        <v>333</v>
      </c>
      <c r="O142" s="163"/>
      <c r="P142" s="163"/>
      <c r="Q142" s="163"/>
      <c r="R142" s="163"/>
      <c r="S142" s="163"/>
      <c r="T142" s="43">
        <f t="shared" si="0"/>
        <v>11</v>
      </c>
      <c r="U142" s="166">
        <f t="shared" si="1"/>
        <v>45602</v>
      </c>
      <c r="V142" s="166"/>
      <c r="W142" s="43"/>
      <c r="X142" s="43"/>
      <c r="Y142" s="43"/>
      <c r="Z142" s="43"/>
      <c r="AA142" s="43"/>
      <c r="AB142" s="43"/>
    </row>
    <row r="143" spans="1:28" ht="14.25" hidden="1" customHeight="1">
      <c r="A143" s="163" t="s">
        <v>279</v>
      </c>
      <c r="B143" s="164">
        <v>45602</v>
      </c>
      <c r="C143" s="163"/>
      <c r="D143" s="163" t="s">
        <v>281</v>
      </c>
      <c r="E143" s="163" t="s">
        <v>330</v>
      </c>
      <c r="F143" s="168">
        <v>-0.5</v>
      </c>
      <c r="G143" s="165">
        <f t="shared" si="2"/>
        <v>10934.970000000012</v>
      </c>
      <c r="H143" s="163"/>
      <c r="I143" s="163" t="s">
        <v>331</v>
      </c>
      <c r="J143" s="163" t="s">
        <v>591</v>
      </c>
      <c r="K143" s="163"/>
      <c r="L143" s="163"/>
      <c r="M143" s="163"/>
      <c r="N143" s="163" t="s">
        <v>333</v>
      </c>
      <c r="O143" s="163"/>
      <c r="P143" s="163"/>
      <c r="Q143" s="163"/>
      <c r="R143" s="163"/>
      <c r="S143" s="163"/>
      <c r="T143" s="43">
        <f t="shared" si="0"/>
        <v>11</v>
      </c>
      <c r="U143" s="166">
        <f t="shared" si="1"/>
        <v>45602</v>
      </c>
      <c r="V143" s="166"/>
      <c r="W143" s="43"/>
      <c r="X143" s="43"/>
      <c r="Y143" s="43"/>
      <c r="Z143" s="43"/>
      <c r="AA143" s="43"/>
      <c r="AB143" s="43"/>
    </row>
    <row r="144" spans="1:28" ht="14.25" hidden="1" customHeight="1">
      <c r="A144" s="163" t="s">
        <v>279</v>
      </c>
      <c r="B144" s="164">
        <v>45602</v>
      </c>
      <c r="C144" s="163"/>
      <c r="D144" s="163" t="s">
        <v>281</v>
      </c>
      <c r="E144" s="163" t="s">
        <v>330</v>
      </c>
      <c r="F144" s="168">
        <v>-0.5</v>
      </c>
      <c r="G144" s="165">
        <f t="shared" si="2"/>
        <v>10934.470000000012</v>
      </c>
      <c r="H144" s="163"/>
      <c r="I144" s="163" t="s">
        <v>331</v>
      </c>
      <c r="J144" s="163" t="s">
        <v>592</v>
      </c>
      <c r="K144" s="163"/>
      <c r="L144" s="163"/>
      <c r="M144" s="163"/>
      <c r="N144" s="163" t="s">
        <v>333</v>
      </c>
      <c r="O144" s="163"/>
      <c r="P144" s="163"/>
      <c r="Q144" s="163"/>
      <c r="R144" s="163"/>
      <c r="S144" s="163"/>
      <c r="T144" s="43">
        <f t="shared" si="0"/>
        <v>11</v>
      </c>
      <c r="U144" s="166">
        <f t="shared" si="1"/>
        <v>45602</v>
      </c>
      <c r="V144" s="166"/>
      <c r="W144" s="43"/>
      <c r="X144" s="43"/>
      <c r="Y144" s="43"/>
      <c r="Z144" s="43"/>
      <c r="AA144" s="43"/>
      <c r="AB144" s="43"/>
    </row>
    <row r="145" spans="1:28" ht="14.25" hidden="1" customHeight="1">
      <c r="A145" s="163" t="s">
        <v>279</v>
      </c>
      <c r="B145" s="164">
        <v>45602</v>
      </c>
      <c r="C145" s="163"/>
      <c r="D145" s="163" t="s">
        <v>281</v>
      </c>
      <c r="E145" s="163" t="s">
        <v>330</v>
      </c>
      <c r="F145" s="168">
        <v>-0.5</v>
      </c>
      <c r="G145" s="165">
        <f t="shared" si="2"/>
        <v>10933.970000000012</v>
      </c>
      <c r="H145" s="163"/>
      <c r="I145" s="163" t="s">
        <v>331</v>
      </c>
      <c r="J145" s="163" t="s">
        <v>593</v>
      </c>
      <c r="K145" s="163"/>
      <c r="L145" s="163"/>
      <c r="M145" s="163"/>
      <c r="N145" s="163" t="s">
        <v>333</v>
      </c>
      <c r="O145" s="163"/>
      <c r="P145" s="163"/>
      <c r="Q145" s="163"/>
      <c r="R145" s="163"/>
      <c r="S145" s="163"/>
      <c r="T145" s="43">
        <f t="shared" si="0"/>
        <v>11</v>
      </c>
      <c r="U145" s="166">
        <f t="shared" si="1"/>
        <v>45602</v>
      </c>
      <c r="V145" s="166"/>
      <c r="W145" s="43"/>
      <c r="X145" s="43"/>
      <c r="Y145" s="43"/>
      <c r="Z145" s="43"/>
      <c r="AA145" s="43"/>
      <c r="AB145" s="43"/>
    </row>
    <row r="146" spans="1:28" ht="14.25" hidden="1" customHeight="1">
      <c r="A146" s="163" t="s">
        <v>279</v>
      </c>
      <c r="B146" s="164">
        <v>45602</v>
      </c>
      <c r="C146" s="163"/>
      <c r="D146" s="163" t="s">
        <v>281</v>
      </c>
      <c r="E146" s="163" t="s">
        <v>330</v>
      </c>
      <c r="F146" s="168">
        <v>-0.5</v>
      </c>
      <c r="G146" s="165">
        <f t="shared" si="2"/>
        <v>10933.470000000012</v>
      </c>
      <c r="H146" s="163"/>
      <c r="I146" s="163" t="s">
        <v>331</v>
      </c>
      <c r="J146" s="163" t="s">
        <v>594</v>
      </c>
      <c r="K146" s="163"/>
      <c r="L146" s="163"/>
      <c r="M146" s="163"/>
      <c r="N146" s="163" t="s">
        <v>333</v>
      </c>
      <c r="O146" s="163"/>
      <c r="P146" s="163"/>
      <c r="Q146" s="163"/>
      <c r="R146" s="163"/>
      <c r="S146" s="163"/>
      <c r="T146" s="43">
        <f t="shared" si="0"/>
        <v>11</v>
      </c>
      <c r="U146" s="166">
        <f t="shared" si="1"/>
        <v>45602</v>
      </c>
      <c r="V146" s="166"/>
      <c r="W146" s="43"/>
      <c r="X146" s="43"/>
      <c r="Y146" s="43"/>
      <c r="Z146" s="43"/>
      <c r="AA146" s="43"/>
      <c r="AB146" s="43"/>
    </row>
    <row r="147" spans="1:28" ht="14.25" hidden="1" customHeight="1">
      <c r="A147" s="163" t="s">
        <v>279</v>
      </c>
      <c r="B147" s="164">
        <v>45602</v>
      </c>
      <c r="C147" s="163"/>
      <c r="D147" s="163" t="s">
        <v>281</v>
      </c>
      <c r="E147" s="163" t="s">
        <v>330</v>
      </c>
      <c r="F147" s="168">
        <v>-0.5</v>
      </c>
      <c r="G147" s="165">
        <f t="shared" si="2"/>
        <v>10932.970000000012</v>
      </c>
      <c r="H147" s="163"/>
      <c r="I147" s="163" t="s">
        <v>331</v>
      </c>
      <c r="J147" s="163" t="s">
        <v>595</v>
      </c>
      <c r="K147" s="163"/>
      <c r="L147" s="163"/>
      <c r="M147" s="163"/>
      <c r="N147" s="163" t="s">
        <v>333</v>
      </c>
      <c r="O147" s="163"/>
      <c r="P147" s="163"/>
      <c r="Q147" s="163"/>
      <c r="R147" s="163"/>
      <c r="S147" s="163"/>
      <c r="T147" s="43">
        <f t="shared" si="0"/>
        <v>11</v>
      </c>
      <c r="U147" s="166">
        <f t="shared" si="1"/>
        <v>45602</v>
      </c>
      <c r="V147" s="166"/>
      <c r="W147" s="43"/>
      <c r="X147" s="43"/>
      <c r="Y147" s="43"/>
      <c r="Z147" s="43"/>
      <c r="AA147" s="43"/>
      <c r="AB147" s="43"/>
    </row>
    <row r="148" spans="1:28" ht="14.25" hidden="1" customHeight="1">
      <c r="A148" s="163" t="s">
        <v>279</v>
      </c>
      <c r="B148" s="164">
        <v>45602</v>
      </c>
      <c r="C148" s="163"/>
      <c r="D148" s="163" t="s">
        <v>281</v>
      </c>
      <c r="E148" s="163" t="s">
        <v>330</v>
      </c>
      <c r="F148" s="168">
        <v>-0.5</v>
      </c>
      <c r="G148" s="165">
        <f t="shared" si="2"/>
        <v>10932.470000000012</v>
      </c>
      <c r="H148" s="163"/>
      <c r="I148" s="163" t="s">
        <v>331</v>
      </c>
      <c r="J148" s="163" t="s">
        <v>596</v>
      </c>
      <c r="K148" s="163"/>
      <c r="L148" s="163"/>
      <c r="M148" s="163"/>
      <c r="N148" s="163" t="s">
        <v>333</v>
      </c>
      <c r="O148" s="163"/>
      <c r="P148" s="163"/>
      <c r="Q148" s="163"/>
      <c r="R148" s="163"/>
      <c r="S148" s="163"/>
      <c r="T148" s="43">
        <f t="shared" si="0"/>
        <v>11</v>
      </c>
      <c r="U148" s="166">
        <f t="shared" si="1"/>
        <v>45602</v>
      </c>
      <c r="V148" s="166"/>
      <c r="W148" s="43"/>
      <c r="X148" s="43"/>
      <c r="Y148" s="43"/>
      <c r="Z148" s="43"/>
      <c r="AA148" s="43"/>
      <c r="AB148" s="43"/>
    </row>
    <row r="149" spans="1:28" ht="14.25" hidden="1" customHeight="1">
      <c r="A149" s="163" t="s">
        <v>279</v>
      </c>
      <c r="B149" s="164">
        <v>45602</v>
      </c>
      <c r="C149" s="163"/>
      <c r="D149" s="163" t="s">
        <v>281</v>
      </c>
      <c r="E149" s="163" t="s">
        <v>330</v>
      </c>
      <c r="F149" s="168">
        <v>-0.5</v>
      </c>
      <c r="G149" s="165">
        <f t="shared" si="2"/>
        <v>10931.970000000012</v>
      </c>
      <c r="H149" s="163"/>
      <c r="I149" s="163" t="s">
        <v>331</v>
      </c>
      <c r="J149" s="163" t="s">
        <v>597</v>
      </c>
      <c r="K149" s="163"/>
      <c r="L149" s="163"/>
      <c r="M149" s="163"/>
      <c r="N149" s="163" t="s">
        <v>333</v>
      </c>
      <c r="O149" s="163"/>
      <c r="P149" s="163"/>
      <c r="Q149" s="163"/>
      <c r="R149" s="163"/>
      <c r="S149" s="163"/>
      <c r="T149" s="43">
        <f t="shared" si="0"/>
        <v>11</v>
      </c>
      <c r="U149" s="166">
        <f t="shared" si="1"/>
        <v>45602</v>
      </c>
      <c r="V149" s="166"/>
      <c r="W149" s="43"/>
      <c r="X149" s="43"/>
      <c r="Y149" s="43"/>
      <c r="Z149" s="43"/>
      <c r="AA149" s="43"/>
      <c r="AB149" s="43"/>
    </row>
    <row r="150" spans="1:28" ht="14.25" hidden="1" customHeight="1">
      <c r="A150" s="163" t="s">
        <v>279</v>
      </c>
      <c r="B150" s="164">
        <v>45602</v>
      </c>
      <c r="C150" s="163" t="s">
        <v>380</v>
      </c>
      <c r="D150" s="163" t="s">
        <v>281</v>
      </c>
      <c r="E150" s="163" t="s">
        <v>381</v>
      </c>
      <c r="F150" s="168">
        <v>-1500</v>
      </c>
      <c r="G150" s="165">
        <f t="shared" si="2"/>
        <v>9431.9700000000121</v>
      </c>
      <c r="H150" s="163"/>
      <c r="I150" s="163" t="s">
        <v>283</v>
      </c>
      <c r="J150" s="163" t="s">
        <v>598</v>
      </c>
      <c r="K150" s="163"/>
      <c r="L150" s="163"/>
      <c r="M150" s="163"/>
      <c r="N150" s="163" t="s">
        <v>383</v>
      </c>
      <c r="O150" s="163"/>
      <c r="P150" s="163"/>
      <c r="Q150" s="163"/>
      <c r="R150" s="163" t="s">
        <v>353</v>
      </c>
      <c r="S150" s="163" t="s">
        <v>354</v>
      </c>
      <c r="T150" s="43">
        <f t="shared" si="0"/>
        <v>11</v>
      </c>
      <c r="U150" s="166">
        <f t="shared" si="1"/>
        <v>45602</v>
      </c>
      <c r="V150" s="166"/>
      <c r="W150" s="43"/>
      <c r="X150" s="43"/>
      <c r="Y150" s="43"/>
      <c r="Z150" s="43"/>
      <c r="AA150" s="43"/>
      <c r="AB150" s="43"/>
    </row>
    <row r="151" spans="1:28" ht="14.25" hidden="1" customHeight="1">
      <c r="A151" s="163" t="s">
        <v>279</v>
      </c>
      <c r="B151" s="164">
        <v>45602</v>
      </c>
      <c r="C151" s="163"/>
      <c r="D151" s="163" t="s">
        <v>281</v>
      </c>
      <c r="E151" s="163" t="s">
        <v>330</v>
      </c>
      <c r="F151" s="168">
        <v>-0.5</v>
      </c>
      <c r="G151" s="165">
        <f t="shared" si="2"/>
        <v>9431.4700000000121</v>
      </c>
      <c r="H151" s="163"/>
      <c r="I151" s="163" t="s">
        <v>331</v>
      </c>
      <c r="J151" s="163" t="s">
        <v>599</v>
      </c>
      <c r="K151" s="163"/>
      <c r="L151" s="163"/>
      <c r="M151" s="163"/>
      <c r="N151" s="163" t="s">
        <v>333</v>
      </c>
      <c r="O151" s="163"/>
      <c r="P151" s="163"/>
      <c r="Q151" s="163"/>
      <c r="R151" s="163"/>
      <c r="S151" s="163"/>
      <c r="T151" s="43">
        <f t="shared" si="0"/>
        <v>11</v>
      </c>
      <c r="U151" s="166">
        <f t="shared" si="1"/>
        <v>45602</v>
      </c>
      <c r="V151" s="166"/>
      <c r="W151" s="43"/>
      <c r="X151" s="43"/>
      <c r="Y151" s="43"/>
      <c r="Z151" s="43"/>
      <c r="AA151" s="43"/>
      <c r="AB151" s="43"/>
    </row>
    <row r="152" spans="1:28" ht="14.25" hidden="1" customHeight="1">
      <c r="A152" s="163"/>
      <c r="B152" s="164">
        <v>45602</v>
      </c>
      <c r="C152" s="163" t="s">
        <v>346</v>
      </c>
      <c r="D152" s="163"/>
      <c r="E152" s="163"/>
      <c r="F152" s="165">
        <v>0</v>
      </c>
      <c r="G152" s="165">
        <f t="shared" si="2"/>
        <v>9431.4700000000121</v>
      </c>
      <c r="H152" s="163"/>
      <c r="I152" s="163"/>
      <c r="J152" s="163"/>
      <c r="K152" s="163"/>
      <c r="L152" s="163"/>
      <c r="M152" s="163"/>
      <c r="N152" s="163"/>
      <c r="O152" s="163"/>
      <c r="P152" s="163"/>
      <c r="Q152" s="163"/>
      <c r="R152" s="163"/>
      <c r="S152" s="163"/>
      <c r="T152" s="43">
        <f t="shared" si="0"/>
        <v>11</v>
      </c>
      <c r="U152" s="166">
        <f t="shared" si="1"/>
        <v>45602</v>
      </c>
      <c r="V152" s="43"/>
      <c r="W152" s="43"/>
      <c r="X152" s="43"/>
      <c r="Y152" s="43"/>
      <c r="Z152" s="43"/>
      <c r="AA152" s="43"/>
      <c r="AB152" s="43"/>
    </row>
    <row r="153" spans="1:28" ht="14.25" hidden="1" customHeight="1">
      <c r="A153" s="163" t="s">
        <v>279</v>
      </c>
      <c r="B153" s="164">
        <v>45603</v>
      </c>
      <c r="C153" s="163" t="s">
        <v>600</v>
      </c>
      <c r="D153" s="163" t="s">
        <v>281</v>
      </c>
      <c r="E153" s="163" t="s">
        <v>407</v>
      </c>
      <c r="F153" s="165">
        <v>4500</v>
      </c>
      <c r="G153" s="165">
        <f t="shared" si="2"/>
        <v>13931.470000000012</v>
      </c>
      <c r="H153" s="163"/>
      <c r="I153" s="163" t="s">
        <v>283</v>
      </c>
      <c r="J153" s="163" t="s">
        <v>601</v>
      </c>
      <c r="K153" s="163" t="s">
        <v>602</v>
      </c>
      <c r="L153" s="163" t="s">
        <v>305</v>
      </c>
      <c r="M153" s="163" t="s">
        <v>603</v>
      </c>
      <c r="N153" s="163" t="s">
        <v>411</v>
      </c>
      <c r="O153" s="163" t="s">
        <v>604</v>
      </c>
      <c r="P153" s="163" t="s">
        <v>605</v>
      </c>
      <c r="Q153" s="163"/>
      <c r="R153" s="163" t="s">
        <v>606</v>
      </c>
      <c r="S153" s="163" t="s">
        <v>607</v>
      </c>
      <c r="T153" s="43">
        <f t="shared" si="0"/>
        <v>11</v>
      </c>
      <c r="U153" s="166">
        <f t="shared" si="1"/>
        <v>45603</v>
      </c>
      <c r="V153" s="166"/>
      <c r="W153" s="43"/>
      <c r="X153" s="43"/>
      <c r="Y153" s="43"/>
      <c r="Z153" s="43"/>
      <c r="AA153" s="43"/>
      <c r="AB153" s="43"/>
    </row>
    <row r="154" spans="1:28" ht="14.25" hidden="1" customHeight="1">
      <c r="A154" s="163" t="s">
        <v>279</v>
      </c>
      <c r="B154" s="164">
        <v>45603</v>
      </c>
      <c r="C154" s="163" t="s">
        <v>280</v>
      </c>
      <c r="D154" s="163" t="s">
        <v>281</v>
      </c>
      <c r="E154" s="163" t="s">
        <v>282</v>
      </c>
      <c r="F154" s="165">
        <v>50000</v>
      </c>
      <c r="G154" s="165">
        <f t="shared" si="2"/>
        <v>63931.470000000016</v>
      </c>
      <c r="H154" s="163"/>
      <c r="I154" s="163" t="s">
        <v>283</v>
      </c>
      <c r="J154" s="163" t="s">
        <v>608</v>
      </c>
      <c r="K154" s="163"/>
      <c r="L154" s="163"/>
      <c r="M154" s="163"/>
      <c r="N154" s="163" t="s">
        <v>285</v>
      </c>
      <c r="O154" s="163"/>
      <c r="P154" s="163"/>
      <c r="Q154" s="163"/>
      <c r="R154" s="163" t="s">
        <v>286</v>
      </c>
      <c r="S154" s="163" t="s">
        <v>287</v>
      </c>
      <c r="T154" s="43">
        <f t="shared" si="0"/>
        <v>11</v>
      </c>
      <c r="U154" s="166">
        <f t="shared" si="1"/>
        <v>45603</v>
      </c>
      <c r="V154" s="166"/>
      <c r="W154" s="43"/>
      <c r="X154" s="43"/>
      <c r="Y154" s="43"/>
      <c r="Z154" s="43"/>
      <c r="AA154" s="43"/>
      <c r="AB154" s="43"/>
    </row>
    <row r="155" spans="1:28" ht="14.25" hidden="1" customHeight="1">
      <c r="A155" s="163" t="s">
        <v>609</v>
      </c>
      <c r="B155" s="164">
        <v>45603</v>
      </c>
      <c r="C155" s="163" t="s">
        <v>610</v>
      </c>
      <c r="D155" s="163" t="s">
        <v>611</v>
      </c>
      <c r="E155" s="163" t="s">
        <v>612</v>
      </c>
      <c r="F155" s="165">
        <v>10500</v>
      </c>
      <c r="G155" s="165">
        <f t="shared" si="2"/>
        <v>74431.470000000016</v>
      </c>
      <c r="H155" s="163"/>
      <c r="I155" s="163" t="s">
        <v>283</v>
      </c>
      <c r="J155" s="163" t="s">
        <v>613</v>
      </c>
      <c r="K155" s="163"/>
      <c r="L155" s="163"/>
      <c r="M155" s="163"/>
      <c r="N155" s="163" t="s">
        <v>614</v>
      </c>
      <c r="O155" s="163"/>
      <c r="P155" s="163"/>
      <c r="Q155" s="163"/>
      <c r="R155" s="163"/>
      <c r="S155" s="163"/>
      <c r="T155" s="43">
        <f t="shared" si="0"/>
        <v>11</v>
      </c>
      <c r="U155" s="166">
        <f t="shared" si="1"/>
        <v>45603</v>
      </c>
      <c r="V155" s="166"/>
      <c r="W155" s="43"/>
      <c r="X155" s="43"/>
      <c r="Y155" s="43"/>
      <c r="Z155" s="43"/>
      <c r="AA155" s="43"/>
      <c r="AB155" s="43"/>
    </row>
    <row r="156" spans="1:28" ht="14.25" hidden="1" customHeight="1">
      <c r="A156" s="163" t="s">
        <v>609</v>
      </c>
      <c r="B156" s="164">
        <v>45603</v>
      </c>
      <c r="C156" s="163" t="s">
        <v>615</v>
      </c>
      <c r="D156" s="163" t="s">
        <v>616</v>
      </c>
      <c r="E156" s="163" t="s">
        <v>407</v>
      </c>
      <c r="F156" s="165">
        <v>10500</v>
      </c>
      <c r="G156" s="165">
        <f t="shared" si="2"/>
        <v>84931.470000000016</v>
      </c>
      <c r="H156" s="163"/>
      <c r="I156" s="163" t="s">
        <v>283</v>
      </c>
      <c r="J156" s="163" t="s">
        <v>617</v>
      </c>
      <c r="K156" s="163" t="s">
        <v>618</v>
      </c>
      <c r="L156" s="163" t="s">
        <v>305</v>
      </c>
      <c r="M156" s="163"/>
      <c r="N156" s="163" t="s">
        <v>411</v>
      </c>
      <c r="O156" s="163" t="s">
        <v>619</v>
      </c>
      <c r="P156" s="163" t="s">
        <v>418</v>
      </c>
      <c r="Q156" s="163"/>
      <c r="R156" s="163" t="s">
        <v>620</v>
      </c>
      <c r="S156" s="163" t="s">
        <v>621</v>
      </c>
      <c r="T156" s="43">
        <f t="shared" si="0"/>
        <v>11</v>
      </c>
      <c r="U156" s="166">
        <f t="shared" si="1"/>
        <v>45603</v>
      </c>
      <c r="V156" s="166"/>
      <c r="W156" s="43"/>
      <c r="X156" s="43"/>
      <c r="Y156" s="43"/>
      <c r="Z156" s="43"/>
      <c r="AA156" s="43"/>
      <c r="AB156" s="43"/>
    </row>
    <row r="157" spans="1:28" ht="14.25" hidden="1" customHeight="1">
      <c r="A157" s="163" t="s">
        <v>279</v>
      </c>
      <c r="B157" s="164">
        <v>45603</v>
      </c>
      <c r="C157" s="163" t="s">
        <v>385</v>
      </c>
      <c r="D157" s="163" t="s">
        <v>281</v>
      </c>
      <c r="E157" s="163" t="s">
        <v>622</v>
      </c>
      <c r="F157" s="168">
        <v>-401.64</v>
      </c>
      <c r="G157" s="165">
        <f t="shared" si="2"/>
        <v>84529.830000000016</v>
      </c>
      <c r="H157" s="163"/>
      <c r="I157" s="163" t="s">
        <v>342</v>
      </c>
      <c r="J157" s="163"/>
      <c r="K157" s="163"/>
      <c r="L157" s="163" t="s">
        <v>366</v>
      </c>
      <c r="M157" s="163" t="s">
        <v>623</v>
      </c>
      <c r="N157" s="163" t="s">
        <v>297</v>
      </c>
      <c r="O157" s="163"/>
      <c r="P157" s="163"/>
      <c r="Q157" s="163"/>
      <c r="R157" s="163" t="s">
        <v>389</v>
      </c>
      <c r="S157" s="163" t="s">
        <v>390</v>
      </c>
      <c r="T157" s="43">
        <f t="shared" si="0"/>
        <v>11</v>
      </c>
      <c r="U157" s="166">
        <f t="shared" si="1"/>
        <v>45603</v>
      </c>
      <c r="V157" s="166"/>
      <c r="W157" s="43"/>
      <c r="X157" s="43"/>
      <c r="Y157" s="43"/>
      <c r="Z157" s="43"/>
      <c r="AA157" s="43"/>
      <c r="AB157" s="43"/>
    </row>
    <row r="158" spans="1:28" ht="14.25" hidden="1" customHeight="1">
      <c r="A158" s="163" t="s">
        <v>279</v>
      </c>
      <c r="B158" s="164">
        <v>45603</v>
      </c>
      <c r="C158" s="163" t="s">
        <v>385</v>
      </c>
      <c r="D158" s="163" t="s">
        <v>281</v>
      </c>
      <c r="E158" s="163" t="s">
        <v>622</v>
      </c>
      <c r="F158" s="168">
        <v>-110.01</v>
      </c>
      <c r="G158" s="165">
        <f t="shared" si="2"/>
        <v>84419.820000000022</v>
      </c>
      <c r="H158" s="163"/>
      <c r="I158" s="163" t="s">
        <v>342</v>
      </c>
      <c r="J158" s="163"/>
      <c r="K158" s="163"/>
      <c r="L158" s="163" t="s">
        <v>508</v>
      </c>
      <c r="M158" s="163" t="s">
        <v>624</v>
      </c>
      <c r="N158" s="163" t="s">
        <v>297</v>
      </c>
      <c r="O158" s="163"/>
      <c r="P158" s="163"/>
      <c r="Q158" s="163"/>
      <c r="R158" s="163" t="s">
        <v>389</v>
      </c>
      <c r="S158" s="163" t="s">
        <v>390</v>
      </c>
      <c r="T158" s="43">
        <f t="shared" si="0"/>
        <v>11</v>
      </c>
      <c r="U158" s="166">
        <f t="shared" si="1"/>
        <v>45603</v>
      </c>
      <c r="V158" s="166"/>
      <c r="W158" s="43"/>
      <c r="X158" s="43"/>
      <c r="Y158" s="43"/>
      <c r="Z158" s="43"/>
      <c r="AA158" s="43"/>
      <c r="AB158" s="43"/>
    </row>
    <row r="159" spans="1:28" ht="14.25" hidden="1" customHeight="1">
      <c r="A159" s="163" t="s">
        <v>609</v>
      </c>
      <c r="B159" s="164">
        <v>45603</v>
      </c>
      <c r="C159" s="163" t="s">
        <v>610</v>
      </c>
      <c r="D159" s="163" t="s">
        <v>616</v>
      </c>
      <c r="E159" s="163" t="s">
        <v>381</v>
      </c>
      <c r="F159" s="168">
        <v>-10500</v>
      </c>
      <c r="G159" s="165">
        <f t="shared" si="2"/>
        <v>73919.820000000022</v>
      </c>
      <c r="H159" s="163"/>
      <c r="I159" s="163" t="s">
        <v>283</v>
      </c>
      <c r="J159" s="163" t="s">
        <v>613</v>
      </c>
      <c r="K159" s="163"/>
      <c r="L159" s="163"/>
      <c r="M159" s="163"/>
      <c r="N159" s="163" t="s">
        <v>383</v>
      </c>
      <c r="O159" s="163"/>
      <c r="P159" s="163"/>
      <c r="Q159" s="163"/>
      <c r="R159" s="163"/>
      <c r="S159" s="163"/>
      <c r="T159" s="43">
        <f t="shared" si="0"/>
        <v>11</v>
      </c>
      <c r="U159" s="166">
        <f t="shared" si="1"/>
        <v>45603</v>
      </c>
      <c r="V159" s="166"/>
      <c r="W159" s="43"/>
      <c r="X159" s="43"/>
      <c r="Y159" s="43"/>
      <c r="Z159" s="43"/>
      <c r="AA159" s="43"/>
      <c r="AB159" s="43"/>
    </row>
    <row r="160" spans="1:28" ht="14.25" hidden="1" customHeight="1">
      <c r="A160" s="163"/>
      <c r="B160" s="164">
        <v>45603</v>
      </c>
      <c r="C160" s="163" t="s">
        <v>346</v>
      </c>
      <c r="D160" s="163"/>
      <c r="E160" s="163"/>
      <c r="F160" s="165">
        <v>0</v>
      </c>
      <c r="G160" s="165">
        <f t="shared" si="2"/>
        <v>73919.820000000022</v>
      </c>
      <c r="H160" s="163"/>
      <c r="I160" s="163"/>
      <c r="J160" s="163"/>
      <c r="K160" s="163"/>
      <c r="L160" s="163"/>
      <c r="M160" s="163"/>
      <c r="N160" s="163"/>
      <c r="O160" s="163"/>
      <c r="P160" s="163"/>
      <c r="Q160" s="163"/>
      <c r="R160" s="163"/>
      <c r="S160" s="163"/>
      <c r="T160" s="43">
        <f t="shared" si="0"/>
        <v>11</v>
      </c>
      <c r="U160" s="166">
        <f t="shared" si="1"/>
        <v>45603</v>
      </c>
      <c r="V160" s="166"/>
      <c r="W160" s="43"/>
      <c r="X160" s="43"/>
      <c r="Y160" s="43"/>
      <c r="Z160" s="43"/>
      <c r="AA160" s="43"/>
      <c r="AB160" s="43"/>
    </row>
    <row r="161" spans="1:28" ht="14.25" hidden="1" customHeight="1">
      <c r="A161" s="163" t="s">
        <v>279</v>
      </c>
      <c r="B161" s="164">
        <v>45604</v>
      </c>
      <c r="C161" s="163" t="s">
        <v>625</v>
      </c>
      <c r="D161" s="163" t="s">
        <v>281</v>
      </c>
      <c r="E161" s="163" t="s">
        <v>407</v>
      </c>
      <c r="F161" s="165">
        <v>5400</v>
      </c>
      <c r="G161" s="165">
        <f t="shared" si="2"/>
        <v>79319.820000000022</v>
      </c>
      <c r="H161" s="163"/>
      <c r="I161" s="163" t="s">
        <v>342</v>
      </c>
      <c r="J161" s="163" t="s">
        <v>626</v>
      </c>
      <c r="K161" s="163" t="s">
        <v>627</v>
      </c>
      <c r="L161" s="163" t="s">
        <v>305</v>
      </c>
      <c r="M161" s="163" t="s">
        <v>628</v>
      </c>
      <c r="N161" s="163" t="s">
        <v>411</v>
      </c>
      <c r="O161" s="163" t="s">
        <v>629</v>
      </c>
      <c r="P161" s="163" t="s">
        <v>57</v>
      </c>
      <c r="Q161" s="163"/>
      <c r="R161" s="163" t="s">
        <v>630</v>
      </c>
      <c r="S161" s="163" t="s">
        <v>631</v>
      </c>
      <c r="T161" s="43">
        <f t="shared" si="0"/>
        <v>11</v>
      </c>
      <c r="U161" s="166">
        <f t="shared" si="1"/>
        <v>45604</v>
      </c>
      <c r="V161" s="166"/>
      <c r="W161" s="43"/>
      <c r="X161" s="43"/>
      <c r="Y161" s="43"/>
      <c r="Z161" s="43"/>
      <c r="AA161" s="43"/>
      <c r="AB161" s="43"/>
    </row>
    <row r="162" spans="1:28" ht="14.25" hidden="1" customHeight="1">
      <c r="A162" s="163" t="s">
        <v>279</v>
      </c>
      <c r="B162" s="164">
        <v>45604</v>
      </c>
      <c r="C162" s="163" t="s">
        <v>280</v>
      </c>
      <c r="D162" s="163" t="s">
        <v>281</v>
      </c>
      <c r="E162" s="163" t="s">
        <v>282</v>
      </c>
      <c r="F162" s="165">
        <v>35000</v>
      </c>
      <c r="G162" s="165">
        <f t="shared" si="2"/>
        <v>114319.82000000002</v>
      </c>
      <c r="H162" s="163"/>
      <c r="I162" s="163" t="s">
        <v>283</v>
      </c>
      <c r="J162" s="163" t="s">
        <v>632</v>
      </c>
      <c r="K162" s="163"/>
      <c r="L162" s="163"/>
      <c r="M162" s="163"/>
      <c r="N162" s="163" t="s">
        <v>285</v>
      </c>
      <c r="O162" s="163"/>
      <c r="P162" s="163"/>
      <c r="Q162" s="163"/>
      <c r="R162" s="163" t="s">
        <v>286</v>
      </c>
      <c r="S162" s="163" t="s">
        <v>287</v>
      </c>
      <c r="T162" s="43">
        <f t="shared" si="0"/>
        <v>11</v>
      </c>
      <c r="U162" s="166">
        <f t="shared" si="1"/>
        <v>45604</v>
      </c>
      <c r="V162" s="166"/>
      <c r="W162" s="43"/>
      <c r="X162" s="43"/>
      <c r="Y162" s="43"/>
      <c r="Z162" s="43"/>
      <c r="AA162" s="43"/>
      <c r="AB162" s="43"/>
    </row>
    <row r="163" spans="1:28" ht="14.25" hidden="1" customHeight="1">
      <c r="A163" s="163" t="s">
        <v>279</v>
      </c>
      <c r="B163" s="164">
        <v>45604</v>
      </c>
      <c r="C163" s="163" t="s">
        <v>633</v>
      </c>
      <c r="D163" s="163" t="s">
        <v>281</v>
      </c>
      <c r="E163" s="163" t="s">
        <v>634</v>
      </c>
      <c r="F163" s="165">
        <v>500</v>
      </c>
      <c r="G163" s="165">
        <f t="shared" si="2"/>
        <v>114819.82000000002</v>
      </c>
      <c r="H163" s="163"/>
      <c r="I163" s="163" t="s">
        <v>283</v>
      </c>
      <c r="J163" s="163" t="s">
        <v>635</v>
      </c>
      <c r="K163" s="163"/>
      <c r="L163" s="163"/>
      <c r="M163" s="163"/>
      <c r="N163" s="163" t="s">
        <v>285</v>
      </c>
      <c r="O163" s="163"/>
      <c r="P163" s="163"/>
      <c r="Q163" s="163"/>
      <c r="R163" s="163" t="s">
        <v>633</v>
      </c>
      <c r="S163" s="163" t="s">
        <v>636</v>
      </c>
      <c r="T163" s="43">
        <f t="shared" si="0"/>
        <v>11</v>
      </c>
      <c r="U163" s="166">
        <f t="shared" si="1"/>
        <v>45604</v>
      </c>
      <c r="V163" s="166"/>
      <c r="W163" s="43"/>
      <c r="X163" s="43"/>
      <c r="Y163" s="43"/>
      <c r="Z163" s="43"/>
      <c r="AA163" s="43"/>
      <c r="AB163" s="43"/>
    </row>
    <row r="164" spans="1:28" ht="14.25" hidden="1" customHeight="1">
      <c r="A164" s="163" t="s">
        <v>279</v>
      </c>
      <c r="B164" s="164">
        <v>45604</v>
      </c>
      <c r="C164" s="163" t="s">
        <v>637</v>
      </c>
      <c r="D164" s="163" t="s">
        <v>281</v>
      </c>
      <c r="E164" s="163" t="s">
        <v>407</v>
      </c>
      <c r="F164" s="165">
        <v>4200</v>
      </c>
      <c r="G164" s="165">
        <f t="shared" si="2"/>
        <v>119019.82000000002</v>
      </c>
      <c r="H164" s="163"/>
      <c r="I164" s="163" t="s">
        <v>342</v>
      </c>
      <c r="J164" s="163" t="s">
        <v>638</v>
      </c>
      <c r="K164" s="163" t="s">
        <v>639</v>
      </c>
      <c r="L164" s="163" t="s">
        <v>305</v>
      </c>
      <c r="M164" s="163" t="s">
        <v>640</v>
      </c>
      <c r="N164" s="163" t="s">
        <v>411</v>
      </c>
      <c r="O164" s="163" t="s">
        <v>641</v>
      </c>
      <c r="P164" s="163" t="s">
        <v>57</v>
      </c>
      <c r="Q164" s="163"/>
      <c r="R164" s="163" t="s">
        <v>642</v>
      </c>
      <c r="S164" s="163" t="s">
        <v>643</v>
      </c>
      <c r="T164" s="43">
        <f t="shared" si="0"/>
        <v>11</v>
      </c>
      <c r="U164" s="166">
        <f t="shared" si="1"/>
        <v>45604</v>
      </c>
      <c r="V164" s="166"/>
      <c r="W164" s="43"/>
      <c r="X164" s="43"/>
      <c r="Y164" s="43"/>
      <c r="Z164" s="43"/>
      <c r="AA164" s="43"/>
      <c r="AB164" s="43"/>
    </row>
    <row r="165" spans="1:28" ht="14.25" hidden="1" customHeight="1">
      <c r="A165" s="163" t="s">
        <v>279</v>
      </c>
      <c r="B165" s="164">
        <v>45604</v>
      </c>
      <c r="C165" s="163" t="s">
        <v>644</v>
      </c>
      <c r="D165" s="163" t="s">
        <v>281</v>
      </c>
      <c r="E165" s="163" t="s">
        <v>407</v>
      </c>
      <c r="F165" s="165">
        <v>3300</v>
      </c>
      <c r="G165" s="165">
        <f t="shared" si="2"/>
        <v>122319.82000000002</v>
      </c>
      <c r="H165" s="163"/>
      <c r="I165" s="163" t="s">
        <v>342</v>
      </c>
      <c r="J165" s="163" t="s">
        <v>645</v>
      </c>
      <c r="K165" s="163" t="s">
        <v>646</v>
      </c>
      <c r="L165" s="163" t="s">
        <v>305</v>
      </c>
      <c r="M165" s="163" t="s">
        <v>647</v>
      </c>
      <c r="N165" s="163" t="s">
        <v>411</v>
      </c>
      <c r="O165" s="163" t="s">
        <v>648</v>
      </c>
      <c r="P165" s="163" t="s">
        <v>418</v>
      </c>
      <c r="Q165" s="163"/>
      <c r="R165" s="163" t="s">
        <v>649</v>
      </c>
      <c r="S165" s="163" t="s">
        <v>650</v>
      </c>
      <c r="T165" s="43">
        <f t="shared" si="0"/>
        <v>11</v>
      </c>
      <c r="U165" s="166">
        <f t="shared" si="1"/>
        <v>45604</v>
      </c>
      <c r="V165" s="166"/>
      <c r="W165" s="43"/>
      <c r="X165" s="43"/>
      <c r="Y165" s="43"/>
      <c r="Z165" s="43"/>
      <c r="AA165" s="43"/>
      <c r="AB165" s="43"/>
    </row>
    <row r="166" spans="1:28" ht="14.25" hidden="1" customHeight="1">
      <c r="A166" s="163" t="s">
        <v>279</v>
      </c>
      <c r="B166" s="164">
        <v>45604</v>
      </c>
      <c r="C166" s="163" t="s">
        <v>68</v>
      </c>
      <c r="D166" s="163" t="s">
        <v>281</v>
      </c>
      <c r="E166" s="163" t="s">
        <v>407</v>
      </c>
      <c r="F166" s="165">
        <v>2500</v>
      </c>
      <c r="G166" s="165">
        <f t="shared" si="2"/>
        <v>124819.82000000002</v>
      </c>
      <c r="H166" s="163"/>
      <c r="I166" s="163" t="s">
        <v>283</v>
      </c>
      <c r="J166" s="163" t="s">
        <v>651</v>
      </c>
      <c r="K166" s="163" t="s">
        <v>652</v>
      </c>
      <c r="L166" s="163" t="s">
        <v>305</v>
      </c>
      <c r="M166" s="163" t="s">
        <v>653</v>
      </c>
      <c r="N166" s="163" t="s">
        <v>411</v>
      </c>
      <c r="O166" s="163" t="s">
        <v>654</v>
      </c>
      <c r="P166" s="163" t="s">
        <v>62</v>
      </c>
      <c r="Q166" s="163"/>
      <c r="R166" s="163" t="s">
        <v>655</v>
      </c>
      <c r="S166" s="163" t="s">
        <v>656</v>
      </c>
      <c r="T166" s="43">
        <f t="shared" si="0"/>
        <v>11</v>
      </c>
      <c r="U166" s="166">
        <f t="shared" si="1"/>
        <v>45604</v>
      </c>
      <c r="V166" s="170"/>
      <c r="W166" s="43"/>
      <c r="X166" s="43"/>
      <c r="Y166" s="43"/>
      <c r="Z166" s="43"/>
      <c r="AA166" s="43"/>
      <c r="AB166" s="43"/>
    </row>
    <row r="167" spans="1:28" ht="14.25" hidden="1" customHeight="1">
      <c r="A167" s="163" t="s">
        <v>279</v>
      </c>
      <c r="B167" s="164">
        <v>45604</v>
      </c>
      <c r="C167" s="163"/>
      <c r="D167" s="163" t="s">
        <v>281</v>
      </c>
      <c r="E167" s="163" t="s">
        <v>330</v>
      </c>
      <c r="F167" s="168">
        <v>-1.99</v>
      </c>
      <c r="G167" s="165">
        <f t="shared" si="2"/>
        <v>124817.83000000002</v>
      </c>
      <c r="H167" s="163"/>
      <c r="I167" s="163" t="s">
        <v>331</v>
      </c>
      <c r="J167" s="163" t="s">
        <v>657</v>
      </c>
      <c r="K167" s="163"/>
      <c r="L167" s="163"/>
      <c r="M167" s="163"/>
      <c r="N167" s="163" t="s">
        <v>333</v>
      </c>
      <c r="O167" s="163"/>
      <c r="P167" s="163" t="s">
        <v>57</v>
      </c>
      <c r="Q167" s="163"/>
      <c r="R167" s="163"/>
      <c r="S167" s="163"/>
      <c r="T167" s="43">
        <f t="shared" si="0"/>
        <v>11</v>
      </c>
      <c r="U167" s="166">
        <f t="shared" si="1"/>
        <v>45604</v>
      </c>
      <c r="V167" s="170"/>
      <c r="W167" s="43"/>
      <c r="X167" s="43"/>
      <c r="Y167" s="43"/>
      <c r="Z167" s="43"/>
      <c r="AA167" s="43"/>
      <c r="AB167" s="43"/>
    </row>
    <row r="168" spans="1:28" ht="14.25" hidden="1" customHeight="1">
      <c r="A168" s="163" t="s">
        <v>279</v>
      </c>
      <c r="B168" s="164">
        <v>45604</v>
      </c>
      <c r="C168" s="163" t="s">
        <v>380</v>
      </c>
      <c r="D168" s="163" t="s">
        <v>281</v>
      </c>
      <c r="E168" s="163" t="s">
        <v>381</v>
      </c>
      <c r="F168" s="168">
        <v>-2000</v>
      </c>
      <c r="G168" s="165">
        <f t="shared" si="2"/>
        <v>122817.83000000002</v>
      </c>
      <c r="H168" s="163"/>
      <c r="I168" s="163" t="s">
        <v>283</v>
      </c>
      <c r="J168" s="163" t="s">
        <v>658</v>
      </c>
      <c r="K168" s="163"/>
      <c r="L168" s="163"/>
      <c r="M168" s="163"/>
      <c r="N168" s="163" t="s">
        <v>383</v>
      </c>
      <c r="O168" s="163"/>
      <c r="P168" s="163"/>
      <c r="Q168" s="163"/>
      <c r="R168" s="163" t="s">
        <v>353</v>
      </c>
      <c r="S168" s="163" t="s">
        <v>354</v>
      </c>
      <c r="T168" s="43">
        <f t="shared" si="0"/>
        <v>11</v>
      </c>
      <c r="U168" s="166">
        <f t="shared" si="1"/>
        <v>45604</v>
      </c>
      <c r="V168" s="166"/>
      <c r="W168" s="43"/>
      <c r="X168" s="43"/>
      <c r="Y168" s="43"/>
      <c r="Z168" s="43"/>
      <c r="AA168" s="43"/>
      <c r="AB168" s="43"/>
    </row>
    <row r="169" spans="1:28" ht="14.25" hidden="1" customHeight="1">
      <c r="A169" s="163" t="s">
        <v>279</v>
      </c>
      <c r="B169" s="164">
        <v>45604</v>
      </c>
      <c r="C169" s="163"/>
      <c r="D169" s="163" t="s">
        <v>281</v>
      </c>
      <c r="E169" s="163" t="s">
        <v>330</v>
      </c>
      <c r="F169" s="168">
        <v>-0.5</v>
      </c>
      <c r="G169" s="165">
        <f t="shared" si="2"/>
        <v>122817.33000000002</v>
      </c>
      <c r="H169" s="163"/>
      <c r="I169" s="163" t="s">
        <v>331</v>
      </c>
      <c r="J169" s="163" t="s">
        <v>659</v>
      </c>
      <c r="K169" s="163"/>
      <c r="L169" s="163"/>
      <c r="M169" s="163"/>
      <c r="N169" s="163" t="s">
        <v>333</v>
      </c>
      <c r="O169" s="163"/>
      <c r="P169" s="163"/>
      <c r="Q169" s="163"/>
      <c r="R169" s="163"/>
      <c r="S169" s="163"/>
      <c r="T169" s="43">
        <f t="shared" si="0"/>
        <v>11</v>
      </c>
      <c r="U169" s="166">
        <f t="shared" si="1"/>
        <v>45604</v>
      </c>
      <c r="V169" s="170"/>
      <c r="W169" s="43"/>
      <c r="X169" s="43"/>
      <c r="Y169" s="43"/>
      <c r="Z169" s="43"/>
      <c r="AA169" s="43"/>
      <c r="AB169" s="43"/>
    </row>
    <row r="170" spans="1:28" ht="14.25" hidden="1" customHeight="1">
      <c r="A170" s="163" t="s">
        <v>279</v>
      </c>
      <c r="B170" s="164">
        <v>45604</v>
      </c>
      <c r="C170" s="163" t="s">
        <v>660</v>
      </c>
      <c r="D170" s="163" t="s">
        <v>281</v>
      </c>
      <c r="E170" s="163" t="s">
        <v>308</v>
      </c>
      <c r="F170" s="168">
        <v>-230.36</v>
      </c>
      <c r="G170" s="165">
        <f t="shared" si="2"/>
        <v>122586.97000000002</v>
      </c>
      <c r="H170" s="163"/>
      <c r="I170" s="163" t="s">
        <v>283</v>
      </c>
      <c r="J170" s="163" t="s">
        <v>661</v>
      </c>
      <c r="K170" s="163"/>
      <c r="L170" s="163"/>
      <c r="M170" s="163"/>
      <c r="N170" s="163" t="s">
        <v>333</v>
      </c>
      <c r="O170" s="163"/>
      <c r="P170" s="163"/>
      <c r="Q170" s="163"/>
      <c r="R170" s="163" t="s">
        <v>660</v>
      </c>
      <c r="S170" s="163" t="s">
        <v>662</v>
      </c>
      <c r="T170" s="43">
        <f t="shared" si="0"/>
        <v>11</v>
      </c>
      <c r="U170" s="166">
        <f t="shared" si="1"/>
        <v>45604</v>
      </c>
      <c r="V170" s="170"/>
      <c r="W170" s="43"/>
      <c r="X170" s="43"/>
      <c r="Y170" s="43"/>
      <c r="Z170" s="43"/>
      <c r="AA170" s="43"/>
      <c r="AB170" s="43"/>
    </row>
    <row r="171" spans="1:28" ht="14.25" hidden="1" customHeight="1">
      <c r="A171" s="163" t="s">
        <v>279</v>
      </c>
      <c r="B171" s="164">
        <v>45604</v>
      </c>
      <c r="C171" s="163"/>
      <c r="D171" s="163" t="s">
        <v>281</v>
      </c>
      <c r="E171" s="163" t="s">
        <v>330</v>
      </c>
      <c r="F171" s="168">
        <v>-0.5</v>
      </c>
      <c r="G171" s="165">
        <f t="shared" si="2"/>
        <v>122586.47000000002</v>
      </c>
      <c r="H171" s="163"/>
      <c r="I171" s="163" t="s">
        <v>331</v>
      </c>
      <c r="J171" s="163" t="s">
        <v>663</v>
      </c>
      <c r="K171" s="163"/>
      <c r="L171" s="163"/>
      <c r="M171" s="163"/>
      <c r="N171" s="163" t="s">
        <v>333</v>
      </c>
      <c r="O171" s="163"/>
      <c r="P171" s="163"/>
      <c r="Q171" s="163"/>
      <c r="R171" s="163"/>
      <c r="S171" s="163"/>
      <c r="T171" s="43">
        <f t="shared" si="0"/>
        <v>11</v>
      </c>
      <c r="U171" s="166">
        <f t="shared" si="1"/>
        <v>45604</v>
      </c>
      <c r="V171" s="167"/>
      <c r="W171" s="43"/>
      <c r="X171" s="43"/>
      <c r="Y171" s="43"/>
      <c r="Z171" s="43"/>
      <c r="AA171" s="43"/>
      <c r="AB171" s="43"/>
    </row>
    <row r="172" spans="1:28" ht="14.25" hidden="1" customHeight="1">
      <c r="A172" s="163" t="s">
        <v>279</v>
      </c>
      <c r="B172" s="164">
        <v>45604</v>
      </c>
      <c r="C172" s="163" t="s">
        <v>664</v>
      </c>
      <c r="D172" s="163" t="s">
        <v>281</v>
      </c>
      <c r="E172" s="163" t="s">
        <v>202</v>
      </c>
      <c r="F172" s="168">
        <v>-5500</v>
      </c>
      <c r="G172" s="165">
        <f t="shared" si="2"/>
        <v>117086.47000000002</v>
      </c>
      <c r="H172" s="163"/>
      <c r="I172" s="163" t="s">
        <v>283</v>
      </c>
      <c r="J172" s="163"/>
      <c r="K172" s="163"/>
      <c r="L172" s="163" t="s">
        <v>366</v>
      </c>
      <c r="M172" s="163" t="s">
        <v>665</v>
      </c>
      <c r="N172" s="163" t="s">
        <v>297</v>
      </c>
      <c r="O172" s="163"/>
      <c r="P172" s="163"/>
      <c r="Q172" s="163"/>
      <c r="R172" s="163" t="s">
        <v>666</v>
      </c>
      <c r="S172" s="163" t="s">
        <v>667</v>
      </c>
      <c r="T172" s="43">
        <f t="shared" si="0"/>
        <v>11</v>
      </c>
      <c r="U172" s="166">
        <f t="shared" si="1"/>
        <v>45604</v>
      </c>
      <c r="V172" s="166"/>
      <c r="W172" s="43"/>
      <c r="X172" s="43"/>
      <c r="Y172" s="43"/>
      <c r="Z172" s="43"/>
      <c r="AA172" s="43"/>
      <c r="AB172" s="43"/>
    </row>
    <row r="173" spans="1:28" ht="14.25" hidden="1" customHeight="1">
      <c r="A173" s="163" t="s">
        <v>279</v>
      </c>
      <c r="B173" s="164">
        <v>45604</v>
      </c>
      <c r="C173" s="163" t="s">
        <v>326</v>
      </c>
      <c r="D173" s="163" t="s">
        <v>281</v>
      </c>
      <c r="E173" s="163" t="s">
        <v>202</v>
      </c>
      <c r="F173" s="168">
        <v>-6500</v>
      </c>
      <c r="G173" s="165">
        <f t="shared" si="2"/>
        <v>110586.47000000002</v>
      </c>
      <c r="H173" s="163"/>
      <c r="I173" s="163" t="s">
        <v>283</v>
      </c>
      <c r="J173" s="163"/>
      <c r="K173" s="163"/>
      <c r="L173" s="163" t="s">
        <v>366</v>
      </c>
      <c r="M173" s="163" t="s">
        <v>668</v>
      </c>
      <c r="N173" s="163" t="s">
        <v>297</v>
      </c>
      <c r="O173" s="163"/>
      <c r="P173" s="163"/>
      <c r="Q173" s="163"/>
      <c r="R173" s="163" t="s">
        <v>328</v>
      </c>
      <c r="S173" s="163" t="s">
        <v>329</v>
      </c>
      <c r="T173" s="43">
        <f t="shared" si="0"/>
        <v>11</v>
      </c>
      <c r="U173" s="166">
        <f t="shared" si="1"/>
        <v>45604</v>
      </c>
      <c r="V173" s="166"/>
      <c r="W173" s="43"/>
      <c r="X173" s="43"/>
      <c r="Y173" s="43"/>
      <c r="Z173" s="43"/>
      <c r="AA173" s="43"/>
      <c r="AB173" s="43"/>
    </row>
    <row r="174" spans="1:28" ht="14.25" hidden="1" customHeight="1">
      <c r="A174" s="163" t="s">
        <v>279</v>
      </c>
      <c r="B174" s="164">
        <v>45604</v>
      </c>
      <c r="C174" s="163" t="s">
        <v>669</v>
      </c>
      <c r="D174" s="163" t="s">
        <v>281</v>
      </c>
      <c r="E174" s="163" t="s">
        <v>202</v>
      </c>
      <c r="F174" s="168">
        <v>-3500</v>
      </c>
      <c r="G174" s="165">
        <f t="shared" si="2"/>
        <v>107086.47000000002</v>
      </c>
      <c r="H174" s="163"/>
      <c r="I174" s="163" t="s">
        <v>283</v>
      </c>
      <c r="J174" s="163"/>
      <c r="K174" s="163"/>
      <c r="L174" s="163" t="s">
        <v>366</v>
      </c>
      <c r="M174" s="163" t="s">
        <v>670</v>
      </c>
      <c r="N174" s="163" t="s">
        <v>297</v>
      </c>
      <c r="O174" s="163"/>
      <c r="P174" s="163"/>
      <c r="Q174" s="163"/>
      <c r="R174" s="163" t="s">
        <v>671</v>
      </c>
      <c r="S174" s="163" t="s">
        <v>672</v>
      </c>
      <c r="T174" s="43">
        <f t="shared" si="0"/>
        <v>11</v>
      </c>
      <c r="U174" s="166">
        <f t="shared" si="1"/>
        <v>45604</v>
      </c>
      <c r="V174" s="170"/>
      <c r="W174" s="43"/>
      <c r="X174" s="43"/>
      <c r="Y174" s="43"/>
      <c r="Z174" s="43"/>
      <c r="AA174" s="43"/>
      <c r="AB174" s="43"/>
    </row>
    <row r="175" spans="1:28" ht="14.25" hidden="1" customHeight="1">
      <c r="A175" s="163" t="s">
        <v>279</v>
      </c>
      <c r="B175" s="164">
        <v>45604</v>
      </c>
      <c r="C175" s="163" t="s">
        <v>673</v>
      </c>
      <c r="D175" s="163" t="s">
        <v>281</v>
      </c>
      <c r="E175" s="163" t="s">
        <v>202</v>
      </c>
      <c r="F175" s="168">
        <v>-2500</v>
      </c>
      <c r="G175" s="165">
        <f t="shared" si="2"/>
        <v>104586.47000000002</v>
      </c>
      <c r="H175" s="163"/>
      <c r="I175" s="163" t="s">
        <v>283</v>
      </c>
      <c r="J175" s="163"/>
      <c r="K175" s="163"/>
      <c r="L175" s="163" t="s">
        <v>366</v>
      </c>
      <c r="M175" s="163" t="s">
        <v>674</v>
      </c>
      <c r="N175" s="163" t="s">
        <v>297</v>
      </c>
      <c r="O175" s="163"/>
      <c r="P175" s="163"/>
      <c r="Q175" s="163"/>
      <c r="R175" s="163" t="s">
        <v>675</v>
      </c>
      <c r="S175" s="163" t="s">
        <v>676</v>
      </c>
      <c r="T175" s="43">
        <f t="shared" si="0"/>
        <v>11</v>
      </c>
      <c r="U175" s="166">
        <f t="shared" si="1"/>
        <v>45604</v>
      </c>
      <c r="V175" s="167"/>
      <c r="W175" s="43"/>
      <c r="X175" s="43"/>
      <c r="Y175" s="43"/>
      <c r="Z175" s="43"/>
      <c r="AA175" s="43"/>
      <c r="AB175" s="43"/>
    </row>
    <row r="176" spans="1:28" ht="14.25" hidden="1" customHeight="1">
      <c r="A176" s="163" t="s">
        <v>279</v>
      </c>
      <c r="B176" s="164">
        <v>45604</v>
      </c>
      <c r="C176" s="163" t="s">
        <v>677</v>
      </c>
      <c r="D176" s="163" t="s">
        <v>281</v>
      </c>
      <c r="E176" s="163" t="s">
        <v>202</v>
      </c>
      <c r="F176" s="168">
        <v>-3500</v>
      </c>
      <c r="G176" s="165">
        <f t="shared" si="2"/>
        <v>101086.47000000002</v>
      </c>
      <c r="H176" s="163"/>
      <c r="I176" s="163" t="s">
        <v>283</v>
      </c>
      <c r="J176" s="163"/>
      <c r="K176" s="163"/>
      <c r="L176" s="163" t="s">
        <v>366</v>
      </c>
      <c r="M176" s="163" t="s">
        <v>678</v>
      </c>
      <c r="N176" s="163" t="s">
        <v>297</v>
      </c>
      <c r="O176" s="163"/>
      <c r="P176" s="163"/>
      <c r="Q176" s="163"/>
      <c r="R176" s="163" t="s">
        <v>679</v>
      </c>
      <c r="S176" s="163" t="s">
        <v>680</v>
      </c>
      <c r="T176" s="43">
        <f t="shared" si="0"/>
        <v>11</v>
      </c>
      <c r="U176" s="166">
        <f t="shared" si="1"/>
        <v>45604</v>
      </c>
      <c r="V176" s="170"/>
      <c r="W176" s="43"/>
      <c r="X176" s="43"/>
      <c r="Y176" s="43"/>
      <c r="Z176" s="43"/>
      <c r="AA176" s="43"/>
      <c r="AB176" s="43"/>
    </row>
    <row r="177" spans="1:28" ht="14.25" hidden="1" customHeight="1">
      <c r="A177" s="163" t="s">
        <v>279</v>
      </c>
      <c r="B177" s="164">
        <v>45604</v>
      </c>
      <c r="C177" s="163" t="s">
        <v>681</v>
      </c>
      <c r="D177" s="163" t="s">
        <v>281</v>
      </c>
      <c r="E177" s="163" t="s">
        <v>202</v>
      </c>
      <c r="F177" s="168">
        <v>-3600</v>
      </c>
      <c r="G177" s="165">
        <f t="shared" si="2"/>
        <v>97486.470000000016</v>
      </c>
      <c r="H177" s="163"/>
      <c r="I177" s="163" t="s">
        <v>283</v>
      </c>
      <c r="J177" s="163"/>
      <c r="K177" s="163"/>
      <c r="L177" s="163" t="s">
        <v>366</v>
      </c>
      <c r="M177" s="163" t="s">
        <v>682</v>
      </c>
      <c r="N177" s="163" t="s">
        <v>297</v>
      </c>
      <c r="O177" s="163"/>
      <c r="P177" s="163"/>
      <c r="Q177" s="163"/>
      <c r="R177" s="163" t="s">
        <v>683</v>
      </c>
      <c r="S177" s="163" t="s">
        <v>684</v>
      </c>
      <c r="T177" s="43">
        <f t="shared" si="0"/>
        <v>11</v>
      </c>
      <c r="U177" s="166">
        <f t="shared" si="1"/>
        <v>45604</v>
      </c>
      <c r="V177" s="167"/>
      <c r="W177" s="43"/>
      <c r="X177" s="43"/>
      <c r="Y177" s="43"/>
      <c r="Z177" s="43"/>
      <c r="AA177" s="43"/>
      <c r="AB177" s="43"/>
    </row>
    <row r="178" spans="1:28" ht="14.25" hidden="1" customHeight="1">
      <c r="A178" s="163" t="s">
        <v>279</v>
      </c>
      <c r="B178" s="164">
        <v>45604</v>
      </c>
      <c r="C178" s="163" t="s">
        <v>685</v>
      </c>
      <c r="D178" s="163" t="s">
        <v>281</v>
      </c>
      <c r="E178" s="163" t="s">
        <v>202</v>
      </c>
      <c r="F178" s="168">
        <v>-3500</v>
      </c>
      <c r="G178" s="165">
        <f t="shared" si="2"/>
        <v>93986.470000000016</v>
      </c>
      <c r="H178" s="163"/>
      <c r="I178" s="163" t="s">
        <v>283</v>
      </c>
      <c r="J178" s="163"/>
      <c r="K178" s="163"/>
      <c r="L178" s="163" t="s">
        <v>686</v>
      </c>
      <c r="M178" s="163" t="s">
        <v>687</v>
      </c>
      <c r="N178" s="163" t="s">
        <v>297</v>
      </c>
      <c r="O178" s="163"/>
      <c r="P178" s="163"/>
      <c r="Q178" s="163"/>
      <c r="R178" s="163" t="s">
        <v>688</v>
      </c>
      <c r="S178" s="163" t="s">
        <v>689</v>
      </c>
      <c r="T178" s="43">
        <f t="shared" si="0"/>
        <v>11</v>
      </c>
      <c r="U178" s="166">
        <f t="shared" si="1"/>
        <v>45604</v>
      </c>
      <c r="V178" s="167"/>
      <c r="W178" s="43"/>
      <c r="X178" s="43"/>
      <c r="Y178" s="43"/>
      <c r="Z178" s="43"/>
      <c r="AA178" s="43"/>
      <c r="AB178" s="43"/>
    </row>
    <row r="179" spans="1:28" ht="14.25" hidden="1" customHeight="1">
      <c r="A179" s="163" t="s">
        <v>279</v>
      </c>
      <c r="B179" s="164">
        <v>45604</v>
      </c>
      <c r="C179" s="163" t="s">
        <v>690</v>
      </c>
      <c r="D179" s="163" t="s">
        <v>281</v>
      </c>
      <c r="E179" s="163" t="s">
        <v>202</v>
      </c>
      <c r="F179" s="168">
        <v>-3000</v>
      </c>
      <c r="G179" s="165">
        <f t="shared" si="2"/>
        <v>90986.470000000016</v>
      </c>
      <c r="H179" s="163"/>
      <c r="I179" s="163" t="s">
        <v>283</v>
      </c>
      <c r="J179" s="163"/>
      <c r="K179" s="163"/>
      <c r="L179" s="163" t="s">
        <v>686</v>
      </c>
      <c r="M179" s="163" t="s">
        <v>691</v>
      </c>
      <c r="N179" s="163" t="s">
        <v>297</v>
      </c>
      <c r="O179" s="163"/>
      <c r="P179" s="163"/>
      <c r="Q179" s="163"/>
      <c r="R179" s="163" t="s">
        <v>692</v>
      </c>
      <c r="S179" s="163" t="s">
        <v>693</v>
      </c>
      <c r="T179" s="43">
        <f t="shared" si="0"/>
        <v>11</v>
      </c>
      <c r="U179" s="166">
        <f t="shared" si="1"/>
        <v>45604</v>
      </c>
      <c r="V179" s="171"/>
      <c r="W179" s="43"/>
      <c r="X179" s="43"/>
      <c r="Y179" s="43"/>
      <c r="Z179" s="43"/>
      <c r="AA179" s="43"/>
      <c r="AB179" s="43"/>
    </row>
    <row r="180" spans="1:28" ht="14.25" hidden="1" customHeight="1">
      <c r="A180" s="163" t="s">
        <v>279</v>
      </c>
      <c r="B180" s="164">
        <v>45604</v>
      </c>
      <c r="C180" s="163" t="s">
        <v>307</v>
      </c>
      <c r="D180" s="163" t="s">
        <v>281</v>
      </c>
      <c r="E180" s="163" t="s">
        <v>694</v>
      </c>
      <c r="F180" s="168">
        <v>-13343.1</v>
      </c>
      <c r="G180" s="165">
        <f t="shared" si="2"/>
        <v>77643.37000000001</v>
      </c>
      <c r="H180" s="163"/>
      <c r="I180" s="163" t="s">
        <v>283</v>
      </c>
      <c r="J180" s="163"/>
      <c r="K180" s="163"/>
      <c r="L180" s="163" t="s">
        <v>477</v>
      </c>
      <c r="M180" s="163" t="s">
        <v>695</v>
      </c>
      <c r="N180" s="163" t="s">
        <v>297</v>
      </c>
      <c r="O180" s="163"/>
      <c r="P180" s="163"/>
      <c r="Q180" s="163"/>
      <c r="R180" s="163" t="s">
        <v>310</v>
      </c>
      <c r="S180" s="163" t="s">
        <v>311</v>
      </c>
      <c r="T180" s="43">
        <f t="shared" si="0"/>
        <v>11</v>
      </c>
      <c r="U180" s="166">
        <f t="shared" si="1"/>
        <v>45604</v>
      </c>
      <c r="V180" s="171"/>
      <c r="W180" s="43"/>
      <c r="X180" s="43"/>
      <c r="Y180" s="43"/>
      <c r="Z180" s="43"/>
      <c r="AA180" s="43"/>
      <c r="AB180" s="43"/>
    </row>
    <row r="181" spans="1:28" ht="14.25" hidden="1" customHeight="1">
      <c r="A181" s="163" t="s">
        <v>279</v>
      </c>
      <c r="B181" s="164">
        <v>45604</v>
      </c>
      <c r="C181" s="163" t="s">
        <v>312</v>
      </c>
      <c r="D181" s="163" t="s">
        <v>281</v>
      </c>
      <c r="E181" s="163" t="s">
        <v>202</v>
      </c>
      <c r="F181" s="168">
        <v>-12000</v>
      </c>
      <c r="G181" s="165">
        <f t="shared" si="2"/>
        <v>65643.37000000001</v>
      </c>
      <c r="H181" s="163"/>
      <c r="I181" s="163" t="s">
        <v>283</v>
      </c>
      <c r="J181" s="163"/>
      <c r="K181" s="163"/>
      <c r="L181" s="163" t="s">
        <v>696</v>
      </c>
      <c r="M181" s="163" t="s">
        <v>697</v>
      </c>
      <c r="N181" s="163" t="s">
        <v>297</v>
      </c>
      <c r="O181" s="163"/>
      <c r="P181" s="163"/>
      <c r="Q181" s="163"/>
      <c r="R181" s="163" t="s">
        <v>314</v>
      </c>
      <c r="S181" s="163" t="s">
        <v>315</v>
      </c>
      <c r="T181" s="43">
        <f t="shared" si="0"/>
        <v>11</v>
      </c>
      <c r="U181" s="166">
        <f t="shared" si="1"/>
        <v>45604</v>
      </c>
      <c r="V181" s="170"/>
      <c r="W181" s="43"/>
      <c r="X181" s="43"/>
      <c r="Y181" s="43"/>
      <c r="Z181" s="43"/>
      <c r="AA181" s="43"/>
      <c r="AB181" s="43"/>
    </row>
    <row r="182" spans="1:28" ht="14.25" hidden="1" customHeight="1">
      <c r="A182" s="163" t="s">
        <v>279</v>
      </c>
      <c r="B182" s="164">
        <v>45604</v>
      </c>
      <c r="C182" s="163" t="s">
        <v>698</v>
      </c>
      <c r="D182" s="163" t="s">
        <v>281</v>
      </c>
      <c r="E182" s="163" t="s">
        <v>199</v>
      </c>
      <c r="F182" s="168">
        <v>-879</v>
      </c>
      <c r="G182" s="165">
        <f t="shared" si="2"/>
        <v>64764.37000000001</v>
      </c>
      <c r="H182" s="163"/>
      <c r="I182" s="163" t="s">
        <v>342</v>
      </c>
      <c r="J182" s="163"/>
      <c r="K182" s="163"/>
      <c r="L182" s="163" t="s">
        <v>366</v>
      </c>
      <c r="M182" s="163" t="s">
        <v>699</v>
      </c>
      <c r="N182" s="163" t="s">
        <v>297</v>
      </c>
      <c r="O182" s="163"/>
      <c r="P182" s="163"/>
      <c r="Q182" s="163"/>
      <c r="R182" s="163" t="s">
        <v>135</v>
      </c>
      <c r="S182" s="163" t="s">
        <v>700</v>
      </c>
      <c r="T182" s="43">
        <f t="shared" si="0"/>
        <v>11</v>
      </c>
      <c r="U182" s="166">
        <f t="shared" si="1"/>
        <v>45604</v>
      </c>
      <c r="V182" s="166"/>
      <c r="W182" s="43"/>
      <c r="X182" s="43"/>
      <c r="Y182" s="43"/>
      <c r="Z182" s="43"/>
      <c r="AA182" s="43"/>
      <c r="AB182" s="43"/>
    </row>
    <row r="183" spans="1:28" ht="14.25" hidden="1" customHeight="1">
      <c r="A183" s="163" t="s">
        <v>279</v>
      </c>
      <c r="B183" s="164">
        <v>45604</v>
      </c>
      <c r="C183" s="163" t="s">
        <v>154</v>
      </c>
      <c r="D183" s="163" t="s">
        <v>281</v>
      </c>
      <c r="E183" s="163" t="s">
        <v>202</v>
      </c>
      <c r="F183" s="168">
        <v>-3500</v>
      </c>
      <c r="G183" s="165">
        <f t="shared" si="2"/>
        <v>61264.37000000001</v>
      </c>
      <c r="H183" s="163"/>
      <c r="I183" s="163" t="s">
        <v>283</v>
      </c>
      <c r="J183" s="163"/>
      <c r="K183" s="163"/>
      <c r="L183" s="163" t="s">
        <v>477</v>
      </c>
      <c r="M183" s="163" t="s">
        <v>701</v>
      </c>
      <c r="N183" s="163" t="s">
        <v>297</v>
      </c>
      <c r="O183" s="163"/>
      <c r="P183" s="163"/>
      <c r="Q183" s="163"/>
      <c r="R183" s="163" t="s">
        <v>702</v>
      </c>
      <c r="S183" s="163" t="s">
        <v>703</v>
      </c>
      <c r="T183" s="43">
        <f t="shared" si="0"/>
        <v>11</v>
      </c>
      <c r="U183" s="166">
        <f t="shared" si="1"/>
        <v>45604</v>
      </c>
      <c r="V183" s="166"/>
      <c r="W183" s="43"/>
      <c r="X183" s="43"/>
      <c r="Y183" s="43"/>
      <c r="Z183" s="43"/>
      <c r="AA183" s="43"/>
      <c r="AB183" s="43"/>
    </row>
    <row r="184" spans="1:28" ht="14.25" hidden="1" customHeight="1">
      <c r="A184" s="163" t="s">
        <v>279</v>
      </c>
      <c r="B184" s="164">
        <v>45604</v>
      </c>
      <c r="C184" s="163" t="s">
        <v>704</v>
      </c>
      <c r="D184" s="163" t="s">
        <v>281</v>
      </c>
      <c r="E184" s="163" t="s">
        <v>202</v>
      </c>
      <c r="F184" s="168">
        <v>-4000</v>
      </c>
      <c r="G184" s="165">
        <f t="shared" si="2"/>
        <v>57264.37000000001</v>
      </c>
      <c r="H184" s="163"/>
      <c r="I184" s="163" t="s">
        <v>283</v>
      </c>
      <c r="J184" s="163"/>
      <c r="K184" s="163"/>
      <c r="L184" s="163" t="s">
        <v>477</v>
      </c>
      <c r="M184" s="163" t="s">
        <v>705</v>
      </c>
      <c r="N184" s="163" t="s">
        <v>297</v>
      </c>
      <c r="O184" s="163"/>
      <c r="P184" s="163"/>
      <c r="Q184" s="163"/>
      <c r="R184" s="163" t="s">
        <v>706</v>
      </c>
      <c r="S184" s="163" t="s">
        <v>707</v>
      </c>
      <c r="T184" s="43">
        <f t="shared" si="0"/>
        <v>11</v>
      </c>
      <c r="U184" s="166">
        <f t="shared" si="1"/>
        <v>45604</v>
      </c>
      <c r="V184" s="43"/>
      <c r="W184" s="43"/>
      <c r="X184" s="43"/>
      <c r="Y184" s="43"/>
      <c r="Z184" s="43"/>
      <c r="AA184" s="43"/>
      <c r="AB184" s="43"/>
    </row>
    <row r="185" spans="1:28" ht="14.25" hidden="1" customHeight="1">
      <c r="A185" s="163" t="s">
        <v>279</v>
      </c>
      <c r="B185" s="164">
        <v>45604</v>
      </c>
      <c r="C185" s="163" t="s">
        <v>708</v>
      </c>
      <c r="D185" s="163" t="s">
        <v>281</v>
      </c>
      <c r="E185" s="163" t="s">
        <v>202</v>
      </c>
      <c r="F185" s="168">
        <v>-8000</v>
      </c>
      <c r="G185" s="165">
        <f t="shared" si="2"/>
        <v>49264.37000000001</v>
      </c>
      <c r="H185" s="163"/>
      <c r="I185" s="163" t="s">
        <v>283</v>
      </c>
      <c r="J185" s="163"/>
      <c r="K185" s="163"/>
      <c r="L185" s="163" t="s">
        <v>508</v>
      </c>
      <c r="M185" s="163" t="s">
        <v>709</v>
      </c>
      <c r="N185" s="163" t="s">
        <v>297</v>
      </c>
      <c r="O185" s="163"/>
      <c r="P185" s="163"/>
      <c r="Q185" s="163"/>
      <c r="R185" s="163" t="s">
        <v>710</v>
      </c>
      <c r="S185" s="163" t="s">
        <v>711</v>
      </c>
      <c r="T185" s="43">
        <f t="shared" si="0"/>
        <v>11</v>
      </c>
      <c r="U185" s="166">
        <f t="shared" si="1"/>
        <v>45604</v>
      </c>
      <c r="V185" s="43"/>
      <c r="W185" s="43"/>
      <c r="X185" s="43"/>
      <c r="Y185" s="43"/>
      <c r="Z185" s="43"/>
      <c r="AA185" s="43"/>
      <c r="AB185" s="43"/>
    </row>
    <row r="186" spans="1:28" ht="14.25" hidden="1" customHeight="1">
      <c r="A186" s="163" t="s">
        <v>279</v>
      </c>
      <c r="B186" s="164">
        <v>45604</v>
      </c>
      <c r="C186" s="163"/>
      <c r="D186" s="163" t="s">
        <v>281</v>
      </c>
      <c r="E186" s="163" t="s">
        <v>330</v>
      </c>
      <c r="F186" s="168">
        <v>-0.5</v>
      </c>
      <c r="G186" s="165">
        <f t="shared" si="2"/>
        <v>49263.87000000001</v>
      </c>
      <c r="H186" s="163"/>
      <c r="I186" s="163" t="s">
        <v>331</v>
      </c>
      <c r="J186" s="163" t="s">
        <v>712</v>
      </c>
      <c r="K186" s="163"/>
      <c r="L186" s="163"/>
      <c r="M186" s="163"/>
      <c r="N186" s="163" t="s">
        <v>333</v>
      </c>
      <c r="O186" s="163"/>
      <c r="P186" s="163"/>
      <c r="Q186" s="163"/>
      <c r="R186" s="163"/>
      <c r="S186" s="163"/>
      <c r="T186" s="43">
        <f t="shared" si="0"/>
        <v>11</v>
      </c>
      <c r="U186" s="166">
        <f t="shared" si="1"/>
        <v>45604</v>
      </c>
      <c r="V186" s="167"/>
      <c r="W186" s="43"/>
      <c r="X186" s="43"/>
      <c r="Y186" s="43"/>
      <c r="Z186" s="43"/>
      <c r="AA186" s="43"/>
      <c r="AB186" s="43"/>
    </row>
    <row r="187" spans="1:28" ht="14.25" hidden="1" customHeight="1">
      <c r="A187" s="163" t="s">
        <v>279</v>
      </c>
      <c r="B187" s="164">
        <v>45604</v>
      </c>
      <c r="C187" s="163"/>
      <c r="D187" s="163" t="s">
        <v>281</v>
      </c>
      <c r="E187" s="163" t="s">
        <v>330</v>
      </c>
      <c r="F187" s="168">
        <v>-0.5</v>
      </c>
      <c r="G187" s="165">
        <f t="shared" si="2"/>
        <v>49263.37000000001</v>
      </c>
      <c r="H187" s="163"/>
      <c r="I187" s="163" t="s">
        <v>331</v>
      </c>
      <c r="J187" s="163" t="s">
        <v>713</v>
      </c>
      <c r="K187" s="163"/>
      <c r="L187" s="163"/>
      <c r="M187" s="163"/>
      <c r="N187" s="163" t="s">
        <v>333</v>
      </c>
      <c r="O187" s="163"/>
      <c r="P187" s="163"/>
      <c r="Q187" s="163"/>
      <c r="R187" s="163"/>
      <c r="S187" s="163"/>
      <c r="T187" s="43">
        <f t="shared" si="0"/>
        <v>11</v>
      </c>
      <c r="U187" s="166">
        <f t="shared" si="1"/>
        <v>45604</v>
      </c>
      <c r="V187" s="43"/>
      <c r="W187" s="43"/>
      <c r="X187" s="43"/>
      <c r="Y187" s="43"/>
      <c r="Z187" s="43"/>
      <c r="AA187" s="43"/>
      <c r="AB187" s="43"/>
    </row>
    <row r="188" spans="1:28" ht="14.25" hidden="1" customHeight="1">
      <c r="A188" s="163" t="s">
        <v>279</v>
      </c>
      <c r="B188" s="164">
        <v>45604</v>
      </c>
      <c r="C188" s="163"/>
      <c r="D188" s="163" t="s">
        <v>281</v>
      </c>
      <c r="E188" s="163" t="s">
        <v>330</v>
      </c>
      <c r="F188" s="168">
        <v>-0.5</v>
      </c>
      <c r="G188" s="165">
        <f t="shared" si="2"/>
        <v>49262.87000000001</v>
      </c>
      <c r="H188" s="163"/>
      <c r="I188" s="163" t="s">
        <v>331</v>
      </c>
      <c r="J188" s="163" t="s">
        <v>714</v>
      </c>
      <c r="K188" s="163"/>
      <c r="L188" s="163"/>
      <c r="M188" s="163"/>
      <c r="N188" s="163" t="s">
        <v>333</v>
      </c>
      <c r="O188" s="163"/>
      <c r="P188" s="163"/>
      <c r="Q188" s="163"/>
      <c r="R188" s="163"/>
      <c r="S188" s="163"/>
      <c r="T188" s="43">
        <f t="shared" si="0"/>
        <v>11</v>
      </c>
      <c r="U188" s="166">
        <f t="shared" si="1"/>
        <v>45604</v>
      </c>
      <c r="V188" s="170"/>
      <c r="W188" s="43"/>
      <c r="X188" s="43"/>
      <c r="Y188" s="43"/>
      <c r="Z188" s="43"/>
      <c r="AA188" s="43"/>
      <c r="AB188" s="43"/>
    </row>
    <row r="189" spans="1:28" ht="14.25" hidden="1" customHeight="1">
      <c r="A189" s="163" t="s">
        <v>279</v>
      </c>
      <c r="B189" s="164">
        <v>45604</v>
      </c>
      <c r="C189" s="163"/>
      <c r="D189" s="163" t="s">
        <v>281</v>
      </c>
      <c r="E189" s="163" t="s">
        <v>330</v>
      </c>
      <c r="F189" s="168">
        <v>-0.5</v>
      </c>
      <c r="G189" s="165">
        <f t="shared" si="2"/>
        <v>49262.37000000001</v>
      </c>
      <c r="H189" s="163"/>
      <c r="I189" s="163" t="s">
        <v>331</v>
      </c>
      <c r="J189" s="163" t="s">
        <v>715</v>
      </c>
      <c r="K189" s="163"/>
      <c r="L189" s="163"/>
      <c r="M189" s="163"/>
      <c r="N189" s="163" t="s">
        <v>333</v>
      </c>
      <c r="O189" s="163"/>
      <c r="P189" s="163"/>
      <c r="Q189" s="163"/>
      <c r="R189" s="163"/>
      <c r="S189" s="163"/>
      <c r="T189" s="43">
        <f t="shared" si="0"/>
        <v>11</v>
      </c>
      <c r="U189" s="166">
        <f t="shared" si="1"/>
        <v>45604</v>
      </c>
      <c r="V189" s="166"/>
      <c r="W189" s="43"/>
      <c r="X189" s="43"/>
      <c r="Y189" s="43"/>
      <c r="Z189" s="43"/>
      <c r="AA189" s="43"/>
      <c r="AB189" s="43"/>
    </row>
    <row r="190" spans="1:28" ht="14.25" hidden="1" customHeight="1">
      <c r="A190" s="163" t="s">
        <v>279</v>
      </c>
      <c r="B190" s="164">
        <v>45604</v>
      </c>
      <c r="C190" s="163"/>
      <c r="D190" s="163" t="s">
        <v>281</v>
      </c>
      <c r="E190" s="163" t="s">
        <v>330</v>
      </c>
      <c r="F190" s="168">
        <v>-0.5</v>
      </c>
      <c r="G190" s="165">
        <f t="shared" si="2"/>
        <v>49261.87000000001</v>
      </c>
      <c r="H190" s="163"/>
      <c r="I190" s="163" t="s">
        <v>331</v>
      </c>
      <c r="J190" s="163" t="s">
        <v>716</v>
      </c>
      <c r="K190" s="163"/>
      <c r="L190" s="163"/>
      <c r="M190" s="163"/>
      <c r="N190" s="163" t="s">
        <v>333</v>
      </c>
      <c r="O190" s="163"/>
      <c r="P190" s="163"/>
      <c r="Q190" s="163"/>
      <c r="R190" s="163"/>
      <c r="S190" s="163"/>
      <c r="T190" s="43">
        <f t="shared" si="0"/>
        <v>11</v>
      </c>
      <c r="U190" s="166">
        <f t="shared" si="1"/>
        <v>45604</v>
      </c>
      <c r="V190" s="166"/>
      <c r="W190" s="43"/>
      <c r="X190" s="43"/>
      <c r="Y190" s="43"/>
      <c r="Z190" s="43"/>
      <c r="AA190" s="43"/>
      <c r="AB190" s="43"/>
    </row>
    <row r="191" spans="1:28" ht="14.25" hidden="1" customHeight="1">
      <c r="A191" s="163" t="s">
        <v>279</v>
      </c>
      <c r="B191" s="164">
        <v>45604</v>
      </c>
      <c r="C191" s="163"/>
      <c r="D191" s="163" t="s">
        <v>281</v>
      </c>
      <c r="E191" s="163" t="s">
        <v>330</v>
      </c>
      <c r="F191" s="168">
        <v>-0.5</v>
      </c>
      <c r="G191" s="165">
        <f t="shared" si="2"/>
        <v>49261.37000000001</v>
      </c>
      <c r="H191" s="163"/>
      <c r="I191" s="163" t="s">
        <v>331</v>
      </c>
      <c r="J191" s="163" t="s">
        <v>717</v>
      </c>
      <c r="K191" s="163"/>
      <c r="L191" s="163"/>
      <c r="M191" s="163"/>
      <c r="N191" s="163" t="s">
        <v>333</v>
      </c>
      <c r="O191" s="163"/>
      <c r="P191" s="163"/>
      <c r="Q191" s="163"/>
      <c r="R191" s="163"/>
      <c r="S191" s="163"/>
      <c r="T191" s="43">
        <f t="shared" si="0"/>
        <v>11</v>
      </c>
      <c r="U191" s="166">
        <f t="shared" si="1"/>
        <v>45604</v>
      </c>
      <c r="V191" s="166"/>
      <c r="W191" s="43"/>
      <c r="X191" s="43"/>
      <c r="Y191" s="43"/>
      <c r="Z191" s="43"/>
      <c r="AA191" s="43"/>
      <c r="AB191" s="43"/>
    </row>
    <row r="192" spans="1:28" ht="14.25" hidden="1" customHeight="1">
      <c r="A192" s="163" t="s">
        <v>279</v>
      </c>
      <c r="B192" s="164">
        <v>45604</v>
      </c>
      <c r="C192" s="163"/>
      <c r="D192" s="163" t="s">
        <v>281</v>
      </c>
      <c r="E192" s="163" t="s">
        <v>330</v>
      </c>
      <c r="F192" s="168">
        <v>-0.5</v>
      </c>
      <c r="G192" s="165">
        <f t="shared" si="2"/>
        <v>49260.87000000001</v>
      </c>
      <c r="H192" s="163"/>
      <c r="I192" s="163" t="s">
        <v>331</v>
      </c>
      <c r="J192" s="163" t="s">
        <v>718</v>
      </c>
      <c r="K192" s="163"/>
      <c r="L192" s="163"/>
      <c r="M192" s="163"/>
      <c r="N192" s="163" t="s">
        <v>333</v>
      </c>
      <c r="O192" s="163"/>
      <c r="P192" s="163"/>
      <c r="Q192" s="163"/>
      <c r="R192" s="163"/>
      <c r="S192" s="163"/>
      <c r="T192" s="43">
        <f t="shared" si="0"/>
        <v>11</v>
      </c>
      <c r="U192" s="166">
        <f t="shared" si="1"/>
        <v>45604</v>
      </c>
      <c r="V192" s="166"/>
      <c r="W192" s="43"/>
      <c r="X192" s="43"/>
      <c r="Y192" s="43"/>
      <c r="Z192" s="43"/>
      <c r="AA192" s="43"/>
      <c r="AB192" s="43"/>
    </row>
    <row r="193" spans="1:28" ht="14.25" hidden="1" customHeight="1">
      <c r="A193" s="163" t="s">
        <v>279</v>
      </c>
      <c r="B193" s="164">
        <v>45604</v>
      </c>
      <c r="C193" s="163"/>
      <c r="D193" s="163" t="s">
        <v>281</v>
      </c>
      <c r="E193" s="163" t="s">
        <v>330</v>
      </c>
      <c r="F193" s="168">
        <v>-0.5</v>
      </c>
      <c r="G193" s="165">
        <f t="shared" si="2"/>
        <v>49260.37000000001</v>
      </c>
      <c r="H193" s="163"/>
      <c r="I193" s="163" t="s">
        <v>331</v>
      </c>
      <c r="J193" s="163" t="s">
        <v>719</v>
      </c>
      <c r="K193" s="163"/>
      <c r="L193" s="163"/>
      <c r="M193" s="163"/>
      <c r="N193" s="163" t="s">
        <v>333</v>
      </c>
      <c r="O193" s="163"/>
      <c r="P193" s="163"/>
      <c r="Q193" s="163"/>
      <c r="R193" s="163"/>
      <c r="S193" s="163"/>
      <c r="T193" s="43">
        <f t="shared" si="0"/>
        <v>11</v>
      </c>
      <c r="U193" s="166">
        <f t="shared" si="1"/>
        <v>45604</v>
      </c>
      <c r="V193" s="167"/>
      <c r="W193" s="43"/>
      <c r="X193" s="43"/>
      <c r="Y193" s="43"/>
      <c r="Z193" s="43"/>
      <c r="AA193" s="43"/>
      <c r="AB193" s="43"/>
    </row>
    <row r="194" spans="1:28" ht="14.25" hidden="1" customHeight="1">
      <c r="A194" s="163" t="s">
        <v>279</v>
      </c>
      <c r="B194" s="164">
        <v>45604</v>
      </c>
      <c r="C194" s="163"/>
      <c r="D194" s="163" t="s">
        <v>281</v>
      </c>
      <c r="E194" s="163" t="s">
        <v>330</v>
      </c>
      <c r="F194" s="168">
        <v>-0.5</v>
      </c>
      <c r="G194" s="165">
        <f t="shared" si="2"/>
        <v>49259.87000000001</v>
      </c>
      <c r="H194" s="163"/>
      <c r="I194" s="163" t="s">
        <v>331</v>
      </c>
      <c r="J194" s="163" t="s">
        <v>720</v>
      </c>
      <c r="K194" s="163"/>
      <c r="L194" s="163"/>
      <c r="M194" s="163"/>
      <c r="N194" s="163" t="s">
        <v>333</v>
      </c>
      <c r="O194" s="163"/>
      <c r="P194" s="163"/>
      <c r="Q194" s="163"/>
      <c r="R194" s="163"/>
      <c r="S194" s="163"/>
      <c r="T194" s="43">
        <f t="shared" si="0"/>
        <v>11</v>
      </c>
      <c r="U194" s="166">
        <f t="shared" si="1"/>
        <v>45604</v>
      </c>
      <c r="V194" s="167"/>
      <c r="W194" s="43"/>
      <c r="X194" s="43"/>
      <c r="Y194" s="43"/>
      <c r="Z194" s="43"/>
      <c r="AA194" s="43"/>
      <c r="AB194" s="43"/>
    </row>
    <row r="195" spans="1:28" ht="14.25" hidden="1" customHeight="1">
      <c r="A195" s="163" t="s">
        <v>279</v>
      </c>
      <c r="B195" s="164">
        <v>45604</v>
      </c>
      <c r="C195" s="163"/>
      <c r="D195" s="163" t="s">
        <v>281</v>
      </c>
      <c r="E195" s="163" t="s">
        <v>330</v>
      </c>
      <c r="F195" s="168">
        <v>-0.5</v>
      </c>
      <c r="G195" s="165">
        <f t="shared" si="2"/>
        <v>49259.37000000001</v>
      </c>
      <c r="H195" s="163"/>
      <c r="I195" s="163" t="s">
        <v>331</v>
      </c>
      <c r="J195" s="163" t="s">
        <v>721</v>
      </c>
      <c r="K195" s="163"/>
      <c r="L195" s="163"/>
      <c r="M195" s="163"/>
      <c r="N195" s="163" t="s">
        <v>333</v>
      </c>
      <c r="O195" s="163"/>
      <c r="P195" s="163"/>
      <c r="Q195" s="163"/>
      <c r="R195" s="163"/>
      <c r="S195" s="163"/>
      <c r="T195" s="43">
        <f t="shared" si="0"/>
        <v>11</v>
      </c>
      <c r="U195" s="166">
        <f t="shared" si="1"/>
        <v>45604</v>
      </c>
      <c r="V195" s="167"/>
      <c r="W195" s="43"/>
      <c r="X195" s="43"/>
      <c r="Y195" s="43"/>
      <c r="Z195" s="43"/>
      <c r="AA195" s="43"/>
      <c r="AB195" s="43"/>
    </row>
    <row r="196" spans="1:28" ht="14.25" hidden="1" customHeight="1">
      <c r="A196" s="163" t="s">
        <v>279</v>
      </c>
      <c r="B196" s="164">
        <v>45604</v>
      </c>
      <c r="C196" s="163"/>
      <c r="D196" s="163" t="s">
        <v>281</v>
      </c>
      <c r="E196" s="163" t="s">
        <v>330</v>
      </c>
      <c r="F196" s="168">
        <v>-0.5</v>
      </c>
      <c r="G196" s="165">
        <f t="shared" si="2"/>
        <v>49258.87000000001</v>
      </c>
      <c r="H196" s="163"/>
      <c r="I196" s="163" t="s">
        <v>331</v>
      </c>
      <c r="J196" s="163" t="s">
        <v>722</v>
      </c>
      <c r="K196" s="163"/>
      <c r="L196" s="163"/>
      <c r="M196" s="163"/>
      <c r="N196" s="163" t="s">
        <v>333</v>
      </c>
      <c r="O196" s="163"/>
      <c r="P196" s="163"/>
      <c r="Q196" s="163"/>
      <c r="R196" s="163"/>
      <c r="S196" s="163"/>
      <c r="T196" s="43">
        <f t="shared" si="0"/>
        <v>11</v>
      </c>
      <c r="U196" s="166">
        <f t="shared" si="1"/>
        <v>45604</v>
      </c>
      <c r="V196" s="167"/>
      <c r="W196" s="43"/>
      <c r="X196" s="43"/>
      <c r="Y196" s="43"/>
      <c r="Z196" s="43"/>
      <c r="AA196" s="43"/>
      <c r="AB196" s="43"/>
    </row>
    <row r="197" spans="1:28" ht="14.25" hidden="1" customHeight="1">
      <c r="A197" s="163" t="s">
        <v>279</v>
      </c>
      <c r="B197" s="164">
        <v>45604</v>
      </c>
      <c r="C197" s="163"/>
      <c r="D197" s="163" t="s">
        <v>281</v>
      </c>
      <c r="E197" s="163" t="s">
        <v>330</v>
      </c>
      <c r="F197" s="168">
        <v>-0.5</v>
      </c>
      <c r="G197" s="165">
        <f t="shared" si="2"/>
        <v>49258.37000000001</v>
      </c>
      <c r="H197" s="163"/>
      <c r="I197" s="163" t="s">
        <v>331</v>
      </c>
      <c r="J197" s="163" t="s">
        <v>723</v>
      </c>
      <c r="K197" s="163"/>
      <c r="L197" s="163"/>
      <c r="M197" s="163"/>
      <c r="N197" s="163" t="s">
        <v>333</v>
      </c>
      <c r="O197" s="163"/>
      <c r="P197" s="163"/>
      <c r="Q197" s="163"/>
      <c r="R197" s="163"/>
      <c r="S197" s="163"/>
      <c r="T197" s="43">
        <f t="shared" si="0"/>
        <v>11</v>
      </c>
      <c r="U197" s="166">
        <f t="shared" si="1"/>
        <v>45604</v>
      </c>
      <c r="V197" s="167"/>
      <c r="W197" s="43"/>
      <c r="X197" s="43"/>
      <c r="Y197" s="43"/>
      <c r="Z197" s="43"/>
      <c r="AA197" s="43"/>
      <c r="AB197" s="43"/>
    </row>
    <row r="198" spans="1:28" ht="14.25" hidden="1" customHeight="1">
      <c r="A198" s="163" t="s">
        <v>279</v>
      </c>
      <c r="B198" s="164">
        <v>45604</v>
      </c>
      <c r="C198" s="163"/>
      <c r="D198" s="163" t="s">
        <v>281</v>
      </c>
      <c r="E198" s="163" t="s">
        <v>330</v>
      </c>
      <c r="F198" s="168">
        <v>-0.5</v>
      </c>
      <c r="G198" s="165">
        <f t="shared" si="2"/>
        <v>49257.87000000001</v>
      </c>
      <c r="H198" s="163"/>
      <c r="I198" s="163" t="s">
        <v>331</v>
      </c>
      <c r="J198" s="163" t="s">
        <v>724</v>
      </c>
      <c r="K198" s="163"/>
      <c r="L198" s="163"/>
      <c r="M198" s="163"/>
      <c r="N198" s="163" t="s">
        <v>333</v>
      </c>
      <c r="O198" s="163"/>
      <c r="P198" s="163"/>
      <c r="Q198" s="163"/>
      <c r="R198" s="163"/>
      <c r="S198" s="163"/>
      <c r="T198" s="43">
        <f t="shared" si="0"/>
        <v>11</v>
      </c>
      <c r="U198" s="166">
        <f t="shared" si="1"/>
        <v>45604</v>
      </c>
      <c r="V198" s="167"/>
      <c r="W198" s="43"/>
      <c r="X198" s="43"/>
      <c r="Y198" s="43"/>
      <c r="Z198" s="43"/>
      <c r="AA198" s="43"/>
      <c r="AB198" s="43"/>
    </row>
    <row r="199" spans="1:28" ht="14.25" hidden="1" customHeight="1">
      <c r="A199" s="163" t="s">
        <v>279</v>
      </c>
      <c r="B199" s="164">
        <v>45604</v>
      </c>
      <c r="C199" s="163" t="s">
        <v>725</v>
      </c>
      <c r="D199" s="163" t="s">
        <v>281</v>
      </c>
      <c r="E199" s="163" t="s">
        <v>202</v>
      </c>
      <c r="F199" s="168">
        <v>-3500</v>
      </c>
      <c r="G199" s="165">
        <f t="shared" si="2"/>
        <v>45757.87000000001</v>
      </c>
      <c r="H199" s="163"/>
      <c r="I199" s="163" t="s">
        <v>283</v>
      </c>
      <c r="J199" s="163"/>
      <c r="K199" s="163"/>
      <c r="L199" s="163" t="s">
        <v>477</v>
      </c>
      <c r="M199" s="163" t="s">
        <v>726</v>
      </c>
      <c r="N199" s="163" t="s">
        <v>297</v>
      </c>
      <c r="O199" s="163"/>
      <c r="P199" s="163"/>
      <c r="Q199" s="163"/>
      <c r="R199" s="163" t="s">
        <v>727</v>
      </c>
      <c r="S199" s="163" t="s">
        <v>728</v>
      </c>
      <c r="T199" s="43">
        <f t="shared" si="0"/>
        <v>11</v>
      </c>
      <c r="U199" s="166">
        <f t="shared" si="1"/>
        <v>45604</v>
      </c>
      <c r="V199" s="166"/>
      <c r="W199" s="43"/>
      <c r="X199" s="43"/>
      <c r="Y199" s="43"/>
      <c r="Z199" s="43"/>
      <c r="AA199" s="43"/>
      <c r="AB199" s="43"/>
    </row>
    <row r="200" spans="1:28" ht="14.25" hidden="1" customHeight="1">
      <c r="A200" s="163" t="s">
        <v>279</v>
      </c>
      <c r="B200" s="164">
        <v>45604</v>
      </c>
      <c r="C200" s="163" t="s">
        <v>351</v>
      </c>
      <c r="D200" s="163" t="s">
        <v>281</v>
      </c>
      <c r="E200" s="163" t="s">
        <v>202</v>
      </c>
      <c r="F200" s="168">
        <v>-8000</v>
      </c>
      <c r="G200" s="165">
        <f t="shared" si="2"/>
        <v>37757.87000000001</v>
      </c>
      <c r="H200" s="163"/>
      <c r="I200" s="163" t="s">
        <v>283</v>
      </c>
      <c r="J200" s="163" t="s">
        <v>729</v>
      </c>
      <c r="K200" s="163"/>
      <c r="L200" s="163"/>
      <c r="M200" s="163"/>
      <c r="N200" s="163" t="s">
        <v>333</v>
      </c>
      <c r="O200" s="163"/>
      <c r="P200" s="163"/>
      <c r="Q200" s="163"/>
      <c r="R200" s="163" t="s">
        <v>353</v>
      </c>
      <c r="S200" s="163" t="s">
        <v>354</v>
      </c>
      <c r="T200" s="43">
        <f t="shared" si="0"/>
        <v>11</v>
      </c>
      <c r="U200" s="166">
        <f t="shared" si="1"/>
        <v>45604</v>
      </c>
      <c r="V200" s="172"/>
      <c r="W200" s="43"/>
      <c r="X200" s="43"/>
      <c r="Y200" s="43"/>
      <c r="Z200" s="43"/>
      <c r="AA200" s="43"/>
      <c r="AB200" s="43"/>
    </row>
    <row r="201" spans="1:28" ht="14.25" hidden="1" customHeight="1">
      <c r="A201" s="163" t="s">
        <v>279</v>
      </c>
      <c r="B201" s="164">
        <v>45604</v>
      </c>
      <c r="C201" s="163"/>
      <c r="D201" s="163" t="s">
        <v>281</v>
      </c>
      <c r="E201" s="163" t="s">
        <v>330</v>
      </c>
      <c r="F201" s="168">
        <v>-0.5</v>
      </c>
      <c r="G201" s="165">
        <f t="shared" si="2"/>
        <v>37757.37000000001</v>
      </c>
      <c r="H201" s="163"/>
      <c r="I201" s="163" t="s">
        <v>331</v>
      </c>
      <c r="J201" s="163" t="s">
        <v>730</v>
      </c>
      <c r="K201" s="163"/>
      <c r="L201" s="163"/>
      <c r="M201" s="163"/>
      <c r="N201" s="163" t="s">
        <v>333</v>
      </c>
      <c r="O201" s="163"/>
      <c r="P201" s="163"/>
      <c r="Q201" s="163"/>
      <c r="R201" s="163"/>
      <c r="S201" s="163"/>
      <c r="T201" s="43">
        <f t="shared" si="0"/>
        <v>11</v>
      </c>
      <c r="U201" s="166">
        <f t="shared" si="1"/>
        <v>45604</v>
      </c>
      <c r="V201" s="166"/>
      <c r="W201" s="43"/>
      <c r="X201" s="43"/>
      <c r="Y201" s="43"/>
      <c r="Z201" s="43"/>
      <c r="AA201" s="43"/>
      <c r="AB201" s="43"/>
    </row>
    <row r="202" spans="1:28" ht="14.25" hidden="1" customHeight="1">
      <c r="A202" s="163" t="s">
        <v>279</v>
      </c>
      <c r="B202" s="164">
        <v>45604</v>
      </c>
      <c r="C202" s="163"/>
      <c r="D202" s="163" t="s">
        <v>281</v>
      </c>
      <c r="E202" s="163" t="s">
        <v>330</v>
      </c>
      <c r="F202" s="168">
        <v>-0.5</v>
      </c>
      <c r="G202" s="165">
        <f t="shared" si="2"/>
        <v>37756.87000000001</v>
      </c>
      <c r="H202" s="163"/>
      <c r="I202" s="163" t="s">
        <v>331</v>
      </c>
      <c r="J202" s="163" t="s">
        <v>731</v>
      </c>
      <c r="K202" s="163"/>
      <c r="L202" s="163"/>
      <c r="M202" s="163"/>
      <c r="N202" s="163" t="s">
        <v>333</v>
      </c>
      <c r="O202" s="163"/>
      <c r="P202" s="163"/>
      <c r="Q202" s="163"/>
      <c r="R202" s="163"/>
      <c r="S202" s="163"/>
      <c r="T202" s="43">
        <f t="shared" si="0"/>
        <v>11</v>
      </c>
      <c r="U202" s="166">
        <f t="shared" si="1"/>
        <v>45604</v>
      </c>
      <c r="V202" s="166"/>
      <c r="W202" s="43"/>
      <c r="X202" s="43"/>
      <c r="Y202" s="43"/>
      <c r="Z202" s="43"/>
      <c r="AA202" s="43"/>
      <c r="AB202" s="43"/>
    </row>
    <row r="203" spans="1:28" ht="14.25" hidden="1" customHeight="1">
      <c r="A203" s="163" t="s">
        <v>279</v>
      </c>
      <c r="B203" s="164">
        <v>45604</v>
      </c>
      <c r="C203" s="163" t="s">
        <v>380</v>
      </c>
      <c r="D203" s="163" t="s">
        <v>281</v>
      </c>
      <c r="E203" s="163" t="s">
        <v>381</v>
      </c>
      <c r="F203" s="168">
        <v>-700.2</v>
      </c>
      <c r="G203" s="165">
        <f t="shared" si="2"/>
        <v>37056.670000000013</v>
      </c>
      <c r="H203" s="163"/>
      <c r="I203" s="163" t="s">
        <v>283</v>
      </c>
      <c r="J203" s="163" t="s">
        <v>732</v>
      </c>
      <c r="K203" s="163"/>
      <c r="L203" s="163"/>
      <c r="M203" s="163"/>
      <c r="N203" s="163" t="s">
        <v>383</v>
      </c>
      <c r="O203" s="163"/>
      <c r="P203" s="163"/>
      <c r="Q203" s="163"/>
      <c r="R203" s="163" t="s">
        <v>353</v>
      </c>
      <c r="S203" s="163" t="s">
        <v>354</v>
      </c>
      <c r="T203" s="43">
        <f t="shared" si="0"/>
        <v>11</v>
      </c>
      <c r="U203" s="166">
        <f t="shared" si="1"/>
        <v>45604</v>
      </c>
      <c r="V203" s="166"/>
      <c r="W203" s="43"/>
      <c r="X203" s="43"/>
      <c r="Y203" s="43"/>
      <c r="Z203" s="43"/>
      <c r="AA203" s="43"/>
      <c r="AB203" s="43"/>
    </row>
    <row r="204" spans="1:28" ht="14.25" hidden="1" customHeight="1">
      <c r="A204" s="163" t="s">
        <v>279</v>
      </c>
      <c r="B204" s="164">
        <v>45604</v>
      </c>
      <c r="C204" s="163"/>
      <c r="D204" s="163" t="s">
        <v>281</v>
      </c>
      <c r="E204" s="163" t="s">
        <v>330</v>
      </c>
      <c r="F204" s="168">
        <v>-1.99</v>
      </c>
      <c r="G204" s="165">
        <f t="shared" si="2"/>
        <v>37054.680000000015</v>
      </c>
      <c r="H204" s="163"/>
      <c r="I204" s="163" t="s">
        <v>331</v>
      </c>
      <c r="J204" s="163" t="s">
        <v>733</v>
      </c>
      <c r="K204" s="163"/>
      <c r="L204" s="163"/>
      <c r="M204" s="163"/>
      <c r="N204" s="163" t="s">
        <v>333</v>
      </c>
      <c r="O204" s="163"/>
      <c r="P204" s="163" t="s">
        <v>57</v>
      </c>
      <c r="Q204" s="163"/>
      <c r="R204" s="163"/>
      <c r="S204" s="163"/>
      <c r="T204" s="43">
        <f t="shared" si="0"/>
        <v>11</v>
      </c>
      <c r="U204" s="166">
        <f t="shared" si="1"/>
        <v>45604</v>
      </c>
      <c r="V204" s="166"/>
      <c r="W204" s="43"/>
      <c r="X204" s="43"/>
      <c r="Y204" s="43"/>
      <c r="Z204" s="43"/>
      <c r="AA204" s="43"/>
      <c r="AB204" s="43"/>
    </row>
    <row r="205" spans="1:28" ht="14.25" hidden="1" customHeight="1">
      <c r="A205" s="163" t="s">
        <v>279</v>
      </c>
      <c r="B205" s="164">
        <v>45604</v>
      </c>
      <c r="C205" s="163"/>
      <c r="D205" s="163" t="s">
        <v>281</v>
      </c>
      <c r="E205" s="163" t="s">
        <v>330</v>
      </c>
      <c r="F205" s="168">
        <v>-0.5</v>
      </c>
      <c r="G205" s="165">
        <f t="shared" si="2"/>
        <v>37054.180000000015</v>
      </c>
      <c r="H205" s="163"/>
      <c r="I205" s="163" t="s">
        <v>331</v>
      </c>
      <c r="J205" s="163" t="s">
        <v>734</v>
      </c>
      <c r="K205" s="163"/>
      <c r="L205" s="163"/>
      <c r="M205" s="163"/>
      <c r="N205" s="163" t="s">
        <v>333</v>
      </c>
      <c r="O205" s="163"/>
      <c r="P205" s="163"/>
      <c r="Q205" s="163"/>
      <c r="R205" s="163"/>
      <c r="S205" s="163"/>
      <c r="T205" s="43">
        <f t="shared" si="0"/>
        <v>11</v>
      </c>
      <c r="U205" s="166">
        <f t="shared" si="1"/>
        <v>45604</v>
      </c>
      <c r="V205" s="166"/>
      <c r="W205" s="43"/>
      <c r="X205" s="43"/>
      <c r="Y205" s="43"/>
      <c r="Z205" s="43"/>
      <c r="AA205" s="43"/>
      <c r="AB205" s="43"/>
    </row>
    <row r="206" spans="1:28" ht="14.25" hidden="1" customHeight="1">
      <c r="A206" s="163" t="s">
        <v>279</v>
      </c>
      <c r="B206" s="164">
        <v>45604</v>
      </c>
      <c r="C206" s="163"/>
      <c r="D206" s="163" t="s">
        <v>281</v>
      </c>
      <c r="E206" s="163" t="s">
        <v>330</v>
      </c>
      <c r="F206" s="168">
        <v>-1.99</v>
      </c>
      <c r="G206" s="165">
        <f t="shared" si="2"/>
        <v>37052.190000000017</v>
      </c>
      <c r="H206" s="163"/>
      <c r="I206" s="163" t="s">
        <v>331</v>
      </c>
      <c r="J206" s="163" t="s">
        <v>735</v>
      </c>
      <c r="K206" s="163"/>
      <c r="L206" s="163"/>
      <c r="M206" s="163"/>
      <c r="N206" s="163" t="s">
        <v>333</v>
      </c>
      <c r="O206" s="163"/>
      <c r="P206" s="163" t="s">
        <v>418</v>
      </c>
      <c r="Q206" s="163"/>
      <c r="R206" s="163"/>
      <c r="S206" s="163"/>
      <c r="T206" s="43">
        <f t="shared" si="0"/>
        <v>11</v>
      </c>
      <c r="U206" s="166">
        <f t="shared" si="1"/>
        <v>45604</v>
      </c>
      <c r="V206" s="167"/>
      <c r="W206" s="43"/>
      <c r="X206" s="43"/>
      <c r="Y206" s="43"/>
      <c r="Z206" s="43"/>
      <c r="AA206" s="43"/>
      <c r="AB206" s="43"/>
    </row>
    <row r="207" spans="1:28" ht="14.25" hidden="1" customHeight="1">
      <c r="A207" s="163"/>
      <c r="B207" s="164">
        <v>45604</v>
      </c>
      <c r="C207" s="163" t="s">
        <v>346</v>
      </c>
      <c r="D207" s="163"/>
      <c r="E207" s="163"/>
      <c r="F207" s="165">
        <v>0</v>
      </c>
      <c r="G207" s="165">
        <f t="shared" si="2"/>
        <v>37052.190000000017</v>
      </c>
      <c r="H207" s="163"/>
      <c r="I207" s="163"/>
      <c r="J207" s="163"/>
      <c r="K207" s="163"/>
      <c r="L207" s="163"/>
      <c r="M207" s="163"/>
      <c r="N207" s="163"/>
      <c r="O207" s="163"/>
      <c r="P207" s="163"/>
      <c r="Q207" s="163"/>
      <c r="R207" s="163"/>
      <c r="S207" s="163"/>
      <c r="T207" s="43">
        <f t="shared" si="0"/>
        <v>11</v>
      </c>
      <c r="U207" s="166">
        <f t="shared" si="1"/>
        <v>45604</v>
      </c>
      <c r="V207" s="167"/>
      <c r="W207" s="43"/>
      <c r="X207" s="43"/>
      <c r="Y207" s="43"/>
      <c r="Z207" s="43"/>
      <c r="AA207" s="43"/>
      <c r="AB207" s="43"/>
    </row>
    <row r="208" spans="1:28" ht="14.25" hidden="1" customHeight="1">
      <c r="A208" s="163"/>
      <c r="B208" s="164">
        <v>45605</v>
      </c>
      <c r="C208" s="163" t="s">
        <v>346</v>
      </c>
      <c r="D208" s="163"/>
      <c r="E208" s="163"/>
      <c r="F208" s="165">
        <v>0</v>
      </c>
      <c r="G208" s="165">
        <f t="shared" si="2"/>
        <v>37052.190000000017</v>
      </c>
      <c r="H208" s="163"/>
      <c r="I208" s="163"/>
      <c r="J208" s="163"/>
      <c r="K208" s="163"/>
      <c r="L208" s="163"/>
      <c r="M208" s="163"/>
      <c r="N208" s="163"/>
      <c r="O208" s="163"/>
      <c r="P208" s="163"/>
      <c r="Q208" s="163"/>
      <c r="R208" s="163"/>
      <c r="S208" s="163"/>
      <c r="T208" s="43">
        <f t="shared" si="0"/>
        <v>11</v>
      </c>
      <c r="U208" s="166">
        <f t="shared" si="1"/>
        <v>45605</v>
      </c>
      <c r="V208" s="167"/>
      <c r="W208" s="43"/>
      <c r="X208" s="43"/>
      <c r="Y208" s="43"/>
      <c r="Z208" s="43"/>
      <c r="AA208" s="43"/>
      <c r="AB208" s="43"/>
    </row>
    <row r="209" spans="1:28" ht="14.25" hidden="1" customHeight="1">
      <c r="A209" s="163"/>
      <c r="B209" s="164">
        <v>45606</v>
      </c>
      <c r="C209" s="163" t="s">
        <v>346</v>
      </c>
      <c r="D209" s="163"/>
      <c r="E209" s="163"/>
      <c r="F209" s="165">
        <v>0</v>
      </c>
      <c r="G209" s="165">
        <f t="shared" si="2"/>
        <v>37052.190000000017</v>
      </c>
      <c r="H209" s="163"/>
      <c r="I209" s="163"/>
      <c r="J209" s="163"/>
      <c r="K209" s="163"/>
      <c r="L209" s="163"/>
      <c r="M209" s="163"/>
      <c r="N209" s="163"/>
      <c r="O209" s="163"/>
      <c r="P209" s="163"/>
      <c r="Q209" s="163"/>
      <c r="R209" s="163"/>
      <c r="S209" s="163"/>
      <c r="T209" s="43">
        <f t="shared" si="0"/>
        <v>11</v>
      </c>
      <c r="U209" s="166">
        <f t="shared" si="1"/>
        <v>45606</v>
      </c>
      <c r="V209" s="167"/>
      <c r="W209" s="43"/>
      <c r="X209" s="43"/>
      <c r="Y209" s="43"/>
      <c r="Z209" s="43"/>
      <c r="AA209" s="43"/>
      <c r="AB209" s="43"/>
    </row>
    <row r="210" spans="1:28" ht="14.25" hidden="1" customHeight="1">
      <c r="A210" s="163" t="s">
        <v>279</v>
      </c>
      <c r="B210" s="164">
        <v>45607</v>
      </c>
      <c r="C210" s="163" t="s">
        <v>736</v>
      </c>
      <c r="D210" s="163" t="s">
        <v>281</v>
      </c>
      <c r="E210" s="163" t="s">
        <v>407</v>
      </c>
      <c r="F210" s="165">
        <v>3150</v>
      </c>
      <c r="G210" s="165">
        <f t="shared" si="2"/>
        <v>40202.190000000017</v>
      </c>
      <c r="H210" s="163"/>
      <c r="I210" s="163" t="s">
        <v>342</v>
      </c>
      <c r="J210" s="163" t="s">
        <v>737</v>
      </c>
      <c r="K210" s="163" t="s">
        <v>738</v>
      </c>
      <c r="L210" s="163" t="s">
        <v>305</v>
      </c>
      <c r="M210" s="163" t="s">
        <v>739</v>
      </c>
      <c r="N210" s="163" t="s">
        <v>411</v>
      </c>
      <c r="O210" s="163" t="s">
        <v>740</v>
      </c>
      <c r="P210" s="163" t="s">
        <v>57</v>
      </c>
      <c r="Q210" s="163"/>
      <c r="R210" s="163" t="s">
        <v>741</v>
      </c>
      <c r="S210" s="163" t="s">
        <v>742</v>
      </c>
      <c r="T210" s="43">
        <f t="shared" si="0"/>
        <v>11</v>
      </c>
      <c r="U210" s="166">
        <f t="shared" si="1"/>
        <v>45607</v>
      </c>
      <c r="V210" s="167"/>
      <c r="W210" s="43"/>
      <c r="X210" s="43"/>
      <c r="Y210" s="43"/>
      <c r="Z210" s="43"/>
      <c r="AA210" s="43"/>
      <c r="AB210" s="43"/>
    </row>
    <row r="211" spans="1:28" ht="14.25" hidden="1" customHeight="1">
      <c r="A211" s="163" t="s">
        <v>279</v>
      </c>
      <c r="B211" s="164">
        <v>45607</v>
      </c>
      <c r="C211" s="163" t="s">
        <v>743</v>
      </c>
      <c r="D211" s="163" t="s">
        <v>281</v>
      </c>
      <c r="E211" s="163" t="s">
        <v>612</v>
      </c>
      <c r="F211" s="165">
        <v>2840.03</v>
      </c>
      <c r="G211" s="165">
        <f t="shared" si="2"/>
        <v>43042.220000000016</v>
      </c>
      <c r="H211" s="163"/>
      <c r="I211" s="163" t="s">
        <v>283</v>
      </c>
      <c r="J211" s="163" t="s">
        <v>744</v>
      </c>
      <c r="K211" s="163"/>
      <c r="L211" s="163"/>
      <c r="M211" s="163"/>
      <c r="N211" s="163" t="s">
        <v>614</v>
      </c>
      <c r="O211" s="163"/>
      <c r="P211" s="163"/>
      <c r="Q211" s="163"/>
      <c r="R211" s="163" t="s">
        <v>353</v>
      </c>
      <c r="S211" s="163" t="s">
        <v>354</v>
      </c>
      <c r="T211" s="43">
        <f t="shared" si="0"/>
        <v>11</v>
      </c>
      <c r="U211" s="166">
        <f t="shared" si="1"/>
        <v>45607</v>
      </c>
      <c r="V211" s="167"/>
      <c r="W211" s="43"/>
      <c r="X211" s="43"/>
      <c r="Y211" s="43"/>
      <c r="Z211" s="43"/>
      <c r="AA211" s="43"/>
      <c r="AB211" s="43"/>
    </row>
    <row r="212" spans="1:28" ht="14.25" hidden="1" customHeight="1">
      <c r="A212" s="163" t="s">
        <v>279</v>
      </c>
      <c r="B212" s="164">
        <v>45607</v>
      </c>
      <c r="C212" s="163" t="s">
        <v>280</v>
      </c>
      <c r="D212" s="163" t="s">
        <v>281</v>
      </c>
      <c r="E212" s="163" t="s">
        <v>282</v>
      </c>
      <c r="F212" s="165">
        <v>17850</v>
      </c>
      <c r="G212" s="165">
        <f t="shared" si="2"/>
        <v>60892.220000000016</v>
      </c>
      <c r="H212" s="163"/>
      <c r="I212" s="163" t="s">
        <v>283</v>
      </c>
      <c r="J212" s="163" t="s">
        <v>745</v>
      </c>
      <c r="K212" s="163"/>
      <c r="L212" s="163"/>
      <c r="M212" s="163"/>
      <c r="N212" s="163" t="s">
        <v>285</v>
      </c>
      <c r="O212" s="163"/>
      <c r="P212" s="163"/>
      <c r="Q212" s="163"/>
      <c r="R212" s="163" t="s">
        <v>286</v>
      </c>
      <c r="S212" s="163" t="s">
        <v>287</v>
      </c>
      <c r="T212" s="43">
        <f t="shared" si="0"/>
        <v>11</v>
      </c>
      <c r="U212" s="166">
        <f t="shared" si="1"/>
        <v>45607</v>
      </c>
      <c r="V212" s="167"/>
      <c r="W212" s="43"/>
      <c r="X212" s="43"/>
      <c r="Y212" s="43"/>
      <c r="Z212" s="43"/>
      <c r="AA212" s="43"/>
      <c r="AB212" s="43"/>
    </row>
    <row r="213" spans="1:28" ht="14.25" hidden="1" customHeight="1">
      <c r="A213" s="163" t="s">
        <v>609</v>
      </c>
      <c r="B213" s="164">
        <v>45607</v>
      </c>
      <c r="C213" s="163" t="s">
        <v>616</v>
      </c>
      <c r="D213" s="163" t="s">
        <v>616</v>
      </c>
      <c r="E213" s="163" t="s">
        <v>330</v>
      </c>
      <c r="F213" s="168">
        <v>-160</v>
      </c>
      <c r="G213" s="165">
        <f t="shared" si="2"/>
        <v>60732.220000000016</v>
      </c>
      <c r="H213" s="163"/>
      <c r="I213" s="163" t="s">
        <v>342</v>
      </c>
      <c r="J213" s="163" t="s">
        <v>746</v>
      </c>
      <c r="K213" s="163"/>
      <c r="L213" s="163"/>
      <c r="M213" s="163"/>
      <c r="N213" s="163" t="s">
        <v>333</v>
      </c>
      <c r="O213" s="163"/>
      <c r="P213" s="163"/>
      <c r="Q213" s="163"/>
      <c r="R213" s="163" t="s">
        <v>616</v>
      </c>
      <c r="S213" s="163"/>
      <c r="T213" s="43">
        <f t="shared" si="0"/>
        <v>11</v>
      </c>
      <c r="U213" s="166">
        <f t="shared" si="1"/>
        <v>45607</v>
      </c>
      <c r="V213" s="167"/>
      <c r="W213" s="43"/>
      <c r="X213" s="43"/>
      <c r="Y213" s="43"/>
      <c r="Z213" s="43"/>
      <c r="AA213" s="43"/>
      <c r="AB213" s="43"/>
    </row>
    <row r="214" spans="1:28" ht="14.25" hidden="1" customHeight="1">
      <c r="A214" s="163" t="s">
        <v>279</v>
      </c>
      <c r="B214" s="164">
        <v>45607</v>
      </c>
      <c r="C214" s="163"/>
      <c r="D214" s="163" t="s">
        <v>281</v>
      </c>
      <c r="E214" s="163" t="s">
        <v>330</v>
      </c>
      <c r="F214" s="168">
        <v>-1.99</v>
      </c>
      <c r="G214" s="165">
        <f t="shared" si="2"/>
        <v>60730.230000000018</v>
      </c>
      <c r="H214" s="163"/>
      <c r="I214" s="163" t="s">
        <v>331</v>
      </c>
      <c r="J214" s="163" t="s">
        <v>747</v>
      </c>
      <c r="K214" s="163"/>
      <c r="L214" s="163"/>
      <c r="M214" s="163"/>
      <c r="N214" s="163" t="s">
        <v>333</v>
      </c>
      <c r="O214" s="163"/>
      <c r="P214" s="163" t="s">
        <v>57</v>
      </c>
      <c r="Q214" s="163"/>
      <c r="R214" s="163"/>
      <c r="S214" s="163"/>
      <c r="T214" s="43">
        <f t="shared" si="0"/>
        <v>11</v>
      </c>
      <c r="U214" s="166">
        <f t="shared" si="1"/>
        <v>45607</v>
      </c>
      <c r="V214" s="167"/>
      <c r="W214" s="43"/>
      <c r="X214" s="43"/>
      <c r="Y214" s="43"/>
      <c r="Z214" s="43"/>
      <c r="AA214" s="43"/>
      <c r="AB214" s="43"/>
    </row>
    <row r="215" spans="1:28" ht="14.25" hidden="1" customHeight="1">
      <c r="A215" s="163" t="s">
        <v>279</v>
      </c>
      <c r="B215" s="164">
        <v>45607</v>
      </c>
      <c r="C215" s="163" t="s">
        <v>748</v>
      </c>
      <c r="D215" s="163" t="s">
        <v>281</v>
      </c>
      <c r="E215" s="163" t="s">
        <v>202</v>
      </c>
      <c r="F215" s="168">
        <v>-665</v>
      </c>
      <c r="G215" s="165">
        <f t="shared" si="2"/>
        <v>60065.230000000018</v>
      </c>
      <c r="H215" s="163"/>
      <c r="I215" s="163" t="s">
        <v>283</v>
      </c>
      <c r="J215" s="163"/>
      <c r="K215" s="163"/>
      <c r="L215" s="163" t="s">
        <v>305</v>
      </c>
      <c r="M215" s="163" t="s">
        <v>749</v>
      </c>
      <c r="N215" s="163" t="s">
        <v>297</v>
      </c>
      <c r="O215" s="163"/>
      <c r="P215" s="163"/>
      <c r="Q215" s="163"/>
      <c r="R215" s="163" t="s">
        <v>748</v>
      </c>
      <c r="S215" s="163" t="s">
        <v>750</v>
      </c>
      <c r="T215" s="43">
        <f t="shared" si="0"/>
        <v>11</v>
      </c>
      <c r="U215" s="166">
        <f t="shared" si="1"/>
        <v>45607</v>
      </c>
      <c r="V215" s="167"/>
      <c r="W215" s="43"/>
      <c r="X215" s="43"/>
      <c r="Y215" s="43"/>
      <c r="Z215" s="43"/>
      <c r="AA215" s="43"/>
      <c r="AB215" s="43"/>
    </row>
    <row r="216" spans="1:28" ht="14.25" hidden="1" customHeight="1">
      <c r="A216" s="163" t="s">
        <v>279</v>
      </c>
      <c r="B216" s="164">
        <v>45607</v>
      </c>
      <c r="C216" s="163" t="s">
        <v>751</v>
      </c>
      <c r="D216" s="163" t="s">
        <v>281</v>
      </c>
      <c r="E216" s="163" t="s">
        <v>202</v>
      </c>
      <c r="F216" s="168">
        <v>-6097.25</v>
      </c>
      <c r="G216" s="165">
        <f t="shared" si="2"/>
        <v>53967.980000000018</v>
      </c>
      <c r="H216" s="163"/>
      <c r="I216" s="163" t="s">
        <v>283</v>
      </c>
      <c r="J216" s="163"/>
      <c r="K216" s="163"/>
      <c r="L216" s="163" t="s">
        <v>477</v>
      </c>
      <c r="M216" s="163" t="s">
        <v>752</v>
      </c>
      <c r="N216" s="163" t="s">
        <v>297</v>
      </c>
      <c r="O216" s="163"/>
      <c r="P216" s="163"/>
      <c r="Q216" s="163"/>
      <c r="R216" s="163" t="s">
        <v>753</v>
      </c>
      <c r="S216" s="163" t="s">
        <v>754</v>
      </c>
      <c r="T216" s="43">
        <f t="shared" si="0"/>
        <v>11</v>
      </c>
      <c r="U216" s="166">
        <f t="shared" si="1"/>
        <v>45607</v>
      </c>
      <c r="V216" s="167"/>
      <c r="W216" s="43"/>
      <c r="X216" s="43"/>
      <c r="Y216" s="43"/>
      <c r="Z216" s="43"/>
      <c r="AA216" s="43"/>
      <c r="AB216" s="43"/>
    </row>
    <row r="217" spans="1:28" ht="14.25" hidden="1" customHeight="1">
      <c r="A217" s="163" t="s">
        <v>279</v>
      </c>
      <c r="B217" s="164">
        <v>45607</v>
      </c>
      <c r="C217" s="163"/>
      <c r="D217" s="163" t="s">
        <v>281</v>
      </c>
      <c r="E217" s="163" t="s">
        <v>330</v>
      </c>
      <c r="F217" s="168">
        <v>-0.5</v>
      </c>
      <c r="G217" s="165">
        <f t="shared" si="2"/>
        <v>53967.480000000018</v>
      </c>
      <c r="H217" s="163"/>
      <c r="I217" s="163" t="s">
        <v>331</v>
      </c>
      <c r="J217" s="163" t="s">
        <v>755</v>
      </c>
      <c r="K217" s="163"/>
      <c r="L217" s="163"/>
      <c r="M217" s="163"/>
      <c r="N217" s="163" t="s">
        <v>333</v>
      </c>
      <c r="O217" s="163"/>
      <c r="P217" s="163"/>
      <c r="Q217" s="163"/>
      <c r="R217" s="163"/>
      <c r="S217" s="163"/>
      <c r="T217" s="43">
        <f t="shared" si="0"/>
        <v>11</v>
      </c>
      <c r="U217" s="166">
        <f t="shared" si="1"/>
        <v>45607</v>
      </c>
      <c r="V217" s="167"/>
      <c r="W217" s="43"/>
      <c r="X217" s="43"/>
      <c r="Y217" s="43"/>
      <c r="Z217" s="43"/>
      <c r="AA217" s="43"/>
      <c r="AB217" s="43"/>
    </row>
    <row r="218" spans="1:28" ht="14.25" hidden="1" customHeight="1">
      <c r="A218" s="163" t="s">
        <v>279</v>
      </c>
      <c r="B218" s="164">
        <v>45607</v>
      </c>
      <c r="C218" s="163"/>
      <c r="D218" s="163" t="s">
        <v>281</v>
      </c>
      <c r="E218" s="163" t="s">
        <v>330</v>
      </c>
      <c r="F218" s="168">
        <v>-0.5</v>
      </c>
      <c r="G218" s="165">
        <f t="shared" si="2"/>
        <v>53966.980000000018</v>
      </c>
      <c r="H218" s="163"/>
      <c r="I218" s="163" t="s">
        <v>331</v>
      </c>
      <c r="J218" s="163" t="s">
        <v>755</v>
      </c>
      <c r="K218" s="163"/>
      <c r="L218" s="163"/>
      <c r="M218" s="163"/>
      <c r="N218" s="163" t="s">
        <v>333</v>
      </c>
      <c r="O218" s="163"/>
      <c r="P218" s="163"/>
      <c r="Q218" s="163"/>
      <c r="R218" s="163"/>
      <c r="S218" s="163"/>
      <c r="T218" s="43">
        <f t="shared" si="0"/>
        <v>11</v>
      </c>
      <c r="U218" s="166">
        <f t="shared" si="1"/>
        <v>45607</v>
      </c>
      <c r="V218" s="167"/>
      <c r="W218" s="43"/>
      <c r="X218" s="43"/>
      <c r="Y218" s="43"/>
      <c r="Z218" s="43"/>
      <c r="AA218" s="43"/>
      <c r="AB218" s="43"/>
    </row>
    <row r="219" spans="1:28" ht="14.25" hidden="1" customHeight="1">
      <c r="A219" s="163" t="s">
        <v>279</v>
      </c>
      <c r="B219" s="164">
        <v>45607</v>
      </c>
      <c r="C219" s="163"/>
      <c r="D219" s="163" t="s">
        <v>281</v>
      </c>
      <c r="E219" s="163" t="s">
        <v>330</v>
      </c>
      <c r="F219" s="168">
        <v>-0.5</v>
      </c>
      <c r="G219" s="165">
        <f t="shared" si="2"/>
        <v>53966.480000000018</v>
      </c>
      <c r="H219" s="163"/>
      <c r="I219" s="163" t="s">
        <v>331</v>
      </c>
      <c r="J219" s="163" t="s">
        <v>755</v>
      </c>
      <c r="K219" s="163"/>
      <c r="L219" s="163"/>
      <c r="M219" s="163"/>
      <c r="N219" s="163" t="s">
        <v>333</v>
      </c>
      <c r="O219" s="163"/>
      <c r="P219" s="163"/>
      <c r="Q219" s="163"/>
      <c r="R219" s="163"/>
      <c r="S219" s="163"/>
      <c r="T219" s="43">
        <f t="shared" si="0"/>
        <v>11</v>
      </c>
      <c r="U219" s="166">
        <f t="shared" si="1"/>
        <v>45607</v>
      </c>
      <c r="V219" s="166"/>
      <c r="W219" s="43"/>
      <c r="X219" s="43"/>
      <c r="Y219" s="43"/>
      <c r="Z219" s="43"/>
      <c r="AA219" s="43"/>
      <c r="AB219" s="43"/>
    </row>
    <row r="220" spans="1:28" hidden="1">
      <c r="A220" s="163" t="s">
        <v>279</v>
      </c>
      <c r="B220" s="164">
        <v>45607</v>
      </c>
      <c r="C220" s="163" t="s">
        <v>756</v>
      </c>
      <c r="D220" s="163" t="s">
        <v>281</v>
      </c>
      <c r="E220" s="163" t="s">
        <v>202</v>
      </c>
      <c r="F220" s="168">
        <v>-8500</v>
      </c>
      <c r="G220" s="165">
        <f t="shared" si="2"/>
        <v>45466.480000000018</v>
      </c>
      <c r="H220" s="163"/>
      <c r="I220" s="163" t="s">
        <v>283</v>
      </c>
      <c r="J220" s="163"/>
      <c r="K220" s="163"/>
      <c r="L220" s="163" t="s">
        <v>343</v>
      </c>
      <c r="M220" s="163" t="s">
        <v>757</v>
      </c>
      <c r="N220" s="163" t="s">
        <v>297</v>
      </c>
      <c r="O220" s="163"/>
      <c r="P220" s="163"/>
      <c r="Q220" s="163"/>
      <c r="R220" s="163" t="s">
        <v>758</v>
      </c>
      <c r="S220" s="163" t="s">
        <v>759</v>
      </c>
      <c r="T220" s="94">
        <f t="shared" si="0"/>
        <v>11</v>
      </c>
      <c r="U220" s="173">
        <f t="shared" si="1"/>
        <v>45607</v>
      </c>
      <c r="V220" s="167"/>
      <c r="W220" s="43"/>
      <c r="X220" s="43"/>
      <c r="Y220" s="43"/>
      <c r="Z220" s="43"/>
      <c r="AA220" s="43"/>
      <c r="AB220" s="43"/>
    </row>
    <row r="221" spans="1:28" ht="14.25" hidden="1" customHeight="1">
      <c r="A221" s="163" t="s">
        <v>279</v>
      </c>
      <c r="B221" s="164">
        <v>45607</v>
      </c>
      <c r="C221" s="163" t="s">
        <v>183</v>
      </c>
      <c r="D221" s="163" t="s">
        <v>281</v>
      </c>
      <c r="E221" s="163" t="s">
        <v>760</v>
      </c>
      <c r="F221" s="168">
        <v>-217.74</v>
      </c>
      <c r="G221" s="165">
        <f t="shared" si="2"/>
        <v>45248.74000000002</v>
      </c>
      <c r="H221" s="163"/>
      <c r="I221" s="163" t="s">
        <v>283</v>
      </c>
      <c r="J221" s="163"/>
      <c r="K221" s="163"/>
      <c r="L221" s="163" t="s">
        <v>686</v>
      </c>
      <c r="M221" s="163" t="s">
        <v>761</v>
      </c>
      <c r="N221" s="163" t="s">
        <v>297</v>
      </c>
      <c r="O221" s="163"/>
      <c r="P221" s="163"/>
      <c r="Q221" s="163"/>
      <c r="R221" s="163" t="s">
        <v>762</v>
      </c>
      <c r="S221" s="163" t="s">
        <v>79</v>
      </c>
      <c r="T221" s="94">
        <f t="shared" si="0"/>
        <v>11</v>
      </c>
      <c r="U221" s="173">
        <f t="shared" si="1"/>
        <v>45607</v>
      </c>
      <c r="V221" s="166"/>
      <c r="W221" s="43"/>
      <c r="X221" s="43"/>
      <c r="Y221" s="43"/>
      <c r="Z221" s="43"/>
      <c r="AA221" s="43"/>
      <c r="AB221" s="43"/>
    </row>
    <row r="222" spans="1:28" ht="14.25" hidden="1" customHeight="1">
      <c r="A222" s="163" t="s">
        <v>279</v>
      </c>
      <c r="B222" s="164">
        <v>45607</v>
      </c>
      <c r="C222" s="163" t="s">
        <v>181</v>
      </c>
      <c r="D222" s="163" t="s">
        <v>281</v>
      </c>
      <c r="E222" s="163" t="s">
        <v>760</v>
      </c>
      <c r="F222" s="168">
        <v>-6960.21</v>
      </c>
      <c r="G222" s="165">
        <f t="shared" si="2"/>
        <v>38288.530000000021</v>
      </c>
      <c r="H222" s="163"/>
      <c r="I222" s="163" t="s">
        <v>283</v>
      </c>
      <c r="J222" s="163"/>
      <c r="K222" s="163"/>
      <c r="L222" s="163" t="s">
        <v>686</v>
      </c>
      <c r="M222" s="163" t="s">
        <v>763</v>
      </c>
      <c r="N222" s="163" t="s">
        <v>297</v>
      </c>
      <c r="O222" s="163"/>
      <c r="P222" s="163"/>
      <c r="Q222" s="163"/>
      <c r="R222" s="163" t="s">
        <v>764</v>
      </c>
      <c r="S222" s="163" t="s">
        <v>80</v>
      </c>
      <c r="T222" s="43">
        <f t="shared" si="0"/>
        <v>11</v>
      </c>
      <c r="U222" s="166">
        <f t="shared" si="1"/>
        <v>45607</v>
      </c>
      <c r="V222" s="167"/>
      <c r="W222" s="43"/>
      <c r="X222" s="43"/>
      <c r="Y222" s="43"/>
      <c r="Z222" s="43"/>
      <c r="AA222" s="43"/>
      <c r="AB222" s="43"/>
    </row>
    <row r="223" spans="1:28" ht="14.25" hidden="1" customHeight="1">
      <c r="A223" s="163" t="s">
        <v>279</v>
      </c>
      <c r="B223" s="164">
        <v>45607</v>
      </c>
      <c r="C223" s="163" t="s">
        <v>765</v>
      </c>
      <c r="D223" s="163" t="s">
        <v>281</v>
      </c>
      <c r="E223" s="163" t="s">
        <v>760</v>
      </c>
      <c r="F223" s="168">
        <v>-1140.1600000000001</v>
      </c>
      <c r="G223" s="165">
        <f t="shared" si="2"/>
        <v>37148.370000000017</v>
      </c>
      <c r="H223" s="163"/>
      <c r="I223" s="163" t="s">
        <v>283</v>
      </c>
      <c r="J223" s="163"/>
      <c r="K223" s="163"/>
      <c r="L223" s="163" t="s">
        <v>766</v>
      </c>
      <c r="M223" s="163" t="s">
        <v>767</v>
      </c>
      <c r="N223" s="163" t="s">
        <v>297</v>
      </c>
      <c r="O223" s="163"/>
      <c r="P223" s="163"/>
      <c r="Q223" s="163"/>
      <c r="R223" s="163" t="s">
        <v>765</v>
      </c>
      <c r="S223" s="163" t="s">
        <v>768</v>
      </c>
      <c r="T223" s="43">
        <f t="shared" si="0"/>
        <v>11</v>
      </c>
      <c r="U223" s="166">
        <f t="shared" si="1"/>
        <v>45607</v>
      </c>
      <c r="V223" s="167"/>
      <c r="W223" s="43"/>
      <c r="X223" s="43"/>
      <c r="Y223" s="43"/>
      <c r="Z223" s="43"/>
      <c r="AA223" s="43"/>
      <c r="AB223" s="43"/>
    </row>
    <row r="224" spans="1:28" ht="14.25" hidden="1" customHeight="1">
      <c r="A224" s="163" t="s">
        <v>279</v>
      </c>
      <c r="B224" s="164">
        <v>45607</v>
      </c>
      <c r="C224" s="163" t="s">
        <v>769</v>
      </c>
      <c r="D224" s="163" t="s">
        <v>281</v>
      </c>
      <c r="E224" s="163" t="s">
        <v>760</v>
      </c>
      <c r="F224" s="168">
        <v>-1446.16</v>
      </c>
      <c r="G224" s="165">
        <f t="shared" si="2"/>
        <v>35702.210000000014</v>
      </c>
      <c r="H224" s="163"/>
      <c r="I224" s="163" t="s">
        <v>283</v>
      </c>
      <c r="J224" s="163"/>
      <c r="K224" s="163"/>
      <c r="L224" s="163" t="s">
        <v>766</v>
      </c>
      <c r="M224" s="163" t="s">
        <v>770</v>
      </c>
      <c r="N224" s="163" t="s">
        <v>297</v>
      </c>
      <c r="O224" s="163"/>
      <c r="P224" s="163"/>
      <c r="Q224" s="163"/>
      <c r="R224" s="163" t="s">
        <v>771</v>
      </c>
      <c r="S224" s="163" t="s">
        <v>772</v>
      </c>
      <c r="T224" s="43">
        <f t="shared" si="0"/>
        <v>11</v>
      </c>
      <c r="U224" s="166">
        <f t="shared" si="1"/>
        <v>45607</v>
      </c>
      <c r="V224" s="167"/>
      <c r="W224" s="43"/>
      <c r="X224" s="43"/>
      <c r="Y224" s="43"/>
      <c r="Z224" s="43"/>
      <c r="AA224" s="43"/>
      <c r="AB224" s="43"/>
    </row>
    <row r="225" spans="1:28" ht="14.25" hidden="1" customHeight="1">
      <c r="A225" s="163" t="s">
        <v>279</v>
      </c>
      <c r="B225" s="164">
        <v>45607</v>
      </c>
      <c r="C225" s="163" t="s">
        <v>773</v>
      </c>
      <c r="D225" s="163" t="s">
        <v>281</v>
      </c>
      <c r="E225" s="163" t="s">
        <v>760</v>
      </c>
      <c r="F225" s="168">
        <v>-135</v>
      </c>
      <c r="G225" s="165">
        <f t="shared" si="2"/>
        <v>35567.210000000014</v>
      </c>
      <c r="H225" s="163"/>
      <c r="I225" s="163" t="s">
        <v>283</v>
      </c>
      <c r="J225" s="163"/>
      <c r="K225" s="163"/>
      <c r="L225" s="163" t="s">
        <v>305</v>
      </c>
      <c r="M225" s="163" t="s">
        <v>774</v>
      </c>
      <c r="N225" s="163" t="s">
        <v>297</v>
      </c>
      <c r="O225" s="163"/>
      <c r="P225" s="163"/>
      <c r="Q225" s="163"/>
      <c r="R225" s="163" t="s">
        <v>775</v>
      </c>
      <c r="S225" s="163" t="s">
        <v>776</v>
      </c>
      <c r="T225" s="43">
        <f t="shared" si="0"/>
        <v>11</v>
      </c>
      <c r="U225" s="166">
        <f t="shared" si="1"/>
        <v>45607</v>
      </c>
      <c r="V225" s="166"/>
      <c r="W225" s="43"/>
      <c r="X225" s="43"/>
      <c r="Y225" s="43"/>
      <c r="Z225" s="43"/>
      <c r="AA225" s="43"/>
      <c r="AB225" s="43"/>
    </row>
    <row r="226" spans="1:28" ht="14.25" hidden="1" customHeight="1">
      <c r="A226" s="163" t="s">
        <v>279</v>
      </c>
      <c r="B226" s="164">
        <v>45607</v>
      </c>
      <c r="C226" s="163" t="s">
        <v>181</v>
      </c>
      <c r="D226" s="163" t="s">
        <v>281</v>
      </c>
      <c r="E226" s="163" t="s">
        <v>760</v>
      </c>
      <c r="F226" s="168">
        <v>-2340</v>
      </c>
      <c r="G226" s="165">
        <f t="shared" si="2"/>
        <v>33227.210000000014</v>
      </c>
      <c r="H226" s="163"/>
      <c r="I226" s="163" t="s">
        <v>283</v>
      </c>
      <c r="J226" s="163"/>
      <c r="K226" s="163"/>
      <c r="L226" s="163" t="s">
        <v>305</v>
      </c>
      <c r="M226" s="163" t="s">
        <v>777</v>
      </c>
      <c r="N226" s="163" t="s">
        <v>297</v>
      </c>
      <c r="O226" s="163"/>
      <c r="P226" s="163"/>
      <c r="Q226" s="163"/>
      <c r="R226" s="163" t="s">
        <v>764</v>
      </c>
      <c r="S226" s="163" t="s">
        <v>80</v>
      </c>
      <c r="T226" s="43">
        <f t="shared" si="0"/>
        <v>11</v>
      </c>
      <c r="U226" s="166">
        <f t="shared" si="1"/>
        <v>45607</v>
      </c>
      <c r="V226" s="166"/>
      <c r="W226" s="43"/>
      <c r="X226" s="43"/>
      <c r="Y226" s="43"/>
      <c r="Z226" s="43"/>
      <c r="AA226" s="43"/>
      <c r="AB226" s="43"/>
    </row>
    <row r="227" spans="1:28" ht="14.25" hidden="1" customHeight="1">
      <c r="A227" s="163" t="s">
        <v>279</v>
      </c>
      <c r="B227" s="164">
        <v>45607</v>
      </c>
      <c r="C227" s="163" t="s">
        <v>778</v>
      </c>
      <c r="D227" s="163" t="s">
        <v>281</v>
      </c>
      <c r="E227" s="163" t="s">
        <v>760</v>
      </c>
      <c r="F227" s="168">
        <v>-2076.31</v>
      </c>
      <c r="G227" s="165">
        <f t="shared" si="2"/>
        <v>31150.900000000012</v>
      </c>
      <c r="H227" s="163"/>
      <c r="I227" s="163" t="s">
        <v>283</v>
      </c>
      <c r="J227" s="163"/>
      <c r="K227" s="163"/>
      <c r="L227" s="163" t="s">
        <v>686</v>
      </c>
      <c r="M227" s="163" t="s">
        <v>779</v>
      </c>
      <c r="N227" s="163" t="s">
        <v>297</v>
      </c>
      <c r="O227" s="163"/>
      <c r="P227" s="163"/>
      <c r="Q227" s="163"/>
      <c r="R227" s="163" t="s">
        <v>780</v>
      </c>
      <c r="S227" s="163" t="s">
        <v>781</v>
      </c>
      <c r="T227" s="43">
        <f t="shared" si="0"/>
        <v>11</v>
      </c>
      <c r="U227" s="166">
        <f t="shared" si="1"/>
        <v>45607</v>
      </c>
      <c r="V227" s="167"/>
      <c r="W227" s="43"/>
      <c r="X227" s="43"/>
      <c r="Y227" s="43"/>
      <c r="Z227" s="43"/>
      <c r="AA227" s="43"/>
      <c r="AB227" s="43"/>
    </row>
    <row r="228" spans="1:28" ht="14.25" hidden="1" customHeight="1">
      <c r="A228" s="163" t="s">
        <v>279</v>
      </c>
      <c r="B228" s="164">
        <v>45607</v>
      </c>
      <c r="C228" s="163"/>
      <c r="D228" s="163" t="s">
        <v>281</v>
      </c>
      <c r="E228" s="163" t="s">
        <v>330</v>
      </c>
      <c r="F228" s="168">
        <v>-0.5</v>
      </c>
      <c r="G228" s="165">
        <f t="shared" si="2"/>
        <v>31150.400000000012</v>
      </c>
      <c r="H228" s="163"/>
      <c r="I228" s="163" t="s">
        <v>331</v>
      </c>
      <c r="J228" s="163" t="s">
        <v>782</v>
      </c>
      <c r="K228" s="163"/>
      <c r="L228" s="163"/>
      <c r="M228" s="163"/>
      <c r="N228" s="163" t="s">
        <v>333</v>
      </c>
      <c r="O228" s="163"/>
      <c r="P228" s="163"/>
      <c r="Q228" s="163"/>
      <c r="R228" s="163"/>
      <c r="S228" s="163"/>
      <c r="T228" s="43">
        <f t="shared" si="0"/>
        <v>11</v>
      </c>
      <c r="U228" s="166">
        <f t="shared" si="1"/>
        <v>45607</v>
      </c>
      <c r="V228" s="167"/>
      <c r="W228" s="43"/>
      <c r="X228" s="43"/>
      <c r="Y228" s="43"/>
      <c r="Z228" s="43"/>
      <c r="AA228" s="43"/>
      <c r="AB228" s="43"/>
    </row>
    <row r="229" spans="1:28" ht="14.25" hidden="1" customHeight="1">
      <c r="A229" s="163" t="s">
        <v>279</v>
      </c>
      <c r="B229" s="164">
        <v>45607</v>
      </c>
      <c r="C229" s="163"/>
      <c r="D229" s="163" t="s">
        <v>281</v>
      </c>
      <c r="E229" s="163" t="s">
        <v>330</v>
      </c>
      <c r="F229" s="168">
        <v>-0.5</v>
      </c>
      <c r="G229" s="165">
        <f t="shared" si="2"/>
        <v>31149.900000000012</v>
      </c>
      <c r="H229" s="163"/>
      <c r="I229" s="163" t="s">
        <v>331</v>
      </c>
      <c r="J229" s="163" t="s">
        <v>783</v>
      </c>
      <c r="K229" s="163"/>
      <c r="L229" s="163"/>
      <c r="M229" s="163"/>
      <c r="N229" s="163" t="s">
        <v>333</v>
      </c>
      <c r="O229" s="163"/>
      <c r="P229" s="163"/>
      <c r="Q229" s="163"/>
      <c r="R229" s="163"/>
      <c r="S229" s="163"/>
      <c r="T229" s="43">
        <f t="shared" si="0"/>
        <v>11</v>
      </c>
      <c r="U229" s="166">
        <f t="shared" si="1"/>
        <v>45607</v>
      </c>
      <c r="V229" s="167"/>
      <c r="W229" s="43"/>
      <c r="X229" s="43"/>
      <c r="Y229" s="43"/>
      <c r="Z229" s="43"/>
      <c r="AA229" s="43"/>
      <c r="AB229" s="43"/>
    </row>
    <row r="230" spans="1:28" ht="14.25" hidden="1" customHeight="1">
      <c r="A230" s="163" t="s">
        <v>279</v>
      </c>
      <c r="B230" s="164">
        <v>45607</v>
      </c>
      <c r="C230" s="163"/>
      <c r="D230" s="163" t="s">
        <v>281</v>
      </c>
      <c r="E230" s="163" t="s">
        <v>330</v>
      </c>
      <c r="F230" s="168">
        <v>-0.5</v>
      </c>
      <c r="G230" s="165">
        <f t="shared" si="2"/>
        <v>31149.400000000012</v>
      </c>
      <c r="H230" s="163"/>
      <c r="I230" s="163" t="s">
        <v>331</v>
      </c>
      <c r="J230" s="163" t="s">
        <v>784</v>
      </c>
      <c r="K230" s="163"/>
      <c r="L230" s="163"/>
      <c r="M230" s="163"/>
      <c r="N230" s="163" t="s">
        <v>333</v>
      </c>
      <c r="O230" s="163"/>
      <c r="P230" s="163"/>
      <c r="Q230" s="163"/>
      <c r="R230" s="163"/>
      <c r="S230" s="163"/>
      <c r="T230" s="43">
        <f t="shared" si="0"/>
        <v>11</v>
      </c>
      <c r="U230" s="166">
        <f t="shared" si="1"/>
        <v>45607</v>
      </c>
      <c r="V230" s="167"/>
      <c r="W230" s="43"/>
      <c r="X230" s="43"/>
      <c r="Y230" s="43"/>
      <c r="Z230" s="43"/>
      <c r="AA230" s="43"/>
      <c r="AB230" s="43"/>
    </row>
    <row r="231" spans="1:28" ht="14.25" hidden="1" customHeight="1">
      <c r="A231" s="163" t="s">
        <v>279</v>
      </c>
      <c r="B231" s="164">
        <v>45607</v>
      </c>
      <c r="C231" s="163"/>
      <c r="D231" s="163" t="s">
        <v>281</v>
      </c>
      <c r="E231" s="163" t="s">
        <v>330</v>
      </c>
      <c r="F231" s="168">
        <v>-0.5</v>
      </c>
      <c r="G231" s="165">
        <f t="shared" si="2"/>
        <v>31148.900000000012</v>
      </c>
      <c r="H231" s="163"/>
      <c r="I231" s="163" t="s">
        <v>331</v>
      </c>
      <c r="J231" s="163" t="s">
        <v>785</v>
      </c>
      <c r="K231" s="163"/>
      <c r="L231" s="163"/>
      <c r="M231" s="163"/>
      <c r="N231" s="163" t="s">
        <v>333</v>
      </c>
      <c r="O231" s="163"/>
      <c r="P231" s="163"/>
      <c r="Q231" s="163"/>
      <c r="R231" s="163"/>
      <c r="S231" s="163"/>
      <c r="T231" s="43">
        <f t="shared" si="0"/>
        <v>11</v>
      </c>
      <c r="U231" s="166">
        <f t="shared" si="1"/>
        <v>45607</v>
      </c>
      <c r="V231" s="167"/>
      <c r="W231" s="43"/>
      <c r="X231" s="43"/>
      <c r="Y231" s="43"/>
      <c r="Z231" s="43"/>
      <c r="AA231" s="43"/>
      <c r="AB231" s="43"/>
    </row>
    <row r="232" spans="1:28" ht="14.25" hidden="1" customHeight="1">
      <c r="A232" s="163" t="s">
        <v>279</v>
      </c>
      <c r="B232" s="164">
        <v>45607</v>
      </c>
      <c r="C232" s="163"/>
      <c r="D232" s="163" t="s">
        <v>281</v>
      </c>
      <c r="E232" s="163" t="s">
        <v>330</v>
      </c>
      <c r="F232" s="168">
        <v>-0.5</v>
      </c>
      <c r="G232" s="165">
        <f t="shared" si="2"/>
        <v>31148.400000000012</v>
      </c>
      <c r="H232" s="163"/>
      <c r="I232" s="163" t="s">
        <v>331</v>
      </c>
      <c r="J232" s="163" t="s">
        <v>786</v>
      </c>
      <c r="K232" s="163"/>
      <c r="L232" s="163"/>
      <c r="M232" s="163"/>
      <c r="N232" s="163" t="s">
        <v>333</v>
      </c>
      <c r="O232" s="163"/>
      <c r="P232" s="163"/>
      <c r="Q232" s="163"/>
      <c r="R232" s="163"/>
      <c r="S232" s="163"/>
      <c r="T232" s="43">
        <v>10</v>
      </c>
      <c r="U232" s="166">
        <f t="shared" si="1"/>
        <v>45607</v>
      </c>
      <c r="V232" s="166"/>
      <c r="W232" s="43"/>
      <c r="X232" s="43"/>
      <c r="Y232" s="43"/>
      <c r="Z232" s="43"/>
      <c r="AA232" s="43"/>
      <c r="AB232" s="43"/>
    </row>
    <row r="233" spans="1:28" ht="14.25" hidden="1" customHeight="1">
      <c r="A233" s="163" t="s">
        <v>279</v>
      </c>
      <c r="B233" s="164">
        <v>45607</v>
      </c>
      <c r="C233" s="163"/>
      <c r="D233" s="163" t="s">
        <v>281</v>
      </c>
      <c r="E233" s="163" t="s">
        <v>330</v>
      </c>
      <c r="F233" s="168">
        <v>-0.5</v>
      </c>
      <c r="G233" s="165">
        <f t="shared" si="2"/>
        <v>31147.900000000012</v>
      </c>
      <c r="H233" s="163"/>
      <c r="I233" s="163" t="s">
        <v>331</v>
      </c>
      <c r="J233" s="163" t="s">
        <v>787</v>
      </c>
      <c r="K233" s="163"/>
      <c r="L233" s="163"/>
      <c r="M233" s="163"/>
      <c r="N233" s="163" t="s">
        <v>333</v>
      </c>
      <c r="O233" s="163"/>
      <c r="P233" s="163"/>
      <c r="Q233" s="163"/>
      <c r="R233" s="163"/>
      <c r="S233" s="163"/>
      <c r="T233" s="43">
        <f t="shared" ref="T233:T256" si="3">MONTH(B233)</f>
        <v>11</v>
      </c>
      <c r="U233" s="166">
        <f t="shared" si="1"/>
        <v>45607</v>
      </c>
      <c r="V233" s="167"/>
      <c r="W233" s="43"/>
      <c r="X233" s="43"/>
      <c r="Y233" s="43"/>
      <c r="Z233" s="43"/>
      <c r="AA233" s="43"/>
      <c r="AB233" s="43"/>
    </row>
    <row r="234" spans="1:28" ht="14.25" hidden="1" customHeight="1">
      <c r="A234" s="163" t="s">
        <v>279</v>
      </c>
      <c r="B234" s="164">
        <v>45607</v>
      </c>
      <c r="C234" s="163"/>
      <c r="D234" s="163" t="s">
        <v>281</v>
      </c>
      <c r="E234" s="163" t="s">
        <v>330</v>
      </c>
      <c r="F234" s="168">
        <v>-0.5</v>
      </c>
      <c r="G234" s="165">
        <f t="shared" si="2"/>
        <v>31147.400000000012</v>
      </c>
      <c r="H234" s="163"/>
      <c r="I234" s="163" t="s">
        <v>331</v>
      </c>
      <c r="J234" s="163" t="s">
        <v>788</v>
      </c>
      <c r="K234" s="163"/>
      <c r="L234" s="163"/>
      <c r="M234" s="163"/>
      <c r="N234" s="163" t="s">
        <v>333</v>
      </c>
      <c r="O234" s="163"/>
      <c r="P234" s="163"/>
      <c r="Q234" s="163"/>
      <c r="R234" s="163"/>
      <c r="S234" s="163"/>
      <c r="T234" s="43">
        <f t="shared" si="3"/>
        <v>11</v>
      </c>
      <c r="U234" s="166">
        <f t="shared" si="1"/>
        <v>45607</v>
      </c>
      <c r="V234" s="167"/>
      <c r="W234" s="43"/>
      <c r="X234" s="43"/>
      <c r="Y234" s="43"/>
      <c r="Z234" s="43"/>
      <c r="AA234" s="43"/>
      <c r="AB234" s="43"/>
    </row>
    <row r="235" spans="1:28" ht="14.25" hidden="1" customHeight="1">
      <c r="A235" s="163" t="s">
        <v>279</v>
      </c>
      <c r="B235" s="164">
        <v>45607</v>
      </c>
      <c r="C235" s="163" t="s">
        <v>743</v>
      </c>
      <c r="D235" s="163" t="s">
        <v>616</v>
      </c>
      <c r="E235" s="163" t="s">
        <v>381</v>
      </c>
      <c r="F235" s="168">
        <v>-2840.03</v>
      </c>
      <c r="G235" s="165">
        <f t="shared" si="2"/>
        <v>28307.370000000014</v>
      </c>
      <c r="H235" s="163"/>
      <c r="I235" s="163" t="s">
        <v>283</v>
      </c>
      <c r="J235" s="163" t="s">
        <v>744</v>
      </c>
      <c r="K235" s="163"/>
      <c r="L235" s="163"/>
      <c r="M235" s="163"/>
      <c r="N235" s="163" t="s">
        <v>383</v>
      </c>
      <c r="O235" s="163"/>
      <c r="P235" s="163"/>
      <c r="Q235" s="163"/>
      <c r="R235" s="163" t="s">
        <v>353</v>
      </c>
      <c r="S235" s="163" t="s">
        <v>354</v>
      </c>
      <c r="T235" s="43">
        <f t="shared" si="3"/>
        <v>11</v>
      </c>
      <c r="U235" s="166">
        <f t="shared" si="1"/>
        <v>45607</v>
      </c>
      <c r="V235" s="167"/>
      <c r="W235" s="43"/>
      <c r="X235" s="43"/>
      <c r="Y235" s="43"/>
      <c r="Z235" s="43"/>
      <c r="AA235" s="43"/>
      <c r="AB235" s="43"/>
    </row>
    <row r="236" spans="1:28" ht="14.25" hidden="1" customHeight="1">
      <c r="A236" s="163" t="s">
        <v>789</v>
      </c>
      <c r="B236" s="164">
        <v>45607</v>
      </c>
      <c r="C236" s="163" t="s">
        <v>790</v>
      </c>
      <c r="D236" s="163" t="s">
        <v>616</v>
      </c>
      <c r="E236" s="163" t="s">
        <v>791</v>
      </c>
      <c r="F236" s="168">
        <v>-7500</v>
      </c>
      <c r="G236" s="165">
        <f t="shared" si="2"/>
        <v>20807.370000000014</v>
      </c>
      <c r="H236" s="163"/>
      <c r="I236" s="163" t="s">
        <v>283</v>
      </c>
      <c r="J236" s="163"/>
      <c r="K236" s="163"/>
      <c r="L236" s="163" t="s">
        <v>305</v>
      </c>
      <c r="M236" s="163"/>
      <c r="N236" s="163" t="s">
        <v>297</v>
      </c>
      <c r="O236" s="163"/>
      <c r="P236" s="163"/>
      <c r="Q236" s="163"/>
      <c r="R236" s="163" t="s">
        <v>792</v>
      </c>
      <c r="S236" s="163" t="s">
        <v>793</v>
      </c>
      <c r="T236" s="43">
        <f t="shared" si="3"/>
        <v>11</v>
      </c>
      <c r="U236" s="166">
        <f t="shared" si="1"/>
        <v>45607</v>
      </c>
      <c r="V236" s="43"/>
      <c r="W236" s="43"/>
      <c r="X236" s="43"/>
      <c r="Y236" s="43"/>
      <c r="Z236" s="43"/>
      <c r="AA236" s="43"/>
      <c r="AB236" s="43"/>
    </row>
    <row r="237" spans="1:28" ht="14.25" hidden="1" customHeight="1">
      <c r="A237" s="163" t="s">
        <v>279</v>
      </c>
      <c r="B237" s="164">
        <v>45607</v>
      </c>
      <c r="C237" s="163" t="s">
        <v>794</v>
      </c>
      <c r="D237" s="163" t="s">
        <v>281</v>
      </c>
      <c r="E237" s="163" t="s">
        <v>791</v>
      </c>
      <c r="F237" s="168">
        <v>-2000</v>
      </c>
      <c r="G237" s="165">
        <f t="shared" si="2"/>
        <v>18807.370000000014</v>
      </c>
      <c r="H237" s="163"/>
      <c r="I237" s="163" t="s">
        <v>283</v>
      </c>
      <c r="J237" s="163"/>
      <c r="K237" s="163"/>
      <c r="L237" s="163" t="s">
        <v>795</v>
      </c>
      <c r="M237" s="163" t="s">
        <v>796</v>
      </c>
      <c r="N237" s="163" t="s">
        <v>297</v>
      </c>
      <c r="O237" s="163"/>
      <c r="P237" s="163"/>
      <c r="Q237" s="163"/>
      <c r="R237" s="163" t="s">
        <v>797</v>
      </c>
      <c r="S237" s="163" t="s">
        <v>798</v>
      </c>
      <c r="T237" s="43">
        <f t="shared" si="3"/>
        <v>11</v>
      </c>
      <c r="U237" s="166">
        <f t="shared" si="1"/>
        <v>45607</v>
      </c>
      <c r="V237" s="167"/>
      <c r="W237" s="43"/>
      <c r="X237" s="43"/>
      <c r="Y237" s="43"/>
      <c r="Z237" s="43"/>
      <c r="AA237" s="43"/>
      <c r="AB237" s="43"/>
    </row>
    <row r="238" spans="1:28" ht="14.25" hidden="1" customHeight="1">
      <c r="A238" s="163" t="s">
        <v>279</v>
      </c>
      <c r="B238" s="164">
        <v>45607</v>
      </c>
      <c r="C238" s="163" t="s">
        <v>799</v>
      </c>
      <c r="D238" s="163" t="s">
        <v>281</v>
      </c>
      <c r="E238" s="163" t="s">
        <v>791</v>
      </c>
      <c r="F238" s="168">
        <v>-5000</v>
      </c>
      <c r="G238" s="165">
        <f t="shared" si="2"/>
        <v>13807.370000000014</v>
      </c>
      <c r="H238" s="163"/>
      <c r="I238" s="163" t="s">
        <v>283</v>
      </c>
      <c r="J238" s="163"/>
      <c r="K238" s="163"/>
      <c r="L238" s="163" t="s">
        <v>800</v>
      </c>
      <c r="M238" s="163" t="s">
        <v>801</v>
      </c>
      <c r="N238" s="163" t="s">
        <v>297</v>
      </c>
      <c r="O238" s="163"/>
      <c r="P238" s="163"/>
      <c r="Q238" s="163"/>
      <c r="R238" s="163" t="s">
        <v>802</v>
      </c>
      <c r="S238" s="163" t="s">
        <v>803</v>
      </c>
      <c r="T238" s="43">
        <f t="shared" si="3"/>
        <v>11</v>
      </c>
      <c r="U238" s="166">
        <f t="shared" si="1"/>
        <v>45607</v>
      </c>
      <c r="V238" s="43"/>
      <c r="W238" s="43"/>
      <c r="X238" s="43"/>
      <c r="Y238" s="43"/>
      <c r="Z238" s="43"/>
      <c r="AA238" s="43"/>
      <c r="AB238" s="43"/>
    </row>
    <row r="239" spans="1:28" ht="14.25" hidden="1" customHeight="1">
      <c r="A239" s="163" t="s">
        <v>279</v>
      </c>
      <c r="B239" s="164">
        <v>45607</v>
      </c>
      <c r="C239" s="163" t="s">
        <v>804</v>
      </c>
      <c r="D239" s="163" t="s">
        <v>281</v>
      </c>
      <c r="E239" s="163" t="s">
        <v>791</v>
      </c>
      <c r="F239" s="168">
        <v>-3000</v>
      </c>
      <c r="G239" s="165">
        <f t="shared" si="2"/>
        <v>10807.370000000014</v>
      </c>
      <c r="H239" s="163"/>
      <c r="I239" s="163" t="s">
        <v>283</v>
      </c>
      <c r="J239" s="163"/>
      <c r="K239" s="163"/>
      <c r="L239" s="163" t="s">
        <v>805</v>
      </c>
      <c r="M239" s="163" t="s">
        <v>806</v>
      </c>
      <c r="N239" s="163" t="s">
        <v>297</v>
      </c>
      <c r="O239" s="163"/>
      <c r="P239" s="163"/>
      <c r="Q239" s="163"/>
      <c r="R239" s="163" t="s">
        <v>804</v>
      </c>
      <c r="S239" s="163" t="s">
        <v>807</v>
      </c>
      <c r="T239" s="43">
        <f t="shared" si="3"/>
        <v>11</v>
      </c>
      <c r="U239" s="166">
        <f t="shared" si="1"/>
        <v>45607</v>
      </c>
      <c r="V239" s="167"/>
      <c r="W239" s="43"/>
      <c r="X239" s="43"/>
      <c r="Y239" s="43"/>
      <c r="Z239" s="43"/>
      <c r="AA239" s="43"/>
      <c r="AB239" s="43"/>
    </row>
    <row r="240" spans="1:28" ht="14.25" hidden="1" customHeight="1">
      <c r="A240" s="163" t="s">
        <v>279</v>
      </c>
      <c r="B240" s="164">
        <v>45607</v>
      </c>
      <c r="C240" s="163"/>
      <c r="D240" s="163" t="s">
        <v>281</v>
      </c>
      <c r="E240" s="163" t="s">
        <v>330</v>
      </c>
      <c r="F240" s="168">
        <v>-0.5</v>
      </c>
      <c r="G240" s="165">
        <f t="shared" si="2"/>
        <v>10806.870000000014</v>
      </c>
      <c r="H240" s="163"/>
      <c r="I240" s="163" t="s">
        <v>331</v>
      </c>
      <c r="J240" s="163" t="s">
        <v>808</v>
      </c>
      <c r="K240" s="163"/>
      <c r="L240" s="163"/>
      <c r="M240" s="163"/>
      <c r="N240" s="163" t="s">
        <v>333</v>
      </c>
      <c r="O240" s="163"/>
      <c r="P240" s="163"/>
      <c r="Q240" s="163"/>
      <c r="R240" s="163"/>
      <c r="S240" s="163"/>
      <c r="T240" s="43">
        <f t="shared" si="3"/>
        <v>11</v>
      </c>
      <c r="U240" s="166">
        <f t="shared" si="1"/>
        <v>45607</v>
      </c>
      <c r="V240" s="167"/>
      <c r="W240" s="43"/>
      <c r="X240" s="43"/>
      <c r="Y240" s="43"/>
      <c r="Z240" s="43"/>
      <c r="AA240" s="43"/>
      <c r="AB240" s="43"/>
    </row>
    <row r="241" spans="1:28" ht="14.25" hidden="1" customHeight="1">
      <c r="A241" s="163" t="s">
        <v>279</v>
      </c>
      <c r="B241" s="164">
        <v>45607</v>
      </c>
      <c r="C241" s="163"/>
      <c r="D241" s="163" t="s">
        <v>281</v>
      </c>
      <c r="E241" s="163" t="s">
        <v>330</v>
      </c>
      <c r="F241" s="168">
        <v>-0.5</v>
      </c>
      <c r="G241" s="165">
        <f t="shared" si="2"/>
        <v>10806.370000000014</v>
      </c>
      <c r="H241" s="163"/>
      <c r="I241" s="163" t="s">
        <v>331</v>
      </c>
      <c r="J241" s="163" t="s">
        <v>809</v>
      </c>
      <c r="K241" s="163"/>
      <c r="L241" s="163"/>
      <c r="M241" s="163"/>
      <c r="N241" s="163" t="s">
        <v>333</v>
      </c>
      <c r="O241" s="163"/>
      <c r="P241" s="163"/>
      <c r="Q241" s="163"/>
      <c r="R241" s="163"/>
      <c r="S241" s="163"/>
      <c r="T241" s="43">
        <f t="shared" si="3"/>
        <v>11</v>
      </c>
      <c r="U241" s="166">
        <f t="shared" si="1"/>
        <v>45607</v>
      </c>
      <c r="V241" s="167"/>
      <c r="W241" s="43"/>
      <c r="X241" s="43"/>
      <c r="Y241" s="43"/>
      <c r="Z241" s="43"/>
      <c r="AA241" s="43"/>
      <c r="AB241" s="43"/>
    </row>
    <row r="242" spans="1:28" ht="14.25" hidden="1" customHeight="1">
      <c r="A242" s="163" t="s">
        <v>279</v>
      </c>
      <c r="B242" s="164">
        <v>45607</v>
      </c>
      <c r="C242" s="163"/>
      <c r="D242" s="163" t="s">
        <v>281</v>
      </c>
      <c r="E242" s="163" t="s">
        <v>330</v>
      </c>
      <c r="F242" s="168">
        <v>-0.5</v>
      </c>
      <c r="G242" s="165">
        <f t="shared" si="2"/>
        <v>10805.870000000014</v>
      </c>
      <c r="H242" s="163"/>
      <c r="I242" s="163" t="s">
        <v>331</v>
      </c>
      <c r="J242" s="163" t="s">
        <v>810</v>
      </c>
      <c r="K242" s="163"/>
      <c r="L242" s="163"/>
      <c r="M242" s="163"/>
      <c r="N242" s="163" t="s">
        <v>333</v>
      </c>
      <c r="O242" s="163"/>
      <c r="P242" s="163"/>
      <c r="Q242" s="163"/>
      <c r="R242" s="163"/>
      <c r="S242" s="163"/>
      <c r="T242" s="43">
        <f t="shared" si="3"/>
        <v>11</v>
      </c>
      <c r="U242" s="166">
        <f t="shared" si="1"/>
        <v>45607</v>
      </c>
      <c r="V242" s="167"/>
      <c r="W242" s="43"/>
      <c r="X242" s="43"/>
      <c r="Y242" s="43"/>
      <c r="Z242" s="43"/>
      <c r="AA242" s="43"/>
      <c r="AB242" s="43"/>
    </row>
    <row r="243" spans="1:28" ht="14.25" hidden="1" customHeight="1">
      <c r="A243" s="163" t="s">
        <v>279</v>
      </c>
      <c r="B243" s="164">
        <v>45607</v>
      </c>
      <c r="C243" s="163" t="s">
        <v>811</v>
      </c>
      <c r="D243" s="163" t="s">
        <v>281</v>
      </c>
      <c r="E243" s="163" t="s">
        <v>791</v>
      </c>
      <c r="F243" s="168">
        <v>-3900</v>
      </c>
      <c r="G243" s="165">
        <f t="shared" si="2"/>
        <v>6905.8700000000135</v>
      </c>
      <c r="H243" s="163"/>
      <c r="I243" s="163" t="s">
        <v>283</v>
      </c>
      <c r="J243" s="163"/>
      <c r="K243" s="163"/>
      <c r="L243" s="163" t="s">
        <v>795</v>
      </c>
      <c r="M243" s="163" t="s">
        <v>812</v>
      </c>
      <c r="N243" s="163" t="s">
        <v>297</v>
      </c>
      <c r="O243" s="163"/>
      <c r="P243" s="163"/>
      <c r="Q243" s="163"/>
      <c r="R243" s="163" t="s">
        <v>813</v>
      </c>
      <c r="S243" s="163" t="s">
        <v>814</v>
      </c>
      <c r="T243" s="43">
        <f t="shared" si="3"/>
        <v>11</v>
      </c>
      <c r="U243" s="166">
        <f t="shared" si="1"/>
        <v>45607</v>
      </c>
      <c r="V243" s="167"/>
      <c r="W243" s="43"/>
      <c r="X243" s="43"/>
      <c r="Y243" s="43"/>
      <c r="Z243" s="43"/>
      <c r="AA243" s="43"/>
      <c r="AB243" s="43"/>
    </row>
    <row r="244" spans="1:28" ht="14.25" hidden="1" customHeight="1">
      <c r="A244" s="163" t="s">
        <v>279</v>
      </c>
      <c r="B244" s="164">
        <v>45607</v>
      </c>
      <c r="C244" s="163" t="s">
        <v>815</v>
      </c>
      <c r="D244" s="163" t="s">
        <v>281</v>
      </c>
      <c r="E244" s="163" t="s">
        <v>791</v>
      </c>
      <c r="F244" s="168">
        <v>-933.33</v>
      </c>
      <c r="G244" s="165">
        <f t="shared" si="2"/>
        <v>5972.5400000000136</v>
      </c>
      <c r="H244" s="163"/>
      <c r="I244" s="163" t="s">
        <v>283</v>
      </c>
      <c r="J244" s="163"/>
      <c r="K244" s="163"/>
      <c r="L244" s="163" t="s">
        <v>302</v>
      </c>
      <c r="M244" s="163" t="s">
        <v>816</v>
      </c>
      <c r="N244" s="163" t="s">
        <v>297</v>
      </c>
      <c r="O244" s="163"/>
      <c r="P244" s="163"/>
      <c r="Q244" s="163"/>
      <c r="R244" s="163" t="s">
        <v>817</v>
      </c>
      <c r="S244" s="163" t="s">
        <v>818</v>
      </c>
      <c r="T244" s="43">
        <f t="shared" si="3"/>
        <v>11</v>
      </c>
      <c r="U244" s="166">
        <f t="shared" si="1"/>
        <v>45607</v>
      </c>
      <c r="V244" s="166"/>
      <c r="W244" s="43"/>
      <c r="X244" s="43"/>
      <c r="Y244" s="43"/>
      <c r="Z244" s="43"/>
      <c r="AA244" s="43"/>
      <c r="AB244" s="43"/>
    </row>
    <row r="245" spans="1:28" ht="14.25" hidden="1" customHeight="1">
      <c r="A245" s="163" t="s">
        <v>279</v>
      </c>
      <c r="B245" s="164">
        <v>45607</v>
      </c>
      <c r="C245" s="163"/>
      <c r="D245" s="163" t="s">
        <v>281</v>
      </c>
      <c r="E245" s="163" t="s">
        <v>330</v>
      </c>
      <c r="F245" s="168">
        <v>-0.5</v>
      </c>
      <c r="G245" s="165">
        <f t="shared" si="2"/>
        <v>5972.0400000000136</v>
      </c>
      <c r="H245" s="163"/>
      <c r="I245" s="163" t="s">
        <v>331</v>
      </c>
      <c r="J245" s="163" t="s">
        <v>819</v>
      </c>
      <c r="K245" s="163"/>
      <c r="L245" s="163"/>
      <c r="M245" s="163"/>
      <c r="N245" s="163" t="s">
        <v>333</v>
      </c>
      <c r="O245" s="163"/>
      <c r="P245" s="163"/>
      <c r="Q245" s="163"/>
      <c r="R245" s="163"/>
      <c r="S245" s="163"/>
      <c r="T245" s="43">
        <f t="shared" si="3"/>
        <v>11</v>
      </c>
      <c r="U245" s="166">
        <f t="shared" si="1"/>
        <v>45607</v>
      </c>
      <c r="V245" s="166"/>
      <c r="W245" s="43"/>
      <c r="X245" s="43"/>
      <c r="Y245" s="43"/>
      <c r="Z245" s="43"/>
      <c r="AA245" s="43"/>
      <c r="AB245" s="43"/>
    </row>
    <row r="246" spans="1:28" ht="14.25" hidden="1" customHeight="1">
      <c r="A246" s="163" t="s">
        <v>279</v>
      </c>
      <c r="B246" s="164">
        <v>45607</v>
      </c>
      <c r="C246" s="163"/>
      <c r="D246" s="163" t="s">
        <v>281</v>
      </c>
      <c r="E246" s="163" t="s">
        <v>330</v>
      </c>
      <c r="F246" s="168">
        <v>-0.5</v>
      </c>
      <c r="G246" s="165">
        <f t="shared" si="2"/>
        <v>5971.5400000000136</v>
      </c>
      <c r="H246" s="163"/>
      <c r="I246" s="163" t="s">
        <v>331</v>
      </c>
      <c r="J246" s="163" t="s">
        <v>820</v>
      </c>
      <c r="K246" s="163"/>
      <c r="L246" s="163"/>
      <c r="M246" s="163"/>
      <c r="N246" s="163" t="s">
        <v>333</v>
      </c>
      <c r="O246" s="163"/>
      <c r="P246" s="163"/>
      <c r="Q246" s="163"/>
      <c r="R246" s="163"/>
      <c r="S246" s="163"/>
      <c r="T246" s="43">
        <f t="shared" si="3"/>
        <v>11</v>
      </c>
      <c r="U246" s="166">
        <f t="shared" si="1"/>
        <v>45607</v>
      </c>
      <c r="V246" s="167"/>
      <c r="W246" s="43"/>
      <c r="X246" s="43"/>
      <c r="Y246" s="43"/>
      <c r="Z246" s="43"/>
      <c r="AA246" s="43"/>
      <c r="AB246" s="43"/>
    </row>
    <row r="247" spans="1:28" ht="14.25" hidden="1" customHeight="1">
      <c r="A247" s="163"/>
      <c r="B247" s="164">
        <v>45607</v>
      </c>
      <c r="C247" s="163" t="s">
        <v>346</v>
      </c>
      <c r="D247" s="163"/>
      <c r="E247" s="163"/>
      <c r="F247" s="165">
        <v>0</v>
      </c>
      <c r="G247" s="165">
        <f t="shared" si="2"/>
        <v>5971.5400000000136</v>
      </c>
      <c r="H247" s="163"/>
      <c r="I247" s="163"/>
      <c r="J247" s="163"/>
      <c r="K247" s="163"/>
      <c r="L247" s="163"/>
      <c r="M247" s="163"/>
      <c r="N247" s="163"/>
      <c r="O247" s="163"/>
      <c r="P247" s="163"/>
      <c r="Q247" s="163"/>
      <c r="R247" s="163"/>
      <c r="S247" s="163"/>
      <c r="T247" s="43">
        <f t="shared" si="3"/>
        <v>11</v>
      </c>
      <c r="U247" s="166">
        <f t="shared" si="1"/>
        <v>45607</v>
      </c>
      <c r="V247" s="167"/>
      <c r="W247" s="43"/>
      <c r="X247" s="43"/>
      <c r="Y247" s="43"/>
      <c r="Z247" s="43"/>
      <c r="AA247" s="43"/>
      <c r="AB247" s="43"/>
    </row>
    <row r="248" spans="1:28" ht="14.25" hidden="1" customHeight="1">
      <c r="A248" s="163" t="s">
        <v>279</v>
      </c>
      <c r="B248" s="164">
        <v>45608</v>
      </c>
      <c r="C248" s="163" t="s">
        <v>821</v>
      </c>
      <c r="D248" s="163" t="s">
        <v>281</v>
      </c>
      <c r="E248" s="163" t="s">
        <v>407</v>
      </c>
      <c r="F248" s="165">
        <v>1950</v>
      </c>
      <c r="G248" s="165">
        <f t="shared" si="2"/>
        <v>7921.5400000000136</v>
      </c>
      <c r="H248" s="163"/>
      <c r="I248" s="163" t="s">
        <v>342</v>
      </c>
      <c r="J248" s="163" t="s">
        <v>822</v>
      </c>
      <c r="K248" s="163" t="s">
        <v>823</v>
      </c>
      <c r="L248" s="163" t="s">
        <v>305</v>
      </c>
      <c r="M248" s="163" t="s">
        <v>824</v>
      </c>
      <c r="N248" s="163" t="s">
        <v>411</v>
      </c>
      <c r="O248" s="163" t="s">
        <v>825</v>
      </c>
      <c r="P248" s="163" t="s">
        <v>57</v>
      </c>
      <c r="Q248" s="163"/>
      <c r="R248" s="163" t="s">
        <v>826</v>
      </c>
      <c r="S248" s="163" t="s">
        <v>827</v>
      </c>
      <c r="T248" s="43">
        <f t="shared" si="3"/>
        <v>11</v>
      </c>
      <c r="U248" s="166">
        <f t="shared" si="1"/>
        <v>45608</v>
      </c>
      <c r="V248" s="167"/>
      <c r="W248" s="43"/>
      <c r="X248" s="43"/>
      <c r="Y248" s="43"/>
      <c r="Z248" s="43"/>
      <c r="AA248" s="43"/>
      <c r="AB248" s="43"/>
    </row>
    <row r="249" spans="1:28" ht="14.25" hidden="1" customHeight="1">
      <c r="A249" s="163" t="s">
        <v>279</v>
      </c>
      <c r="B249" s="164">
        <v>45608</v>
      </c>
      <c r="C249" s="163" t="s">
        <v>280</v>
      </c>
      <c r="D249" s="163" t="s">
        <v>281</v>
      </c>
      <c r="E249" s="163" t="s">
        <v>282</v>
      </c>
      <c r="F249" s="165">
        <v>10000</v>
      </c>
      <c r="G249" s="165">
        <f t="shared" si="2"/>
        <v>17921.540000000015</v>
      </c>
      <c r="H249" s="163"/>
      <c r="I249" s="163" t="s">
        <v>283</v>
      </c>
      <c r="J249" s="163" t="s">
        <v>828</v>
      </c>
      <c r="K249" s="163"/>
      <c r="L249" s="163"/>
      <c r="M249" s="163"/>
      <c r="N249" s="163" t="s">
        <v>285</v>
      </c>
      <c r="O249" s="163"/>
      <c r="P249" s="163"/>
      <c r="Q249" s="163"/>
      <c r="R249" s="163" t="s">
        <v>286</v>
      </c>
      <c r="S249" s="163" t="s">
        <v>287</v>
      </c>
      <c r="T249" s="43">
        <f t="shared" si="3"/>
        <v>11</v>
      </c>
      <c r="U249" s="166">
        <f t="shared" si="1"/>
        <v>45608</v>
      </c>
      <c r="V249" s="166"/>
      <c r="W249" s="43"/>
      <c r="X249" s="43"/>
      <c r="Y249" s="43"/>
      <c r="Z249" s="43"/>
      <c r="AA249" s="43"/>
      <c r="AB249" s="43"/>
    </row>
    <row r="250" spans="1:28" ht="14.25" hidden="1" customHeight="1">
      <c r="A250" s="163" t="s">
        <v>279</v>
      </c>
      <c r="B250" s="164">
        <v>45608</v>
      </c>
      <c r="C250" s="163" t="s">
        <v>829</v>
      </c>
      <c r="D250" s="163" t="s">
        <v>281</v>
      </c>
      <c r="E250" s="163" t="s">
        <v>407</v>
      </c>
      <c r="F250" s="165">
        <v>2000</v>
      </c>
      <c r="G250" s="165">
        <f t="shared" si="2"/>
        <v>19921.540000000015</v>
      </c>
      <c r="H250" s="163"/>
      <c r="I250" s="163" t="s">
        <v>283</v>
      </c>
      <c r="J250" s="163" t="s">
        <v>830</v>
      </c>
      <c r="K250" s="163" t="s">
        <v>831</v>
      </c>
      <c r="L250" s="163" t="s">
        <v>305</v>
      </c>
      <c r="M250" s="163"/>
      <c r="N250" s="163" t="s">
        <v>411</v>
      </c>
      <c r="O250" s="163" t="s">
        <v>832</v>
      </c>
      <c r="P250" s="163" t="s">
        <v>351</v>
      </c>
      <c r="Q250" s="163"/>
      <c r="R250" s="163" t="s">
        <v>833</v>
      </c>
      <c r="S250" s="163" t="s">
        <v>834</v>
      </c>
      <c r="T250" s="43">
        <f t="shared" si="3"/>
        <v>11</v>
      </c>
      <c r="U250" s="166">
        <f t="shared" si="1"/>
        <v>45608</v>
      </c>
      <c r="V250" s="166"/>
      <c r="W250" s="43"/>
      <c r="X250" s="43"/>
      <c r="Y250" s="43"/>
      <c r="Z250" s="43"/>
      <c r="AA250" s="43"/>
      <c r="AB250" s="43"/>
    </row>
    <row r="251" spans="1:28" ht="14.25" hidden="1" customHeight="1">
      <c r="A251" s="163" t="s">
        <v>279</v>
      </c>
      <c r="B251" s="164">
        <v>45608</v>
      </c>
      <c r="C251" s="163" t="s">
        <v>280</v>
      </c>
      <c r="D251" s="163" t="s">
        <v>281</v>
      </c>
      <c r="E251" s="163" t="s">
        <v>282</v>
      </c>
      <c r="F251" s="165">
        <v>5000</v>
      </c>
      <c r="G251" s="165">
        <f t="shared" si="2"/>
        <v>24921.540000000015</v>
      </c>
      <c r="H251" s="163"/>
      <c r="I251" s="163" t="s">
        <v>283</v>
      </c>
      <c r="J251" s="163" t="s">
        <v>835</v>
      </c>
      <c r="K251" s="163"/>
      <c r="L251" s="163"/>
      <c r="M251" s="163"/>
      <c r="N251" s="163" t="s">
        <v>285</v>
      </c>
      <c r="O251" s="163"/>
      <c r="P251" s="163"/>
      <c r="Q251" s="163"/>
      <c r="R251" s="163" t="s">
        <v>286</v>
      </c>
      <c r="S251" s="163" t="s">
        <v>287</v>
      </c>
      <c r="T251" s="43">
        <f t="shared" si="3"/>
        <v>11</v>
      </c>
      <c r="U251" s="166">
        <f t="shared" si="1"/>
        <v>45608</v>
      </c>
      <c r="V251" s="166"/>
      <c r="W251" s="43"/>
      <c r="X251" s="43"/>
      <c r="Y251" s="43"/>
      <c r="Z251" s="43"/>
      <c r="AA251" s="43"/>
      <c r="AB251" s="43"/>
    </row>
    <row r="252" spans="1:28" ht="14.25" hidden="1" customHeight="1">
      <c r="A252" s="163" t="s">
        <v>279</v>
      </c>
      <c r="B252" s="164">
        <v>45608</v>
      </c>
      <c r="C252" s="163"/>
      <c r="D252" s="163" t="s">
        <v>281</v>
      </c>
      <c r="E252" s="163" t="s">
        <v>330</v>
      </c>
      <c r="F252" s="168">
        <v>-1.99</v>
      </c>
      <c r="G252" s="165">
        <f t="shared" si="2"/>
        <v>24919.550000000014</v>
      </c>
      <c r="H252" s="163"/>
      <c r="I252" s="163" t="s">
        <v>331</v>
      </c>
      <c r="J252" s="163" t="s">
        <v>836</v>
      </c>
      <c r="K252" s="163"/>
      <c r="L252" s="163"/>
      <c r="M252" s="163"/>
      <c r="N252" s="163" t="s">
        <v>333</v>
      </c>
      <c r="O252" s="163"/>
      <c r="P252" s="163" t="s">
        <v>57</v>
      </c>
      <c r="Q252" s="163"/>
      <c r="R252" s="163"/>
      <c r="S252" s="163"/>
      <c r="T252" s="43">
        <f t="shared" si="3"/>
        <v>11</v>
      </c>
      <c r="U252" s="166">
        <f t="shared" si="1"/>
        <v>45608</v>
      </c>
      <c r="V252" s="166"/>
      <c r="W252" s="43"/>
      <c r="X252" s="43"/>
      <c r="Y252" s="43"/>
      <c r="Z252" s="43"/>
      <c r="AA252" s="43"/>
      <c r="AB252" s="43"/>
    </row>
    <row r="253" spans="1:28" ht="14.25" hidden="1" customHeight="1">
      <c r="A253" s="163" t="s">
        <v>279</v>
      </c>
      <c r="B253" s="164">
        <v>45608</v>
      </c>
      <c r="C253" s="163" t="s">
        <v>837</v>
      </c>
      <c r="D253" s="163" t="s">
        <v>281</v>
      </c>
      <c r="E253" s="163" t="s">
        <v>791</v>
      </c>
      <c r="F253" s="168">
        <v>-4266.67</v>
      </c>
      <c r="G253" s="165">
        <f t="shared" si="2"/>
        <v>20652.880000000012</v>
      </c>
      <c r="H253" s="163"/>
      <c r="I253" s="163" t="s">
        <v>283</v>
      </c>
      <c r="J253" s="163"/>
      <c r="K253" s="163"/>
      <c r="L253" s="163" t="s">
        <v>800</v>
      </c>
      <c r="M253" s="163" t="s">
        <v>838</v>
      </c>
      <c r="N253" s="163" t="s">
        <v>297</v>
      </c>
      <c r="O253" s="163"/>
      <c r="P253" s="163"/>
      <c r="Q253" s="163"/>
      <c r="R253" s="163" t="s">
        <v>837</v>
      </c>
      <c r="S253" s="163" t="s">
        <v>839</v>
      </c>
      <c r="T253" s="43">
        <f t="shared" si="3"/>
        <v>11</v>
      </c>
      <c r="U253" s="166">
        <f t="shared" si="1"/>
        <v>45608</v>
      </c>
      <c r="V253" s="166"/>
      <c r="W253" s="43"/>
      <c r="X253" s="43"/>
      <c r="Y253" s="43"/>
      <c r="Z253" s="43"/>
      <c r="AA253" s="43"/>
      <c r="AB253" s="43"/>
    </row>
    <row r="254" spans="1:28" ht="14.25" hidden="1" customHeight="1">
      <c r="A254" s="163" t="s">
        <v>279</v>
      </c>
      <c r="B254" s="164">
        <v>45608</v>
      </c>
      <c r="C254" s="163" t="s">
        <v>840</v>
      </c>
      <c r="D254" s="163" t="s">
        <v>281</v>
      </c>
      <c r="E254" s="163" t="s">
        <v>841</v>
      </c>
      <c r="F254" s="168">
        <v>-1866.78</v>
      </c>
      <c r="G254" s="165">
        <f t="shared" si="2"/>
        <v>18786.100000000013</v>
      </c>
      <c r="H254" s="163"/>
      <c r="I254" s="163" t="s">
        <v>342</v>
      </c>
      <c r="J254" s="163"/>
      <c r="K254" s="163"/>
      <c r="L254" s="163" t="s">
        <v>366</v>
      </c>
      <c r="M254" s="163" t="s">
        <v>842</v>
      </c>
      <c r="N254" s="163" t="s">
        <v>297</v>
      </c>
      <c r="O254" s="163"/>
      <c r="P254" s="163"/>
      <c r="Q254" s="163"/>
      <c r="R254" s="163" t="s">
        <v>125</v>
      </c>
      <c r="S254" s="163" t="s">
        <v>843</v>
      </c>
      <c r="T254" s="43">
        <f t="shared" si="3"/>
        <v>11</v>
      </c>
      <c r="U254" s="166">
        <f t="shared" si="1"/>
        <v>45608</v>
      </c>
      <c r="V254" s="43"/>
      <c r="W254" s="43"/>
      <c r="X254" s="43"/>
      <c r="Y254" s="43"/>
      <c r="Z254" s="43"/>
      <c r="AA254" s="43"/>
      <c r="AB254" s="43"/>
    </row>
    <row r="255" spans="1:28" ht="14.25" hidden="1" customHeight="1">
      <c r="A255" s="163" t="s">
        <v>279</v>
      </c>
      <c r="B255" s="164">
        <v>45608</v>
      </c>
      <c r="C255" s="163" t="s">
        <v>844</v>
      </c>
      <c r="D255" s="163" t="s">
        <v>281</v>
      </c>
      <c r="E255" s="163" t="s">
        <v>120</v>
      </c>
      <c r="F255" s="168">
        <v>-832</v>
      </c>
      <c r="G255" s="165">
        <f t="shared" si="2"/>
        <v>17954.100000000013</v>
      </c>
      <c r="H255" s="163"/>
      <c r="I255" s="163" t="s">
        <v>342</v>
      </c>
      <c r="J255" s="163"/>
      <c r="K255" s="163"/>
      <c r="L255" s="163" t="s">
        <v>305</v>
      </c>
      <c r="M255" s="163" t="s">
        <v>845</v>
      </c>
      <c r="N255" s="163" t="s">
        <v>297</v>
      </c>
      <c r="O255" s="163"/>
      <c r="P255" s="163"/>
      <c r="Q255" s="163"/>
      <c r="R255" s="163" t="s">
        <v>846</v>
      </c>
      <c r="S255" s="163" t="s">
        <v>847</v>
      </c>
      <c r="T255" s="43">
        <f t="shared" si="3"/>
        <v>11</v>
      </c>
      <c r="U255" s="166">
        <f t="shared" si="1"/>
        <v>45608</v>
      </c>
      <c r="V255" s="43"/>
      <c r="W255" s="43"/>
      <c r="X255" s="43"/>
      <c r="Y255" s="43"/>
      <c r="Z255" s="43"/>
      <c r="AA255" s="43"/>
      <c r="AB255" s="43"/>
    </row>
    <row r="256" spans="1:28" ht="14.25" hidden="1" customHeight="1">
      <c r="A256" s="163" t="s">
        <v>279</v>
      </c>
      <c r="B256" s="164">
        <v>45608</v>
      </c>
      <c r="C256" s="163" t="s">
        <v>848</v>
      </c>
      <c r="D256" s="163" t="s">
        <v>281</v>
      </c>
      <c r="E256" s="163" t="s">
        <v>791</v>
      </c>
      <c r="F256" s="168">
        <v>-1266.6600000000001</v>
      </c>
      <c r="G256" s="165">
        <f t="shared" si="2"/>
        <v>16687.440000000013</v>
      </c>
      <c r="H256" s="163"/>
      <c r="I256" s="163" t="s">
        <v>283</v>
      </c>
      <c r="J256" s="163"/>
      <c r="K256" s="163"/>
      <c r="L256" s="163" t="s">
        <v>302</v>
      </c>
      <c r="M256" s="163" t="s">
        <v>849</v>
      </c>
      <c r="N256" s="163" t="s">
        <v>297</v>
      </c>
      <c r="O256" s="163"/>
      <c r="P256" s="163"/>
      <c r="Q256" s="163"/>
      <c r="R256" s="163" t="s">
        <v>850</v>
      </c>
      <c r="S256" s="163" t="s">
        <v>851</v>
      </c>
      <c r="T256" s="43">
        <f t="shared" si="3"/>
        <v>11</v>
      </c>
      <c r="U256" s="166">
        <f t="shared" si="1"/>
        <v>45608</v>
      </c>
      <c r="V256" s="43"/>
      <c r="W256" s="43"/>
      <c r="X256" s="43"/>
      <c r="Y256" s="43"/>
      <c r="Z256" s="43"/>
      <c r="AA256" s="43"/>
      <c r="AB256" s="43"/>
    </row>
    <row r="257" spans="1:28" ht="14.25" hidden="1" customHeight="1">
      <c r="A257" s="163" t="s">
        <v>279</v>
      </c>
      <c r="B257" s="164">
        <v>45608</v>
      </c>
      <c r="C257" s="163" t="s">
        <v>852</v>
      </c>
      <c r="D257" s="163" t="s">
        <v>281</v>
      </c>
      <c r="E257" s="163" t="s">
        <v>791</v>
      </c>
      <c r="F257" s="168">
        <v>-6500</v>
      </c>
      <c r="G257" s="165">
        <f t="shared" si="2"/>
        <v>10187.440000000013</v>
      </c>
      <c r="H257" s="163"/>
      <c r="I257" s="163" t="s">
        <v>283</v>
      </c>
      <c r="J257" s="163"/>
      <c r="K257" s="163"/>
      <c r="L257" s="163" t="s">
        <v>800</v>
      </c>
      <c r="M257" s="163" t="s">
        <v>853</v>
      </c>
      <c r="N257" s="163" t="s">
        <v>297</v>
      </c>
      <c r="O257" s="163"/>
      <c r="P257" s="163"/>
      <c r="Q257" s="163"/>
      <c r="R257" s="163" t="s">
        <v>854</v>
      </c>
      <c r="S257" s="163" t="s">
        <v>855</v>
      </c>
      <c r="T257" s="43">
        <v>10</v>
      </c>
      <c r="U257" s="166">
        <f t="shared" ref="U257:U323" si="4">IF(V257="",B257,V257)</f>
        <v>45608</v>
      </c>
      <c r="V257" s="166"/>
      <c r="W257" s="43"/>
      <c r="X257" s="43"/>
      <c r="Y257" s="43"/>
      <c r="Z257" s="43"/>
      <c r="AA257" s="43"/>
      <c r="AB257" s="43"/>
    </row>
    <row r="258" spans="1:28" ht="14.25" hidden="1" customHeight="1">
      <c r="A258" s="163" t="s">
        <v>279</v>
      </c>
      <c r="B258" s="164">
        <v>45608</v>
      </c>
      <c r="C258" s="163" t="s">
        <v>856</v>
      </c>
      <c r="D258" s="163" t="s">
        <v>281</v>
      </c>
      <c r="E258" s="163" t="s">
        <v>857</v>
      </c>
      <c r="F258" s="168">
        <v>-2216.9699999999998</v>
      </c>
      <c r="G258" s="165">
        <f t="shared" ref="G258:G512" si="5">F258+G257</f>
        <v>7970.4700000000139</v>
      </c>
      <c r="H258" s="163"/>
      <c r="I258" s="163" t="s">
        <v>283</v>
      </c>
      <c r="J258" s="163"/>
      <c r="K258" s="163"/>
      <c r="L258" s="163" t="s">
        <v>305</v>
      </c>
      <c r="M258" s="163" t="s">
        <v>858</v>
      </c>
      <c r="N258" s="163" t="s">
        <v>297</v>
      </c>
      <c r="O258" s="163"/>
      <c r="P258" s="163"/>
      <c r="Q258" s="163"/>
      <c r="R258" s="163" t="s">
        <v>859</v>
      </c>
      <c r="S258" s="163" t="s">
        <v>860</v>
      </c>
      <c r="T258" s="43">
        <f t="shared" ref="T258:T323" si="6">MONTH(B258)</f>
        <v>11</v>
      </c>
      <c r="U258" s="166">
        <f t="shared" si="4"/>
        <v>45608</v>
      </c>
      <c r="V258" s="43"/>
      <c r="W258" s="43"/>
      <c r="X258" s="43"/>
      <c r="Y258" s="43"/>
      <c r="Z258" s="43"/>
      <c r="AA258" s="43"/>
      <c r="AB258" s="43"/>
    </row>
    <row r="259" spans="1:28" ht="14.25" hidden="1" customHeight="1">
      <c r="A259" s="163" t="s">
        <v>279</v>
      </c>
      <c r="B259" s="164">
        <v>45608</v>
      </c>
      <c r="C259" s="163" t="s">
        <v>815</v>
      </c>
      <c r="D259" s="163" t="s">
        <v>281</v>
      </c>
      <c r="E259" s="163" t="s">
        <v>791</v>
      </c>
      <c r="F259" s="168">
        <v>-933.34</v>
      </c>
      <c r="G259" s="165">
        <f t="shared" si="5"/>
        <v>7037.1300000000138</v>
      </c>
      <c r="H259" s="163"/>
      <c r="I259" s="163" t="s">
        <v>283</v>
      </c>
      <c r="J259" s="163"/>
      <c r="K259" s="163"/>
      <c r="L259" s="163" t="s">
        <v>302</v>
      </c>
      <c r="M259" s="163" t="s">
        <v>816</v>
      </c>
      <c r="N259" s="163" t="s">
        <v>297</v>
      </c>
      <c r="O259" s="163"/>
      <c r="P259" s="163"/>
      <c r="Q259" s="163"/>
      <c r="R259" s="163" t="s">
        <v>817</v>
      </c>
      <c r="S259" s="163" t="s">
        <v>818</v>
      </c>
      <c r="T259" s="43">
        <f t="shared" si="6"/>
        <v>11</v>
      </c>
      <c r="U259" s="166">
        <f t="shared" si="4"/>
        <v>45608</v>
      </c>
      <c r="V259" s="166"/>
      <c r="W259" s="43"/>
      <c r="X259" s="43"/>
      <c r="Y259" s="43"/>
      <c r="Z259" s="43"/>
      <c r="AA259" s="43"/>
      <c r="AB259" s="43"/>
    </row>
    <row r="260" spans="1:28" ht="14.25" hidden="1" customHeight="1">
      <c r="A260" s="163" t="s">
        <v>279</v>
      </c>
      <c r="B260" s="164">
        <v>45608</v>
      </c>
      <c r="C260" s="163" t="s">
        <v>852</v>
      </c>
      <c r="D260" s="163" t="s">
        <v>281</v>
      </c>
      <c r="E260" s="163" t="s">
        <v>791</v>
      </c>
      <c r="F260" s="168">
        <v>-433.33</v>
      </c>
      <c r="G260" s="165">
        <f t="shared" si="5"/>
        <v>6603.8000000000138</v>
      </c>
      <c r="H260" s="163"/>
      <c r="I260" s="163" t="s">
        <v>283</v>
      </c>
      <c r="J260" s="163"/>
      <c r="K260" s="163"/>
      <c r="L260" s="163" t="s">
        <v>800</v>
      </c>
      <c r="M260" s="163" t="s">
        <v>853</v>
      </c>
      <c r="N260" s="163" t="s">
        <v>297</v>
      </c>
      <c r="O260" s="163"/>
      <c r="P260" s="163"/>
      <c r="Q260" s="163"/>
      <c r="R260" s="163" t="s">
        <v>854</v>
      </c>
      <c r="S260" s="163" t="s">
        <v>855</v>
      </c>
      <c r="T260" s="43">
        <f t="shared" si="6"/>
        <v>11</v>
      </c>
      <c r="U260" s="166">
        <f t="shared" si="4"/>
        <v>45608</v>
      </c>
      <c r="V260" s="43"/>
      <c r="W260" s="43"/>
      <c r="X260" s="43"/>
      <c r="Y260" s="43"/>
      <c r="Z260" s="43"/>
      <c r="AA260" s="43"/>
      <c r="AB260" s="43"/>
    </row>
    <row r="261" spans="1:28" ht="14.25" hidden="1" customHeight="1">
      <c r="A261" s="163" t="s">
        <v>279</v>
      </c>
      <c r="B261" s="164">
        <v>45608</v>
      </c>
      <c r="C261" s="163" t="s">
        <v>861</v>
      </c>
      <c r="D261" s="163" t="s">
        <v>281</v>
      </c>
      <c r="E261" s="163" t="s">
        <v>791</v>
      </c>
      <c r="F261" s="168">
        <v>-1283.33</v>
      </c>
      <c r="G261" s="165">
        <f t="shared" si="5"/>
        <v>5320.4700000000139</v>
      </c>
      <c r="H261" s="163"/>
      <c r="I261" s="163" t="s">
        <v>283</v>
      </c>
      <c r="J261" s="163"/>
      <c r="K261" s="163"/>
      <c r="L261" s="163" t="s">
        <v>795</v>
      </c>
      <c r="M261" s="163" t="s">
        <v>862</v>
      </c>
      <c r="N261" s="163" t="s">
        <v>297</v>
      </c>
      <c r="O261" s="163"/>
      <c r="P261" s="163"/>
      <c r="Q261" s="163"/>
      <c r="R261" s="163" t="s">
        <v>863</v>
      </c>
      <c r="S261" s="163" t="s">
        <v>864</v>
      </c>
      <c r="T261" s="43">
        <f t="shared" si="6"/>
        <v>11</v>
      </c>
      <c r="U261" s="166">
        <f t="shared" si="4"/>
        <v>45608</v>
      </c>
      <c r="V261" s="43"/>
      <c r="W261" s="43"/>
      <c r="X261" s="43"/>
      <c r="Y261" s="43"/>
      <c r="Z261" s="43"/>
      <c r="AA261" s="43"/>
      <c r="AB261" s="43"/>
    </row>
    <row r="262" spans="1:28" ht="14.25" hidden="1" customHeight="1">
      <c r="A262" s="163" t="s">
        <v>279</v>
      </c>
      <c r="B262" s="164">
        <v>45608</v>
      </c>
      <c r="C262" s="163"/>
      <c r="D262" s="163" t="s">
        <v>281</v>
      </c>
      <c r="E262" s="163" t="s">
        <v>330</v>
      </c>
      <c r="F262" s="168">
        <v>-0.5</v>
      </c>
      <c r="G262" s="165">
        <f t="shared" si="5"/>
        <v>5319.9700000000139</v>
      </c>
      <c r="H262" s="163"/>
      <c r="I262" s="163" t="s">
        <v>331</v>
      </c>
      <c r="J262" s="163" t="s">
        <v>865</v>
      </c>
      <c r="K262" s="163"/>
      <c r="L262" s="163"/>
      <c r="M262" s="163"/>
      <c r="N262" s="163" t="s">
        <v>333</v>
      </c>
      <c r="O262" s="163"/>
      <c r="P262" s="163"/>
      <c r="Q262" s="163"/>
      <c r="R262" s="163"/>
      <c r="S262" s="163"/>
      <c r="T262" s="43">
        <f t="shared" si="6"/>
        <v>11</v>
      </c>
      <c r="U262" s="166">
        <f t="shared" si="4"/>
        <v>45608</v>
      </c>
      <c r="V262" s="43"/>
      <c r="W262" s="43"/>
      <c r="X262" s="43"/>
      <c r="Y262" s="43"/>
      <c r="Z262" s="43"/>
      <c r="AA262" s="43"/>
      <c r="AB262" s="43"/>
    </row>
    <row r="263" spans="1:28" ht="14.25" hidden="1" customHeight="1">
      <c r="A263" s="163" t="s">
        <v>279</v>
      </c>
      <c r="B263" s="164">
        <v>45608</v>
      </c>
      <c r="C263" s="163"/>
      <c r="D263" s="163" t="s">
        <v>281</v>
      </c>
      <c r="E263" s="163" t="s">
        <v>330</v>
      </c>
      <c r="F263" s="168">
        <v>-0.5</v>
      </c>
      <c r="G263" s="165">
        <f t="shared" si="5"/>
        <v>5319.4700000000139</v>
      </c>
      <c r="H263" s="163"/>
      <c r="I263" s="163" t="s">
        <v>331</v>
      </c>
      <c r="J263" s="163" t="s">
        <v>866</v>
      </c>
      <c r="K263" s="163"/>
      <c r="L263" s="163"/>
      <c r="M263" s="163"/>
      <c r="N263" s="163" t="s">
        <v>333</v>
      </c>
      <c r="O263" s="163"/>
      <c r="P263" s="163"/>
      <c r="Q263" s="163"/>
      <c r="R263" s="163"/>
      <c r="S263" s="163"/>
      <c r="T263" s="43">
        <f t="shared" si="6"/>
        <v>11</v>
      </c>
      <c r="U263" s="166">
        <f t="shared" si="4"/>
        <v>45608</v>
      </c>
      <c r="V263" s="43"/>
      <c r="W263" s="43"/>
      <c r="X263" s="43"/>
      <c r="Y263" s="43"/>
      <c r="Z263" s="43"/>
      <c r="AA263" s="43"/>
      <c r="AB263" s="43"/>
    </row>
    <row r="264" spans="1:28" ht="14.25" hidden="1" customHeight="1">
      <c r="A264" s="163" t="s">
        <v>279</v>
      </c>
      <c r="B264" s="164">
        <v>45608</v>
      </c>
      <c r="C264" s="163"/>
      <c r="D264" s="163" t="s">
        <v>281</v>
      </c>
      <c r="E264" s="163" t="s">
        <v>330</v>
      </c>
      <c r="F264" s="168">
        <v>-0.5</v>
      </c>
      <c r="G264" s="165">
        <f t="shared" si="5"/>
        <v>5318.9700000000139</v>
      </c>
      <c r="H264" s="163"/>
      <c r="I264" s="163" t="s">
        <v>331</v>
      </c>
      <c r="J264" s="163" t="s">
        <v>867</v>
      </c>
      <c r="K264" s="163"/>
      <c r="L264" s="163"/>
      <c r="M264" s="163"/>
      <c r="N264" s="163" t="s">
        <v>333</v>
      </c>
      <c r="O264" s="163"/>
      <c r="P264" s="163"/>
      <c r="Q264" s="163"/>
      <c r="R264" s="163"/>
      <c r="S264" s="163"/>
      <c r="T264" s="43">
        <f t="shared" si="6"/>
        <v>11</v>
      </c>
      <c r="U264" s="166">
        <f t="shared" si="4"/>
        <v>45608</v>
      </c>
      <c r="V264" s="43"/>
      <c r="W264" s="43"/>
      <c r="X264" s="43"/>
      <c r="Y264" s="43"/>
      <c r="Z264" s="43"/>
      <c r="AA264" s="43"/>
      <c r="AB264" s="43"/>
    </row>
    <row r="265" spans="1:28" ht="14.25" hidden="1" customHeight="1">
      <c r="A265" s="163" t="s">
        <v>279</v>
      </c>
      <c r="B265" s="164">
        <v>45608</v>
      </c>
      <c r="C265" s="163"/>
      <c r="D265" s="163" t="s">
        <v>281</v>
      </c>
      <c r="E265" s="163" t="s">
        <v>330</v>
      </c>
      <c r="F265" s="168">
        <v>-0.5</v>
      </c>
      <c r="G265" s="165">
        <f t="shared" si="5"/>
        <v>5318.4700000000139</v>
      </c>
      <c r="H265" s="163"/>
      <c r="I265" s="163" t="s">
        <v>331</v>
      </c>
      <c r="J265" s="163" t="s">
        <v>868</v>
      </c>
      <c r="K265" s="163"/>
      <c r="L265" s="163"/>
      <c r="M265" s="163"/>
      <c r="N265" s="163" t="s">
        <v>333</v>
      </c>
      <c r="O265" s="163"/>
      <c r="P265" s="163"/>
      <c r="Q265" s="163"/>
      <c r="R265" s="163"/>
      <c r="S265" s="163"/>
      <c r="T265" s="43">
        <f t="shared" si="6"/>
        <v>11</v>
      </c>
      <c r="U265" s="166">
        <f t="shared" si="4"/>
        <v>45608</v>
      </c>
      <c r="V265" s="43"/>
      <c r="W265" s="43"/>
      <c r="X265" s="43"/>
      <c r="Y265" s="43"/>
      <c r="Z265" s="43"/>
      <c r="AA265" s="43"/>
      <c r="AB265" s="43"/>
    </row>
    <row r="266" spans="1:28" ht="14.25" hidden="1" customHeight="1">
      <c r="A266" s="163" t="s">
        <v>279</v>
      </c>
      <c r="B266" s="164">
        <v>45608</v>
      </c>
      <c r="C266" s="163"/>
      <c r="D266" s="163" t="s">
        <v>281</v>
      </c>
      <c r="E266" s="163" t="s">
        <v>330</v>
      </c>
      <c r="F266" s="168">
        <v>-0.5</v>
      </c>
      <c r="G266" s="165">
        <f t="shared" si="5"/>
        <v>5317.9700000000139</v>
      </c>
      <c r="H266" s="163"/>
      <c r="I266" s="163" t="s">
        <v>331</v>
      </c>
      <c r="J266" s="163" t="s">
        <v>869</v>
      </c>
      <c r="K266" s="163"/>
      <c r="L266" s="163"/>
      <c r="M266" s="163"/>
      <c r="N266" s="163" t="s">
        <v>333</v>
      </c>
      <c r="O266" s="163"/>
      <c r="P266" s="163"/>
      <c r="Q266" s="163"/>
      <c r="R266" s="163"/>
      <c r="S266" s="163"/>
      <c r="T266" s="43">
        <f t="shared" si="6"/>
        <v>11</v>
      </c>
      <c r="U266" s="166">
        <f t="shared" si="4"/>
        <v>45608</v>
      </c>
      <c r="V266" s="43"/>
      <c r="W266" s="43"/>
      <c r="X266" s="43"/>
      <c r="Y266" s="43"/>
      <c r="Z266" s="43"/>
      <c r="AA266" s="43"/>
      <c r="AB266" s="43"/>
    </row>
    <row r="267" spans="1:28" ht="14.25" hidden="1" customHeight="1">
      <c r="A267" s="163" t="s">
        <v>279</v>
      </c>
      <c r="B267" s="164">
        <v>45608</v>
      </c>
      <c r="C267" s="163"/>
      <c r="D267" s="163" t="s">
        <v>281</v>
      </c>
      <c r="E267" s="163" t="s">
        <v>330</v>
      </c>
      <c r="F267" s="168">
        <v>-0.5</v>
      </c>
      <c r="G267" s="165">
        <f t="shared" si="5"/>
        <v>5317.4700000000139</v>
      </c>
      <c r="H267" s="163"/>
      <c r="I267" s="163" t="s">
        <v>331</v>
      </c>
      <c r="J267" s="163" t="s">
        <v>870</v>
      </c>
      <c r="K267" s="163"/>
      <c r="L267" s="163"/>
      <c r="M267" s="163"/>
      <c r="N267" s="163" t="s">
        <v>333</v>
      </c>
      <c r="O267" s="163"/>
      <c r="P267" s="163"/>
      <c r="Q267" s="163"/>
      <c r="R267" s="163"/>
      <c r="S267" s="163"/>
      <c r="T267" s="43">
        <f t="shared" si="6"/>
        <v>11</v>
      </c>
      <c r="U267" s="166">
        <f t="shared" si="4"/>
        <v>45608</v>
      </c>
      <c r="V267" s="43"/>
      <c r="W267" s="43"/>
      <c r="X267" s="43"/>
      <c r="Y267" s="43"/>
      <c r="Z267" s="43"/>
      <c r="AA267" s="43"/>
      <c r="AB267" s="43"/>
    </row>
    <row r="268" spans="1:28" ht="14.25" hidden="1" customHeight="1">
      <c r="A268" s="163" t="s">
        <v>279</v>
      </c>
      <c r="B268" s="164">
        <v>45608</v>
      </c>
      <c r="C268" s="163"/>
      <c r="D268" s="163" t="s">
        <v>281</v>
      </c>
      <c r="E268" s="163" t="s">
        <v>330</v>
      </c>
      <c r="F268" s="168">
        <v>-0.5</v>
      </c>
      <c r="G268" s="165">
        <f t="shared" si="5"/>
        <v>5316.9700000000139</v>
      </c>
      <c r="H268" s="163"/>
      <c r="I268" s="163" t="s">
        <v>331</v>
      </c>
      <c r="J268" s="163" t="s">
        <v>871</v>
      </c>
      <c r="K268" s="163"/>
      <c r="L268" s="163"/>
      <c r="M268" s="163"/>
      <c r="N268" s="163" t="s">
        <v>333</v>
      </c>
      <c r="O268" s="163"/>
      <c r="P268" s="163"/>
      <c r="Q268" s="163"/>
      <c r="R268" s="163"/>
      <c r="S268" s="163"/>
      <c r="T268" s="43">
        <f t="shared" si="6"/>
        <v>11</v>
      </c>
      <c r="U268" s="166">
        <f t="shared" si="4"/>
        <v>45608</v>
      </c>
      <c r="V268" s="43"/>
      <c r="W268" s="43"/>
      <c r="X268" s="43"/>
      <c r="Y268" s="43"/>
      <c r="Z268" s="43"/>
      <c r="AA268" s="43"/>
      <c r="AB268" s="43"/>
    </row>
    <row r="269" spans="1:28" ht="14.25" hidden="1" customHeight="1">
      <c r="A269" s="163" t="s">
        <v>279</v>
      </c>
      <c r="B269" s="164">
        <v>45608</v>
      </c>
      <c r="C269" s="163" t="s">
        <v>872</v>
      </c>
      <c r="D269" s="163" t="s">
        <v>281</v>
      </c>
      <c r="E269" s="163" t="s">
        <v>190</v>
      </c>
      <c r="F269" s="168">
        <v>-50</v>
      </c>
      <c r="G269" s="165">
        <f t="shared" si="5"/>
        <v>5266.9700000000139</v>
      </c>
      <c r="H269" s="163"/>
      <c r="I269" s="163" t="s">
        <v>283</v>
      </c>
      <c r="J269" s="163"/>
      <c r="K269" s="163"/>
      <c r="L269" s="163" t="s">
        <v>305</v>
      </c>
      <c r="M269" s="163" t="s">
        <v>873</v>
      </c>
      <c r="N269" s="163" t="s">
        <v>297</v>
      </c>
      <c r="O269" s="163"/>
      <c r="P269" s="163"/>
      <c r="Q269" s="163"/>
      <c r="R269" s="163" t="s">
        <v>872</v>
      </c>
      <c r="S269" s="163" t="s">
        <v>874</v>
      </c>
      <c r="T269" s="43">
        <f t="shared" si="6"/>
        <v>11</v>
      </c>
      <c r="U269" s="166">
        <f t="shared" si="4"/>
        <v>45608</v>
      </c>
      <c r="V269" s="43"/>
      <c r="W269" s="43"/>
      <c r="X269" s="43"/>
      <c r="Y269" s="43"/>
      <c r="Z269" s="43"/>
      <c r="AA269" s="43"/>
      <c r="AB269" s="43"/>
    </row>
    <row r="270" spans="1:28" ht="14.25" hidden="1" customHeight="1">
      <c r="A270" s="163" t="s">
        <v>279</v>
      </c>
      <c r="B270" s="164">
        <v>45608</v>
      </c>
      <c r="C270" s="163" t="s">
        <v>799</v>
      </c>
      <c r="D270" s="163" t="s">
        <v>281</v>
      </c>
      <c r="E270" s="163" t="s">
        <v>791</v>
      </c>
      <c r="F270" s="168">
        <v>-4900</v>
      </c>
      <c r="G270" s="165">
        <f t="shared" si="5"/>
        <v>366.9700000000139</v>
      </c>
      <c r="H270" s="163"/>
      <c r="I270" s="163" t="s">
        <v>283</v>
      </c>
      <c r="J270" s="163"/>
      <c r="K270" s="163"/>
      <c r="L270" s="163" t="s">
        <v>305</v>
      </c>
      <c r="M270" s="163" t="s">
        <v>875</v>
      </c>
      <c r="N270" s="163" t="s">
        <v>297</v>
      </c>
      <c r="O270" s="163"/>
      <c r="P270" s="163"/>
      <c r="Q270" s="163"/>
      <c r="R270" s="163" t="s">
        <v>802</v>
      </c>
      <c r="S270" s="163" t="s">
        <v>803</v>
      </c>
      <c r="T270" s="43">
        <f t="shared" si="6"/>
        <v>11</v>
      </c>
      <c r="U270" s="166">
        <f t="shared" si="4"/>
        <v>45608</v>
      </c>
      <c r="V270" s="43"/>
      <c r="W270" s="43"/>
      <c r="X270" s="43"/>
      <c r="Y270" s="43"/>
      <c r="Z270" s="43"/>
      <c r="AA270" s="43"/>
      <c r="AB270" s="43"/>
    </row>
    <row r="271" spans="1:28" ht="14.25" hidden="1" customHeight="1">
      <c r="A271" s="163" t="s">
        <v>279</v>
      </c>
      <c r="B271" s="164">
        <v>45608</v>
      </c>
      <c r="C271" s="163"/>
      <c r="D271" s="163" t="s">
        <v>281</v>
      </c>
      <c r="E271" s="163" t="s">
        <v>330</v>
      </c>
      <c r="F271" s="168">
        <v>-0.5</v>
      </c>
      <c r="G271" s="165">
        <f t="shared" si="5"/>
        <v>366.4700000000139</v>
      </c>
      <c r="H271" s="163"/>
      <c r="I271" s="163" t="s">
        <v>331</v>
      </c>
      <c r="J271" s="163" t="s">
        <v>876</v>
      </c>
      <c r="K271" s="163"/>
      <c r="L271" s="163"/>
      <c r="M271" s="163"/>
      <c r="N271" s="163" t="s">
        <v>333</v>
      </c>
      <c r="O271" s="163"/>
      <c r="P271" s="163"/>
      <c r="Q271" s="163"/>
      <c r="R271" s="163"/>
      <c r="S271" s="163"/>
      <c r="T271" s="43">
        <f t="shared" si="6"/>
        <v>11</v>
      </c>
      <c r="U271" s="166">
        <f t="shared" si="4"/>
        <v>45608</v>
      </c>
      <c r="V271" s="43"/>
      <c r="W271" s="43"/>
      <c r="X271" s="43"/>
      <c r="Y271" s="43"/>
      <c r="Z271" s="43"/>
      <c r="AA271" s="43"/>
      <c r="AB271" s="43"/>
    </row>
    <row r="272" spans="1:28" ht="14.25" hidden="1" customHeight="1">
      <c r="A272" s="163" t="s">
        <v>279</v>
      </c>
      <c r="B272" s="164">
        <v>45608</v>
      </c>
      <c r="C272" s="163"/>
      <c r="D272" s="163" t="s">
        <v>281</v>
      </c>
      <c r="E272" s="163" t="s">
        <v>330</v>
      </c>
      <c r="F272" s="168">
        <v>-0.5</v>
      </c>
      <c r="G272" s="165">
        <f t="shared" si="5"/>
        <v>365.9700000000139</v>
      </c>
      <c r="H272" s="163"/>
      <c r="I272" s="163" t="s">
        <v>331</v>
      </c>
      <c r="J272" s="163" t="s">
        <v>877</v>
      </c>
      <c r="K272" s="163"/>
      <c r="L272" s="163"/>
      <c r="M272" s="163"/>
      <c r="N272" s="163" t="s">
        <v>333</v>
      </c>
      <c r="O272" s="163"/>
      <c r="P272" s="163"/>
      <c r="Q272" s="163"/>
      <c r="R272" s="163"/>
      <c r="S272" s="163"/>
      <c r="T272" s="43">
        <f t="shared" si="6"/>
        <v>11</v>
      </c>
      <c r="U272" s="166">
        <f t="shared" si="4"/>
        <v>45608</v>
      </c>
      <c r="V272" s="43"/>
      <c r="W272" s="43"/>
      <c r="X272" s="43"/>
      <c r="Y272" s="43"/>
      <c r="Z272" s="43"/>
      <c r="AA272" s="43"/>
      <c r="AB272" s="43"/>
    </row>
    <row r="273" spans="1:28" ht="14.25" hidden="1" customHeight="1">
      <c r="A273" s="163"/>
      <c r="B273" s="164">
        <v>45608</v>
      </c>
      <c r="C273" s="163" t="s">
        <v>346</v>
      </c>
      <c r="D273" s="163"/>
      <c r="E273" s="163"/>
      <c r="F273" s="165">
        <v>0</v>
      </c>
      <c r="G273" s="165">
        <f t="shared" si="5"/>
        <v>365.9700000000139</v>
      </c>
      <c r="H273" s="163"/>
      <c r="I273" s="163"/>
      <c r="J273" s="163"/>
      <c r="K273" s="163"/>
      <c r="L273" s="163"/>
      <c r="M273" s="163"/>
      <c r="N273" s="163"/>
      <c r="O273" s="163"/>
      <c r="P273" s="163"/>
      <c r="Q273" s="163"/>
      <c r="R273" s="163"/>
      <c r="S273" s="163"/>
      <c r="T273" s="43">
        <f t="shared" si="6"/>
        <v>11</v>
      </c>
      <c r="U273" s="166">
        <f t="shared" si="4"/>
        <v>45608</v>
      </c>
      <c r="V273" s="43"/>
      <c r="W273" s="43"/>
      <c r="X273" s="43"/>
      <c r="Y273" s="43"/>
      <c r="Z273" s="43"/>
      <c r="AA273" s="43"/>
      <c r="AB273" s="43"/>
    </row>
    <row r="274" spans="1:28" ht="14.25" hidden="1" customHeight="1">
      <c r="A274" s="163" t="s">
        <v>279</v>
      </c>
      <c r="B274" s="164">
        <v>45609</v>
      </c>
      <c r="C274" s="163" t="s">
        <v>280</v>
      </c>
      <c r="D274" s="163" t="s">
        <v>281</v>
      </c>
      <c r="E274" s="163" t="s">
        <v>282</v>
      </c>
      <c r="F274" s="165">
        <v>5000</v>
      </c>
      <c r="G274" s="165">
        <f t="shared" si="5"/>
        <v>5365.9700000000139</v>
      </c>
      <c r="H274" s="163"/>
      <c r="I274" s="163" t="s">
        <v>283</v>
      </c>
      <c r="J274" s="163" t="s">
        <v>878</v>
      </c>
      <c r="K274" s="163"/>
      <c r="L274" s="163"/>
      <c r="M274" s="163"/>
      <c r="N274" s="163" t="s">
        <v>285</v>
      </c>
      <c r="O274" s="163"/>
      <c r="P274" s="163"/>
      <c r="Q274" s="163"/>
      <c r="R274" s="163" t="s">
        <v>286</v>
      </c>
      <c r="S274" s="163" t="s">
        <v>287</v>
      </c>
      <c r="T274" s="43">
        <f t="shared" si="6"/>
        <v>11</v>
      </c>
      <c r="U274" s="166">
        <f t="shared" si="4"/>
        <v>45609</v>
      </c>
      <c r="V274" s="43"/>
      <c r="W274" s="43"/>
      <c r="X274" s="43"/>
      <c r="Y274" s="43"/>
      <c r="Z274" s="43"/>
      <c r="AA274" s="43"/>
      <c r="AB274" s="43"/>
    </row>
    <row r="275" spans="1:28" ht="14.25" hidden="1" customHeight="1">
      <c r="A275" s="163" t="s">
        <v>279</v>
      </c>
      <c r="B275" s="164">
        <v>45609</v>
      </c>
      <c r="C275" s="163" t="s">
        <v>280</v>
      </c>
      <c r="D275" s="163" t="s">
        <v>281</v>
      </c>
      <c r="E275" s="163" t="s">
        <v>282</v>
      </c>
      <c r="F275" s="165">
        <v>5000</v>
      </c>
      <c r="G275" s="165">
        <f t="shared" si="5"/>
        <v>10365.970000000014</v>
      </c>
      <c r="H275" s="163"/>
      <c r="I275" s="163" t="s">
        <v>283</v>
      </c>
      <c r="J275" s="163" t="s">
        <v>879</v>
      </c>
      <c r="K275" s="163"/>
      <c r="L275" s="163"/>
      <c r="M275" s="163"/>
      <c r="N275" s="163" t="s">
        <v>285</v>
      </c>
      <c r="O275" s="163"/>
      <c r="P275" s="163"/>
      <c r="Q275" s="163"/>
      <c r="R275" s="163" t="s">
        <v>286</v>
      </c>
      <c r="S275" s="163" t="s">
        <v>287</v>
      </c>
      <c r="T275" s="43">
        <f t="shared" si="6"/>
        <v>11</v>
      </c>
      <c r="U275" s="166">
        <f t="shared" si="4"/>
        <v>45609</v>
      </c>
      <c r="V275" s="43"/>
      <c r="W275" s="43"/>
      <c r="X275" s="43"/>
      <c r="Y275" s="43"/>
      <c r="Z275" s="43"/>
      <c r="AA275" s="43"/>
      <c r="AB275" s="43"/>
    </row>
    <row r="276" spans="1:28" ht="14.25" hidden="1" customHeight="1">
      <c r="A276" s="163" t="s">
        <v>279</v>
      </c>
      <c r="B276" s="164">
        <v>45609</v>
      </c>
      <c r="C276" s="163" t="s">
        <v>380</v>
      </c>
      <c r="D276" s="163" t="s">
        <v>281</v>
      </c>
      <c r="E276" s="163" t="s">
        <v>381</v>
      </c>
      <c r="F276" s="168">
        <v>-3000</v>
      </c>
      <c r="G276" s="165">
        <f t="shared" si="5"/>
        <v>7365.9700000000139</v>
      </c>
      <c r="H276" s="163"/>
      <c r="I276" s="163" t="s">
        <v>283</v>
      </c>
      <c r="J276" s="163" t="s">
        <v>880</v>
      </c>
      <c r="K276" s="163"/>
      <c r="L276" s="163"/>
      <c r="M276" s="163"/>
      <c r="N276" s="163" t="s">
        <v>383</v>
      </c>
      <c r="O276" s="163"/>
      <c r="P276" s="163"/>
      <c r="Q276" s="163"/>
      <c r="R276" s="163" t="s">
        <v>353</v>
      </c>
      <c r="S276" s="163" t="s">
        <v>354</v>
      </c>
      <c r="T276" s="43">
        <f t="shared" si="6"/>
        <v>11</v>
      </c>
      <c r="U276" s="166">
        <f t="shared" si="4"/>
        <v>45609</v>
      </c>
      <c r="V276" s="43"/>
      <c r="W276" s="43"/>
      <c r="X276" s="43"/>
      <c r="Y276" s="43"/>
      <c r="Z276" s="43"/>
      <c r="AA276" s="43"/>
      <c r="AB276" s="43"/>
    </row>
    <row r="277" spans="1:28" ht="14.25" hidden="1" customHeight="1">
      <c r="A277" s="163" t="s">
        <v>279</v>
      </c>
      <c r="B277" s="164">
        <v>45609</v>
      </c>
      <c r="C277" s="163"/>
      <c r="D277" s="163" t="s">
        <v>281</v>
      </c>
      <c r="E277" s="163" t="s">
        <v>330</v>
      </c>
      <c r="F277" s="168">
        <v>-0.5</v>
      </c>
      <c r="G277" s="165">
        <f t="shared" si="5"/>
        <v>7365.4700000000139</v>
      </c>
      <c r="H277" s="163"/>
      <c r="I277" s="163" t="s">
        <v>331</v>
      </c>
      <c r="J277" s="163" t="s">
        <v>881</v>
      </c>
      <c r="K277" s="163"/>
      <c r="L277" s="163"/>
      <c r="M277" s="163"/>
      <c r="N277" s="163" t="s">
        <v>333</v>
      </c>
      <c r="O277" s="163"/>
      <c r="P277" s="163"/>
      <c r="Q277" s="163"/>
      <c r="R277" s="163"/>
      <c r="S277" s="163"/>
      <c r="T277" s="43">
        <f t="shared" si="6"/>
        <v>11</v>
      </c>
      <c r="U277" s="166">
        <f t="shared" si="4"/>
        <v>45609</v>
      </c>
      <c r="V277" s="43"/>
      <c r="W277" s="43"/>
      <c r="X277" s="43"/>
      <c r="Y277" s="43"/>
      <c r="Z277" s="43"/>
      <c r="AA277" s="43"/>
      <c r="AB277" s="43"/>
    </row>
    <row r="278" spans="1:28" ht="14.25" hidden="1" customHeight="1">
      <c r="A278" s="163" t="s">
        <v>279</v>
      </c>
      <c r="B278" s="164">
        <v>45609</v>
      </c>
      <c r="C278" s="163" t="s">
        <v>882</v>
      </c>
      <c r="D278" s="163" t="s">
        <v>281</v>
      </c>
      <c r="E278" s="163" t="s">
        <v>883</v>
      </c>
      <c r="F278" s="168">
        <v>-1500</v>
      </c>
      <c r="G278" s="165">
        <f t="shared" si="5"/>
        <v>5865.4700000000139</v>
      </c>
      <c r="H278" s="163"/>
      <c r="I278" s="163" t="s">
        <v>283</v>
      </c>
      <c r="J278" s="163"/>
      <c r="K278" s="163"/>
      <c r="L278" s="163" t="s">
        <v>302</v>
      </c>
      <c r="M278" s="163" t="s">
        <v>884</v>
      </c>
      <c r="N278" s="163" t="s">
        <v>297</v>
      </c>
      <c r="O278" s="163"/>
      <c r="P278" s="163"/>
      <c r="Q278" s="163"/>
      <c r="R278" s="163" t="s">
        <v>882</v>
      </c>
      <c r="S278" s="163" t="s">
        <v>885</v>
      </c>
      <c r="T278" s="43">
        <f t="shared" si="6"/>
        <v>11</v>
      </c>
      <c r="U278" s="167">
        <f t="shared" si="4"/>
        <v>45609</v>
      </c>
      <c r="V278" s="43"/>
      <c r="W278" s="43"/>
      <c r="X278" s="43"/>
      <c r="Y278" s="43"/>
      <c r="Z278" s="43"/>
      <c r="AA278" s="43"/>
      <c r="AB278" s="43"/>
    </row>
    <row r="279" spans="1:28" ht="14.25" hidden="1" customHeight="1">
      <c r="A279" s="163" t="s">
        <v>279</v>
      </c>
      <c r="B279" s="164">
        <v>45609</v>
      </c>
      <c r="C279" s="163" t="s">
        <v>111</v>
      </c>
      <c r="D279" s="163" t="s">
        <v>281</v>
      </c>
      <c r="E279" s="163" t="s">
        <v>308</v>
      </c>
      <c r="F279" s="168">
        <v>-199.1</v>
      </c>
      <c r="G279" s="165">
        <f t="shared" si="5"/>
        <v>5666.3700000000135</v>
      </c>
      <c r="H279" s="163"/>
      <c r="I279" s="163" t="s">
        <v>283</v>
      </c>
      <c r="J279" s="163"/>
      <c r="K279" s="163"/>
      <c r="L279" s="163" t="s">
        <v>305</v>
      </c>
      <c r="M279" s="163" t="s">
        <v>886</v>
      </c>
      <c r="N279" s="163" t="s">
        <v>297</v>
      </c>
      <c r="O279" s="163"/>
      <c r="P279" s="163"/>
      <c r="Q279" s="163"/>
      <c r="R279" s="163" t="s">
        <v>111</v>
      </c>
      <c r="S279" s="163" t="s">
        <v>320</v>
      </c>
      <c r="T279" s="43">
        <f t="shared" si="6"/>
        <v>11</v>
      </c>
      <c r="U279" s="166">
        <f t="shared" si="4"/>
        <v>45609</v>
      </c>
      <c r="V279" s="43"/>
      <c r="W279" s="43"/>
      <c r="X279" s="43"/>
      <c r="Y279" s="43"/>
      <c r="Z279" s="43"/>
      <c r="AA279" s="43"/>
      <c r="AB279" s="43"/>
    </row>
    <row r="280" spans="1:28" ht="14.25" hidden="1" customHeight="1">
      <c r="A280" s="163" t="s">
        <v>279</v>
      </c>
      <c r="B280" s="164">
        <v>45609</v>
      </c>
      <c r="C280" s="163" t="s">
        <v>93</v>
      </c>
      <c r="D280" s="163" t="s">
        <v>281</v>
      </c>
      <c r="E280" s="163" t="s">
        <v>308</v>
      </c>
      <c r="F280" s="168">
        <v>-143.15</v>
      </c>
      <c r="G280" s="165">
        <f t="shared" si="5"/>
        <v>5523.2200000000139</v>
      </c>
      <c r="H280" s="163"/>
      <c r="I280" s="163" t="s">
        <v>283</v>
      </c>
      <c r="J280" s="163"/>
      <c r="K280" s="163"/>
      <c r="L280" s="163" t="s">
        <v>305</v>
      </c>
      <c r="M280" s="163" t="s">
        <v>887</v>
      </c>
      <c r="N280" s="163" t="s">
        <v>297</v>
      </c>
      <c r="O280" s="163"/>
      <c r="P280" s="163"/>
      <c r="Q280" s="163"/>
      <c r="R280" s="163" t="s">
        <v>93</v>
      </c>
      <c r="S280" s="163" t="s">
        <v>540</v>
      </c>
      <c r="T280" s="43">
        <f t="shared" si="6"/>
        <v>11</v>
      </c>
      <c r="U280" s="166">
        <f t="shared" si="4"/>
        <v>45609</v>
      </c>
      <c r="V280" s="43"/>
      <c r="W280" s="43"/>
      <c r="X280" s="43"/>
      <c r="Y280" s="43"/>
      <c r="Z280" s="43"/>
      <c r="AA280" s="43"/>
      <c r="AB280" s="43"/>
    </row>
    <row r="281" spans="1:28" ht="14.25" hidden="1" customHeight="1">
      <c r="A281" s="163" t="s">
        <v>279</v>
      </c>
      <c r="B281" s="164">
        <v>45609</v>
      </c>
      <c r="C281" s="163" t="s">
        <v>433</v>
      </c>
      <c r="D281" s="163" t="s">
        <v>281</v>
      </c>
      <c r="E281" s="163" t="s">
        <v>308</v>
      </c>
      <c r="F281" s="168">
        <v>-206.51</v>
      </c>
      <c r="G281" s="165">
        <f t="shared" si="5"/>
        <v>5316.7100000000137</v>
      </c>
      <c r="H281" s="163"/>
      <c r="I281" s="163" t="s">
        <v>283</v>
      </c>
      <c r="J281" s="163"/>
      <c r="K281" s="163"/>
      <c r="L281" s="163" t="s">
        <v>305</v>
      </c>
      <c r="M281" s="163" t="s">
        <v>888</v>
      </c>
      <c r="N281" s="163" t="s">
        <v>297</v>
      </c>
      <c r="O281" s="163"/>
      <c r="P281" s="163"/>
      <c r="Q281" s="163"/>
      <c r="R281" s="163" t="s">
        <v>433</v>
      </c>
      <c r="S281" s="163" t="s">
        <v>435</v>
      </c>
      <c r="T281" s="43">
        <f t="shared" si="6"/>
        <v>11</v>
      </c>
      <c r="U281" s="166">
        <f t="shared" si="4"/>
        <v>45609</v>
      </c>
      <c r="V281" s="166"/>
      <c r="W281" s="43"/>
      <c r="X281" s="43"/>
      <c r="Y281" s="43"/>
      <c r="Z281" s="43"/>
      <c r="AA281" s="43"/>
      <c r="AB281" s="43"/>
    </row>
    <row r="282" spans="1:28" ht="14.25" hidden="1" customHeight="1">
      <c r="A282" s="163" t="s">
        <v>279</v>
      </c>
      <c r="B282" s="164">
        <v>45609</v>
      </c>
      <c r="C282" s="163" t="s">
        <v>111</v>
      </c>
      <c r="D282" s="163" t="s">
        <v>281</v>
      </c>
      <c r="E282" s="163" t="s">
        <v>308</v>
      </c>
      <c r="F282" s="168">
        <v>-260</v>
      </c>
      <c r="G282" s="165">
        <f t="shared" si="5"/>
        <v>5056.7100000000137</v>
      </c>
      <c r="H282" s="163"/>
      <c r="I282" s="163" t="s">
        <v>283</v>
      </c>
      <c r="J282" s="163"/>
      <c r="K282" s="163"/>
      <c r="L282" s="163" t="s">
        <v>305</v>
      </c>
      <c r="M282" s="163" t="s">
        <v>889</v>
      </c>
      <c r="N282" s="163" t="s">
        <v>297</v>
      </c>
      <c r="O282" s="163"/>
      <c r="P282" s="163"/>
      <c r="Q282" s="163"/>
      <c r="R282" s="163" t="s">
        <v>111</v>
      </c>
      <c r="S282" s="163" t="s">
        <v>320</v>
      </c>
      <c r="T282" s="43">
        <f t="shared" si="6"/>
        <v>11</v>
      </c>
      <c r="U282" s="166">
        <f t="shared" si="4"/>
        <v>45609</v>
      </c>
      <c r="V282" s="43"/>
      <c r="W282" s="43"/>
      <c r="X282" s="43"/>
      <c r="Y282" s="43"/>
      <c r="Z282" s="43"/>
      <c r="AA282" s="43"/>
      <c r="AB282" s="43"/>
    </row>
    <row r="283" spans="1:28" ht="14.25" hidden="1" customHeight="1">
      <c r="A283" s="163" t="s">
        <v>279</v>
      </c>
      <c r="B283" s="164">
        <v>45609</v>
      </c>
      <c r="C283" s="163" t="s">
        <v>316</v>
      </c>
      <c r="D283" s="163" t="s">
        <v>281</v>
      </c>
      <c r="E283" s="163" t="s">
        <v>308</v>
      </c>
      <c r="F283" s="168">
        <v>-320</v>
      </c>
      <c r="G283" s="165">
        <f t="shared" si="5"/>
        <v>4736.7100000000137</v>
      </c>
      <c r="H283" s="163"/>
      <c r="I283" s="163" t="s">
        <v>283</v>
      </c>
      <c r="J283" s="163"/>
      <c r="K283" s="163"/>
      <c r="L283" s="163" t="s">
        <v>305</v>
      </c>
      <c r="M283" s="163" t="s">
        <v>890</v>
      </c>
      <c r="N283" s="163" t="s">
        <v>297</v>
      </c>
      <c r="O283" s="163"/>
      <c r="P283" s="163"/>
      <c r="Q283" s="163"/>
      <c r="R283" s="163" t="s">
        <v>316</v>
      </c>
      <c r="S283" s="163" t="s">
        <v>318</v>
      </c>
      <c r="T283" s="43">
        <f t="shared" si="6"/>
        <v>11</v>
      </c>
      <c r="U283" s="166">
        <f t="shared" si="4"/>
        <v>45609</v>
      </c>
      <c r="V283" s="43"/>
      <c r="W283" s="43"/>
      <c r="X283" s="43"/>
      <c r="Y283" s="43"/>
      <c r="Z283" s="43"/>
      <c r="AA283" s="43"/>
      <c r="AB283" s="43"/>
    </row>
    <row r="284" spans="1:28" ht="14.25" hidden="1" customHeight="1">
      <c r="A284" s="163" t="s">
        <v>279</v>
      </c>
      <c r="B284" s="164">
        <v>45609</v>
      </c>
      <c r="C284" s="163" t="s">
        <v>549</v>
      </c>
      <c r="D284" s="163" t="s">
        <v>281</v>
      </c>
      <c r="E284" s="163" t="s">
        <v>308</v>
      </c>
      <c r="F284" s="168">
        <v>-360</v>
      </c>
      <c r="G284" s="165">
        <f t="shared" si="5"/>
        <v>4376.7100000000137</v>
      </c>
      <c r="H284" s="163"/>
      <c r="I284" s="163" t="s">
        <v>283</v>
      </c>
      <c r="J284" s="163"/>
      <c r="K284" s="163"/>
      <c r="L284" s="163" t="s">
        <v>305</v>
      </c>
      <c r="M284" s="163" t="s">
        <v>891</v>
      </c>
      <c r="N284" s="163" t="s">
        <v>297</v>
      </c>
      <c r="O284" s="163"/>
      <c r="P284" s="163"/>
      <c r="Q284" s="163"/>
      <c r="R284" s="163" t="s">
        <v>549</v>
      </c>
      <c r="S284" s="163" t="s">
        <v>551</v>
      </c>
      <c r="T284" s="43">
        <f t="shared" si="6"/>
        <v>11</v>
      </c>
      <c r="U284" s="166">
        <f t="shared" si="4"/>
        <v>45609</v>
      </c>
      <c r="V284" s="43"/>
      <c r="W284" s="43"/>
      <c r="X284" s="43"/>
      <c r="Y284" s="43"/>
      <c r="Z284" s="43"/>
      <c r="AA284" s="43"/>
      <c r="AB284" s="43"/>
    </row>
    <row r="285" spans="1:28" ht="14.25" hidden="1" customHeight="1">
      <c r="A285" s="163" t="s">
        <v>279</v>
      </c>
      <c r="B285" s="164">
        <v>45609</v>
      </c>
      <c r="C285" s="163" t="s">
        <v>861</v>
      </c>
      <c r="D285" s="163" t="s">
        <v>281</v>
      </c>
      <c r="E285" s="163" t="s">
        <v>791</v>
      </c>
      <c r="F285" s="168">
        <v>-1283.33</v>
      </c>
      <c r="G285" s="165">
        <f t="shared" si="5"/>
        <v>3093.3800000000138</v>
      </c>
      <c r="H285" s="163"/>
      <c r="I285" s="163" t="s">
        <v>283</v>
      </c>
      <c r="J285" s="163"/>
      <c r="K285" s="163"/>
      <c r="L285" s="163" t="s">
        <v>305</v>
      </c>
      <c r="M285" s="163" t="s">
        <v>892</v>
      </c>
      <c r="N285" s="163" t="s">
        <v>297</v>
      </c>
      <c r="O285" s="163"/>
      <c r="P285" s="163"/>
      <c r="Q285" s="163"/>
      <c r="R285" s="163" t="s">
        <v>863</v>
      </c>
      <c r="S285" s="163" t="s">
        <v>864</v>
      </c>
      <c r="T285" s="43">
        <f t="shared" si="6"/>
        <v>11</v>
      </c>
      <c r="U285" s="166">
        <f t="shared" si="4"/>
        <v>45609</v>
      </c>
      <c r="V285" s="43"/>
      <c r="W285" s="43"/>
      <c r="X285" s="43"/>
      <c r="Y285" s="43"/>
      <c r="Z285" s="43"/>
      <c r="AA285" s="43"/>
      <c r="AB285" s="43"/>
    </row>
    <row r="286" spans="1:28" ht="14.25" hidden="1" customHeight="1">
      <c r="A286" s="163" t="s">
        <v>279</v>
      </c>
      <c r="B286" s="164">
        <v>45609</v>
      </c>
      <c r="C286" s="163" t="s">
        <v>316</v>
      </c>
      <c r="D286" s="163" t="s">
        <v>281</v>
      </c>
      <c r="E286" s="163" t="s">
        <v>308</v>
      </c>
      <c r="F286" s="168">
        <v>-132</v>
      </c>
      <c r="G286" s="165">
        <f t="shared" si="5"/>
        <v>2961.3800000000138</v>
      </c>
      <c r="H286" s="163"/>
      <c r="I286" s="163" t="s">
        <v>283</v>
      </c>
      <c r="J286" s="163"/>
      <c r="K286" s="163"/>
      <c r="L286" s="163" t="s">
        <v>305</v>
      </c>
      <c r="M286" s="163" t="s">
        <v>893</v>
      </c>
      <c r="N286" s="163" t="s">
        <v>297</v>
      </c>
      <c r="O286" s="163"/>
      <c r="P286" s="163"/>
      <c r="Q286" s="163"/>
      <c r="R286" s="163" t="s">
        <v>316</v>
      </c>
      <c r="S286" s="163" t="s">
        <v>318</v>
      </c>
      <c r="T286" s="43">
        <f t="shared" si="6"/>
        <v>11</v>
      </c>
      <c r="U286" s="166">
        <f t="shared" si="4"/>
        <v>45609</v>
      </c>
      <c r="V286" s="166"/>
      <c r="W286" s="43"/>
      <c r="X286" s="43"/>
      <c r="Y286" s="43"/>
      <c r="Z286" s="43"/>
      <c r="AA286" s="43"/>
      <c r="AB286" s="43"/>
    </row>
    <row r="287" spans="1:28" ht="14.25" hidden="1" customHeight="1">
      <c r="A287" s="163" t="s">
        <v>279</v>
      </c>
      <c r="B287" s="164">
        <v>45609</v>
      </c>
      <c r="C287" s="163" t="s">
        <v>111</v>
      </c>
      <c r="D287" s="163" t="s">
        <v>281</v>
      </c>
      <c r="E287" s="163" t="s">
        <v>308</v>
      </c>
      <c r="F287" s="168">
        <v>-123.69</v>
      </c>
      <c r="G287" s="165">
        <f t="shared" si="5"/>
        <v>2837.6900000000137</v>
      </c>
      <c r="H287" s="163"/>
      <c r="I287" s="163" t="s">
        <v>283</v>
      </c>
      <c r="J287" s="163"/>
      <c r="K287" s="163"/>
      <c r="L287" s="163" t="s">
        <v>305</v>
      </c>
      <c r="M287" s="163" t="s">
        <v>894</v>
      </c>
      <c r="N287" s="163" t="s">
        <v>297</v>
      </c>
      <c r="O287" s="163"/>
      <c r="P287" s="163"/>
      <c r="Q287" s="163"/>
      <c r="R287" s="163" t="s">
        <v>111</v>
      </c>
      <c r="S287" s="163" t="s">
        <v>320</v>
      </c>
      <c r="T287" s="43">
        <f t="shared" si="6"/>
        <v>11</v>
      </c>
      <c r="U287" s="166">
        <f t="shared" si="4"/>
        <v>45609</v>
      </c>
      <c r="V287" s="43"/>
      <c r="W287" s="43"/>
      <c r="X287" s="43"/>
      <c r="Y287" s="43"/>
      <c r="Z287" s="43"/>
      <c r="AA287" s="43"/>
      <c r="AB287" s="43"/>
    </row>
    <row r="288" spans="1:28" ht="14.25" hidden="1" customHeight="1">
      <c r="A288" s="163" t="s">
        <v>279</v>
      </c>
      <c r="B288" s="164">
        <v>45609</v>
      </c>
      <c r="C288" s="163" t="s">
        <v>87</v>
      </c>
      <c r="D288" s="163" t="s">
        <v>281</v>
      </c>
      <c r="E288" s="163" t="s">
        <v>308</v>
      </c>
      <c r="F288" s="168">
        <v>-105.63</v>
      </c>
      <c r="G288" s="165">
        <f t="shared" si="5"/>
        <v>2732.0600000000136</v>
      </c>
      <c r="H288" s="163"/>
      <c r="I288" s="163" t="s">
        <v>283</v>
      </c>
      <c r="J288" s="163"/>
      <c r="K288" s="163"/>
      <c r="L288" s="163" t="s">
        <v>305</v>
      </c>
      <c r="M288" s="163" t="s">
        <v>895</v>
      </c>
      <c r="N288" s="163" t="s">
        <v>297</v>
      </c>
      <c r="O288" s="163"/>
      <c r="P288" s="163"/>
      <c r="Q288" s="163"/>
      <c r="R288" s="163" t="s">
        <v>87</v>
      </c>
      <c r="S288" s="163" t="s">
        <v>325</v>
      </c>
      <c r="T288" s="43">
        <f t="shared" si="6"/>
        <v>11</v>
      </c>
      <c r="U288" s="166">
        <f t="shared" si="4"/>
        <v>45609</v>
      </c>
      <c r="V288" s="43"/>
      <c r="W288" s="43"/>
      <c r="X288" s="43"/>
      <c r="Y288" s="43"/>
      <c r="Z288" s="43"/>
      <c r="AA288" s="43"/>
      <c r="AB288" s="43"/>
    </row>
    <row r="289" spans="1:28" ht="14.25" hidden="1" customHeight="1">
      <c r="A289" s="163" t="s">
        <v>279</v>
      </c>
      <c r="B289" s="164">
        <v>45609</v>
      </c>
      <c r="C289" s="163" t="s">
        <v>312</v>
      </c>
      <c r="D289" s="163" t="s">
        <v>281</v>
      </c>
      <c r="E289" s="163" t="s">
        <v>308</v>
      </c>
      <c r="F289" s="168">
        <v>-57</v>
      </c>
      <c r="G289" s="165">
        <f t="shared" si="5"/>
        <v>2675.0600000000136</v>
      </c>
      <c r="H289" s="163"/>
      <c r="I289" s="163" t="s">
        <v>283</v>
      </c>
      <c r="J289" s="163"/>
      <c r="K289" s="163"/>
      <c r="L289" s="163" t="s">
        <v>305</v>
      </c>
      <c r="M289" s="163" t="s">
        <v>896</v>
      </c>
      <c r="N289" s="163" t="s">
        <v>297</v>
      </c>
      <c r="O289" s="163"/>
      <c r="P289" s="163"/>
      <c r="Q289" s="163"/>
      <c r="R289" s="163" t="s">
        <v>314</v>
      </c>
      <c r="S289" s="163" t="s">
        <v>315</v>
      </c>
      <c r="T289" s="43">
        <f t="shared" si="6"/>
        <v>11</v>
      </c>
      <c r="U289" s="166">
        <f t="shared" si="4"/>
        <v>45609</v>
      </c>
      <c r="V289" s="43"/>
      <c r="W289" s="43"/>
      <c r="X289" s="43"/>
      <c r="Y289" s="43"/>
      <c r="Z289" s="43"/>
      <c r="AA289" s="43"/>
      <c r="AB289" s="43"/>
    </row>
    <row r="290" spans="1:28" ht="14.25" hidden="1" customHeight="1">
      <c r="A290" s="163" t="s">
        <v>279</v>
      </c>
      <c r="B290" s="164">
        <v>45609</v>
      </c>
      <c r="C290" s="163" t="s">
        <v>799</v>
      </c>
      <c r="D290" s="163" t="s">
        <v>281</v>
      </c>
      <c r="E290" s="163" t="s">
        <v>308</v>
      </c>
      <c r="F290" s="168">
        <v>-210.92</v>
      </c>
      <c r="G290" s="165">
        <f t="shared" si="5"/>
        <v>2464.1400000000135</v>
      </c>
      <c r="H290" s="163"/>
      <c r="I290" s="163" t="s">
        <v>283</v>
      </c>
      <c r="J290" s="163"/>
      <c r="K290" s="163"/>
      <c r="L290" s="163" t="s">
        <v>305</v>
      </c>
      <c r="M290" s="163" t="s">
        <v>897</v>
      </c>
      <c r="N290" s="163" t="s">
        <v>297</v>
      </c>
      <c r="O290" s="163"/>
      <c r="P290" s="163"/>
      <c r="Q290" s="163"/>
      <c r="R290" s="163" t="s">
        <v>802</v>
      </c>
      <c r="S290" s="163" t="s">
        <v>803</v>
      </c>
      <c r="T290" s="94">
        <f t="shared" si="6"/>
        <v>11</v>
      </c>
      <c r="U290" s="173">
        <f t="shared" si="4"/>
        <v>45609</v>
      </c>
      <c r="V290" s="166"/>
      <c r="W290" s="43"/>
      <c r="X290" s="43"/>
      <c r="Y290" s="43"/>
      <c r="Z290" s="43"/>
      <c r="AA290" s="43"/>
      <c r="AB290" s="43"/>
    </row>
    <row r="291" spans="1:28" ht="14.25" hidden="1" customHeight="1">
      <c r="A291" s="163" t="s">
        <v>279</v>
      </c>
      <c r="B291" s="164">
        <v>45609</v>
      </c>
      <c r="C291" s="163" t="s">
        <v>326</v>
      </c>
      <c r="D291" s="163" t="s">
        <v>281</v>
      </c>
      <c r="E291" s="163" t="s">
        <v>308</v>
      </c>
      <c r="F291" s="168">
        <v>-31.99</v>
      </c>
      <c r="G291" s="165">
        <f t="shared" si="5"/>
        <v>2432.1500000000137</v>
      </c>
      <c r="H291" s="163"/>
      <c r="I291" s="163" t="s">
        <v>283</v>
      </c>
      <c r="J291" s="163"/>
      <c r="K291" s="163"/>
      <c r="L291" s="163" t="s">
        <v>305</v>
      </c>
      <c r="M291" s="163" t="s">
        <v>898</v>
      </c>
      <c r="N291" s="163" t="s">
        <v>297</v>
      </c>
      <c r="O291" s="163"/>
      <c r="P291" s="163"/>
      <c r="Q291" s="163"/>
      <c r="R291" s="163" t="s">
        <v>328</v>
      </c>
      <c r="S291" s="163" t="s">
        <v>329</v>
      </c>
      <c r="T291" s="43">
        <f t="shared" si="6"/>
        <v>11</v>
      </c>
      <c r="U291" s="166">
        <f t="shared" si="4"/>
        <v>45609</v>
      </c>
      <c r="V291" s="166"/>
      <c r="W291" s="43"/>
      <c r="X291" s="43"/>
      <c r="Y291" s="43"/>
      <c r="Z291" s="43"/>
      <c r="AA291" s="43"/>
      <c r="AB291" s="43"/>
    </row>
    <row r="292" spans="1:28" ht="14.25" hidden="1" customHeight="1">
      <c r="A292" s="163" t="s">
        <v>279</v>
      </c>
      <c r="B292" s="164">
        <v>45609</v>
      </c>
      <c r="C292" s="163" t="s">
        <v>316</v>
      </c>
      <c r="D292" s="163" t="s">
        <v>281</v>
      </c>
      <c r="E292" s="163" t="s">
        <v>308</v>
      </c>
      <c r="F292" s="168">
        <v>-121.22</v>
      </c>
      <c r="G292" s="165">
        <f t="shared" si="5"/>
        <v>2310.9300000000139</v>
      </c>
      <c r="H292" s="163"/>
      <c r="I292" s="163" t="s">
        <v>283</v>
      </c>
      <c r="J292" s="163"/>
      <c r="K292" s="163"/>
      <c r="L292" s="163" t="s">
        <v>305</v>
      </c>
      <c r="M292" s="163" t="s">
        <v>893</v>
      </c>
      <c r="N292" s="163" t="s">
        <v>297</v>
      </c>
      <c r="O292" s="163"/>
      <c r="P292" s="163"/>
      <c r="Q292" s="163"/>
      <c r="R292" s="163" t="s">
        <v>316</v>
      </c>
      <c r="S292" s="163" t="s">
        <v>318</v>
      </c>
      <c r="T292" s="43">
        <f t="shared" si="6"/>
        <v>11</v>
      </c>
      <c r="U292" s="166">
        <f t="shared" si="4"/>
        <v>45609</v>
      </c>
      <c r="V292" s="166"/>
      <c r="W292" s="43"/>
      <c r="X292" s="43"/>
      <c r="Y292" s="43"/>
      <c r="Z292" s="43"/>
      <c r="AA292" s="43"/>
      <c r="AB292" s="43"/>
    </row>
    <row r="293" spans="1:28" ht="14.25" hidden="1" customHeight="1">
      <c r="A293" s="163" t="s">
        <v>279</v>
      </c>
      <c r="B293" s="164">
        <v>45609</v>
      </c>
      <c r="C293" s="163"/>
      <c r="D293" s="163" t="s">
        <v>281</v>
      </c>
      <c r="E293" s="163" t="s">
        <v>330</v>
      </c>
      <c r="F293" s="168">
        <v>-0.5</v>
      </c>
      <c r="G293" s="165">
        <f t="shared" si="5"/>
        <v>2310.4300000000139</v>
      </c>
      <c r="H293" s="163"/>
      <c r="I293" s="163" t="s">
        <v>331</v>
      </c>
      <c r="J293" s="163" t="s">
        <v>899</v>
      </c>
      <c r="K293" s="163"/>
      <c r="L293" s="163"/>
      <c r="M293" s="163"/>
      <c r="N293" s="163" t="s">
        <v>333</v>
      </c>
      <c r="O293" s="163"/>
      <c r="P293" s="163"/>
      <c r="Q293" s="163"/>
      <c r="R293" s="163"/>
      <c r="S293" s="163"/>
      <c r="T293" s="43">
        <f t="shared" si="6"/>
        <v>11</v>
      </c>
      <c r="U293" s="166">
        <f t="shared" si="4"/>
        <v>45609</v>
      </c>
      <c r="V293" s="43"/>
      <c r="W293" s="43"/>
      <c r="X293" s="43"/>
      <c r="Y293" s="43"/>
      <c r="Z293" s="43"/>
      <c r="AA293" s="43"/>
      <c r="AB293" s="43"/>
    </row>
    <row r="294" spans="1:28" ht="14.25" hidden="1" customHeight="1">
      <c r="A294" s="163" t="s">
        <v>279</v>
      </c>
      <c r="B294" s="164">
        <v>45609</v>
      </c>
      <c r="C294" s="163"/>
      <c r="D294" s="163" t="s">
        <v>281</v>
      </c>
      <c r="E294" s="163" t="s">
        <v>330</v>
      </c>
      <c r="F294" s="168">
        <v>-0.5</v>
      </c>
      <c r="G294" s="165">
        <f t="shared" si="5"/>
        <v>2309.9300000000139</v>
      </c>
      <c r="H294" s="163"/>
      <c r="I294" s="163" t="s">
        <v>331</v>
      </c>
      <c r="J294" s="163" t="s">
        <v>900</v>
      </c>
      <c r="K294" s="163"/>
      <c r="L294" s="163"/>
      <c r="M294" s="163"/>
      <c r="N294" s="163" t="s">
        <v>333</v>
      </c>
      <c r="O294" s="163"/>
      <c r="P294" s="163"/>
      <c r="Q294" s="163"/>
      <c r="R294" s="163"/>
      <c r="S294" s="163"/>
      <c r="T294" s="43">
        <f t="shared" si="6"/>
        <v>11</v>
      </c>
      <c r="U294" s="166">
        <f t="shared" si="4"/>
        <v>45609</v>
      </c>
      <c r="V294" s="166"/>
      <c r="W294" s="43"/>
      <c r="X294" s="43"/>
      <c r="Y294" s="43"/>
      <c r="Z294" s="43"/>
      <c r="AA294" s="43"/>
      <c r="AB294" s="43"/>
    </row>
    <row r="295" spans="1:28" ht="14.25" hidden="1" customHeight="1">
      <c r="A295" s="163" t="s">
        <v>279</v>
      </c>
      <c r="B295" s="164">
        <v>45609</v>
      </c>
      <c r="C295" s="163"/>
      <c r="D295" s="163" t="s">
        <v>281</v>
      </c>
      <c r="E295" s="163" t="s">
        <v>330</v>
      </c>
      <c r="F295" s="168">
        <v>-0.5</v>
      </c>
      <c r="G295" s="165">
        <f t="shared" si="5"/>
        <v>2309.4300000000139</v>
      </c>
      <c r="H295" s="163"/>
      <c r="I295" s="163" t="s">
        <v>331</v>
      </c>
      <c r="J295" s="163" t="s">
        <v>901</v>
      </c>
      <c r="K295" s="163"/>
      <c r="L295" s="163"/>
      <c r="M295" s="163"/>
      <c r="N295" s="163" t="s">
        <v>333</v>
      </c>
      <c r="O295" s="163"/>
      <c r="P295" s="163"/>
      <c r="Q295" s="163"/>
      <c r="R295" s="163"/>
      <c r="S295" s="163"/>
      <c r="T295" s="43">
        <f t="shared" si="6"/>
        <v>11</v>
      </c>
      <c r="U295" s="166">
        <f t="shared" si="4"/>
        <v>45609</v>
      </c>
      <c r="V295" s="166"/>
      <c r="W295" s="43"/>
      <c r="X295" s="43"/>
      <c r="Y295" s="43"/>
      <c r="Z295" s="43"/>
      <c r="AA295" s="43"/>
      <c r="AB295" s="43"/>
    </row>
    <row r="296" spans="1:28" ht="14.25" hidden="1" customHeight="1">
      <c r="A296" s="163" t="s">
        <v>279</v>
      </c>
      <c r="B296" s="164">
        <v>45609</v>
      </c>
      <c r="C296" s="163"/>
      <c r="D296" s="163" t="s">
        <v>281</v>
      </c>
      <c r="E296" s="163" t="s">
        <v>330</v>
      </c>
      <c r="F296" s="168">
        <v>-0.5</v>
      </c>
      <c r="G296" s="165">
        <f t="shared" si="5"/>
        <v>2308.9300000000139</v>
      </c>
      <c r="H296" s="163"/>
      <c r="I296" s="163" t="s">
        <v>331</v>
      </c>
      <c r="J296" s="163" t="s">
        <v>902</v>
      </c>
      <c r="K296" s="163"/>
      <c r="L296" s="163"/>
      <c r="M296" s="163"/>
      <c r="N296" s="163" t="s">
        <v>333</v>
      </c>
      <c r="O296" s="163"/>
      <c r="P296" s="163"/>
      <c r="Q296" s="163"/>
      <c r="R296" s="163"/>
      <c r="S296" s="163"/>
      <c r="T296" s="43">
        <f t="shared" si="6"/>
        <v>11</v>
      </c>
      <c r="U296" s="166">
        <f t="shared" si="4"/>
        <v>45609</v>
      </c>
      <c r="V296" s="43"/>
      <c r="W296" s="43"/>
      <c r="X296" s="43"/>
      <c r="Y296" s="43"/>
      <c r="Z296" s="43"/>
      <c r="AA296" s="43"/>
      <c r="AB296" s="43"/>
    </row>
    <row r="297" spans="1:28" ht="14.25" hidden="1" customHeight="1">
      <c r="A297" s="163" t="s">
        <v>279</v>
      </c>
      <c r="B297" s="164">
        <v>45609</v>
      </c>
      <c r="C297" s="163"/>
      <c r="D297" s="163" t="s">
        <v>281</v>
      </c>
      <c r="E297" s="163" t="s">
        <v>330</v>
      </c>
      <c r="F297" s="168">
        <v>-0.5</v>
      </c>
      <c r="G297" s="165">
        <f t="shared" si="5"/>
        <v>2308.4300000000139</v>
      </c>
      <c r="H297" s="163"/>
      <c r="I297" s="163" t="s">
        <v>331</v>
      </c>
      <c r="J297" s="163" t="s">
        <v>903</v>
      </c>
      <c r="K297" s="163"/>
      <c r="L297" s="163"/>
      <c r="M297" s="163"/>
      <c r="N297" s="163" t="s">
        <v>333</v>
      </c>
      <c r="O297" s="163"/>
      <c r="P297" s="163"/>
      <c r="Q297" s="163"/>
      <c r="R297" s="163"/>
      <c r="S297" s="163"/>
      <c r="T297" s="43">
        <f t="shared" si="6"/>
        <v>11</v>
      </c>
      <c r="U297" s="166">
        <f t="shared" si="4"/>
        <v>45609</v>
      </c>
      <c r="V297" s="43"/>
      <c r="W297" s="43"/>
      <c r="X297" s="43"/>
      <c r="Y297" s="43"/>
      <c r="Z297" s="43"/>
      <c r="AA297" s="43"/>
      <c r="AB297" s="43"/>
    </row>
    <row r="298" spans="1:28" ht="14.25" hidden="1" customHeight="1">
      <c r="A298" s="163" t="s">
        <v>279</v>
      </c>
      <c r="B298" s="164">
        <v>45609</v>
      </c>
      <c r="C298" s="163"/>
      <c r="D298" s="163" t="s">
        <v>281</v>
      </c>
      <c r="E298" s="163" t="s">
        <v>330</v>
      </c>
      <c r="F298" s="168">
        <v>-0.5</v>
      </c>
      <c r="G298" s="165">
        <f t="shared" si="5"/>
        <v>2307.9300000000139</v>
      </c>
      <c r="H298" s="163"/>
      <c r="I298" s="163" t="s">
        <v>331</v>
      </c>
      <c r="J298" s="163" t="s">
        <v>904</v>
      </c>
      <c r="K298" s="163"/>
      <c r="L298" s="163"/>
      <c r="M298" s="163"/>
      <c r="N298" s="163" t="s">
        <v>333</v>
      </c>
      <c r="O298" s="163"/>
      <c r="P298" s="163"/>
      <c r="Q298" s="163"/>
      <c r="R298" s="163"/>
      <c r="S298" s="163"/>
      <c r="T298" s="43">
        <f t="shared" si="6"/>
        <v>11</v>
      </c>
      <c r="U298" s="167">
        <f t="shared" si="4"/>
        <v>45609</v>
      </c>
      <c r="V298" s="43"/>
      <c r="W298" s="43"/>
      <c r="X298" s="43"/>
      <c r="Y298" s="43"/>
      <c r="Z298" s="43"/>
      <c r="AA298" s="43"/>
      <c r="AB298" s="43"/>
    </row>
    <row r="299" spans="1:28" ht="14.25" hidden="1" customHeight="1">
      <c r="A299" s="163" t="s">
        <v>279</v>
      </c>
      <c r="B299" s="164">
        <v>45609</v>
      </c>
      <c r="C299" s="163"/>
      <c r="D299" s="163" t="s">
        <v>281</v>
      </c>
      <c r="E299" s="163" t="s">
        <v>330</v>
      </c>
      <c r="F299" s="168">
        <v>-0.5</v>
      </c>
      <c r="G299" s="165">
        <f t="shared" si="5"/>
        <v>2307.4300000000139</v>
      </c>
      <c r="H299" s="163"/>
      <c r="I299" s="163" t="s">
        <v>331</v>
      </c>
      <c r="J299" s="163" t="s">
        <v>905</v>
      </c>
      <c r="K299" s="163"/>
      <c r="L299" s="163"/>
      <c r="M299" s="163"/>
      <c r="N299" s="163" t="s">
        <v>333</v>
      </c>
      <c r="O299" s="163"/>
      <c r="P299" s="163"/>
      <c r="Q299" s="163"/>
      <c r="R299" s="163"/>
      <c r="S299" s="163"/>
      <c r="T299" s="43">
        <f t="shared" si="6"/>
        <v>11</v>
      </c>
      <c r="U299" s="167">
        <f t="shared" si="4"/>
        <v>45609</v>
      </c>
      <c r="V299" s="43"/>
      <c r="W299" s="43"/>
      <c r="X299" s="43"/>
      <c r="Y299" s="43"/>
      <c r="Z299" s="43"/>
      <c r="AA299" s="43"/>
      <c r="AB299" s="43"/>
    </row>
    <row r="300" spans="1:28" ht="14.25" hidden="1" customHeight="1">
      <c r="A300" s="163" t="s">
        <v>279</v>
      </c>
      <c r="B300" s="164">
        <v>45609</v>
      </c>
      <c r="C300" s="163"/>
      <c r="D300" s="163" t="s">
        <v>281</v>
      </c>
      <c r="E300" s="163" t="s">
        <v>330</v>
      </c>
      <c r="F300" s="168">
        <v>-0.5</v>
      </c>
      <c r="G300" s="165">
        <f t="shared" si="5"/>
        <v>2306.9300000000139</v>
      </c>
      <c r="H300" s="163"/>
      <c r="I300" s="163" t="s">
        <v>331</v>
      </c>
      <c r="J300" s="163" t="s">
        <v>906</v>
      </c>
      <c r="K300" s="163"/>
      <c r="L300" s="163"/>
      <c r="M300" s="163"/>
      <c r="N300" s="163" t="s">
        <v>333</v>
      </c>
      <c r="O300" s="163"/>
      <c r="P300" s="163"/>
      <c r="Q300" s="163"/>
      <c r="R300" s="163"/>
      <c r="S300" s="163"/>
      <c r="T300" s="43">
        <f t="shared" si="6"/>
        <v>11</v>
      </c>
      <c r="U300" s="166">
        <f t="shared" si="4"/>
        <v>45609</v>
      </c>
      <c r="V300" s="43"/>
      <c r="W300" s="43"/>
      <c r="X300" s="43"/>
      <c r="Y300" s="43"/>
      <c r="Z300" s="43"/>
      <c r="AA300" s="43"/>
      <c r="AB300" s="43"/>
    </row>
    <row r="301" spans="1:28" ht="14.25" hidden="1" customHeight="1">
      <c r="A301" s="163" t="s">
        <v>279</v>
      </c>
      <c r="B301" s="164">
        <v>45609</v>
      </c>
      <c r="C301" s="163"/>
      <c r="D301" s="163" t="s">
        <v>281</v>
      </c>
      <c r="E301" s="163" t="s">
        <v>330</v>
      </c>
      <c r="F301" s="168">
        <v>-0.5</v>
      </c>
      <c r="G301" s="165">
        <f t="shared" si="5"/>
        <v>2306.4300000000139</v>
      </c>
      <c r="H301" s="163"/>
      <c r="I301" s="163" t="s">
        <v>331</v>
      </c>
      <c r="J301" s="163" t="s">
        <v>907</v>
      </c>
      <c r="K301" s="163"/>
      <c r="L301" s="163"/>
      <c r="M301" s="163"/>
      <c r="N301" s="163" t="s">
        <v>333</v>
      </c>
      <c r="O301" s="163"/>
      <c r="P301" s="163"/>
      <c r="Q301" s="163"/>
      <c r="R301" s="163"/>
      <c r="S301" s="163"/>
      <c r="T301" s="43">
        <f t="shared" si="6"/>
        <v>11</v>
      </c>
      <c r="U301" s="166">
        <f t="shared" si="4"/>
        <v>45609</v>
      </c>
      <c r="V301" s="43"/>
      <c r="W301" s="43"/>
      <c r="X301" s="43"/>
      <c r="Y301" s="43"/>
      <c r="Z301" s="43"/>
      <c r="AA301" s="43"/>
      <c r="AB301" s="43"/>
    </row>
    <row r="302" spans="1:28" ht="14.25" hidden="1" customHeight="1">
      <c r="A302" s="163" t="s">
        <v>279</v>
      </c>
      <c r="B302" s="164">
        <v>45609</v>
      </c>
      <c r="C302" s="163"/>
      <c r="D302" s="163" t="s">
        <v>281</v>
      </c>
      <c r="E302" s="163" t="s">
        <v>330</v>
      </c>
      <c r="F302" s="168">
        <v>-0.5</v>
      </c>
      <c r="G302" s="165">
        <f t="shared" si="5"/>
        <v>2305.9300000000139</v>
      </c>
      <c r="H302" s="163"/>
      <c r="I302" s="163" t="s">
        <v>331</v>
      </c>
      <c r="J302" s="163" t="s">
        <v>908</v>
      </c>
      <c r="K302" s="163"/>
      <c r="L302" s="163"/>
      <c r="M302" s="163"/>
      <c r="N302" s="163" t="s">
        <v>333</v>
      </c>
      <c r="O302" s="163"/>
      <c r="P302" s="163"/>
      <c r="Q302" s="163"/>
      <c r="R302" s="163"/>
      <c r="S302" s="163"/>
      <c r="T302" s="43">
        <f t="shared" si="6"/>
        <v>11</v>
      </c>
      <c r="U302" s="167">
        <f t="shared" si="4"/>
        <v>45609</v>
      </c>
      <c r="V302" s="43"/>
      <c r="W302" s="43"/>
      <c r="X302" s="43"/>
      <c r="Y302" s="43"/>
      <c r="Z302" s="43"/>
      <c r="AA302" s="43"/>
      <c r="AB302" s="43"/>
    </row>
    <row r="303" spans="1:28" ht="14.25" hidden="1" customHeight="1">
      <c r="A303" s="163" t="s">
        <v>279</v>
      </c>
      <c r="B303" s="164">
        <v>45609</v>
      </c>
      <c r="C303" s="163"/>
      <c r="D303" s="163" t="s">
        <v>281</v>
      </c>
      <c r="E303" s="163" t="s">
        <v>330</v>
      </c>
      <c r="F303" s="168">
        <v>-0.5</v>
      </c>
      <c r="G303" s="165">
        <f t="shared" si="5"/>
        <v>2305.4300000000139</v>
      </c>
      <c r="H303" s="163"/>
      <c r="I303" s="163" t="s">
        <v>331</v>
      </c>
      <c r="J303" s="163" t="s">
        <v>909</v>
      </c>
      <c r="K303" s="163"/>
      <c r="L303" s="163"/>
      <c r="M303" s="163"/>
      <c r="N303" s="163" t="s">
        <v>333</v>
      </c>
      <c r="O303" s="163"/>
      <c r="P303" s="163"/>
      <c r="Q303" s="163"/>
      <c r="R303" s="163"/>
      <c r="S303" s="163"/>
      <c r="T303" s="43">
        <f t="shared" si="6"/>
        <v>11</v>
      </c>
      <c r="U303" s="166">
        <f t="shared" si="4"/>
        <v>45609</v>
      </c>
      <c r="V303" s="43"/>
      <c r="W303" s="43"/>
      <c r="X303" s="43"/>
      <c r="Y303" s="43"/>
      <c r="Z303" s="43"/>
      <c r="AA303" s="43"/>
      <c r="AB303" s="43"/>
    </row>
    <row r="304" spans="1:28" ht="14.25" hidden="1" customHeight="1">
      <c r="A304" s="163" t="s">
        <v>279</v>
      </c>
      <c r="B304" s="164">
        <v>45609</v>
      </c>
      <c r="C304" s="163"/>
      <c r="D304" s="163" t="s">
        <v>281</v>
      </c>
      <c r="E304" s="163" t="s">
        <v>330</v>
      </c>
      <c r="F304" s="168">
        <v>-0.5</v>
      </c>
      <c r="G304" s="165">
        <f t="shared" si="5"/>
        <v>2304.9300000000139</v>
      </c>
      <c r="H304" s="163"/>
      <c r="I304" s="163" t="s">
        <v>331</v>
      </c>
      <c r="J304" s="163" t="s">
        <v>910</v>
      </c>
      <c r="K304" s="163"/>
      <c r="L304" s="163"/>
      <c r="M304" s="163"/>
      <c r="N304" s="163" t="s">
        <v>333</v>
      </c>
      <c r="O304" s="163"/>
      <c r="P304" s="163"/>
      <c r="Q304" s="163"/>
      <c r="R304" s="163"/>
      <c r="S304" s="163"/>
      <c r="T304" s="43">
        <f t="shared" si="6"/>
        <v>11</v>
      </c>
      <c r="U304" s="166">
        <f t="shared" si="4"/>
        <v>45609</v>
      </c>
      <c r="V304" s="43"/>
      <c r="W304" s="43"/>
      <c r="X304" s="43"/>
      <c r="Y304" s="43"/>
      <c r="Z304" s="43"/>
      <c r="AA304" s="43"/>
      <c r="AB304" s="43"/>
    </row>
    <row r="305" spans="1:28" ht="14.25" hidden="1" customHeight="1">
      <c r="A305" s="163" t="s">
        <v>279</v>
      </c>
      <c r="B305" s="164">
        <v>45609</v>
      </c>
      <c r="C305" s="163"/>
      <c r="D305" s="163" t="s">
        <v>281</v>
      </c>
      <c r="E305" s="163" t="s">
        <v>330</v>
      </c>
      <c r="F305" s="168">
        <v>-0.5</v>
      </c>
      <c r="G305" s="165">
        <f t="shared" si="5"/>
        <v>2304.4300000000139</v>
      </c>
      <c r="H305" s="163"/>
      <c r="I305" s="163" t="s">
        <v>331</v>
      </c>
      <c r="J305" s="163" t="s">
        <v>911</v>
      </c>
      <c r="K305" s="163"/>
      <c r="L305" s="163"/>
      <c r="M305" s="163"/>
      <c r="N305" s="163" t="s">
        <v>333</v>
      </c>
      <c r="O305" s="163"/>
      <c r="P305" s="163"/>
      <c r="Q305" s="163"/>
      <c r="R305" s="163"/>
      <c r="S305" s="163"/>
      <c r="T305" s="43">
        <f t="shared" si="6"/>
        <v>11</v>
      </c>
      <c r="U305" s="166">
        <f t="shared" si="4"/>
        <v>45609</v>
      </c>
      <c r="V305" s="43"/>
      <c r="W305" s="43"/>
      <c r="X305" s="43"/>
      <c r="Y305" s="43"/>
      <c r="Z305" s="43"/>
      <c r="AA305" s="43"/>
      <c r="AB305" s="43"/>
    </row>
    <row r="306" spans="1:28" ht="14.25" hidden="1" customHeight="1">
      <c r="A306" s="163" t="s">
        <v>279</v>
      </c>
      <c r="B306" s="164">
        <v>45609</v>
      </c>
      <c r="C306" s="163"/>
      <c r="D306" s="163" t="s">
        <v>281</v>
      </c>
      <c r="E306" s="163" t="s">
        <v>330</v>
      </c>
      <c r="F306" s="168">
        <v>-0.5</v>
      </c>
      <c r="G306" s="165">
        <f t="shared" si="5"/>
        <v>2303.9300000000139</v>
      </c>
      <c r="H306" s="163"/>
      <c r="I306" s="163" t="s">
        <v>331</v>
      </c>
      <c r="J306" s="163" t="s">
        <v>912</v>
      </c>
      <c r="K306" s="163"/>
      <c r="L306" s="163"/>
      <c r="M306" s="163"/>
      <c r="N306" s="163" t="s">
        <v>333</v>
      </c>
      <c r="O306" s="163"/>
      <c r="P306" s="163"/>
      <c r="Q306" s="163"/>
      <c r="R306" s="163"/>
      <c r="S306" s="163"/>
      <c r="T306" s="43">
        <f t="shared" si="6"/>
        <v>11</v>
      </c>
      <c r="U306" s="166">
        <f t="shared" si="4"/>
        <v>45609</v>
      </c>
      <c r="V306" s="43"/>
      <c r="W306" s="43"/>
      <c r="X306" s="43"/>
      <c r="Y306" s="43"/>
      <c r="Z306" s="43"/>
      <c r="AA306" s="43"/>
      <c r="AB306" s="43"/>
    </row>
    <row r="307" spans="1:28" ht="14.25" hidden="1" customHeight="1">
      <c r="A307" s="163" t="s">
        <v>279</v>
      </c>
      <c r="B307" s="164">
        <v>45609</v>
      </c>
      <c r="C307" s="163"/>
      <c r="D307" s="163" t="s">
        <v>281</v>
      </c>
      <c r="E307" s="163" t="s">
        <v>330</v>
      </c>
      <c r="F307" s="168">
        <v>-0.5</v>
      </c>
      <c r="G307" s="165">
        <f t="shared" si="5"/>
        <v>2303.4300000000139</v>
      </c>
      <c r="H307" s="163"/>
      <c r="I307" s="163" t="s">
        <v>331</v>
      </c>
      <c r="J307" s="163" t="s">
        <v>913</v>
      </c>
      <c r="K307" s="163"/>
      <c r="L307" s="163"/>
      <c r="M307" s="163"/>
      <c r="N307" s="163" t="s">
        <v>333</v>
      </c>
      <c r="O307" s="163"/>
      <c r="P307" s="163"/>
      <c r="Q307" s="163"/>
      <c r="R307" s="163"/>
      <c r="S307" s="163"/>
      <c r="T307" s="43">
        <f t="shared" si="6"/>
        <v>11</v>
      </c>
      <c r="U307" s="167">
        <f t="shared" si="4"/>
        <v>45609</v>
      </c>
      <c r="V307" s="43"/>
      <c r="W307" s="43"/>
      <c r="X307" s="43"/>
      <c r="Y307" s="43"/>
      <c r="Z307" s="43"/>
      <c r="AA307" s="43"/>
      <c r="AB307" s="43"/>
    </row>
    <row r="308" spans="1:28" ht="14.25" hidden="1" customHeight="1">
      <c r="A308" s="163" t="s">
        <v>279</v>
      </c>
      <c r="B308" s="164">
        <v>45609</v>
      </c>
      <c r="C308" s="163" t="s">
        <v>380</v>
      </c>
      <c r="D308" s="163" t="s">
        <v>281</v>
      </c>
      <c r="E308" s="163" t="s">
        <v>381</v>
      </c>
      <c r="F308" s="168">
        <v>-800</v>
      </c>
      <c r="G308" s="165">
        <f t="shared" si="5"/>
        <v>1503.4300000000139</v>
      </c>
      <c r="H308" s="163"/>
      <c r="I308" s="163" t="s">
        <v>283</v>
      </c>
      <c r="J308" s="163" t="s">
        <v>914</v>
      </c>
      <c r="K308" s="163"/>
      <c r="L308" s="163"/>
      <c r="M308" s="163"/>
      <c r="N308" s="163" t="s">
        <v>383</v>
      </c>
      <c r="O308" s="163"/>
      <c r="P308" s="163"/>
      <c r="Q308" s="163"/>
      <c r="R308" s="163" t="s">
        <v>353</v>
      </c>
      <c r="S308" s="163" t="s">
        <v>354</v>
      </c>
      <c r="T308" s="43">
        <f t="shared" si="6"/>
        <v>11</v>
      </c>
      <c r="U308" s="167">
        <f t="shared" si="4"/>
        <v>45609</v>
      </c>
      <c r="V308" s="167"/>
      <c r="W308" s="43"/>
      <c r="X308" s="43"/>
      <c r="Y308" s="43"/>
      <c r="Z308" s="43"/>
      <c r="AA308" s="43"/>
      <c r="AB308" s="43"/>
    </row>
    <row r="309" spans="1:28" ht="14.25" hidden="1" customHeight="1">
      <c r="A309" s="163" t="s">
        <v>279</v>
      </c>
      <c r="B309" s="164">
        <v>45609</v>
      </c>
      <c r="C309" s="163"/>
      <c r="D309" s="163" t="s">
        <v>281</v>
      </c>
      <c r="E309" s="163" t="s">
        <v>330</v>
      </c>
      <c r="F309" s="168">
        <v>-0.5</v>
      </c>
      <c r="G309" s="165">
        <f t="shared" si="5"/>
        <v>1502.9300000000139</v>
      </c>
      <c r="H309" s="163"/>
      <c r="I309" s="163" t="s">
        <v>331</v>
      </c>
      <c r="J309" s="163" t="s">
        <v>915</v>
      </c>
      <c r="K309" s="163"/>
      <c r="L309" s="163"/>
      <c r="M309" s="163"/>
      <c r="N309" s="163" t="s">
        <v>333</v>
      </c>
      <c r="O309" s="163"/>
      <c r="P309" s="163"/>
      <c r="Q309" s="163"/>
      <c r="R309" s="163"/>
      <c r="S309" s="163"/>
      <c r="T309" s="43">
        <f t="shared" si="6"/>
        <v>11</v>
      </c>
      <c r="U309" s="167">
        <f t="shared" si="4"/>
        <v>45609</v>
      </c>
      <c r="V309" s="167"/>
      <c r="W309" s="43"/>
      <c r="X309" s="43"/>
      <c r="Y309" s="43"/>
      <c r="Z309" s="43"/>
      <c r="AA309" s="43"/>
      <c r="AB309" s="43"/>
    </row>
    <row r="310" spans="1:28" ht="14.25" hidden="1" customHeight="1">
      <c r="A310" s="163" t="s">
        <v>279</v>
      </c>
      <c r="B310" s="164">
        <v>45609</v>
      </c>
      <c r="C310" s="163" t="s">
        <v>380</v>
      </c>
      <c r="D310" s="163" t="s">
        <v>281</v>
      </c>
      <c r="E310" s="163" t="s">
        <v>381</v>
      </c>
      <c r="F310" s="168">
        <v>-841</v>
      </c>
      <c r="G310" s="165">
        <f t="shared" si="5"/>
        <v>661.93000000001393</v>
      </c>
      <c r="H310" s="163"/>
      <c r="I310" s="163" t="s">
        <v>283</v>
      </c>
      <c r="J310" s="163" t="s">
        <v>916</v>
      </c>
      <c r="K310" s="163"/>
      <c r="L310" s="163"/>
      <c r="M310" s="163"/>
      <c r="N310" s="163" t="s">
        <v>383</v>
      </c>
      <c r="O310" s="163"/>
      <c r="P310" s="163"/>
      <c r="Q310" s="163"/>
      <c r="R310" s="163" t="s">
        <v>353</v>
      </c>
      <c r="S310" s="163" t="s">
        <v>354</v>
      </c>
      <c r="T310" s="43">
        <f t="shared" si="6"/>
        <v>11</v>
      </c>
      <c r="U310" s="167">
        <f t="shared" si="4"/>
        <v>45609</v>
      </c>
      <c r="V310" s="43"/>
      <c r="W310" s="43"/>
      <c r="X310" s="43"/>
      <c r="Y310" s="43"/>
      <c r="Z310" s="43"/>
      <c r="AA310" s="43"/>
      <c r="AB310" s="43"/>
    </row>
    <row r="311" spans="1:28" ht="14.25" hidden="1" customHeight="1">
      <c r="A311" s="163" t="s">
        <v>279</v>
      </c>
      <c r="B311" s="164">
        <v>45609</v>
      </c>
      <c r="C311" s="163"/>
      <c r="D311" s="163" t="s">
        <v>281</v>
      </c>
      <c r="E311" s="163" t="s">
        <v>330</v>
      </c>
      <c r="F311" s="168">
        <v>-0.5</v>
      </c>
      <c r="G311" s="165">
        <f t="shared" si="5"/>
        <v>661.43000000001393</v>
      </c>
      <c r="H311" s="163"/>
      <c r="I311" s="163" t="s">
        <v>331</v>
      </c>
      <c r="J311" s="163" t="s">
        <v>917</v>
      </c>
      <c r="K311" s="163"/>
      <c r="L311" s="163"/>
      <c r="M311" s="163"/>
      <c r="N311" s="163" t="s">
        <v>333</v>
      </c>
      <c r="O311" s="163"/>
      <c r="P311" s="163"/>
      <c r="Q311" s="163"/>
      <c r="R311" s="163"/>
      <c r="S311" s="163"/>
      <c r="T311" s="43">
        <f t="shared" si="6"/>
        <v>11</v>
      </c>
      <c r="U311" s="167">
        <f t="shared" si="4"/>
        <v>45609</v>
      </c>
      <c r="V311" s="43"/>
      <c r="W311" s="43"/>
      <c r="X311" s="43"/>
      <c r="Y311" s="43"/>
      <c r="Z311" s="43"/>
      <c r="AA311" s="43"/>
      <c r="AB311" s="43"/>
    </row>
    <row r="312" spans="1:28" ht="14.25" hidden="1" customHeight="1">
      <c r="A312" s="163"/>
      <c r="B312" s="164">
        <v>45609</v>
      </c>
      <c r="C312" s="163" t="s">
        <v>346</v>
      </c>
      <c r="D312" s="163"/>
      <c r="E312" s="163"/>
      <c r="F312" s="165">
        <v>0</v>
      </c>
      <c r="G312" s="165">
        <f t="shared" si="5"/>
        <v>661.43000000001393</v>
      </c>
      <c r="H312" s="163"/>
      <c r="I312" s="163"/>
      <c r="J312" s="163"/>
      <c r="K312" s="163"/>
      <c r="L312" s="163"/>
      <c r="M312" s="163"/>
      <c r="N312" s="163"/>
      <c r="O312" s="163"/>
      <c r="P312" s="163"/>
      <c r="Q312" s="163"/>
      <c r="R312" s="163"/>
      <c r="S312" s="163"/>
      <c r="T312" s="43">
        <f t="shared" si="6"/>
        <v>11</v>
      </c>
      <c r="U312" s="167">
        <f t="shared" si="4"/>
        <v>45609</v>
      </c>
      <c r="V312" s="43"/>
      <c r="W312" s="43"/>
      <c r="X312" s="43"/>
      <c r="Y312" s="43"/>
      <c r="Z312" s="43"/>
      <c r="AA312" s="43"/>
      <c r="AB312" s="43"/>
    </row>
    <row r="313" spans="1:28" ht="14.25" hidden="1" customHeight="1">
      <c r="A313" s="163" t="s">
        <v>279</v>
      </c>
      <c r="B313" s="164">
        <v>45610</v>
      </c>
      <c r="C313" s="163" t="s">
        <v>280</v>
      </c>
      <c r="D313" s="163" t="s">
        <v>281</v>
      </c>
      <c r="E313" s="163" t="s">
        <v>282</v>
      </c>
      <c r="F313" s="165">
        <v>26000</v>
      </c>
      <c r="G313" s="165">
        <f t="shared" si="5"/>
        <v>26661.430000000015</v>
      </c>
      <c r="H313" s="163"/>
      <c r="I313" s="163" t="s">
        <v>283</v>
      </c>
      <c r="J313" s="163" t="s">
        <v>918</v>
      </c>
      <c r="K313" s="163"/>
      <c r="L313" s="163"/>
      <c r="M313" s="163"/>
      <c r="N313" s="163" t="s">
        <v>285</v>
      </c>
      <c r="O313" s="163"/>
      <c r="P313" s="163"/>
      <c r="Q313" s="163"/>
      <c r="R313" s="163" t="s">
        <v>286</v>
      </c>
      <c r="S313" s="163" t="s">
        <v>287</v>
      </c>
      <c r="T313" s="43">
        <f t="shared" si="6"/>
        <v>11</v>
      </c>
      <c r="U313" s="166">
        <f t="shared" si="4"/>
        <v>45610</v>
      </c>
      <c r="V313" s="43"/>
      <c r="W313" s="43"/>
      <c r="X313" s="43"/>
      <c r="Y313" s="43"/>
      <c r="Z313" s="43"/>
      <c r="AA313" s="43"/>
      <c r="AB313" s="43"/>
    </row>
    <row r="314" spans="1:28" ht="14.25" hidden="1" customHeight="1">
      <c r="A314" s="163" t="s">
        <v>279</v>
      </c>
      <c r="B314" s="164">
        <v>45610</v>
      </c>
      <c r="C314" s="163" t="s">
        <v>919</v>
      </c>
      <c r="D314" s="163" t="s">
        <v>281</v>
      </c>
      <c r="E314" s="163" t="s">
        <v>129</v>
      </c>
      <c r="F314" s="168">
        <v>-875</v>
      </c>
      <c r="G314" s="165">
        <f t="shared" si="5"/>
        <v>25786.430000000015</v>
      </c>
      <c r="H314" s="163"/>
      <c r="I314" s="163" t="s">
        <v>283</v>
      </c>
      <c r="J314" s="163"/>
      <c r="K314" s="163"/>
      <c r="L314" s="163" t="s">
        <v>920</v>
      </c>
      <c r="M314" s="163" t="s">
        <v>921</v>
      </c>
      <c r="N314" s="163" t="s">
        <v>297</v>
      </c>
      <c r="O314" s="163"/>
      <c r="P314" s="163"/>
      <c r="Q314" s="163"/>
      <c r="R314" s="163" t="s">
        <v>922</v>
      </c>
      <c r="S314" s="163" t="s">
        <v>923</v>
      </c>
      <c r="T314" s="43">
        <f t="shared" si="6"/>
        <v>11</v>
      </c>
      <c r="U314" s="166">
        <f t="shared" si="4"/>
        <v>45610</v>
      </c>
      <c r="V314" s="43"/>
      <c r="W314" s="43"/>
      <c r="X314" s="43"/>
      <c r="Y314" s="43"/>
      <c r="Z314" s="43"/>
      <c r="AA314" s="43"/>
      <c r="AB314" s="43"/>
    </row>
    <row r="315" spans="1:28" ht="14.25" hidden="1" customHeight="1">
      <c r="A315" s="163" t="s">
        <v>279</v>
      </c>
      <c r="B315" s="164">
        <v>45610</v>
      </c>
      <c r="C315" s="163" t="s">
        <v>293</v>
      </c>
      <c r="D315" s="163" t="s">
        <v>281</v>
      </c>
      <c r="E315" s="163" t="s">
        <v>294</v>
      </c>
      <c r="F315" s="168">
        <v>-6068</v>
      </c>
      <c r="G315" s="165">
        <f t="shared" si="5"/>
        <v>19718.430000000015</v>
      </c>
      <c r="H315" s="163"/>
      <c r="I315" s="163" t="s">
        <v>283</v>
      </c>
      <c r="J315" s="163"/>
      <c r="K315" s="163"/>
      <c r="L315" s="163" t="s">
        <v>920</v>
      </c>
      <c r="M315" s="163" t="s">
        <v>924</v>
      </c>
      <c r="N315" s="163" t="s">
        <v>297</v>
      </c>
      <c r="O315" s="163"/>
      <c r="P315" s="163"/>
      <c r="Q315" s="163"/>
      <c r="R315" s="163" t="s">
        <v>298</v>
      </c>
      <c r="S315" s="163" t="s">
        <v>299</v>
      </c>
      <c r="T315" s="43">
        <f t="shared" si="6"/>
        <v>11</v>
      </c>
      <c r="U315" s="166">
        <f t="shared" si="4"/>
        <v>45610</v>
      </c>
      <c r="V315" s="43"/>
      <c r="W315" s="43"/>
      <c r="X315" s="43"/>
      <c r="Y315" s="43"/>
      <c r="Z315" s="43"/>
      <c r="AA315" s="43"/>
      <c r="AB315" s="43"/>
    </row>
    <row r="316" spans="1:28" ht="14.25" hidden="1" customHeight="1">
      <c r="A316" s="163" t="s">
        <v>279</v>
      </c>
      <c r="B316" s="164">
        <v>45610</v>
      </c>
      <c r="C316" s="163" t="s">
        <v>351</v>
      </c>
      <c r="D316" s="163" t="s">
        <v>281</v>
      </c>
      <c r="E316" s="163" t="s">
        <v>925</v>
      </c>
      <c r="F316" s="168">
        <v>-13433.46</v>
      </c>
      <c r="G316" s="165">
        <f t="shared" si="5"/>
        <v>6284.9700000000157</v>
      </c>
      <c r="H316" s="163"/>
      <c r="I316" s="163" t="s">
        <v>283</v>
      </c>
      <c r="J316" s="163" t="s">
        <v>926</v>
      </c>
      <c r="K316" s="163"/>
      <c r="L316" s="163"/>
      <c r="M316" s="163"/>
      <c r="N316" s="163" t="s">
        <v>333</v>
      </c>
      <c r="O316" s="163"/>
      <c r="P316" s="163"/>
      <c r="Q316" s="163"/>
      <c r="R316" s="163" t="s">
        <v>353</v>
      </c>
      <c r="S316" s="163" t="s">
        <v>354</v>
      </c>
      <c r="T316" s="43">
        <f t="shared" si="6"/>
        <v>11</v>
      </c>
      <c r="U316" s="166">
        <f t="shared" si="4"/>
        <v>45610</v>
      </c>
      <c r="V316" s="43"/>
      <c r="W316" s="43"/>
      <c r="X316" s="43"/>
      <c r="Y316" s="43"/>
      <c r="Z316" s="43"/>
      <c r="AA316" s="43"/>
      <c r="AB316" s="43"/>
    </row>
    <row r="317" spans="1:28" ht="14.25" hidden="1" customHeight="1">
      <c r="A317" s="163" t="s">
        <v>279</v>
      </c>
      <c r="B317" s="164">
        <v>45610</v>
      </c>
      <c r="C317" s="163"/>
      <c r="D317" s="163" t="s">
        <v>281</v>
      </c>
      <c r="E317" s="163" t="s">
        <v>330</v>
      </c>
      <c r="F317" s="168">
        <v>-0.5</v>
      </c>
      <c r="G317" s="165">
        <f t="shared" si="5"/>
        <v>6284.4700000000157</v>
      </c>
      <c r="H317" s="163"/>
      <c r="I317" s="163" t="s">
        <v>331</v>
      </c>
      <c r="J317" s="163" t="s">
        <v>927</v>
      </c>
      <c r="K317" s="163"/>
      <c r="L317" s="163"/>
      <c r="M317" s="163"/>
      <c r="N317" s="163" t="s">
        <v>333</v>
      </c>
      <c r="O317" s="163"/>
      <c r="P317" s="163"/>
      <c r="Q317" s="163"/>
      <c r="R317" s="163"/>
      <c r="S317" s="163"/>
      <c r="T317" s="43">
        <f t="shared" si="6"/>
        <v>11</v>
      </c>
      <c r="U317" s="166">
        <f t="shared" si="4"/>
        <v>45610</v>
      </c>
      <c r="V317" s="43"/>
      <c r="W317" s="43"/>
      <c r="X317" s="43"/>
      <c r="Y317" s="43"/>
      <c r="Z317" s="43"/>
      <c r="AA317" s="43"/>
      <c r="AB317" s="43"/>
    </row>
    <row r="318" spans="1:28" ht="14.25" hidden="1" customHeight="1">
      <c r="A318" s="163" t="s">
        <v>279</v>
      </c>
      <c r="B318" s="164">
        <v>45610</v>
      </c>
      <c r="C318" s="163"/>
      <c r="D318" s="163" t="s">
        <v>281</v>
      </c>
      <c r="E318" s="163" t="s">
        <v>330</v>
      </c>
      <c r="F318" s="168">
        <v>-0.5</v>
      </c>
      <c r="G318" s="165">
        <f t="shared" si="5"/>
        <v>6283.9700000000157</v>
      </c>
      <c r="H318" s="163"/>
      <c r="I318" s="163" t="s">
        <v>331</v>
      </c>
      <c r="J318" s="163" t="s">
        <v>928</v>
      </c>
      <c r="K318" s="163"/>
      <c r="L318" s="163"/>
      <c r="M318" s="163"/>
      <c r="N318" s="163" t="s">
        <v>333</v>
      </c>
      <c r="O318" s="163"/>
      <c r="P318" s="163"/>
      <c r="Q318" s="163"/>
      <c r="R318" s="163"/>
      <c r="S318" s="163"/>
      <c r="T318" s="43">
        <f t="shared" si="6"/>
        <v>11</v>
      </c>
      <c r="U318" s="167">
        <f t="shared" si="4"/>
        <v>45610</v>
      </c>
      <c r="V318" s="167"/>
      <c r="W318" s="43"/>
      <c r="X318" s="43"/>
      <c r="Y318" s="43"/>
      <c r="Z318" s="43"/>
      <c r="AA318" s="43"/>
      <c r="AB318" s="43"/>
    </row>
    <row r="319" spans="1:28" ht="14.25" hidden="1" customHeight="1">
      <c r="A319" s="163" t="s">
        <v>279</v>
      </c>
      <c r="B319" s="164">
        <v>45610</v>
      </c>
      <c r="C319" s="163"/>
      <c r="D319" s="163" t="s">
        <v>281</v>
      </c>
      <c r="E319" s="163" t="s">
        <v>330</v>
      </c>
      <c r="F319" s="168">
        <v>-0.5</v>
      </c>
      <c r="G319" s="165">
        <f t="shared" si="5"/>
        <v>6283.4700000000157</v>
      </c>
      <c r="H319" s="163"/>
      <c r="I319" s="163" t="s">
        <v>331</v>
      </c>
      <c r="J319" s="163" t="s">
        <v>929</v>
      </c>
      <c r="K319" s="163"/>
      <c r="L319" s="163"/>
      <c r="M319" s="163"/>
      <c r="N319" s="163" t="s">
        <v>333</v>
      </c>
      <c r="O319" s="163"/>
      <c r="P319" s="163"/>
      <c r="Q319" s="163"/>
      <c r="R319" s="163"/>
      <c r="S319" s="163"/>
      <c r="T319" s="43">
        <f t="shared" si="6"/>
        <v>11</v>
      </c>
      <c r="U319" s="167">
        <f t="shared" si="4"/>
        <v>45610</v>
      </c>
      <c r="V319" s="167"/>
      <c r="W319" s="43"/>
      <c r="X319" s="43"/>
      <c r="Y319" s="43"/>
      <c r="Z319" s="43"/>
      <c r="AA319" s="43"/>
      <c r="AB319" s="43"/>
    </row>
    <row r="320" spans="1:28" ht="14.25" hidden="1" customHeight="1">
      <c r="A320" s="163" t="s">
        <v>279</v>
      </c>
      <c r="B320" s="164">
        <v>45610</v>
      </c>
      <c r="C320" s="163" t="s">
        <v>351</v>
      </c>
      <c r="D320" s="163" t="s">
        <v>281</v>
      </c>
      <c r="E320" s="163" t="s">
        <v>129</v>
      </c>
      <c r="F320" s="168">
        <v>-1975</v>
      </c>
      <c r="G320" s="165">
        <f t="shared" si="5"/>
        <v>4308.4700000000157</v>
      </c>
      <c r="H320" s="163"/>
      <c r="I320" s="163" t="s">
        <v>283</v>
      </c>
      <c r="J320" s="163" t="s">
        <v>930</v>
      </c>
      <c r="K320" s="163"/>
      <c r="L320" s="163"/>
      <c r="M320" s="163"/>
      <c r="N320" s="163" t="s">
        <v>333</v>
      </c>
      <c r="O320" s="163"/>
      <c r="P320" s="163"/>
      <c r="Q320" s="163"/>
      <c r="R320" s="163" t="s">
        <v>353</v>
      </c>
      <c r="S320" s="163" t="s">
        <v>354</v>
      </c>
      <c r="T320" s="43">
        <f t="shared" si="6"/>
        <v>11</v>
      </c>
      <c r="U320" s="167">
        <f t="shared" si="4"/>
        <v>45610</v>
      </c>
      <c r="V320" s="43"/>
      <c r="W320" s="43"/>
      <c r="X320" s="43"/>
      <c r="Y320" s="43"/>
      <c r="Z320" s="43"/>
      <c r="AA320" s="43"/>
      <c r="AB320" s="43"/>
    </row>
    <row r="321" spans="1:28" ht="14.25" hidden="1" customHeight="1">
      <c r="A321" s="163" t="s">
        <v>279</v>
      </c>
      <c r="B321" s="164">
        <v>45610</v>
      </c>
      <c r="C321" s="163" t="s">
        <v>549</v>
      </c>
      <c r="D321" s="163" t="s">
        <v>281</v>
      </c>
      <c r="E321" s="163" t="s">
        <v>308</v>
      </c>
      <c r="F321" s="168">
        <v>-80</v>
      </c>
      <c r="G321" s="165">
        <f t="shared" si="5"/>
        <v>4228.4700000000157</v>
      </c>
      <c r="H321" s="163"/>
      <c r="I321" s="163" t="s">
        <v>283</v>
      </c>
      <c r="J321" s="163"/>
      <c r="K321" s="163"/>
      <c r="L321" s="163" t="s">
        <v>305</v>
      </c>
      <c r="M321" s="163" t="s">
        <v>931</v>
      </c>
      <c r="N321" s="163" t="s">
        <v>297</v>
      </c>
      <c r="O321" s="163"/>
      <c r="P321" s="163"/>
      <c r="Q321" s="163"/>
      <c r="R321" s="163" t="s">
        <v>549</v>
      </c>
      <c r="S321" s="163" t="s">
        <v>551</v>
      </c>
      <c r="T321" s="43">
        <f t="shared" si="6"/>
        <v>11</v>
      </c>
      <c r="U321" s="167">
        <f t="shared" si="4"/>
        <v>45610</v>
      </c>
      <c r="V321" s="43"/>
      <c r="W321" s="43"/>
      <c r="X321" s="43"/>
      <c r="Y321" s="43"/>
      <c r="Z321" s="43"/>
      <c r="AA321" s="43"/>
      <c r="AB321" s="43"/>
    </row>
    <row r="322" spans="1:28" ht="14.25" hidden="1" customHeight="1">
      <c r="A322" s="163" t="s">
        <v>279</v>
      </c>
      <c r="B322" s="164">
        <v>45610</v>
      </c>
      <c r="C322" s="163" t="s">
        <v>316</v>
      </c>
      <c r="D322" s="163" t="s">
        <v>281</v>
      </c>
      <c r="E322" s="163" t="s">
        <v>308</v>
      </c>
      <c r="F322" s="168">
        <v>-400</v>
      </c>
      <c r="G322" s="165">
        <f t="shared" si="5"/>
        <v>3828.4700000000157</v>
      </c>
      <c r="H322" s="163"/>
      <c r="I322" s="163" t="s">
        <v>283</v>
      </c>
      <c r="J322" s="163"/>
      <c r="K322" s="163"/>
      <c r="L322" s="163" t="s">
        <v>305</v>
      </c>
      <c r="M322" s="163" t="s">
        <v>932</v>
      </c>
      <c r="N322" s="163" t="s">
        <v>297</v>
      </c>
      <c r="O322" s="163"/>
      <c r="P322" s="163"/>
      <c r="Q322" s="163"/>
      <c r="R322" s="163" t="s">
        <v>316</v>
      </c>
      <c r="S322" s="163" t="s">
        <v>318</v>
      </c>
      <c r="T322" s="43">
        <f t="shared" si="6"/>
        <v>11</v>
      </c>
      <c r="U322" s="167">
        <f t="shared" si="4"/>
        <v>45610</v>
      </c>
      <c r="V322" s="43"/>
      <c r="W322" s="43"/>
      <c r="X322" s="43"/>
      <c r="Y322" s="43"/>
      <c r="Z322" s="43"/>
      <c r="AA322" s="43"/>
      <c r="AB322" s="43"/>
    </row>
    <row r="323" spans="1:28" ht="14.25" hidden="1" customHeight="1">
      <c r="A323" s="163" t="s">
        <v>279</v>
      </c>
      <c r="B323" s="164">
        <v>45610</v>
      </c>
      <c r="C323" s="163" t="s">
        <v>293</v>
      </c>
      <c r="D323" s="163" t="s">
        <v>281</v>
      </c>
      <c r="E323" s="163" t="s">
        <v>294</v>
      </c>
      <c r="F323" s="168">
        <v>-1852.92</v>
      </c>
      <c r="G323" s="165">
        <f t="shared" si="5"/>
        <v>1975.5500000000156</v>
      </c>
      <c r="H323" s="163"/>
      <c r="I323" s="163" t="s">
        <v>283</v>
      </c>
      <c r="J323" s="163"/>
      <c r="K323" s="163"/>
      <c r="L323" s="163" t="s">
        <v>920</v>
      </c>
      <c r="M323" s="163" t="s">
        <v>933</v>
      </c>
      <c r="N323" s="163" t="s">
        <v>297</v>
      </c>
      <c r="O323" s="163"/>
      <c r="P323" s="163"/>
      <c r="Q323" s="163"/>
      <c r="R323" s="163" t="s">
        <v>298</v>
      </c>
      <c r="S323" s="163" t="s">
        <v>299</v>
      </c>
      <c r="T323" s="43">
        <f t="shared" si="6"/>
        <v>11</v>
      </c>
      <c r="U323" s="167">
        <f t="shared" si="4"/>
        <v>45610</v>
      </c>
      <c r="V323" s="43"/>
      <c r="W323" s="43"/>
      <c r="X323" s="43"/>
      <c r="Y323" s="43"/>
      <c r="Z323" s="43"/>
      <c r="AA323" s="43"/>
      <c r="AB323" s="43"/>
    </row>
    <row r="324" spans="1:28" ht="14.25" hidden="1" customHeight="1">
      <c r="A324" s="163" t="s">
        <v>279</v>
      </c>
      <c r="B324" s="164">
        <v>45610</v>
      </c>
      <c r="C324" s="163" t="s">
        <v>111</v>
      </c>
      <c r="D324" s="163" t="s">
        <v>281</v>
      </c>
      <c r="E324" s="163" t="s">
        <v>308</v>
      </c>
      <c r="F324" s="168">
        <v>-340</v>
      </c>
      <c r="G324" s="165">
        <f t="shared" si="5"/>
        <v>1635.5500000000156</v>
      </c>
      <c r="H324" s="163"/>
      <c r="I324" s="163" t="s">
        <v>283</v>
      </c>
      <c r="J324" s="163"/>
      <c r="K324" s="163"/>
      <c r="L324" s="163" t="s">
        <v>305</v>
      </c>
      <c r="M324" s="163" t="s">
        <v>934</v>
      </c>
      <c r="N324" s="163" t="s">
        <v>297</v>
      </c>
      <c r="O324" s="163"/>
      <c r="P324" s="163"/>
      <c r="Q324" s="163"/>
      <c r="R324" s="163" t="s">
        <v>111</v>
      </c>
      <c r="S324" s="163" t="s">
        <v>320</v>
      </c>
      <c r="T324" s="43">
        <f t="shared" ref="T324:T325" si="7">MONTH(B325)</f>
        <v>11</v>
      </c>
      <c r="U324" s="166">
        <f t="shared" ref="U324:U325" si="8">IF(V324="",B325,V324)</f>
        <v>45610</v>
      </c>
      <c r="V324" s="166"/>
      <c r="W324" s="43"/>
      <c r="X324" s="43"/>
      <c r="Y324" s="43"/>
      <c r="Z324" s="43"/>
      <c r="AA324" s="43"/>
      <c r="AB324" s="43"/>
    </row>
    <row r="325" spans="1:28" ht="14.25" hidden="1" customHeight="1">
      <c r="A325" s="163" t="s">
        <v>279</v>
      </c>
      <c r="B325" s="164">
        <v>45610</v>
      </c>
      <c r="C325" s="163"/>
      <c r="D325" s="163" t="s">
        <v>281</v>
      </c>
      <c r="E325" s="163" t="s">
        <v>330</v>
      </c>
      <c r="F325" s="168">
        <v>-0.5</v>
      </c>
      <c r="G325" s="165">
        <f t="shared" si="5"/>
        <v>1635.0500000000156</v>
      </c>
      <c r="H325" s="163"/>
      <c r="I325" s="163" t="s">
        <v>331</v>
      </c>
      <c r="J325" s="163" t="s">
        <v>935</v>
      </c>
      <c r="K325" s="163"/>
      <c r="L325" s="163"/>
      <c r="M325" s="163"/>
      <c r="N325" s="163" t="s">
        <v>333</v>
      </c>
      <c r="O325" s="163"/>
      <c r="P325" s="163"/>
      <c r="Q325" s="163"/>
      <c r="R325" s="163"/>
      <c r="S325" s="163"/>
      <c r="T325" s="43">
        <f t="shared" si="7"/>
        <v>11</v>
      </c>
      <c r="U325" s="166">
        <f t="shared" si="8"/>
        <v>45610</v>
      </c>
      <c r="V325" s="43"/>
      <c r="W325" s="43"/>
      <c r="X325" s="43"/>
      <c r="Y325" s="43"/>
      <c r="Z325" s="43"/>
      <c r="AA325" s="43"/>
      <c r="AB325" s="43"/>
    </row>
    <row r="326" spans="1:28" ht="14.25" hidden="1" customHeight="1">
      <c r="A326" s="163" t="s">
        <v>279</v>
      </c>
      <c r="B326" s="164">
        <v>45610</v>
      </c>
      <c r="C326" s="163"/>
      <c r="D326" s="163" t="s">
        <v>281</v>
      </c>
      <c r="E326" s="163" t="s">
        <v>330</v>
      </c>
      <c r="F326" s="168">
        <v>-0.5</v>
      </c>
      <c r="G326" s="165">
        <f t="shared" si="5"/>
        <v>1634.5500000000156</v>
      </c>
      <c r="H326" s="163"/>
      <c r="I326" s="163" t="s">
        <v>331</v>
      </c>
      <c r="J326" s="163" t="s">
        <v>936</v>
      </c>
      <c r="K326" s="163"/>
      <c r="L326" s="163"/>
      <c r="M326" s="163"/>
      <c r="N326" s="163" t="s">
        <v>333</v>
      </c>
      <c r="O326" s="163"/>
      <c r="P326" s="163"/>
      <c r="Q326" s="163"/>
      <c r="R326" s="163"/>
      <c r="S326" s="163"/>
      <c r="T326" s="43">
        <f t="shared" ref="T326:T425" si="9">MONTH(B326)</f>
        <v>11</v>
      </c>
      <c r="U326" s="167">
        <f t="shared" ref="U326:U580" si="10">IF(V326="",B326,V326)</f>
        <v>45610</v>
      </c>
      <c r="V326" s="167"/>
      <c r="W326" s="43"/>
      <c r="X326" s="43"/>
      <c r="Y326" s="43"/>
      <c r="Z326" s="43"/>
      <c r="AA326" s="43"/>
      <c r="AB326" s="43"/>
    </row>
    <row r="327" spans="1:28" ht="14.25" hidden="1" customHeight="1">
      <c r="A327" s="163" t="s">
        <v>279</v>
      </c>
      <c r="B327" s="164">
        <v>45610</v>
      </c>
      <c r="C327" s="163"/>
      <c r="D327" s="163" t="s">
        <v>281</v>
      </c>
      <c r="E327" s="163" t="s">
        <v>330</v>
      </c>
      <c r="F327" s="168">
        <v>-0.5</v>
      </c>
      <c r="G327" s="165">
        <f t="shared" si="5"/>
        <v>1634.0500000000156</v>
      </c>
      <c r="H327" s="163"/>
      <c r="I327" s="163" t="s">
        <v>331</v>
      </c>
      <c r="J327" s="163" t="s">
        <v>937</v>
      </c>
      <c r="K327" s="163"/>
      <c r="L327" s="163"/>
      <c r="M327" s="163"/>
      <c r="N327" s="163" t="s">
        <v>333</v>
      </c>
      <c r="O327" s="163"/>
      <c r="P327" s="163"/>
      <c r="Q327" s="163"/>
      <c r="R327" s="163"/>
      <c r="S327" s="163"/>
      <c r="T327" s="43">
        <f t="shared" si="9"/>
        <v>11</v>
      </c>
      <c r="U327" s="167">
        <f t="shared" si="10"/>
        <v>45610</v>
      </c>
      <c r="V327" s="43"/>
      <c r="W327" s="43"/>
      <c r="X327" s="43"/>
      <c r="Y327" s="43"/>
      <c r="Z327" s="43"/>
      <c r="AA327" s="43"/>
      <c r="AB327" s="43"/>
    </row>
    <row r="328" spans="1:28" ht="14.25" hidden="1" customHeight="1">
      <c r="A328" s="163" t="s">
        <v>279</v>
      </c>
      <c r="B328" s="164">
        <v>45610</v>
      </c>
      <c r="C328" s="163"/>
      <c r="D328" s="163" t="s">
        <v>281</v>
      </c>
      <c r="E328" s="163" t="s">
        <v>330</v>
      </c>
      <c r="F328" s="168">
        <v>-0.5</v>
      </c>
      <c r="G328" s="165">
        <f t="shared" si="5"/>
        <v>1633.5500000000156</v>
      </c>
      <c r="H328" s="163"/>
      <c r="I328" s="163" t="s">
        <v>331</v>
      </c>
      <c r="J328" s="163" t="s">
        <v>938</v>
      </c>
      <c r="K328" s="163"/>
      <c r="L328" s="163"/>
      <c r="M328" s="163"/>
      <c r="N328" s="163" t="s">
        <v>333</v>
      </c>
      <c r="O328" s="163"/>
      <c r="P328" s="163"/>
      <c r="Q328" s="163"/>
      <c r="R328" s="163"/>
      <c r="S328" s="163"/>
      <c r="T328" s="43">
        <f t="shared" si="9"/>
        <v>11</v>
      </c>
      <c r="U328" s="167">
        <f t="shared" si="10"/>
        <v>45610</v>
      </c>
      <c r="V328" s="167"/>
      <c r="W328" s="43"/>
      <c r="X328" s="43"/>
      <c r="Y328" s="43"/>
      <c r="Z328" s="43"/>
      <c r="AA328" s="43"/>
      <c r="AB328" s="43"/>
    </row>
    <row r="329" spans="1:28" ht="14.25" hidden="1" customHeight="1">
      <c r="A329" s="163" t="s">
        <v>279</v>
      </c>
      <c r="B329" s="164">
        <v>45610</v>
      </c>
      <c r="C329" s="163"/>
      <c r="D329" s="163" t="s">
        <v>281</v>
      </c>
      <c r="E329" s="163" t="s">
        <v>330</v>
      </c>
      <c r="F329" s="168">
        <v>-0.5</v>
      </c>
      <c r="G329" s="165">
        <f t="shared" si="5"/>
        <v>1633.0500000000156</v>
      </c>
      <c r="H329" s="163"/>
      <c r="I329" s="163" t="s">
        <v>331</v>
      </c>
      <c r="J329" s="163" t="s">
        <v>939</v>
      </c>
      <c r="K329" s="163"/>
      <c r="L329" s="163"/>
      <c r="M329" s="163"/>
      <c r="N329" s="163" t="s">
        <v>333</v>
      </c>
      <c r="O329" s="163"/>
      <c r="P329" s="163"/>
      <c r="Q329" s="163"/>
      <c r="R329" s="163"/>
      <c r="S329" s="163"/>
      <c r="T329" s="43">
        <f t="shared" si="9"/>
        <v>11</v>
      </c>
      <c r="U329" s="166">
        <f t="shared" si="10"/>
        <v>45610</v>
      </c>
      <c r="V329" s="43"/>
      <c r="W329" s="43"/>
      <c r="X329" s="43"/>
      <c r="Y329" s="43"/>
      <c r="Z329" s="43"/>
      <c r="AA329" s="43"/>
      <c r="AB329" s="43"/>
    </row>
    <row r="330" spans="1:28" ht="14.25" hidden="1" customHeight="1">
      <c r="A330" s="163" t="s">
        <v>279</v>
      </c>
      <c r="B330" s="164">
        <v>45610</v>
      </c>
      <c r="C330" s="163" t="s">
        <v>940</v>
      </c>
      <c r="D330" s="163" t="s">
        <v>281</v>
      </c>
      <c r="E330" s="163" t="s">
        <v>308</v>
      </c>
      <c r="F330" s="168">
        <v>-1075.9000000000001</v>
      </c>
      <c r="G330" s="165">
        <f t="shared" si="5"/>
        <v>557.15000000001555</v>
      </c>
      <c r="H330" s="163"/>
      <c r="I330" s="163" t="s">
        <v>342</v>
      </c>
      <c r="J330" s="163"/>
      <c r="K330" s="163"/>
      <c r="L330" s="163" t="s">
        <v>305</v>
      </c>
      <c r="M330" s="163" t="s">
        <v>941</v>
      </c>
      <c r="N330" s="163" t="s">
        <v>297</v>
      </c>
      <c r="O330" s="163"/>
      <c r="P330" s="163"/>
      <c r="Q330" s="163"/>
      <c r="R330" s="163" t="s">
        <v>940</v>
      </c>
      <c r="S330" s="163" t="s">
        <v>942</v>
      </c>
      <c r="T330" s="43">
        <f t="shared" si="9"/>
        <v>11</v>
      </c>
      <c r="U330" s="166">
        <f t="shared" si="10"/>
        <v>45610</v>
      </c>
      <c r="V330" s="43"/>
      <c r="W330" s="43"/>
      <c r="X330" s="43"/>
      <c r="Y330" s="43"/>
      <c r="Z330" s="43"/>
      <c r="AA330" s="43"/>
      <c r="AB330" s="43"/>
    </row>
    <row r="331" spans="1:28" ht="14.25" hidden="1" customHeight="1">
      <c r="A331" s="163" t="s">
        <v>279</v>
      </c>
      <c r="B331" s="164">
        <v>45610</v>
      </c>
      <c r="C331" s="163" t="s">
        <v>380</v>
      </c>
      <c r="D331" s="163" t="s">
        <v>281</v>
      </c>
      <c r="E331" s="163" t="s">
        <v>381</v>
      </c>
      <c r="F331" s="168">
        <v>-556.94000000000005</v>
      </c>
      <c r="G331" s="165">
        <f t="shared" si="5"/>
        <v>0.21000000001549779</v>
      </c>
      <c r="H331" s="163"/>
      <c r="I331" s="163" t="s">
        <v>283</v>
      </c>
      <c r="J331" s="163" t="s">
        <v>943</v>
      </c>
      <c r="K331" s="163"/>
      <c r="L331" s="163"/>
      <c r="M331" s="163"/>
      <c r="N331" s="163" t="s">
        <v>383</v>
      </c>
      <c r="O331" s="163"/>
      <c r="P331" s="163"/>
      <c r="Q331" s="163"/>
      <c r="R331" s="163" t="s">
        <v>353</v>
      </c>
      <c r="S331" s="163" t="s">
        <v>354</v>
      </c>
      <c r="T331" s="43">
        <f t="shared" si="9"/>
        <v>11</v>
      </c>
      <c r="U331" s="166">
        <f t="shared" si="10"/>
        <v>45610</v>
      </c>
      <c r="V331" s="43"/>
      <c r="W331" s="43"/>
      <c r="X331" s="43"/>
      <c r="Y331" s="43"/>
      <c r="Z331" s="43"/>
      <c r="AA331" s="43"/>
      <c r="AB331" s="43"/>
    </row>
    <row r="332" spans="1:28" ht="14.25" hidden="1" customHeight="1">
      <c r="A332" s="163" t="s">
        <v>279</v>
      </c>
      <c r="B332" s="164">
        <v>45610</v>
      </c>
      <c r="C332" s="163"/>
      <c r="D332" s="163" t="s">
        <v>281</v>
      </c>
      <c r="E332" s="163" t="s">
        <v>330</v>
      </c>
      <c r="F332" s="168">
        <v>-0.5</v>
      </c>
      <c r="G332" s="165">
        <f t="shared" si="5"/>
        <v>-0.28999999998450221</v>
      </c>
      <c r="H332" s="163"/>
      <c r="I332" s="163" t="s">
        <v>331</v>
      </c>
      <c r="J332" s="163" t="s">
        <v>944</v>
      </c>
      <c r="K332" s="163"/>
      <c r="L332" s="163"/>
      <c r="M332" s="163"/>
      <c r="N332" s="163" t="s">
        <v>333</v>
      </c>
      <c r="O332" s="163"/>
      <c r="P332" s="163"/>
      <c r="Q332" s="163"/>
      <c r="R332" s="163"/>
      <c r="S332" s="163"/>
      <c r="T332" s="43">
        <f t="shared" si="9"/>
        <v>11</v>
      </c>
      <c r="U332" s="167">
        <f t="shared" si="10"/>
        <v>45610</v>
      </c>
      <c r="V332" s="43"/>
      <c r="W332" s="43"/>
      <c r="X332" s="43"/>
      <c r="Y332" s="43"/>
      <c r="Z332" s="43"/>
      <c r="AA332" s="43"/>
      <c r="AB332" s="43"/>
    </row>
    <row r="333" spans="1:28" ht="14.25" hidden="1" customHeight="1">
      <c r="A333" s="163"/>
      <c r="B333" s="164">
        <v>45610</v>
      </c>
      <c r="C333" s="163" t="s">
        <v>346</v>
      </c>
      <c r="D333" s="163"/>
      <c r="E333" s="163"/>
      <c r="F333" s="165">
        <v>0</v>
      </c>
      <c r="G333" s="165">
        <f t="shared" si="5"/>
        <v>-0.28999999998450221</v>
      </c>
      <c r="H333" s="163"/>
      <c r="I333" s="163"/>
      <c r="J333" s="163"/>
      <c r="K333" s="163"/>
      <c r="L333" s="163"/>
      <c r="M333" s="163"/>
      <c r="N333" s="163"/>
      <c r="O333" s="163"/>
      <c r="P333" s="163"/>
      <c r="Q333" s="163"/>
      <c r="R333" s="163"/>
      <c r="S333" s="163"/>
      <c r="T333" s="43">
        <f t="shared" si="9"/>
        <v>11</v>
      </c>
      <c r="U333" s="167">
        <f t="shared" si="10"/>
        <v>45610</v>
      </c>
      <c r="V333" s="43"/>
      <c r="W333" s="43"/>
      <c r="X333" s="43"/>
      <c r="Y333" s="43"/>
      <c r="Z333" s="43"/>
      <c r="AA333" s="43"/>
      <c r="AB333" s="43"/>
    </row>
    <row r="334" spans="1:28" ht="14.25" hidden="1" customHeight="1">
      <c r="A334" s="163" t="s">
        <v>279</v>
      </c>
      <c r="B334" s="164">
        <v>45611</v>
      </c>
      <c r="C334" s="163" t="s">
        <v>351</v>
      </c>
      <c r="D334" s="163" t="s">
        <v>281</v>
      </c>
      <c r="E334" s="163" t="s">
        <v>407</v>
      </c>
      <c r="F334" s="165">
        <v>13133.46</v>
      </c>
      <c r="G334" s="165">
        <f t="shared" si="5"/>
        <v>13133.170000000015</v>
      </c>
      <c r="H334" s="163"/>
      <c r="I334" s="163" t="s">
        <v>283</v>
      </c>
      <c r="J334" s="163" t="s">
        <v>945</v>
      </c>
      <c r="K334" s="163"/>
      <c r="L334" s="163"/>
      <c r="M334" s="163"/>
      <c r="N334" s="163" t="s">
        <v>285</v>
      </c>
      <c r="O334" s="163"/>
      <c r="P334" s="163"/>
      <c r="Q334" s="163"/>
      <c r="R334" s="163" t="s">
        <v>353</v>
      </c>
      <c r="S334" s="163" t="s">
        <v>354</v>
      </c>
      <c r="T334" s="43">
        <f t="shared" si="9"/>
        <v>11</v>
      </c>
      <c r="U334" s="167">
        <f t="shared" si="10"/>
        <v>45611</v>
      </c>
      <c r="V334" s="167"/>
      <c r="W334" s="43"/>
      <c r="X334" s="43"/>
      <c r="Y334" s="43"/>
      <c r="Z334" s="43"/>
      <c r="AA334" s="43"/>
      <c r="AB334" s="43"/>
    </row>
    <row r="335" spans="1:28" ht="14.25" hidden="1" customHeight="1">
      <c r="A335" s="163" t="s">
        <v>279</v>
      </c>
      <c r="B335" s="164">
        <v>45611</v>
      </c>
      <c r="C335" s="163" t="s">
        <v>93</v>
      </c>
      <c r="D335" s="163" t="s">
        <v>281</v>
      </c>
      <c r="E335" s="163" t="s">
        <v>407</v>
      </c>
      <c r="F335" s="165">
        <v>0.5</v>
      </c>
      <c r="G335" s="165">
        <f t="shared" si="5"/>
        <v>13133.670000000015</v>
      </c>
      <c r="H335" s="163"/>
      <c r="I335" s="163" t="s">
        <v>283</v>
      </c>
      <c r="J335" s="163" t="s">
        <v>946</v>
      </c>
      <c r="K335" s="163"/>
      <c r="L335" s="163"/>
      <c r="M335" s="163"/>
      <c r="N335" s="163" t="s">
        <v>285</v>
      </c>
      <c r="O335" s="163"/>
      <c r="P335" s="163"/>
      <c r="Q335" s="163"/>
      <c r="R335" s="163" t="s">
        <v>93</v>
      </c>
      <c r="S335" s="163" t="s">
        <v>540</v>
      </c>
      <c r="T335" s="43">
        <f t="shared" si="9"/>
        <v>11</v>
      </c>
      <c r="U335" s="167">
        <f t="shared" si="10"/>
        <v>45611</v>
      </c>
      <c r="V335" s="43"/>
      <c r="W335" s="43"/>
      <c r="X335" s="43"/>
      <c r="Y335" s="43"/>
      <c r="Z335" s="43"/>
      <c r="AA335" s="43"/>
      <c r="AB335" s="43"/>
    </row>
    <row r="336" spans="1:28" ht="14.25" hidden="1" customHeight="1">
      <c r="A336" s="163" t="s">
        <v>279</v>
      </c>
      <c r="B336" s="164">
        <v>45611</v>
      </c>
      <c r="C336" s="163" t="s">
        <v>947</v>
      </c>
      <c r="D336" s="163" t="s">
        <v>281</v>
      </c>
      <c r="E336" s="163" t="s">
        <v>883</v>
      </c>
      <c r="F336" s="168">
        <v>-13133.46</v>
      </c>
      <c r="G336" s="165">
        <f t="shared" si="5"/>
        <v>0.21000000001549779</v>
      </c>
      <c r="H336" s="163"/>
      <c r="I336" s="163" t="s">
        <v>283</v>
      </c>
      <c r="J336" s="163"/>
      <c r="K336" s="163"/>
      <c r="L336" s="163" t="s">
        <v>305</v>
      </c>
      <c r="M336" s="163" t="s">
        <v>948</v>
      </c>
      <c r="N336" s="163" t="s">
        <v>297</v>
      </c>
      <c r="O336" s="163"/>
      <c r="P336" s="163"/>
      <c r="Q336" s="163"/>
      <c r="R336" s="163" t="s">
        <v>949</v>
      </c>
      <c r="S336" s="163" t="s">
        <v>950</v>
      </c>
      <c r="T336" s="43">
        <f t="shared" si="9"/>
        <v>11</v>
      </c>
      <c r="U336" s="167">
        <f t="shared" si="10"/>
        <v>45611</v>
      </c>
      <c r="V336" s="43"/>
      <c r="W336" s="43"/>
      <c r="X336" s="43"/>
      <c r="Y336" s="43"/>
      <c r="Z336" s="43"/>
      <c r="AA336" s="43"/>
      <c r="AB336" s="43"/>
    </row>
    <row r="337" spans="1:28" ht="14.25" hidden="1" customHeight="1">
      <c r="A337" s="163" t="s">
        <v>279</v>
      </c>
      <c r="B337" s="164">
        <v>45611</v>
      </c>
      <c r="C337" s="163"/>
      <c r="D337" s="163" t="s">
        <v>281</v>
      </c>
      <c r="E337" s="163" t="s">
        <v>330</v>
      </c>
      <c r="F337" s="168">
        <v>-0.5</v>
      </c>
      <c r="G337" s="165">
        <f t="shared" si="5"/>
        <v>-0.28999999998450221</v>
      </c>
      <c r="H337" s="163"/>
      <c r="I337" s="163" t="s">
        <v>331</v>
      </c>
      <c r="J337" s="163" t="s">
        <v>951</v>
      </c>
      <c r="K337" s="163"/>
      <c r="L337" s="163"/>
      <c r="M337" s="163"/>
      <c r="N337" s="163" t="s">
        <v>333</v>
      </c>
      <c r="O337" s="163"/>
      <c r="P337" s="163"/>
      <c r="Q337" s="163"/>
      <c r="R337" s="163"/>
      <c r="S337" s="163"/>
      <c r="T337" s="43">
        <f t="shared" si="9"/>
        <v>11</v>
      </c>
      <c r="U337" s="167">
        <f t="shared" si="10"/>
        <v>45611</v>
      </c>
      <c r="V337" s="43"/>
      <c r="W337" s="43"/>
      <c r="X337" s="43"/>
      <c r="Y337" s="43"/>
      <c r="Z337" s="43"/>
      <c r="AA337" s="43"/>
      <c r="AB337" s="43"/>
    </row>
    <row r="338" spans="1:28" hidden="1">
      <c r="A338" s="163"/>
      <c r="B338" s="164">
        <v>45611</v>
      </c>
      <c r="C338" s="163" t="s">
        <v>346</v>
      </c>
      <c r="D338" s="163"/>
      <c r="E338" s="163"/>
      <c r="F338" s="165">
        <v>0</v>
      </c>
      <c r="G338" s="165">
        <f t="shared" si="5"/>
        <v>-0.28999999998450221</v>
      </c>
      <c r="H338" s="163"/>
      <c r="I338" s="163"/>
      <c r="J338" s="163"/>
      <c r="K338" s="163"/>
      <c r="L338" s="163"/>
      <c r="M338" s="163"/>
      <c r="N338" s="163"/>
      <c r="O338" s="163"/>
      <c r="P338" s="163"/>
      <c r="Q338" s="163"/>
      <c r="R338" s="163"/>
      <c r="S338" s="163"/>
      <c r="T338" s="43">
        <f t="shared" si="9"/>
        <v>11</v>
      </c>
      <c r="U338" s="167">
        <f t="shared" si="10"/>
        <v>45611</v>
      </c>
      <c r="V338" s="43"/>
      <c r="W338" s="43"/>
      <c r="X338" s="43"/>
      <c r="Y338" s="43"/>
      <c r="Z338" s="43"/>
      <c r="AA338" s="43"/>
      <c r="AB338" s="43"/>
    </row>
    <row r="339" spans="1:28" ht="14.25" hidden="1" customHeight="1">
      <c r="A339" s="163"/>
      <c r="B339" s="164">
        <v>45612</v>
      </c>
      <c r="C339" s="163" t="s">
        <v>346</v>
      </c>
      <c r="D339" s="163"/>
      <c r="E339" s="163"/>
      <c r="F339" s="165">
        <v>0</v>
      </c>
      <c r="G339" s="165">
        <f t="shared" si="5"/>
        <v>-0.28999999998450221</v>
      </c>
      <c r="H339" s="163"/>
      <c r="I339" s="163"/>
      <c r="J339" s="163"/>
      <c r="K339" s="163"/>
      <c r="L339" s="163"/>
      <c r="M339" s="163"/>
      <c r="N339" s="163"/>
      <c r="O339" s="163"/>
      <c r="P339" s="163"/>
      <c r="Q339" s="163"/>
      <c r="R339" s="163"/>
      <c r="S339" s="163"/>
      <c r="T339" s="43">
        <f t="shared" si="9"/>
        <v>11</v>
      </c>
      <c r="U339" s="166">
        <f t="shared" si="10"/>
        <v>45612</v>
      </c>
      <c r="V339" s="43"/>
      <c r="W339" s="43"/>
      <c r="X339" s="43"/>
      <c r="Y339" s="43"/>
      <c r="Z339" s="43"/>
      <c r="AA339" s="43"/>
      <c r="AB339" s="43"/>
    </row>
    <row r="340" spans="1:28" ht="14.25" hidden="1" customHeight="1">
      <c r="A340" s="163"/>
      <c r="B340" s="164">
        <v>45613</v>
      </c>
      <c r="C340" s="163" t="s">
        <v>346</v>
      </c>
      <c r="D340" s="163"/>
      <c r="E340" s="163"/>
      <c r="F340" s="165">
        <v>0</v>
      </c>
      <c r="G340" s="165">
        <f t="shared" si="5"/>
        <v>-0.28999999998450221</v>
      </c>
      <c r="H340" s="163"/>
      <c r="I340" s="163"/>
      <c r="J340" s="163"/>
      <c r="K340" s="163"/>
      <c r="L340" s="163"/>
      <c r="M340" s="163"/>
      <c r="N340" s="163"/>
      <c r="O340" s="163"/>
      <c r="P340" s="163"/>
      <c r="Q340" s="163"/>
      <c r="R340" s="163"/>
      <c r="S340" s="163"/>
      <c r="T340" s="43">
        <f t="shared" si="9"/>
        <v>11</v>
      </c>
      <c r="U340" s="166">
        <f t="shared" si="10"/>
        <v>45613</v>
      </c>
      <c r="V340" s="167"/>
      <c r="W340" s="43"/>
      <c r="X340" s="43"/>
      <c r="Y340" s="43"/>
      <c r="Z340" s="43"/>
      <c r="AA340" s="43"/>
      <c r="AB340" s="43"/>
    </row>
    <row r="341" spans="1:28" ht="14.25" hidden="1" customHeight="1">
      <c r="A341" s="163" t="s">
        <v>279</v>
      </c>
      <c r="B341" s="164">
        <v>45614</v>
      </c>
      <c r="C341" s="163" t="s">
        <v>952</v>
      </c>
      <c r="D341" s="163" t="s">
        <v>281</v>
      </c>
      <c r="E341" s="163" t="s">
        <v>407</v>
      </c>
      <c r="F341" s="165">
        <v>8000</v>
      </c>
      <c r="G341" s="165">
        <f t="shared" si="5"/>
        <v>7999.7100000000155</v>
      </c>
      <c r="H341" s="163"/>
      <c r="I341" s="163" t="s">
        <v>342</v>
      </c>
      <c r="J341" s="163" t="s">
        <v>953</v>
      </c>
      <c r="K341" s="163" t="s">
        <v>954</v>
      </c>
      <c r="L341" s="163" t="s">
        <v>305</v>
      </c>
      <c r="M341" s="163" t="s">
        <v>955</v>
      </c>
      <c r="N341" s="163" t="s">
        <v>411</v>
      </c>
      <c r="O341" s="163" t="s">
        <v>956</v>
      </c>
      <c r="P341" s="163" t="s">
        <v>957</v>
      </c>
      <c r="Q341" s="163"/>
      <c r="R341" s="163" t="s">
        <v>958</v>
      </c>
      <c r="S341" s="163" t="s">
        <v>959</v>
      </c>
      <c r="T341" s="43">
        <f t="shared" si="9"/>
        <v>11</v>
      </c>
      <c r="U341" s="166">
        <f t="shared" si="10"/>
        <v>45614</v>
      </c>
      <c r="V341" s="43"/>
      <c r="W341" s="43"/>
      <c r="X341" s="43"/>
      <c r="Y341" s="43"/>
      <c r="Z341" s="43"/>
      <c r="AA341" s="43"/>
      <c r="AB341" s="43"/>
    </row>
    <row r="342" spans="1:28" ht="14.25" hidden="1" customHeight="1">
      <c r="A342" s="163" t="s">
        <v>279</v>
      </c>
      <c r="B342" s="164">
        <v>45614</v>
      </c>
      <c r="C342" s="163"/>
      <c r="D342" s="163" t="s">
        <v>281</v>
      </c>
      <c r="E342" s="163" t="s">
        <v>330</v>
      </c>
      <c r="F342" s="168">
        <v>-1.99</v>
      </c>
      <c r="G342" s="165">
        <f t="shared" si="5"/>
        <v>7997.7200000000157</v>
      </c>
      <c r="H342" s="163"/>
      <c r="I342" s="163" t="s">
        <v>331</v>
      </c>
      <c r="J342" s="163" t="s">
        <v>960</v>
      </c>
      <c r="K342" s="163"/>
      <c r="L342" s="163"/>
      <c r="M342" s="163"/>
      <c r="N342" s="163" t="s">
        <v>333</v>
      </c>
      <c r="O342" s="163"/>
      <c r="P342" s="163" t="s">
        <v>957</v>
      </c>
      <c r="Q342" s="163"/>
      <c r="R342" s="163"/>
      <c r="S342" s="163"/>
      <c r="T342" s="43">
        <f t="shared" si="9"/>
        <v>11</v>
      </c>
      <c r="U342" s="167">
        <f t="shared" si="10"/>
        <v>45614</v>
      </c>
      <c r="V342" s="167"/>
      <c r="W342" s="43"/>
      <c r="X342" s="43"/>
      <c r="Y342" s="43"/>
      <c r="Z342" s="43"/>
      <c r="AA342" s="43"/>
      <c r="AB342" s="43"/>
    </row>
    <row r="343" spans="1:28" ht="14.25" hidden="1" customHeight="1">
      <c r="A343" s="163" t="s">
        <v>279</v>
      </c>
      <c r="B343" s="164">
        <v>45614</v>
      </c>
      <c r="C343" s="163" t="s">
        <v>280</v>
      </c>
      <c r="D343" s="163" t="s">
        <v>281</v>
      </c>
      <c r="E343" s="163" t="s">
        <v>282</v>
      </c>
      <c r="F343" s="165">
        <v>25500</v>
      </c>
      <c r="G343" s="165">
        <f t="shared" si="5"/>
        <v>33497.720000000016</v>
      </c>
      <c r="H343" s="163"/>
      <c r="I343" s="163" t="s">
        <v>283</v>
      </c>
      <c r="J343" s="163" t="s">
        <v>918</v>
      </c>
      <c r="K343" s="163"/>
      <c r="L343" s="163"/>
      <c r="M343" s="163"/>
      <c r="N343" s="163" t="s">
        <v>285</v>
      </c>
      <c r="O343" s="163"/>
      <c r="P343" s="163"/>
      <c r="Q343" s="163"/>
      <c r="R343" s="163" t="s">
        <v>286</v>
      </c>
      <c r="S343" s="163" t="s">
        <v>287</v>
      </c>
      <c r="T343" s="43">
        <f t="shared" si="9"/>
        <v>11</v>
      </c>
      <c r="U343" s="166">
        <f t="shared" si="10"/>
        <v>45614</v>
      </c>
      <c r="V343" s="43"/>
      <c r="W343" s="43"/>
      <c r="X343" s="43"/>
      <c r="Y343" s="43"/>
      <c r="Z343" s="43"/>
      <c r="AA343" s="43"/>
      <c r="AB343" s="43"/>
    </row>
    <row r="344" spans="1:28" ht="14.25" hidden="1" customHeight="1">
      <c r="A344" s="163" t="s">
        <v>961</v>
      </c>
      <c r="B344" s="164">
        <v>45614</v>
      </c>
      <c r="C344" s="163" t="s">
        <v>962</v>
      </c>
      <c r="D344" s="163" t="s">
        <v>281</v>
      </c>
      <c r="E344" s="163" t="s">
        <v>407</v>
      </c>
      <c r="F344" s="165">
        <v>12500</v>
      </c>
      <c r="G344" s="165">
        <f t="shared" si="5"/>
        <v>45997.720000000016</v>
      </c>
      <c r="H344" s="163"/>
      <c r="I344" s="163" t="s">
        <v>342</v>
      </c>
      <c r="J344" s="163" t="s">
        <v>963</v>
      </c>
      <c r="K344" s="163" t="s">
        <v>964</v>
      </c>
      <c r="L344" s="163" t="s">
        <v>305</v>
      </c>
      <c r="M344" s="163" t="s">
        <v>965</v>
      </c>
      <c r="N344" s="163" t="s">
        <v>966</v>
      </c>
      <c r="O344" s="163" t="s">
        <v>967</v>
      </c>
      <c r="P344" s="163" t="s">
        <v>57</v>
      </c>
      <c r="Q344" s="163"/>
      <c r="R344" s="163" t="s">
        <v>962</v>
      </c>
      <c r="S344" s="163" t="s">
        <v>968</v>
      </c>
      <c r="T344" s="43">
        <f t="shared" si="9"/>
        <v>11</v>
      </c>
      <c r="U344" s="167">
        <f t="shared" si="10"/>
        <v>45614</v>
      </c>
      <c r="V344" s="167"/>
      <c r="W344" s="43"/>
      <c r="X344" s="43"/>
      <c r="Y344" s="43"/>
      <c r="Z344" s="43"/>
      <c r="AA344" s="43"/>
      <c r="AB344" s="43"/>
    </row>
    <row r="345" spans="1:28" ht="14.25" hidden="1" customHeight="1">
      <c r="A345" s="163" t="s">
        <v>961</v>
      </c>
      <c r="B345" s="164">
        <v>45614</v>
      </c>
      <c r="C345" s="163" t="s">
        <v>969</v>
      </c>
      <c r="D345" s="163" t="s">
        <v>281</v>
      </c>
      <c r="E345" s="163" t="s">
        <v>407</v>
      </c>
      <c r="F345" s="165">
        <v>3150</v>
      </c>
      <c r="G345" s="165">
        <f t="shared" si="5"/>
        <v>49147.720000000016</v>
      </c>
      <c r="H345" s="163"/>
      <c r="I345" s="163" t="s">
        <v>342</v>
      </c>
      <c r="J345" s="163" t="s">
        <v>970</v>
      </c>
      <c r="K345" s="163" t="s">
        <v>971</v>
      </c>
      <c r="L345" s="163" t="s">
        <v>305</v>
      </c>
      <c r="M345" s="163" t="s">
        <v>972</v>
      </c>
      <c r="N345" s="163" t="s">
        <v>966</v>
      </c>
      <c r="O345" s="163" t="s">
        <v>973</v>
      </c>
      <c r="P345" s="163" t="s">
        <v>57</v>
      </c>
      <c r="Q345" s="163"/>
      <c r="R345" s="163" t="s">
        <v>974</v>
      </c>
      <c r="S345" s="163" t="s">
        <v>975</v>
      </c>
      <c r="T345" s="43">
        <f t="shared" si="9"/>
        <v>11</v>
      </c>
      <c r="U345" s="167">
        <f t="shared" si="10"/>
        <v>45614</v>
      </c>
      <c r="V345" s="167"/>
      <c r="W345" s="43"/>
      <c r="X345" s="43"/>
      <c r="Y345" s="43"/>
      <c r="Z345" s="43"/>
      <c r="AA345" s="43"/>
      <c r="AB345" s="43"/>
    </row>
    <row r="346" spans="1:28" ht="14.25" hidden="1" customHeight="1">
      <c r="A346" s="174" t="s">
        <v>976</v>
      </c>
      <c r="B346" s="175">
        <v>45614</v>
      </c>
      <c r="C346" s="174" t="s">
        <v>130</v>
      </c>
      <c r="D346" s="174" t="s">
        <v>281</v>
      </c>
      <c r="E346" s="174" t="s">
        <v>199</v>
      </c>
      <c r="F346" s="176"/>
      <c r="G346" s="165">
        <f t="shared" si="5"/>
        <v>49147.720000000016</v>
      </c>
      <c r="H346" s="174"/>
      <c r="I346" s="174" t="s">
        <v>977</v>
      </c>
      <c r="J346" s="174"/>
      <c r="K346" s="174"/>
      <c r="L346" s="174" t="s">
        <v>686</v>
      </c>
      <c r="M346" s="174"/>
      <c r="N346" s="174" t="s">
        <v>978</v>
      </c>
      <c r="O346" s="174"/>
      <c r="P346" s="174"/>
      <c r="Q346" s="174"/>
      <c r="R346" s="174" t="s">
        <v>130</v>
      </c>
      <c r="S346" s="174"/>
      <c r="T346" s="177">
        <f t="shared" si="9"/>
        <v>11</v>
      </c>
      <c r="U346" s="178">
        <f t="shared" si="10"/>
        <v>45614</v>
      </c>
      <c r="V346" s="178"/>
      <c r="W346" s="177"/>
      <c r="X346" s="177"/>
      <c r="Y346" s="177"/>
      <c r="Z346" s="177"/>
      <c r="AA346" s="177"/>
      <c r="AB346" s="177"/>
    </row>
    <row r="347" spans="1:28" ht="14.25" hidden="1" customHeight="1">
      <c r="A347" s="174" t="s">
        <v>976</v>
      </c>
      <c r="B347" s="175">
        <v>45614</v>
      </c>
      <c r="C347" s="174" t="s">
        <v>979</v>
      </c>
      <c r="D347" s="174" t="s">
        <v>281</v>
      </c>
      <c r="E347" s="174" t="s">
        <v>199</v>
      </c>
      <c r="F347" s="176"/>
      <c r="G347" s="165">
        <f t="shared" si="5"/>
        <v>49147.720000000016</v>
      </c>
      <c r="H347" s="174"/>
      <c r="I347" s="174" t="s">
        <v>342</v>
      </c>
      <c r="J347" s="174"/>
      <c r="K347" s="174"/>
      <c r="L347" s="174" t="s">
        <v>305</v>
      </c>
      <c r="M347" s="174"/>
      <c r="N347" s="174" t="s">
        <v>978</v>
      </c>
      <c r="O347" s="174"/>
      <c r="P347" s="174"/>
      <c r="Q347" s="174"/>
      <c r="R347" s="174" t="s">
        <v>134</v>
      </c>
      <c r="S347" s="174" t="s">
        <v>980</v>
      </c>
      <c r="T347" s="177">
        <f t="shared" si="9"/>
        <v>11</v>
      </c>
      <c r="U347" s="179">
        <f t="shared" si="10"/>
        <v>45614</v>
      </c>
      <c r="V347" s="177"/>
      <c r="W347" s="177"/>
      <c r="X347" s="177"/>
      <c r="Y347" s="177"/>
      <c r="Z347" s="177"/>
      <c r="AA347" s="177"/>
      <c r="AB347" s="177"/>
    </row>
    <row r="348" spans="1:28" ht="14.25" hidden="1" customHeight="1">
      <c r="A348" s="163" t="s">
        <v>976</v>
      </c>
      <c r="B348" s="164">
        <v>45614</v>
      </c>
      <c r="C348" s="163" t="s">
        <v>293</v>
      </c>
      <c r="D348" s="163" t="s">
        <v>281</v>
      </c>
      <c r="E348" s="163" t="s">
        <v>294</v>
      </c>
      <c r="F348" s="168">
        <v>-4828.5</v>
      </c>
      <c r="G348" s="165">
        <f t="shared" si="5"/>
        <v>44319.220000000016</v>
      </c>
      <c r="H348" s="163"/>
      <c r="I348" s="163" t="s">
        <v>283</v>
      </c>
      <c r="J348" s="163"/>
      <c r="K348" s="163"/>
      <c r="L348" s="163" t="s">
        <v>920</v>
      </c>
      <c r="M348" s="163"/>
      <c r="N348" s="163" t="s">
        <v>978</v>
      </c>
      <c r="O348" s="163"/>
      <c r="P348" s="163"/>
      <c r="Q348" s="163"/>
      <c r="R348" s="163" t="s">
        <v>298</v>
      </c>
      <c r="S348" s="163" t="s">
        <v>299</v>
      </c>
      <c r="T348" s="43">
        <f t="shared" si="9"/>
        <v>11</v>
      </c>
      <c r="U348" s="167">
        <f t="shared" si="10"/>
        <v>45614</v>
      </c>
      <c r="V348" s="166"/>
      <c r="W348" s="43"/>
      <c r="X348" s="43"/>
      <c r="Y348" s="43"/>
      <c r="Z348" s="43"/>
      <c r="AA348" s="43"/>
      <c r="AB348" s="43"/>
    </row>
    <row r="349" spans="1:28" ht="14.25" hidden="1" customHeight="1">
      <c r="A349" s="163" t="s">
        <v>976</v>
      </c>
      <c r="B349" s="164">
        <v>45614</v>
      </c>
      <c r="C349" s="163" t="s">
        <v>293</v>
      </c>
      <c r="D349" s="163" t="s">
        <v>281</v>
      </c>
      <c r="E349" s="163" t="s">
        <v>294</v>
      </c>
      <c r="F349" s="168">
        <v>-2928.6</v>
      </c>
      <c r="G349" s="165">
        <f t="shared" si="5"/>
        <v>41390.620000000017</v>
      </c>
      <c r="H349" s="163"/>
      <c r="I349" s="163" t="s">
        <v>283</v>
      </c>
      <c r="J349" s="163"/>
      <c r="K349" s="163"/>
      <c r="L349" s="163" t="s">
        <v>920</v>
      </c>
      <c r="M349" s="163"/>
      <c r="N349" s="163" t="s">
        <v>978</v>
      </c>
      <c r="O349" s="163"/>
      <c r="P349" s="163"/>
      <c r="Q349" s="163"/>
      <c r="R349" s="163" t="s">
        <v>298</v>
      </c>
      <c r="S349" s="163" t="s">
        <v>299</v>
      </c>
      <c r="T349" s="43">
        <f t="shared" si="9"/>
        <v>11</v>
      </c>
      <c r="U349" s="167">
        <f t="shared" si="10"/>
        <v>45614</v>
      </c>
      <c r="V349" s="43"/>
      <c r="W349" s="43"/>
      <c r="X349" s="43"/>
      <c r="Y349" s="43"/>
      <c r="Z349" s="43"/>
      <c r="AA349" s="43"/>
      <c r="AB349" s="43"/>
    </row>
    <row r="350" spans="1:28" ht="14.25" hidden="1" customHeight="1">
      <c r="A350" s="163" t="s">
        <v>976</v>
      </c>
      <c r="B350" s="164">
        <v>45614</v>
      </c>
      <c r="C350" s="163" t="s">
        <v>497</v>
      </c>
      <c r="D350" s="163" t="s">
        <v>281</v>
      </c>
      <c r="E350" s="163" t="s">
        <v>301</v>
      </c>
      <c r="F350" s="168">
        <v>-1429.53</v>
      </c>
      <c r="G350" s="165">
        <f t="shared" si="5"/>
        <v>39961.090000000018</v>
      </c>
      <c r="H350" s="163"/>
      <c r="I350" s="163" t="s">
        <v>283</v>
      </c>
      <c r="J350" s="163"/>
      <c r="K350" s="163"/>
      <c r="L350" s="163" t="s">
        <v>302</v>
      </c>
      <c r="M350" s="163"/>
      <c r="N350" s="163" t="s">
        <v>978</v>
      </c>
      <c r="O350" s="163"/>
      <c r="P350" s="163"/>
      <c r="Q350" s="163"/>
      <c r="R350" s="163" t="s">
        <v>497</v>
      </c>
      <c r="S350" s="163" t="s">
        <v>500</v>
      </c>
      <c r="T350" s="43">
        <f t="shared" si="9"/>
        <v>11</v>
      </c>
      <c r="U350" s="167">
        <f t="shared" si="10"/>
        <v>45614</v>
      </c>
      <c r="V350" s="43"/>
      <c r="W350" s="43"/>
      <c r="X350" s="43"/>
      <c r="Y350" s="43"/>
      <c r="Z350" s="43"/>
      <c r="AA350" s="43"/>
      <c r="AB350" s="43"/>
    </row>
    <row r="351" spans="1:28" ht="14.25" hidden="1" customHeight="1">
      <c r="A351" s="163" t="s">
        <v>976</v>
      </c>
      <c r="B351" s="164">
        <v>45614</v>
      </c>
      <c r="C351" s="163" t="s">
        <v>497</v>
      </c>
      <c r="D351" s="163" t="s">
        <v>281</v>
      </c>
      <c r="E351" s="163" t="s">
        <v>122</v>
      </c>
      <c r="F351" s="168">
        <v>-89.59</v>
      </c>
      <c r="G351" s="165">
        <f t="shared" si="5"/>
        <v>39871.500000000022</v>
      </c>
      <c r="H351" s="163"/>
      <c r="I351" s="163" t="s">
        <v>283</v>
      </c>
      <c r="J351" s="163"/>
      <c r="K351" s="163"/>
      <c r="L351" s="163" t="s">
        <v>305</v>
      </c>
      <c r="M351" s="163"/>
      <c r="N351" s="163" t="s">
        <v>978</v>
      </c>
      <c r="O351" s="163"/>
      <c r="P351" s="163"/>
      <c r="Q351" s="163"/>
      <c r="R351" s="163" t="s">
        <v>497</v>
      </c>
      <c r="S351" s="163" t="s">
        <v>500</v>
      </c>
      <c r="T351" s="43">
        <f t="shared" si="9"/>
        <v>11</v>
      </c>
      <c r="U351" s="167">
        <f t="shared" si="10"/>
        <v>45614</v>
      </c>
      <c r="V351" s="43"/>
      <c r="W351" s="43"/>
      <c r="X351" s="43"/>
      <c r="Y351" s="43"/>
      <c r="Z351" s="43"/>
      <c r="AA351" s="43"/>
      <c r="AB351" s="43"/>
    </row>
    <row r="352" spans="1:28" ht="14.25" hidden="1" customHeight="1">
      <c r="A352" s="180" t="s">
        <v>976</v>
      </c>
      <c r="B352" s="181">
        <v>45614</v>
      </c>
      <c r="C352" s="180" t="s">
        <v>111</v>
      </c>
      <c r="D352" s="180" t="s">
        <v>281</v>
      </c>
      <c r="E352" s="180" t="s">
        <v>981</v>
      </c>
      <c r="F352" s="182">
        <v>-212.36</v>
      </c>
      <c r="G352" s="165">
        <f t="shared" si="5"/>
        <v>39659.140000000021</v>
      </c>
      <c r="H352" s="180"/>
      <c r="I352" s="180" t="s">
        <v>342</v>
      </c>
      <c r="J352" s="180"/>
      <c r="K352" s="180"/>
      <c r="L352" s="180" t="s">
        <v>305</v>
      </c>
      <c r="M352" s="180"/>
      <c r="N352" s="180" t="s">
        <v>978</v>
      </c>
      <c r="O352" s="180"/>
      <c r="P352" s="180"/>
      <c r="Q352" s="180"/>
      <c r="R352" s="180"/>
      <c r="S352" s="180" t="s">
        <v>982</v>
      </c>
      <c r="T352" s="183">
        <f t="shared" si="9"/>
        <v>11</v>
      </c>
      <c r="U352" s="184">
        <f t="shared" si="10"/>
        <v>45614</v>
      </c>
      <c r="V352" s="183"/>
      <c r="W352" s="183"/>
      <c r="X352" s="183"/>
      <c r="Y352" s="183"/>
      <c r="Z352" s="183"/>
      <c r="AA352" s="183"/>
      <c r="AB352" s="183"/>
    </row>
    <row r="353" spans="1:28" ht="14.25" hidden="1" customHeight="1">
      <c r="A353" s="180" t="s">
        <v>976</v>
      </c>
      <c r="B353" s="181">
        <v>45614</v>
      </c>
      <c r="C353" s="180" t="s">
        <v>111</v>
      </c>
      <c r="D353" s="180" t="s">
        <v>281</v>
      </c>
      <c r="E353" s="180" t="s">
        <v>983</v>
      </c>
      <c r="F353" s="182">
        <v>-50</v>
      </c>
      <c r="G353" s="165">
        <f t="shared" si="5"/>
        <v>39609.140000000021</v>
      </c>
      <c r="H353" s="180"/>
      <c r="I353" s="180" t="s">
        <v>342</v>
      </c>
      <c r="J353" s="180"/>
      <c r="K353" s="180"/>
      <c r="L353" s="180" t="s">
        <v>305</v>
      </c>
      <c r="M353" s="180"/>
      <c r="N353" s="180" t="s">
        <v>978</v>
      </c>
      <c r="O353" s="180"/>
      <c r="P353" s="180"/>
      <c r="Q353" s="180"/>
      <c r="R353" s="180"/>
      <c r="S353" s="180" t="s">
        <v>982</v>
      </c>
      <c r="T353" s="183">
        <f t="shared" si="9"/>
        <v>11</v>
      </c>
      <c r="U353" s="184">
        <f t="shared" si="10"/>
        <v>45614</v>
      </c>
      <c r="V353" s="183"/>
      <c r="W353" s="183"/>
      <c r="X353" s="183"/>
      <c r="Y353" s="183"/>
      <c r="Z353" s="183"/>
      <c r="AA353" s="183"/>
      <c r="AB353" s="183"/>
    </row>
    <row r="354" spans="1:28" ht="14.25" hidden="1" customHeight="1">
      <c r="A354" s="180" t="s">
        <v>976</v>
      </c>
      <c r="B354" s="181">
        <v>45614</v>
      </c>
      <c r="C354" s="180" t="s">
        <v>984</v>
      </c>
      <c r="D354" s="180" t="s">
        <v>281</v>
      </c>
      <c r="E354" s="180" t="s">
        <v>983</v>
      </c>
      <c r="F354" s="182">
        <v>-400</v>
      </c>
      <c r="G354" s="165">
        <f t="shared" si="5"/>
        <v>39209.140000000021</v>
      </c>
      <c r="H354" s="180"/>
      <c r="I354" s="180" t="s">
        <v>342</v>
      </c>
      <c r="J354" s="180"/>
      <c r="K354" s="180"/>
      <c r="L354" s="180" t="s">
        <v>305</v>
      </c>
      <c r="M354" s="180"/>
      <c r="N354" s="180" t="s">
        <v>978</v>
      </c>
      <c r="O354" s="180"/>
      <c r="P354" s="180"/>
      <c r="Q354" s="180"/>
      <c r="R354" s="180"/>
      <c r="S354" s="180" t="s">
        <v>982</v>
      </c>
      <c r="T354" s="183">
        <f t="shared" si="9"/>
        <v>11</v>
      </c>
      <c r="U354" s="184">
        <f t="shared" si="10"/>
        <v>45614</v>
      </c>
      <c r="V354" s="183"/>
      <c r="W354" s="183"/>
      <c r="X354" s="183"/>
      <c r="Y354" s="183"/>
      <c r="Z354" s="183"/>
      <c r="AA354" s="183"/>
      <c r="AB354" s="183"/>
    </row>
    <row r="355" spans="1:28" ht="14.25" hidden="1" customHeight="1">
      <c r="A355" s="180" t="s">
        <v>976</v>
      </c>
      <c r="B355" s="181">
        <v>45614</v>
      </c>
      <c r="C355" s="180" t="s">
        <v>549</v>
      </c>
      <c r="D355" s="180" t="s">
        <v>281</v>
      </c>
      <c r="E355" s="180" t="s">
        <v>983</v>
      </c>
      <c r="F355" s="182">
        <f>-250-30</f>
        <v>-280</v>
      </c>
      <c r="G355" s="165">
        <f t="shared" si="5"/>
        <v>38929.140000000021</v>
      </c>
      <c r="H355" s="180"/>
      <c r="I355" s="180" t="s">
        <v>342</v>
      </c>
      <c r="J355" s="180"/>
      <c r="K355" s="180"/>
      <c r="L355" s="180" t="s">
        <v>305</v>
      </c>
      <c r="M355" s="180"/>
      <c r="N355" s="180" t="s">
        <v>978</v>
      </c>
      <c r="O355" s="180"/>
      <c r="P355" s="180"/>
      <c r="Q355" s="180"/>
      <c r="R355" s="180"/>
      <c r="S355" s="180" t="s">
        <v>982</v>
      </c>
      <c r="T355" s="183">
        <f t="shared" si="9"/>
        <v>11</v>
      </c>
      <c r="U355" s="184">
        <f t="shared" si="10"/>
        <v>45614</v>
      </c>
      <c r="V355" s="183"/>
      <c r="W355" s="183"/>
      <c r="X355" s="183"/>
      <c r="Y355" s="183"/>
      <c r="Z355" s="183"/>
      <c r="AA355" s="183"/>
      <c r="AB355" s="183"/>
    </row>
    <row r="356" spans="1:28" ht="14.25" hidden="1" customHeight="1">
      <c r="A356" s="163" t="s">
        <v>976</v>
      </c>
      <c r="B356" s="164">
        <v>45614</v>
      </c>
      <c r="C356" s="163" t="s">
        <v>985</v>
      </c>
      <c r="D356" s="163" t="s">
        <v>281</v>
      </c>
      <c r="E356" s="163" t="s">
        <v>986</v>
      </c>
      <c r="F356" s="168">
        <v>-81.400000000000006</v>
      </c>
      <c r="G356" s="165">
        <f t="shared" si="5"/>
        <v>38847.74000000002</v>
      </c>
      <c r="H356" s="163"/>
      <c r="I356" s="163" t="s">
        <v>283</v>
      </c>
      <c r="J356" s="163"/>
      <c r="K356" s="163"/>
      <c r="L356" s="163" t="s">
        <v>508</v>
      </c>
      <c r="M356" s="163"/>
      <c r="N356" s="163" t="s">
        <v>978</v>
      </c>
      <c r="O356" s="163"/>
      <c r="P356" s="163"/>
      <c r="Q356" s="163"/>
      <c r="R356" s="163" t="s">
        <v>987</v>
      </c>
      <c r="S356" s="163" t="s">
        <v>988</v>
      </c>
      <c r="T356" s="43">
        <f t="shared" si="9"/>
        <v>11</v>
      </c>
      <c r="U356" s="167">
        <f t="shared" si="10"/>
        <v>45614</v>
      </c>
      <c r="V356" s="43"/>
      <c r="W356" s="43"/>
      <c r="X356" s="43"/>
      <c r="Y356" s="43"/>
      <c r="Z356" s="43"/>
      <c r="AA356" s="43"/>
      <c r="AB356" s="43"/>
    </row>
    <row r="357" spans="1:28" ht="14.25" hidden="1" customHeight="1">
      <c r="A357" s="163" t="s">
        <v>976</v>
      </c>
      <c r="B357" s="164">
        <v>45614</v>
      </c>
      <c r="C357" s="163" t="s">
        <v>989</v>
      </c>
      <c r="D357" s="163" t="s">
        <v>281</v>
      </c>
      <c r="E357" s="163" t="s">
        <v>199</v>
      </c>
      <c r="F357" s="168">
        <v>-1119</v>
      </c>
      <c r="G357" s="165">
        <f t="shared" si="5"/>
        <v>37728.74000000002</v>
      </c>
      <c r="H357" s="163"/>
      <c r="I357" s="163" t="s">
        <v>977</v>
      </c>
      <c r="J357" s="163"/>
      <c r="K357" s="163"/>
      <c r="L357" s="163" t="s">
        <v>686</v>
      </c>
      <c r="M357" s="163"/>
      <c r="N357" s="163" t="s">
        <v>978</v>
      </c>
      <c r="O357" s="163"/>
      <c r="P357" s="163"/>
      <c r="Q357" s="163"/>
      <c r="R357" s="163" t="s">
        <v>990</v>
      </c>
      <c r="S357" s="163" t="s">
        <v>991</v>
      </c>
      <c r="T357" s="43">
        <f t="shared" si="9"/>
        <v>11</v>
      </c>
      <c r="U357" s="167">
        <f t="shared" si="10"/>
        <v>45614</v>
      </c>
      <c r="V357" s="43"/>
      <c r="W357" s="43"/>
      <c r="X357" s="43"/>
      <c r="Y357" s="43"/>
      <c r="Z357" s="43"/>
      <c r="AA357" s="43"/>
      <c r="AB357" s="43"/>
    </row>
    <row r="358" spans="1:28" ht="14.25" hidden="1" customHeight="1">
      <c r="A358" s="163" t="s">
        <v>976</v>
      </c>
      <c r="B358" s="164">
        <v>45614</v>
      </c>
      <c r="C358" s="163" t="s">
        <v>992</v>
      </c>
      <c r="D358" s="163" t="s">
        <v>281</v>
      </c>
      <c r="E358" s="163" t="s">
        <v>993</v>
      </c>
      <c r="F358" s="168">
        <v>-1737.53</v>
      </c>
      <c r="G358" s="165">
        <f t="shared" si="5"/>
        <v>35991.210000000021</v>
      </c>
      <c r="H358" s="163"/>
      <c r="I358" s="163" t="s">
        <v>994</v>
      </c>
      <c r="J358" s="163"/>
      <c r="K358" s="163"/>
      <c r="L358" s="163" t="s">
        <v>995</v>
      </c>
      <c r="M358" s="163"/>
      <c r="N358" s="163" t="s">
        <v>978</v>
      </c>
      <c r="O358" s="163"/>
      <c r="P358" s="163"/>
      <c r="Q358" s="163"/>
      <c r="R358" s="163" t="s">
        <v>996</v>
      </c>
      <c r="S358" s="163" t="s">
        <v>997</v>
      </c>
      <c r="T358" s="43">
        <f t="shared" si="9"/>
        <v>11</v>
      </c>
      <c r="U358" s="167">
        <f t="shared" si="10"/>
        <v>45614</v>
      </c>
      <c r="V358" s="43"/>
      <c r="W358" s="43"/>
      <c r="X358" s="43"/>
      <c r="Y358" s="43"/>
      <c r="Z358" s="43"/>
      <c r="AA358" s="43"/>
      <c r="AB358" s="43"/>
    </row>
    <row r="359" spans="1:28" ht="14.25" hidden="1" customHeight="1">
      <c r="A359" s="163" t="s">
        <v>976</v>
      </c>
      <c r="B359" s="164">
        <v>45614</v>
      </c>
      <c r="C359" s="163" t="s">
        <v>998</v>
      </c>
      <c r="D359" s="163" t="s">
        <v>281</v>
      </c>
      <c r="E359" s="163" t="s">
        <v>199</v>
      </c>
      <c r="F359" s="168">
        <v>-1215.4000000000001</v>
      </c>
      <c r="G359" s="165">
        <f t="shared" si="5"/>
        <v>34775.810000000019</v>
      </c>
      <c r="H359" s="163"/>
      <c r="I359" s="163" t="s">
        <v>342</v>
      </c>
      <c r="J359" s="163"/>
      <c r="K359" s="163"/>
      <c r="L359" s="163" t="s">
        <v>366</v>
      </c>
      <c r="M359" s="163"/>
      <c r="N359" s="163" t="s">
        <v>978</v>
      </c>
      <c r="O359" s="163"/>
      <c r="P359" s="163"/>
      <c r="Q359" s="163"/>
      <c r="R359" s="163" t="s">
        <v>999</v>
      </c>
      <c r="S359" s="163" t="s">
        <v>1000</v>
      </c>
      <c r="T359" s="43">
        <f t="shared" si="9"/>
        <v>11</v>
      </c>
      <c r="U359" s="167">
        <f t="shared" si="10"/>
        <v>45614</v>
      </c>
      <c r="V359" s="43"/>
      <c r="W359" s="43"/>
      <c r="X359" s="43"/>
      <c r="Y359" s="43"/>
      <c r="Z359" s="43"/>
      <c r="AA359" s="43"/>
      <c r="AB359" s="43"/>
    </row>
    <row r="360" spans="1:28" ht="14.25" hidden="1" customHeight="1">
      <c r="A360" s="163" t="s">
        <v>976</v>
      </c>
      <c r="B360" s="164">
        <v>45614</v>
      </c>
      <c r="C360" s="163" t="s">
        <v>1001</v>
      </c>
      <c r="D360" s="163" t="s">
        <v>281</v>
      </c>
      <c r="E360" s="163" t="s">
        <v>199</v>
      </c>
      <c r="F360" s="168">
        <v>-6000</v>
      </c>
      <c r="G360" s="165">
        <f t="shared" si="5"/>
        <v>28775.810000000019</v>
      </c>
      <c r="H360" s="163"/>
      <c r="I360" s="163" t="s">
        <v>977</v>
      </c>
      <c r="J360" s="163"/>
      <c r="K360" s="163"/>
      <c r="L360" s="163" t="s">
        <v>305</v>
      </c>
      <c r="M360" s="163"/>
      <c r="N360" s="163" t="s">
        <v>978</v>
      </c>
      <c r="O360" s="163"/>
      <c r="P360" s="163"/>
      <c r="Q360" s="163"/>
      <c r="R360" s="163" t="s">
        <v>1001</v>
      </c>
      <c r="S360" s="163"/>
      <c r="T360" s="43">
        <f t="shared" si="9"/>
        <v>11</v>
      </c>
      <c r="U360" s="167">
        <f t="shared" si="10"/>
        <v>45614</v>
      </c>
      <c r="V360" s="166"/>
      <c r="W360" s="43"/>
      <c r="X360" s="43"/>
      <c r="Y360" s="43"/>
      <c r="Z360" s="43"/>
      <c r="AA360" s="43"/>
      <c r="AB360" s="43"/>
    </row>
    <row r="361" spans="1:28" ht="14.25" hidden="1" customHeight="1">
      <c r="A361" s="163" t="s">
        <v>976</v>
      </c>
      <c r="B361" s="164">
        <v>45614</v>
      </c>
      <c r="C361" s="163" t="s">
        <v>1002</v>
      </c>
      <c r="D361" s="163" t="s">
        <v>281</v>
      </c>
      <c r="E361" s="163" t="s">
        <v>190</v>
      </c>
      <c r="F361" s="168">
        <v>-225</v>
      </c>
      <c r="G361" s="165">
        <f t="shared" si="5"/>
        <v>28550.810000000019</v>
      </c>
      <c r="H361" s="163"/>
      <c r="I361" s="163" t="s">
        <v>342</v>
      </c>
      <c r="J361" s="163"/>
      <c r="K361" s="163"/>
      <c r="L361" s="163" t="s">
        <v>1003</v>
      </c>
      <c r="M361" s="163"/>
      <c r="N361" s="163" t="s">
        <v>978</v>
      </c>
      <c r="O361" s="163"/>
      <c r="P361" s="163"/>
      <c r="Q361" s="163"/>
      <c r="R361" s="163" t="s">
        <v>1004</v>
      </c>
      <c r="S361" s="163" t="s">
        <v>1005</v>
      </c>
      <c r="T361" s="43">
        <f t="shared" si="9"/>
        <v>11</v>
      </c>
      <c r="U361" s="166">
        <f t="shared" si="10"/>
        <v>45614</v>
      </c>
      <c r="V361" s="166"/>
      <c r="W361" s="43"/>
      <c r="X361" s="43"/>
      <c r="Y361" s="43"/>
      <c r="Z361" s="43"/>
      <c r="AA361" s="43"/>
      <c r="AB361" s="43"/>
    </row>
    <row r="362" spans="1:28" ht="14.25" hidden="1" customHeight="1">
      <c r="A362" s="163" t="s">
        <v>976</v>
      </c>
      <c r="B362" s="164">
        <v>45614</v>
      </c>
      <c r="C362" s="163" t="s">
        <v>1006</v>
      </c>
      <c r="D362" s="163" t="s">
        <v>281</v>
      </c>
      <c r="E362" s="163" t="s">
        <v>193</v>
      </c>
      <c r="F362" s="185">
        <v>-3754.25</v>
      </c>
      <c r="G362" s="165">
        <f t="shared" si="5"/>
        <v>24796.560000000019</v>
      </c>
      <c r="H362" s="163"/>
      <c r="I362" s="163" t="s">
        <v>342</v>
      </c>
      <c r="J362" s="163"/>
      <c r="K362" s="163"/>
      <c r="L362" s="163" t="s">
        <v>305</v>
      </c>
      <c r="M362" s="163"/>
      <c r="N362" s="163" t="s">
        <v>978</v>
      </c>
      <c r="O362" s="163"/>
      <c r="P362" s="163"/>
      <c r="Q362" s="163"/>
      <c r="R362" s="163" t="s">
        <v>1007</v>
      </c>
      <c r="S362" s="163" t="s">
        <v>982</v>
      </c>
      <c r="T362" s="43">
        <f t="shared" si="9"/>
        <v>11</v>
      </c>
      <c r="U362" s="167">
        <f t="shared" si="10"/>
        <v>45614</v>
      </c>
      <c r="V362" s="167"/>
      <c r="W362" s="43"/>
      <c r="X362" s="43"/>
      <c r="Y362" s="43"/>
      <c r="Z362" s="43"/>
      <c r="AA362" s="43"/>
      <c r="AB362" s="43"/>
    </row>
    <row r="363" spans="1:28" ht="14.25" hidden="1" customHeight="1">
      <c r="A363" s="163" t="s">
        <v>976</v>
      </c>
      <c r="B363" s="164">
        <v>45614</v>
      </c>
      <c r="C363" s="163" t="s">
        <v>1006</v>
      </c>
      <c r="D363" s="163" t="s">
        <v>281</v>
      </c>
      <c r="E363" s="163" t="s">
        <v>193</v>
      </c>
      <c r="F363" s="185">
        <v>-2371.7399999999998</v>
      </c>
      <c r="G363" s="165">
        <f t="shared" si="5"/>
        <v>22424.820000000022</v>
      </c>
      <c r="H363" s="163"/>
      <c r="I363" s="163" t="s">
        <v>342</v>
      </c>
      <c r="J363" s="163"/>
      <c r="K363" s="163"/>
      <c r="L363" s="163" t="s">
        <v>305</v>
      </c>
      <c r="M363" s="163"/>
      <c r="N363" s="163" t="s">
        <v>978</v>
      </c>
      <c r="O363" s="163"/>
      <c r="P363" s="163"/>
      <c r="Q363" s="163"/>
      <c r="R363" s="163" t="s">
        <v>1007</v>
      </c>
      <c r="S363" s="163" t="s">
        <v>982</v>
      </c>
      <c r="T363" s="43">
        <f t="shared" si="9"/>
        <v>11</v>
      </c>
      <c r="U363" s="167">
        <f t="shared" si="10"/>
        <v>45614</v>
      </c>
      <c r="V363" s="167"/>
      <c r="W363" s="43"/>
      <c r="X363" s="43"/>
      <c r="Y363" s="43"/>
      <c r="Z363" s="43"/>
      <c r="AA363" s="43"/>
      <c r="AB363" s="43"/>
    </row>
    <row r="364" spans="1:28" ht="14.25" hidden="1" customHeight="1">
      <c r="A364" s="163" t="s">
        <v>976</v>
      </c>
      <c r="B364" s="164">
        <v>45614</v>
      </c>
      <c r="C364" s="163" t="s">
        <v>1008</v>
      </c>
      <c r="D364" s="163" t="s">
        <v>281</v>
      </c>
      <c r="E364" s="163" t="s">
        <v>199</v>
      </c>
      <c r="F364" s="168">
        <v>-3000</v>
      </c>
      <c r="G364" s="165">
        <f t="shared" si="5"/>
        <v>19424.820000000022</v>
      </c>
      <c r="H364" s="163"/>
      <c r="I364" s="163" t="s">
        <v>977</v>
      </c>
      <c r="J364" s="163"/>
      <c r="K364" s="163"/>
      <c r="L364" s="163" t="s">
        <v>1009</v>
      </c>
      <c r="M364" s="163"/>
      <c r="N364" s="163" t="s">
        <v>978</v>
      </c>
      <c r="O364" s="163"/>
      <c r="P364" s="163"/>
      <c r="Q364" s="163"/>
      <c r="R364" s="163" t="s">
        <v>1008</v>
      </c>
      <c r="S364" s="163"/>
      <c r="T364" s="94">
        <f t="shared" si="9"/>
        <v>11</v>
      </c>
      <c r="U364" s="167">
        <f t="shared" si="10"/>
        <v>45614</v>
      </c>
      <c r="V364" s="43"/>
      <c r="W364" s="43"/>
      <c r="X364" s="43"/>
      <c r="Y364" s="43"/>
      <c r="Z364" s="43"/>
      <c r="AA364" s="43"/>
      <c r="AB364" s="43"/>
    </row>
    <row r="365" spans="1:28" ht="14.25" hidden="1" customHeight="1">
      <c r="A365" s="163" t="s">
        <v>976</v>
      </c>
      <c r="B365" s="164">
        <v>45614</v>
      </c>
      <c r="C365" s="163" t="s">
        <v>1010</v>
      </c>
      <c r="D365" s="163" t="s">
        <v>281</v>
      </c>
      <c r="E365" s="163" t="s">
        <v>199</v>
      </c>
      <c r="F365" s="168">
        <v>-2000</v>
      </c>
      <c r="G365" s="165">
        <f t="shared" si="5"/>
        <v>17424.820000000022</v>
      </c>
      <c r="H365" s="163"/>
      <c r="I365" s="163" t="s">
        <v>977</v>
      </c>
      <c r="J365" s="163"/>
      <c r="K365" s="163"/>
      <c r="L365" s="163" t="s">
        <v>1003</v>
      </c>
      <c r="M365" s="163"/>
      <c r="N365" s="163" t="s">
        <v>978</v>
      </c>
      <c r="O365" s="163"/>
      <c r="P365" s="163"/>
      <c r="Q365" s="163"/>
      <c r="R365" s="163" t="s">
        <v>1011</v>
      </c>
      <c r="S365" s="163" t="s">
        <v>1012</v>
      </c>
      <c r="T365" s="94">
        <f t="shared" si="9"/>
        <v>11</v>
      </c>
      <c r="U365" s="167">
        <f t="shared" si="10"/>
        <v>45614</v>
      </c>
      <c r="V365" s="43"/>
      <c r="W365" s="43"/>
      <c r="X365" s="43"/>
      <c r="Y365" s="43"/>
      <c r="Z365" s="43"/>
      <c r="AA365" s="43"/>
      <c r="AB365" s="43"/>
    </row>
    <row r="366" spans="1:28" ht="14.25" hidden="1" customHeight="1">
      <c r="A366" s="174" t="s">
        <v>976</v>
      </c>
      <c r="B366" s="175">
        <v>45614</v>
      </c>
      <c r="C366" s="174" t="s">
        <v>1013</v>
      </c>
      <c r="D366" s="174" t="s">
        <v>281</v>
      </c>
      <c r="E366" s="174" t="s">
        <v>199</v>
      </c>
      <c r="F366" s="176"/>
      <c r="G366" s="165">
        <f t="shared" si="5"/>
        <v>17424.820000000022</v>
      </c>
      <c r="H366" s="174"/>
      <c r="I366" s="174" t="s">
        <v>977</v>
      </c>
      <c r="J366" s="174"/>
      <c r="K366" s="174"/>
      <c r="L366" s="174" t="s">
        <v>1014</v>
      </c>
      <c r="M366" s="174"/>
      <c r="N366" s="174" t="s">
        <v>978</v>
      </c>
      <c r="O366" s="174"/>
      <c r="P366" s="174"/>
      <c r="Q366" s="174"/>
      <c r="R366" s="174" t="s">
        <v>1015</v>
      </c>
      <c r="S366" s="174" t="s">
        <v>1016</v>
      </c>
      <c r="T366" s="177">
        <f t="shared" si="9"/>
        <v>11</v>
      </c>
      <c r="U366" s="179">
        <f t="shared" si="10"/>
        <v>45614</v>
      </c>
      <c r="V366" s="179"/>
      <c r="W366" s="177"/>
      <c r="X366" s="177"/>
      <c r="Y366" s="177"/>
      <c r="Z366" s="177"/>
      <c r="AA366" s="177"/>
      <c r="AB366" s="177"/>
    </row>
    <row r="367" spans="1:28" ht="14.25" hidden="1" customHeight="1">
      <c r="A367" s="163" t="s">
        <v>279</v>
      </c>
      <c r="B367" s="164">
        <v>45614</v>
      </c>
      <c r="C367" s="163"/>
      <c r="D367" s="163" t="s">
        <v>281</v>
      </c>
      <c r="E367" s="163" t="s">
        <v>330</v>
      </c>
      <c r="F367" s="168">
        <f>-1.99-1.99-5</f>
        <v>-8.98</v>
      </c>
      <c r="G367" s="165">
        <f t="shared" si="5"/>
        <v>17415.840000000022</v>
      </c>
      <c r="H367" s="163"/>
      <c r="I367" s="163" t="s">
        <v>331</v>
      </c>
      <c r="J367" s="163" t="s">
        <v>960</v>
      </c>
      <c r="K367" s="163"/>
      <c r="L367" s="163"/>
      <c r="M367" s="163"/>
      <c r="N367" s="163" t="s">
        <v>333</v>
      </c>
      <c r="O367" s="163"/>
      <c r="P367" s="163" t="s">
        <v>957</v>
      </c>
      <c r="Q367" s="163"/>
      <c r="R367" s="163"/>
      <c r="S367" s="163"/>
      <c r="T367" s="43">
        <f t="shared" si="9"/>
        <v>11</v>
      </c>
      <c r="U367" s="167">
        <f t="shared" si="10"/>
        <v>45614</v>
      </c>
      <c r="V367" s="167"/>
      <c r="W367" s="43"/>
      <c r="X367" s="43"/>
      <c r="Y367" s="43"/>
      <c r="Z367" s="43"/>
      <c r="AA367" s="43"/>
      <c r="AB367" s="43"/>
    </row>
    <row r="368" spans="1:28" ht="14.25" hidden="1" customHeight="1">
      <c r="A368" s="163"/>
      <c r="B368" s="164">
        <v>45614</v>
      </c>
      <c r="C368" s="163" t="s">
        <v>346</v>
      </c>
      <c r="D368" s="163"/>
      <c r="E368" s="163"/>
      <c r="F368" s="165">
        <v>0</v>
      </c>
      <c r="G368" s="165">
        <f t="shared" si="5"/>
        <v>17415.840000000022</v>
      </c>
      <c r="H368" s="163"/>
      <c r="I368" s="163"/>
      <c r="J368" s="163"/>
      <c r="K368" s="163"/>
      <c r="L368" s="163"/>
      <c r="M368" s="163"/>
      <c r="N368" s="163"/>
      <c r="O368" s="163"/>
      <c r="P368" s="163"/>
      <c r="Q368" s="163"/>
      <c r="R368" s="163"/>
      <c r="S368" s="163"/>
      <c r="T368" s="43">
        <f t="shared" si="9"/>
        <v>11</v>
      </c>
      <c r="U368" s="167">
        <f t="shared" si="10"/>
        <v>45614</v>
      </c>
      <c r="V368" s="43"/>
      <c r="W368" s="43"/>
      <c r="X368" s="43"/>
      <c r="Y368" s="43"/>
      <c r="Z368" s="43"/>
      <c r="AA368" s="43"/>
      <c r="AB368" s="43"/>
    </row>
    <row r="369" spans="1:28" ht="14.25" hidden="1" customHeight="1">
      <c r="A369" s="163" t="s">
        <v>1017</v>
      </c>
      <c r="B369" s="164">
        <v>45615</v>
      </c>
      <c r="C369" s="163" t="s">
        <v>1018</v>
      </c>
      <c r="D369" s="163" t="s">
        <v>281</v>
      </c>
      <c r="E369" s="163" t="s">
        <v>407</v>
      </c>
      <c r="F369" s="165">
        <v>4199</v>
      </c>
      <c r="G369" s="165">
        <f t="shared" si="5"/>
        <v>21614.840000000022</v>
      </c>
      <c r="H369" s="163"/>
      <c r="I369" s="163" t="s">
        <v>283</v>
      </c>
      <c r="J369" s="163" t="s">
        <v>1019</v>
      </c>
      <c r="K369" s="163" t="s">
        <v>1020</v>
      </c>
      <c r="L369" s="163" t="s">
        <v>305</v>
      </c>
      <c r="M369" s="163" t="s">
        <v>1021</v>
      </c>
      <c r="N369" s="163" t="s">
        <v>966</v>
      </c>
      <c r="O369" s="163" t="s">
        <v>1022</v>
      </c>
      <c r="P369" s="163" t="s">
        <v>1023</v>
      </c>
      <c r="Q369" s="163"/>
      <c r="R369" s="163" t="s">
        <v>1024</v>
      </c>
      <c r="S369" s="163" t="s">
        <v>1025</v>
      </c>
      <c r="T369" s="43">
        <f t="shared" si="9"/>
        <v>11</v>
      </c>
      <c r="U369" s="167">
        <f t="shared" si="10"/>
        <v>45615</v>
      </c>
      <c r="V369" s="43"/>
      <c r="W369" s="43"/>
      <c r="X369" s="43"/>
      <c r="Y369" s="43"/>
      <c r="Z369" s="43"/>
      <c r="AA369" s="43"/>
      <c r="AB369" s="43" t="s">
        <v>1026</v>
      </c>
    </row>
    <row r="370" spans="1:28" ht="14.25" hidden="1" customHeight="1">
      <c r="A370" s="180" t="s">
        <v>279</v>
      </c>
      <c r="B370" s="181">
        <v>45615</v>
      </c>
      <c r="C370" s="180" t="s">
        <v>280</v>
      </c>
      <c r="D370" s="180" t="s">
        <v>281</v>
      </c>
      <c r="E370" s="180" t="s">
        <v>282</v>
      </c>
      <c r="F370" s="186">
        <v>7500</v>
      </c>
      <c r="G370" s="165">
        <f t="shared" si="5"/>
        <v>29114.840000000022</v>
      </c>
      <c r="H370" s="180"/>
      <c r="I370" s="180" t="s">
        <v>283</v>
      </c>
      <c r="J370" s="180" t="s">
        <v>918</v>
      </c>
      <c r="K370" s="180"/>
      <c r="L370" s="180"/>
      <c r="M370" s="180"/>
      <c r="N370" s="180" t="s">
        <v>285</v>
      </c>
      <c r="O370" s="180"/>
      <c r="P370" s="180"/>
      <c r="Q370" s="180"/>
      <c r="R370" s="180" t="s">
        <v>286</v>
      </c>
      <c r="S370" s="180" t="s">
        <v>287</v>
      </c>
      <c r="T370" s="183">
        <f t="shared" si="9"/>
        <v>11</v>
      </c>
      <c r="U370" s="187">
        <f t="shared" si="10"/>
        <v>45615</v>
      </c>
      <c r="V370" s="183"/>
      <c r="W370" s="183"/>
      <c r="X370" s="183"/>
      <c r="Y370" s="183"/>
      <c r="Z370" s="183"/>
      <c r="AA370" s="183"/>
      <c r="AB370" s="183"/>
    </row>
    <row r="371" spans="1:28" ht="14.25" hidden="1" customHeight="1">
      <c r="A371" s="180" t="s">
        <v>976</v>
      </c>
      <c r="B371" s="181">
        <v>45614</v>
      </c>
      <c r="C371" s="180" t="s">
        <v>1008</v>
      </c>
      <c r="D371" s="180" t="s">
        <v>281</v>
      </c>
      <c r="E371" s="180" t="s">
        <v>199</v>
      </c>
      <c r="F371" s="188">
        <v>3000</v>
      </c>
      <c r="G371" s="165">
        <f t="shared" si="5"/>
        <v>32114.840000000022</v>
      </c>
      <c r="H371" s="180"/>
      <c r="I371" s="180" t="s">
        <v>977</v>
      </c>
      <c r="J371" s="180"/>
      <c r="K371" s="180"/>
      <c r="L371" s="180" t="s">
        <v>1009</v>
      </c>
      <c r="M371" s="180"/>
      <c r="N371" s="180" t="s">
        <v>978</v>
      </c>
      <c r="O371" s="180"/>
      <c r="P371" s="180"/>
      <c r="Q371" s="180"/>
      <c r="R371" s="180" t="s">
        <v>1027</v>
      </c>
      <c r="S371" s="180"/>
      <c r="T371" s="189">
        <f t="shared" si="9"/>
        <v>11</v>
      </c>
      <c r="U371" s="184">
        <f t="shared" si="10"/>
        <v>45615</v>
      </c>
      <c r="V371" s="184">
        <v>45615</v>
      </c>
      <c r="W371" s="183"/>
      <c r="X371" s="183"/>
      <c r="Y371" s="183"/>
      <c r="Z371" s="183"/>
      <c r="AA371" s="183"/>
      <c r="AB371" s="183"/>
    </row>
    <row r="372" spans="1:28" ht="14.25" hidden="1" customHeight="1">
      <c r="A372" s="180" t="s">
        <v>976</v>
      </c>
      <c r="B372" s="181">
        <v>45615</v>
      </c>
      <c r="C372" s="180" t="s">
        <v>1028</v>
      </c>
      <c r="D372" s="180" t="s">
        <v>281</v>
      </c>
      <c r="E372" s="180" t="s">
        <v>1029</v>
      </c>
      <c r="F372" s="182">
        <v>-1500</v>
      </c>
      <c r="G372" s="165">
        <f t="shared" si="5"/>
        <v>30614.840000000022</v>
      </c>
      <c r="H372" s="180"/>
      <c r="I372" s="180" t="s">
        <v>342</v>
      </c>
      <c r="J372" s="180"/>
      <c r="K372" s="180"/>
      <c r="L372" s="180" t="s">
        <v>305</v>
      </c>
      <c r="M372" s="180"/>
      <c r="N372" s="180" t="s">
        <v>978</v>
      </c>
      <c r="O372" s="180"/>
      <c r="P372" s="180"/>
      <c r="Q372" s="180"/>
      <c r="R372" s="180"/>
      <c r="S372" s="180" t="s">
        <v>982</v>
      </c>
      <c r="T372" s="183">
        <f t="shared" si="9"/>
        <v>11</v>
      </c>
      <c r="U372" s="184">
        <f t="shared" si="10"/>
        <v>45615</v>
      </c>
      <c r="V372" s="183"/>
      <c r="W372" s="183"/>
      <c r="X372" s="183"/>
      <c r="Y372" s="183"/>
      <c r="Z372" s="183"/>
      <c r="AA372" s="183"/>
      <c r="AB372" s="183"/>
    </row>
    <row r="373" spans="1:28" ht="14.25" hidden="1" customHeight="1">
      <c r="A373" s="163" t="s">
        <v>1017</v>
      </c>
      <c r="B373" s="164">
        <v>45615</v>
      </c>
      <c r="C373" s="163" t="s">
        <v>351</v>
      </c>
      <c r="D373" s="163" t="s">
        <v>281</v>
      </c>
      <c r="E373" s="163" t="s">
        <v>122</v>
      </c>
      <c r="F373" s="168">
        <v>-10316.65</v>
      </c>
      <c r="G373" s="165">
        <f t="shared" si="5"/>
        <v>20298.190000000024</v>
      </c>
      <c r="H373" s="163"/>
      <c r="I373" s="163" t="s">
        <v>283</v>
      </c>
      <c r="J373" s="163"/>
      <c r="K373" s="163"/>
      <c r="L373" s="163" t="s">
        <v>1030</v>
      </c>
      <c r="M373" s="163"/>
      <c r="N373" s="163" t="s">
        <v>978</v>
      </c>
      <c r="O373" s="163"/>
      <c r="P373" s="163"/>
      <c r="Q373" s="163"/>
      <c r="R373" s="163" t="s">
        <v>353</v>
      </c>
      <c r="S373" s="163" t="s">
        <v>354</v>
      </c>
      <c r="T373" s="43">
        <f t="shared" si="9"/>
        <v>11</v>
      </c>
      <c r="U373" s="167">
        <f t="shared" si="10"/>
        <v>45615</v>
      </c>
      <c r="V373" s="43"/>
      <c r="W373" s="43"/>
      <c r="X373" s="43"/>
      <c r="Y373" s="43"/>
      <c r="Z373" s="43"/>
      <c r="AA373" s="43"/>
      <c r="AB373" s="43"/>
    </row>
    <row r="374" spans="1:28" ht="14.25" hidden="1" customHeight="1">
      <c r="A374" s="163" t="s">
        <v>1017</v>
      </c>
      <c r="B374" s="164">
        <v>45615</v>
      </c>
      <c r="C374" s="163" t="s">
        <v>95</v>
      </c>
      <c r="D374" s="163" t="s">
        <v>281</v>
      </c>
      <c r="E374" s="163" t="s">
        <v>1031</v>
      </c>
      <c r="F374" s="168">
        <v>-1240.44</v>
      </c>
      <c r="G374" s="165">
        <f t="shared" si="5"/>
        <v>19057.750000000025</v>
      </c>
      <c r="H374" s="163"/>
      <c r="I374" s="163" t="s">
        <v>994</v>
      </c>
      <c r="J374" s="163"/>
      <c r="K374" s="163"/>
      <c r="L374" s="163" t="s">
        <v>1030</v>
      </c>
      <c r="M374" s="163"/>
      <c r="N374" s="163" t="s">
        <v>978</v>
      </c>
      <c r="O374" s="163"/>
      <c r="P374" s="163"/>
      <c r="Q374" s="163"/>
      <c r="R374" s="163" t="s">
        <v>95</v>
      </c>
      <c r="S374" s="163" t="s">
        <v>440</v>
      </c>
      <c r="T374" s="43">
        <f t="shared" si="9"/>
        <v>11</v>
      </c>
      <c r="U374" s="167">
        <f t="shared" si="10"/>
        <v>45615</v>
      </c>
      <c r="V374" s="43"/>
      <c r="W374" s="43"/>
      <c r="X374" s="43"/>
      <c r="Y374" s="43"/>
      <c r="Z374" s="43"/>
      <c r="AA374" s="43"/>
      <c r="AB374" s="43"/>
    </row>
    <row r="375" spans="1:28" ht="14.25" hidden="1" customHeight="1">
      <c r="A375" s="163" t="s">
        <v>1017</v>
      </c>
      <c r="B375" s="164">
        <v>45615</v>
      </c>
      <c r="C375" s="163" t="s">
        <v>358</v>
      </c>
      <c r="D375" s="163" t="s">
        <v>281</v>
      </c>
      <c r="E375" s="163" t="s">
        <v>1031</v>
      </c>
      <c r="F375" s="168">
        <v>-1021.1</v>
      </c>
      <c r="G375" s="165">
        <f t="shared" si="5"/>
        <v>18036.650000000027</v>
      </c>
      <c r="H375" s="163"/>
      <c r="I375" s="163" t="s">
        <v>994</v>
      </c>
      <c r="J375" s="163"/>
      <c r="K375" s="163"/>
      <c r="L375" s="163" t="s">
        <v>1030</v>
      </c>
      <c r="M375" s="163"/>
      <c r="N375" s="163" t="s">
        <v>978</v>
      </c>
      <c r="O375" s="163"/>
      <c r="P375" s="163"/>
      <c r="Q375" s="163"/>
      <c r="R375" s="163" t="s">
        <v>358</v>
      </c>
      <c r="S375" s="163" t="s">
        <v>361</v>
      </c>
      <c r="T375" s="43">
        <f t="shared" si="9"/>
        <v>11</v>
      </c>
      <c r="U375" s="167">
        <f t="shared" si="10"/>
        <v>45615</v>
      </c>
      <c r="V375" s="43"/>
      <c r="W375" s="43"/>
      <c r="X375" s="43"/>
      <c r="Y375" s="43"/>
      <c r="Z375" s="43"/>
      <c r="AA375" s="43"/>
      <c r="AB375" s="43"/>
    </row>
    <row r="376" spans="1:28" ht="14.25" hidden="1" customHeight="1">
      <c r="A376" s="163" t="s">
        <v>1017</v>
      </c>
      <c r="B376" s="164">
        <v>45615</v>
      </c>
      <c r="C376" s="163" t="s">
        <v>457</v>
      </c>
      <c r="D376" s="163" t="s">
        <v>281</v>
      </c>
      <c r="E376" s="163" t="s">
        <v>1031</v>
      </c>
      <c r="F376" s="168">
        <v>-1021.1</v>
      </c>
      <c r="G376" s="165">
        <f t="shared" si="5"/>
        <v>17015.550000000028</v>
      </c>
      <c r="H376" s="163"/>
      <c r="I376" s="163" t="s">
        <v>994</v>
      </c>
      <c r="J376" s="163"/>
      <c r="K376" s="163"/>
      <c r="L376" s="163" t="s">
        <v>1030</v>
      </c>
      <c r="M376" s="163"/>
      <c r="N376" s="163" t="s">
        <v>978</v>
      </c>
      <c r="O376" s="163"/>
      <c r="P376" s="163"/>
      <c r="Q376" s="163"/>
      <c r="R376" s="163" t="s">
        <v>457</v>
      </c>
      <c r="S376" s="163" t="s">
        <v>459</v>
      </c>
      <c r="T376" s="43">
        <f t="shared" si="9"/>
        <v>11</v>
      </c>
      <c r="U376" s="167">
        <f t="shared" si="10"/>
        <v>45615</v>
      </c>
      <c r="V376" s="43"/>
      <c r="W376" s="43"/>
      <c r="X376" s="43"/>
      <c r="Y376" s="43"/>
      <c r="Z376" s="43"/>
      <c r="AA376" s="43"/>
      <c r="AB376" s="43"/>
    </row>
    <row r="377" spans="1:28" ht="14.25" hidden="1" customHeight="1">
      <c r="A377" s="163" t="s">
        <v>1017</v>
      </c>
      <c r="B377" s="164">
        <v>45615</v>
      </c>
      <c r="C377" s="163" t="s">
        <v>466</v>
      </c>
      <c r="D377" s="163" t="s">
        <v>281</v>
      </c>
      <c r="E377" s="163" t="s">
        <v>1031</v>
      </c>
      <c r="F377" s="168">
        <v>-1021.1</v>
      </c>
      <c r="G377" s="165">
        <f t="shared" si="5"/>
        <v>15994.450000000028</v>
      </c>
      <c r="H377" s="163"/>
      <c r="I377" s="163" t="s">
        <v>994</v>
      </c>
      <c r="J377" s="163"/>
      <c r="K377" s="163"/>
      <c r="L377" s="163" t="s">
        <v>1030</v>
      </c>
      <c r="M377" s="163"/>
      <c r="N377" s="163" t="s">
        <v>978</v>
      </c>
      <c r="O377" s="163"/>
      <c r="P377" s="163"/>
      <c r="Q377" s="163"/>
      <c r="R377" s="163" t="s">
        <v>466</v>
      </c>
      <c r="S377" s="163" t="s">
        <v>468</v>
      </c>
      <c r="T377" s="43">
        <f t="shared" si="9"/>
        <v>11</v>
      </c>
      <c r="U377" s="167">
        <f t="shared" si="10"/>
        <v>45615</v>
      </c>
      <c r="V377" s="43"/>
      <c r="W377" s="43"/>
      <c r="X377" s="43"/>
      <c r="Y377" s="43"/>
      <c r="Z377" s="43"/>
      <c r="AA377" s="43"/>
      <c r="AB377" s="43"/>
    </row>
    <row r="378" spans="1:28" hidden="1">
      <c r="A378" s="163" t="s">
        <v>1017</v>
      </c>
      <c r="B378" s="164">
        <v>45615</v>
      </c>
      <c r="C378" s="163" t="s">
        <v>451</v>
      </c>
      <c r="D378" s="163" t="s">
        <v>281</v>
      </c>
      <c r="E378" s="163" t="s">
        <v>1031</v>
      </c>
      <c r="F378" s="168">
        <v>-1021.1</v>
      </c>
      <c r="G378" s="165">
        <f t="shared" si="5"/>
        <v>14973.350000000028</v>
      </c>
      <c r="H378" s="163"/>
      <c r="I378" s="163" t="s">
        <v>994</v>
      </c>
      <c r="J378" s="163"/>
      <c r="K378" s="163"/>
      <c r="L378" s="163" t="s">
        <v>477</v>
      </c>
      <c r="M378" s="163"/>
      <c r="N378" s="163" t="s">
        <v>978</v>
      </c>
      <c r="O378" s="163"/>
      <c r="P378" s="163"/>
      <c r="Q378" s="163"/>
      <c r="R378" s="163" t="s">
        <v>451</v>
      </c>
      <c r="S378" s="163" t="s">
        <v>453</v>
      </c>
      <c r="T378" s="43">
        <f t="shared" si="9"/>
        <v>11</v>
      </c>
      <c r="U378" s="167">
        <f t="shared" si="10"/>
        <v>45615</v>
      </c>
      <c r="V378" s="43"/>
      <c r="W378" s="43"/>
      <c r="X378" s="43"/>
      <c r="Y378" s="43"/>
      <c r="Z378" s="43"/>
      <c r="AA378" s="43"/>
      <c r="AB378" s="43"/>
    </row>
    <row r="379" spans="1:28" ht="14.25" hidden="1" customHeight="1">
      <c r="A379" s="163" t="s">
        <v>1017</v>
      </c>
      <c r="B379" s="164">
        <v>45615</v>
      </c>
      <c r="C379" s="163" t="s">
        <v>111</v>
      </c>
      <c r="D379" s="163" t="s">
        <v>281</v>
      </c>
      <c r="E379" s="163" t="s">
        <v>1031</v>
      </c>
      <c r="F379" s="168">
        <v>-1600</v>
      </c>
      <c r="G379" s="165">
        <f t="shared" si="5"/>
        <v>13373.350000000028</v>
      </c>
      <c r="H379" s="163"/>
      <c r="I379" s="163" t="s">
        <v>283</v>
      </c>
      <c r="J379" s="163"/>
      <c r="K379" s="163"/>
      <c r="L379" s="163" t="s">
        <v>485</v>
      </c>
      <c r="M379" s="163"/>
      <c r="N379" s="163" t="s">
        <v>978</v>
      </c>
      <c r="O379" s="163"/>
      <c r="P379" s="163"/>
      <c r="Q379" s="163"/>
      <c r="R379" s="163" t="s">
        <v>111</v>
      </c>
      <c r="S379" s="163" t="s">
        <v>320</v>
      </c>
      <c r="T379" s="43">
        <f t="shared" si="9"/>
        <v>11</v>
      </c>
      <c r="U379" s="167">
        <f t="shared" si="10"/>
        <v>45615</v>
      </c>
      <c r="V379" s="43"/>
      <c r="W379" s="43"/>
      <c r="X379" s="43"/>
      <c r="Y379" s="43"/>
      <c r="Z379" s="43"/>
      <c r="AA379" s="43"/>
      <c r="AB379" s="43"/>
    </row>
    <row r="380" spans="1:28" ht="14.25" hidden="1" customHeight="1">
      <c r="A380" s="163" t="s">
        <v>1017</v>
      </c>
      <c r="B380" s="164">
        <v>45615</v>
      </c>
      <c r="C380" s="163" t="s">
        <v>93</v>
      </c>
      <c r="D380" s="163" t="s">
        <v>281</v>
      </c>
      <c r="E380" s="163" t="s">
        <v>1031</v>
      </c>
      <c r="F380" s="168">
        <v>-4800</v>
      </c>
      <c r="G380" s="165">
        <f t="shared" si="5"/>
        <v>8573.3500000000276</v>
      </c>
      <c r="H380" s="163"/>
      <c r="I380" s="163" t="s">
        <v>283</v>
      </c>
      <c r="J380" s="163"/>
      <c r="K380" s="163"/>
      <c r="L380" s="163" t="s">
        <v>508</v>
      </c>
      <c r="M380" s="163"/>
      <c r="N380" s="163" t="s">
        <v>978</v>
      </c>
      <c r="O380" s="163"/>
      <c r="P380" s="163"/>
      <c r="Q380" s="163"/>
      <c r="R380" s="163" t="s">
        <v>93</v>
      </c>
      <c r="S380" s="163" t="s">
        <v>540</v>
      </c>
      <c r="T380" s="43">
        <f t="shared" si="9"/>
        <v>11</v>
      </c>
      <c r="U380" s="167">
        <f t="shared" si="10"/>
        <v>45615</v>
      </c>
      <c r="V380" s="43"/>
      <c r="W380" s="43"/>
      <c r="X380" s="43"/>
      <c r="Y380" s="43"/>
      <c r="Z380" s="43"/>
      <c r="AA380" s="43"/>
      <c r="AB380" s="43"/>
    </row>
    <row r="381" spans="1:28" ht="14.25" hidden="1" customHeight="1">
      <c r="A381" s="163" t="s">
        <v>1017</v>
      </c>
      <c r="B381" s="164">
        <v>45615</v>
      </c>
      <c r="C381" s="163" t="s">
        <v>501</v>
      </c>
      <c r="D381" s="163" t="s">
        <v>281</v>
      </c>
      <c r="E381" s="163" t="s">
        <v>1031</v>
      </c>
      <c r="F381" s="168">
        <v>-813.52</v>
      </c>
      <c r="G381" s="165">
        <f t="shared" si="5"/>
        <v>7759.8300000000272</v>
      </c>
      <c r="H381" s="163"/>
      <c r="I381" s="163" t="s">
        <v>283</v>
      </c>
      <c r="J381" s="163"/>
      <c r="K381" s="163"/>
      <c r="L381" s="163" t="s">
        <v>508</v>
      </c>
      <c r="M381" s="163"/>
      <c r="N381" s="163" t="s">
        <v>978</v>
      </c>
      <c r="O381" s="163"/>
      <c r="P381" s="163"/>
      <c r="Q381" s="163"/>
      <c r="R381" s="163" t="s">
        <v>501</v>
      </c>
      <c r="S381" s="163" t="s">
        <v>503</v>
      </c>
      <c r="T381" s="43">
        <f t="shared" si="9"/>
        <v>11</v>
      </c>
      <c r="U381" s="167">
        <f t="shared" si="10"/>
        <v>45615</v>
      </c>
      <c r="V381" s="43"/>
      <c r="W381" s="43"/>
      <c r="X381" s="43"/>
      <c r="Y381" s="43"/>
      <c r="Z381" s="43"/>
      <c r="AA381" s="43"/>
      <c r="AB381" s="43"/>
    </row>
    <row r="382" spans="1:28" ht="14.25" hidden="1" customHeight="1">
      <c r="A382" s="163" t="s">
        <v>1017</v>
      </c>
      <c r="B382" s="164">
        <v>45615</v>
      </c>
      <c r="C382" s="163" t="s">
        <v>546</v>
      </c>
      <c r="D382" s="163" t="s">
        <v>281</v>
      </c>
      <c r="E382" s="163" t="s">
        <v>1031</v>
      </c>
      <c r="F382" s="168">
        <v>-1021.1</v>
      </c>
      <c r="G382" s="165">
        <f t="shared" si="5"/>
        <v>6738.7300000000268</v>
      </c>
      <c r="H382" s="163"/>
      <c r="I382" s="163" t="s">
        <v>283</v>
      </c>
      <c r="J382" s="163"/>
      <c r="K382" s="163"/>
      <c r="L382" s="163" t="s">
        <v>508</v>
      </c>
      <c r="M382" s="163"/>
      <c r="N382" s="163" t="s">
        <v>978</v>
      </c>
      <c r="O382" s="163"/>
      <c r="P382" s="163"/>
      <c r="Q382" s="163"/>
      <c r="R382" s="163" t="s">
        <v>546</v>
      </c>
      <c r="S382" s="163" t="s">
        <v>548</v>
      </c>
      <c r="T382" s="43">
        <f t="shared" si="9"/>
        <v>11</v>
      </c>
      <c r="U382" s="167">
        <f t="shared" si="10"/>
        <v>45615</v>
      </c>
      <c r="V382" s="43"/>
      <c r="W382" s="43"/>
      <c r="X382" s="43"/>
      <c r="Y382" s="43"/>
      <c r="Z382" s="43"/>
      <c r="AA382" s="43"/>
      <c r="AB382" s="43"/>
    </row>
    <row r="383" spans="1:28" ht="14.25" hidden="1" customHeight="1">
      <c r="A383" s="163" t="s">
        <v>1017</v>
      </c>
      <c r="B383" s="164">
        <v>45615</v>
      </c>
      <c r="C383" s="163" t="s">
        <v>484</v>
      </c>
      <c r="D383" s="163" t="s">
        <v>281</v>
      </c>
      <c r="E383" s="163" t="s">
        <v>1031</v>
      </c>
      <c r="F383" s="168">
        <v>-400</v>
      </c>
      <c r="G383" s="165">
        <f t="shared" si="5"/>
        <v>6338.7300000000268</v>
      </c>
      <c r="H383" s="163"/>
      <c r="I383" s="163" t="s">
        <v>283</v>
      </c>
      <c r="J383" s="163"/>
      <c r="K383" s="163"/>
      <c r="L383" s="163" t="s">
        <v>508</v>
      </c>
      <c r="M383" s="163"/>
      <c r="N383" s="163" t="s">
        <v>978</v>
      </c>
      <c r="O383" s="163"/>
      <c r="P383" s="163"/>
      <c r="Q383" s="163"/>
      <c r="R383" s="163" t="s">
        <v>484</v>
      </c>
      <c r="S383" s="163" t="s">
        <v>487</v>
      </c>
      <c r="T383" s="43">
        <f t="shared" si="9"/>
        <v>11</v>
      </c>
      <c r="U383" s="167">
        <f t="shared" si="10"/>
        <v>45615</v>
      </c>
      <c r="V383" s="43"/>
      <c r="W383" s="43"/>
      <c r="X383" s="43"/>
      <c r="Y383" s="43"/>
      <c r="Z383" s="43"/>
      <c r="AA383" s="43"/>
      <c r="AB383" s="43"/>
    </row>
    <row r="384" spans="1:28" ht="14.25" hidden="1" customHeight="1">
      <c r="A384" s="163" t="s">
        <v>1017</v>
      </c>
      <c r="B384" s="164">
        <v>45615</v>
      </c>
      <c r="C384" s="163" t="s">
        <v>491</v>
      </c>
      <c r="D384" s="163" t="s">
        <v>281</v>
      </c>
      <c r="E384" s="163" t="s">
        <v>1031</v>
      </c>
      <c r="F384" s="168">
        <v>-1200</v>
      </c>
      <c r="G384" s="165">
        <f t="shared" si="5"/>
        <v>5138.7300000000268</v>
      </c>
      <c r="H384" s="163"/>
      <c r="I384" s="163" t="s">
        <v>283</v>
      </c>
      <c r="J384" s="163"/>
      <c r="K384" s="163"/>
      <c r="L384" s="163" t="s">
        <v>508</v>
      </c>
      <c r="M384" s="163"/>
      <c r="N384" s="163" t="s">
        <v>978</v>
      </c>
      <c r="O384" s="163"/>
      <c r="P384" s="163"/>
      <c r="Q384" s="163"/>
      <c r="R384" s="163" t="s">
        <v>491</v>
      </c>
      <c r="S384" s="163" t="s">
        <v>493</v>
      </c>
      <c r="T384" s="43">
        <f t="shared" si="9"/>
        <v>11</v>
      </c>
      <c r="U384" s="167">
        <f t="shared" si="10"/>
        <v>45615</v>
      </c>
      <c r="V384" s="43"/>
      <c r="W384" s="43"/>
      <c r="X384" s="43"/>
      <c r="Y384" s="43"/>
      <c r="Z384" s="43"/>
      <c r="AA384" s="43"/>
      <c r="AB384" s="43"/>
    </row>
    <row r="385" spans="1:28" ht="14.25" hidden="1" customHeight="1">
      <c r="A385" s="163" t="s">
        <v>1017</v>
      </c>
      <c r="B385" s="164">
        <v>45615</v>
      </c>
      <c r="C385" s="163" t="s">
        <v>516</v>
      </c>
      <c r="D385" s="163" t="s">
        <v>281</v>
      </c>
      <c r="E385" s="163" t="s">
        <v>1031</v>
      </c>
      <c r="F385" s="168">
        <v>-400</v>
      </c>
      <c r="G385" s="165">
        <f t="shared" si="5"/>
        <v>4738.7300000000268</v>
      </c>
      <c r="H385" s="163"/>
      <c r="I385" s="163" t="s">
        <v>283</v>
      </c>
      <c r="J385" s="163"/>
      <c r="K385" s="163"/>
      <c r="L385" s="163" t="s">
        <v>508</v>
      </c>
      <c r="M385" s="163"/>
      <c r="N385" s="163" t="s">
        <v>978</v>
      </c>
      <c r="O385" s="163"/>
      <c r="P385" s="163"/>
      <c r="Q385" s="163"/>
      <c r="R385" s="163" t="s">
        <v>516</v>
      </c>
      <c r="S385" s="163" t="s">
        <v>518</v>
      </c>
      <c r="T385" s="43">
        <f t="shared" si="9"/>
        <v>11</v>
      </c>
      <c r="U385" s="167">
        <f t="shared" si="10"/>
        <v>45615</v>
      </c>
      <c r="V385" s="43"/>
      <c r="W385" s="43"/>
      <c r="X385" s="43"/>
      <c r="Y385" s="43"/>
      <c r="Z385" s="43"/>
      <c r="AA385" s="43"/>
      <c r="AB385" s="43"/>
    </row>
    <row r="386" spans="1:28" ht="14.25" hidden="1" customHeight="1">
      <c r="A386" s="163" t="s">
        <v>1017</v>
      </c>
      <c r="B386" s="164">
        <v>45615</v>
      </c>
      <c r="C386" s="163" t="s">
        <v>525</v>
      </c>
      <c r="D386" s="163" t="s">
        <v>281</v>
      </c>
      <c r="E386" s="163" t="s">
        <v>1031</v>
      </c>
      <c r="F386" s="168">
        <v>-700</v>
      </c>
      <c r="G386" s="165">
        <f t="shared" si="5"/>
        <v>4038.7300000000268</v>
      </c>
      <c r="H386" s="163"/>
      <c r="I386" s="163" t="s">
        <v>283</v>
      </c>
      <c r="J386" s="163"/>
      <c r="K386" s="163"/>
      <c r="L386" s="163" t="s">
        <v>508</v>
      </c>
      <c r="M386" s="163"/>
      <c r="N386" s="163" t="s">
        <v>978</v>
      </c>
      <c r="O386" s="163"/>
      <c r="P386" s="163"/>
      <c r="Q386" s="163"/>
      <c r="R386" s="163" t="s">
        <v>525</v>
      </c>
      <c r="S386" s="163" t="s">
        <v>527</v>
      </c>
      <c r="T386" s="43">
        <f t="shared" si="9"/>
        <v>11</v>
      </c>
      <c r="U386" s="166">
        <f t="shared" si="10"/>
        <v>45615</v>
      </c>
      <c r="V386" s="167"/>
      <c r="W386" s="43"/>
      <c r="X386" s="43"/>
      <c r="Y386" s="43"/>
      <c r="Z386" s="43"/>
      <c r="AA386" s="43"/>
      <c r="AB386" s="43"/>
    </row>
    <row r="387" spans="1:28" ht="14.25" hidden="1" customHeight="1">
      <c r="A387" s="180" t="s">
        <v>976</v>
      </c>
      <c r="B387" s="181">
        <v>45615</v>
      </c>
      <c r="C387" s="180" t="s">
        <v>1032</v>
      </c>
      <c r="D387" s="180" t="s">
        <v>281</v>
      </c>
      <c r="E387" s="180"/>
      <c r="F387" s="182">
        <f>-435.27-907.32-833.74</f>
        <v>-2176.33</v>
      </c>
      <c r="G387" s="165">
        <f t="shared" si="5"/>
        <v>1862.4000000000269</v>
      </c>
      <c r="H387" s="180"/>
      <c r="I387" s="180" t="s">
        <v>342</v>
      </c>
      <c r="J387" s="180"/>
      <c r="K387" s="180"/>
      <c r="L387" s="180" t="s">
        <v>305</v>
      </c>
      <c r="M387" s="180"/>
      <c r="N387" s="180" t="s">
        <v>978</v>
      </c>
      <c r="O387" s="180"/>
      <c r="P387" s="180"/>
      <c r="Q387" s="180"/>
      <c r="R387" s="180"/>
      <c r="S387" s="180" t="s">
        <v>982</v>
      </c>
      <c r="T387" s="183">
        <f t="shared" si="9"/>
        <v>11</v>
      </c>
      <c r="U387" s="184">
        <f t="shared" si="10"/>
        <v>45615</v>
      </c>
      <c r="V387" s="183"/>
      <c r="W387" s="183"/>
      <c r="X387" s="183"/>
      <c r="Y387" s="183"/>
      <c r="Z387" s="183"/>
      <c r="AA387" s="183"/>
      <c r="AB387" s="183"/>
    </row>
    <row r="388" spans="1:28" ht="14.25" hidden="1" customHeight="1">
      <c r="A388" s="180" t="s">
        <v>1017</v>
      </c>
      <c r="B388" s="181">
        <v>45615</v>
      </c>
      <c r="C388" s="180" t="s">
        <v>1033</v>
      </c>
      <c r="D388" s="180" t="s">
        <v>281</v>
      </c>
      <c r="E388" s="180" t="s">
        <v>120</v>
      </c>
      <c r="F388" s="182">
        <v>-146.58000000000001</v>
      </c>
      <c r="G388" s="165">
        <f t="shared" si="5"/>
        <v>1715.820000000027</v>
      </c>
      <c r="H388" s="180"/>
      <c r="I388" s="180" t="s">
        <v>342</v>
      </c>
      <c r="J388" s="180"/>
      <c r="K388" s="180"/>
      <c r="L388" s="180" t="s">
        <v>1034</v>
      </c>
      <c r="M388" s="180"/>
      <c r="N388" s="180" t="s">
        <v>978</v>
      </c>
      <c r="O388" s="180"/>
      <c r="P388" s="180"/>
      <c r="Q388" s="180"/>
      <c r="R388" s="180" t="s">
        <v>1035</v>
      </c>
      <c r="S388" s="180" t="s">
        <v>1036</v>
      </c>
      <c r="T388" s="183">
        <f t="shared" si="9"/>
        <v>11</v>
      </c>
      <c r="U388" s="184">
        <f t="shared" si="10"/>
        <v>45615</v>
      </c>
      <c r="V388" s="183"/>
      <c r="W388" s="183"/>
      <c r="X388" s="183"/>
      <c r="Y388" s="183"/>
      <c r="Z388" s="183"/>
      <c r="AA388" s="183"/>
      <c r="AB388" s="183"/>
    </row>
    <row r="389" spans="1:28" ht="14.25" hidden="1" customHeight="1">
      <c r="A389" s="180" t="s">
        <v>976</v>
      </c>
      <c r="B389" s="181">
        <v>45614</v>
      </c>
      <c r="C389" s="180" t="s">
        <v>919</v>
      </c>
      <c r="D389" s="180" t="s">
        <v>281</v>
      </c>
      <c r="E389" s="180" t="s">
        <v>129</v>
      </c>
      <c r="F389" s="182">
        <v>-1442.12</v>
      </c>
      <c r="G389" s="165">
        <f t="shared" si="5"/>
        <v>273.7000000000271</v>
      </c>
      <c r="H389" s="180"/>
      <c r="I389" s="180" t="s">
        <v>342</v>
      </c>
      <c r="J389" s="180"/>
      <c r="K389" s="180"/>
      <c r="L389" s="180" t="s">
        <v>686</v>
      </c>
      <c r="M389" s="180"/>
      <c r="N389" s="180" t="s">
        <v>978</v>
      </c>
      <c r="O389" s="180"/>
      <c r="P389" s="180"/>
      <c r="Q389" s="180"/>
      <c r="R389" s="180" t="s">
        <v>922</v>
      </c>
      <c r="S389" s="180" t="s">
        <v>923</v>
      </c>
      <c r="T389" s="183">
        <f t="shared" si="9"/>
        <v>11</v>
      </c>
      <c r="U389" s="184">
        <f t="shared" si="10"/>
        <v>45615</v>
      </c>
      <c r="V389" s="184">
        <v>45615</v>
      </c>
      <c r="W389" s="183"/>
      <c r="X389" s="183"/>
      <c r="Y389" s="183"/>
      <c r="Z389" s="183"/>
      <c r="AA389" s="183"/>
      <c r="AB389" s="183"/>
    </row>
    <row r="390" spans="1:28" ht="14.25" hidden="1" customHeight="1">
      <c r="A390" s="163" t="s">
        <v>279</v>
      </c>
      <c r="B390" s="164">
        <v>45615</v>
      </c>
      <c r="C390" s="163"/>
      <c r="D390" s="163" t="s">
        <v>281</v>
      </c>
      <c r="E390" s="163" t="s">
        <v>330</v>
      </c>
      <c r="F390" s="168">
        <v>-8</v>
      </c>
      <c r="G390" s="165">
        <f t="shared" si="5"/>
        <v>265.7000000000271</v>
      </c>
      <c r="H390" s="163"/>
      <c r="I390" s="163" t="s">
        <v>331</v>
      </c>
      <c r="J390" s="163" t="s">
        <v>960</v>
      </c>
      <c r="K390" s="163"/>
      <c r="L390" s="163"/>
      <c r="M390" s="163"/>
      <c r="N390" s="163" t="s">
        <v>333</v>
      </c>
      <c r="O390" s="163"/>
      <c r="P390" s="163" t="s">
        <v>957</v>
      </c>
      <c r="Q390" s="163"/>
      <c r="R390" s="163"/>
      <c r="S390" s="163"/>
      <c r="T390" s="43">
        <f t="shared" si="9"/>
        <v>11</v>
      </c>
      <c r="U390" s="167">
        <f t="shared" si="10"/>
        <v>45615</v>
      </c>
      <c r="V390" s="167"/>
      <c r="W390" s="43"/>
      <c r="X390" s="43"/>
      <c r="Y390" s="43"/>
      <c r="Z390" s="43"/>
      <c r="AA390" s="43"/>
      <c r="AB390" s="43"/>
    </row>
    <row r="391" spans="1:28" ht="14.25" hidden="1" customHeight="1">
      <c r="A391" s="163"/>
      <c r="B391" s="164">
        <v>45615</v>
      </c>
      <c r="C391" s="163" t="s">
        <v>346</v>
      </c>
      <c r="D391" s="163"/>
      <c r="E391" s="163"/>
      <c r="F391" s="165">
        <v>0</v>
      </c>
      <c r="G391" s="165">
        <f t="shared" si="5"/>
        <v>265.7000000000271</v>
      </c>
      <c r="H391" s="163"/>
      <c r="I391" s="163"/>
      <c r="J391" s="163"/>
      <c r="K391" s="163"/>
      <c r="L391" s="163"/>
      <c r="M391" s="163"/>
      <c r="N391" s="163"/>
      <c r="O391" s="163"/>
      <c r="P391" s="163"/>
      <c r="Q391" s="163"/>
      <c r="R391" s="163"/>
      <c r="S391" s="163"/>
      <c r="T391" s="43">
        <f t="shared" si="9"/>
        <v>11</v>
      </c>
      <c r="U391" s="167">
        <f t="shared" si="10"/>
        <v>45615</v>
      </c>
      <c r="V391" s="43"/>
      <c r="W391" s="43"/>
      <c r="X391" s="43"/>
      <c r="Y391" s="43"/>
      <c r="Z391" s="43"/>
      <c r="AA391" s="43"/>
      <c r="AB391" s="43"/>
    </row>
    <row r="392" spans="1:28" ht="14.25" hidden="1" customHeight="1">
      <c r="A392" s="163" t="s">
        <v>976</v>
      </c>
      <c r="B392" s="164">
        <v>45614</v>
      </c>
      <c r="C392" s="163" t="s">
        <v>1037</v>
      </c>
      <c r="D392" s="163" t="s">
        <v>281</v>
      </c>
      <c r="E392" s="163" t="s">
        <v>407</v>
      </c>
      <c r="F392" s="165"/>
      <c r="G392" s="165">
        <f t="shared" si="5"/>
        <v>265.7000000000271</v>
      </c>
      <c r="H392" s="163"/>
      <c r="I392" s="163" t="s">
        <v>283</v>
      </c>
      <c r="J392" s="163" t="s">
        <v>1038</v>
      </c>
      <c r="K392" s="163" t="s">
        <v>1039</v>
      </c>
      <c r="L392" s="163" t="s">
        <v>305</v>
      </c>
      <c r="M392" s="163" t="s">
        <v>1040</v>
      </c>
      <c r="N392" s="163" t="s">
        <v>966</v>
      </c>
      <c r="O392" s="163" t="s">
        <v>1041</v>
      </c>
      <c r="P392" s="163" t="s">
        <v>1042</v>
      </c>
      <c r="Q392" s="163"/>
      <c r="R392" s="163" t="s">
        <v>1043</v>
      </c>
      <c r="S392" s="163" t="s">
        <v>1044</v>
      </c>
      <c r="T392" s="43">
        <f t="shared" si="9"/>
        <v>11</v>
      </c>
      <c r="U392" s="167">
        <f t="shared" si="10"/>
        <v>45615</v>
      </c>
      <c r="V392" s="167">
        <v>45615</v>
      </c>
      <c r="W392" s="43"/>
      <c r="X392" s="43"/>
      <c r="Y392" s="43"/>
      <c r="Z392" s="43"/>
      <c r="AA392" s="43"/>
      <c r="AB392" s="43" t="s">
        <v>1045</v>
      </c>
    </row>
    <row r="393" spans="1:28" ht="14.25" hidden="1" customHeight="1">
      <c r="A393" s="180" t="s">
        <v>279</v>
      </c>
      <c r="B393" s="181">
        <v>45617</v>
      </c>
      <c r="C393" s="180" t="s">
        <v>280</v>
      </c>
      <c r="D393" s="180" t="s">
        <v>281</v>
      </c>
      <c r="E393" s="180" t="s">
        <v>282</v>
      </c>
      <c r="F393" s="186">
        <v>8000</v>
      </c>
      <c r="G393" s="165">
        <f t="shared" si="5"/>
        <v>8265.7000000000262</v>
      </c>
      <c r="H393" s="180"/>
      <c r="I393" s="180" t="s">
        <v>283</v>
      </c>
      <c r="J393" s="180" t="s">
        <v>918</v>
      </c>
      <c r="K393" s="180"/>
      <c r="L393" s="180"/>
      <c r="M393" s="180"/>
      <c r="N393" s="180" t="s">
        <v>285</v>
      </c>
      <c r="O393" s="180"/>
      <c r="P393" s="180"/>
      <c r="Q393" s="180"/>
      <c r="R393" s="180" t="s">
        <v>286</v>
      </c>
      <c r="S393" s="180" t="s">
        <v>287</v>
      </c>
      <c r="T393" s="183">
        <f t="shared" si="9"/>
        <v>11</v>
      </c>
      <c r="U393" s="187">
        <f t="shared" si="10"/>
        <v>45617</v>
      </c>
      <c r="V393" s="183"/>
      <c r="W393" s="183"/>
      <c r="X393" s="183"/>
      <c r="Y393" s="183"/>
      <c r="Z393" s="183"/>
      <c r="AA393" s="183"/>
      <c r="AB393" s="183"/>
    </row>
    <row r="394" spans="1:28" ht="14.25" hidden="1" customHeight="1">
      <c r="A394" s="163" t="s">
        <v>1046</v>
      </c>
      <c r="B394" s="164">
        <v>45617</v>
      </c>
      <c r="C394" s="190" t="s">
        <v>72</v>
      </c>
      <c r="D394" s="163" t="s">
        <v>281</v>
      </c>
      <c r="E394" s="163" t="s">
        <v>407</v>
      </c>
      <c r="F394" s="191">
        <v>2950</v>
      </c>
      <c r="G394" s="165">
        <f t="shared" si="5"/>
        <v>11215.700000000026</v>
      </c>
      <c r="H394" s="163"/>
      <c r="I394" s="163" t="s">
        <v>342</v>
      </c>
      <c r="J394" s="163" t="s">
        <v>1047</v>
      </c>
      <c r="K394" s="163" t="s">
        <v>1048</v>
      </c>
      <c r="L394" s="163" t="s">
        <v>305</v>
      </c>
      <c r="M394" s="163" t="s">
        <v>1049</v>
      </c>
      <c r="N394" s="163" t="s">
        <v>966</v>
      </c>
      <c r="O394" s="163" t="s">
        <v>1050</v>
      </c>
      <c r="P394" s="163" t="s">
        <v>1023</v>
      </c>
      <c r="Q394" s="163"/>
      <c r="R394" s="163" t="s">
        <v>1051</v>
      </c>
      <c r="S394" s="163" t="s">
        <v>1052</v>
      </c>
      <c r="T394" s="43">
        <f t="shared" si="9"/>
        <v>11</v>
      </c>
      <c r="U394" s="167">
        <f t="shared" si="10"/>
        <v>45617</v>
      </c>
      <c r="V394" s="43"/>
      <c r="W394" s="43"/>
      <c r="X394" s="43"/>
      <c r="Y394" s="43"/>
      <c r="Z394" s="43"/>
      <c r="AA394" s="43"/>
      <c r="AB394" s="43" t="s">
        <v>1053</v>
      </c>
    </row>
    <row r="395" spans="1:28" ht="14.25" hidden="1" customHeight="1">
      <c r="A395" s="163" t="s">
        <v>1046</v>
      </c>
      <c r="B395" s="164">
        <v>45617</v>
      </c>
      <c r="C395" s="190" t="s">
        <v>1054</v>
      </c>
      <c r="D395" s="163" t="s">
        <v>281</v>
      </c>
      <c r="E395" s="163" t="s">
        <v>407</v>
      </c>
      <c r="F395" s="191">
        <v>2600</v>
      </c>
      <c r="G395" s="165">
        <f t="shared" si="5"/>
        <v>13815.700000000026</v>
      </c>
      <c r="H395" s="163"/>
      <c r="I395" s="163" t="s">
        <v>342</v>
      </c>
      <c r="J395" s="163" t="s">
        <v>1055</v>
      </c>
      <c r="K395" s="163" t="s">
        <v>1056</v>
      </c>
      <c r="L395" s="163" t="s">
        <v>305</v>
      </c>
      <c r="M395" s="163" t="s">
        <v>1057</v>
      </c>
      <c r="N395" s="163" t="s">
        <v>966</v>
      </c>
      <c r="O395" s="163" t="s">
        <v>1058</v>
      </c>
      <c r="P395" s="163" t="s">
        <v>418</v>
      </c>
      <c r="Q395" s="163"/>
      <c r="R395" s="163" t="s">
        <v>1054</v>
      </c>
      <c r="S395" s="163" t="s">
        <v>1059</v>
      </c>
      <c r="T395" s="43">
        <f t="shared" si="9"/>
        <v>11</v>
      </c>
      <c r="U395" s="167">
        <f t="shared" si="10"/>
        <v>45617</v>
      </c>
      <c r="V395" s="43"/>
      <c r="W395" s="43"/>
      <c r="X395" s="43"/>
      <c r="Y395" s="43"/>
      <c r="Z395" s="43"/>
      <c r="AA395" s="43"/>
      <c r="AB395" s="43" t="s">
        <v>1060</v>
      </c>
    </row>
    <row r="396" spans="1:28" ht="14.25" hidden="1" customHeight="1">
      <c r="A396" s="163" t="s">
        <v>1017</v>
      </c>
      <c r="B396" s="164">
        <v>45617</v>
      </c>
      <c r="C396" s="190" t="s">
        <v>385</v>
      </c>
      <c r="D396" s="163" t="s">
        <v>281</v>
      </c>
      <c r="E396" s="163" t="s">
        <v>1061</v>
      </c>
      <c r="F396" s="169">
        <v>-5119.57</v>
      </c>
      <c r="G396" s="165">
        <f t="shared" si="5"/>
        <v>8696.1300000000265</v>
      </c>
      <c r="H396" s="163"/>
      <c r="I396" s="163" t="s">
        <v>342</v>
      </c>
      <c r="J396" s="163"/>
      <c r="K396" s="163"/>
      <c r="L396" s="163" t="s">
        <v>1062</v>
      </c>
      <c r="M396" s="163"/>
      <c r="N396" s="163" t="s">
        <v>978</v>
      </c>
      <c r="O396" s="163"/>
      <c r="P396" s="163"/>
      <c r="Q396" s="163"/>
      <c r="R396" s="163" t="s">
        <v>389</v>
      </c>
      <c r="S396" s="163" t="s">
        <v>390</v>
      </c>
      <c r="T396" s="43">
        <f t="shared" si="9"/>
        <v>11</v>
      </c>
      <c r="U396" s="167">
        <f t="shared" si="10"/>
        <v>45617</v>
      </c>
      <c r="V396" s="43"/>
      <c r="W396" s="43"/>
      <c r="X396" s="43"/>
      <c r="Y396" s="43"/>
      <c r="Z396" s="43"/>
      <c r="AA396" s="43"/>
      <c r="AB396" s="43"/>
    </row>
    <row r="397" spans="1:28" ht="14.25" hidden="1" customHeight="1">
      <c r="A397" s="163" t="s">
        <v>1017</v>
      </c>
      <c r="B397" s="164">
        <v>45617</v>
      </c>
      <c r="C397" s="163" t="s">
        <v>124</v>
      </c>
      <c r="D397" s="163" t="s">
        <v>281</v>
      </c>
      <c r="E397" s="163" t="s">
        <v>199</v>
      </c>
      <c r="F397" s="168">
        <v>-95</v>
      </c>
      <c r="G397" s="165">
        <f t="shared" si="5"/>
        <v>8601.1300000000265</v>
      </c>
      <c r="H397" s="163"/>
      <c r="I397" s="163" t="s">
        <v>977</v>
      </c>
      <c r="J397" s="163"/>
      <c r="K397" s="163"/>
      <c r="L397" s="163" t="s">
        <v>686</v>
      </c>
      <c r="M397" s="163"/>
      <c r="N397" s="163" t="s">
        <v>978</v>
      </c>
      <c r="O397" s="163"/>
      <c r="P397" s="163"/>
      <c r="Q397" s="163"/>
      <c r="R397" s="163" t="s">
        <v>124</v>
      </c>
      <c r="S397" s="163"/>
      <c r="T397" s="43">
        <f t="shared" si="9"/>
        <v>11</v>
      </c>
      <c r="U397" s="167">
        <f t="shared" si="10"/>
        <v>45617</v>
      </c>
      <c r="V397" s="43"/>
      <c r="W397" s="43"/>
      <c r="X397" s="43"/>
      <c r="Y397" s="43"/>
      <c r="Z397" s="43"/>
      <c r="AA397" s="43"/>
      <c r="AB397" s="43"/>
    </row>
    <row r="398" spans="1:28" ht="14.25" hidden="1" customHeight="1">
      <c r="A398" s="180" t="s">
        <v>1017</v>
      </c>
      <c r="B398" s="181">
        <v>45617</v>
      </c>
      <c r="C398" s="180" t="s">
        <v>124</v>
      </c>
      <c r="D398" s="180" t="s">
        <v>281</v>
      </c>
      <c r="E398" s="180" t="s">
        <v>199</v>
      </c>
      <c r="F398" s="182">
        <f>-75.91*3-57.27</f>
        <v>-285</v>
      </c>
      <c r="G398" s="165">
        <f t="shared" si="5"/>
        <v>8316.1300000000265</v>
      </c>
      <c r="H398" s="180"/>
      <c r="I398" s="180" t="s">
        <v>977</v>
      </c>
      <c r="J398" s="180"/>
      <c r="K398" s="180"/>
      <c r="L398" s="180" t="s">
        <v>686</v>
      </c>
      <c r="M398" s="180"/>
      <c r="N398" s="180" t="s">
        <v>978</v>
      </c>
      <c r="O398" s="180"/>
      <c r="P398" s="180"/>
      <c r="Q398" s="180"/>
      <c r="R398" s="180" t="s">
        <v>124</v>
      </c>
      <c r="S398" s="180"/>
      <c r="T398" s="183">
        <f t="shared" si="9"/>
        <v>11</v>
      </c>
      <c r="U398" s="184">
        <f t="shared" si="10"/>
        <v>45617</v>
      </c>
      <c r="V398" s="183"/>
      <c r="W398" s="183"/>
      <c r="X398" s="183"/>
      <c r="Y398" s="183"/>
      <c r="Z398" s="183"/>
      <c r="AA398" s="183"/>
      <c r="AB398" s="183"/>
    </row>
    <row r="399" spans="1:28" ht="14.25" hidden="1" customHeight="1">
      <c r="A399" s="180" t="s">
        <v>1017</v>
      </c>
      <c r="B399" s="181">
        <v>45617</v>
      </c>
      <c r="C399" s="180" t="s">
        <v>127</v>
      </c>
      <c r="D399" s="180" t="s">
        <v>281</v>
      </c>
      <c r="E399" s="180" t="s">
        <v>199</v>
      </c>
      <c r="F399" s="182">
        <v>-130</v>
      </c>
      <c r="G399" s="165">
        <f t="shared" si="5"/>
        <v>8186.1300000000265</v>
      </c>
      <c r="H399" s="180"/>
      <c r="I399" s="180" t="s">
        <v>977</v>
      </c>
      <c r="J399" s="180"/>
      <c r="K399" s="180"/>
      <c r="L399" s="180" t="s">
        <v>686</v>
      </c>
      <c r="M399" s="180"/>
      <c r="N399" s="180" t="s">
        <v>978</v>
      </c>
      <c r="O399" s="180"/>
      <c r="P399" s="180"/>
      <c r="Q399" s="180"/>
      <c r="R399" s="180" t="s">
        <v>127</v>
      </c>
      <c r="S399" s="180"/>
      <c r="T399" s="183">
        <f t="shared" si="9"/>
        <v>11</v>
      </c>
      <c r="U399" s="184">
        <f t="shared" si="10"/>
        <v>45617</v>
      </c>
      <c r="V399" s="183"/>
      <c r="W399" s="183"/>
      <c r="X399" s="183"/>
      <c r="Y399" s="183"/>
      <c r="Z399" s="183"/>
      <c r="AA399" s="183"/>
      <c r="AB399" s="183"/>
    </row>
    <row r="400" spans="1:28" ht="14.25" hidden="1" customHeight="1">
      <c r="A400" s="163" t="s">
        <v>1017</v>
      </c>
      <c r="B400" s="164">
        <v>45617</v>
      </c>
      <c r="C400" s="163" t="s">
        <v>1063</v>
      </c>
      <c r="D400" s="163" t="s">
        <v>281</v>
      </c>
      <c r="E400" s="163" t="s">
        <v>308</v>
      </c>
      <c r="F400" s="169">
        <v>-311.10000000000002</v>
      </c>
      <c r="G400" s="165">
        <f t="shared" si="5"/>
        <v>7875.0300000000261</v>
      </c>
      <c r="H400" s="163"/>
      <c r="I400" s="163" t="s">
        <v>342</v>
      </c>
      <c r="J400" s="163"/>
      <c r="K400" s="163"/>
      <c r="L400" s="163" t="s">
        <v>305</v>
      </c>
      <c r="M400" s="163"/>
      <c r="N400" s="163" t="s">
        <v>978</v>
      </c>
      <c r="O400" s="163"/>
      <c r="P400" s="163"/>
      <c r="Q400" s="163"/>
      <c r="R400" s="163" t="s">
        <v>1064</v>
      </c>
      <c r="S400" s="163" t="s">
        <v>1065</v>
      </c>
      <c r="T400" s="43">
        <f t="shared" si="9"/>
        <v>11</v>
      </c>
      <c r="U400" s="167">
        <f t="shared" si="10"/>
        <v>45617</v>
      </c>
      <c r="V400" s="43"/>
      <c r="W400" s="43"/>
      <c r="X400" s="43"/>
      <c r="Y400" s="43"/>
      <c r="Z400" s="43"/>
      <c r="AA400" s="43"/>
      <c r="AB400" s="43"/>
    </row>
    <row r="401" spans="1:28" ht="14.25" hidden="1" customHeight="1">
      <c r="A401" s="163" t="s">
        <v>1017</v>
      </c>
      <c r="B401" s="164">
        <v>45617</v>
      </c>
      <c r="C401" s="163" t="s">
        <v>1066</v>
      </c>
      <c r="D401" s="163" t="s">
        <v>281</v>
      </c>
      <c r="E401" s="163" t="s">
        <v>356</v>
      </c>
      <c r="F401" s="169">
        <v>-360</v>
      </c>
      <c r="G401" s="165">
        <f t="shared" si="5"/>
        <v>7515.0300000000261</v>
      </c>
      <c r="H401" s="163"/>
      <c r="I401" s="163" t="s">
        <v>283</v>
      </c>
      <c r="J401" s="163"/>
      <c r="K401" s="163"/>
      <c r="L401" s="163" t="s">
        <v>920</v>
      </c>
      <c r="M401" s="163"/>
      <c r="N401" s="163" t="s">
        <v>978</v>
      </c>
      <c r="O401" s="163"/>
      <c r="P401" s="163"/>
      <c r="Q401" s="163" t="s">
        <v>1067</v>
      </c>
      <c r="R401" s="163" t="s">
        <v>1068</v>
      </c>
      <c r="S401" s="163" t="s">
        <v>1069</v>
      </c>
      <c r="T401" s="43">
        <f t="shared" si="9"/>
        <v>11</v>
      </c>
      <c r="U401" s="167">
        <f t="shared" si="10"/>
        <v>45617</v>
      </c>
      <c r="V401" s="43"/>
      <c r="W401" s="43"/>
      <c r="X401" s="43"/>
      <c r="Y401" s="43"/>
      <c r="Z401" s="43"/>
      <c r="AA401" s="43"/>
      <c r="AB401" s="43"/>
    </row>
    <row r="402" spans="1:28" ht="14.25" hidden="1" customHeight="1">
      <c r="A402" s="163" t="s">
        <v>1017</v>
      </c>
      <c r="B402" s="164">
        <v>45617</v>
      </c>
      <c r="C402" s="163" t="s">
        <v>1070</v>
      </c>
      <c r="D402" s="163" t="s">
        <v>281</v>
      </c>
      <c r="E402" s="163" t="s">
        <v>356</v>
      </c>
      <c r="F402" s="168">
        <v>-88.35</v>
      </c>
      <c r="G402" s="165">
        <f t="shared" si="5"/>
        <v>7426.6800000000258</v>
      </c>
      <c r="H402" s="163"/>
      <c r="I402" s="163" t="s">
        <v>283</v>
      </c>
      <c r="J402" s="163"/>
      <c r="K402" s="163"/>
      <c r="L402" s="163" t="s">
        <v>920</v>
      </c>
      <c r="M402" s="163"/>
      <c r="N402" s="163" t="s">
        <v>978</v>
      </c>
      <c r="O402" s="163"/>
      <c r="P402" s="163"/>
      <c r="Q402" s="163" t="s">
        <v>1067</v>
      </c>
      <c r="R402" s="163" t="s">
        <v>1070</v>
      </c>
      <c r="S402" s="163" t="s">
        <v>1069</v>
      </c>
      <c r="T402" s="43">
        <f t="shared" si="9"/>
        <v>11</v>
      </c>
      <c r="U402" s="167">
        <f t="shared" si="10"/>
        <v>45617</v>
      </c>
      <c r="V402" s="43"/>
      <c r="W402" s="43"/>
      <c r="X402" s="43"/>
      <c r="Y402" s="43"/>
      <c r="Z402" s="43"/>
      <c r="AA402" s="43"/>
      <c r="AB402" s="43"/>
    </row>
    <row r="403" spans="1:28" ht="14.25" hidden="1" customHeight="1">
      <c r="A403" s="163" t="s">
        <v>1017</v>
      </c>
      <c r="B403" s="164">
        <v>45617</v>
      </c>
      <c r="C403" s="163" t="s">
        <v>1071</v>
      </c>
      <c r="D403" s="163" t="s">
        <v>281</v>
      </c>
      <c r="E403" s="163" t="s">
        <v>356</v>
      </c>
      <c r="F403" s="169">
        <v>-40</v>
      </c>
      <c r="G403" s="165">
        <f t="shared" si="5"/>
        <v>7386.6800000000258</v>
      </c>
      <c r="H403" s="163"/>
      <c r="I403" s="163" t="s">
        <v>283</v>
      </c>
      <c r="J403" s="163"/>
      <c r="K403" s="163"/>
      <c r="L403" s="163" t="s">
        <v>920</v>
      </c>
      <c r="M403" s="163"/>
      <c r="N403" s="163" t="s">
        <v>978</v>
      </c>
      <c r="O403" s="163"/>
      <c r="P403" s="163"/>
      <c r="Q403" s="163" t="s">
        <v>1067</v>
      </c>
      <c r="R403" s="163" t="s">
        <v>1070</v>
      </c>
      <c r="S403" s="163" t="s">
        <v>1069</v>
      </c>
      <c r="T403" s="43">
        <f t="shared" si="9"/>
        <v>11</v>
      </c>
      <c r="U403" s="167">
        <f t="shared" si="10"/>
        <v>45617</v>
      </c>
      <c r="V403" s="43"/>
      <c r="W403" s="43"/>
      <c r="X403" s="43"/>
      <c r="Y403" s="43"/>
      <c r="Z403" s="43"/>
      <c r="AA403" s="43"/>
      <c r="AB403" s="43"/>
    </row>
    <row r="404" spans="1:28" ht="14.25" hidden="1" customHeight="1">
      <c r="A404" s="163" t="s">
        <v>1017</v>
      </c>
      <c r="B404" s="164">
        <v>45617</v>
      </c>
      <c r="C404" s="163" t="s">
        <v>1072</v>
      </c>
      <c r="D404" s="163" t="s">
        <v>281</v>
      </c>
      <c r="E404" s="163" t="s">
        <v>308</v>
      </c>
      <c r="F404" s="168">
        <v>-450</v>
      </c>
      <c r="G404" s="165">
        <f t="shared" si="5"/>
        <v>6936.6800000000258</v>
      </c>
      <c r="H404" s="163"/>
      <c r="I404" s="163" t="s">
        <v>283</v>
      </c>
      <c r="J404" s="163"/>
      <c r="K404" s="163"/>
      <c r="L404" s="163" t="s">
        <v>920</v>
      </c>
      <c r="M404" s="163"/>
      <c r="N404" s="163" t="s">
        <v>978</v>
      </c>
      <c r="O404" s="163"/>
      <c r="P404" s="163"/>
      <c r="Q404" s="163" t="s">
        <v>1067</v>
      </c>
      <c r="R404" s="163" t="s">
        <v>1070</v>
      </c>
      <c r="S404" s="163" t="s">
        <v>1069</v>
      </c>
      <c r="T404" s="43">
        <f t="shared" si="9"/>
        <v>11</v>
      </c>
      <c r="U404" s="167">
        <f t="shared" si="10"/>
        <v>45617</v>
      </c>
      <c r="V404" s="43"/>
      <c r="W404" s="43"/>
      <c r="X404" s="43"/>
      <c r="Y404" s="43"/>
      <c r="Z404" s="43"/>
      <c r="AA404" s="43"/>
      <c r="AB404" s="43"/>
    </row>
    <row r="405" spans="1:28" ht="14.25" hidden="1" customHeight="1">
      <c r="A405" s="163" t="s">
        <v>1017</v>
      </c>
      <c r="B405" s="164">
        <v>45617</v>
      </c>
      <c r="C405" s="163" t="s">
        <v>1073</v>
      </c>
      <c r="D405" s="163" t="s">
        <v>281</v>
      </c>
      <c r="E405" s="163" t="s">
        <v>1074</v>
      </c>
      <c r="F405" s="169">
        <v>-579</v>
      </c>
      <c r="G405" s="165">
        <f t="shared" si="5"/>
        <v>6357.6800000000258</v>
      </c>
      <c r="H405" s="163"/>
      <c r="I405" s="163" t="s">
        <v>342</v>
      </c>
      <c r="J405" s="163"/>
      <c r="K405" s="163"/>
      <c r="L405" s="163" t="s">
        <v>1030</v>
      </c>
      <c r="M405" s="163"/>
      <c r="N405" s="163" t="s">
        <v>978</v>
      </c>
      <c r="O405" s="163"/>
      <c r="P405" s="163"/>
      <c r="Q405" s="163"/>
      <c r="R405" s="163" t="s">
        <v>1075</v>
      </c>
      <c r="S405" s="163" t="s">
        <v>1076</v>
      </c>
      <c r="T405" s="43">
        <f t="shared" si="9"/>
        <v>11</v>
      </c>
      <c r="U405" s="167">
        <f t="shared" si="10"/>
        <v>45617</v>
      </c>
      <c r="V405" s="43"/>
      <c r="W405" s="43"/>
      <c r="X405" s="43"/>
      <c r="Y405" s="43"/>
      <c r="Z405" s="43"/>
      <c r="AA405" s="43"/>
      <c r="AB405" s="43"/>
    </row>
    <row r="406" spans="1:28" ht="14.25" hidden="1" customHeight="1">
      <c r="A406" s="163" t="s">
        <v>1017</v>
      </c>
      <c r="B406" s="164">
        <v>45617</v>
      </c>
      <c r="C406" s="163"/>
      <c r="D406" s="163" t="s">
        <v>281</v>
      </c>
      <c r="E406" s="163" t="s">
        <v>1077</v>
      </c>
      <c r="F406" s="168">
        <f>-1.99*2-0.5-1</f>
        <v>-5.48</v>
      </c>
      <c r="G406" s="165">
        <f t="shared" si="5"/>
        <v>6352.2000000000262</v>
      </c>
      <c r="H406" s="163"/>
      <c r="I406" s="163" t="s">
        <v>342</v>
      </c>
      <c r="J406" s="163"/>
      <c r="K406" s="163"/>
      <c r="L406" s="163" t="s">
        <v>1030</v>
      </c>
      <c r="M406" s="163"/>
      <c r="N406" s="163" t="s">
        <v>978</v>
      </c>
      <c r="O406" s="163"/>
      <c r="P406" s="163"/>
      <c r="Q406" s="163"/>
      <c r="R406" s="163"/>
      <c r="S406" s="163" t="s">
        <v>1076</v>
      </c>
      <c r="T406" s="43">
        <f t="shared" si="9"/>
        <v>11</v>
      </c>
      <c r="U406" s="167">
        <f t="shared" si="10"/>
        <v>45617</v>
      </c>
      <c r="V406" s="43"/>
      <c r="W406" s="43"/>
      <c r="X406" s="43"/>
      <c r="Y406" s="43"/>
      <c r="Z406" s="43"/>
      <c r="AA406" s="43"/>
      <c r="AB406" s="43"/>
    </row>
    <row r="407" spans="1:28" ht="14.25" hidden="1" customHeight="1">
      <c r="A407" s="174" t="s">
        <v>1046</v>
      </c>
      <c r="B407" s="175">
        <v>45617</v>
      </c>
      <c r="C407" s="174" t="s">
        <v>1078</v>
      </c>
      <c r="D407" s="174" t="s">
        <v>281</v>
      </c>
      <c r="E407" s="174" t="s">
        <v>407</v>
      </c>
      <c r="F407" s="192"/>
      <c r="G407" s="165">
        <f t="shared" si="5"/>
        <v>6352.2000000000262</v>
      </c>
      <c r="H407" s="174"/>
      <c r="I407" s="174" t="s">
        <v>342</v>
      </c>
      <c r="J407" s="174" t="s">
        <v>1079</v>
      </c>
      <c r="K407" s="174" t="s">
        <v>1080</v>
      </c>
      <c r="L407" s="174" t="s">
        <v>305</v>
      </c>
      <c r="M407" s="174" t="s">
        <v>1081</v>
      </c>
      <c r="N407" s="174" t="s">
        <v>966</v>
      </c>
      <c r="O407" s="174" t="s">
        <v>1082</v>
      </c>
      <c r="P407" s="174" t="s">
        <v>1083</v>
      </c>
      <c r="Q407" s="174"/>
      <c r="R407" s="174" t="s">
        <v>1084</v>
      </c>
      <c r="S407" s="174" t="s">
        <v>1085</v>
      </c>
      <c r="T407" s="177">
        <f t="shared" si="9"/>
        <v>11</v>
      </c>
      <c r="U407" s="179">
        <f t="shared" si="10"/>
        <v>45617</v>
      </c>
      <c r="V407" s="177"/>
      <c r="W407" s="177"/>
      <c r="X407" s="177"/>
      <c r="Y407" s="177"/>
      <c r="Z407" s="177"/>
      <c r="AA407" s="177"/>
      <c r="AB407" s="177" t="s">
        <v>1086</v>
      </c>
    </row>
    <row r="408" spans="1:28" ht="14.25" hidden="1" customHeight="1">
      <c r="A408" s="180" t="s">
        <v>1017</v>
      </c>
      <c r="B408" s="181">
        <v>45617</v>
      </c>
      <c r="C408" s="180" t="s">
        <v>1087</v>
      </c>
      <c r="D408" s="180" t="s">
        <v>281</v>
      </c>
      <c r="E408" s="180" t="s">
        <v>1088</v>
      </c>
      <c r="F408" s="182">
        <v>-6000</v>
      </c>
      <c r="G408" s="165">
        <f t="shared" si="5"/>
        <v>352.20000000002619</v>
      </c>
      <c r="H408" s="180"/>
      <c r="I408" s="180" t="s">
        <v>283</v>
      </c>
      <c r="J408" s="180"/>
      <c r="K408" s="180"/>
      <c r="L408" s="180" t="s">
        <v>305</v>
      </c>
      <c r="M408" s="180"/>
      <c r="N408" s="180" t="s">
        <v>978</v>
      </c>
      <c r="O408" s="180"/>
      <c r="P408" s="180"/>
      <c r="Q408" s="180" t="s">
        <v>1067</v>
      </c>
      <c r="R408" s="180" t="s">
        <v>1087</v>
      </c>
      <c r="S408" s="180" t="s">
        <v>1089</v>
      </c>
      <c r="T408" s="183">
        <f t="shared" si="9"/>
        <v>11</v>
      </c>
      <c r="U408" s="184">
        <f t="shared" si="10"/>
        <v>45617</v>
      </c>
      <c r="V408" s="183"/>
      <c r="W408" s="183"/>
      <c r="X408" s="183"/>
      <c r="Y408" s="183"/>
      <c r="Z408" s="183"/>
      <c r="AA408" s="183"/>
      <c r="AB408" s="183"/>
    </row>
    <row r="409" spans="1:28" ht="14.25" hidden="1" customHeight="1">
      <c r="A409" s="163" t="s">
        <v>976</v>
      </c>
      <c r="B409" s="181">
        <v>45617</v>
      </c>
      <c r="C409" s="163" t="s">
        <v>1013</v>
      </c>
      <c r="D409" s="163" t="s">
        <v>281</v>
      </c>
      <c r="E409" s="163" t="s">
        <v>199</v>
      </c>
      <c r="F409" s="168">
        <v>-100</v>
      </c>
      <c r="G409" s="165">
        <f t="shared" si="5"/>
        <v>252.20000000002619</v>
      </c>
      <c r="H409" s="163"/>
      <c r="I409" s="163" t="s">
        <v>977</v>
      </c>
      <c r="J409" s="163"/>
      <c r="K409" s="163"/>
      <c r="L409" s="163" t="s">
        <v>1014</v>
      </c>
      <c r="M409" s="163"/>
      <c r="N409" s="163" t="s">
        <v>978</v>
      </c>
      <c r="O409" s="163"/>
      <c r="P409" s="163"/>
      <c r="Q409" s="163"/>
      <c r="R409" s="163" t="s">
        <v>1015</v>
      </c>
      <c r="S409" s="163" t="s">
        <v>1016</v>
      </c>
      <c r="T409" s="43">
        <f t="shared" si="9"/>
        <v>11</v>
      </c>
      <c r="U409" s="167">
        <f t="shared" si="10"/>
        <v>45617</v>
      </c>
      <c r="V409" s="167"/>
      <c r="W409" s="43"/>
      <c r="X409" s="43"/>
      <c r="Y409" s="43"/>
      <c r="Z409" s="43"/>
      <c r="AA409" s="43"/>
      <c r="AB409" s="43"/>
    </row>
    <row r="410" spans="1:28" ht="14.25" hidden="1" customHeight="1">
      <c r="A410" s="163"/>
      <c r="B410" s="164">
        <v>45617</v>
      </c>
      <c r="C410" s="163" t="s">
        <v>346</v>
      </c>
      <c r="D410" s="163"/>
      <c r="E410" s="163"/>
      <c r="F410" s="165">
        <v>0</v>
      </c>
      <c r="G410" s="165">
        <f t="shared" si="5"/>
        <v>252.20000000002619</v>
      </c>
      <c r="H410" s="163"/>
      <c r="I410" s="163"/>
      <c r="J410" s="163"/>
      <c r="K410" s="163"/>
      <c r="L410" s="163"/>
      <c r="M410" s="163"/>
      <c r="N410" s="163"/>
      <c r="O410" s="163"/>
      <c r="P410" s="163"/>
      <c r="Q410" s="163"/>
      <c r="R410" s="163"/>
      <c r="S410" s="163"/>
      <c r="T410" s="43">
        <f t="shared" si="9"/>
        <v>11</v>
      </c>
      <c r="U410" s="167">
        <f t="shared" si="10"/>
        <v>45617</v>
      </c>
      <c r="V410" s="43"/>
      <c r="W410" s="43"/>
      <c r="X410" s="43"/>
      <c r="Y410" s="43"/>
      <c r="Z410" s="43"/>
      <c r="AA410" s="43"/>
      <c r="AB410" s="43"/>
    </row>
    <row r="411" spans="1:28" ht="14.25" hidden="1" customHeight="1">
      <c r="A411" s="180" t="s">
        <v>279</v>
      </c>
      <c r="B411" s="181">
        <v>45618</v>
      </c>
      <c r="C411" s="180" t="s">
        <v>280</v>
      </c>
      <c r="D411" s="180" t="s">
        <v>281</v>
      </c>
      <c r="E411" s="180" t="s">
        <v>282</v>
      </c>
      <c r="F411" s="186">
        <v>9000</v>
      </c>
      <c r="G411" s="165">
        <f t="shared" si="5"/>
        <v>9252.2000000000262</v>
      </c>
      <c r="H411" s="180"/>
      <c r="I411" s="180" t="s">
        <v>283</v>
      </c>
      <c r="J411" s="180" t="s">
        <v>918</v>
      </c>
      <c r="K411" s="180"/>
      <c r="L411" s="180"/>
      <c r="M411" s="180"/>
      <c r="N411" s="180" t="s">
        <v>285</v>
      </c>
      <c r="O411" s="180"/>
      <c r="P411" s="180"/>
      <c r="Q411" s="180"/>
      <c r="R411" s="180" t="s">
        <v>286</v>
      </c>
      <c r="S411" s="180" t="s">
        <v>287</v>
      </c>
      <c r="T411" s="183">
        <f t="shared" si="9"/>
        <v>11</v>
      </c>
      <c r="U411" s="187">
        <f t="shared" si="10"/>
        <v>45618</v>
      </c>
      <c r="V411" s="183"/>
      <c r="W411" s="183"/>
      <c r="X411" s="183"/>
      <c r="Y411" s="183"/>
      <c r="Z411" s="183"/>
      <c r="AA411" s="183"/>
      <c r="AB411" s="183"/>
    </row>
    <row r="412" spans="1:28" ht="14.25" hidden="1" customHeight="1">
      <c r="A412" s="163" t="s">
        <v>1046</v>
      </c>
      <c r="B412" s="181">
        <v>45618</v>
      </c>
      <c r="C412" s="163" t="s">
        <v>1090</v>
      </c>
      <c r="D412" s="163" t="s">
        <v>281</v>
      </c>
      <c r="E412" s="163" t="s">
        <v>407</v>
      </c>
      <c r="F412" s="165">
        <v>2199</v>
      </c>
      <c r="G412" s="165">
        <f t="shared" si="5"/>
        <v>11451.200000000026</v>
      </c>
      <c r="H412" s="163"/>
      <c r="I412" s="163" t="s">
        <v>342</v>
      </c>
      <c r="J412" s="163" t="s">
        <v>1091</v>
      </c>
      <c r="K412" s="163" t="s">
        <v>1092</v>
      </c>
      <c r="L412" s="163" t="s">
        <v>305</v>
      </c>
      <c r="M412" s="163" t="s">
        <v>1093</v>
      </c>
      <c r="N412" s="163" t="s">
        <v>966</v>
      </c>
      <c r="O412" s="163" t="s">
        <v>1094</v>
      </c>
      <c r="P412" s="163" t="s">
        <v>1083</v>
      </c>
      <c r="Q412" s="163"/>
      <c r="R412" s="163" t="s">
        <v>1095</v>
      </c>
      <c r="S412" s="163" t="s">
        <v>1096</v>
      </c>
      <c r="T412" s="43">
        <f t="shared" si="9"/>
        <v>11</v>
      </c>
      <c r="U412" s="167">
        <f t="shared" si="10"/>
        <v>45618</v>
      </c>
      <c r="V412" s="43"/>
      <c r="W412" s="43"/>
      <c r="X412" s="43"/>
      <c r="Y412" s="43"/>
      <c r="Z412" s="43"/>
      <c r="AA412" s="43"/>
      <c r="AB412" s="43" t="s">
        <v>1097</v>
      </c>
    </row>
    <row r="413" spans="1:28" ht="14.25" hidden="1" customHeight="1">
      <c r="A413" s="163" t="s">
        <v>1017</v>
      </c>
      <c r="B413" s="164">
        <v>45618</v>
      </c>
      <c r="C413" s="163" t="s">
        <v>1098</v>
      </c>
      <c r="D413" s="163" t="s">
        <v>281</v>
      </c>
      <c r="E413" s="163" t="s">
        <v>199</v>
      </c>
      <c r="F413" s="168">
        <v>-552</v>
      </c>
      <c r="G413" s="165">
        <f t="shared" si="5"/>
        <v>10899.200000000026</v>
      </c>
      <c r="H413" s="163"/>
      <c r="I413" s="163" t="s">
        <v>342</v>
      </c>
      <c r="J413" s="163"/>
      <c r="K413" s="163"/>
      <c r="L413" s="163" t="s">
        <v>766</v>
      </c>
      <c r="M413" s="163"/>
      <c r="N413" s="163" t="s">
        <v>978</v>
      </c>
      <c r="O413" s="163"/>
      <c r="P413" s="163"/>
      <c r="Q413" s="163"/>
      <c r="R413" s="163" t="s">
        <v>1099</v>
      </c>
      <c r="S413" s="163" t="s">
        <v>1100</v>
      </c>
      <c r="T413" s="43">
        <f t="shared" si="9"/>
        <v>11</v>
      </c>
      <c r="U413" s="167">
        <f t="shared" si="10"/>
        <v>45618</v>
      </c>
      <c r="V413" s="166"/>
      <c r="W413" s="43"/>
      <c r="X413" s="43"/>
      <c r="Y413" s="43"/>
      <c r="Z413" s="43"/>
      <c r="AA413" s="43"/>
      <c r="AB413" s="43"/>
    </row>
    <row r="414" spans="1:28" ht="14.25" hidden="1" customHeight="1">
      <c r="A414" s="163" t="s">
        <v>1017</v>
      </c>
      <c r="B414" s="164">
        <v>45618</v>
      </c>
      <c r="C414" s="163" t="s">
        <v>1010</v>
      </c>
      <c r="D414" s="163" t="s">
        <v>281</v>
      </c>
      <c r="E414" s="163" t="s">
        <v>199</v>
      </c>
      <c r="F414" s="168">
        <v>-2000</v>
      </c>
      <c r="G414" s="165">
        <f t="shared" si="5"/>
        <v>8899.2000000000262</v>
      </c>
      <c r="H414" s="163"/>
      <c r="I414" s="163" t="s">
        <v>977</v>
      </c>
      <c r="J414" s="163"/>
      <c r="K414" s="163"/>
      <c r="L414" s="163" t="s">
        <v>1009</v>
      </c>
      <c r="M414" s="163"/>
      <c r="N414" s="163" t="s">
        <v>978</v>
      </c>
      <c r="O414" s="163"/>
      <c r="P414" s="163"/>
      <c r="Q414" s="163"/>
      <c r="R414" s="163" t="s">
        <v>1011</v>
      </c>
      <c r="S414" s="163" t="s">
        <v>1012</v>
      </c>
      <c r="T414" s="43">
        <f t="shared" si="9"/>
        <v>11</v>
      </c>
      <c r="U414" s="167">
        <f t="shared" si="10"/>
        <v>45618</v>
      </c>
      <c r="V414" s="43"/>
      <c r="W414" s="43"/>
      <c r="X414" s="43"/>
      <c r="Y414" s="43"/>
      <c r="Z414" s="43"/>
      <c r="AA414" s="43"/>
      <c r="AB414" s="43"/>
    </row>
    <row r="415" spans="1:28" ht="14.25" hidden="1" customHeight="1">
      <c r="A415" s="163" t="s">
        <v>1017</v>
      </c>
      <c r="B415" s="164">
        <v>45618</v>
      </c>
      <c r="C415" s="163" t="s">
        <v>1101</v>
      </c>
      <c r="D415" s="163" t="s">
        <v>281</v>
      </c>
      <c r="E415" s="163" t="s">
        <v>356</v>
      </c>
      <c r="F415" s="168">
        <f>-8.25-7.27</f>
        <v>-15.52</v>
      </c>
      <c r="G415" s="165">
        <f t="shared" si="5"/>
        <v>8883.6800000000258</v>
      </c>
      <c r="H415" s="163"/>
      <c r="I415" s="163" t="s">
        <v>342</v>
      </c>
      <c r="J415" s="163"/>
      <c r="K415" s="163"/>
      <c r="L415" s="163" t="s">
        <v>305</v>
      </c>
      <c r="M415" s="163"/>
      <c r="N415" s="163" t="s">
        <v>978</v>
      </c>
      <c r="O415" s="163"/>
      <c r="P415" s="163"/>
      <c r="Q415" s="163"/>
      <c r="R415" s="163"/>
      <c r="S415" s="163" t="s">
        <v>942</v>
      </c>
      <c r="T415" s="43">
        <f t="shared" si="9"/>
        <v>11</v>
      </c>
      <c r="U415" s="167">
        <f t="shared" si="10"/>
        <v>45618</v>
      </c>
      <c r="V415" s="166"/>
      <c r="W415" s="43"/>
      <c r="X415" s="43"/>
      <c r="Y415" s="43"/>
      <c r="Z415" s="43"/>
      <c r="AA415" s="43"/>
      <c r="AB415" s="43"/>
    </row>
    <row r="416" spans="1:28" ht="14.25" hidden="1" customHeight="1">
      <c r="A416" s="163" t="s">
        <v>1017</v>
      </c>
      <c r="B416" s="164">
        <v>45618</v>
      </c>
      <c r="C416" s="163"/>
      <c r="D416" s="163" t="s">
        <v>281</v>
      </c>
      <c r="E416" s="163" t="s">
        <v>1077</v>
      </c>
      <c r="F416" s="168">
        <f>-3-1.99+0.29</f>
        <v>-4.7</v>
      </c>
      <c r="G416" s="165">
        <f t="shared" si="5"/>
        <v>8878.980000000025</v>
      </c>
      <c r="H416" s="163"/>
      <c r="I416" s="163" t="s">
        <v>342</v>
      </c>
      <c r="J416" s="163"/>
      <c r="K416" s="163"/>
      <c r="L416" s="163" t="s">
        <v>1030</v>
      </c>
      <c r="M416" s="163"/>
      <c r="N416" s="163" t="s">
        <v>978</v>
      </c>
      <c r="O416" s="163"/>
      <c r="P416" s="163"/>
      <c r="Q416" s="163"/>
      <c r="R416" s="163"/>
      <c r="S416" s="163" t="s">
        <v>1076</v>
      </c>
      <c r="T416" s="43">
        <f t="shared" si="9"/>
        <v>11</v>
      </c>
      <c r="U416" s="167">
        <f t="shared" si="10"/>
        <v>45618</v>
      </c>
      <c r="V416" s="43"/>
      <c r="W416" s="43"/>
      <c r="X416" s="43"/>
      <c r="Y416" s="43"/>
      <c r="Z416" s="43"/>
      <c r="AA416" s="43"/>
      <c r="AB416" s="43"/>
    </row>
    <row r="417" spans="1:28" ht="14.25" hidden="1" customHeight="1">
      <c r="A417" s="163" t="s">
        <v>1017</v>
      </c>
      <c r="B417" s="164">
        <v>45618</v>
      </c>
      <c r="C417" s="163" t="s">
        <v>1102</v>
      </c>
      <c r="D417" s="163" t="s">
        <v>281</v>
      </c>
      <c r="E417" s="163" t="s">
        <v>356</v>
      </c>
      <c r="F417" s="168">
        <v>-150</v>
      </c>
      <c r="G417" s="165">
        <f t="shared" si="5"/>
        <v>8728.980000000025</v>
      </c>
      <c r="H417" s="163"/>
      <c r="I417" s="163" t="s">
        <v>283</v>
      </c>
      <c r="J417" s="163"/>
      <c r="K417" s="163"/>
      <c r="L417" s="163" t="s">
        <v>305</v>
      </c>
      <c r="M417" s="163"/>
      <c r="N417" s="163" t="s">
        <v>978</v>
      </c>
      <c r="O417" s="163"/>
      <c r="P417" s="163"/>
      <c r="Q417" s="163" t="s">
        <v>1067</v>
      </c>
      <c r="R417" s="163" t="s">
        <v>87</v>
      </c>
      <c r="S417" s="163" t="s">
        <v>325</v>
      </c>
      <c r="T417" s="43">
        <f t="shared" si="9"/>
        <v>11</v>
      </c>
      <c r="U417" s="166">
        <f t="shared" si="10"/>
        <v>45618</v>
      </c>
      <c r="V417" s="43"/>
      <c r="W417" s="43"/>
      <c r="X417" s="43"/>
      <c r="Y417" s="43"/>
      <c r="Z417" s="43"/>
      <c r="AA417" s="43"/>
      <c r="AB417" s="43"/>
    </row>
    <row r="418" spans="1:28" ht="14.25" hidden="1" customHeight="1">
      <c r="A418" s="163" t="s">
        <v>1017</v>
      </c>
      <c r="B418" s="164">
        <v>45618</v>
      </c>
      <c r="C418" s="163" t="s">
        <v>1103</v>
      </c>
      <c r="D418" s="163" t="s">
        <v>281</v>
      </c>
      <c r="E418" s="163" t="s">
        <v>356</v>
      </c>
      <c r="F418" s="168">
        <v>-717</v>
      </c>
      <c r="G418" s="165">
        <f t="shared" si="5"/>
        <v>8011.980000000025</v>
      </c>
      <c r="H418" s="163"/>
      <c r="I418" s="163" t="s">
        <v>283</v>
      </c>
      <c r="J418" s="163"/>
      <c r="K418" s="163"/>
      <c r="L418" s="163" t="s">
        <v>920</v>
      </c>
      <c r="M418" s="163"/>
      <c r="N418" s="163" t="s">
        <v>978</v>
      </c>
      <c r="O418" s="163"/>
      <c r="P418" s="163"/>
      <c r="Q418" s="163" t="s">
        <v>1067</v>
      </c>
      <c r="R418" s="163" t="s">
        <v>1104</v>
      </c>
      <c r="S418" s="163" t="s">
        <v>1105</v>
      </c>
      <c r="T418" s="43">
        <f t="shared" si="9"/>
        <v>11</v>
      </c>
      <c r="U418" s="167">
        <f t="shared" si="10"/>
        <v>45618</v>
      </c>
      <c r="V418" s="43"/>
      <c r="W418" s="43"/>
      <c r="X418" s="43"/>
      <c r="Y418" s="43"/>
      <c r="Z418" s="43"/>
      <c r="AA418" s="43"/>
      <c r="AB418" s="43"/>
    </row>
    <row r="419" spans="1:28" ht="14.25" hidden="1" customHeight="1">
      <c r="A419" s="163" t="s">
        <v>961</v>
      </c>
      <c r="B419" s="164">
        <v>45618</v>
      </c>
      <c r="C419" s="163" t="s">
        <v>962</v>
      </c>
      <c r="D419" s="163" t="s">
        <v>281</v>
      </c>
      <c r="E419" s="163" t="s">
        <v>182</v>
      </c>
      <c r="F419" s="165">
        <v>-5500</v>
      </c>
      <c r="G419" s="165">
        <f t="shared" si="5"/>
        <v>2511.980000000025</v>
      </c>
      <c r="H419" s="163"/>
      <c r="I419" s="163" t="s">
        <v>342</v>
      </c>
      <c r="J419" s="163" t="s">
        <v>963</v>
      </c>
      <c r="K419" s="163" t="s">
        <v>964</v>
      </c>
      <c r="L419" s="163" t="s">
        <v>305</v>
      </c>
      <c r="M419" s="163" t="s">
        <v>965</v>
      </c>
      <c r="N419" s="163" t="s">
        <v>966</v>
      </c>
      <c r="O419" s="163" t="s">
        <v>967</v>
      </c>
      <c r="P419" s="163" t="s">
        <v>57</v>
      </c>
      <c r="Q419" s="163"/>
      <c r="R419" s="163" t="s">
        <v>962</v>
      </c>
      <c r="S419" s="163" t="s">
        <v>968</v>
      </c>
      <c r="T419" s="43">
        <f t="shared" si="9"/>
        <v>11</v>
      </c>
      <c r="U419" s="167">
        <f t="shared" si="10"/>
        <v>45618</v>
      </c>
      <c r="V419" s="167"/>
      <c r="W419" s="43"/>
      <c r="X419" s="43"/>
      <c r="Y419" s="43"/>
      <c r="Z419" s="43"/>
      <c r="AA419" s="43"/>
      <c r="AB419" s="43"/>
    </row>
    <row r="420" spans="1:28" ht="14.25" hidden="1" customHeight="1">
      <c r="A420" s="163" t="s">
        <v>1046</v>
      </c>
      <c r="B420" s="181">
        <v>45621</v>
      </c>
      <c r="C420" s="190" t="s">
        <v>1106</v>
      </c>
      <c r="D420" s="163" t="s">
        <v>281</v>
      </c>
      <c r="E420" s="163" t="s">
        <v>407</v>
      </c>
      <c r="F420" s="191">
        <v>1989.64</v>
      </c>
      <c r="G420" s="165">
        <f t="shared" si="5"/>
        <v>4501.6200000000254</v>
      </c>
      <c r="H420" s="163"/>
      <c r="I420" s="163" t="s">
        <v>342</v>
      </c>
      <c r="J420" s="163" t="s">
        <v>1107</v>
      </c>
      <c r="K420" s="163" t="s">
        <v>1108</v>
      </c>
      <c r="L420" s="163" t="s">
        <v>305</v>
      </c>
      <c r="M420" s="163" t="s">
        <v>1109</v>
      </c>
      <c r="N420" s="163" t="s">
        <v>966</v>
      </c>
      <c r="O420" s="163" t="s">
        <v>1110</v>
      </c>
      <c r="P420" s="163" t="s">
        <v>57</v>
      </c>
      <c r="Q420" s="163"/>
      <c r="R420" s="163" t="s">
        <v>1111</v>
      </c>
      <c r="S420" s="163" t="s">
        <v>1112</v>
      </c>
      <c r="T420" s="43">
        <f t="shared" si="9"/>
        <v>11</v>
      </c>
      <c r="U420" s="167">
        <f t="shared" si="10"/>
        <v>45621</v>
      </c>
      <c r="V420" s="167"/>
      <c r="W420" s="43"/>
      <c r="X420" s="43"/>
      <c r="Y420" s="43"/>
      <c r="Z420" s="43" t="s">
        <v>1113</v>
      </c>
      <c r="AA420" s="43"/>
      <c r="AB420" s="43" t="s">
        <v>1114</v>
      </c>
    </row>
    <row r="421" spans="1:28" ht="14.25" hidden="1" customHeight="1">
      <c r="A421" s="163" t="s">
        <v>1017</v>
      </c>
      <c r="B421" s="164">
        <v>45621</v>
      </c>
      <c r="C421" s="163" t="s">
        <v>1115</v>
      </c>
      <c r="D421" s="163" t="s">
        <v>281</v>
      </c>
      <c r="E421" s="163" t="s">
        <v>407</v>
      </c>
      <c r="F421" s="191">
        <v>4390</v>
      </c>
      <c r="G421" s="165">
        <f t="shared" si="5"/>
        <v>8891.6200000000244</v>
      </c>
      <c r="H421" s="163"/>
      <c r="I421" s="163" t="s">
        <v>283</v>
      </c>
      <c r="J421" s="163" t="s">
        <v>1116</v>
      </c>
      <c r="K421" s="163" t="s">
        <v>1117</v>
      </c>
      <c r="L421" s="163" t="s">
        <v>305</v>
      </c>
      <c r="M421" s="163" t="s">
        <v>1118</v>
      </c>
      <c r="N421" s="163" t="s">
        <v>966</v>
      </c>
      <c r="O421" s="163" t="s">
        <v>1119</v>
      </c>
      <c r="P421" s="163" t="s">
        <v>1023</v>
      </c>
      <c r="Q421" s="163"/>
      <c r="R421" s="163" t="s">
        <v>1120</v>
      </c>
      <c r="S421" s="163" t="s">
        <v>1121</v>
      </c>
      <c r="T421" s="43">
        <f t="shared" si="9"/>
        <v>11</v>
      </c>
      <c r="U421" s="166">
        <f t="shared" si="10"/>
        <v>45621</v>
      </c>
      <c r="V421" s="166"/>
      <c r="W421" s="43"/>
      <c r="X421" s="43"/>
      <c r="Y421" s="43"/>
      <c r="Z421" s="43" t="s">
        <v>1113</v>
      </c>
      <c r="AA421" s="43"/>
      <c r="AB421" s="43" t="s">
        <v>1122</v>
      </c>
    </row>
    <row r="422" spans="1:28" ht="14.25" hidden="1" customHeight="1">
      <c r="A422" s="163" t="s">
        <v>1046</v>
      </c>
      <c r="B422" s="164">
        <v>45621</v>
      </c>
      <c r="C422" s="163" t="s">
        <v>1123</v>
      </c>
      <c r="D422" s="163" t="s">
        <v>281</v>
      </c>
      <c r="E422" s="163" t="s">
        <v>407</v>
      </c>
      <c r="F422" s="191">
        <v>4300</v>
      </c>
      <c r="G422" s="165">
        <f t="shared" si="5"/>
        <v>13191.620000000024</v>
      </c>
      <c r="H422" s="163"/>
      <c r="I422" s="163" t="s">
        <v>342</v>
      </c>
      <c r="J422" s="163" t="s">
        <v>1124</v>
      </c>
      <c r="K422" s="163" t="s">
        <v>1125</v>
      </c>
      <c r="L422" s="163" t="s">
        <v>305</v>
      </c>
      <c r="M422" s="163" t="s">
        <v>1126</v>
      </c>
      <c r="N422" s="163" t="s">
        <v>966</v>
      </c>
      <c r="O422" s="163" t="s">
        <v>1127</v>
      </c>
      <c r="P422" s="163" t="s">
        <v>57</v>
      </c>
      <c r="Q422" s="163"/>
      <c r="R422" s="163" t="s">
        <v>1128</v>
      </c>
      <c r="S422" s="163" t="s">
        <v>1129</v>
      </c>
      <c r="T422" s="43">
        <f t="shared" si="9"/>
        <v>11</v>
      </c>
      <c r="U422" s="167">
        <f t="shared" si="10"/>
        <v>45621</v>
      </c>
      <c r="V422" s="43"/>
      <c r="W422" s="43"/>
      <c r="X422" s="43"/>
      <c r="Y422" s="43"/>
      <c r="Z422" s="43" t="s">
        <v>1113</v>
      </c>
      <c r="AA422" s="43"/>
      <c r="AB422" s="193" t="s">
        <v>1130</v>
      </c>
    </row>
    <row r="423" spans="1:28" ht="14.25" hidden="1" customHeight="1">
      <c r="A423" s="163" t="s">
        <v>1046</v>
      </c>
      <c r="B423" s="164">
        <v>45621</v>
      </c>
      <c r="C423" s="163" t="s">
        <v>1131</v>
      </c>
      <c r="D423" s="163" t="s">
        <v>281</v>
      </c>
      <c r="E423" s="163" t="s">
        <v>407</v>
      </c>
      <c r="F423" s="165"/>
      <c r="G423" s="165">
        <f t="shared" si="5"/>
        <v>13191.620000000024</v>
      </c>
      <c r="H423" s="163"/>
      <c r="I423" s="163" t="s">
        <v>342</v>
      </c>
      <c r="J423" s="163" t="s">
        <v>1132</v>
      </c>
      <c r="K423" s="163" t="s">
        <v>1133</v>
      </c>
      <c r="L423" s="163" t="s">
        <v>305</v>
      </c>
      <c r="M423" s="163" t="s">
        <v>1134</v>
      </c>
      <c r="N423" s="163" t="s">
        <v>966</v>
      </c>
      <c r="O423" s="163" t="s">
        <v>1135</v>
      </c>
      <c r="P423" s="163" t="s">
        <v>957</v>
      </c>
      <c r="Q423" s="163"/>
      <c r="R423" s="163" t="s">
        <v>1136</v>
      </c>
      <c r="S423" s="163" t="s">
        <v>1137</v>
      </c>
      <c r="T423" s="43">
        <f t="shared" si="9"/>
        <v>11</v>
      </c>
      <c r="U423" s="167">
        <f t="shared" si="10"/>
        <v>45621</v>
      </c>
      <c r="V423" s="43"/>
      <c r="W423" s="43"/>
      <c r="X423" s="43"/>
      <c r="Y423" s="43"/>
      <c r="Z423" s="43" t="s">
        <v>1113</v>
      </c>
      <c r="AA423" s="43"/>
      <c r="AB423" s="194" t="s">
        <v>1138</v>
      </c>
    </row>
    <row r="424" spans="1:28" ht="14.25" hidden="1" customHeight="1">
      <c r="A424" s="180" t="s">
        <v>279</v>
      </c>
      <c r="B424" s="181">
        <v>45621</v>
      </c>
      <c r="C424" s="180" t="s">
        <v>280</v>
      </c>
      <c r="D424" s="180" t="s">
        <v>281</v>
      </c>
      <c r="E424" s="180" t="s">
        <v>282</v>
      </c>
      <c r="F424" s="186">
        <v>28000</v>
      </c>
      <c r="G424" s="165">
        <f t="shared" si="5"/>
        <v>41191.620000000024</v>
      </c>
      <c r="H424" s="180"/>
      <c r="I424" s="180" t="s">
        <v>283</v>
      </c>
      <c r="J424" s="180" t="s">
        <v>918</v>
      </c>
      <c r="K424" s="180"/>
      <c r="L424" s="180"/>
      <c r="M424" s="180"/>
      <c r="N424" s="180" t="s">
        <v>285</v>
      </c>
      <c r="O424" s="180"/>
      <c r="P424" s="180"/>
      <c r="Q424" s="180"/>
      <c r="R424" s="180" t="s">
        <v>286</v>
      </c>
      <c r="S424" s="180" t="s">
        <v>287</v>
      </c>
      <c r="T424" s="183">
        <f t="shared" si="9"/>
        <v>11</v>
      </c>
      <c r="U424" s="187">
        <f t="shared" si="10"/>
        <v>45621</v>
      </c>
      <c r="V424" s="183"/>
      <c r="W424" s="183"/>
      <c r="X424" s="183"/>
      <c r="Y424" s="183"/>
      <c r="Z424" s="183" t="s">
        <v>1113</v>
      </c>
      <c r="AA424" s="183"/>
      <c r="AB424" s="183"/>
    </row>
    <row r="425" spans="1:28" ht="14.25" hidden="1" customHeight="1">
      <c r="A425" s="163" t="s">
        <v>1017</v>
      </c>
      <c r="B425" s="181">
        <v>45621</v>
      </c>
      <c r="C425" s="190" t="s">
        <v>293</v>
      </c>
      <c r="D425" s="163" t="s">
        <v>281</v>
      </c>
      <c r="E425" s="163" t="s">
        <v>294</v>
      </c>
      <c r="F425" s="185">
        <v>-6068</v>
      </c>
      <c r="G425" s="165">
        <f t="shared" si="5"/>
        <v>35123.620000000024</v>
      </c>
      <c r="H425" s="163"/>
      <c r="I425" s="163" t="s">
        <v>283</v>
      </c>
      <c r="J425" s="163"/>
      <c r="K425" s="163"/>
      <c r="L425" s="163" t="s">
        <v>805</v>
      </c>
      <c r="M425" s="163"/>
      <c r="N425" s="163" t="s">
        <v>978</v>
      </c>
      <c r="O425" s="163"/>
      <c r="P425" s="163"/>
      <c r="Q425" s="163"/>
      <c r="R425" s="163" t="s">
        <v>298</v>
      </c>
      <c r="S425" s="163" t="s">
        <v>299</v>
      </c>
      <c r="T425" s="43">
        <f t="shared" si="9"/>
        <v>11</v>
      </c>
      <c r="U425" s="167">
        <f t="shared" si="10"/>
        <v>45621</v>
      </c>
      <c r="V425" s="167"/>
      <c r="W425" s="43"/>
      <c r="X425" s="43"/>
      <c r="Y425" s="43"/>
      <c r="Z425" s="43" t="s">
        <v>1113</v>
      </c>
      <c r="AA425" s="43"/>
      <c r="AB425" s="43"/>
    </row>
    <row r="426" spans="1:28" ht="14.25" hidden="1" customHeight="1">
      <c r="A426" s="163" t="s">
        <v>1017</v>
      </c>
      <c r="B426" s="181">
        <v>45621</v>
      </c>
      <c r="C426" s="190" t="s">
        <v>293</v>
      </c>
      <c r="D426" s="163" t="s">
        <v>281</v>
      </c>
      <c r="E426" s="163" t="s">
        <v>294</v>
      </c>
      <c r="F426" s="185">
        <v>-1852.92</v>
      </c>
      <c r="G426" s="165">
        <f t="shared" si="5"/>
        <v>33270.700000000026</v>
      </c>
      <c r="H426" s="163"/>
      <c r="I426" s="163" t="s">
        <v>283</v>
      </c>
      <c r="J426" s="163"/>
      <c r="K426" s="163"/>
      <c r="L426" s="163" t="s">
        <v>805</v>
      </c>
      <c r="M426" s="163"/>
      <c r="N426" s="163" t="s">
        <v>978</v>
      </c>
      <c r="O426" s="163"/>
      <c r="P426" s="163"/>
      <c r="Q426" s="163"/>
      <c r="R426" s="163" t="s">
        <v>298</v>
      </c>
      <c r="S426" s="163" t="s">
        <v>299</v>
      </c>
      <c r="T426" s="43">
        <f>MONTH(U426)</f>
        <v>11</v>
      </c>
      <c r="U426" s="167">
        <f t="shared" si="10"/>
        <v>45621</v>
      </c>
      <c r="V426" s="167"/>
      <c r="W426" s="43"/>
      <c r="X426" s="43"/>
      <c r="Y426" s="43"/>
      <c r="Z426" s="43" t="s">
        <v>1113</v>
      </c>
      <c r="AA426" s="43"/>
      <c r="AB426" s="43"/>
    </row>
    <row r="427" spans="1:28" ht="14.25" hidden="1" customHeight="1">
      <c r="A427" s="163" t="s">
        <v>1017</v>
      </c>
      <c r="B427" s="181">
        <v>45621</v>
      </c>
      <c r="C427" s="190" t="s">
        <v>293</v>
      </c>
      <c r="D427" s="163" t="s">
        <v>281</v>
      </c>
      <c r="E427" s="163" t="s">
        <v>294</v>
      </c>
      <c r="F427" s="185">
        <v>-4828.5</v>
      </c>
      <c r="G427" s="165">
        <f t="shared" si="5"/>
        <v>28442.200000000026</v>
      </c>
      <c r="H427" s="163"/>
      <c r="I427" s="163" t="s">
        <v>283</v>
      </c>
      <c r="J427" s="163"/>
      <c r="K427" s="163"/>
      <c r="L427" s="163" t="s">
        <v>805</v>
      </c>
      <c r="M427" s="163"/>
      <c r="N427" s="163" t="s">
        <v>978</v>
      </c>
      <c r="O427" s="163"/>
      <c r="P427" s="163"/>
      <c r="Q427" s="163"/>
      <c r="R427" s="163" t="s">
        <v>298</v>
      </c>
      <c r="S427" s="163" t="s">
        <v>299</v>
      </c>
      <c r="T427" s="43">
        <f>MONTH(B427)</f>
        <v>11</v>
      </c>
      <c r="U427" s="167">
        <f t="shared" si="10"/>
        <v>45621</v>
      </c>
      <c r="V427" s="167"/>
      <c r="W427" s="43"/>
      <c r="X427" s="43"/>
      <c r="Y427" s="43"/>
      <c r="Z427" s="43" t="s">
        <v>1113</v>
      </c>
      <c r="AA427" s="43"/>
      <c r="AB427" s="43"/>
    </row>
    <row r="428" spans="1:28" ht="14.25" hidden="1" customHeight="1">
      <c r="A428" s="163" t="s">
        <v>1017</v>
      </c>
      <c r="B428" s="181">
        <v>45621</v>
      </c>
      <c r="C428" s="190" t="s">
        <v>293</v>
      </c>
      <c r="D428" s="163" t="s">
        <v>281</v>
      </c>
      <c r="E428" s="163" t="s">
        <v>294</v>
      </c>
      <c r="F428" s="185">
        <v>-2928.6</v>
      </c>
      <c r="G428" s="165">
        <f t="shared" si="5"/>
        <v>25513.600000000028</v>
      </c>
      <c r="H428" s="163"/>
      <c r="I428" s="163" t="s">
        <v>283</v>
      </c>
      <c r="J428" s="163"/>
      <c r="K428" s="163"/>
      <c r="L428" s="163" t="s">
        <v>805</v>
      </c>
      <c r="M428" s="163"/>
      <c r="N428" s="163" t="s">
        <v>978</v>
      </c>
      <c r="O428" s="163"/>
      <c r="P428" s="163"/>
      <c r="Q428" s="163"/>
      <c r="R428" s="163" t="s">
        <v>298</v>
      </c>
      <c r="S428" s="163" t="s">
        <v>299</v>
      </c>
      <c r="T428" s="43">
        <f>MONTH(U428)</f>
        <v>11</v>
      </c>
      <c r="U428" s="167">
        <f t="shared" si="10"/>
        <v>45621</v>
      </c>
      <c r="V428" s="167"/>
      <c r="W428" s="43"/>
      <c r="X428" s="43"/>
      <c r="Y428" s="43"/>
      <c r="Z428" s="43" t="s">
        <v>1113</v>
      </c>
      <c r="AA428" s="43"/>
      <c r="AB428" s="43"/>
    </row>
    <row r="429" spans="1:28" ht="14.25" hidden="1" customHeight="1">
      <c r="A429" s="163" t="s">
        <v>1017</v>
      </c>
      <c r="B429" s="181">
        <v>45621</v>
      </c>
      <c r="C429" s="190" t="s">
        <v>1139</v>
      </c>
      <c r="D429" s="163" t="s">
        <v>281</v>
      </c>
      <c r="E429" s="163" t="s">
        <v>1140</v>
      </c>
      <c r="F429" s="185">
        <v>-4050</v>
      </c>
      <c r="G429" s="165">
        <f t="shared" si="5"/>
        <v>21463.600000000028</v>
      </c>
      <c r="H429" s="163"/>
      <c r="I429" s="163" t="s">
        <v>994</v>
      </c>
      <c r="J429" s="163"/>
      <c r="K429" s="163"/>
      <c r="L429" s="163" t="s">
        <v>305</v>
      </c>
      <c r="M429" s="163"/>
      <c r="N429" s="163" t="s">
        <v>978</v>
      </c>
      <c r="O429" s="163"/>
      <c r="P429" s="163"/>
      <c r="Q429" s="163"/>
      <c r="R429" s="163" t="s">
        <v>1139</v>
      </c>
      <c r="S429" s="163" t="s">
        <v>1141</v>
      </c>
      <c r="T429" s="43">
        <f t="shared" ref="T429:T550" si="11">MONTH(B429)</f>
        <v>11</v>
      </c>
      <c r="U429" s="167">
        <f t="shared" si="10"/>
        <v>45621</v>
      </c>
      <c r="V429" s="43"/>
      <c r="W429" s="43"/>
      <c r="X429" s="43"/>
      <c r="Y429" s="43"/>
      <c r="Z429" s="43" t="s">
        <v>1113</v>
      </c>
      <c r="AA429" s="43"/>
      <c r="AB429" s="43"/>
    </row>
    <row r="430" spans="1:28" ht="14.25" hidden="1" customHeight="1">
      <c r="A430" s="163" t="s">
        <v>1017</v>
      </c>
      <c r="B430" s="164">
        <v>45621</v>
      </c>
      <c r="C430" s="190" t="s">
        <v>940</v>
      </c>
      <c r="D430" s="163" t="s">
        <v>281</v>
      </c>
      <c r="E430" s="163" t="s">
        <v>308</v>
      </c>
      <c r="F430" s="185">
        <v>-418</v>
      </c>
      <c r="G430" s="165">
        <f t="shared" si="5"/>
        <v>21045.600000000028</v>
      </c>
      <c r="H430" s="163"/>
      <c r="I430" s="163" t="s">
        <v>342</v>
      </c>
      <c r="J430" s="163"/>
      <c r="K430" s="163"/>
      <c r="L430" s="163" t="s">
        <v>305</v>
      </c>
      <c r="M430" s="163"/>
      <c r="N430" s="163" t="s">
        <v>978</v>
      </c>
      <c r="O430" s="163"/>
      <c r="P430" s="163"/>
      <c r="Q430" s="163"/>
      <c r="R430" s="163" t="s">
        <v>940</v>
      </c>
      <c r="S430" s="163" t="s">
        <v>942</v>
      </c>
      <c r="T430" s="43">
        <f t="shared" si="11"/>
        <v>11</v>
      </c>
      <c r="U430" s="167">
        <f t="shared" si="10"/>
        <v>45621</v>
      </c>
      <c r="V430" s="166"/>
      <c r="W430" s="43"/>
      <c r="X430" s="43"/>
      <c r="Y430" s="43"/>
      <c r="Z430" s="43" t="s">
        <v>1113</v>
      </c>
      <c r="AA430" s="43"/>
      <c r="AB430" s="43"/>
    </row>
    <row r="431" spans="1:28" ht="14.25" hidden="1" customHeight="1">
      <c r="A431" s="163" t="s">
        <v>1017</v>
      </c>
      <c r="B431" s="164">
        <v>45621</v>
      </c>
      <c r="C431" s="190" t="s">
        <v>1002</v>
      </c>
      <c r="D431" s="163" t="s">
        <v>281</v>
      </c>
      <c r="E431" s="163" t="s">
        <v>190</v>
      </c>
      <c r="F431" s="185">
        <v>-500</v>
      </c>
      <c r="G431" s="165">
        <f t="shared" si="5"/>
        <v>20545.600000000028</v>
      </c>
      <c r="H431" s="163"/>
      <c r="I431" s="163" t="s">
        <v>342</v>
      </c>
      <c r="J431" s="163"/>
      <c r="K431" s="163"/>
      <c r="L431" s="163" t="s">
        <v>1030</v>
      </c>
      <c r="M431" s="163"/>
      <c r="N431" s="163" t="s">
        <v>978</v>
      </c>
      <c r="O431" s="163"/>
      <c r="P431" s="163"/>
      <c r="Q431" s="163"/>
      <c r="R431" s="163" t="s">
        <v>1004</v>
      </c>
      <c r="S431" s="163" t="s">
        <v>1005</v>
      </c>
      <c r="T431" s="43">
        <f t="shared" si="11"/>
        <v>11</v>
      </c>
      <c r="U431" s="167">
        <f t="shared" si="10"/>
        <v>45621</v>
      </c>
      <c r="V431" s="43"/>
      <c r="W431" s="43"/>
      <c r="X431" s="43"/>
      <c r="Y431" s="43"/>
      <c r="Z431" s="43" t="s">
        <v>1113</v>
      </c>
      <c r="AA431" s="43"/>
      <c r="AB431" s="43"/>
    </row>
    <row r="432" spans="1:28" ht="14.25" hidden="1" customHeight="1">
      <c r="A432" s="163" t="s">
        <v>1017</v>
      </c>
      <c r="B432" s="164">
        <v>45621</v>
      </c>
      <c r="C432" s="190" t="s">
        <v>1002</v>
      </c>
      <c r="D432" s="163" t="s">
        <v>281</v>
      </c>
      <c r="E432" s="163" t="s">
        <v>190</v>
      </c>
      <c r="F432" s="185">
        <v>-60</v>
      </c>
      <c r="G432" s="165">
        <f t="shared" si="5"/>
        <v>20485.600000000028</v>
      </c>
      <c r="H432" s="163"/>
      <c r="I432" s="163" t="s">
        <v>342</v>
      </c>
      <c r="J432" s="163"/>
      <c r="K432" s="163"/>
      <c r="L432" s="163" t="s">
        <v>1030</v>
      </c>
      <c r="M432" s="163"/>
      <c r="N432" s="163" t="s">
        <v>978</v>
      </c>
      <c r="O432" s="163"/>
      <c r="P432" s="163"/>
      <c r="Q432" s="163"/>
      <c r="R432" s="163" t="s">
        <v>1004</v>
      </c>
      <c r="S432" s="163" t="s">
        <v>1005</v>
      </c>
      <c r="T432" s="43">
        <f t="shared" si="11"/>
        <v>11</v>
      </c>
      <c r="U432" s="167">
        <f t="shared" si="10"/>
        <v>45621</v>
      </c>
      <c r="V432" s="43"/>
      <c r="W432" s="43"/>
      <c r="X432" s="43"/>
      <c r="Y432" s="43"/>
      <c r="Z432" s="43" t="s">
        <v>1113</v>
      </c>
      <c r="AA432" s="43"/>
      <c r="AB432" s="43"/>
    </row>
    <row r="433" spans="1:28" ht="14.25" hidden="1" customHeight="1">
      <c r="A433" s="163" t="s">
        <v>976</v>
      </c>
      <c r="B433" s="181">
        <v>45621</v>
      </c>
      <c r="C433" s="190" t="s">
        <v>1142</v>
      </c>
      <c r="D433" s="163" t="s">
        <v>281</v>
      </c>
      <c r="E433" s="163" t="s">
        <v>199</v>
      </c>
      <c r="F433" s="185">
        <v>-347.24</v>
      </c>
      <c r="G433" s="165">
        <f t="shared" si="5"/>
        <v>20138.360000000026</v>
      </c>
      <c r="H433" s="163"/>
      <c r="I433" s="163" t="s">
        <v>342</v>
      </c>
      <c r="J433" s="163"/>
      <c r="K433" s="163"/>
      <c r="L433" s="163" t="s">
        <v>766</v>
      </c>
      <c r="M433" s="163"/>
      <c r="N433" s="163" t="s">
        <v>978</v>
      </c>
      <c r="O433" s="163"/>
      <c r="P433" s="163"/>
      <c r="Q433" s="163"/>
      <c r="R433" s="163" t="s">
        <v>1143</v>
      </c>
      <c r="S433" s="163" t="s">
        <v>1144</v>
      </c>
      <c r="T433" s="43">
        <f t="shared" si="11"/>
        <v>11</v>
      </c>
      <c r="U433" s="167">
        <f t="shared" si="10"/>
        <v>45621</v>
      </c>
      <c r="V433" s="167"/>
      <c r="W433" s="43"/>
      <c r="X433" s="43"/>
      <c r="Y433" s="43"/>
      <c r="Z433" s="43" t="s">
        <v>1113</v>
      </c>
      <c r="AA433" s="43"/>
      <c r="AB433" s="43" t="s">
        <v>342</v>
      </c>
    </row>
    <row r="434" spans="1:28" ht="14.25" hidden="1" customHeight="1">
      <c r="A434" s="163" t="s">
        <v>976</v>
      </c>
      <c r="B434" s="181">
        <v>45621</v>
      </c>
      <c r="C434" s="190" t="s">
        <v>1145</v>
      </c>
      <c r="D434" s="163" t="s">
        <v>281</v>
      </c>
      <c r="E434" s="163" t="s">
        <v>25</v>
      </c>
      <c r="F434" s="185">
        <v>-1380.81</v>
      </c>
      <c r="G434" s="165">
        <f t="shared" si="5"/>
        <v>18757.550000000025</v>
      </c>
      <c r="H434" s="163"/>
      <c r="I434" s="163" t="s">
        <v>342</v>
      </c>
      <c r="J434" s="163"/>
      <c r="K434" s="163"/>
      <c r="L434" s="163" t="s">
        <v>305</v>
      </c>
      <c r="M434" s="163"/>
      <c r="N434" s="163" t="s">
        <v>978</v>
      </c>
      <c r="O434" s="163"/>
      <c r="P434" s="163"/>
      <c r="Q434" s="163" t="s">
        <v>1146</v>
      </c>
      <c r="R434" s="163" t="s">
        <v>1147</v>
      </c>
      <c r="S434" s="163" t="s">
        <v>1148</v>
      </c>
      <c r="T434" s="43">
        <f t="shared" si="11"/>
        <v>11</v>
      </c>
      <c r="U434" s="167">
        <f t="shared" si="10"/>
        <v>45621</v>
      </c>
      <c r="V434" s="167"/>
      <c r="W434" s="43"/>
      <c r="X434" s="43"/>
      <c r="Y434" s="43"/>
      <c r="Z434" s="43" t="s">
        <v>1113</v>
      </c>
      <c r="AA434" s="43"/>
      <c r="AB434" s="43"/>
    </row>
    <row r="435" spans="1:28" ht="14.25" hidden="1" customHeight="1">
      <c r="A435" s="163" t="s">
        <v>976</v>
      </c>
      <c r="B435" s="181">
        <v>45621</v>
      </c>
      <c r="C435" s="190" t="s">
        <v>1149</v>
      </c>
      <c r="D435" s="163" t="s">
        <v>281</v>
      </c>
      <c r="E435" s="163" t="s">
        <v>25</v>
      </c>
      <c r="F435" s="185">
        <v>-1331.9</v>
      </c>
      <c r="G435" s="165">
        <f t="shared" si="5"/>
        <v>17425.650000000023</v>
      </c>
      <c r="H435" s="163"/>
      <c r="I435" s="163" t="s">
        <v>342</v>
      </c>
      <c r="J435" s="163"/>
      <c r="K435" s="163"/>
      <c r="L435" s="163" t="s">
        <v>805</v>
      </c>
      <c r="M435" s="163"/>
      <c r="N435" s="163" t="s">
        <v>978</v>
      </c>
      <c r="O435" s="163"/>
      <c r="P435" s="163"/>
      <c r="Q435" s="163" t="s">
        <v>1146</v>
      </c>
      <c r="R435" s="163" t="s">
        <v>1150</v>
      </c>
      <c r="S435" s="163" t="s">
        <v>1151</v>
      </c>
      <c r="T435" s="43">
        <f t="shared" si="11"/>
        <v>11</v>
      </c>
      <c r="U435" s="167">
        <f t="shared" si="10"/>
        <v>45621</v>
      </c>
      <c r="V435" s="167"/>
      <c r="W435" s="43"/>
      <c r="X435" s="43"/>
      <c r="Y435" s="43"/>
      <c r="Z435" s="43" t="s">
        <v>1113</v>
      </c>
      <c r="AA435" s="43"/>
      <c r="AB435" s="43"/>
    </row>
    <row r="436" spans="1:28" ht="14.25" hidden="1" customHeight="1">
      <c r="A436" s="163" t="s">
        <v>976</v>
      </c>
      <c r="B436" s="181">
        <v>45621</v>
      </c>
      <c r="C436" s="190" t="s">
        <v>1152</v>
      </c>
      <c r="D436" s="163" t="s">
        <v>281</v>
      </c>
      <c r="E436" s="163" t="s">
        <v>199</v>
      </c>
      <c r="F436" s="185">
        <v>-1990</v>
      </c>
      <c r="G436" s="165">
        <f t="shared" si="5"/>
        <v>15435.650000000023</v>
      </c>
      <c r="H436" s="163"/>
      <c r="I436" s="163" t="s">
        <v>342</v>
      </c>
      <c r="J436" s="163"/>
      <c r="K436" s="163"/>
      <c r="L436" s="163" t="s">
        <v>686</v>
      </c>
      <c r="M436" s="163"/>
      <c r="N436" s="163" t="s">
        <v>978</v>
      </c>
      <c r="O436" s="163"/>
      <c r="P436" s="163"/>
      <c r="Q436" s="163"/>
      <c r="R436" s="163" t="s">
        <v>1153</v>
      </c>
      <c r="S436" s="163" t="s">
        <v>1154</v>
      </c>
      <c r="T436" s="43">
        <f t="shared" si="11"/>
        <v>11</v>
      </c>
      <c r="U436" s="167">
        <f t="shared" si="10"/>
        <v>45621</v>
      </c>
      <c r="V436" s="167"/>
      <c r="W436" s="43"/>
      <c r="X436" s="43"/>
      <c r="Y436" s="43"/>
      <c r="Z436" s="43" t="s">
        <v>1113</v>
      </c>
      <c r="AA436" s="43"/>
      <c r="AB436" s="43" t="s">
        <v>342</v>
      </c>
    </row>
    <row r="437" spans="1:28" ht="14.25" hidden="1" customHeight="1">
      <c r="A437" s="163" t="s">
        <v>1017</v>
      </c>
      <c r="B437" s="164">
        <v>45621</v>
      </c>
      <c r="C437" s="190" t="s">
        <v>1155</v>
      </c>
      <c r="D437" s="163" t="s">
        <v>281</v>
      </c>
      <c r="E437" s="163" t="s">
        <v>392</v>
      </c>
      <c r="F437" s="185">
        <v>-220.8</v>
      </c>
      <c r="G437" s="165">
        <f t="shared" si="5"/>
        <v>15214.850000000024</v>
      </c>
      <c r="H437" s="163"/>
      <c r="I437" s="163" t="s">
        <v>283</v>
      </c>
      <c r="J437" s="163"/>
      <c r="K437" s="163"/>
      <c r="L437" s="163" t="s">
        <v>305</v>
      </c>
      <c r="M437" s="163"/>
      <c r="N437" s="163" t="s">
        <v>978</v>
      </c>
      <c r="O437" s="163"/>
      <c r="P437" s="163"/>
      <c r="Q437" s="163"/>
      <c r="R437" s="163" t="s">
        <v>1155</v>
      </c>
      <c r="S437" s="163" t="s">
        <v>1156</v>
      </c>
      <c r="T437" s="43">
        <f t="shared" si="11"/>
        <v>11</v>
      </c>
      <c r="U437" s="167">
        <f t="shared" si="10"/>
        <v>45621</v>
      </c>
      <c r="V437" s="43"/>
      <c r="W437" s="43"/>
      <c r="X437" s="43"/>
      <c r="Y437" s="43"/>
      <c r="Z437" s="43" t="s">
        <v>1113</v>
      </c>
      <c r="AA437" s="43"/>
      <c r="AB437" s="43"/>
    </row>
    <row r="438" spans="1:28" ht="14.25" hidden="1" customHeight="1">
      <c r="A438" s="163" t="s">
        <v>1017</v>
      </c>
      <c r="B438" s="164">
        <v>45621</v>
      </c>
      <c r="C438" s="190" t="s">
        <v>1155</v>
      </c>
      <c r="D438" s="163" t="s">
        <v>281</v>
      </c>
      <c r="E438" s="163" t="s">
        <v>392</v>
      </c>
      <c r="F438" s="185">
        <v>-9385</v>
      </c>
      <c r="G438" s="165">
        <f t="shared" si="5"/>
        <v>5829.850000000024</v>
      </c>
      <c r="H438" s="163"/>
      <c r="I438" s="163" t="s">
        <v>283</v>
      </c>
      <c r="J438" s="163"/>
      <c r="K438" s="163"/>
      <c r="L438" s="163" t="s">
        <v>508</v>
      </c>
      <c r="M438" s="163"/>
      <c r="N438" s="163" t="s">
        <v>978</v>
      </c>
      <c r="O438" s="163"/>
      <c r="P438" s="163"/>
      <c r="Q438" s="163"/>
      <c r="R438" s="163" t="s">
        <v>1155</v>
      </c>
      <c r="S438" s="163" t="s">
        <v>1156</v>
      </c>
      <c r="T438" s="43">
        <f t="shared" si="11"/>
        <v>11</v>
      </c>
      <c r="U438" s="167">
        <f t="shared" si="10"/>
        <v>45621</v>
      </c>
      <c r="V438" s="43"/>
      <c r="W438" s="43"/>
      <c r="X438" s="43"/>
      <c r="Y438" s="43"/>
      <c r="Z438" s="43" t="s">
        <v>1113</v>
      </c>
      <c r="AA438" s="43"/>
      <c r="AB438" s="43"/>
    </row>
    <row r="439" spans="1:28" ht="14.25" hidden="1" customHeight="1">
      <c r="A439" s="163" t="s">
        <v>1017</v>
      </c>
      <c r="B439" s="164">
        <v>45621</v>
      </c>
      <c r="C439" s="163"/>
      <c r="D439" s="163" t="s">
        <v>281</v>
      </c>
      <c r="E439" s="163" t="s">
        <v>1077</v>
      </c>
      <c r="F439" s="168">
        <f>-3.5-1.99-1.99</f>
        <v>-7.48</v>
      </c>
      <c r="G439" s="165">
        <f t="shared" si="5"/>
        <v>5822.3700000000244</v>
      </c>
      <c r="H439" s="163"/>
      <c r="I439" s="163" t="s">
        <v>342</v>
      </c>
      <c r="J439" s="163"/>
      <c r="K439" s="163"/>
      <c r="L439" s="163" t="s">
        <v>1030</v>
      </c>
      <c r="M439" s="163"/>
      <c r="N439" s="163" t="s">
        <v>978</v>
      </c>
      <c r="O439" s="163"/>
      <c r="P439" s="163"/>
      <c r="Q439" s="163"/>
      <c r="R439" s="163"/>
      <c r="S439" s="163" t="s">
        <v>1076</v>
      </c>
      <c r="T439" s="43">
        <f t="shared" si="11"/>
        <v>11</v>
      </c>
      <c r="U439" s="167">
        <f t="shared" si="10"/>
        <v>45621</v>
      </c>
      <c r="V439" s="43"/>
      <c r="W439" s="43"/>
      <c r="X439" s="43"/>
      <c r="Y439" s="43"/>
      <c r="Z439" s="43" t="s">
        <v>1157</v>
      </c>
      <c r="AA439" s="43"/>
      <c r="AB439" s="43"/>
    </row>
    <row r="440" spans="1:28" ht="14.25" hidden="1" customHeight="1">
      <c r="A440" s="163"/>
      <c r="B440" s="164">
        <v>45621</v>
      </c>
      <c r="C440" s="163" t="s">
        <v>346</v>
      </c>
      <c r="D440" s="163"/>
      <c r="E440" s="163"/>
      <c r="F440" s="165">
        <v>0</v>
      </c>
      <c r="G440" s="165">
        <f t="shared" si="5"/>
        <v>5822.3700000000244</v>
      </c>
      <c r="H440" s="163"/>
      <c r="I440" s="163"/>
      <c r="J440" s="163"/>
      <c r="K440" s="163"/>
      <c r="L440" s="163"/>
      <c r="M440" s="163"/>
      <c r="N440" s="163"/>
      <c r="O440" s="163"/>
      <c r="P440" s="163"/>
      <c r="Q440" s="163"/>
      <c r="R440" s="163"/>
      <c r="S440" s="163"/>
      <c r="T440" s="43">
        <f t="shared" si="11"/>
        <v>11</v>
      </c>
      <c r="U440" s="167">
        <f t="shared" si="10"/>
        <v>45621</v>
      </c>
      <c r="V440" s="43"/>
      <c r="W440" s="43"/>
      <c r="X440" s="43"/>
      <c r="Y440" s="43"/>
      <c r="Z440" s="43" t="s">
        <v>1157</v>
      </c>
      <c r="AA440" s="43"/>
      <c r="AB440" s="43"/>
    </row>
    <row r="441" spans="1:28" ht="14.25" hidden="1" customHeight="1">
      <c r="A441" s="163" t="s">
        <v>1046</v>
      </c>
      <c r="B441" s="164">
        <v>45621</v>
      </c>
      <c r="C441" s="163" t="s">
        <v>1158</v>
      </c>
      <c r="D441" s="163" t="s">
        <v>281</v>
      </c>
      <c r="E441" s="163" t="s">
        <v>407</v>
      </c>
      <c r="F441" s="195">
        <v>3200</v>
      </c>
      <c r="G441" s="165">
        <f t="shared" si="5"/>
        <v>9022.3700000000244</v>
      </c>
      <c r="H441" s="163"/>
      <c r="I441" s="163" t="s">
        <v>342</v>
      </c>
      <c r="J441" s="163" t="s">
        <v>1159</v>
      </c>
      <c r="K441" s="163" t="s">
        <v>1160</v>
      </c>
      <c r="L441" s="163" t="s">
        <v>305</v>
      </c>
      <c r="M441" s="163" t="s">
        <v>1161</v>
      </c>
      <c r="N441" s="163" t="s">
        <v>966</v>
      </c>
      <c r="O441" s="163" t="s">
        <v>1162</v>
      </c>
      <c r="P441" s="163" t="s">
        <v>57</v>
      </c>
      <c r="Q441" s="163"/>
      <c r="R441" s="163" t="s">
        <v>1163</v>
      </c>
      <c r="S441" s="163" t="s">
        <v>1164</v>
      </c>
      <c r="T441" s="43">
        <f t="shared" si="11"/>
        <v>11</v>
      </c>
      <c r="U441" s="167">
        <f t="shared" si="10"/>
        <v>45622</v>
      </c>
      <c r="V441" s="167">
        <v>45622</v>
      </c>
      <c r="W441" s="43"/>
      <c r="X441" s="43"/>
      <c r="Y441" s="43"/>
      <c r="Z441" s="43" t="s">
        <v>1113</v>
      </c>
      <c r="AA441" s="43"/>
      <c r="AB441" s="43" t="s">
        <v>1165</v>
      </c>
    </row>
    <row r="442" spans="1:28" ht="14.25" hidden="1" customHeight="1">
      <c r="A442" s="163" t="s">
        <v>1046</v>
      </c>
      <c r="B442" s="164">
        <v>45621</v>
      </c>
      <c r="C442" s="163" t="s">
        <v>1166</v>
      </c>
      <c r="D442" s="163" t="s">
        <v>281</v>
      </c>
      <c r="E442" s="163" t="s">
        <v>407</v>
      </c>
      <c r="F442" s="195">
        <v>4199</v>
      </c>
      <c r="G442" s="165">
        <f t="shared" si="5"/>
        <v>13221.370000000024</v>
      </c>
      <c r="H442" s="163"/>
      <c r="I442" s="163" t="s">
        <v>342</v>
      </c>
      <c r="J442" s="163" t="s">
        <v>1167</v>
      </c>
      <c r="K442" s="163" t="s">
        <v>1168</v>
      </c>
      <c r="L442" s="163" t="s">
        <v>305</v>
      </c>
      <c r="M442" s="163" t="s">
        <v>1169</v>
      </c>
      <c r="N442" s="163" t="s">
        <v>966</v>
      </c>
      <c r="O442" s="163" t="s">
        <v>1170</v>
      </c>
      <c r="P442" s="163" t="s">
        <v>62</v>
      </c>
      <c r="Q442" s="163"/>
      <c r="R442" s="163" t="s">
        <v>1171</v>
      </c>
      <c r="S442" s="163" t="s">
        <v>1172</v>
      </c>
      <c r="T442" s="43">
        <f t="shared" si="11"/>
        <v>11</v>
      </c>
      <c r="U442" s="167">
        <f t="shared" si="10"/>
        <v>45622</v>
      </c>
      <c r="V442" s="167">
        <v>45622</v>
      </c>
      <c r="W442" s="43"/>
      <c r="X442" s="43"/>
      <c r="Y442" s="43"/>
      <c r="Z442" s="43" t="s">
        <v>1113</v>
      </c>
      <c r="AA442" s="43"/>
      <c r="AB442" s="43" t="s">
        <v>1173</v>
      </c>
    </row>
    <row r="443" spans="1:28" ht="14.25" hidden="1" customHeight="1">
      <c r="A443" s="163" t="s">
        <v>1174</v>
      </c>
      <c r="B443" s="164">
        <v>45621</v>
      </c>
      <c r="C443" s="163" t="s">
        <v>1175</v>
      </c>
      <c r="D443" s="163" t="s">
        <v>281</v>
      </c>
      <c r="E443" s="163" t="s">
        <v>407</v>
      </c>
      <c r="F443" s="195">
        <v>2500</v>
      </c>
      <c r="G443" s="165">
        <f t="shared" si="5"/>
        <v>15721.370000000024</v>
      </c>
      <c r="H443" s="163"/>
      <c r="I443" s="163" t="s">
        <v>1176</v>
      </c>
      <c r="J443" s="163" t="s">
        <v>1177</v>
      </c>
      <c r="K443" s="163"/>
      <c r="L443" s="163" t="s">
        <v>305</v>
      </c>
      <c r="M443" s="163"/>
      <c r="N443" s="163" t="s">
        <v>1178</v>
      </c>
      <c r="O443" s="163" t="s">
        <v>1177</v>
      </c>
      <c r="P443" s="163" t="s">
        <v>57</v>
      </c>
      <c r="Q443" s="163"/>
      <c r="R443" s="163" t="s">
        <v>1179</v>
      </c>
      <c r="S443" s="163" t="s">
        <v>1180</v>
      </c>
      <c r="T443" s="43">
        <f t="shared" si="11"/>
        <v>11</v>
      </c>
      <c r="U443" s="166">
        <f t="shared" si="10"/>
        <v>45622</v>
      </c>
      <c r="V443" s="167">
        <v>45622</v>
      </c>
      <c r="W443" s="43"/>
      <c r="X443" s="43"/>
      <c r="Y443" s="43"/>
      <c r="Z443" s="43" t="s">
        <v>1113</v>
      </c>
      <c r="AA443" s="43"/>
      <c r="AB443" s="43" t="s">
        <v>1181</v>
      </c>
    </row>
    <row r="444" spans="1:28" ht="14.25" hidden="1" customHeight="1">
      <c r="A444" s="163" t="s">
        <v>1046</v>
      </c>
      <c r="B444" s="164">
        <v>45621</v>
      </c>
      <c r="C444" s="163" t="s">
        <v>1182</v>
      </c>
      <c r="D444" s="163" t="s">
        <v>281</v>
      </c>
      <c r="E444" s="163" t="s">
        <v>407</v>
      </c>
      <c r="F444" s="195">
        <v>4500</v>
      </c>
      <c r="G444" s="165">
        <f t="shared" si="5"/>
        <v>20221.370000000024</v>
      </c>
      <c r="H444" s="163"/>
      <c r="I444" s="163" t="s">
        <v>342</v>
      </c>
      <c r="J444" s="163" t="s">
        <v>1183</v>
      </c>
      <c r="K444" s="163" t="s">
        <v>1184</v>
      </c>
      <c r="L444" s="163" t="s">
        <v>305</v>
      </c>
      <c r="M444" s="163" t="s">
        <v>1185</v>
      </c>
      <c r="N444" s="163" t="s">
        <v>966</v>
      </c>
      <c r="O444" s="163" t="s">
        <v>1186</v>
      </c>
      <c r="P444" s="163" t="s">
        <v>957</v>
      </c>
      <c r="Q444" s="163"/>
      <c r="R444" s="163" t="s">
        <v>1182</v>
      </c>
      <c r="S444" s="163" t="s">
        <v>1187</v>
      </c>
      <c r="T444" s="43">
        <f t="shared" si="11"/>
        <v>11</v>
      </c>
      <c r="U444" s="167">
        <f t="shared" si="10"/>
        <v>45622</v>
      </c>
      <c r="V444" s="167">
        <v>45622</v>
      </c>
      <c r="W444" s="43"/>
      <c r="X444" s="43"/>
      <c r="Y444" s="43"/>
      <c r="Z444" s="43" t="s">
        <v>1113</v>
      </c>
      <c r="AA444" s="43"/>
      <c r="AB444" s="43" t="s">
        <v>1188</v>
      </c>
    </row>
    <row r="445" spans="1:28" ht="14.25" hidden="1" customHeight="1">
      <c r="A445" s="163" t="s">
        <v>1046</v>
      </c>
      <c r="B445" s="164">
        <v>45621</v>
      </c>
      <c r="C445" s="163" t="s">
        <v>1189</v>
      </c>
      <c r="D445" s="163" t="s">
        <v>281</v>
      </c>
      <c r="E445" s="163" t="s">
        <v>407</v>
      </c>
      <c r="F445" s="195">
        <v>2100</v>
      </c>
      <c r="G445" s="165">
        <f t="shared" si="5"/>
        <v>22321.370000000024</v>
      </c>
      <c r="H445" s="163"/>
      <c r="I445" s="163" t="s">
        <v>342</v>
      </c>
      <c r="J445" s="163" t="s">
        <v>1190</v>
      </c>
      <c r="K445" s="163" t="s">
        <v>1191</v>
      </c>
      <c r="L445" s="163" t="s">
        <v>305</v>
      </c>
      <c r="M445" s="163" t="s">
        <v>1192</v>
      </c>
      <c r="N445" s="163" t="s">
        <v>966</v>
      </c>
      <c r="O445" s="163" t="s">
        <v>1193</v>
      </c>
      <c r="P445" s="163" t="s">
        <v>1083</v>
      </c>
      <c r="Q445" s="163"/>
      <c r="R445" s="163" t="s">
        <v>1189</v>
      </c>
      <c r="S445" s="163" t="s">
        <v>1194</v>
      </c>
      <c r="T445" s="43">
        <f t="shared" si="11"/>
        <v>11</v>
      </c>
      <c r="U445" s="167">
        <f t="shared" si="10"/>
        <v>45622</v>
      </c>
      <c r="V445" s="167">
        <v>45622</v>
      </c>
      <c r="W445" s="43"/>
      <c r="X445" s="43"/>
      <c r="Y445" s="43"/>
      <c r="Z445" s="43" t="s">
        <v>1113</v>
      </c>
      <c r="AA445" s="43"/>
      <c r="AB445" s="196" t="s">
        <v>1195</v>
      </c>
    </row>
    <row r="446" spans="1:28" ht="14.25" hidden="1" customHeight="1">
      <c r="A446" s="163" t="s">
        <v>1017</v>
      </c>
      <c r="B446" s="164">
        <v>45621</v>
      </c>
      <c r="C446" s="163" t="s">
        <v>1196</v>
      </c>
      <c r="D446" s="163" t="s">
        <v>281</v>
      </c>
      <c r="E446" s="163" t="s">
        <v>407</v>
      </c>
      <c r="F446" s="165"/>
      <c r="G446" s="165">
        <f t="shared" si="5"/>
        <v>22321.370000000024</v>
      </c>
      <c r="H446" s="163"/>
      <c r="I446" s="163" t="s">
        <v>283</v>
      </c>
      <c r="J446" s="163" t="s">
        <v>1197</v>
      </c>
      <c r="K446" s="163" t="s">
        <v>1198</v>
      </c>
      <c r="L446" s="163" t="s">
        <v>305</v>
      </c>
      <c r="M446" s="163" t="s">
        <v>1199</v>
      </c>
      <c r="N446" s="163" t="s">
        <v>966</v>
      </c>
      <c r="O446" s="163" t="s">
        <v>1200</v>
      </c>
      <c r="P446" s="163" t="s">
        <v>1201</v>
      </c>
      <c r="Q446" s="163"/>
      <c r="R446" s="163" t="s">
        <v>1202</v>
      </c>
      <c r="S446" s="163" t="s">
        <v>1203</v>
      </c>
      <c r="T446" s="43">
        <f t="shared" si="11"/>
        <v>11</v>
      </c>
      <c r="U446" s="166">
        <f t="shared" si="10"/>
        <v>45622</v>
      </c>
      <c r="V446" s="167">
        <v>45622</v>
      </c>
      <c r="W446" s="43"/>
      <c r="X446" s="43"/>
      <c r="Y446" s="43"/>
      <c r="Z446" s="43" t="s">
        <v>1113</v>
      </c>
      <c r="AA446" s="43"/>
      <c r="AB446" s="194" t="s">
        <v>1204</v>
      </c>
    </row>
    <row r="447" spans="1:28" ht="14.25" hidden="1" customHeight="1">
      <c r="A447" s="163" t="s">
        <v>1174</v>
      </c>
      <c r="B447" s="164">
        <v>45621</v>
      </c>
      <c r="C447" s="163" t="s">
        <v>1205</v>
      </c>
      <c r="D447" s="163" t="s">
        <v>281</v>
      </c>
      <c r="E447" s="163" t="s">
        <v>407</v>
      </c>
      <c r="F447" s="195">
        <v>1200</v>
      </c>
      <c r="G447" s="165">
        <f t="shared" si="5"/>
        <v>23521.370000000024</v>
      </c>
      <c r="H447" s="163"/>
      <c r="I447" s="163" t="s">
        <v>1176</v>
      </c>
      <c r="J447" s="163" t="s">
        <v>1206</v>
      </c>
      <c r="K447" s="163"/>
      <c r="L447" s="163" t="s">
        <v>305</v>
      </c>
      <c r="M447" s="163"/>
      <c r="N447" s="163" t="s">
        <v>1178</v>
      </c>
      <c r="O447" s="163" t="s">
        <v>1206</v>
      </c>
      <c r="P447" s="163" t="s">
        <v>351</v>
      </c>
      <c r="Q447" s="163"/>
      <c r="R447" s="163" t="s">
        <v>1207</v>
      </c>
      <c r="S447" s="163" t="s">
        <v>1208</v>
      </c>
      <c r="T447" s="43">
        <f t="shared" si="11"/>
        <v>11</v>
      </c>
      <c r="U447" s="166">
        <f t="shared" si="10"/>
        <v>45622</v>
      </c>
      <c r="V447" s="167">
        <v>45622</v>
      </c>
      <c r="W447" s="43"/>
      <c r="X447" s="43"/>
      <c r="Y447" s="43"/>
      <c r="Z447" s="43" t="s">
        <v>1113</v>
      </c>
      <c r="AA447" s="43"/>
      <c r="AB447" s="43" t="s">
        <v>1209</v>
      </c>
    </row>
    <row r="448" spans="1:28" ht="14.25" hidden="1" customHeight="1">
      <c r="A448" s="163" t="s">
        <v>1017</v>
      </c>
      <c r="B448" s="164">
        <v>45621</v>
      </c>
      <c r="C448" s="163"/>
      <c r="D448" s="163" t="s">
        <v>281</v>
      </c>
      <c r="E448" s="163" t="s">
        <v>1077</v>
      </c>
      <c r="F448" s="168">
        <f>-1.99*5</f>
        <v>-9.9499999999999993</v>
      </c>
      <c r="G448" s="165">
        <f t="shared" si="5"/>
        <v>23511.420000000024</v>
      </c>
      <c r="H448" s="163"/>
      <c r="I448" s="163" t="s">
        <v>342</v>
      </c>
      <c r="J448" s="163"/>
      <c r="K448" s="163"/>
      <c r="L448" s="163" t="s">
        <v>1030</v>
      </c>
      <c r="M448" s="163"/>
      <c r="N448" s="163" t="s">
        <v>978</v>
      </c>
      <c r="O448" s="163"/>
      <c r="P448" s="163"/>
      <c r="Q448" s="163"/>
      <c r="R448" s="163"/>
      <c r="S448" s="163" t="s">
        <v>1076</v>
      </c>
      <c r="T448" s="43">
        <f t="shared" si="11"/>
        <v>11</v>
      </c>
      <c r="U448" s="167">
        <f t="shared" si="10"/>
        <v>45621</v>
      </c>
      <c r="V448" s="43"/>
      <c r="W448" s="43"/>
      <c r="X448" s="43"/>
      <c r="Y448" s="43"/>
      <c r="Z448" s="43" t="s">
        <v>1157</v>
      </c>
      <c r="AA448" s="43"/>
      <c r="AB448" s="43"/>
    </row>
    <row r="449" spans="1:28" ht="14.25" hidden="1" customHeight="1">
      <c r="A449" s="163" t="s">
        <v>1017</v>
      </c>
      <c r="B449" s="164">
        <v>45622</v>
      </c>
      <c r="C449" s="163" t="s">
        <v>844</v>
      </c>
      <c r="D449" s="163" t="s">
        <v>281</v>
      </c>
      <c r="E449" s="163" t="s">
        <v>120</v>
      </c>
      <c r="F449" s="168">
        <v>-12987.8</v>
      </c>
      <c r="G449" s="165">
        <f t="shared" si="5"/>
        <v>10523.620000000024</v>
      </c>
      <c r="H449" s="163"/>
      <c r="I449" s="163" t="s">
        <v>342</v>
      </c>
      <c r="J449" s="163"/>
      <c r="K449" s="163"/>
      <c r="L449" s="163" t="s">
        <v>366</v>
      </c>
      <c r="M449" s="163"/>
      <c r="N449" s="163" t="s">
        <v>978</v>
      </c>
      <c r="O449" s="163"/>
      <c r="P449" s="163"/>
      <c r="Q449" s="163"/>
      <c r="R449" s="163" t="s">
        <v>846</v>
      </c>
      <c r="S449" s="163" t="s">
        <v>847</v>
      </c>
      <c r="T449" s="43">
        <f t="shared" si="11"/>
        <v>11</v>
      </c>
      <c r="U449" s="167">
        <f t="shared" si="10"/>
        <v>45622</v>
      </c>
      <c r="V449" s="167">
        <v>45622</v>
      </c>
      <c r="W449" s="43"/>
      <c r="X449" s="43"/>
      <c r="Y449" s="43"/>
      <c r="Z449" s="43" t="s">
        <v>1113</v>
      </c>
      <c r="AA449" s="43"/>
      <c r="AB449" s="43"/>
    </row>
    <row r="450" spans="1:28" ht="14.25" hidden="1" customHeight="1">
      <c r="A450" s="163" t="s">
        <v>1017</v>
      </c>
      <c r="B450" s="164">
        <v>45622</v>
      </c>
      <c r="C450" s="163" t="s">
        <v>1033</v>
      </c>
      <c r="D450" s="163" t="s">
        <v>281</v>
      </c>
      <c r="E450" s="163" t="s">
        <v>120</v>
      </c>
      <c r="F450" s="168">
        <v>-6742.68</v>
      </c>
      <c r="G450" s="165">
        <f t="shared" si="5"/>
        <v>3780.9400000000242</v>
      </c>
      <c r="H450" s="163"/>
      <c r="I450" s="163" t="s">
        <v>342</v>
      </c>
      <c r="J450" s="163"/>
      <c r="K450" s="163"/>
      <c r="L450" s="163" t="s">
        <v>366</v>
      </c>
      <c r="M450" s="163"/>
      <c r="N450" s="163" t="s">
        <v>978</v>
      </c>
      <c r="O450" s="163"/>
      <c r="P450" s="163"/>
      <c r="Q450" s="163"/>
      <c r="R450" s="163" t="s">
        <v>1033</v>
      </c>
      <c r="S450" s="163" t="s">
        <v>847</v>
      </c>
      <c r="T450" s="43">
        <f t="shared" si="11"/>
        <v>11</v>
      </c>
      <c r="U450" s="167">
        <f t="shared" si="10"/>
        <v>45622</v>
      </c>
      <c r="V450" s="167">
        <v>45622</v>
      </c>
      <c r="W450" s="43"/>
      <c r="X450" s="43"/>
      <c r="Y450" s="43"/>
      <c r="Z450" s="43" t="s">
        <v>1113</v>
      </c>
      <c r="AA450" s="43"/>
      <c r="AB450" s="43"/>
    </row>
    <row r="451" spans="1:28" ht="14.25" hidden="1" customHeight="1">
      <c r="A451" s="163" t="s">
        <v>1017</v>
      </c>
      <c r="B451" s="164">
        <v>45621</v>
      </c>
      <c r="C451" s="190" t="s">
        <v>1210</v>
      </c>
      <c r="D451" s="163" t="s">
        <v>281</v>
      </c>
      <c r="E451" s="163" t="s">
        <v>196</v>
      </c>
      <c r="F451" s="185">
        <v>-293.23</v>
      </c>
      <c r="G451" s="165">
        <f t="shared" si="5"/>
        <v>3487.7100000000241</v>
      </c>
      <c r="H451" s="163"/>
      <c r="I451" s="163" t="s">
        <v>342</v>
      </c>
      <c r="J451" s="163"/>
      <c r="K451" s="163"/>
      <c r="L451" s="163" t="s">
        <v>1030</v>
      </c>
      <c r="M451" s="163"/>
      <c r="N451" s="163" t="s">
        <v>978</v>
      </c>
      <c r="O451" s="163"/>
      <c r="P451" s="163"/>
      <c r="Q451" s="163"/>
      <c r="R451" s="163" t="s">
        <v>1211</v>
      </c>
      <c r="S451" s="163" t="s">
        <v>1212</v>
      </c>
      <c r="T451" s="43">
        <f t="shared" si="11"/>
        <v>11</v>
      </c>
      <c r="U451" s="167">
        <f t="shared" si="10"/>
        <v>45622</v>
      </c>
      <c r="V451" s="167">
        <v>45622</v>
      </c>
      <c r="W451" s="43"/>
      <c r="X451" s="43"/>
      <c r="Y451" s="43"/>
      <c r="Z451" s="43" t="s">
        <v>1113</v>
      </c>
      <c r="AA451" s="43"/>
      <c r="AB451" s="43"/>
    </row>
    <row r="452" spans="1:28" ht="14.25" hidden="1" customHeight="1">
      <c r="A452" s="163" t="s">
        <v>1017</v>
      </c>
      <c r="B452" s="164">
        <v>45622</v>
      </c>
      <c r="C452" s="190" t="s">
        <v>1213</v>
      </c>
      <c r="D452" s="163" t="s">
        <v>281</v>
      </c>
      <c r="E452" s="163" t="s">
        <v>190</v>
      </c>
      <c r="F452" s="185">
        <v>-660</v>
      </c>
      <c r="G452" s="165">
        <f t="shared" si="5"/>
        <v>2827.7100000000241</v>
      </c>
      <c r="H452" s="163"/>
      <c r="I452" s="163" t="s">
        <v>342</v>
      </c>
      <c r="J452" s="163"/>
      <c r="K452" s="163"/>
      <c r="L452" s="163" t="s">
        <v>1030</v>
      </c>
      <c r="M452" s="163"/>
      <c r="N452" s="163" t="s">
        <v>978</v>
      </c>
      <c r="O452" s="163"/>
      <c r="P452" s="163"/>
      <c r="Q452" s="163"/>
      <c r="R452" s="163" t="s">
        <v>1213</v>
      </c>
      <c r="S452" s="163" t="s">
        <v>1005</v>
      </c>
      <c r="T452" s="43">
        <f t="shared" si="11"/>
        <v>11</v>
      </c>
      <c r="U452" s="167">
        <f t="shared" si="10"/>
        <v>45622</v>
      </c>
      <c r="V452" s="167">
        <v>45622</v>
      </c>
      <c r="W452" s="43"/>
      <c r="X452" s="43"/>
      <c r="Y452" s="43"/>
      <c r="Z452" s="43" t="s">
        <v>1113</v>
      </c>
      <c r="AA452" s="43"/>
      <c r="AB452" s="43"/>
    </row>
    <row r="453" spans="1:28" ht="14.25" hidden="1" customHeight="1">
      <c r="A453" s="163" t="s">
        <v>1017</v>
      </c>
      <c r="B453" s="164">
        <v>45622</v>
      </c>
      <c r="C453" s="190" t="s">
        <v>402</v>
      </c>
      <c r="D453" s="163" t="s">
        <v>281</v>
      </c>
      <c r="E453" s="163" t="s">
        <v>356</v>
      </c>
      <c r="F453" s="185">
        <v>-65</v>
      </c>
      <c r="G453" s="165">
        <f t="shared" si="5"/>
        <v>2762.7100000000241</v>
      </c>
      <c r="H453" s="163"/>
      <c r="I453" s="163" t="s">
        <v>342</v>
      </c>
      <c r="J453" s="163"/>
      <c r="K453" s="163"/>
      <c r="L453" s="163" t="s">
        <v>1030</v>
      </c>
      <c r="M453" s="163"/>
      <c r="N453" s="163" t="s">
        <v>978</v>
      </c>
      <c r="O453" s="163"/>
      <c r="P453" s="163"/>
      <c r="Q453" s="163"/>
      <c r="R453" s="163" t="s">
        <v>402</v>
      </c>
      <c r="S453" s="163" t="s">
        <v>1005</v>
      </c>
      <c r="T453" s="43">
        <f t="shared" si="11"/>
        <v>11</v>
      </c>
      <c r="U453" s="167">
        <f t="shared" si="10"/>
        <v>45622</v>
      </c>
      <c r="V453" s="167">
        <v>45622</v>
      </c>
      <c r="W453" s="43"/>
      <c r="X453" s="43"/>
      <c r="Y453" s="43"/>
      <c r="Z453" s="43"/>
      <c r="AA453" s="43"/>
      <c r="AB453" s="43"/>
    </row>
    <row r="454" spans="1:28" ht="14.25" hidden="1" customHeight="1">
      <c r="A454" s="163" t="s">
        <v>1017</v>
      </c>
      <c r="B454" s="164">
        <v>45622</v>
      </c>
      <c r="C454" s="190" t="s">
        <v>1214</v>
      </c>
      <c r="D454" s="163" t="s">
        <v>281</v>
      </c>
      <c r="E454" s="163" t="s">
        <v>25</v>
      </c>
      <c r="F454" s="185">
        <v>-2576.04</v>
      </c>
      <c r="G454" s="165">
        <f t="shared" si="5"/>
        <v>186.67000000002417</v>
      </c>
      <c r="H454" s="163"/>
      <c r="I454" s="163" t="s">
        <v>342</v>
      </c>
      <c r="J454" s="163"/>
      <c r="K454" s="163"/>
      <c r="L454" s="163" t="s">
        <v>1030</v>
      </c>
      <c r="M454" s="163"/>
      <c r="N454" s="163" t="s">
        <v>978</v>
      </c>
      <c r="O454" s="163"/>
      <c r="P454" s="163"/>
      <c r="Q454" s="163"/>
      <c r="R454" s="163" t="s">
        <v>402</v>
      </c>
      <c r="S454" s="163" t="s">
        <v>1005</v>
      </c>
      <c r="T454" s="43">
        <f t="shared" si="11"/>
        <v>11</v>
      </c>
      <c r="U454" s="167">
        <f t="shared" si="10"/>
        <v>45622</v>
      </c>
      <c r="V454" s="167">
        <v>45622</v>
      </c>
      <c r="W454" s="43"/>
      <c r="X454" s="43"/>
      <c r="Y454" s="43"/>
      <c r="Z454" s="43"/>
      <c r="AA454" s="43"/>
      <c r="AB454" s="43"/>
    </row>
    <row r="455" spans="1:28" ht="14.25" hidden="1" customHeight="1">
      <c r="A455" s="163"/>
      <c r="B455" s="164">
        <v>45622</v>
      </c>
      <c r="C455" s="163" t="s">
        <v>346</v>
      </c>
      <c r="D455" s="163"/>
      <c r="E455" s="163"/>
      <c r="F455" s="165">
        <v>0</v>
      </c>
      <c r="G455" s="165">
        <f t="shared" si="5"/>
        <v>186.67000000002417</v>
      </c>
      <c r="H455" s="163"/>
      <c r="I455" s="163"/>
      <c r="J455" s="163"/>
      <c r="K455" s="163"/>
      <c r="L455" s="163"/>
      <c r="M455" s="163"/>
      <c r="N455" s="163"/>
      <c r="O455" s="163"/>
      <c r="P455" s="163"/>
      <c r="Q455" s="163"/>
      <c r="R455" s="163"/>
      <c r="S455" s="163"/>
      <c r="T455" s="43">
        <f t="shared" si="11"/>
        <v>11</v>
      </c>
      <c r="U455" s="167">
        <f t="shared" si="10"/>
        <v>45622</v>
      </c>
      <c r="V455" s="43"/>
      <c r="W455" s="43"/>
      <c r="X455" s="43"/>
      <c r="Y455" s="43"/>
      <c r="Z455" s="43" t="s">
        <v>1157</v>
      </c>
      <c r="AA455" s="43"/>
      <c r="AB455" s="43"/>
    </row>
    <row r="456" spans="1:28" ht="14.25" hidden="1" customHeight="1">
      <c r="A456" s="163" t="s">
        <v>1046</v>
      </c>
      <c r="B456" s="164">
        <v>45624</v>
      </c>
      <c r="C456" s="163" t="s">
        <v>1215</v>
      </c>
      <c r="D456" s="163" t="s">
        <v>281</v>
      </c>
      <c r="E456" s="163" t="s">
        <v>407</v>
      </c>
      <c r="F456" s="165">
        <v>1750</v>
      </c>
      <c r="G456" s="165">
        <f t="shared" si="5"/>
        <v>1936.6700000000242</v>
      </c>
      <c r="H456" s="163"/>
      <c r="I456" s="163" t="s">
        <v>342</v>
      </c>
      <c r="J456" s="163" t="s">
        <v>1216</v>
      </c>
      <c r="K456" s="163" t="s">
        <v>1217</v>
      </c>
      <c r="L456" s="163" t="s">
        <v>305</v>
      </c>
      <c r="M456" s="163" t="s">
        <v>1218</v>
      </c>
      <c r="N456" s="163" t="s">
        <v>966</v>
      </c>
      <c r="O456" s="163" t="s">
        <v>1219</v>
      </c>
      <c r="P456" s="163" t="s">
        <v>351</v>
      </c>
      <c r="Q456" s="163"/>
      <c r="R456" s="163" t="s">
        <v>1220</v>
      </c>
      <c r="S456" s="163" t="s">
        <v>1221</v>
      </c>
      <c r="T456" s="43">
        <f t="shared" si="11"/>
        <v>11</v>
      </c>
      <c r="U456" s="167">
        <f t="shared" si="10"/>
        <v>45623</v>
      </c>
      <c r="V456" s="167">
        <v>45623</v>
      </c>
      <c r="W456" s="43"/>
      <c r="X456" s="43"/>
      <c r="Y456" s="43"/>
      <c r="Z456" s="43" t="s">
        <v>1113</v>
      </c>
      <c r="AA456" s="43"/>
      <c r="AB456" s="43" t="s">
        <v>1222</v>
      </c>
    </row>
    <row r="457" spans="1:28" ht="14.25" hidden="1" customHeight="1">
      <c r="A457" s="163" t="s">
        <v>1017</v>
      </c>
      <c r="B457" s="164">
        <v>45623</v>
      </c>
      <c r="C457" s="163"/>
      <c r="D457" s="163" t="s">
        <v>281</v>
      </c>
      <c r="E457" s="163" t="s">
        <v>1077</v>
      </c>
      <c r="F457" s="168">
        <f>-1.99-1.5</f>
        <v>-3.49</v>
      </c>
      <c r="G457" s="165">
        <f t="shared" si="5"/>
        <v>1933.1800000000242</v>
      </c>
      <c r="H457" s="163"/>
      <c r="I457" s="163" t="s">
        <v>342</v>
      </c>
      <c r="J457" s="163"/>
      <c r="K457" s="163"/>
      <c r="L457" s="163" t="s">
        <v>1030</v>
      </c>
      <c r="M457" s="163"/>
      <c r="N457" s="163" t="s">
        <v>978</v>
      </c>
      <c r="O457" s="163"/>
      <c r="P457" s="163"/>
      <c r="Q457" s="163"/>
      <c r="R457" s="163"/>
      <c r="S457" s="163" t="s">
        <v>1076</v>
      </c>
      <c r="T457" s="43">
        <f t="shared" si="11"/>
        <v>11</v>
      </c>
      <c r="U457" s="167">
        <f t="shared" si="10"/>
        <v>45623</v>
      </c>
      <c r="V457" s="43"/>
      <c r="W457" s="43"/>
      <c r="X457" s="43"/>
      <c r="Y457" s="43"/>
      <c r="Z457" s="43" t="s">
        <v>1157</v>
      </c>
      <c r="AA457" s="43"/>
      <c r="AB457" s="43"/>
    </row>
    <row r="458" spans="1:28" ht="14.25" hidden="1" customHeight="1">
      <c r="A458" s="163" t="s">
        <v>1017</v>
      </c>
      <c r="B458" s="164">
        <v>45623</v>
      </c>
      <c r="C458" s="190" t="s">
        <v>326</v>
      </c>
      <c r="D458" s="163" t="s">
        <v>281</v>
      </c>
      <c r="E458" s="163" t="s">
        <v>308</v>
      </c>
      <c r="F458" s="185">
        <v>-732.32</v>
      </c>
      <c r="G458" s="165">
        <f t="shared" si="5"/>
        <v>1200.8600000000242</v>
      </c>
      <c r="H458" s="163"/>
      <c r="I458" s="163" t="s">
        <v>342</v>
      </c>
      <c r="J458" s="163"/>
      <c r="K458" s="163"/>
      <c r="L458" s="163" t="s">
        <v>305</v>
      </c>
      <c r="M458" s="163"/>
      <c r="N458" s="163" t="s">
        <v>978</v>
      </c>
      <c r="O458" s="163"/>
      <c r="P458" s="163"/>
      <c r="Q458" s="163"/>
      <c r="R458" s="163" t="s">
        <v>940</v>
      </c>
      <c r="S458" s="163" t="s">
        <v>942</v>
      </c>
      <c r="T458" s="43">
        <f t="shared" si="11"/>
        <v>11</v>
      </c>
      <c r="U458" s="167">
        <f t="shared" si="10"/>
        <v>45623</v>
      </c>
      <c r="V458" s="166"/>
      <c r="W458" s="43"/>
      <c r="X458" s="43"/>
      <c r="Y458" s="43"/>
      <c r="Z458" s="43" t="s">
        <v>1113</v>
      </c>
      <c r="AA458" s="43"/>
      <c r="AB458" s="43"/>
    </row>
    <row r="459" spans="1:28" ht="14.25" hidden="1" customHeight="1">
      <c r="A459" s="163" t="s">
        <v>1017</v>
      </c>
      <c r="B459" s="164">
        <v>45623</v>
      </c>
      <c r="C459" s="190" t="s">
        <v>436</v>
      </c>
      <c r="D459" s="163" t="s">
        <v>281</v>
      </c>
      <c r="E459" s="163" t="s">
        <v>308</v>
      </c>
      <c r="F459" s="185">
        <v>-32</v>
      </c>
      <c r="G459" s="165">
        <f t="shared" si="5"/>
        <v>1168.8600000000242</v>
      </c>
      <c r="H459" s="163"/>
      <c r="I459" s="163" t="s">
        <v>342</v>
      </c>
      <c r="J459" s="163"/>
      <c r="K459" s="163"/>
      <c r="L459" s="163" t="s">
        <v>305</v>
      </c>
      <c r="M459" s="163"/>
      <c r="N459" s="163" t="s">
        <v>978</v>
      </c>
      <c r="O459" s="163"/>
      <c r="P459" s="163"/>
      <c r="Q459" s="163"/>
      <c r="R459" s="163" t="s">
        <v>940</v>
      </c>
      <c r="S459" s="163" t="s">
        <v>942</v>
      </c>
      <c r="T459" s="43">
        <f t="shared" si="11"/>
        <v>11</v>
      </c>
      <c r="U459" s="167">
        <f t="shared" si="10"/>
        <v>45623</v>
      </c>
      <c r="V459" s="166"/>
      <c r="W459" s="43"/>
      <c r="X459" s="43"/>
      <c r="Y459" s="43"/>
      <c r="Z459" s="43" t="s">
        <v>1113</v>
      </c>
      <c r="AA459" s="43"/>
      <c r="AB459" s="43"/>
    </row>
    <row r="460" spans="1:28" ht="14.25" hidden="1" customHeight="1">
      <c r="A460" s="163" t="s">
        <v>1017</v>
      </c>
      <c r="B460" s="164">
        <v>45623</v>
      </c>
      <c r="C460" s="190" t="s">
        <v>549</v>
      </c>
      <c r="D460" s="163" t="s">
        <v>281</v>
      </c>
      <c r="E460" s="163" t="s">
        <v>308</v>
      </c>
      <c r="F460" s="185">
        <v>-550</v>
      </c>
      <c r="G460" s="165">
        <f t="shared" si="5"/>
        <v>618.86000000002423</v>
      </c>
      <c r="H460" s="163"/>
      <c r="I460" s="163" t="s">
        <v>342</v>
      </c>
      <c r="J460" s="163"/>
      <c r="K460" s="163"/>
      <c r="L460" s="163" t="s">
        <v>305</v>
      </c>
      <c r="M460" s="163"/>
      <c r="N460" s="163" t="s">
        <v>978</v>
      </c>
      <c r="O460" s="163"/>
      <c r="P460" s="163"/>
      <c r="Q460" s="163"/>
      <c r="R460" s="163" t="s">
        <v>940</v>
      </c>
      <c r="S460" s="163" t="s">
        <v>942</v>
      </c>
      <c r="T460" s="43">
        <f t="shared" si="11"/>
        <v>11</v>
      </c>
      <c r="U460" s="167">
        <f t="shared" si="10"/>
        <v>45623</v>
      </c>
      <c r="V460" s="166"/>
      <c r="W460" s="43"/>
      <c r="X460" s="43"/>
      <c r="Y460" s="43"/>
      <c r="Z460" s="43" t="s">
        <v>1113</v>
      </c>
      <c r="AA460" s="43"/>
      <c r="AB460" s="43"/>
    </row>
    <row r="461" spans="1:28" ht="14.25" hidden="1" customHeight="1">
      <c r="A461" s="163"/>
      <c r="B461" s="164">
        <v>45623</v>
      </c>
      <c r="C461" s="163" t="s">
        <v>346</v>
      </c>
      <c r="D461" s="163"/>
      <c r="E461" s="163"/>
      <c r="F461" s="165">
        <v>0</v>
      </c>
      <c r="G461" s="165">
        <f t="shared" si="5"/>
        <v>618.86000000002423</v>
      </c>
      <c r="H461" s="163"/>
      <c r="I461" s="163"/>
      <c r="J461" s="163"/>
      <c r="K461" s="163"/>
      <c r="L461" s="163"/>
      <c r="M461" s="163"/>
      <c r="N461" s="163"/>
      <c r="O461" s="163"/>
      <c r="P461" s="163"/>
      <c r="Q461" s="163"/>
      <c r="R461" s="163"/>
      <c r="S461" s="163"/>
      <c r="T461" s="43">
        <f t="shared" si="11"/>
        <v>11</v>
      </c>
      <c r="U461" s="167">
        <f t="shared" si="10"/>
        <v>45623</v>
      </c>
      <c r="V461" s="166"/>
      <c r="W461" s="43"/>
      <c r="X461" s="43"/>
      <c r="Y461" s="43"/>
      <c r="Z461" s="43" t="s">
        <v>1157</v>
      </c>
      <c r="AA461" s="43"/>
      <c r="AB461" s="43"/>
    </row>
    <row r="462" spans="1:28" hidden="1">
      <c r="A462" s="163" t="s">
        <v>1046</v>
      </c>
      <c r="B462" s="164">
        <v>45621</v>
      </c>
      <c r="C462" s="163" t="s">
        <v>1223</v>
      </c>
      <c r="D462" s="163" t="s">
        <v>281</v>
      </c>
      <c r="E462" s="163" t="s">
        <v>407</v>
      </c>
      <c r="F462" s="165">
        <v>3266.13</v>
      </c>
      <c r="G462" s="165">
        <f t="shared" si="5"/>
        <v>3884.9900000000243</v>
      </c>
      <c r="H462" s="163"/>
      <c r="I462" s="163" t="s">
        <v>342</v>
      </c>
      <c r="J462" s="163" t="s">
        <v>1224</v>
      </c>
      <c r="K462" s="163" t="s">
        <v>1225</v>
      </c>
      <c r="L462" s="163" t="s">
        <v>305</v>
      </c>
      <c r="M462" s="163" t="s">
        <v>1226</v>
      </c>
      <c r="N462" s="163" t="s">
        <v>966</v>
      </c>
      <c r="O462" s="163" t="s">
        <v>1227</v>
      </c>
      <c r="P462" s="163" t="s">
        <v>57</v>
      </c>
      <c r="Q462" s="163"/>
      <c r="R462" s="163" t="s">
        <v>1228</v>
      </c>
      <c r="S462" s="163" t="s">
        <v>1229</v>
      </c>
      <c r="T462" s="43">
        <f t="shared" si="11"/>
        <v>11</v>
      </c>
      <c r="U462" s="167">
        <f t="shared" si="10"/>
        <v>45624</v>
      </c>
      <c r="V462" s="167">
        <v>45624</v>
      </c>
      <c r="W462" s="43"/>
      <c r="X462" s="43"/>
      <c r="Y462" s="43"/>
      <c r="Z462" s="43" t="s">
        <v>1113</v>
      </c>
      <c r="AA462" s="43"/>
      <c r="AB462" s="43" t="s">
        <v>1230</v>
      </c>
    </row>
    <row r="463" spans="1:28" ht="14.25" hidden="1" customHeight="1">
      <c r="A463" s="180" t="s">
        <v>279</v>
      </c>
      <c r="B463" s="181">
        <v>45624</v>
      </c>
      <c r="C463" s="180" t="s">
        <v>280</v>
      </c>
      <c r="D463" s="180" t="s">
        <v>281</v>
      </c>
      <c r="E463" s="180" t="s">
        <v>282</v>
      </c>
      <c r="F463" s="186">
        <v>50000</v>
      </c>
      <c r="G463" s="165">
        <f t="shared" si="5"/>
        <v>53884.990000000027</v>
      </c>
      <c r="H463" s="180"/>
      <c r="I463" s="180" t="s">
        <v>283</v>
      </c>
      <c r="J463" s="180" t="s">
        <v>918</v>
      </c>
      <c r="K463" s="180"/>
      <c r="L463" s="180"/>
      <c r="M463" s="180"/>
      <c r="N463" s="180" t="s">
        <v>285</v>
      </c>
      <c r="O463" s="180"/>
      <c r="P463" s="180"/>
      <c r="Q463" s="180"/>
      <c r="R463" s="180" t="s">
        <v>286</v>
      </c>
      <c r="S463" s="180" t="s">
        <v>287</v>
      </c>
      <c r="T463" s="183">
        <f t="shared" si="11"/>
        <v>11</v>
      </c>
      <c r="U463" s="187">
        <f t="shared" si="10"/>
        <v>45624</v>
      </c>
      <c r="V463" s="183"/>
      <c r="W463" s="183"/>
      <c r="X463" s="183"/>
      <c r="Y463" s="183"/>
      <c r="Z463" s="183" t="s">
        <v>1113</v>
      </c>
      <c r="AA463" s="183"/>
      <c r="AB463" s="183"/>
    </row>
    <row r="464" spans="1:28" ht="14.25" hidden="1" customHeight="1">
      <c r="A464" s="163" t="s">
        <v>1017</v>
      </c>
      <c r="B464" s="164">
        <v>45624</v>
      </c>
      <c r="C464" s="163" t="s">
        <v>794</v>
      </c>
      <c r="D464" s="163" t="s">
        <v>281</v>
      </c>
      <c r="E464" s="163" t="s">
        <v>791</v>
      </c>
      <c r="F464" s="168">
        <v>-1033.33</v>
      </c>
      <c r="G464" s="165">
        <f t="shared" si="5"/>
        <v>52851.660000000025</v>
      </c>
      <c r="H464" s="163"/>
      <c r="I464" s="163" t="s">
        <v>994</v>
      </c>
      <c r="J464" s="163"/>
      <c r="K464" s="163"/>
      <c r="L464" s="163" t="s">
        <v>305</v>
      </c>
      <c r="M464" s="163"/>
      <c r="N464" s="163" t="s">
        <v>978</v>
      </c>
      <c r="O464" s="163"/>
      <c r="P464" s="163"/>
      <c r="Q464" s="163"/>
      <c r="R464" s="163" t="s">
        <v>797</v>
      </c>
      <c r="S464" s="163" t="s">
        <v>798</v>
      </c>
      <c r="T464" s="43">
        <f t="shared" si="11"/>
        <v>11</v>
      </c>
      <c r="U464" s="166">
        <f t="shared" si="10"/>
        <v>45624</v>
      </c>
      <c r="V464" s="43"/>
      <c r="W464" s="43"/>
      <c r="X464" s="43"/>
      <c r="Y464" s="43"/>
      <c r="Z464" s="43" t="s">
        <v>1113</v>
      </c>
      <c r="AA464" s="43"/>
      <c r="AB464" s="43"/>
    </row>
    <row r="465" spans="1:28" ht="14.25" hidden="1" customHeight="1">
      <c r="A465" s="180" t="s">
        <v>1017</v>
      </c>
      <c r="B465" s="181">
        <v>45624</v>
      </c>
      <c r="C465" s="180" t="s">
        <v>1087</v>
      </c>
      <c r="D465" s="180" t="s">
        <v>281</v>
      </c>
      <c r="E465" s="180" t="s">
        <v>1088</v>
      </c>
      <c r="F465" s="182">
        <v>-4000</v>
      </c>
      <c r="G465" s="165">
        <f t="shared" si="5"/>
        <v>48851.660000000025</v>
      </c>
      <c r="H465" s="180"/>
      <c r="I465" s="180" t="s">
        <v>283</v>
      </c>
      <c r="J465" s="180"/>
      <c r="K465" s="180"/>
      <c r="L465" s="180" t="s">
        <v>305</v>
      </c>
      <c r="M465" s="180"/>
      <c r="N465" s="180" t="s">
        <v>978</v>
      </c>
      <c r="O465" s="180"/>
      <c r="P465" s="180"/>
      <c r="Q465" s="180" t="s">
        <v>1067</v>
      </c>
      <c r="R465" s="180" t="s">
        <v>1087</v>
      </c>
      <c r="S465" s="180" t="s">
        <v>1089</v>
      </c>
      <c r="T465" s="183">
        <f t="shared" si="11"/>
        <v>11</v>
      </c>
      <c r="U465" s="184">
        <f t="shared" si="10"/>
        <v>45624</v>
      </c>
      <c r="V465" s="183"/>
      <c r="W465" s="183"/>
      <c r="X465" s="183"/>
      <c r="Y465" s="183"/>
      <c r="Z465" s="183" t="s">
        <v>1113</v>
      </c>
      <c r="AA465" s="183"/>
      <c r="AB465" s="183"/>
    </row>
    <row r="466" spans="1:28" ht="14.25" hidden="1" customHeight="1">
      <c r="A466" s="163" t="s">
        <v>1017</v>
      </c>
      <c r="B466" s="164">
        <v>45621</v>
      </c>
      <c r="C466" s="190" t="s">
        <v>1013</v>
      </c>
      <c r="D466" s="163" t="s">
        <v>281</v>
      </c>
      <c r="E466" s="163" t="s">
        <v>199</v>
      </c>
      <c r="F466" s="185">
        <v>-200</v>
      </c>
      <c r="G466" s="165">
        <f t="shared" si="5"/>
        <v>48651.660000000025</v>
      </c>
      <c r="H466" s="163"/>
      <c r="I466" s="163" t="s">
        <v>977</v>
      </c>
      <c r="J466" s="163"/>
      <c r="K466" s="163"/>
      <c r="L466" s="163" t="s">
        <v>1231</v>
      </c>
      <c r="M466" s="163"/>
      <c r="N466" s="163" t="s">
        <v>978</v>
      </c>
      <c r="O466" s="163"/>
      <c r="P466" s="163"/>
      <c r="Q466" s="163"/>
      <c r="R466" s="163" t="s">
        <v>1015</v>
      </c>
      <c r="S466" s="163" t="s">
        <v>1016</v>
      </c>
      <c r="T466" s="43">
        <f t="shared" si="11"/>
        <v>11</v>
      </c>
      <c r="U466" s="167">
        <f t="shared" si="10"/>
        <v>45624</v>
      </c>
      <c r="V466" s="167">
        <v>45624</v>
      </c>
      <c r="W466" s="43"/>
      <c r="X466" s="43"/>
      <c r="Y466" s="43"/>
      <c r="Z466" s="43" t="s">
        <v>1113</v>
      </c>
      <c r="AA466" s="43"/>
      <c r="AB466" s="43"/>
    </row>
    <row r="467" spans="1:28" ht="14.25" hidden="1" customHeight="1">
      <c r="A467" s="163" t="s">
        <v>1017</v>
      </c>
      <c r="B467" s="164">
        <v>45624</v>
      </c>
      <c r="C467" s="163"/>
      <c r="D467" s="163" t="s">
        <v>281</v>
      </c>
      <c r="E467" s="163" t="s">
        <v>1077</v>
      </c>
      <c r="F467" s="168">
        <f>-1.99-1.5</f>
        <v>-3.49</v>
      </c>
      <c r="G467" s="165">
        <f t="shared" si="5"/>
        <v>48648.170000000027</v>
      </c>
      <c r="H467" s="163"/>
      <c r="I467" s="163" t="s">
        <v>342</v>
      </c>
      <c r="J467" s="163"/>
      <c r="K467" s="163"/>
      <c r="L467" s="163" t="s">
        <v>1030</v>
      </c>
      <c r="M467" s="163"/>
      <c r="N467" s="163" t="s">
        <v>978</v>
      </c>
      <c r="O467" s="163"/>
      <c r="P467" s="163"/>
      <c r="Q467" s="163"/>
      <c r="R467" s="163"/>
      <c r="S467" s="163" t="s">
        <v>1076</v>
      </c>
      <c r="T467" s="43">
        <f t="shared" si="11"/>
        <v>11</v>
      </c>
      <c r="U467" s="167">
        <f t="shared" si="10"/>
        <v>45624</v>
      </c>
      <c r="V467" s="43"/>
      <c r="W467" s="43"/>
      <c r="X467" s="43"/>
      <c r="Y467" s="43"/>
      <c r="Z467" s="43" t="s">
        <v>1157</v>
      </c>
      <c r="AA467" s="43"/>
      <c r="AB467" s="43"/>
    </row>
    <row r="468" spans="1:28" ht="14.25" hidden="1" customHeight="1">
      <c r="A468" s="163"/>
      <c r="B468" s="164">
        <v>45624</v>
      </c>
      <c r="C468" s="163" t="s">
        <v>346</v>
      </c>
      <c r="D468" s="163"/>
      <c r="E468" s="163"/>
      <c r="F468" s="165">
        <v>0</v>
      </c>
      <c r="G468" s="165">
        <f t="shared" si="5"/>
        <v>48648.170000000027</v>
      </c>
      <c r="H468" s="163"/>
      <c r="I468" s="163"/>
      <c r="J468" s="163"/>
      <c r="K468" s="163"/>
      <c r="L468" s="163"/>
      <c r="M468" s="163"/>
      <c r="N468" s="163"/>
      <c r="O468" s="163"/>
      <c r="P468" s="163"/>
      <c r="Q468" s="163"/>
      <c r="R468" s="163"/>
      <c r="S468" s="163"/>
      <c r="T468" s="43">
        <f t="shared" si="11"/>
        <v>11</v>
      </c>
      <c r="U468" s="167">
        <f t="shared" si="10"/>
        <v>45624</v>
      </c>
      <c r="V468" s="43"/>
      <c r="W468" s="43"/>
      <c r="X468" s="43"/>
      <c r="Y468" s="43"/>
      <c r="Z468" s="43" t="s">
        <v>1157</v>
      </c>
      <c r="AA468" s="43"/>
      <c r="AB468" s="43"/>
    </row>
    <row r="469" spans="1:28" ht="14.25" hidden="1" customHeight="1">
      <c r="A469" s="180" t="s">
        <v>279</v>
      </c>
      <c r="B469" s="181">
        <v>45625</v>
      </c>
      <c r="C469" s="180" t="s">
        <v>280</v>
      </c>
      <c r="D469" s="180" t="s">
        <v>281</v>
      </c>
      <c r="E469" s="180" t="s">
        <v>282</v>
      </c>
      <c r="F469" s="186">
        <v>35000</v>
      </c>
      <c r="G469" s="165">
        <f t="shared" si="5"/>
        <v>83648.170000000027</v>
      </c>
      <c r="H469" s="180"/>
      <c r="I469" s="180" t="s">
        <v>283</v>
      </c>
      <c r="J469" s="180" t="s">
        <v>918</v>
      </c>
      <c r="K469" s="180"/>
      <c r="L469" s="180"/>
      <c r="M469" s="180"/>
      <c r="N469" s="180" t="s">
        <v>285</v>
      </c>
      <c r="O469" s="180"/>
      <c r="P469" s="180"/>
      <c r="Q469" s="180"/>
      <c r="R469" s="180" t="s">
        <v>286</v>
      </c>
      <c r="S469" s="180" t="s">
        <v>287</v>
      </c>
      <c r="T469" s="183">
        <f t="shared" si="11"/>
        <v>11</v>
      </c>
      <c r="U469" s="187">
        <f t="shared" si="10"/>
        <v>45625</v>
      </c>
      <c r="V469" s="183"/>
      <c r="W469" s="183"/>
      <c r="X469" s="183"/>
      <c r="Y469" s="183"/>
      <c r="Z469" s="183" t="s">
        <v>1113</v>
      </c>
      <c r="AA469" s="183"/>
      <c r="AB469" s="183"/>
    </row>
    <row r="470" spans="1:28" ht="14.25" hidden="1" customHeight="1">
      <c r="A470" s="163" t="s">
        <v>1046</v>
      </c>
      <c r="B470" s="164">
        <v>45625</v>
      </c>
      <c r="C470" s="163" t="s">
        <v>1232</v>
      </c>
      <c r="D470" s="163" t="s">
        <v>281</v>
      </c>
      <c r="E470" s="163" t="s">
        <v>407</v>
      </c>
      <c r="F470" s="165">
        <v>1200</v>
      </c>
      <c r="G470" s="165">
        <f t="shared" si="5"/>
        <v>84848.170000000027</v>
      </c>
      <c r="H470" s="163"/>
      <c r="I470" s="163" t="s">
        <v>342</v>
      </c>
      <c r="J470" s="163" t="s">
        <v>1233</v>
      </c>
      <c r="K470" s="163" t="s">
        <v>1234</v>
      </c>
      <c r="L470" s="163" t="s">
        <v>305</v>
      </c>
      <c r="M470" s="163" t="s">
        <v>1235</v>
      </c>
      <c r="N470" s="163" t="s">
        <v>966</v>
      </c>
      <c r="O470" s="163" t="s">
        <v>1236</v>
      </c>
      <c r="P470" s="163" t="s">
        <v>351</v>
      </c>
      <c r="Q470" s="163"/>
      <c r="R470" s="163" t="s">
        <v>1237</v>
      </c>
      <c r="S470" s="163" t="s">
        <v>1238</v>
      </c>
      <c r="T470" s="43">
        <f t="shared" si="11"/>
        <v>11</v>
      </c>
      <c r="U470" s="167">
        <f t="shared" si="10"/>
        <v>45625</v>
      </c>
      <c r="V470" s="43"/>
      <c r="W470" s="43"/>
      <c r="X470" s="43"/>
      <c r="Y470" s="43"/>
      <c r="Z470" s="43" t="s">
        <v>1113</v>
      </c>
      <c r="AA470" s="43"/>
      <c r="AB470" s="196" t="s">
        <v>1239</v>
      </c>
    </row>
    <row r="471" spans="1:28" ht="14.25" hidden="1" customHeight="1">
      <c r="A471" s="163" t="s">
        <v>961</v>
      </c>
      <c r="B471" s="164">
        <v>45614</v>
      </c>
      <c r="C471" s="163" t="s">
        <v>1240</v>
      </c>
      <c r="D471" s="163" t="s">
        <v>281</v>
      </c>
      <c r="E471" s="163" t="s">
        <v>407</v>
      </c>
      <c r="F471" s="165">
        <v>5300</v>
      </c>
      <c r="G471" s="165">
        <f t="shared" si="5"/>
        <v>90148.170000000027</v>
      </c>
      <c r="H471" s="163"/>
      <c r="I471" s="163" t="s">
        <v>342</v>
      </c>
      <c r="J471" s="163" t="s">
        <v>1241</v>
      </c>
      <c r="K471" s="163" t="s">
        <v>1242</v>
      </c>
      <c r="L471" s="163" t="s">
        <v>305</v>
      </c>
      <c r="M471" s="163" t="s">
        <v>1243</v>
      </c>
      <c r="N471" s="163" t="s">
        <v>966</v>
      </c>
      <c r="O471" s="163" t="s">
        <v>1244</v>
      </c>
      <c r="P471" s="163" t="s">
        <v>57</v>
      </c>
      <c r="Q471" s="163"/>
      <c r="R471" s="163" t="s">
        <v>1245</v>
      </c>
      <c r="S471" s="163" t="s">
        <v>1246</v>
      </c>
      <c r="T471" s="43">
        <f t="shared" si="11"/>
        <v>11</v>
      </c>
      <c r="U471" s="167">
        <f t="shared" si="10"/>
        <v>45625</v>
      </c>
      <c r="V471" s="167">
        <v>45625</v>
      </c>
      <c r="W471" s="43"/>
      <c r="X471" s="43"/>
      <c r="Y471" s="43"/>
      <c r="Z471" s="43" t="s">
        <v>1113</v>
      </c>
      <c r="AA471" s="43"/>
      <c r="AB471" s="43" t="s">
        <v>1247</v>
      </c>
    </row>
    <row r="472" spans="1:28" ht="14.25" hidden="1" customHeight="1">
      <c r="A472" s="163" t="s">
        <v>961</v>
      </c>
      <c r="B472" s="181">
        <v>45621</v>
      </c>
      <c r="C472" s="190" t="s">
        <v>1248</v>
      </c>
      <c r="D472" s="163" t="s">
        <v>281</v>
      </c>
      <c r="E472" s="163" t="s">
        <v>407</v>
      </c>
      <c r="F472" s="191"/>
      <c r="G472" s="165">
        <f t="shared" si="5"/>
        <v>90148.170000000027</v>
      </c>
      <c r="H472" s="163"/>
      <c r="I472" s="163" t="s">
        <v>342</v>
      </c>
      <c r="J472" s="163" t="s">
        <v>1249</v>
      </c>
      <c r="K472" s="163" t="s">
        <v>1250</v>
      </c>
      <c r="L472" s="163" t="s">
        <v>305</v>
      </c>
      <c r="M472" s="163" t="s">
        <v>1251</v>
      </c>
      <c r="N472" s="163" t="s">
        <v>966</v>
      </c>
      <c r="O472" s="163" t="s">
        <v>1252</v>
      </c>
      <c r="P472" s="163" t="s">
        <v>1083</v>
      </c>
      <c r="Q472" s="163"/>
      <c r="R472" s="163" t="s">
        <v>1253</v>
      </c>
      <c r="S472" s="163" t="s">
        <v>1254</v>
      </c>
      <c r="T472" s="43">
        <f t="shared" si="11"/>
        <v>11</v>
      </c>
      <c r="U472" s="166">
        <f t="shared" si="10"/>
        <v>45625</v>
      </c>
      <c r="V472" s="166">
        <v>45625</v>
      </c>
      <c r="W472" s="43"/>
      <c r="X472" s="43"/>
      <c r="Y472" s="43"/>
      <c r="Z472" s="43" t="s">
        <v>1113</v>
      </c>
      <c r="AA472" s="43"/>
      <c r="AB472" s="43" t="s">
        <v>1255</v>
      </c>
    </row>
    <row r="473" spans="1:28" ht="14.25" hidden="1" customHeight="1">
      <c r="A473" s="163" t="s">
        <v>1046</v>
      </c>
      <c r="B473" s="164">
        <v>45621</v>
      </c>
      <c r="C473" s="163" t="s">
        <v>1256</v>
      </c>
      <c r="D473" s="163" t="s">
        <v>281</v>
      </c>
      <c r="E473" s="163" t="s">
        <v>407</v>
      </c>
      <c r="F473" s="191"/>
      <c r="G473" s="165">
        <f t="shared" si="5"/>
        <v>90148.170000000027</v>
      </c>
      <c r="H473" s="163"/>
      <c r="I473" s="163" t="s">
        <v>342</v>
      </c>
      <c r="J473" s="163" t="s">
        <v>1257</v>
      </c>
      <c r="K473" s="163" t="s">
        <v>1258</v>
      </c>
      <c r="L473" s="163" t="s">
        <v>305</v>
      </c>
      <c r="M473" s="163" t="s">
        <v>1259</v>
      </c>
      <c r="N473" s="163" t="s">
        <v>966</v>
      </c>
      <c r="O473" s="163" t="s">
        <v>1260</v>
      </c>
      <c r="P473" s="163" t="s">
        <v>351</v>
      </c>
      <c r="Q473" s="163"/>
      <c r="R473" s="163" t="s">
        <v>1261</v>
      </c>
      <c r="S473" s="163" t="s">
        <v>1262</v>
      </c>
      <c r="T473" s="43">
        <f t="shared" si="11"/>
        <v>11</v>
      </c>
      <c r="U473" s="167">
        <f t="shared" si="10"/>
        <v>45625</v>
      </c>
      <c r="V473" s="166">
        <v>45625</v>
      </c>
      <c r="W473" s="43"/>
      <c r="X473" s="43"/>
      <c r="Y473" s="43"/>
      <c r="Z473" s="43" t="s">
        <v>1113</v>
      </c>
      <c r="AA473" s="43"/>
      <c r="AB473" s="196" t="s">
        <v>1263</v>
      </c>
    </row>
    <row r="474" spans="1:28" hidden="1">
      <c r="A474" s="163" t="s">
        <v>1046</v>
      </c>
      <c r="B474" s="164">
        <v>45624</v>
      </c>
      <c r="C474" s="163" t="s">
        <v>1264</v>
      </c>
      <c r="D474" s="163" t="s">
        <v>281</v>
      </c>
      <c r="E474" s="163" t="s">
        <v>407</v>
      </c>
      <c r="F474" s="165">
        <v>1799</v>
      </c>
      <c r="G474" s="165">
        <f t="shared" si="5"/>
        <v>91947.170000000027</v>
      </c>
      <c r="H474" s="163"/>
      <c r="I474" s="163" t="s">
        <v>342</v>
      </c>
      <c r="J474" s="163" t="s">
        <v>1224</v>
      </c>
      <c r="K474" s="163" t="s">
        <v>1225</v>
      </c>
      <c r="L474" s="163" t="s">
        <v>305</v>
      </c>
      <c r="M474" s="163" t="s">
        <v>1226</v>
      </c>
      <c r="N474" s="163" t="s">
        <v>966</v>
      </c>
      <c r="O474" s="163" t="s">
        <v>1227</v>
      </c>
      <c r="P474" s="163" t="s">
        <v>57</v>
      </c>
      <c r="Q474" s="163"/>
      <c r="R474" s="163" t="s">
        <v>1228</v>
      </c>
      <c r="S474" s="163" t="s">
        <v>1229</v>
      </c>
      <c r="T474" s="43">
        <f t="shared" si="11"/>
        <v>11</v>
      </c>
      <c r="U474" s="167">
        <f t="shared" si="10"/>
        <v>45625</v>
      </c>
      <c r="V474" s="166">
        <v>45625</v>
      </c>
      <c r="W474" s="43"/>
      <c r="X474" s="43"/>
      <c r="Y474" s="43"/>
      <c r="Z474" s="43" t="s">
        <v>1113</v>
      </c>
      <c r="AA474" s="43"/>
      <c r="AB474" s="43"/>
    </row>
    <row r="475" spans="1:28" ht="14.25" hidden="1" customHeight="1">
      <c r="A475" s="163" t="s">
        <v>1017</v>
      </c>
      <c r="B475" s="164">
        <v>45625</v>
      </c>
      <c r="C475" s="163" t="s">
        <v>321</v>
      </c>
      <c r="D475" s="163" t="s">
        <v>281</v>
      </c>
      <c r="E475" s="163" t="s">
        <v>121</v>
      </c>
      <c r="F475" s="169">
        <v>-95.4</v>
      </c>
      <c r="G475" s="165">
        <f t="shared" si="5"/>
        <v>91851.770000000033</v>
      </c>
      <c r="H475" s="163"/>
      <c r="I475" s="163" t="s">
        <v>994</v>
      </c>
      <c r="J475" s="163"/>
      <c r="K475" s="163"/>
      <c r="L475" s="163" t="s">
        <v>1030</v>
      </c>
      <c r="M475" s="163"/>
      <c r="N475" s="163" t="s">
        <v>978</v>
      </c>
      <c r="O475" s="163"/>
      <c r="P475" s="163"/>
      <c r="Q475" s="163"/>
      <c r="R475" s="163" t="s">
        <v>321</v>
      </c>
      <c r="S475" s="163" t="s">
        <v>323</v>
      </c>
      <c r="T475" s="43">
        <f t="shared" si="11"/>
        <v>11</v>
      </c>
      <c r="U475" s="167">
        <f t="shared" si="10"/>
        <v>45625</v>
      </c>
      <c r="V475" s="43"/>
      <c r="W475" s="43"/>
      <c r="X475" s="43"/>
      <c r="Y475" s="43"/>
      <c r="Z475" s="43" t="s">
        <v>1113</v>
      </c>
      <c r="AA475" s="43"/>
      <c r="AB475" s="43"/>
    </row>
    <row r="476" spans="1:28" ht="14.25" hidden="1" customHeight="1">
      <c r="A476" s="163" t="s">
        <v>1017</v>
      </c>
      <c r="B476" s="164">
        <v>45625</v>
      </c>
      <c r="C476" s="163" t="s">
        <v>447</v>
      </c>
      <c r="D476" s="163" t="s">
        <v>281</v>
      </c>
      <c r="E476" s="163" t="s">
        <v>121</v>
      </c>
      <c r="F476" s="169">
        <v>-166.5</v>
      </c>
      <c r="G476" s="165">
        <f t="shared" si="5"/>
        <v>91685.270000000033</v>
      </c>
      <c r="H476" s="163"/>
      <c r="I476" s="163" t="s">
        <v>283</v>
      </c>
      <c r="J476" s="163"/>
      <c r="K476" s="163"/>
      <c r="L476" s="163" t="s">
        <v>1030</v>
      </c>
      <c r="M476" s="163"/>
      <c r="N476" s="163" t="s">
        <v>978</v>
      </c>
      <c r="O476" s="163"/>
      <c r="P476" s="163"/>
      <c r="Q476" s="163"/>
      <c r="R476" s="163" t="s">
        <v>447</v>
      </c>
      <c r="S476" s="163" t="s">
        <v>449</v>
      </c>
      <c r="T476" s="43">
        <f t="shared" si="11"/>
        <v>11</v>
      </c>
      <c r="U476" s="167">
        <f t="shared" si="10"/>
        <v>45625</v>
      </c>
      <c r="V476" s="43"/>
      <c r="W476" s="43"/>
      <c r="X476" s="43"/>
      <c r="Y476" s="43"/>
      <c r="Z476" s="43" t="s">
        <v>1113</v>
      </c>
      <c r="AA476" s="43"/>
      <c r="AB476" s="43"/>
    </row>
    <row r="477" spans="1:28" ht="14.25" hidden="1" customHeight="1">
      <c r="A477" s="163" t="s">
        <v>1017</v>
      </c>
      <c r="B477" s="164">
        <v>45625</v>
      </c>
      <c r="C477" s="163" t="s">
        <v>451</v>
      </c>
      <c r="D477" s="163" t="s">
        <v>281</v>
      </c>
      <c r="E477" s="163" t="s">
        <v>121</v>
      </c>
      <c r="F477" s="169">
        <v>-345</v>
      </c>
      <c r="G477" s="165">
        <f t="shared" si="5"/>
        <v>91340.270000000033</v>
      </c>
      <c r="H477" s="163"/>
      <c r="I477" s="163" t="s">
        <v>994</v>
      </c>
      <c r="J477" s="163"/>
      <c r="K477" s="163"/>
      <c r="L477" s="163" t="s">
        <v>1030</v>
      </c>
      <c r="M477" s="163"/>
      <c r="N477" s="163" t="s">
        <v>978</v>
      </c>
      <c r="O477" s="163"/>
      <c r="P477" s="163"/>
      <c r="Q477" s="163"/>
      <c r="R477" s="163" t="s">
        <v>451</v>
      </c>
      <c r="S477" s="163" t="s">
        <v>453</v>
      </c>
      <c r="T477" s="43">
        <f t="shared" si="11"/>
        <v>11</v>
      </c>
      <c r="U477" s="167">
        <f t="shared" si="10"/>
        <v>45625</v>
      </c>
      <c r="V477" s="43"/>
      <c r="W477" s="43"/>
      <c r="X477" s="43"/>
      <c r="Y477" s="43"/>
      <c r="Z477" s="43" t="s">
        <v>1113</v>
      </c>
      <c r="AA477" s="43"/>
      <c r="AB477" s="43"/>
    </row>
    <row r="478" spans="1:28" ht="14.25" hidden="1" customHeight="1">
      <c r="A478" s="163" t="s">
        <v>1017</v>
      </c>
      <c r="B478" s="164">
        <v>45625</v>
      </c>
      <c r="C478" s="163" t="s">
        <v>463</v>
      </c>
      <c r="D478" s="163" t="s">
        <v>281</v>
      </c>
      <c r="E478" s="163" t="s">
        <v>121</v>
      </c>
      <c r="F478" s="169">
        <v>-157.5</v>
      </c>
      <c r="G478" s="165">
        <f t="shared" si="5"/>
        <v>91182.770000000033</v>
      </c>
      <c r="H478" s="163"/>
      <c r="I478" s="163" t="s">
        <v>283</v>
      </c>
      <c r="J478" s="163"/>
      <c r="K478" s="163"/>
      <c r="L478" s="163" t="s">
        <v>1030</v>
      </c>
      <c r="M478" s="163"/>
      <c r="N478" s="163" t="s">
        <v>978</v>
      </c>
      <c r="O478" s="163"/>
      <c r="P478" s="163"/>
      <c r="Q478" s="163"/>
      <c r="R478" s="163" t="s">
        <v>463</v>
      </c>
      <c r="S478" s="163" t="s">
        <v>465</v>
      </c>
      <c r="T478" s="43">
        <f t="shared" si="11"/>
        <v>11</v>
      </c>
      <c r="U478" s="167">
        <f t="shared" si="10"/>
        <v>45625</v>
      </c>
      <c r="V478" s="43"/>
      <c r="W478" s="43"/>
      <c r="X478" s="43"/>
      <c r="Y478" s="43"/>
      <c r="Z478" s="43" t="s">
        <v>1113</v>
      </c>
      <c r="AA478" s="43"/>
      <c r="AB478" s="43"/>
    </row>
    <row r="479" spans="1:28" ht="14.25" hidden="1" customHeight="1">
      <c r="A479" s="163" t="s">
        <v>1017</v>
      </c>
      <c r="B479" s="164">
        <v>45625</v>
      </c>
      <c r="C479" s="163" t="s">
        <v>469</v>
      </c>
      <c r="D479" s="163" t="s">
        <v>281</v>
      </c>
      <c r="E479" s="163" t="s">
        <v>121</v>
      </c>
      <c r="F479" s="169">
        <v>-166.5</v>
      </c>
      <c r="G479" s="165">
        <f t="shared" si="5"/>
        <v>91016.270000000033</v>
      </c>
      <c r="H479" s="163"/>
      <c r="I479" s="163" t="s">
        <v>994</v>
      </c>
      <c r="J479" s="163"/>
      <c r="K479" s="163"/>
      <c r="L479" s="163" t="s">
        <v>1030</v>
      </c>
      <c r="M479" s="163"/>
      <c r="N479" s="163" t="s">
        <v>978</v>
      </c>
      <c r="O479" s="163"/>
      <c r="P479" s="163"/>
      <c r="Q479" s="163"/>
      <c r="R479" s="163" t="s">
        <v>469</v>
      </c>
      <c r="S479" s="163" t="s">
        <v>471</v>
      </c>
      <c r="T479" s="43">
        <f t="shared" si="11"/>
        <v>11</v>
      </c>
      <c r="U479" s="167">
        <f t="shared" si="10"/>
        <v>45625</v>
      </c>
      <c r="V479" s="43"/>
      <c r="W479" s="43"/>
      <c r="X479" s="43"/>
      <c r="Y479" s="43"/>
      <c r="Z479" s="43" t="s">
        <v>1113</v>
      </c>
      <c r="AA479" s="43"/>
      <c r="AB479" s="43"/>
    </row>
    <row r="480" spans="1:28" ht="14.25" hidden="1" customHeight="1">
      <c r="A480" s="163" t="s">
        <v>1017</v>
      </c>
      <c r="B480" s="164">
        <v>45625</v>
      </c>
      <c r="C480" s="163" t="s">
        <v>358</v>
      </c>
      <c r="D480" s="163" t="s">
        <v>281</v>
      </c>
      <c r="E480" s="163" t="s">
        <v>121</v>
      </c>
      <c r="F480" s="169">
        <v>-157.5</v>
      </c>
      <c r="G480" s="165">
        <f t="shared" si="5"/>
        <v>90858.770000000033</v>
      </c>
      <c r="H480" s="163"/>
      <c r="I480" s="163" t="s">
        <v>994</v>
      </c>
      <c r="J480" s="163"/>
      <c r="K480" s="163"/>
      <c r="L480" s="163" t="s">
        <v>366</v>
      </c>
      <c r="M480" s="163"/>
      <c r="N480" s="163" t="s">
        <v>978</v>
      </c>
      <c r="O480" s="163"/>
      <c r="P480" s="163"/>
      <c r="Q480" s="163"/>
      <c r="R480" s="163" t="s">
        <v>358</v>
      </c>
      <c r="S480" s="163" t="s">
        <v>361</v>
      </c>
      <c r="T480" s="43">
        <f t="shared" si="11"/>
        <v>11</v>
      </c>
      <c r="U480" s="167">
        <f t="shared" si="10"/>
        <v>45625</v>
      </c>
      <c r="V480" s="43"/>
      <c r="W480" s="43"/>
      <c r="X480" s="43"/>
      <c r="Y480" s="43"/>
      <c r="Z480" s="43" t="s">
        <v>1113</v>
      </c>
      <c r="AA480" s="43"/>
      <c r="AB480" s="43"/>
    </row>
    <row r="481" spans="1:28" ht="14.25" hidden="1" customHeight="1">
      <c r="A481" s="163" t="s">
        <v>1017</v>
      </c>
      <c r="B481" s="164">
        <v>45625</v>
      </c>
      <c r="C481" s="163" t="s">
        <v>436</v>
      </c>
      <c r="D481" s="163" t="s">
        <v>281</v>
      </c>
      <c r="E481" s="163" t="s">
        <v>121</v>
      </c>
      <c r="F481" s="169">
        <v>-63</v>
      </c>
      <c r="G481" s="165">
        <f t="shared" si="5"/>
        <v>90795.770000000033</v>
      </c>
      <c r="H481" s="163"/>
      <c r="I481" s="163" t="s">
        <v>994</v>
      </c>
      <c r="J481" s="163"/>
      <c r="K481" s="163"/>
      <c r="L481" s="163" t="s">
        <v>686</v>
      </c>
      <c r="M481" s="163"/>
      <c r="N481" s="163" t="s">
        <v>978</v>
      </c>
      <c r="O481" s="163"/>
      <c r="P481" s="163"/>
      <c r="Q481" s="163"/>
      <c r="R481" s="163" t="s">
        <v>436</v>
      </c>
      <c r="S481" s="163" t="s">
        <v>438</v>
      </c>
      <c r="T481" s="43">
        <f t="shared" si="11"/>
        <v>11</v>
      </c>
      <c r="U481" s="166">
        <f t="shared" si="10"/>
        <v>45625</v>
      </c>
      <c r="V481" s="43"/>
      <c r="W481" s="43"/>
      <c r="X481" s="43"/>
      <c r="Y481" s="43"/>
      <c r="Z481" s="43" t="s">
        <v>1113</v>
      </c>
      <c r="AA481" s="43"/>
      <c r="AB481" s="43"/>
    </row>
    <row r="482" spans="1:28" ht="14.25" hidden="1" customHeight="1">
      <c r="A482" s="163" t="s">
        <v>1017</v>
      </c>
      <c r="B482" s="164">
        <v>45625</v>
      </c>
      <c r="C482" s="163" t="s">
        <v>466</v>
      </c>
      <c r="D482" s="163" t="s">
        <v>281</v>
      </c>
      <c r="E482" s="163" t="s">
        <v>121</v>
      </c>
      <c r="F482" s="169">
        <v>-136.5</v>
      </c>
      <c r="G482" s="165">
        <f t="shared" si="5"/>
        <v>90659.270000000033</v>
      </c>
      <c r="H482" s="163"/>
      <c r="I482" s="163" t="s">
        <v>994</v>
      </c>
      <c r="J482" s="163"/>
      <c r="K482" s="163"/>
      <c r="L482" s="163" t="s">
        <v>477</v>
      </c>
      <c r="M482" s="163"/>
      <c r="N482" s="163" t="s">
        <v>978</v>
      </c>
      <c r="O482" s="163"/>
      <c r="P482" s="163"/>
      <c r="Q482" s="163"/>
      <c r="R482" s="163" t="s">
        <v>466</v>
      </c>
      <c r="S482" s="163" t="s">
        <v>468</v>
      </c>
      <c r="T482" s="43">
        <f t="shared" si="11"/>
        <v>11</v>
      </c>
      <c r="U482" s="166">
        <f t="shared" si="10"/>
        <v>45625</v>
      </c>
      <c r="V482" s="43"/>
      <c r="W482" s="43"/>
      <c r="X482" s="43"/>
      <c r="Y482" s="43"/>
      <c r="Z482" s="43" t="s">
        <v>1113</v>
      </c>
      <c r="AA482" s="43"/>
      <c r="AB482" s="43"/>
    </row>
    <row r="483" spans="1:28" ht="14.25" hidden="1" customHeight="1">
      <c r="A483" s="163" t="s">
        <v>1017</v>
      </c>
      <c r="B483" s="164">
        <v>45625</v>
      </c>
      <c r="C483" s="163" t="s">
        <v>505</v>
      </c>
      <c r="D483" s="163" t="s">
        <v>281</v>
      </c>
      <c r="E483" s="163" t="s">
        <v>121</v>
      </c>
      <c r="F483" s="169">
        <v>-157.5</v>
      </c>
      <c r="G483" s="165">
        <f t="shared" si="5"/>
        <v>90501.770000000033</v>
      </c>
      <c r="H483" s="163"/>
      <c r="I483" s="163" t="s">
        <v>994</v>
      </c>
      <c r="J483" s="163"/>
      <c r="K483" s="163"/>
      <c r="L483" s="163" t="s">
        <v>477</v>
      </c>
      <c r="M483" s="163"/>
      <c r="N483" s="163" t="s">
        <v>978</v>
      </c>
      <c r="O483" s="163"/>
      <c r="P483" s="163"/>
      <c r="Q483" s="163"/>
      <c r="R483" s="163" t="s">
        <v>505</v>
      </c>
      <c r="S483" s="163" t="s">
        <v>507</v>
      </c>
      <c r="T483" s="43">
        <f t="shared" si="11"/>
        <v>11</v>
      </c>
      <c r="U483" s="166">
        <f t="shared" si="10"/>
        <v>45625</v>
      </c>
      <c r="V483" s="43"/>
      <c r="W483" s="43"/>
      <c r="X483" s="43"/>
      <c r="Y483" s="43"/>
      <c r="Z483" s="43" t="s">
        <v>1113</v>
      </c>
      <c r="AA483" s="43"/>
      <c r="AB483" s="43"/>
    </row>
    <row r="484" spans="1:28" ht="14.25" hidden="1" customHeight="1">
      <c r="A484" s="163" t="s">
        <v>1017</v>
      </c>
      <c r="B484" s="164">
        <v>45625</v>
      </c>
      <c r="C484" s="163" t="s">
        <v>484</v>
      </c>
      <c r="D484" s="163" t="s">
        <v>281</v>
      </c>
      <c r="E484" s="163" t="s">
        <v>121</v>
      </c>
      <c r="F484" s="169">
        <v>-74.7</v>
      </c>
      <c r="G484" s="165">
        <f t="shared" si="5"/>
        <v>90427.070000000036</v>
      </c>
      <c r="H484" s="163"/>
      <c r="I484" s="163" t="s">
        <v>283</v>
      </c>
      <c r="J484" s="163"/>
      <c r="K484" s="163"/>
      <c r="L484" s="163" t="s">
        <v>485</v>
      </c>
      <c r="M484" s="163"/>
      <c r="N484" s="163" t="s">
        <v>978</v>
      </c>
      <c r="O484" s="163"/>
      <c r="P484" s="163"/>
      <c r="Q484" s="163"/>
      <c r="R484" s="163" t="s">
        <v>484</v>
      </c>
      <c r="S484" s="163" t="s">
        <v>487</v>
      </c>
      <c r="T484" s="43">
        <f t="shared" si="11"/>
        <v>11</v>
      </c>
      <c r="U484" s="166">
        <f t="shared" si="10"/>
        <v>45625</v>
      </c>
      <c r="V484" s="43"/>
      <c r="W484" s="43"/>
      <c r="X484" s="43"/>
      <c r="Y484" s="43"/>
      <c r="Z484" s="43" t="s">
        <v>1113</v>
      </c>
      <c r="AA484" s="43"/>
      <c r="AB484" s="43"/>
    </row>
    <row r="485" spans="1:28" ht="14.25" hidden="1" customHeight="1">
      <c r="A485" s="163" t="s">
        <v>1017</v>
      </c>
      <c r="B485" s="164">
        <v>45625</v>
      </c>
      <c r="C485" s="163" t="s">
        <v>484</v>
      </c>
      <c r="D485" s="163" t="s">
        <v>281</v>
      </c>
      <c r="E485" s="163" t="s">
        <v>1265</v>
      </c>
      <c r="F485" s="169">
        <v>-250</v>
      </c>
      <c r="G485" s="165">
        <f t="shared" si="5"/>
        <v>90177.070000000036</v>
      </c>
      <c r="H485" s="163"/>
      <c r="I485" s="163" t="s">
        <v>283</v>
      </c>
      <c r="J485" s="163"/>
      <c r="K485" s="163"/>
      <c r="L485" s="163" t="s">
        <v>305</v>
      </c>
      <c r="M485" s="163"/>
      <c r="N485" s="163" t="s">
        <v>978</v>
      </c>
      <c r="O485" s="163"/>
      <c r="P485" s="163"/>
      <c r="Q485" s="163"/>
      <c r="R485" s="163" t="s">
        <v>484</v>
      </c>
      <c r="S485" s="163" t="s">
        <v>487</v>
      </c>
      <c r="T485" s="43">
        <f t="shared" si="11"/>
        <v>11</v>
      </c>
      <c r="U485" s="166">
        <f t="shared" si="10"/>
        <v>45625</v>
      </c>
      <c r="V485" s="43"/>
      <c r="W485" s="43"/>
      <c r="X485" s="43"/>
      <c r="Y485" s="43"/>
      <c r="Z485" s="43" t="s">
        <v>1113</v>
      </c>
      <c r="AA485" s="43"/>
      <c r="AB485" s="43"/>
    </row>
    <row r="486" spans="1:28" ht="14.25" hidden="1" customHeight="1">
      <c r="A486" s="163" t="s">
        <v>1017</v>
      </c>
      <c r="B486" s="164">
        <v>45625</v>
      </c>
      <c r="C486" s="163" t="s">
        <v>510</v>
      </c>
      <c r="D486" s="163" t="s">
        <v>281</v>
      </c>
      <c r="E486" s="163" t="s">
        <v>1265</v>
      </c>
      <c r="F486" s="169">
        <v>-312.5</v>
      </c>
      <c r="G486" s="165">
        <f t="shared" si="5"/>
        <v>89864.570000000036</v>
      </c>
      <c r="H486" s="163"/>
      <c r="I486" s="163" t="s">
        <v>283</v>
      </c>
      <c r="J486" s="163"/>
      <c r="K486" s="163"/>
      <c r="L486" s="163" t="s">
        <v>305</v>
      </c>
      <c r="M486" s="163"/>
      <c r="N486" s="163" t="s">
        <v>978</v>
      </c>
      <c r="O486" s="163"/>
      <c r="P486" s="163"/>
      <c r="Q486" s="163"/>
      <c r="R486" s="163" t="s">
        <v>510</v>
      </c>
      <c r="S486" s="163" t="s">
        <v>512</v>
      </c>
      <c r="T486" s="43">
        <f t="shared" si="11"/>
        <v>11</v>
      </c>
      <c r="U486" s="166">
        <f t="shared" si="10"/>
        <v>45625</v>
      </c>
      <c r="V486" s="43"/>
      <c r="W486" s="43"/>
      <c r="X486" s="43"/>
      <c r="Y486" s="43"/>
      <c r="Z486" s="43" t="s">
        <v>1113</v>
      </c>
      <c r="AA486" s="43"/>
      <c r="AB486" s="43"/>
    </row>
    <row r="487" spans="1:28" ht="14.25" hidden="1" customHeight="1">
      <c r="A487" s="163" t="s">
        <v>1017</v>
      </c>
      <c r="B487" s="164">
        <v>45625</v>
      </c>
      <c r="C487" s="163" t="s">
        <v>513</v>
      </c>
      <c r="D487" s="163" t="s">
        <v>281</v>
      </c>
      <c r="E487" s="163" t="s">
        <v>1265</v>
      </c>
      <c r="F487" s="169">
        <v>-208.33</v>
      </c>
      <c r="G487" s="165">
        <f t="shared" si="5"/>
        <v>89656.240000000034</v>
      </c>
      <c r="H487" s="163"/>
      <c r="I487" s="163" t="s">
        <v>283</v>
      </c>
      <c r="J487" s="163"/>
      <c r="K487" s="163"/>
      <c r="L487" s="163" t="s">
        <v>305</v>
      </c>
      <c r="M487" s="163"/>
      <c r="N487" s="163" t="s">
        <v>978</v>
      </c>
      <c r="O487" s="163"/>
      <c r="P487" s="163"/>
      <c r="Q487" s="163"/>
      <c r="R487" s="163" t="s">
        <v>513</v>
      </c>
      <c r="S487" s="163" t="s">
        <v>515</v>
      </c>
      <c r="T487" s="43">
        <f t="shared" si="11"/>
        <v>11</v>
      </c>
      <c r="U487" s="166">
        <f t="shared" si="10"/>
        <v>45625</v>
      </c>
      <c r="V487" s="166"/>
      <c r="W487" s="43"/>
      <c r="X487" s="43"/>
      <c r="Y487" s="43"/>
      <c r="Z487" s="43" t="s">
        <v>1113</v>
      </c>
      <c r="AA487" s="43"/>
      <c r="AB487" s="43"/>
    </row>
    <row r="488" spans="1:28" ht="14.25" hidden="1" customHeight="1">
      <c r="A488" s="163" t="s">
        <v>1017</v>
      </c>
      <c r="B488" s="164">
        <v>45625</v>
      </c>
      <c r="C488" s="163" t="s">
        <v>491</v>
      </c>
      <c r="D488" s="163" t="s">
        <v>281</v>
      </c>
      <c r="E488" s="163" t="s">
        <v>1265</v>
      </c>
      <c r="F488" s="169">
        <v>-750</v>
      </c>
      <c r="G488" s="165">
        <f t="shared" si="5"/>
        <v>88906.240000000034</v>
      </c>
      <c r="H488" s="163"/>
      <c r="I488" s="163" t="s">
        <v>283</v>
      </c>
      <c r="J488" s="163"/>
      <c r="K488" s="163"/>
      <c r="L488" s="163" t="s">
        <v>305</v>
      </c>
      <c r="M488" s="163"/>
      <c r="N488" s="163" t="s">
        <v>978</v>
      </c>
      <c r="O488" s="163"/>
      <c r="P488" s="163"/>
      <c r="Q488" s="163"/>
      <c r="R488" s="163" t="s">
        <v>491</v>
      </c>
      <c r="S488" s="163" t="s">
        <v>493</v>
      </c>
      <c r="T488" s="43">
        <f t="shared" si="11"/>
        <v>11</v>
      </c>
      <c r="U488" s="166">
        <f t="shared" si="10"/>
        <v>45625</v>
      </c>
      <c r="V488" s="166"/>
      <c r="W488" s="43"/>
      <c r="X488" s="43"/>
      <c r="Y488" s="43"/>
      <c r="Z488" s="43" t="s">
        <v>1113</v>
      </c>
      <c r="AA488" s="43"/>
      <c r="AB488" s="43"/>
    </row>
    <row r="489" spans="1:28" ht="14.25" hidden="1" customHeight="1">
      <c r="A489" s="163" t="s">
        <v>1017</v>
      </c>
      <c r="B489" s="164">
        <v>45625</v>
      </c>
      <c r="C489" s="163" t="s">
        <v>528</v>
      </c>
      <c r="D489" s="163" t="s">
        <v>281</v>
      </c>
      <c r="E489" s="163" t="s">
        <v>1265</v>
      </c>
      <c r="F489" s="169">
        <v>-312.5</v>
      </c>
      <c r="G489" s="165">
        <f t="shared" si="5"/>
        <v>88593.740000000034</v>
      </c>
      <c r="H489" s="163"/>
      <c r="I489" s="163" t="s">
        <v>283</v>
      </c>
      <c r="J489" s="163"/>
      <c r="K489" s="163"/>
      <c r="L489" s="163" t="s">
        <v>305</v>
      </c>
      <c r="M489" s="163"/>
      <c r="N489" s="163" t="s">
        <v>978</v>
      </c>
      <c r="O489" s="163"/>
      <c r="P489" s="163"/>
      <c r="Q489" s="163"/>
      <c r="R489" s="163" t="s">
        <v>528</v>
      </c>
      <c r="S489" s="163" t="s">
        <v>530</v>
      </c>
      <c r="T489" s="43">
        <f t="shared" si="11"/>
        <v>11</v>
      </c>
      <c r="U489" s="166">
        <f t="shared" si="10"/>
        <v>45625</v>
      </c>
      <c r="V489" s="43"/>
      <c r="W489" s="43"/>
      <c r="X489" s="43"/>
      <c r="Y489" s="43"/>
      <c r="Z489" s="43" t="s">
        <v>1113</v>
      </c>
      <c r="AA489" s="43"/>
      <c r="AB489" s="43"/>
    </row>
    <row r="490" spans="1:28" ht="14.25" hidden="1" customHeight="1">
      <c r="A490" s="163" t="s">
        <v>1017</v>
      </c>
      <c r="B490" s="164">
        <v>45625</v>
      </c>
      <c r="C490" s="163" t="s">
        <v>516</v>
      </c>
      <c r="D490" s="163" t="s">
        <v>281</v>
      </c>
      <c r="E490" s="163" t="s">
        <v>1265</v>
      </c>
      <c r="F490" s="169">
        <v>-250</v>
      </c>
      <c r="G490" s="165">
        <f t="shared" si="5"/>
        <v>88343.740000000034</v>
      </c>
      <c r="H490" s="163"/>
      <c r="I490" s="163" t="s">
        <v>283</v>
      </c>
      <c r="J490" s="163"/>
      <c r="K490" s="163"/>
      <c r="L490" s="163" t="s">
        <v>305</v>
      </c>
      <c r="M490" s="163"/>
      <c r="N490" s="163" t="s">
        <v>978</v>
      </c>
      <c r="O490" s="163"/>
      <c r="P490" s="163"/>
      <c r="Q490" s="163"/>
      <c r="R490" s="163" t="s">
        <v>516</v>
      </c>
      <c r="S490" s="163" t="s">
        <v>518</v>
      </c>
      <c r="T490" s="43">
        <f t="shared" si="11"/>
        <v>11</v>
      </c>
      <c r="U490" s="166">
        <f t="shared" si="10"/>
        <v>45625</v>
      </c>
      <c r="V490" s="43"/>
      <c r="W490" s="43"/>
      <c r="X490" s="43"/>
      <c r="Y490" s="43"/>
      <c r="Z490" s="43" t="s">
        <v>1113</v>
      </c>
      <c r="AA490" s="43"/>
      <c r="AB490" s="43"/>
    </row>
    <row r="491" spans="1:28" ht="14.25" hidden="1" customHeight="1">
      <c r="A491" s="163" t="s">
        <v>1017</v>
      </c>
      <c r="B491" s="164">
        <v>45625</v>
      </c>
      <c r="C491" s="163" t="s">
        <v>519</v>
      </c>
      <c r="D491" s="163" t="s">
        <v>281</v>
      </c>
      <c r="E491" s="163" t="s">
        <v>1265</v>
      </c>
      <c r="F491" s="169">
        <v>-250</v>
      </c>
      <c r="G491" s="165">
        <f t="shared" si="5"/>
        <v>88093.740000000034</v>
      </c>
      <c r="H491" s="163"/>
      <c r="I491" s="163" t="s">
        <v>283</v>
      </c>
      <c r="J491" s="163"/>
      <c r="K491" s="163"/>
      <c r="L491" s="163" t="s">
        <v>305</v>
      </c>
      <c r="M491" s="163"/>
      <c r="N491" s="163" t="s">
        <v>978</v>
      </c>
      <c r="O491" s="163"/>
      <c r="P491" s="163"/>
      <c r="Q491" s="163"/>
      <c r="R491" s="163" t="s">
        <v>519</v>
      </c>
      <c r="S491" s="163" t="s">
        <v>521</v>
      </c>
      <c r="T491" s="43">
        <f t="shared" si="11"/>
        <v>11</v>
      </c>
      <c r="U491" s="166">
        <f t="shared" si="10"/>
        <v>45625</v>
      </c>
      <c r="V491" s="43"/>
      <c r="W491" s="43"/>
      <c r="X491" s="43"/>
      <c r="Y491" s="43"/>
      <c r="Z491" s="43" t="s">
        <v>1113</v>
      </c>
      <c r="AA491" s="43"/>
      <c r="AB491" s="43"/>
    </row>
    <row r="492" spans="1:28" ht="14.25" hidden="1" customHeight="1">
      <c r="A492" s="163" t="s">
        <v>1017</v>
      </c>
      <c r="B492" s="164">
        <v>45625</v>
      </c>
      <c r="C492" s="163" t="s">
        <v>522</v>
      </c>
      <c r="D492" s="163" t="s">
        <v>281</v>
      </c>
      <c r="E492" s="163" t="s">
        <v>1265</v>
      </c>
      <c r="F492" s="169">
        <v>-437.5</v>
      </c>
      <c r="G492" s="165">
        <f t="shared" si="5"/>
        <v>87656.240000000034</v>
      </c>
      <c r="H492" s="163"/>
      <c r="I492" s="163" t="s">
        <v>283</v>
      </c>
      <c r="J492" s="163"/>
      <c r="K492" s="163"/>
      <c r="L492" s="163" t="s">
        <v>305</v>
      </c>
      <c r="M492" s="163"/>
      <c r="N492" s="163" t="s">
        <v>978</v>
      </c>
      <c r="O492" s="163"/>
      <c r="P492" s="163"/>
      <c r="Q492" s="163"/>
      <c r="R492" s="163" t="s">
        <v>522</v>
      </c>
      <c r="S492" s="163" t="s">
        <v>524</v>
      </c>
      <c r="T492" s="43">
        <f t="shared" si="11"/>
        <v>11</v>
      </c>
      <c r="U492" s="166">
        <f t="shared" si="10"/>
        <v>45625</v>
      </c>
      <c r="V492" s="43"/>
      <c r="W492" s="43"/>
      <c r="X492" s="43"/>
      <c r="Y492" s="43"/>
      <c r="Z492" s="43" t="s">
        <v>1113</v>
      </c>
      <c r="AA492" s="43"/>
      <c r="AB492" s="43"/>
    </row>
    <row r="493" spans="1:28" ht="14.25" hidden="1" customHeight="1">
      <c r="A493" s="163" t="s">
        <v>1017</v>
      </c>
      <c r="B493" s="164">
        <v>45625</v>
      </c>
      <c r="C493" s="163" t="s">
        <v>1266</v>
      </c>
      <c r="D493" s="163" t="s">
        <v>281</v>
      </c>
      <c r="E493" s="163" t="s">
        <v>1265</v>
      </c>
      <c r="F493" s="169">
        <v>-183.33</v>
      </c>
      <c r="G493" s="165">
        <f t="shared" si="5"/>
        <v>87472.910000000033</v>
      </c>
      <c r="H493" s="163"/>
      <c r="I493" s="163" t="s">
        <v>283</v>
      </c>
      <c r="J493" s="163"/>
      <c r="K493" s="163"/>
      <c r="L493" s="163" t="s">
        <v>305</v>
      </c>
      <c r="M493" s="163"/>
      <c r="N493" s="163" t="s">
        <v>978</v>
      </c>
      <c r="O493" s="163"/>
      <c r="P493" s="163"/>
      <c r="Q493" s="163"/>
      <c r="R493" s="163" t="s">
        <v>1266</v>
      </c>
      <c r="S493" s="163" t="s">
        <v>1267</v>
      </c>
      <c r="T493" s="43">
        <f t="shared" si="11"/>
        <v>11</v>
      </c>
      <c r="U493" s="166">
        <f t="shared" si="10"/>
        <v>45625</v>
      </c>
      <c r="V493" s="43"/>
      <c r="W493" s="43"/>
      <c r="X493" s="43"/>
      <c r="Y493" s="43"/>
      <c r="Z493" s="43" t="s">
        <v>1113</v>
      </c>
      <c r="AA493" s="43"/>
      <c r="AB493" s="43"/>
    </row>
    <row r="494" spans="1:28" ht="14.25" hidden="1" customHeight="1">
      <c r="A494" s="163" t="s">
        <v>1017</v>
      </c>
      <c r="B494" s="164">
        <v>45625</v>
      </c>
      <c r="C494" s="163" t="s">
        <v>494</v>
      </c>
      <c r="D494" s="163" t="s">
        <v>281</v>
      </c>
      <c r="E494" s="163" t="s">
        <v>1265</v>
      </c>
      <c r="F494" s="169">
        <v>-250</v>
      </c>
      <c r="G494" s="165">
        <f t="shared" si="5"/>
        <v>87222.910000000033</v>
      </c>
      <c r="H494" s="163"/>
      <c r="I494" s="163" t="s">
        <v>283</v>
      </c>
      <c r="J494" s="163"/>
      <c r="K494" s="163"/>
      <c r="L494" s="163" t="s">
        <v>305</v>
      </c>
      <c r="M494" s="163"/>
      <c r="N494" s="163" t="s">
        <v>978</v>
      </c>
      <c r="O494" s="163"/>
      <c r="P494" s="163"/>
      <c r="Q494" s="163"/>
      <c r="R494" s="163" t="s">
        <v>494</v>
      </c>
      <c r="S494" s="163" t="s">
        <v>496</v>
      </c>
      <c r="T494" s="43">
        <f t="shared" si="11"/>
        <v>11</v>
      </c>
      <c r="U494" s="166">
        <f t="shared" si="10"/>
        <v>45625</v>
      </c>
      <c r="V494" s="167"/>
      <c r="W494" s="43"/>
      <c r="X494" s="43"/>
      <c r="Y494" s="43"/>
      <c r="Z494" s="43" t="s">
        <v>1113</v>
      </c>
      <c r="AA494" s="43"/>
      <c r="AB494" s="43"/>
    </row>
    <row r="495" spans="1:28" ht="14.25" hidden="1" customHeight="1">
      <c r="A495" s="163" t="s">
        <v>1017</v>
      </c>
      <c r="B495" s="164">
        <v>45625</v>
      </c>
      <c r="C495" s="163" t="s">
        <v>525</v>
      </c>
      <c r="D495" s="163" t="s">
        <v>281</v>
      </c>
      <c r="E495" s="163" t="s">
        <v>1265</v>
      </c>
      <c r="F495" s="169">
        <v>-437.5</v>
      </c>
      <c r="G495" s="165">
        <f t="shared" si="5"/>
        <v>86785.410000000033</v>
      </c>
      <c r="H495" s="163"/>
      <c r="I495" s="163" t="s">
        <v>283</v>
      </c>
      <c r="J495" s="163"/>
      <c r="K495" s="163"/>
      <c r="L495" s="163" t="s">
        <v>305</v>
      </c>
      <c r="M495" s="163"/>
      <c r="N495" s="163" t="s">
        <v>978</v>
      </c>
      <c r="O495" s="163"/>
      <c r="P495" s="163"/>
      <c r="Q495" s="163"/>
      <c r="R495" s="163" t="s">
        <v>525</v>
      </c>
      <c r="S495" s="163" t="s">
        <v>527</v>
      </c>
      <c r="T495" s="43">
        <f t="shared" si="11"/>
        <v>11</v>
      </c>
      <c r="U495" s="166">
        <f t="shared" si="10"/>
        <v>45625</v>
      </c>
      <c r="V495" s="167"/>
      <c r="W495" s="43"/>
      <c r="X495" s="43"/>
      <c r="Y495" s="43"/>
      <c r="Z495" s="43" t="s">
        <v>1113</v>
      </c>
      <c r="AA495" s="43"/>
      <c r="AB495" s="43"/>
    </row>
    <row r="496" spans="1:28" ht="14.25" hidden="1" customHeight="1">
      <c r="A496" s="163" t="s">
        <v>1017</v>
      </c>
      <c r="B496" s="164">
        <v>45625</v>
      </c>
      <c r="C496" s="163" t="s">
        <v>112</v>
      </c>
      <c r="D496" s="163" t="s">
        <v>281</v>
      </c>
      <c r="E496" s="163" t="s">
        <v>1265</v>
      </c>
      <c r="F496" s="169">
        <v>-208.33</v>
      </c>
      <c r="G496" s="165">
        <f t="shared" si="5"/>
        <v>86577.080000000031</v>
      </c>
      <c r="H496" s="163"/>
      <c r="I496" s="163" t="s">
        <v>283</v>
      </c>
      <c r="J496" s="163"/>
      <c r="K496" s="163"/>
      <c r="L496" s="163" t="s">
        <v>305</v>
      </c>
      <c r="M496" s="163"/>
      <c r="N496" s="163" t="s">
        <v>978</v>
      </c>
      <c r="O496" s="163"/>
      <c r="P496" s="163"/>
      <c r="Q496" s="163"/>
      <c r="R496" s="163" t="s">
        <v>112</v>
      </c>
      <c r="S496" s="163" t="s">
        <v>532</v>
      </c>
      <c r="T496" s="43">
        <f t="shared" si="11"/>
        <v>11</v>
      </c>
      <c r="U496" s="166">
        <f t="shared" si="10"/>
        <v>45625</v>
      </c>
      <c r="V496" s="43"/>
      <c r="W496" s="43"/>
      <c r="X496" s="43"/>
      <c r="Y496" s="43"/>
      <c r="Z496" s="43" t="s">
        <v>1113</v>
      </c>
      <c r="AA496" s="43"/>
      <c r="AB496" s="43"/>
    </row>
    <row r="497" spans="1:28" ht="14.25" hidden="1" customHeight="1">
      <c r="A497" s="163" t="s">
        <v>1017</v>
      </c>
      <c r="B497" s="164">
        <v>45625</v>
      </c>
      <c r="C497" s="163" t="s">
        <v>533</v>
      </c>
      <c r="D497" s="163" t="s">
        <v>281</v>
      </c>
      <c r="E497" s="163" t="s">
        <v>1265</v>
      </c>
      <c r="F497" s="169">
        <v>-166.67</v>
      </c>
      <c r="G497" s="165">
        <f t="shared" si="5"/>
        <v>86410.410000000033</v>
      </c>
      <c r="H497" s="163"/>
      <c r="I497" s="163" t="s">
        <v>283</v>
      </c>
      <c r="J497" s="163"/>
      <c r="K497" s="163"/>
      <c r="L497" s="163" t="s">
        <v>305</v>
      </c>
      <c r="M497" s="163"/>
      <c r="N497" s="163" t="s">
        <v>978</v>
      </c>
      <c r="O497" s="163"/>
      <c r="P497" s="163"/>
      <c r="Q497" s="163"/>
      <c r="R497" s="163" t="s">
        <v>533</v>
      </c>
      <c r="S497" s="163" t="s">
        <v>535</v>
      </c>
      <c r="T497" s="43">
        <f t="shared" si="11"/>
        <v>11</v>
      </c>
      <c r="U497" s="166">
        <f t="shared" si="10"/>
        <v>45625</v>
      </c>
      <c r="V497" s="43"/>
      <c r="W497" s="43"/>
      <c r="X497" s="43"/>
      <c r="Y497" s="43"/>
      <c r="Z497" s="43" t="s">
        <v>1113</v>
      </c>
      <c r="AA497" s="43"/>
      <c r="AB497" s="43"/>
    </row>
    <row r="498" spans="1:28" ht="14.25" hidden="1" customHeight="1">
      <c r="A498" s="163" t="s">
        <v>1017</v>
      </c>
      <c r="B498" s="164">
        <v>45625</v>
      </c>
      <c r="C498" s="163" t="s">
        <v>536</v>
      </c>
      <c r="D498" s="163" t="s">
        <v>281</v>
      </c>
      <c r="E498" s="163" t="s">
        <v>1265</v>
      </c>
      <c r="F498" s="169">
        <v>-250</v>
      </c>
      <c r="G498" s="165">
        <f t="shared" si="5"/>
        <v>86160.410000000033</v>
      </c>
      <c r="H498" s="163"/>
      <c r="I498" s="163" t="s">
        <v>283</v>
      </c>
      <c r="J498" s="163"/>
      <c r="K498" s="163"/>
      <c r="L498" s="163" t="s">
        <v>305</v>
      </c>
      <c r="M498" s="163"/>
      <c r="N498" s="163" t="s">
        <v>978</v>
      </c>
      <c r="O498" s="163"/>
      <c r="P498" s="163"/>
      <c r="Q498" s="163"/>
      <c r="R498" s="163" t="s">
        <v>536</v>
      </c>
      <c r="S498" s="163" t="s">
        <v>538</v>
      </c>
      <c r="T498" s="43">
        <f t="shared" si="11"/>
        <v>11</v>
      </c>
      <c r="U498" s="166">
        <f t="shared" si="10"/>
        <v>45625</v>
      </c>
      <c r="V498" s="43"/>
      <c r="W498" s="43"/>
      <c r="X498" s="43"/>
      <c r="Y498" s="43"/>
      <c r="Z498" s="43" t="s">
        <v>1113</v>
      </c>
      <c r="AA498" s="43"/>
      <c r="AB498" s="43"/>
    </row>
    <row r="499" spans="1:28" ht="14.25" hidden="1" customHeight="1">
      <c r="A499" s="163" t="s">
        <v>1017</v>
      </c>
      <c r="B499" s="164">
        <v>45625</v>
      </c>
      <c r="C499" s="163" t="s">
        <v>436</v>
      </c>
      <c r="D499" s="163" t="s">
        <v>281</v>
      </c>
      <c r="E499" s="163" t="s">
        <v>1265</v>
      </c>
      <c r="F499" s="169">
        <v>-2720.64</v>
      </c>
      <c r="G499" s="165">
        <f t="shared" si="5"/>
        <v>83439.770000000033</v>
      </c>
      <c r="H499" s="163"/>
      <c r="I499" s="163" t="s">
        <v>283</v>
      </c>
      <c r="J499" s="163"/>
      <c r="K499" s="163"/>
      <c r="L499" s="163" t="s">
        <v>305</v>
      </c>
      <c r="M499" s="163"/>
      <c r="N499" s="163" t="s">
        <v>978</v>
      </c>
      <c r="O499" s="163"/>
      <c r="P499" s="163"/>
      <c r="Q499" s="163"/>
      <c r="R499" s="163" t="s">
        <v>436</v>
      </c>
      <c r="S499" s="163" t="s">
        <v>438</v>
      </c>
      <c r="T499" s="43">
        <f t="shared" si="11"/>
        <v>11</v>
      </c>
      <c r="U499" s="166">
        <f t="shared" si="10"/>
        <v>45625</v>
      </c>
      <c r="V499" s="43"/>
      <c r="W499" s="43"/>
      <c r="X499" s="43"/>
      <c r="Y499" s="43"/>
      <c r="Z499" s="43" t="s">
        <v>1113</v>
      </c>
      <c r="AA499" s="43"/>
      <c r="AB499" s="43"/>
    </row>
    <row r="500" spans="1:28" ht="14.25" hidden="1" customHeight="1">
      <c r="A500" s="163" t="s">
        <v>1017</v>
      </c>
      <c r="B500" s="164">
        <v>45625</v>
      </c>
      <c r="C500" s="163" t="s">
        <v>93</v>
      </c>
      <c r="D500" s="163" t="s">
        <v>281</v>
      </c>
      <c r="E500" s="163" t="s">
        <v>1265</v>
      </c>
      <c r="F500" s="169">
        <v>-1500</v>
      </c>
      <c r="G500" s="165">
        <f t="shared" si="5"/>
        <v>81939.770000000033</v>
      </c>
      <c r="H500" s="163"/>
      <c r="I500" s="163" t="s">
        <v>283</v>
      </c>
      <c r="J500" s="163"/>
      <c r="K500" s="163"/>
      <c r="L500" s="163" t="s">
        <v>305</v>
      </c>
      <c r="M500" s="163"/>
      <c r="N500" s="163" t="s">
        <v>978</v>
      </c>
      <c r="O500" s="163"/>
      <c r="P500" s="163"/>
      <c r="Q500" s="163"/>
      <c r="R500" s="163" t="s">
        <v>93</v>
      </c>
      <c r="S500" s="163" t="s">
        <v>540</v>
      </c>
      <c r="T500" s="43">
        <f t="shared" si="11"/>
        <v>11</v>
      </c>
      <c r="U500" s="166">
        <f t="shared" si="10"/>
        <v>45625</v>
      </c>
      <c r="V500" s="43"/>
      <c r="W500" s="43"/>
      <c r="X500" s="43"/>
      <c r="Y500" s="43"/>
      <c r="Z500" s="43" t="s">
        <v>1113</v>
      </c>
      <c r="AA500" s="43"/>
      <c r="AB500" s="43"/>
    </row>
    <row r="501" spans="1:28" ht="14.25" hidden="1" customHeight="1">
      <c r="A501" s="163" t="s">
        <v>1017</v>
      </c>
      <c r="B501" s="164">
        <v>45625</v>
      </c>
      <c r="C501" s="163" t="s">
        <v>321</v>
      </c>
      <c r="D501" s="163" t="s">
        <v>281</v>
      </c>
      <c r="E501" s="163" t="s">
        <v>1265</v>
      </c>
      <c r="F501" s="169">
        <v>-1204.6300000000001</v>
      </c>
      <c r="G501" s="165">
        <f t="shared" si="5"/>
        <v>80735.140000000029</v>
      </c>
      <c r="H501" s="163"/>
      <c r="I501" s="163" t="s">
        <v>283</v>
      </c>
      <c r="J501" s="163"/>
      <c r="K501" s="163"/>
      <c r="L501" s="163" t="s">
        <v>305</v>
      </c>
      <c r="M501" s="163"/>
      <c r="N501" s="163" t="s">
        <v>978</v>
      </c>
      <c r="O501" s="163"/>
      <c r="P501" s="163"/>
      <c r="Q501" s="163"/>
      <c r="R501" s="163" t="s">
        <v>321</v>
      </c>
      <c r="S501" s="163" t="s">
        <v>323</v>
      </c>
      <c r="T501" s="43">
        <f t="shared" si="11"/>
        <v>11</v>
      </c>
      <c r="U501" s="166">
        <f t="shared" si="10"/>
        <v>45625</v>
      </c>
      <c r="V501" s="43"/>
      <c r="W501" s="43"/>
      <c r="X501" s="43"/>
      <c r="Y501" s="43"/>
      <c r="Z501" s="43" t="s">
        <v>1113</v>
      </c>
      <c r="AA501" s="43"/>
      <c r="AB501" s="43"/>
    </row>
    <row r="502" spans="1:28" ht="14.25" hidden="1" customHeight="1">
      <c r="A502" s="163" t="s">
        <v>1017</v>
      </c>
      <c r="B502" s="164">
        <v>45625</v>
      </c>
      <c r="C502" s="163" t="s">
        <v>451</v>
      </c>
      <c r="D502" s="163" t="s">
        <v>281</v>
      </c>
      <c r="E502" s="163" t="s">
        <v>1265</v>
      </c>
      <c r="F502" s="169">
        <v>-1089.54</v>
      </c>
      <c r="G502" s="165">
        <f t="shared" si="5"/>
        <v>79645.600000000035</v>
      </c>
      <c r="H502" s="163"/>
      <c r="I502" s="163" t="s">
        <v>994</v>
      </c>
      <c r="J502" s="163"/>
      <c r="K502" s="163"/>
      <c r="L502" s="163" t="s">
        <v>305</v>
      </c>
      <c r="M502" s="163"/>
      <c r="N502" s="163" t="s">
        <v>978</v>
      </c>
      <c r="O502" s="163"/>
      <c r="P502" s="163"/>
      <c r="Q502" s="163"/>
      <c r="R502" s="163" t="s">
        <v>451</v>
      </c>
      <c r="S502" s="163" t="s">
        <v>453</v>
      </c>
      <c r="T502" s="177">
        <f t="shared" si="11"/>
        <v>11</v>
      </c>
      <c r="U502" s="166">
        <f t="shared" si="10"/>
        <v>45625</v>
      </c>
      <c r="V502" s="177"/>
      <c r="W502" s="43"/>
      <c r="X502" s="43"/>
      <c r="Y502" s="43"/>
      <c r="Z502" s="43" t="s">
        <v>1113</v>
      </c>
      <c r="AA502" s="177"/>
      <c r="AB502" s="177"/>
    </row>
    <row r="503" spans="1:28" ht="14.25" hidden="1" customHeight="1">
      <c r="A503" s="163" t="s">
        <v>1017</v>
      </c>
      <c r="B503" s="164">
        <v>45625</v>
      </c>
      <c r="C503" s="163" t="s">
        <v>358</v>
      </c>
      <c r="D503" s="163" t="s">
        <v>281</v>
      </c>
      <c r="E503" s="163" t="s">
        <v>1265</v>
      </c>
      <c r="F503" s="169">
        <v>-1007.01</v>
      </c>
      <c r="G503" s="165">
        <f t="shared" si="5"/>
        <v>78638.59000000004</v>
      </c>
      <c r="H503" s="163"/>
      <c r="I503" s="163" t="s">
        <v>283</v>
      </c>
      <c r="J503" s="163"/>
      <c r="K503" s="163"/>
      <c r="L503" s="163" t="s">
        <v>305</v>
      </c>
      <c r="M503" s="163"/>
      <c r="N503" s="163" t="s">
        <v>978</v>
      </c>
      <c r="O503" s="163"/>
      <c r="P503" s="163"/>
      <c r="Q503" s="163"/>
      <c r="R503" s="163" t="s">
        <v>358</v>
      </c>
      <c r="S503" s="163" t="s">
        <v>361</v>
      </c>
      <c r="T503" s="43">
        <f t="shared" si="11"/>
        <v>11</v>
      </c>
      <c r="U503" s="166">
        <f t="shared" si="10"/>
        <v>45625</v>
      </c>
      <c r="V503" s="43"/>
      <c r="W503" s="43"/>
      <c r="X503" s="43"/>
      <c r="Y503" s="43"/>
      <c r="Z503" s="43" t="s">
        <v>1113</v>
      </c>
      <c r="AA503" s="43"/>
      <c r="AB503" s="43"/>
    </row>
    <row r="504" spans="1:28" ht="14.25" hidden="1" customHeight="1">
      <c r="A504" s="163" t="s">
        <v>1017</v>
      </c>
      <c r="B504" s="164">
        <v>45625</v>
      </c>
      <c r="C504" s="163" t="s">
        <v>669</v>
      </c>
      <c r="D504" s="163" t="s">
        <v>281</v>
      </c>
      <c r="E504" s="163" t="s">
        <v>1265</v>
      </c>
      <c r="F504" s="169">
        <v>-375</v>
      </c>
      <c r="G504" s="165">
        <f t="shared" si="5"/>
        <v>78263.59000000004</v>
      </c>
      <c r="H504" s="163"/>
      <c r="I504" s="163" t="s">
        <v>283</v>
      </c>
      <c r="J504" s="163"/>
      <c r="K504" s="163"/>
      <c r="L504" s="163" t="s">
        <v>305</v>
      </c>
      <c r="M504" s="163"/>
      <c r="N504" s="163" t="s">
        <v>978</v>
      </c>
      <c r="O504" s="163"/>
      <c r="P504" s="163"/>
      <c r="Q504" s="163"/>
      <c r="R504" s="163" t="s">
        <v>671</v>
      </c>
      <c r="S504" s="163" t="s">
        <v>672</v>
      </c>
      <c r="T504" s="43">
        <f t="shared" si="11"/>
        <v>11</v>
      </c>
      <c r="U504" s="166">
        <f t="shared" si="10"/>
        <v>45625</v>
      </c>
      <c r="V504" s="167"/>
      <c r="W504" s="43"/>
      <c r="X504" s="43"/>
      <c r="Y504" s="43"/>
      <c r="Z504" s="43" t="s">
        <v>1113</v>
      </c>
      <c r="AA504" s="43"/>
      <c r="AB504" s="43"/>
    </row>
    <row r="505" spans="1:28" ht="14.25" hidden="1" customHeight="1">
      <c r="A505" s="163" t="s">
        <v>1017</v>
      </c>
      <c r="B505" s="164">
        <v>45625</v>
      </c>
      <c r="C505" s="163" t="s">
        <v>88</v>
      </c>
      <c r="D505" s="163" t="s">
        <v>281</v>
      </c>
      <c r="E505" s="163" t="s">
        <v>1265</v>
      </c>
      <c r="F505" s="169">
        <v>-1125</v>
      </c>
      <c r="G505" s="165">
        <f t="shared" si="5"/>
        <v>77138.59000000004</v>
      </c>
      <c r="H505" s="163"/>
      <c r="I505" s="163" t="s">
        <v>283</v>
      </c>
      <c r="J505" s="163"/>
      <c r="K505" s="163"/>
      <c r="L505" s="163" t="s">
        <v>305</v>
      </c>
      <c r="M505" s="163"/>
      <c r="N505" s="163" t="s">
        <v>978</v>
      </c>
      <c r="O505" s="163"/>
      <c r="P505" s="163"/>
      <c r="Q505" s="163"/>
      <c r="R505" s="163" t="s">
        <v>88</v>
      </c>
      <c r="S505" s="163" t="s">
        <v>542</v>
      </c>
      <c r="T505" s="177">
        <f t="shared" si="11"/>
        <v>11</v>
      </c>
      <c r="U505" s="166">
        <f t="shared" si="10"/>
        <v>45625</v>
      </c>
      <c r="V505" s="178"/>
      <c r="W505" s="43"/>
      <c r="X505" s="43"/>
      <c r="Y505" s="43"/>
      <c r="Z505" s="43" t="s">
        <v>1113</v>
      </c>
      <c r="AA505" s="177"/>
      <c r="AB505" s="177"/>
    </row>
    <row r="506" spans="1:28" ht="14.25" hidden="1" customHeight="1">
      <c r="A506" s="163" t="s">
        <v>1017</v>
      </c>
      <c r="B506" s="164">
        <v>45625</v>
      </c>
      <c r="C506" s="163" t="s">
        <v>95</v>
      </c>
      <c r="D506" s="163" t="s">
        <v>281</v>
      </c>
      <c r="E506" s="163" t="s">
        <v>1265</v>
      </c>
      <c r="F506" s="169">
        <v>-2029.32</v>
      </c>
      <c r="G506" s="165">
        <f t="shared" si="5"/>
        <v>75109.270000000033</v>
      </c>
      <c r="H506" s="163"/>
      <c r="I506" s="163" t="s">
        <v>283</v>
      </c>
      <c r="J506" s="163"/>
      <c r="K506" s="163"/>
      <c r="L506" s="163" t="s">
        <v>305</v>
      </c>
      <c r="M506" s="163"/>
      <c r="N506" s="163" t="s">
        <v>978</v>
      </c>
      <c r="O506" s="163"/>
      <c r="P506" s="163"/>
      <c r="Q506" s="163"/>
      <c r="R506" s="163" t="s">
        <v>95</v>
      </c>
      <c r="S506" s="163" t="s">
        <v>440</v>
      </c>
      <c r="T506" s="43">
        <f t="shared" si="11"/>
        <v>11</v>
      </c>
      <c r="U506" s="167">
        <f t="shared" si="10"/>
        <v>45625</v>
      </c>
      <c r="V506" s="43"/>
      <c r="W506" s="43"/>
      <c r="X506" s="43"/>
      <c r="Y506" s="43"/>
      <c r="Z506" s="43" t="s">
        <v>1113</v>
      </c>
      <c r="AA506" s="43"/>
      <c r="AB506" s="43"/>
    </row>
    <row r="507" spans="1:28" ht="14.25" hidden="1" customHeight="1">
      <c r="A507" s="163" t="s">
        <v>1017</v>
      </c>
      <c r="B507" s="164">
        <v>45625</v>
      </c>
      <c r="C507" s="163" t="s">
        <v>441</v>
      </c>
      <c r="D507" s="163" t="s">
        <v>281</v>
      </c>
      <c r="E507" s="163" t="s">
        <v>1265</v>
      </c>
      <c r="F507" s="169">
        <v>-915</v>
      </c>
      <c r="G507" s="165">
        <f t="shared" si="5"/>
        <v>74194.270000000033</v>
      </c>
      <c r="H507" s="163"/>
      <c r="I507" s="163" t="s">
        <v>283</v>
      </c>
      <c r="J507" s="163"/>
      <c r="K507" s="163"/>
      <c r="L507" s="163" t="s">
        <v>305</v>
      </c>
      <c r="M507" s="163"/>
      <c r="N507" s="163" t="s">
        <v>978</v>
      </c>
      <c r="O507" s="163"/>
      <c r="P507" s="163"/>
      <c r="Q507" s="163"/>
      <c r="R507" s="163" t="s">
        <v>441</v>
      </c>
      <c r="S507" s="163" t="s">
        <v>443</v>
      </c>
      <c r="T507" s="43">
        <f t="shared" si="11"/>
        <v>11</v>
      </c>
      <c r="U507" s="166">
        <f t="shared" si="10"/>
        <v>45625</v>
      </c>
      <c r="V507" s="43"/>
      <c r="W507" s="43"/>
      <c r="X507" s="43"/>
      <c r="Y507" s="43"/>
      <c r="Z507" s="43" t="s">
        <v>1113</v>
      </c>
      <c r="AA507" s="43"/>
      <c r="AB507" s="43"/>
    </row>
    <row r="508" spans="1:28" ht="14.25" hidden="1" customHeight="1">
      <c r="A508" s="163" t="s">
        <v>1017</v>
      </c>
      <c r="B508" s="164">
        <v>45625</v>
      </c>
      <c r="C508" s="163" t="s">
        <v>433</v>
      </c>
      <c r="D508" s="163" t="s">
        <v>281</v>
      </c>
      <c r="E508" s="163" t="s">
        <v>1265</v>
      </c>
      <c r="F508" s="169">
        <v>-2720.64</v>
      </c>
      <c r="G508" s="165">
        <f t="shared" si="5"/>
        <v>71473.630000000034</v>
      </c>
      <c r="H508" s="163"/>
      <c r="I508" s="163" t="s">
        <v>283</v>
      </c>
      <c r="J508" s="163"/>
      <c r="K508" s="163"/>
      <c r="L508" s="163" t="s">
        <v>305</v>
      </c>
      <c r="M508" s="163"/>
      <c r="N508" s="163" t="s">
        <v>978</v>
      </c>
      <c r="O508" s="163"/>
      <c r="P508" s="163"/>
      <c r="Q508" s="163"/>
      <c r="R508" s="163" t="s">
        <v>433</v>
      </c>
      <c r="S508" s="163" t="s">
        <v>435</v>
      </c>
      <c r="T508" s="43">
        <f t="shared" si="11"/>
        <v>11</v>
      </c>
      <c r="U508" s="166">
        <f t="shared" si="10"/>
        <v>45625</v>
      </c>
      <c r="V508" s="43"/>
      <c r="W508" s="43"/>
      <c r="X508" s="43"/>
      <c r="Y508" s="43"/>
      <c r="Z508" s="43" t="s">
        <v>1113</v>
      </c>
      <c r="AA508" s="43"/>
      <c r="AB508" s="43"/>
    </row>
    <row r="509" spans="1:28" ht="14.25" hidden="1" customHeight="1">
      <c r="A509" s="163" t="s">
        <v>1017</v>
      </c>
      <c r="B509" s="164">
        <v>45625</v>
      </c>
      <c r="C509" s="163" t="s">
        <v>543</v>
      </c>
      <c r="D509" s="163" t="s">
        <v>281</v>
      </c>
      <c r="E509" s="163" t="s">
        <v>1265</v>
      </c>
      <c r="F509" s="169">
        <v>-208.33</v>
      </c>
      <c r="G509" s="165">
        <f t="shared" si="5"/>
        <v>71265.300000000032</v>
      </c>
      <c r="H509" s="163"/>
      <c r="I509" s="163" t="s">
        <v>283</v>
      </c>
      <c r="J509" s="163"/>
      <c r="K509" s="163"/>
      <c r="L509" s="163" t="s">
        <v>305</v>
      </c>
      <c r="M509" s="163"/>
      <c r="N509" s="163" t="s">
        <v>978</v>
      </c>
      <c r="O509" s="163"/>
      <c r="P509" s="163"/>
      <c r="Q509" s="163"/>
      <c r="R509" s="163" t="s">
        <v>543</v>
      </c>
      <c r="S509" s="163" t="s">
        <v>545</v>
      </c>
      <c r="T509" s="43">
        <f t="shared" si="11"/>
        <v>11</v>
      </c>
      <c r="U509" s="166">
        <f t="shared" si="10"/>
        <v>45625</v>
      </c>
      <c r="V509" s="43"/>
      <c r="W509" s="43"/>
      <c r="X509" s="43"/>
      <c r="Y509" s="43"/>
      <c r="Z509" s="43" t="s">
        <v>1113</v>
      </c>
      <c r="AA509" s="43"/>
      <c r="AB509" s="43"/>
    </row>
    <row r="510" spans="1:28" ht="14.25" hidden="1" customHeight="1">
      <c r="A510" s="163" t="s">
        <v>1017</v>
      </c>
      <c r="B510" s="164">
        <v>45625</v>
      </c>
      <c r="C510" s="163" t="s">
        <v>472</v>
      </c>
      <c r="D510" s="163" t="s">
        <v>281</v>
      </c>
      <c r="E510" s="163" t="s">
        <v>1265</v>
      </c>
      <c r="F510" s="169">
        <v>-1292.1300000000001</v>
      </c>
      <c r="G510" s="165">
        <f t="shared" si="5"/>
        <v>69973.170000000027</v>
      </c>
      <c r="H510" s="163"/>
      <c r="I510" s="163" t="s">
        <v>283</v>
      </c>
      <c r="J510" s="163"/>
      <c r="K510" s="163"/>
      <c r="L510" s="163" t="s">
        <v>305</v>
      </c>
      <c r="M510" s="163"/>
      <c r="N510" s="163" t="s">
        <v>978</v>
      </c>
      <c r="O510" s="163"/>
      <c r="P510" s="163"/>
      <c r="Q510" s="163"/>
      <c r="R510" s="163" t="s">
        <v>472</v>
      </c>
      <c r="S510" s="163" t="s">
        <v>475</v>
      </c>
      <c r="T510" s="43">
        <f t="shared" si="11"/>
        <v>11</v>
      </c>
      <c r="U510" s="166">
        <f t="shared" si="10"/>
        <v>45625</v>
      </c>
      <c r="V510" s="43"/>
      <c r="W510" s="43"/>
      <c r="X510" s="43"/>
      <c r="Y510" s="43"/>
      <c r="Z510" s="43" t="s">
        <v>1113</v>
      </c>
      <c r="AA510" s="43"/>
      <c r="AB510" s="43"/>
    </row>
    <row r="511" spans="1:28" ht="14.25" hidden="1" customHeight="1">
      <c r="A511" s="163" t="s">
        <v>1017</v>
      </c>
      <c r="B511" s="164">
        <v>45625</v>
      </c>
      <c r="C511" s="163" t="s">
        <v>546</v>
      </c>
      <c r="D511" s="163" t="s">
        <v>281</v>
      </c>
      <c r="E511" s="163" t="s">
        <v>1265</v>
      </c>
      <c r="F511" s="169">
        <v>-328.16</v>
      </c>
      <c r="G511" s="165">
        <f t="shared" si="5"/>
        <v>69645.010000000024</v>
      </c>
      <c r="H511" s="163"/>
      <c r="I511" s="163" t="s">
        <v>283</v>
      </c>
      <c r="J511" s="163"/>
      <c r="K511" s="163"/>
      <c r="L511" s="163" t="s">
        <v>305</v>
      </c>
      <c r="M511" s="163"/>
      <c r="N511" s="163" t="s">
        <v>978</v>
      </c>
      <c r="O511" s="163"/>
      <c r="P511" s="163"/>
      <c r="Q511" s="163"/>
      <c r="R511" s="163" t="s">
        <v>546</v>
      </c>
      <c r="S511" s="163" t="s">
        <v>548</v>
      </c>
      <c r="T511" s="43">
        <f t="shared" si="11"/>
        <v>11</v>
      </c>
      <c r="U511" s="166">
        <f t="shared" si="10"/>
        <v>45625</v>
      </c>
      <c r="V511" s="43"/>
      <c r="W511" s="43"/>
      <c r="X511" s="43"/>
      <c r="Y511" s="43"/>
      <c r="Z511" s="43" t="s">
        <v>1113</v>
      </c>
      <c r="AA511" s="43"/>
      <c r="AB511" s="43"/>
    </row>
    <row r="512" spans="1:28" ht="14.25" hidden="1" customHeight="1">
      <c r="A512" s="163" t="s">
        <v>1017</v>
      </c>
      <c r="B512" s="164">
        <v>45625</v>
      </c>
      <c r="C512" s="163" t="s">
        <v>99</v>
      </c>
      <c r="D512" s="163" t="s">
        <v>281</v>
      </c>
      <c r="E512" s="163" t="s">
        <v>1265</v>
      </c>
      <c r="F512" s="169">
        <v>-1853.41</v>
      </c>
      <c r="G512" s="165">
        <f t="shared" si="5"/>
        <v>67791.60000000002</v>
      </c>
      <c r="H512" s="163"/>
      <c r="I512" s="163" t="s">
        <v>283</v>
      </c>
      <c r="J512" s="163"/>
      <c r="K512" s="163"/>
      <c r="L512" s="163" t="s">
        <v>305</v>
      </c>
      <c r="M512" s="163"/>
      <c r="N512" s="163" t="s">
        <v>978</v>
      </c>
      <c r="O512" s="163"/>
      <c r="P512" s="163"/>
      <c r="Q512" s="163"/>
      <c r="R512" s="163" t="s">
        <v>99</v>
      </c>
      <c r="S512" s="163" t="s">
        <v>456</v>
      </c>
      <c r="T512" s="43">
        <f t="shared" si="11"/>
        <v>11</v>
      </c>
      <c r="U512" s="166">
        <f t="shared" si="10"/>
        <v>45625</v>
      </c>
      <c r="V512" s="43"/>
      <c r="W512" s="43"/>
      <c r="X512" s="43"/>
      <c r="Y512" s="43"/>
      <c r="Z512" s="43" t="s">
        <v>1113</v>
      </c>
      <c r="AA512" s="43"/>
      <c r="AB512" s="43"/>
    </row>
    <row r="513" spans="1:28" ht="14.25" hidden="1" customHeight="1">
      <c r="A513" s="163" t="s">
        <v>1017</v>
      </c>
      <c r="B513" s="164">
        <v>45625</v>
      </c>
      <c r="C513" s="163" t="s">
        <v>481</v>
      </c>
      <c r="D513" s="163" t="s">
        <v>281</v>
      </c>
      <c r="E513" s="163" t="s">
        <v>1265</v>
      </c>
      <c r="F513" s="169">
        <v>-666.67</v>
      </c>
      <c r="G513" s="165">
        <f t="shared" ref="G513:G767" si="12">F513+G512</f>
        <v>67124.930000000022</v>
      </c>
      <c r="H513" s="163"/>
      <c r="I513" s="163" t="s">
        <v>283</v>
      </c>
      <c r="J513" s="163"/>
      <c r="K513" s="163"/>
      <c r="L513" s="163" t="s">
        <v>305</v>
      </c>
      <c r="M513" s="163"/>
      <c r="N513" s="163" t="s">
        <v>978</v>
      </c>
      <c r="O513" s="163"/>
      <c r="P513" s="163"/>
      <c r="Q513" s="163"/>
      <c r="R513" s="163" t="s">
        <v>481</v>
      </c>
      <c r="S513" s="163" t="s">
        <v>483</v>
      </c>
      <c r="T513" s="43">
        <f t="shared" si="11"/>
        <v>11</v>
      </c>
      <c r="U513" s="166">
        <f t="shared" si="10"/>
        <v>45625</v>
      </c>
      <c r="V513" s="43"/>
      <c r="W513" s="43"/>
      <c r="X513" s="43"/>
      <c r="Y513" s="43"/>
      <c r="Z513" s="43" t="s">
        <v>1113</v>
      </c>
      <c r="AA513" s="43"/>
      <c r="AB513" s="43"/>
    </row>
    <row r="514" spans="1:28" ht="14.25" hidden="1" customHeight="1">
      <c r="A514" s="163" t="s">
        <v>1017</v>
      </c>
      <c r="B514" s="164">
        <v>45625</v>
      </c>
      <c r="C514" s="163" t="s">
        <v>457</v>
      </c>
      <c r="D514" s="163" t="s">
        <v>281</v>
      </c>
      <c r="E514" s="163" t="s">
        <v>1265</v>
      </c>
      <c r="F514" s="169">
        <v>-1161.25</v>
      </c>
      <c r="G514" s="165">
        <f t="shared" si="12"/>
        <v>65963.680000000022</v>
      </c>
      <c r="H514" s="163"/>
      <c r="I514" s="163" t="s">
        <v>283</v>
      </c>
      <c r="J514" s="163"/>
      <c r="K514" s="163"/>
      <c r="L514" s="163" t="s">
        <v>305</v>
      </c>
      <c r="M514" s="163"/>
      <c r="N514" s="163" t="s">
        <v>978</v>
      </c>
      <c r="O514" s="163"/>
      <c r="P514" s="163"/>
      <c r="Q514" s="163"/>
      <c r="R514" s="163" t="s">
        <v>457</v>
      </c>
      <c r="S514" s="163" t="s">
        <v>459</v>
      </c>
      <c r="T514" s="43">
        <f t="shared" si="11"/>
        <v>11</v>
      </c>
      <c r="U514" s="166">
        <f t="shared" si="10"/>
        <v>45625</v>
      </c>
      <c r="V514" s="43"/>
      <c r="W514" s="43"/>
      <c r="X514" s="43"/>
      <c r="Y514" s="43"/>
      <c r="Z514" s="43" t="s">
        <v>1113</v>
      </c>
      <c r="AA514" s="43"/>
      <c r="AB514" s="43"/>
    </row>
    <row r="515" spans="1:28" ht="14.25" hidden="1" customHeight="1">
      <c r="A515" s="163" t="s">
        <v>1017</v>
      </c>
      <c r="B515" s="164">
        <v>45625</v>
      </c>
      <c r="C515" s="163" t="s">
        <v>362</v>
      </c>
      <c r="D515" s="163" t="s">
        <v>281</v>
      </c>
      <c r="E515" s="163" t="s">
        <v>1265</v>
      </c>
      <c r="F515" s="169">
        <v>-616.66999999999996</v>
      </c>
      <c r="G515" s="165">
        <f t="shared" si="12"/>
        <v>65347.010000000024</v>
      </c>
      <c r="H515" s="163"/>
      <c r="I515" s="163" t="s">
        <v>283</v>
      </c>
      <c r="J515" s="163"/>
      <c r="K515" s="163"/>
      <c r="L515" s="163" t="s">
        <v>305</v>
      </c>
      <c r="M515" s="163"/>
      <c r="N515" s="163" t="s">
        <v>978</v>
      </c>
      <c r="O515" s="163"/>
      <c r="P515" s="163"/>
      <c r="Q515" s="163"/>
      <c r="R515" s="163" t="s">
        <v>362</v>
      </c>
      <c r="S515" s="163" t="s">
        <v>364</v>
      </c>
      <c r="T515" s="43">
        <f t="shared" si="11"/>
        <v>11</v>
      </c>
      <c r="U515" s="166">
        <f t="shared" si="10"/>
        <v>45625</v>
      </c>
      <c r="V515" s="43"/>
      <c r="W515" s="43"/>
      <c r="X515" s="43"/>
      <c r="Y515" s="43"/>
      <c r="Z515" s="43" t="s">
        <v>1113</v>
      </c>
      <c r="AA515" s="43"/>
      <c r="AB515" s="43"/>
    </row>
    <row r="516" spans="1:28" ht="14.25" hidden="1" customHeight="1">
      <c r="A516" s="163" t="s">
        <v>1017</v>
      </c>
      <c r="B516" s="164">
        <v>45625</v>
      </c>
      <c r="C516" s="163" t="s">
        <v>460</v>
      </c>
      <c r="D516" s="163" t="s">
        <v>281</v>
      </c>
      <c r="E516" s="163" t="s">
        <v>1265</v>
      </c>
      <c r="F516" s="169">
        <v>-1157</v>
      </c>
      <c r="G516" s="165">
        <f t="shared" si="12"/>
        <v>64190.010000000024</v>
      </c>
      <c r="H516" s="163"/>
      <c r="I516" s="163" t="s">
        <v>283</v>
      </c>
      <c r="J516" s="163"/>
      <c r="K516" s="163"/>
      <c r="L516" s="163" t="s">
        <v>305</v>
      </c>
      <c r="M516" s="163"/>
      <c r="N516" s="163" t="s">
        <v>978</v>
      </c>
      <c r="O516" s="163"/>
      <c r="P516" s="163"/>
      <c r="Q516" s="163"/>
      <c r="R516" s="163" t="s">
        <v>460</v>
      </c>
      <c r="S516" s="163" t="s">
        <v>462</v>
      </c>
      <c r="T516" s="43">
        <f t="shared" si="11"/>
        <v>11</v>
      </c>
      <c r="U516" s="166">
        <f t="shared" si="10"/>
        <v>45625</v>
      </c>
      <c r="V516" s="43"/>
      <c r="W516" s="43"/>
      <c r="X516" s="43"/>
      <c r="Y516" s="43"/>
      <c r="Z516" s="43" t="s">
        <v>1113</v>
      </c>
      <c r="AA516" s="43"/>
      <c r="AB516" s="43"/>
    </row>
    <row r="517" spans="1:28" ht="14.25" hidden="1" customHeight="1">
      <c r="A517" s="163" t="s">
        <v>1017</v>
      </c>
      <c r="B517" s="164">
        <v>45625</v>
      </c>
      <c r="C517" s="163" t="s">
        <v>549</v>
      </c>
      <c r="D517" s="163" t="s">
        <v>281</v>
      </c>
      <c r="E517" s="163" t="s">
        <v>1265</v>
      </c>
      <c r="F517" s="169">
        <v>-541.66999999999996</v>
      </c>
      <c r="G517" s="165">
        <f t="shared" si="12"/>
        <v>63648.340000000026</v>
      </c>
      <c r="H517" s="163"/>
      <c r="I517" s="163" t="s">
        <v>283</v>
      </c>
      <c r="J517" s="163"/>
      <c r="K517" s="163"/>
      <c r="L517" s="163" t="s">
        <v>305</v>
      </c>
      <c r="M517" s="163"/>
      <c r="N517" s="163" t="s">
        <v>978</v>
      </c>
      <c r="O517" s="163"/>
      <c r="P517" s="163"/>
      <c r="Q517" s="163"/>
      <c r="R517" s="163" t="s">
        <v>549</v>
      </c>
      <c r="S517" s="163" t="s">
        <v>551</v>
      </c>
      <c r="T517" s="43">
        <f t="shared" si="11"/>
        <v>11</v>
      </c>
      <c r="U517" s="166">
        <f t="shared" si="10"/>
        <v>45625</v>
      </c>
      <c r="V517" s="43"/>
      <c r="W517" s="43"/>
      <c r="X517" s="43"/>
      <c r="Y517" s="43"/>
      <c r="Z517" s="43" t="s">
        <v>1113</v>
      </c>
      <c r="AA517" s="43"/>
      <c r="AB517" s="43"/>
    </row>
    <row r="518" spans="1:28" ht="14.25" hidden="1" customHeight="1">
      <c r="A518" s="163" t="s">
        <v>1017</v>
      </c>
      <c r="B518" s="164">
        <v>45625</v>
      </c>
      <c r="C518" s="163" t="s">
        <v>463</v>
      </c>
      <c r="D518" s="163" t="s">
        <v>281</v>
      </c>
      <c r="E518" s="163" t="s">
        <v>1265</v>
      </c>
      <c r="F518" s="169">
        <v>-730.88</v>
      </c>
      <c r="G518" s="165">
        <f t="shared" si="12"/>
        <v>62917.460000000028</v>
      </c>
      <c r="H518" s="163"/>
      <c r="I518" s="163" t="s">
        <v>283</v>
      </c>
      <c r="J518" s="163"/>
      <c r="K518" s="163"/>
      <c r="L518" s="163" t="s">
        <v>305</v>
      </c>
      <c r="M518" s="163"/>
      <c r="N518" s="163" t="s">
        <v>978</v>
      </c>
      <c r="O518" s="163"/>
      <c r="P518" s="163"/>
      <c r="Q518" s="163"/>
      <c r="R518" s="163" t="s">
        <v>463</v>
      </c>
      <c r="S518" s="163" t="s">
        <v>465</v>
      </c>
      <c r="T518" s="43">
        <f t="shared" si="11"/>
        <v>11</v>
      </c>
      <c r="U518" s="166">
        <f t="shared" si="10"/>
        <v>45625</v>
      </c>
      <c r="V518" s="43"/>
      <c r="W518" s="43"/>
      <c r="X518" s="43"/>
      <c r="Y518" s="43"/>
      <c r="Z518" s="43" t="s">
        <v>1113</v>
      </c>
      <c r="AA518" s="43"/>
      <c r="AB518" s="43"/>
    </row>
    <row r="519" spans="1:28" ht="14.25" hidden="1" customHeight="1">
      <c r="A519" s="163" t="s">
        <v>1017</v>
      </c>
      <c r="B519" s="164">
        <v>45625</v>
      </c>
      <c r="C519" s="163" t="s">
        <v>447</v>
      </c>
      <c r="D519" s="163" t="s">
        <v>281</v>
      </c>
      <c r="E519" s="163" t="s">
        <v>1265</v>
      </c>
      <c r="F519" s="169">
        <v>-762.5</v>
      </c>
      <c r="G519" s="165">
        <f t="shared" si="12"/>
        <v>62154.960000000028</v>
      </c>
      <c r="H519" s="163"/>
      <c r="I519" s="163" t="s">
        <v>283</v>
      </c>
      <c r="J519" s="163"/>
      <c r="K519" s="163"/>
      <c r="L519" s="163" t="s">
        <v>305</v>
      </c>
      <c r="M519" s="163"/>
      <c r="N519" s="163" t="s">
        <v>978</v>
      </c>
      <c r="O519" s="163"/>
      <c r="P519" s="163"/>
      <c r="Q519" s="163"/>
      <c r="R519" s="163" t="s">
        <v>447</v>
      </c>
      <c r="S519" s="163" t="s">
        <v>449</v>
      </c>
      <c r="T519" s="43">
        <f t="shared" si="11"/>
        <v>11</v>
      </c>
      <c r="U519" s="166">
        <f t="shared" si="10"/>
        <v>45625</v>
      </c>
      <c r="V519" s="43"/>
      <c r="W519" s="43"/>
      <c r="X519" s="43"/>
      <c r="Y519" s="43"/>
      <c r="Z519" s="43" t="s">
        <v>1113</v>
      </c>
      <c r="AA519" s="43"/>
      <c r="AB519" s="43"/>
    </row>
    <row r="520" spans="1:28" ht="14.25" hidden="1" customHeight="1">
      <c r="A520" s="163" t="s">
        <v>1017</v>
      </c>
      <c r="B520" s="164">
        <v>45625</v>
      </c>
      <c r="C520" s="163" t="s">
        <v>466</v>
      </c>
      <c r="D520" s="163" t="s">
        <v>281</v>
      </c>
      <c r="E520" s="163" t="s">
        <v>1265</v>
      </c>
      <c r="F520" s="169">
        <v>-922.41</v>
      </c>
      <c r="G520" s="165">
        <f t="shared" si="12"/>
        <v>61232.550000000025</v>
      </c>
      <c r="H520" s="163"/>
      <c r="I520" s="163" t="s">
        <v>994</v>
      </c>
      <c r="J520" s="163"/>
      <c r="K520" s="163"/>
      <c r="L520" s="163" t="s">
        <v>305</v>
      </c>
      <c r="M520" s="163"/>
      <c r="N520" s="163" t="s">
        <v>978</v>
      </c>
      <c r="O520" s="163"/>
      <c r="P520" s="163"/>
      <c r="Q520" s="163"/>
      <c r="R520" s="163" t="s">
        <v>466</v>
      </c>
      <c r="S520" s="163" t="s">
        <v>468</v>
      </c>
      <c r="T520" s="43">
        <f t="shared" si="11"/>
        <v>11</v>
      </c>
      <c r="U520" s="166">
        <f t="shared" si="10"/>
        <v>45625</v>
      </c>
      <c r="V520" s="43"/>
      <c r="W520" s="43"/>
      <c r="X520" s="43"/>
      <c r="Y520" s="43"/>
      <c r="Z520" s="43" t="s">
        <v>1113</v>
      </c>
      <c r="AA520" s="43"/>
      <c r="AB520" s="43"/>
    </row>
    <row r="521" spans="1:28" ht="14.25" hidden="1" customHeight="1">
      <c r="A521" s="163" t="s">
        <v>1017</v>
      </c>
      <c r="B521" s="164">
        <v>45625</v>
      </c>
      <c r="C521" s="163" t="s">
        <v>469</v>
      </c>
      <c r="D521" s="163" t="s">
        <v>281</v>
      </c>
      <c r="E521" s="163" t="s">
        <v>1265</v>
      </c>
      <c r="F521" s="169">
        <v>-1032</v>
      </c>
      <c r="G521" s="165">
        <f t="shared" si="12"/>
        <v>60200.550000000025</v>
      </c>
      <c r="H521" s="163"/>
      <c r="I521" s="163" t="s">
        <v>283</v>
      </c>
      <c r="J521" s="163"/>
      <c r="K521" s="163"/>
      <c r="L521" s="163" t="s">
        <v>305</v>
      </c>
      <c r="M521" s="163"/>
      <c r="N521" s="163" t="s">
        <v>978</v>
      </c>
      <c r="O521" s="163"/>
      <c r="P521" s="163"/>
      <c r="Q521" s="163"/>
      <c r="R521" s="163" t="s">
        <v>469</v>
      </c>
      <c r="S521" s="163" t="s">
        <v>471</v>
      </c>
      <c r="T521" s="43">
        <f t="shared" si="11"/>
        <v>11</v>
      </c>
      <c r="U521" s="166">
        <f t="shared" si="10"/>
        <v>45625</v>
      </c>
      <c r="V521" s="43"/>
      <c r="W521" s="43"/>
      <c r="X521" s="43"/>
      <c r="Y521" s="43"/>
      <c r="Z521" s="43" t="s">
        <v>1113</v>
      </c>
      <c r="AA521" s="43"/>
      <c r="AB521" s="43"/>
    </row>
    <row r="522" spans="1:28" ht="14.25" hidden="1" customHeight="1">
      <c r="A522" s="163" t="s">
        <v>1017</v>
      </c>
      <c r="B522" s="164">
        <v>45625</v>
      </c>
      <c r="C522" s="163" t="s">
        <v>111</v>
      </c>
      <c r="D522" s="163" t="s">
        <v>281</v>
      </c>
      <c r="E522" s="163" t="s">
        <v>1265</v>
      </c>
      <c r="F522" s="169">
        <v>-500</v>
      </c>
      <c r="G522" s="165">
        <f t="shared" si="12"/>
        <v>59700.550000000025</v>
      </c>
      <c r="H522" s="163"/>
      <c r="I522" s="163" t="s">
        <v>283</v>
      </c>
      <c r="J522" s="163"/>
      <c r="K522" s="163"/>
      <c r="L522" s="163" t="s">
        <v>305</v>
      </c>
      <c r="M522" s="163"/>
      <c r="N522" s="163" t="s">
        <v>978</v>
      </c>
      <c r="O522" s="163"/>
      <c r="P522" s="163"/>
      <c r="Q522" s="163"/>
      <c r="R522" s="163" t="s">
        <v>111</v>
      </c>
      <c r="S522" s="163" t="s">
        <v>320</v>
      </c>
      <c r="T522" s="43">
        <f t="shared" si="11"/>
        <v>11</v>
      </c>
      <c r="U522" s="166">
        <f t="shared" si="10"/>
        <v>45625</v>
      </c>
      <c r="V522" s="167"/>
      <c r="W522" s="43"/>
      <c r="X522" s="43"/>
      <c r="Y522" s="43"/>
      <c r="Z522" s="43" t="s">
        <v>1113</v>
      </c>
      <c r="AA522" s="43"/>
      <c r="AB522" s="43"/>
    </row>
    <row r="523" spans="1:28" ht="14.25" hidden="1" customHeight="1">
      <c r="A523" s="163" t="s">
        <v>1017</v>
      </c>
      <c r="B523" s="164">
        <v>45625</v>
      </c>
      <c r="C523" s="163" t="s">
        <v>87</v>
      </c>
      <c r="D523" s="163" t="s">
        <v>281</v>
      </c>
      <c r="E523" s="163" t="s">
        <v>1265</v>
      </c>
      <c r="F523" s="169">
        <v>-3808.89</v>
      </c>
      <c r="G523" s="165">
        <f t="shared" si="12"/>
        <v>55891.660000000025</v>
      </c>
      <c r="H523" s="163"/>
      <c r="I523" s="163" t="s">
        <v>283</v>
      </c>
      <c r="J523" s="163"/>
      <c r="K523" s="163"/>
      <c r="L523" s="163" t="s">
        <v>305</v>
      </c>
      <c r="M523" s="163"/>
      <c r="N523" s="163" t="s">
        <v>978</v>
      </c>
      <c r="O523" s="163"/>
      <c r="P523" s="163"/>
      <c r="Q523" s="163"/>
      <c r="R523" s="163" t="s">
        <v>87</v>
      </c>
      <c r="S523" s="163" t="s">
        <v>325</v>
      </c>
      <c r="T523" s="43">
        <f t="shared" si="11"/>
        <v>11</v>
      </c>
      <c r="U523" s="166">
        <f t="shared" si="10"/>
        <v>45625</v>
      </c>
      <c r="V523" s="43"/>
      <c r="W523" s="43"/>
      <c r="X523" s="43"/>
      <c r="Y523" s="43"/>
      <c r="Z523" s="43" t="s">
        <v>1113</v>
      </c>
      <c r="AA523" s="43"/>
      <c r="AB523" s="43"/>
    </row>
    <row r="524" spans="1:28" ht="14.25" hidden="1" customHeight="1">
      <c r="A524" s="163" t="s">
        <v>1017</v>
      </c>
      <c r="B524" s="164">
        <v>45625</v>
      </c>
      <c r="C524" s="163" t="s">
        <v>505</v>
      </c>
      <c r="D524" s="163" t="s">
        <v>281</v>
      </c>
      <c r="E524" s="163" t="s">
        <v>1265</v>
      </c>
      <c r="F524" s="169">
        <v>-276.73</v>
      </c>
      <c r="G524" s="165">
        <f t="shared" si="12"/>
        <v>55614.930000000022</v>
      </c>
      <c r="H524" s="163"/>
      <c r="I524" s="163" t="s">
        <v>283</v>
      </c>
      <c r="J524" s="163"/>
      <c r="K524" s="163"/>
      <c r="L524" s="163" t="s">
        <v>305</v>
      </c>
      <c r="M524" s="163"/>
      <c r="N524" s="163" t="s">
        <v>978</v>
      </c>
      <c r="O524" s="163"/>
      <c r="P524" s="163"/>
      <c r="Q524" s="163"/>
      <c r="R524" s="163" t="s">
        <v>505</v>
      </c>
      <c r="S524" s="163" t="s">
        <v>507</v>
      </c>
      <c r="T524" s="43">
        <f t="shared" si="11"/>
        <v>11</v>
      </c>
      <c r="U524" s="166">
        <f t="shared" si="10"/>
        <v>45625</v>
      </c>
      <c r="V524" s="43"/>
      <c r="W524" s="43"/>
      <c r="X524" s="43"/>
      <c r="Y524" s="43"/>
      <c r="Z524" s="43" t="s">
        <v>1113</v>
      </c>
      <c r="AA524" s="43"/>
      <c r="AB524" s="43"/>
    </row>
    <row r="525" spans="1:28" ht="14.25" hidden="1" customHeight="1">
      <c r="A525" s="163" t="s">
        <v>1017</v>
      </c>
      <c r="B525" s="164">
        <v>45625</v>
      </c>
      <c r="C525" s="163" t="s">
        <v>444</v>
      </c>
      <c r="D525" s="163" t="s">
        <v>281</v>
      </c>
      <c r="E525" s="163" t="s">
        <v>1265</v>
      </c>
      <c r="F525" s="169">
        <v>-915</v>
      </c>
      <c r="G525" s="165">
        <f t="shared" si="12"/>
        <v>54699.930000000022</v>
      </c>
      <c r="H525" s="163"/>
      <c r="I525" s="163" t="s">
        <v>283</v>
      </c>
      <c r="J525" s="163"/>
      <c r="K525" s="163"/>
      <c r="L525" s="163" t="s">
        <v>305</v>
      </c>
      <c r="M525" s="163"/>
      <c r="N525" s="163" t="s">
        <v>978</v>
      </c>
      <c r="O525" s="163"/>
      <c r="P525" s="163"/>
      <c r="Q525" s="163"/>
      <c r="R525" s="163" t="s">
        <v>444</v>
      </c>
      <c r="S525" s="163" t="s">
        <v>446</v>
      </c>
      <c r="T525" s="43">
        <f t="shared" si="11"/>
        <v>11</v>
      </c>
      <c r="U525" s="166">
        <f t="shared" si="10"/>
        <v>45625</v>
      </c>
      <c r="V525" s="43"/>
      <c r="W525" s="43"/>
      <c r="X525" s="43"/>
      <c r="Y525" s="43"/>
      <c r="Z525" s="43" t="s">
        <v>1113</v>
      </c>
      <c r="AA525" s="43"/>
      <c r="AB525" s="43"/>
    </row>
    <row r="526" spans="1:28" ht="14.25" hidden="1" customHeight="1">
      <c r="A526" s="163" t="s">
        <v>1017</v>
      </c>
      <c r="B526" s="164">
        <v>45625</v>
      </c>
      <c r="C526" s="163" t="s">
        <v>1268</v>
      </c>
      <c r="D526" s="163" t="s">
        <v>281</v>
      </c>
      <c r="E526" s="163" t="s">
        <v>1265</v>
      </c>
      <c r="F526" s="169">
        <v>-422.5</v>
      </c>
      <c r="G526" s="165">
        <f t="shared" si="12"/>
        <v>54277.430000000022</v>
      </c>
      <c r="H526" s="163"/>
      <c r="I526" s="163" t="s">
        <v>283</v>
      </c>
      <c r="J526" s="163"/>
      <c r="K526" s="163"/>
      <c r="L526" s="163" t="s">
        <v>305</v>
      </c>
      <c r="M526" s="163"/>
      <c r="N526" s="163" t="s">
        <v>978</v>
      </c>
      <c r="O526" s="163"/>
      <c r="P526" s="163"/>
      <c r="Q526" s="163"/>
      <c r="R526" s="163" t="s">
        <v>444</v>
      </c>
      <c r="S526" s="163" t="s">
        <v>446</v>
      </c>
      <c r="T526" s="43">
        <f t="shared" si="11"/>
        <v>11</v>
      </c>
      <c r="U526" s="166">
        <f t="shared" si="10"/>
        <v>45625</v>
      </c>
      <c r="V526" s="43"/>
      <c r="W526" s="43"/>
      <c r="X526" s="43"/>
      <c r="Y526" s="43"/>
      <c r="Z526" s="43" t="s">
        <v>1113</v>
      </c>
      <c r="AA526" s="43"/>
      <c r="AB526" s="43"/>
    </row>
    <row r="527" spans="1:28" ht="14.25" hidden="1" customHeight="1">
      <c r="A527" s="163" t="s">
        <v>1017</v>
      </c>
      <c r="B527" s="164">
        <v>45625</v>
      </c>
      <c r="C527" s="163"/>
      <c r="D527" s="163" t="s">
        <v>281</v>
      </c>
      <c r="E527" s="163" t="s">
        <v>1077</v>
      </c>
      <c r="F527" s="168">
        <f>-1.99*2-28.5</f>
        <v>-32.479999999999997</v>
      </c>
      <c r="G527" s="165">
        <f t="shared" si="12"/>
        <v>54244.950000000019</v>
      </c>
      <c r="H527" s="163"/>
      <c r="I527" s="163" t="s">
        <v>342</v>
      </c>
      <c r="J527" s="163"/>
      <c r="K527" s="163"/>
      <c r="L527" s="163" t="s">
        <v>1030</v>
      </c>
      <c r="M527" s="163"/>
      <c r="N527" s="163" t="s">
        <v>978</v>
      </c>
      <c r="O527" s="163"/>
      <c r="P527" s="163"/>
      <c r="Q527" s="163"/>
      <c r="R527" s="163"/>
      <c r="S527" s="163" t="s">
        <v>1076</v>
      </c>
      <c r="T527" s="43">
        <f t="shared" si="11"/>
        <v>11</v>
      </c>
      <c r="U527" s="167">
        <f t="shared" si="10"/>
        <v>45625</v>
      </c>
      <c r="V527" s="43"/>
      <c r="W527" s="43"/>
      <c r="X527" s="43"/>
      <c r="Y527" s="43"/>
      <c r="Z527" s="43" t="s">
        <v>1113</v>
      </c>
      <c r="AA527" s="43"/>
      <c r="AB527" s="43"/>
    </row>
    <row r="528" spans="1:28" ht="14.25" hidden="1" customHeight="1">
      <c r="A528" s="163" t="s">
        <v>1017</v>
      </c>
      <c r="B528" s="164">
        <v>45625</v>
      </c>
      <c r="C528" s="163" t="s">
        <v>1001</v>
      </c>
      <c r="D528" s="163" t="s">
        <v>281</v>
      </c>
      <c r="E528" s="163" t="s">
        <v>199</v>
      </c>
      <c r="F528" s="169">
        <v>-35500</v>
      </c>
      <c r="G528" s="165">
        <f t="shared" si="12"/>
        <v>18744.950000000019</v>
      </c>
      <c r="H528" s="163"/>
      <c r="I528" s="163" t="s">
        <v>977</v>
      </c>
      <c r="J528" s="163"/>
      <c r="K528" s="163"/>
      <c r="L528" s="163" t="s">
        <v>305</v>
      </c>
      <c r="M528" s="163"/>
      <c r="N528" s="163" t="s">
        <v>978</v>
      </c>
      <c r="O528" s="163"/>
      <c r="P528" s="163"/>
      <c r="Q528" s="163"/>
      <c r="R528" s="163" t="s">
        <v>1001</v>
      </c>
      <c r="S528" s="163"/>
      <c r="T528" s="43">
        <f t="shared" si="11"/>
        <v>11</v>
      </c>
      <c r="U528" s="166">
        <f t="shared" si="10"/>
        <v>45625</v>
      </c>
      <c r="V528" s="43"/>
      <c r="W528" s="43"/>
      <c r="X528" s="43"/>
      <c r="Y528" s="43"/>
      <c r="Z528" s="43" t="s">
        <v>1113</v>
      </c>
      <c r="AA528" s="43"/>
      <c r="AB528" s="43"/>
    </row>
    <row r="529" spans="1:28" ht="14.25" hidden="1" customHeight="1">
      <c r="A529" s="163" t="s">
        <v>1017</v>
      </c>
      <c r="B529" s="181">
        <v>45625</v>
      </c>
      <c r="C529" s="163" t="s">
        <v>1001</v>
      </c>
      <c r="D529" s="163" t="s">
        <v>281</v>
      </c>
      <c r="E529" s="163" t="s">
        <v>199</v>
      </c>
      <c r="F529" s="169">
        <v>-2500</v>
      </c>
      <c r="G529" s="165">
        <f t="shared" si="12"/>
        <v>16244.950000000019</v>
      </c>
      <c r="H529" s="163"/>
      <c r="I529" s="163" t="s">
        <v>977</v>
      </c>
      <c r="J529" s="163"/>
      <c r="K529" s="163"/>
      <c r="L529" s="163" t="s">
        <v>305</v>
      </c>
      <c r="M529" s="163"/>
      <c r="N529" s="163" t="s">
        <v>978</v>
      </c>
      <c r="O529" s="163"/>
      <c r="P529" s="163"/>
      <c r="Q529" s="163"/>
      <c r="R529" s="163" t="s">
        <v>1001</v>
      </c>
      <c r="S529" s="163"/>
      <c r="T529" s="43">
        <f t="shared" si="11"/>
        <v>11</v>
      </c>
      <c r="U529" s="167">
        <f t="shared" si="10"/>
        <v>45625</v>
      </c>
      <c r="V529" s="43"/>
      <c r="W529" s="43"/>
      <c r="X529" s="43"/>
      <c r="Y529" s="43"/>
      <c r="Z529" s="43" t="s">
        <v>1113</v>
      </c>
      <c r="AA529" s="43"/>
      <c r="AB529" s="43"/>
    </row>
    <row r="530" spans="1:28" ht="14.25" hidden="1" customHeight="1">
      <c r="A530" s="163" t="s">
        <v>976</v>
      </c>
      <c r="B530" s="181">
        <v>45625</v>
      </c>
      <c r="C530" s="163" t="s">
        <v>1269</v>
      </c>
      <c r="D530" s="163" t="s">
        <v>281</v>
      </c>
      <c r="E530" s="163" t="s">
        <v>1140</v>
      </c>
      <c r="F530" s="169">
        <v>-1997</v>
      </c>
      <c r="G530" s="165">
        <f t="shared" si="12"/>
        <v>14247.950000000019</v>
      </c>
      <c r="H530" s="163"/>
      <c r="I530" s="163" t="s">
        <v>283</v>
      </c>
      <c r="J530" s="163"/>
      <c r="K530" s="163"/>
      <c r="L530" s="163" t="s">
        <v>1270</v>
      </c>
      <c r="M530" s="163"/>
      <c r="N530" s="163" t="s">
        <v>978</v>
      </c>
      <c r="O530" s="163"/>
      <c r="P530" s="163"/>
      <c r="Q530" s="163"/>
      <c r="R530" s="163" t="s">
        <v>1271</v>
      </c>
      <c r="S530" s="163" t="s">
        <v>1272</v>
      </c>
      <c r="T530" s="43">
        <f t="shared" si="11"/>
        <v>11</v>
      </c>
      <c r="U530" s="167">
        <f t="shared" si="10"/>
        <v>45625</v>
      </c>
      <c r="V530" s="167">
        <v>45625</v>
      </c>
      <c r="W530" s="43"/>
      <c r="X530" s="43"/>
      <c r="Y530" s="43"/>
      <c r="Z530" s="43" t="s">
        <v>1113</v>
      </c>
      <c r="AA530" s="43"/>
      <c r="AB530" s="43"/>
    </row>
    <row r="531" spans="1:28" ht="14.25" hidden="1" customHeight="1">
      <c r="A531" s="163" t="s">
        <v>1017</v>
      </c>
      <c r="B531" s="164">
        <v>45625</v>
      </c>
      <c r="C531" s="163" t="s">
        <v>1010</v>
      </c>
      <c r="D531" s="163" t="s">
        <v>281</v>
      </c>
      <c r="E531" s="163" t="s">
        <v>199</v>
      </c>
      <c r="F531" s="169">
        <v>-2000</v>
      </c>
      <c r="G531" s="165">
        <f t="shared" si="12"/>
        <v>12247.950000000019</v>
      </c>
      <c r="H531" s="163"/>
      <c r="I531" s="163" t="s">
        <v>977</v>
      </c>
      <c r="J531" s="163"/>
      <c r="K531" s="163"/>
      <c r="L531" s="163" t="s">
        <v>800</v>
      </c>
      <c r="M531" s="163"/>
      <c r="N531" s="163" t="s">
        <v>978</v>
      </c>
      <c r="O531" s="163"/>
      <c r="P531" s="163"/>
      <c r="Q531" s="163"/>
      <c r="R531" s="163" t="s">
        <v>1011</v>
      </c>
      <c r="S531" s="163" t="s">
        <v>1012</v>
      </c>
      <c r="T531" s="43">
        <f t="shared" si="11"/>
        <v>11</v>
      </c>
      <c r="U531" s="166">
        <f t="shared" si="10"/>
        <v>45625</v>
      </c>
      <c r="V531" s="43"/>
      <c r="W531" s="43"/>
      <c r="X531" s="43"/>
      <c r="Y531" s="43"/>
      <c r="Z531" s="43" t="s">
        <v>1113</v>
      </c>
      <c r="AA531" s="43"/>
      <c r="AB531" s="43"/>
    </row>
    <row r="532" spans="1:28" ht="14.25" hidden="1" customHeight="1">
      <c r="A532" s="163" t="s">
        <v>1017</v>
      </c>
      <c r="B532" s="164">
        <v>45621</v>
      </c>
      <c r="C532" s="190" t="s">
        <v>1273</v>
      </c>
      <c r="D532" s="163" t="s">
        <v>281</v>
      </c>
      <c r="E532" s="163" t="s">
        <v>199</v>
      </c>
      <c r="F532" s="169">
        <v>-1200</v>
      </c>
      <c r="G532" s="165">
        <f t="shared" si="12"/>
        <v>11047.950000000019</v>
      </c>
      <c r="H532" s="163"/>
      <c r="I532" s="163" t="s">
        <v>342</v>
      </c>
      <c r="J532" s="163"/>
      <c r="K532" s="163"/>
      <c r="L532" s="163" t="s">
        <v>686</v>
      </c>
      <c r="M532" s="163"/>
      <c r="N532" s="163" t="s">
        <v>978</v>
      </c>
      <c r="O532" s="163"/>
      <c r="P532" s="163"/>
      <c r="Q532" s="163"/>
      <c r="R532" s="163" t="s">
        <v>1274</v>
      </c>
      <c r="S532" s="163" t="s">
        <v>1275</v>
      </c>
      <c r="T532" s="43">
        <f t="shared" si="11"/>
        <v>11</v>
      </c>
      <c r="U532" s="167">
        <f t="shared" si="10"/>
        <v>45625</v>
      </c>
      <c r="V532" s="167">
        <v>45625</v>
      </c>
      <c r="W532" s="43"/>
      <c r="X532" s="43"/>
      <c r="Y532" s="43"/>
      <c r="Z532" s="43" t="s">
        <v>1113</v>
      </c>
      <c r="AA532" s="43"/>
      <c r="AB532" s="43"/>
    </row>
    <row r="533" spans="1:28" ht="14.25" hidden="1" customHeight="1">
      <c r="A533" s="163" t="s">
        <v>976</v>
      </c>
      <c r="B533" s="181">
        <v>45621</v>
      </c>
      <c r="C533" s="190" t="s">
        <v>919</v>
      </c>
      <c r="D533" s="163" t="s">
        <v>281</v>
      </c>
      <c r="E533" s="163" t="s">
        <v>129</v>
      </c>
      <c r="F533" s="169">
        <v>-2362</v>
      </c>
      <c r="G533" s="165">
        <f t="shared" si="12"/>
        <v>8685.9500000000189</v>
      </c>
      <c r="H533" s="163"/>
      <c r="I533" s="163" t="s">
        <v>342</v>
      </c>
      <c r="J533" s="163"/>
      <c r="K533" s="163"/>
      <c r="L533" s="163" t="s">
        <v>508</v>
      </c>
      <c r="M533" s="163"/>
      <c r="N533" s="163" t="s">
        <v>978</v>
      </c>
      <c r="O533" s="163"/>
      <c r="P533" s="163"/>
      <c r="Q533" s="163"/>
      <c r="R533" s="163" t="s">
        <v>922</v>
      </c>
      <c r="S533" s="163" t="s">
        <v>923</v>
      </c>
      <c r="T533" s="43">
        <f t="shared" si="11"/>
        <v>11</v>
      </c>
      <c r="U533" s="167">
        <f t="shared" si="10"/>
        <v>45625</v>
      </c>
      <c r="V533" s="167">
        <v>45625</v>
      </c>
      <c r="W533" s="43"/>
      <c r="X533" s="43"/>
      <c r="Y533" s="43"/>
      <c r="Z533" s="43" t="s">
        <v>1113</v>
      </c>
      <c r="AA533" s="43"/>
      <c r="AB533" s="43"/>
    </row>
    <row r="534" spans="1:28" ht="14.25" hidden="1" customHeight="1">
      <c r="A534" s="163" t="s">
        <v>1017</v>
      </c>
      <c r="B534" s="164">
        <v>45625</v>
      </c>
      <c r="C534" s="163" t="s">
        <v>1276</v>
      </c>
      <c r="D534" s="163" t="s">
        <v>281</v>
      </c>
      <c r="E534" s="163" t="s">
        <v>25</v>
      </c>
      <c r="F534" s="169">
        <v>-1297.5</v>
      </c>
      <c r="G534" s="165">
        <f t="shared" si="12"/>
        <v>7388.4500000000189</v>
      </c>
      <c r="H534" s="163"/>
      <c r="I534" s="163" t="s">
        <v>342</v>
      </c>
      <c r="J534" s="163"/>
      <c r="K534" s="163"/>
      <c r="L534" s="163" t="s">
        <v>305</v>
      </c>
      <c r="M534" s="163"/>
      <c r="N534" s="163" t="s">
        <v>978</v>
      </c>
      <c r="O534" s="163"/>
      <c r="P534" s="163"/>
      <c r="Q534" s="163"/>
      <c r="R534" s="163" t="s">
        <v>1277</v>
      </c>
      <c r="S534" s="163" t="s">
        <v>1278</v>
      </c>
      <c r="T534" s="43">
        <f t="shared" si="11"/>
        <v>11</v>
      </c>
      <c r="U534" s="166">
        <f t="shared" si="10"/>
        <v>45625</v>
      </c>
      <c r="V534" s="43"/>
      <c r="W534" s="43"/>
      <c r="X534" s="43"/>
      <c r="Y534" s="43"/>
      <c r="Z534" s="43" t="s">
        <v>1113</v>
      </c>
      <c r="AA534" s="43"/>
      <c r="AB534" s="43"/>
    </row>
    <row r="535" spans="1:28" ht="14.25" hidden="1" customHeight="1">
      <c r="A535" s="163" t="s">
        <v>1017</v>
      </c>
      <c r="B535" s="164">
        <v>45625</v>
      </c>
      <c r="C535" s="163" t="s">
        <v>1006</v>
      </c>
      <c r="D535" s="163" t="s">
        <v>281</v>
      </c>
      <c r="E535" s="163" t="s">
        <v>193</v>
      </c>
      <c r="F535" s="169">
        <v>-4692.5</v>
      </c>
      <c r="G535" s="165">
        <f t="shared" si="12"/>
        <v>2695.9500000000189</v>
      </c>
      <c r="H535" s="163"/>
      <c r="I535" s="163" t="s">
        <v>342</v>
      </c>
      <c r="J535" s="163"/>
      <c r="K535" s="163"/>
      <c r="L535" s="163" t="s">
        <v>508</v>
      </c>
      <c r="M535" s="163"/>
      <c r="N535" s="163" t="s">
        <v>978</v>
      </c>
      <c r="O535" s="163"/>
      <c r="P535" s="163"/>
      <c r="Q535" s="163"/>
      <c r="R535" s="163" t="s">
        <v>1007</v>
      </c>
      <c r="S535" s="163" t="s">
        <v>982</v>
      </c>
      <c r="T535" s="43">
        <f t="shared" si="11"/>
        <v>11</v>
      </c>
      <c r="U535" s="166">
        <f t="shared" si="10"/>
        <v>45625</v>
      </c>
      <c r="V535" s="43"/>
      <c r="W535" s="43"/>
      <c r="X535" s="43"/>
      <c r="Y535" s="43"/>
      <c r="Z535" s="43" t="s">
        <v>1113</v>
      </c>
      <c r="AA535" s="43"/>
      <c r="AB535" s="43"/>
    </row>
    <row r="536" spans="1:28" ht="14.25" hidden="1" customHeight="1">
      <c r="A536" s="163"/>
      <c r="B536" s="164">
        <v>45625</v>
      </c>
      <c r="C536" s="163" t="s">
        <v>346</v>
      </c>
      <c r="D536" s="163"/>
      <c r="E536" s="163"/>
      <c r="F536" s="165">
        <v>0</v>
      </c>
      <c r="G536" s="165">
        <f t="shared" si="12"/>
        <v>2695.9500000000189</v>
      </c>
      <c r="H536" s="163"/>
      <c r="I536" s="163"/>
      <c r="J536" s="163"/>
      <c r="K536" s="163"/>
      <c r="L536" s="163"/>
      <c r="M536" s="163"/>
      <c r="N536" s="163"/>
      <c r="O536" s="163"/>
      <c r="P536" s="163"/>
      <c r="Q536" s="163"/>
      <c r="R536" s="163"/>
      <c r="S536" s="163"/>
      <c r="T536" s="43">
        <f t="shared" si="11"/>
        <v>11</v>
      </c>
      <c r="U536" s="166">
        <f t="shared" si="10"/>
        <v>45625</v>
      </c>
      <c r="V536" s="43"/>
      <c r="W536" s="43"/>
      <c r="X536" s="43"/>
      <c r="Y536" s="43"/>
      <c r="Z536" s="43" t="s">
        <v>1157</v>
      </c>
      <c r="AA536" s="43"/>
      <c r="AB536" s="43"/>
    </row>
    <row r="537" spans="1:28" ht="14.25" hidden="1" customHeight="1">
      <c r="A537" s="163" t="s">
        <v>1046</v>
      </c>
      <c r="B537" s="164">
        <v>45621</v>
      </c>
      <c r="C537" s="163" t="s">
        <v>1279</v>
      </c>
      <c r="D537" s="163" t="s">
        <v>281</v>
      </c>
      <c r="E537" s="163" t="s">
        <v>407</v>
      </c>
      <c r="F537" s="197">
        <v>3500</v>
      </c>
      <c r="G537" s="165">
        <f t="shared" si="12"/>
        <v>6195.9500000000189</v>
      </c>
      <c r="H537" s="163"/>
      <c r="I537" s="163" t="s">
        <v>342</v>
      </c>
      <c r="J537" s="163" t="s">
        <v>1280</v>
      </c>
      <c r="K537" s="163" t="s">
        <v>1281</v>
      </c>
      <c r="L537" s="163" t="s">
        <v>305</v>
      </c>
      <c r="M537" s="163" t="s">
        <v>1282</v>
      </c>
      <c r="N537" s="163" t="s">
        <v>966</v>
      </c>
      <c r="O537" s="163" t="s">
        <v>1283</v>
      </c>
      <c r="P537" s="163" t="s">
        <v>57</v>
      </c>
      <c r="Q537" s="163"/>
      <c r="R537" s="163" t="s">
        <v>1284</v>
      </c>
      <c r="S537" s="163" t="s">
        <v>1285</v>
      </c>
      <c r="T537" s="43">
        <f t="shared" si="11"/>
        <v>11</v>
      </c>
      <c r="U537" s="166">
        <f t="shared" si="10"/>
        <v>45628</v>
      </c>
      <c r="V537" s="166">
        <v>45628</v>
      </c>
      <c r="W537" s="43"/>
      <c r="X537" s="43"/>
      <c r="Y537" s="43"/>
      <c r="Z537" s="43" t="s">
        <v>1113</v>
      </c>
      <c r="AA537" s="43"/>
      <c r="AB537" s="43" t="s">
        <v>1286</v>
      </c>
    </row>
    <row r="538" spans="1:28" ht="14.25" hidden="1" customHeight="1">
      <c r="A538" s="180" t="s">
        <v>279</v>
      </c>
      <c r="B538" s="181">
        <v>45628</v>
      </c>
      <c r="C538" s="180" t="s">
        <v>280</v>
      </c>
      <c r="D538" s="180" t="s">
        <v>281</v>
      </c>
      <c r="E538" s="180" t="s">
        <v>282</v>
      </c>
      <c r="F538" s="186">
        <v>40000</v>
      </c>
      <c r="G538" s="165">
        <f t="shared" si="12"/>
        <v>46195.950000000019</v>
      </c>
      <c r="H538" s="180"/>
      <c r="I538" s="180" t="s">
        <v>283</v>
      </c>
      <c r="J538" s="180" t="s">
        <v>918</v>
      </c>
      <c r="K538" s="180"/>
      <c r="L538" s="180"/>
      <c r="M538" s="180"/>
      <c r="N538" s="180" t="s">
        <v>285</v>
      </c>
      <c r="O538" s="180"/>
      <c r="P538" s="180"/>
      <c r="Q538" s="180"/>
      <c r="R538" s="180" t="s">
        <v>286</v>
      </c>
      <c r="S538" s="180" t="s">
        <v>287</v>
      </c>
      <c r="T538" s="183">
        <f t="shared" si="11"/>
        <v>12</v>
      </c>
      <c r="U538" s="187">
        <f t="shared" si="10"/>
        <v>45628</v>
      </c>
      <c r="V538" s="183"/>
      <c r="W538" s="183"/>
      <c r="X538" s="183"/>
      <c r="Y538" s="183"/>
      <c r="Z538" s="183" t="s">
        <v>1113</v>
      </c>
      <c r="AA538" s="183"/>
      <c r="AB538" s="183"/>
    </row>
    <row r="539" spans="1:28" ht="14.25" hidden="1" customHeight="1">
      <c r="A539" s="163" t="s">
        <v>1017</v>
      </c>
      <c r="B539" s="164">
        <v>45628</v>
      </c>
      <c r="C539" s="163"/>
      <c r="D539" s="163" t="s">
        <v>281</v>
      </c>
      <c r="E539" s="163" t="s">
        <v>1077</v>
      </c>
      <c r="F539" s="168">
        <f>-1.99-5.5</f>
        <v>-7.49</v>
      </c>
      <c r="G539" s="165">
        <f t="shared" si="12"/>
        <v>46188.460000000021</v>
      </c>
      <c r="H539" s="163"/>
      <c r="I539" s="163" t="s">
        <v>342</v>
      </c>
      <c r="J539" s="163"/>
      <c r="K539" s="163"/>
      <c r="L539" s="163" t="s">
        <v>1030</v>
      </c>
      <c r="M539" s="163"/>
      <c r="N539" s="163" t="s">
        <v>978</v>
      </c>
      <c r="O539" s="163"/>
      <c r="P539" s="163"/>
      <c r="Q539" s="163"/>
      <c r="R539" s="163"/>
      <c r="S539" s="163" t="s">
        <v>1076</v>
      </c>
      <c r="T539" s="43">
        <f t="shared" si="11"/>
        <v>12</v>
      </c>
      <c r="U539" s="167">
        <f t="shared" si="10"/>
        <v>45628</v>
      </c>
      <c r="V539" s="43"/>
      <c r="W539" s="43"/>
      <c r="X539" s="43"/>
      <c r="Y539" s="43"/>
      <c r="Z539" s="43" t="s">
        <v>1157</v>
      </c>
      <c r="AA539" s="43"/>
      <c r="AB539" s="43"/>
    </row>
    <row r="540" spans="1:28" ht="14.25" hidden="1" customHeight="1">
      <c r="A540" s="163" t="s">
        <v>1017</v>
      </c>
      <c r="B540" s="164">
        <v>45625</v>
      </c>
      <c r="C540" s="163" t="s">
        <v>1287</v>
      </c>
      <c r="D540" s="163" t="s">
        <v>281</v>
      </c>
      <c r="E540" s="163" t="s">
        <v>1288</v>
      </c>
      <c r="F540" s="169">
        <v>-6500</v>
      </c>
      <c r="G540" s="165">
        <f t="shared" si="12"/>
        <v>39688.460000000021</v>
      </c>
      <c r="H540" s="163"/>
      <c r="I540" s="163" t="s">
        <v>283</v>
      </c>
      <c r="J540" s="163"/>
      <c r="K540" s="163"/>
      <c r="L540" s="163" t="s">
        <v>1289</v>
      </c>
      <c r="M540" s="163"/>
      <c r="N540" s="163" t="s">
        <v>978</v>
      </c>
      <c r="O540" s="163"/>
      <c r="P540" s="163"/>
      <c r="Q540" s="163"/>
      <c r="R540" s="163" t="s">
        <v>1290</v>
      </c>
      <c r="S540" s="163" t="s">
        <v>1291</v>
      </c>
      <c r="T540" s="43">
        <f t="shared" si="11"/>
        <v>11</v>
      </c>
      <c r="U540" s="166">
        <f t="shared" si="10"/>
        <v>45628</v>
      </c>
      <c r="V540" s="166">
        <v>45628</v>
      </c>
      <c r="W540" s="43"/>
      <c r="X540" s="43"/>
      <c r="Y540" s="43"/>
      <c r="Z540" s="43" t="s">
        <v>1113</v>
      </c>
      <c r="AA540" s="43"/>
      <c r="AB540" s="43"/>
    </row>
    <row r="541" spans="1:28" ht="14.25" hidden="1" customHeight="1">
      <c r="A541" s="163" t="s">
        <v>1017</v>
      </c>
      <c r="B541" s="164">
        <v>45624</v>
      </c>
      <c r="C541" s="163" t="s">
        <v>133</v>
      </c>
      <c r="D541" s="163" t="s">
        <v>281</v>
      </c>
      <c r="E541" s="163" t="s">
        <v>199</v>
      </c>
      <c r="F541" s="169">
        <v>-730</v>
      </c>
      <c r="G541" s="165">
        <f t="shared" si="12"/>
        <v>38958.460000000021</v>
      </c>
      <c r="H541" s="163"/>
      <c r="I541" s="163" t="s">
        <v>977</v>
      </c>
      <c r="J541" s="163"/>
      <c r="K541" s="163"/>
      <c r="L541" s="163" t="s">
        <v>366</v>
      </c>
      <c r="M541" s="163"/>
      <c r="N541" s="163" t="s">
        <v>978</v>
      </c>
      <c r="O541" s="163"/>
      <c r="P541" s="163"/>
      <c r="Q541" s="163"/>
      <c r="R541" s="163" t="s">
        <v>133</v>
      </c>
      <c r="S541" s="163"/>
      <c r="T541" s="43">
        <f t="shared" si="11"/>
        <v>11</v>
      </c>
      <c r="U541" s="167">
        <f t="shared" si="10"/>
        <v>45628</v>
      </c>
      <c r="V541" s="166">
        <v>45628</v>
      </c>
      <c r="W541" s="43"/>
      <c r="X541" s="43"/>
      <c r="Y541" s="43"/>
      <c r="Z541" s="43" t="s">
        <v>1113</v>
      </c>
      <c r="AA541" s="43"/>
      <c r="AB541" s="43"/>
    </row>
    <row r="542" spans="1:28" ht="14.25" hidden="1" customHeight="1">
      <c r="A542" s="163" t="s">
        <v>1017</v>
      </c>
      <c r="B542" s="164">
        <v>45628</v>
      </c>
      <c r="C542" s="163" t="s">
        <v>1292</v>
      </c>
      <c r="D542" s="163" t="s">
        <v>281</v>
      </c>
      <c r="E542" s="163" t="s">
        <v>212</v>
      </c>
      <c r="F542" s="169">
        <v>-3346.8</v>
      </c>
      <c r="G542" s="165">
        <f t="shared" si="12"/>
        <v>35611.660000000018</v>
      </c>
      <c r="H542" s="163"/>
      <c r="I542" s="163" t="s">
        <v>283</v>
      </c>
      <c r="J542" s="163"/>
      <c r="K542" s="163"/>
      <c r="L542" s="163" t="s">
        <v>805</v>
      </c>
      <c r="M542" s="163"/>
      <c r="N542" s="163" t="s">
        <v>978</v>
      </c>
      <c r="O542" s="163"/>
      <c r="P542" s="163"/>
      <c r="Q542" s="163" t="s">
        <v>1067</v>
      </c>
      <c r="R542" s="163" t="s">
        <v>1104</v>
      </c>
      <c r="S542" s="163" t="s">
        <v>1105</v>
      </c>
      <c r="T542" s="43">
        <f t="shared" si="11"/>
        <v>12</v>
      </c>
      <c r="U542" s="167">
        <f t="shared" si="10"/>
        <v>45628</v>
      </c>
      <c r="V542" s="166"/>
      <c r="W542" s="43"/>
      <c r="X542" s="43"/>
      <c r="Y542" s="43"/>
      <c r="Z542" s="43" t="s">
        <v>1113</v>
      </c>
      <c r="AA542" s="43"/>
      <c r="AB542" s="43"/>
    </row>
    <row r="543" spans="1:28" ht="14.25" hidden="1" customHeight="1">
      <c r="A543" s="180" t="s">
        <v>1017</v>
      </c>
      <c r="B543" s="181">
        <v>45628</v>
      </c>
      <c r="C543" s="180" t="s">
        <v>1293</v>
      </c>
      <c r="D543" s="180" t="s">
        <v>281</v>
      </c>
      <c r="E543" s="180" t="s">
        <v>212</v>
      </c>
      <c r="F543" s="182">
        <f>-7434.18/3</f>
        <v>-2478.06</v>
      </c>
      <c r="G543" s="165">
        <f t="shared" si="12"/>
        <v>33133.60000000002</v>
      </c>
      <c r="H543" s="180"/>
      <c r="I543" s="180" t="s">
        <v>283</v>
      </c>
      <c r="J543" s="180"/>
      <c r="K543" s="180"/>
      <c r="L543" s="180" t="s">
        <v>805</v>
      </c>
      <c r="M543" s="180"/>
      <c r="N543" s="180" t="s">
        <v>978</v>
      </c>
      <c r="O543" s="180"/>
      <c r="P543" s="180"/>
      <c r="Q543" s="180" t="s">
        <v>1067</v>
      </c>
      <c r="R543" s="180" t="s">
        <v>1104</v>
      </c>
      <c r="S543" s="180" t="s">
        <v>1105</v>
      </c>
      <c r="T543" s="183">
        <f t="shared" si="11"/>
        <v>12</v>
      </c>
      <c r="U543" s="184">
        <f t="shared" si="10"/>
        <v>45628</v>
      </c>
      <c r="V543" s="187"/>
      <c r="W543" s="183"/>
      <c r="X543" s="183"/>
      <c r="Y543" s="183"/>
      <c r="Z543" s="183" t="s">
        <v>1113</v>
      </c>
      <c r="AA543" s="183"/>
      <c r="AB543" s="183"/>
    </row>
    <row r="544" spans="1:28" ht="14.25" hidden="1" customHeight="1">
      <c r="A544" s="163" t="s">
        <v>1017</v>
      </c>
      <c r="B544" s="164">
        <v>45628</v>
      </c>
      <c r="C544" s="163" t="s">
        <v>1294</v>
      </c>
      <c r="D544" s="163" t="s">
        <v>281</v>
      </c>
      <c r="E544" s="163" t="s">
        <v>212</v>
      </c>
      <c r="F544" s="169">
        <v>-1500</v>
      </c>
      <c r="G544" s="165">
        <f t="shared" si="12"/>
        <v>31633.60000000002</v>
      </c>
      <c r="H544" s="163"/>
      <c r="I544" s="163" t="s">
        <v>283</v>
      </c>
      <c r="J544" s="163"/>
      <c r="K544" s="163"/>
      <c r="L544" s="163" t="s">
        <v>805</v>
      </c>
      <c r="M544" s="163"/>
      <c r="N544" s="163" t="s">
        <v>978</v>
      </c>
      <c r="O544" s="163"/>
      <c r="P544" s="163"/>
      <c r="Q544" s="163" t="s">
        <v>1067</v>
      </c>
      <c r="R544" s="163" t="s">
        <v>1104</v>
      </c>
      <c r="S544" s="163" t="s">
        <v>1105</v>
      </c>
      <c r="T544" s="43">
        <f t="shared" si="11"/>
        <v>12</v>
      </c>
      <c r="U544" s="167">
        <f t="shared" si="10"/>
        <v>45628</v>
      </c>
      <c r="V544" s="166"/>
      <c r="W544" s="43"/>
      <c r="X544" s="43"/>
      <c r="Y544" s="43"/>
      <c r="Z544" s="43" t="s">
        <v>1113</v>
      </c>
      <c r="AA544" s="43"/>
      <c r="AB544" s="43"/>
    </row>
    <row r="545" spans="1:28" ht="14.25" hidden="1" customHeight="1">
      <c r="A545" s="163" t="s">
        <v>1017</v>
      </c>
      <c r="B545" s="164">
        <v>45625</v>
      </c>
      <c r="C545" s="163" t="s">
        <v>131</v>
      </c>
      <c r="D545" s="163" t="s">
        <v>281</v>
      </c>
      <c r="E545" s="163" t="s">
        <v>199</v>
      </c>
      <c r="F545" s="169">
        <v>-5019.49</v>
      </c>
      <c r="G545" s="165">
        <f t="shared" si="12"/>
        <v>26614.110000000022</v>
      </c>
      <c r="H545" s="163"/>
      <c r="I545" s="163" t="s">
        <v>283</v>
      </c>
      <c r="J545" s="163"/>
      <c r="K545" s="163"/>
      <c r="L545" s="163" t="s">
        <v>366</v>
      </c>
      <c r="M545" s="163"/>
      <c r="N545" s="163" t="s">
        <v>978</v>
      </c>
      <c r="O545" s="163"/>
      <c r="P545" s="163"/>
      <c r="Q545" s="163"/>
      <c r="R545" s="163" t="s">
        <v>131</v>
      </c>
      <c r="S545" s="163"/>
      <c r="T545" s="43">
        <f t="shared" si="11"/>
        <v>11</v>
      </c>
      <c r="U545" s="166">
        <f t="shared" si="10"/>
        <v>45628</v>
      </c>
      <c r="V545" s="166">
        <v>45628</v>
      </c>
      <c r="W545" s="43"/>
      <c r="X545" s="43"/>
      <c r="Y545" s="43"/>
      <c r="Z545" s="43" t="s">
        <v>1113</v>
      </c>
      <c r="AA545" s="43"/>
      <c r="AB545" s="43"/>
    </row>
    <row r="546" spans="1:28" ht="14.25" hidden="1" customHeight="1">
      <c r="A546" s="163" t="s">
        <v>1017</v>
      </c>
      <c r="B546" s="164">
        <v>45628</v>
      </c>
      <c r="C546" s="190" t="s">
        <v>501</v>
      </c>
      <c r="D546" s="163" t="s">
        <v>281</v>
      </c>
      <c r="E546" s="163" t="s">
        <v>301</v>
      </c>
      <c r="F546" s="169">
        <v>-2090.38</v>
      </c>
      <c r="G546" s="165">
        <f t="shared" si="12"/>
        <v>24523.730000000021</v>
      </c>
      <c r="H546" s="163"/>
      <c r="I546" s="163" t="s">
        <v>977</v>
      </c>
      <c r="J546" s="163"/>
      <c r="K546" s="163"/>
      <c r="L546" s="163" t="s">
        <v>1231</v>
      </c>
      <c r="M546" s="163"/>
      <c r="N546" s="163" t="s">
        <v>978</v>
      </c>
      <c r="O546" s="163"/>
      <c r="P546" s="163"/>
      <c r="Q546" s="163"/>
      <c r="R546" s="163" t="s">
        <v>1015</v>
      </c>
      <c r="S546" s="163" t="s">
        <v>1016</v>
      </c>
      <c r="T546" s="43">
        <f t="shared" si="11"/>
        <v>12</v>
      </c>
      <c r="U546" s="167">
        <f t="shared" si="10"/>
        <v>45628</v>
      </c>
      <c r="V546" s="166"/>
      <c r="W546" s="43"/>
      <c r="X546" s="43"/>
      <c r="Y546" s="43"/>
      <c r="Z546" s="43" t="s">
        <v>1113</v>
      </c>
      <c r="AA546" s="43"/>
      <c r="AB546" s="43"/>
    </row>
    <row r="547" spans="1:28" ht="14.25" hidden="1" customHeight="1">
      <c r="A547" s="163" t="s">
        <v>1017</v>
      </c>
      <c r="B547" s="164">
        <v>45628</v>
      </c>
      <c r="C547" s="190" t="s">
        <v>501</v>
      </c>
      <c r="D547" s="163" t="s">
        <v>281</v>
      </c>
      <c r="E547" s="163" t="s">
        <v>122</v>
      </c>
      <c r="F547" s="169">
        <v>-147.37</v>
      </c>
      <c r="G547" s="165">
        <f t="shared" si="12"/>
        <v>24376.360000000022</v>
      </c>
      <c r="H547" s="163"/>
      <c r="I547" s="163" t="s">
        <v>977</v>
      </c>
      <c r="J547" s="163"/>
      <c r="K547" s="163"/>
      <c r="L547" s="163" t="s">
        <v>1231</v>
      </c>
      <c r="M547" s="163"/>
      <c r="N547" s="163" t="s">
        <v>978</v>
      </c>
      <c r="O547" s="163"/>
      <c r="P547" s="163"/>
      <c r="Q547" s="163"/>
      <c r="R547" s="163" t="s">
        <v>1015</v>
      </c>
      <c r="S547" s="163" t="s">
        <v>1016</v>
      </c>
      <c r="T547" s="43">
        <f t="shared" si="11"/>
        <v>12</v>
      </c>
      <c r="U547" s="167">
        <f t="shared" si="10"/>
        <v>45628</v>
      </c>
      <c r="V547" s="166"/>
      <c r="W547" s="43"/>
      <c r="X547" s="43"/>
      <c r="Y547" s="43"/>
      <c r="Z547" s="43" t="s">
        <v>1113</v>
      </c>
      <c r="AA547" s="43"/>
      <c r="AB547" s="43"/>
    </row>
    <row r="548" spans="1:28" ht="14.25" hidden="1" customHeight="1">
      <c r="A548" s="163" t="s">
        <v>1017</v>
      </c>
      <c r="B548" s="164">
        <v>45621</v>
      </c>
      <c r="C548" s="190" t="s">
        <v>1295</v>
      </c>
      <c r="D548" s="163" t="s">
        <v>281</v>
      </c>
      <c r="E548" s="163" t="s">
        <v>199</v>
      </c>
      <c r="F548" s="169">
        <v>-850</v>
      </c>
      <c r="G548" s="165">
        <f t="shared" si="12"/>
        <v>23526.360000000022</v>
      </c>
      <c r="H548" s="163"/>
      <c r="I548" s="163" t="s">
        <v>342</v>
      </c>
      <c r="J548" s="163"/>
      <c r="K548" s="163"/>
      <c r="L548" s="163" t="s">
        <v>366</v>
      </c>
      <c r="M548" s="163"/>
      <c r="N548" s="163" t="s">
        <v>978</v>
      </c>
      <c r="O548" s="163"/>
      <c r="P548" s="163"/>
      <c r="Q548" s="163"/>
      <c r="R548" s="163" t="s">
        <v>1295</v>
      </c>
      <c r="S548" s="163"/>
      <c r="T548" s="43">
        <f t="shared" si="11"/>
        <v>11</v>
      </c>
      <c r="U548" s="167">
        <f t="shared" si="10"/>
        <v>45628</v>
      </c>
      <c r="V548" s="166">
        <v>45628</v>
      </c>
      <c r="W548" s="43"/>
      <c r="X548" s="43"/>
      <c r="Y548" s="43"/>
      <c r="Z548" s="43" t="s">
        <v>1113</v>
      </c>
      <c r="AA548" s="43"/>
      <c r="AB548" s="43"/>
    </row>
    <row r="549" spans="1:28" ht="14.25" hidden="1" customHeight="1">
      <c r="A549" s="163" t="s">
        <v>1017</v>
      </c>
      <c r="B549" s="164">
        <v>45622</v>
      </c>
      <c r="C549" s="163" t="s">
        <v>1296</v>
      </c>
      <c r="D549" s="163" t="s">
        <v>281</v>
      </c>
      <c r="E549" s="163" t="s">
        <v>196</v>
      </c>
      <c r="F549" s="169">
        <v>-5205.3599999999997</v>
      </c>
      <c r="G549" s="165">
        <f t="shared" si="12"/>
        <v>18321.000000000022</v>
      </c>
      <c r="H549" s="163"/>
      <c r="I549" s="163" t="s">
        <v>342</v>
      </c>
      <c r="J549" s="163"/>
      <c r="K549" s="163"/>
      <c r="L549" s="163" t="s">
        <v>305</v>
      </c>
      <c r="M549" s="163"/>
      <c r="N549" s="163" t="s">
        <v>978</v>
      </c>
      <c r="O549" s="163"/>
      <c r="P549" s="163"/>
      <c r="Q549" s="163"/>
      <c r="R549" s="163" t="s">
        <v>1296</v>
      </c>
      <c r="S549" s="163" t="s">
        <v>1297</v>
      </c>
      <c r="T549" s="43">
        <f t="shared" si="11"/>
        <v>11</v>
      </c>
      <c r="U549" s="167">
        <f t="shared" si="10"/>
        <v>45628</v>
      </c>
      <c r="V549" s="166">
        <v>45628</v>
      </c>
      <c r="W549" s="43"/>
      <c r="X549" s="43"/>
      <c r="Y549" s="43"/>
      <c r="Z549" s="43" t="s">
        <v>1113</v>
      </c>
      <c r="AA549" s="43"/>
      <c r="AB549" s="43"/>
    </row>
    <row r="550" spans="1:28" ht="14.25" hidden="1" customHeight="1">
      <c r="A550" s="163" t="s">
        <v>1017</v>
      </c>
      <c r="B550" s="164">
        <v>45622</v>
      </c>
      <c r="C550" s="163" t="s">
        <v>1298</v>
      </c>
      <c r="D550" s="163" t="s">
        <v>281</v>
      </c>
      <c r="E550" s="163" t="s">
        <v>199</v>
      </c>
      <c r="F550" s="169">
        <v>-78.989999999999995</v>
      </c>
      <c r="G550" s="165">
        <f t="shared" si="12"/>
        <v>18242.01000000002</v>
      </c>
      <c r="H550" s="163"/>
      <c r="I550" s="163" t="s">
        <v>977</v>
      </c>
      <c r="J550" s="163"/>
      <c r="K550" s="163"/>
      <c r="L550" s="163" t="s">
        <v>305</v>
      </c>
      <c r="M550" s="163"/>
      <c r="N550" s="163" t="s">
        <v>978</v>
      </c>
      <c r="O550" s="163"/>
      <c r="P550" s="163"/>
      <c r="Q550" s="163"/>
      <c r="R550" s="163" t="s">
        <v>1299</v>
      </c>
      <c r="S550" s="163" t="s">
        <v>1300</v>
      </c>
      <c r="T550" s="43">
        <f t="shared" si="11"/>
        <v>11</v>
      </c>
      <c r="U550" s="167">
        <f t="shared" si="10"/>
        <v>45628</v>
      </c>
      <c r="V550" s="166">
        <v>45628</v>
      </c>
      <c r="W550" s="43"/>
      <c r="X550" s="43"/>
      <c r="Y550" s="43"/>
      <c r="Z550" s="43" t="s">
        <v>1113</v>
      </c>
      <c r="AA550" s="43"/>
      <c r="AB550" s="43"/>
    </row>
    <row r="551" spans="1:28" ht="14.25" hidden="1" customHeight="1">
      <c r="A551" s="163" t="s">
        <v>1017</v>
      </c>
      <c r="B551" s="164">
        <v>45628</v>
      </c>
      <c r="C551" s="163" t="s">
        <v>209</v>
      </c>
      <c r="D551" s="163" t="s">
        <v>281</v>
      </c>
      <c r="E551" s="163" t="s">
        <v>209</v>
      </c>
      <c r="F551" s="169">
        <v>-823.14</v>
      </c>
      <c r="G551" s="165">
        <f t="shared" si="12"/>
        <v>17418.870000000021</v>
      </c>
      <c r="H551" s="163"/>
      <c r="I551" s="163" t="s">
        <v>342</v>
      </c>
      <c r="J551" s="163"/>
      <c r="K551" s="163"/>
      <c r="L551" s="163" t="s">
        <v>1301</v>
      </c>
      <c r="M551" s="163"/>
      <c r="N551" s="163" t="s">
        <v>978</v>
      </c>
      <c r="O551" s="163"/>
      <c r="P551" s="163"/>
      <c r="Q551" s="163"/>
      <c r="R551" s="163" t="s">
        <v>209</v>
      </c>
      <c r="S551" s="163" t="s">
        <v>345</v>
      </c>
      <c r="T551" s="43">
        <f>MONTH(U551)</f>
        <v>12</v>
      </c>
      <c r="U551" s="166">
        <f t="shared" si="10"/>
        <v>45628</v>
      </c>
      <c r="V551" s="166"/>
      <c r="W551" s="43"/>
      <c r="X551" s="43"/>
      <c r="Y551" s="43"/>
      <c r="Z551" s="43" t="s">
        <v>1113</v>
      </c>
      <c r="AA551" s="43"/>
      <c r="AB551" s="43"/>
    </row>
    <row r="552" spans="1:28" ht="14.25" hidden="1" customHeight="1">
      <c r="A552" s="163" t="s">
        <v>1017</v>
      </c>
      <c r="B552" s="164">
        <v>45628</v>
      </c>
      <c r="C552" s="163" t="s">
        <v>1013</v>
      </c>
      <c r="D552" s="163" t="s">
        <v>281</v>
      </c>
      <c r="E552" s="163" t="s">
        <v>199</v>
      </c>
      <c r="F552" s="169">
        <v>-1000</v>
      </c>
      <c r="G552" s="165">
        <f t="shared" si="12"/>
        <v>16418.870000000021</v>
      </c>
      <c r="H552" s="163"/>
      <c r="I552" s="163" t="s">
        <v>977</v>
      </c>
      <c r="J552" s="163"/>
      <c r="K552" s="163"/>
      <c r="L552" s="163" t="s">
        <v>1302</v>
      </c>
      <c r="M552" s="163"/>
      <c r="N552" s="163" t="s">
        <v>978</v>
      </c>
      <c r="O552" s="163"/>
      <c r="P552" s="163"/>
      <c r="Q552" s="163"/>
      <c r="R552" s="163" t="s">
        <v>1015</v>
      </c>
      <c r="S552" s="163" t="s">
        <v>1016</v>
      </c>
      <c r="T552" s="43">
        <f t="shared" ref="T552:T560" si="13">MONTH(B552)</f>
        <v>12</v>
      </c>
      <c r="U552" s="166">
        <f t="shared" si="10"/>
        <v>45628</v>
      </c>
      <c r="V552" s="43"/>
      <c r="W552" s="43"/>
      <c r="X552" s="43"/>
      <c r="Y552" s="43"/>
      <c r="Z552" s="43" t="s">
        <v>1113</v>
      </c>
      <c r="AA552" s="43"/>
      <c r="AB552" s="43"/>
    </row>
    <row r="553" spans="1:28" ht="14.25" hidden="1" customHeight="1">
      <c r="A553" s="163" t="s">
        <v>1017</v>
      </c>
      <c r="B553" s="164">
        <v>45628</v>
      </c>
      <c r="C553" s="163" t="s">
        <v>1303</v>
      </c>
      <c r="D553" s="163" t="s">
        <v>281</v>
      </c>
      <c r="E553" s="163" t="s">
        <v>791</v>
      </c>
      <c r="F553" s="169">
        <v>-9005.5</v>
      </c>
      <c r="G553" s="165">
        <f t="shared" si="12"/>
        <v>7413.3700000000208</v>
      </c>
      <c r="H553" s="163"/>
      <c r="I553" s="163" t="s">
        <v>994</v>
      </c>
      <c r="J553" s="163"/>
      <c r="K553" s="163"/>
      <c r="L553" s="163" t="s">
        <v>800</v>
      </c>
      <c r="M553" s="163"/>
      <c r="N553" s="163" t="s">
        <v>978</v>
      </c>
      <c r="O553" s="163"/>
      <c r="P553" s="163"/>
      <c r="Q553" s="163"/>
      <c r="R553" s="163" t="s">
        <v>1303</v>
      </c>
      <c r="S553" s="163" t="s">
        <v>1304</v>
      </c>
      <c r="T553" s="43">
        <f t="shared" si="13"/>
        <v>12</v>
      </c>
      <c r="U553" s="166">
        <f t="shared" si="10"/>
        <v>45628</v>
      </c>
      <c r="V553" s="43"/>
      <c r="W553" s="43"/>
      <c r="X553" s="43"/>
      <c r="Y553" s="43"/>
      <c r="Z553" s="43" t="s">
        <v>1113</v>
      </c>
      <c r="AA553" s="43"/>
      <c r="AB553" s="43"/>
    </row>
    <row r="554" spans="1:28" ht="14.25" hidden="1" customHeight="1">
      <c r="A554" s="163" t="s">
        <v>1017</v>
      </c>
      <c r="B554" s="164">
        <v>45628</v>
      </c>
      <c r="C554" s="163" t="s">
        <v>351</v>
      </c>
      <c r="D554" s="163" t="s">
        <v>281</v>
      </c>
      <c r="E554" s="163" t="s">
        <v>359</v>
      </c>
      <c r="F554" s="169">
        <v>-600</v>
      </c>
      <c r="G554" s="165">
        <f t="shared" si="12"/>
        <v>6813.3700000000208</v>
      </c>
      <c r="H554" s="163"/>
      <c r="I554" s="163" t="s">
        <v>283</v>
      </c>
      <c r="J554" s="163"/>
      <c r="K554" s="163"/>
      <c r="L554" s="163" t="s">
        <v>766</v>
      </c>
      <c r="M554" s="163"/>
      <c r="N554" s="163" t="s">
        <v>978</v>
      </c>
      <c r="O554" s="163"/>
      <c r="P554" s="163"/>
      <c r="Q554" s="163"/>
      <c r="R554" s="163" t="s">
        <v>353</v>
      </c>
      <c r="S554" s="163" t="s">
        <v>354</v>
      </c>
      <c r="T554" s="43">
        <f t="shared" si="13"/>
        <v>12</v>
      </c>
      <c r="U554" s="166">
        <f t="shared" si="10"/>
        <v>45628</v>
      </c>
      <c r="V554" s="43"/>
      <c r="W554" s="43"/>
      <c r="X554" s="43"/>
      <c r="Y554" s="43"/>
      <c r="Z554" s="43" t="s">
        <v>1113</v>
      </c>
      <c r="AA554" s="43"/>
      <c r="AB554" s="43"/>
    </row>
    <row r="555" spans="1:28" ht="14.25" hidden="1" customHeight="1">
      <c r="A555" s="163" t="s">
        <v>1017</v>
      </c>
      <c r="B555" s="164">
        <v>45628</v>
      </c>
      <c r="C555" s="163" t="s">
        <v>1305</v>
      </c>
      <c r="D555" s="163" t="s">
        <v>281</v>
      </c>
      <c r="E555" s="163" t="s">
        <v>199</v>
      </c>
      <c r="F555" s="169">
        <v>-3000</v>
      </c>
      <c r="G555" s="165">
        <f t="shared" si="12"/>
        <v>3813.3700000000208</v>
      </c>
      <c r="H555" s="163"/>
      <c r="I555" s="163" t="s">
        <v>342</v>
      </c>
      <c r="J555" s="163"/>
      <c r="K555" s="163"/>
      <c r="L555" s="163" t="s">
        <v>1270</v>
      </c>
      <c r="M555" s="163"/>
      <c r="N555" s="163" t="s">
        <v>978</v>
      </c>
      <c r="O555" s="163"/>
      <c r="P555" s="163"/>
      <c r="Q555" s="163"/>
      <c r="R555" s="163" t="s">
        <v>1305</v>
      </c>
      <c r="S555" s="163" t="s">
        <v>1306</v>
      </c>
      <c r="T555" s="43">
        <f t="shared" si="13"/>
        <v>12</v>
      </c>
      <c r="U555" s="166">
        <f t="shared" si="10"/>
        <v>45628</v>
      </c>
      <c r="V555" s="167"/>
      <c r="W555" s="43"/>
      <c r="X555" s="43"/>
      <c r="Y555" s="43"/>
      <c r="Z555" s="43" t="s">
        <v>1113</v>
      </c>
      <c r="AA555" s="43"/>
      <c r="AB555" s="43"/>
    </row>
    <row r="556" spans="1:28" ht="14.25" hidden="1" customHeight="1">
      <c r="A556" s="163" t="s">
        <v>1017</v>
      </c>
      <c r="B556" s="164">
        <v>45621</v>
      </c>
      <c r="C556" s="190" t="s">
        <v>1008</v>
      </c>
      <c r="D556" s="163" t="s">
        <v>281</v>
      </c>
      <c r="E556" s="163" t="s">
        <v>199</v>
      </c>
      <c r="F556" s="169">
        <v>-3000</v>
      </c>
      <c r="G556" s="165">
        <f t="shared" si="12"/>
        <v>813.37000000002081</v>
      </c>
      <c r="H556" s="163"/>
      <c r="I556" s="163" t="s">
        <v>977</v>
      </c>
      <c r="J556" s="163"/>
      <c r="K556" s="163"/>
      <c r="L556" s="163" t="s">
        <v>800</v>
      </c>
      <c r="M556" s="163"/>
      <c r="N556" s="163" t="s">
        <v>978</v>
      </c>
      <c r="O556" s="163"/>
      <c r="P556" s="163"/>
      <c r="Q556" s="163"/>
      <c r="R556" s="163" t="s">
        <v>1008</v>
      </c>
      <c r="S556" s="163"/>
      <c r="T556" s="43">
        <f t="shared" si="13"/>
        <v>11</v>
      </c>
      <c r="U556" s="167">
        <f t="shared" si="10"/>
        <v>45628</v>
      </c>
      <c r="V556" s="166">
        <v>45628</v>
      </c>
      <c r="W556" s="43"/>
      <c r="X556" s="43"/>
      <c r="Y556" s="43"/>
      <c r="Z556" s="43" t="s">
        <v>1113</v>
      </c>
      <c r="AA556" s="43"/>
      <c r="AB556" s="43"/>
    </row>
    <row r="557" spans="1:28" ht="14.25" hidden="1" customHeight="1">
      <c r="A557" s="163"/>
      <c r="B557" s="164">
        <v>45628</v>
      </c>
      <c r="C557" s="163" t="s">
        <v>346</v>
      </c>
      <c r="D557" s="163"/>
      <c r="E557" s="163"/>
      <c r="F557" s="165">
        <v>0</v>
      </c>
      <c r="G557" s="165">
        <f t="shared" si="12"/>
        <v>813.37000000002081</v>
      </c>
      <c r="H557" s="163"/>
      <c r="I557" s="163"/>
      <c r="J557" s="163"/>
      <c r="K557" s="163"/>
      <c r="L557" s="163"/>
      <c r="M557" s="163"/>
      <c r="N557" s="163"/>
      <c r="O557" s="163"/>
      <c r="P557" s="163"/>
      <c r="Q557" s="163"/>
      <c r="R557" s="163"/>
      <c r="S557" s="163"/>
      <c r="T557" s="43">
        <f t="shared" si="13"/>
        <v>12</v>
      </c>
      <c r="U557" s="166">
        <f t="shared" si="10"/>
        <v>45628</v>
      </c>
      <c r="V557" s="43"/>
      <c r="W557" s="43"/>
      <c r="X557" s="43"/>
      <c r="Y557" s="43"/>
      <c r="Z557" s="43" t="s">
        <v>1157</v>
      </c>
      <c r="AA557" s="43"/>
      <c r="AB557" s="43"/>
    </row>
    <row r="558" spans="1:28" ht="14.25" hidden="1" customHeight="1">
      <c r="A558" s="163" t="s">
        <v>1017</v>
      </c>
      <c r="B558" s="164">
        <v>45628</v>
      </c>
      <c r="C558" s="163" t="s">
        <v>1307</v>
      </c>
      <c r="D558" s="163" t="s">
        <v>281</v>
      </c>
      <c r="E558" s="163" t="s">
        <v>634</v>
      </c>
      <c r="F558" s="197">
        <v>2953.91</v>
      </c>
      <c r="G558" s="165">
        <f t="shared" si="12"/>
        <v>3767.2800000000207</v>
      </c>
      <c r="H558" s="163"/>
      <c r="I558" s="163" t="s">
        <v>283</v>
      </c>
      <c r="J558" s="163" t="s">
        <v>1308</v>
      </c>
      <c r="K558" s="163" t="s">
        <v>1309</v>
      </c>
      <c r="L558" s="163" t="s">
        <v>305</v>
      </c>
      <c r="M558" s="163" t="s">
        <v>1310</v>
      </c>
      <c r="N558" s="163" t="s">
        <v>966</v>
      </c>
      <c r="O558" s="163" t="s">
        <v>1311</v>
      </c>
      <c r="P558" s="163" t="s">
        <v>418</v>
      </c>
      <c r="Q558" s="163"/>
      <c r="R558" s="163" t="s">
        <v>620</v>
      </c>
      <c r="S558" s="163" t="s">
        <v>621</v>
      </c>
      <c r="T558" s="43">
        <f t="shared" si="13"/>
        <v>12</v>
      </c>
      <c r="U558" s="167">
        <f t="shared" si="10"/>
        <v>45629</v>
      </c>
      <c r="V558" s="166">
        <v>45629</v>
      </c>
      <c r="W558" s="43"/>
      <c r="X558" s="43"/>
      <c r="Y558" s="43"/>
      <c r="Z558" s="43" t="s">
        <v>1113</v>
      </c>
      <c r="AA558" s="43"/>
      <c r="AB558" s="194" t="s">
        <v>1312</v>
      </c>
    </row>
    <row r="559" spans="1:28" ht="14.25" hidden="1" customHeight="1">
      <c r="A559" s="180" t="s">
        <v>279</v>
      </c>
      <c r="B559" s="181">
        <v>45629</v>
      </c>
      <c r="C559" s="180" t="s">
        <v>1313</v>
      </c>
      <c r="D559" s="180" t="s">
        <v>281</v>
      </c>
      <c r="E559" s="180"/>
      <c r="F559" s="186">
        <v>1000</v>
      </c>
      <c r="G559" s="165">
        <f t="shared" si="12"/>
        <v>4767.2800000000207</v>
      </c>
      <c r="H559" s="180"/>
      <c r="I559" s="180" t="s">
        <v>283</v>
      </c>
      <c r="J559" s="180" t="s">
        <v>918</v>
      </c>
      <c r="K559" s="180"/>
      <c r="L559" s="180"/>
      <c r="M559" s="180"/>
      <c r="N559" s="180" t="s">
        <v>285</v>
      </c>
      <c r="O559" s="180"/>
      <c r="P559" s="180"/>
      <c r="Q559" s="180"/>
      <c r="R559" s="180" t="s">
        <v>286</v>
      </c>
      <c r="S559" s="180" t="s">
        <v>287</v>
      </c>
      <c r="T559" s="183">
        <f t="shared" si="13"/>
        <v>12</v>
      </c>
      <c r="U559" s="187">
        <f t="shared" si="10"/>
        <v>45629</v>
      </c>
      <c r="V559" s="183"/>
      <c r="W559" s="183"/>
      <c r="X559" s="183"/>
      <c r="Y559" s="183"/>
      <c r="Z559" s="183" t="s">
        <v>1157</v>
      </c>
      <c r="AA559" s="183"/>
      <c r="AB559" s="183"/>
    </row>
    <row r="560" spans="1:28" ht="14.25" hidden="1" customHeight="1">
      <c r="A560" s="163" t="s">
        <v>1017</v>
      </c>
      <c r="B560" s="164">
        <v>45629</v>
      </c>
      <c r="C560" s="163" t="s">
        <v>472</v>
      </c>
      <c r="D560" s="163" t="s">
        <v>281</v>
      </c>
      <c r="E560" s="163" t="s">
        <v>1314</v>
      </c>
      <c r="F560" s="168">
        <v>-3082.69</v>
      </c>
      <c r="G560" s="165">
        <f t="shared" si="12"/>
        <v>1684.5900000000206</v>
      </c>
      <c r="H560" s="163"/>
      <c r="I560" s="163" t="s">
        <v>283</v>
      </c>
      <c r="J560" s="163"/>
      <c r="K560" s="163"/>
      <c r="L560" s="163" t="s">
        <v>305</v>
      </c>
      <c r="M560" s="163"/>
      <c r="N560" s="163" t="s">
        <v>978</v>
      </c>
      <c r="O560" s="163"/>
      <c r="P560" s="163"/>
      <c r="Q560" s="163"/>
      <c r="R560" s="163" t="s">
        <v>472</v>
      </c>
      <c r="S560" s="163" t="s">
        <v>475</v>
      </c>
      <c r="T560" s="43">
        <f t="shared" si="13"/>
        <v>12</v>
      </c>
      <c r="U560" s="166">
        <f t="shared" si="10"/>
        <v>45629</v>
      </c>
      <c r="V560" s="43"/>
      <c r="W560" s="43"/>
      <c r="X560" s="43"/>
      <c r="Y560" s="43"/>
      <c r="Z560" s="43" t="s">
        <v>1113</v>
      </c>
      <c r="AA560" s="43"/>
      <c r="AB560" s="43"/>
    </row>
    <row r="561" spans="1:28" hidden="1">
      <c r="A561" s="163" t="s">
        <v>1017</v>
      </c>
      <c r="B561" s="164">
        <v>45628</v>
      </c>
      <c r="C561" s="163" t="s">
        <v>211</v>
      </c>
      <c r="D561" s="163" t="s">
        <v>281</v>
      </c>
      <c r="E561" s="163" t="s">
        <v>760</v>
      </c>
      <c r="F561" s="198">
        <v>-899.5</v>
      </c>
      <c r="G561" s="165">
        <f t="shared" si="12"/>
        <v>785.09000000002061</v>
      </c>
      <c r="U561" s="166">
        <f t="shared" si="10"/>
        <v>45629</v>
      </c>
      <c r="V561" s="166">
        <v>45629</v>
      </c>
      <c r="W561" s="49"/>
      <c r="X561" s="49"/>
      <c r="Y561" s="49"/>
      <c r="Z561" s="49" t="s">
        <v>1113</v>
      </c>
    </row>
    <row r="562" spans="1:28" ht="14.25" hidden="1" customHeight="1">
      <c r="A562" s="163" t="s">
        <v>1017</v>
      </c>
      <c r="B562" s="164">
        <v>45629</v>
      </c>
      <c r="C562" s="163"/>
      <c r="D562" s="163" t="s">
        <v>281</v>
      </c>
      <c r="E562" s="163" t="s">
        <v>1077</v>
      </c>
      <c r="F562" s="168">
        <f>-1.99-1</f>
        <v>-2.99</v>
      </c>
      <c r="G562" s="165">
        <f t="shared" si="12"/>
        <v>782.1000000000206</v>
      </c>
      <c r="H562" s="163"/>
      <c r="I562" s="163" t="s">
        <v>342</v>
      </c>
      <c r="J562" s="163"/>
      <c r="K562" s="163"/>
      <c r="L562" s="163" t="s">
        <v>1030</v>
      </c>
      <c r="M562" s="163"/>
      <c r="N562" s="163" t="s">
        <v>978</v>
      </c>
      <c r="O562" s="163"/>
      <c r="P562" s="163"/>
      <c r="Q562" s="163"/>
      <c r="R562" s="163"/>
      <c r="S562" s="163" t="s">
        <v>1076</v>
      </c>
      <c r="T562" s="43">
        <f t="shared" ref="T562:T615" si="14">MONTH(B562)</f>
        <v>12</v>
      </c>
      <c r="U562" s="167">
        <f t="shared" si="10"/>
        <v>45629</v>
      </c>
      <c r="V562" s="43"/>
      <c r="W562" s="43"/>
      <c r="X562" s="43"/>
      <c r="Y562" s="43"/>
      <c r="Z562" s="43" t="s">
        <v>1157</v>
      </c>
      <c r="AA562" s="43"/>
      <c r="AB562" s="43"/>
    </row>
    <row r="563" spans="1:28" ht="14.25" hidden="1" customHeight="1">
      <c r="A563" s="163"/>
      <c r="B563" s="164">
        <v>45629</v>
      </c>
      <c r="C563" s="163" t="s">
        <v>346</v>
      </c>
      <c r="D563" s="163"/>
      <c r="E563" s="163"/>
      <c r="F563" s="165">
        <v>0</v>
      </c>
      <c r="G563" s="165">
        <f t="shared" si="12"/>
        <v>782.1000000000206</v>
      </c>
      <c r="H563" s="163"/>
      <c r="I563" s="163"/>
      <c r="J563" s="163"/>
      <c r="K563" s="163"/>
      <c r="L563" s="163"/>
      <c r="M563" s="163"/>
      <c r="N563" s="163"/>
      <c r="O563" s="163"/>
      <c r="P563" s="163"/>
      <c r="Q563" s="163"/>
      <c r="R563" s="163"/>
      <c r="S563" s="163"/>
      <c r="T563" s="43">
        <f t="shared" si="14"/>
        <v>12</v>
      </c>
      <c r="U563" s="166">
        <f t="shared" si="10"/>
        <v>45629</v>
      </c>
      <c r="V563" s="43"/>
      <c r="W563" s="43"/>
      <c r="X563" s="43"/>
      <c r="Y563" s="43"/>
      <c r="Z563" s="43" t="s">
        <v>1157</v>
      </c>
      <c r="AA563" s="43"/>
      <c r="AB563" s="43"/>
    </row>
    <row r="564" spans="1:28" ht="14.25" hidden="1" customHeight="1">
      <c r="A564" s="180" t="s">
        <v>279</v>
      </c>
      <c r="B564" s="181">
        <v>45630</v>
      </c>
      <c r="C564" s="180" t="s">
        <v>280</v>
      </c>
      <c r="D564" s="180" t="s">
        <v>281</v>
      </c>
      <c r="E564" s="180" t="s">
        <v>282</v>
      </c>
      <c r="F564" s="186">
        <v>50000</v>
      </c>
      <c r="G564" s="165">
        <f t="shared" si="12"/>
        <v>50782.10000000002</v>
      </c>
      <c r="H564" s="180"/>
      <c r="I564" s="180" t="s">
        <v>283</v>
      </c>
      <c r="J564" s="180" t="s">
        <v>918</v>
      </c>
      <c r="K564" s="180"/>
      <c r="L564" s="180"/>
      <c r="M564" s="180"/>
      <c r="N564" s="180" t="s">
        <v>285</v>
      </c>
      <c r="O564" s="180"/>
      <c r="P564" s="180"/>
      <c r="Q564" s="180"/>
      <c r="R564" s="180" t="s">
        <v>286</v>
      </c>
      <c r="S564" s="180" t="s">
        <v>287</v>
      </c>
      <c r="T564" s="183">
        <f t="shared" si="14"/>
        <v>12</v>
      </c>
      <c r="U564" s="187">
        <f t="shared" si="10"/>
        <v>45630</v>
      </c>
      <c r="V564" s="183"/>
      <c r="W564" s="183"/>
      <c r="X564" s="183"/>
      <c r="Y564" s="183"/>
      <c r="Z564" s="183" t="s">
        <v>1113</v>
      </c>
      <c r="AA564" s="183"/>
      <c r="AB564" s="183"/>
    </row>
    <row r="565" spans="1:28" ht="14.25" hidden="1" customHeight="1">
      <c r="A565" s="163" t="s">
        <v>1174</v>
      </c>
      <c r="B565" s="164">
        <v>45631</v>
      </c>
      <c r="C565" s="163" t="s">
        <v>421</v>
      </c>
      <c r="D565" s="163" t="s">
        <v>281</v>
      </c>
      <c r="E565" s="163" t="s">
        <v>407</v>
      </c>
      <c r="F565" s="165">
        <v>2800</v>
      </c>
      <c r="G565" s="165">
        <f t="shared" si="12"/>
        <v>53582.10000000002</v>
      </c>
      <c r="H565" s="163"/>
      <c r="I565" s="163" t="s">
        <v>1176</v>
      </c>
      <c r="J565" s="163" t="s">
        <v>1315</v>
      </c>
      <c r="K565" s="163"/>
      <c r="L565" s="163" t="s">
        <v>305</v>
      </c>
      <c r="M565" s="163"/>
      <c r="N565" s="163" t="s">
        <v>1178</v>
      </c>
      <c r="O565" s="163" t="s">
        <v>1315</v>
      </c>
      <c r="P565" s="163" t="s">
        <v>57</v>
      </c>
      <c r="Q565" s="163"/>
      <c r="R565" s="163" t="s">
        <v>426</v>
      </c>
      <c r="S565" s="163" t="s">
        <v>427</v>
      </c>
      <c r="T565" s="43">
        <f t="shared" si="14"/>
        <v>12</v>
      </c>
      <c r="U565" s="167">
        <f t="shared" si="10"/>
        <v>45630</v>
      </c>
      <c r="V565" s="199">
        <v>45630</v>
      </c>
      <c r="W565" s="43"/>
      <c r="X565" s="43"/>
      <c r="Y565" s="43"/>
      <c r="Z565" s="43"/>
      <c r="AA565" s="43"/>
      <c r="AB565" s="43"/>
    </row>
    <row r="566" spans="1:28" ht="14.25" hidden="1" customHeight="1">
      <c r="A566" s="163" t="s">
        <v>1017</v>
      </c>
      <c r="B566" s="164">
        <v>45630</v>
      </c>
      <c r="C566" s="163"/>
      <c r="D566" s="163" t="s">
        <v>281</v>
      </c>
      <c r="E566" s="163" t="s">
        <v>1077</v>
      </c>
      <c r="F566" s="168">
        <f>-1.99</f>
        <v>-1.99</v>
      </c>
      <c r="G566" s="165">
        <f t="shared" si="12"/>
        <v>53580.110000000022</v>
      </c>
      <c r="H566" s="163"/>
      <c r="I566" s="163" t="s">
        <v>342</v>
      </c>
      <c r="J566" s="163"/>
      <c r="K566" s="163"/>
      <c r="L566" s="163" t="s">
        <v>1030</v>
      </c>
      <c r="M566" s="163"/>
      <c r="N566" s="163" t="s">
        <v>978</v>
      </c>
      <c r="O566" s="163"/>
      <c r="P566" s="163"/>
      <c r="Q566" s="163"/>
      <c r="R566" s="163"/>
      <c r="S566" s="163" t="s">
        <v>1076</v>
      </c>
      <c r="T566" s="43">
        <f t="shared" si="14"/>
        <v>12</v>
      </c>
      <c r="U566" s="167">
        <f t="shared" si="10"/>
        <v>45630</v>
      </c>
      <c r="V566" s="43"/>
      <c r="W566" s="43"/>
      <c r="X566" s="43"/>
      <c r="Y566" s="43"/>
      <c r="Z566" s="43"/>
      <c r="AA566" s="43"/>
      <c r="AB566" s="43"/>
    </row>
    <row r="567" spans="1:28" ht="14.25" hidden="1" customHeight="1">
      <c r="A567" s="163"/>
      <c r="B567" s="164">
        <v>45630</v>
      </c>
      <c r="C567" s="163" t="s">
        <v>346</v>
      </c>
      <c r="D567" s="163"/>
      <c r="E567" s="163"/>
      <c r="F567" s="165">
        <v>0</v>
      </c>
      <c r="G567" s="165">
        <f t="shared" si="12"/>
        <v>53580.110000000022</v>
      </c>
      <c r="H567" s="163"/>
      <c r="I567" s="163"/>
      <c r="J567" s="163"/>
      <c r="K567" s="163"/>
      <c r="L567" s="163"/>
      <c r="M567" s="163"/>
      <c r="N567" s="163"/>
      <c r="O567" s="163"/>
      <c r="P567" s="163"/>
      <c r="Q567" s="163"/>
      <c r="R567" s="163"/>
      <c r="S567" s="163"/>
      <c r="T567" s="43">
        <f t="shared" si="14"/>
        <v>12</v>
      </c>
      <c r="U567" s="167">
        <f t="shared" si="10"/>
        <v>45630</v>
      </c>
      <c r="V567" s="166"/>
      <c r="W567" s="43"/>
      <c r="X567" s="43"/>
      <c r="Y567" s="43"/>
      <c r="Z567" s="43"/>
      <c r="AA567" s="43"/>
      <c r="AB567" s="43"/>
    </row>
    <row r="568" spans="1:28" ht="14.25" hidden="1" customHeight="1">
      <c r="A568" s="180" t="s">
        <v>279</v>
      </c>
      <c r="B568" s="181">
        <v>45631</v>
      </c>
      <c r="C568" s="180" t="s">
        <v>280</v>
      </c>
      <c r="D568" s="180" t="s">
        <v>281</v>
      </c>
      <c r="E568" s="180" t="s">
        <v>282</v>
      </c>
      <c r="F568" s="186">
        <v>50000</v>
      </c>
      <c r="G568" s="165">
        <f t="shared" si="12"/>
        <v>103580.11000000002</v>
      </c>
      <c r="H568" s="180"/>
      <c r="I568" s="180" t="s">
        <v>283</v>
      </c>
      <c r="J568" s="180" t="s">
        <v>918</v>
      </c>
      <c r="K568" s="180"/>
      <c r="L568" s="180"/>
      <c r="M568" s="180"/>
      <c r="N568" s="180" t="s">
        <v>285</v>
      </c>
      <c r="O568" s="180"/>
      <c r="P568" s="180"/>
      <c r="Q568" s="180"/>
      <c r="R568" s="180" t="s">
        <v>286</v>
      </c>
      <c r="S568" s="180" t="s">
        <v>287</v>
      </c>
      <c r="T568" s="183">
        <f t="shared" si="14"/>
        <v>12</v>
      </c>
      <c r="U568" s="187">
        <f t="shared" si="10"/>
        <v>45631</v>
      </c>
      <c r="V568" s="183"/>
      <c r="W568" s="183"/>
      <c r="X568" s="183"/>
      <c r="Y568" s="183"/>
      <c r="Z568" s="183"/>
      <c r="AA568" s="183"/>
      <c r="AB568" s="183"/>
    </row>
    <row r="569" spans="1:28" ht="14.25" hidden="1" customHeight="1">
      <c r="A569" s="163" t="s">
        <v>1174</v>
      </c>
      <c r="B569" s="164">
        <v>45631</v>
      </c>
      <c r="C569" s="163" t="s">
        <v>1316</v>
      </c>
      <c r="D569" s="163" t="s">
        <v>281</v>
      </c>
      <c r="E569" s="163" t="s">
        <v>407</v>
      </c>
      <c r="F569" s="200"/>
      <c r="G569" s="165">
        <f t="shared" si="12"/>
        <v>103580.11000000002</v>
      </c>
      <c r="H569" s="163"/>
      <c r="I569" s="163" t="s">
        <v>1176</v>
      </c>
      <c r="J569" s="163" t="s">
        <v>1317</v>
      </c>
      <c r="K569" s="163"/>
      <c r="L569" s="163" t="s">
        <v>305</v>
      </c>
      <c r="M569" s="163"/>
      <c r="N569" s="163" t="s">
        <v>1178</v>
      </c>
      <c r="O569" s="163" t="s">
        <v>1317</v>
      </c>
      <c r="P569" s="163" t="s">
        <v>418</v>
      </c>
      <c r="Q569" s="163"/>
      <c r="R569" s="163" t="s">
        <v>1318</v>
      </c>
      <c r="S569" s="163" t="s">
        <v>1319</v>
      </c>
      <c r="T569" s="94">
        <f t="shared" si="14"/>
        <v>12</v>
      </c>
      <c r="U569" s="167">
        <f t="shared" si="10"/>
        <v>45631</v>
      </c>
      <c r="V569" s="43"/>
      <c r="W569" s="43"/>
      <c r="X569" s="43"/>
      <c r="Y569" s="43"/>
      <c r="Z569" s="43" t="s">
        <v>1113</v>
      </c>
      <c r="AA569" s="43"/>
      <c r="AB569" s="194" t="s">
        <v>1320</v>
      </c>
    </row>
    <row r="570" spans="1:28" ht="14.25" hidden="1" customHeight="1">
      <c r="A570" s="163" t="s">
        <v>1174</v>
      </c>
      <c r="B570" s="164">
        <v>45631</v>
      </c>
      <c r="C570" s="163" t="s">
        <v>67</v>
      </c>
      <c r="D570" s="163" t="s">
        <v>281</v>
      </c>
      <c r="E570" s="163" t="s">
        <v>407</v>
      </c>
      <c r="F570" s="165">
        <v>2950</v>
      </c>
      <c r="G570" s="165">
        <f t="shared" si="12"/>
        <v>106530.11000000002</v>
      </c>
      <c r="H570" s="163"/>
      <c r="I570" s="163" t="s">
        <v>1176</v>
      </c>
      <c r="J570" s="163" t="s">
        <v>1321</v>
      </c>
      <c r="K570" s="163"/>
      <c r="L570" s="163" t="s">
        <v>305</v>
      </c>
      <c r="M570" s="163"/>
      <c r="N570" s="163" t="s">
        <v>1178</v>
      </c>
      <c r="O570" s="163" t="s">
        <v>1321</v>
      </c>
      <c r="P570" s="163" t="s">
        <v>418</v>
      </c>
      <c r="Q570" s="163"/>
      <c r="R570" s="163" t="s">
        <v>419</v>
      </c>
      <c r="S570" s="163" t="s">
        <v>420</v>
      </c>
      <c r="T570" s="43">
        <f t="shared" si="14"/>
        <v>12</v>
      </c>
      <c r="U570" s="167">
        <f t="shared" si="10"/>
        <v>45631</v>
      </c>
      <c r="V570" s="43"/>
      <c r="W570" s="43"/>
      <c r="X570" s="43"/>
      <c r="Y570" s="43"/>
      <c r="Z570" s="43" t="s">
        <v>1113</v>
      </c>
      <c r="AA570" s="43"/>
      <c r="AB570" s="43"/>
    </row>
    <row r="571" spans="1:28" ht="14.25" hidden="1" customHeight="1">
      <c r="A571" s="163" t="s">
        <v>1174</v>
      </c>
      <c r="B571" s="164">
        <v>45631</v>
      </c>
      <c r="C571" s="163" t="s">
        <v>600</v>
      </c>
      <c r="D571" s="163" t="s">
        <v>281</v>
      </c>
      <c r="E571" s="163" t="s">
        <v>407</v>
      </c>
      <c r="F571" s="200"/>
      <c r="G571" s="165">
        <f t="shared" si="12"/>
        <v>106530.11000000002</v>
      </c>
      <c r="H571" s="163"/>
      <c r="I571" s="163" t="s">
        <v>1176</v>
      </c>
      <c r="J571" s="163" t="s">
        <v>1322</v>
      </c>
      <c r="K571" s="163"/>
      <c r="L571" s="163" t="s">
        <v>305</v>
      </c>
      <c r="M571" s="163"/>
      <c r="N571" s="163" t="s">
        <v>1178</v>
      </c>
      <c r="O571" s="163" t="s">
        <v>1322</v>
      </c>
      <c r="P571" s="163" t="s">
        <v>605</v>
      </c>
      <c r="Q571" s="163"/>
      <c r="R571" s="163" t="s">
        <v>606</v>
      </c>
      <c r="S571" s="163" t="s">
        <v>607</v>
      </c>
      <c r="T571" s="43">
        <f t="shared" si="14"/>
        <v>12</v>
      </c>
      <c r="U571" s="167">
        <f t="shared" si="10"/>
        <v>45631</v>
      </c>
      <c r="V571" s="43"/>
      <c r="W571" s="43"/>
      <c r="X571" s="43"/>
      <c r="Y571" s="43"/>
      <c r="Z571" s="43" t="s">
        <v>1113</v>
      </c>
      <c r="AA571" s="43"/>
      <c r="AB571" s="43"/>
    </row>
    <row r="572" spans="1:28" ht="14.25" hidden="1" customHeight="1">
      <c r="A572" s="163" t="s">
        <v>1017</v>
      </c>
      <c r="B572" s="164">
        <v>45631</v>
      </c>
      <c r="C572" s="163"/>
      <c r="D572" s="163" t="s">
        <v>281</v>
      </c>
      <c r="E572" s="163" t="s">
        <v>1077</v>
      </c>
      <c r="F572" s="168">
        <f>-1.99-2</f>
        <v>-3.99</v>
      </c>
      <c r="G572" s="165">
        <f t="shared" si="12"/>
        <v>106526.12000000001</v>
      </c>
      <c r="H572" s="163"/>
      <c r="I572" s="163" t="s">
        <v>342</v>
      </c>
      <c r="J572" s="163"/>
      <c r="K572" s="163"/>
      <c r="L572" s="163" t="s">
        <v>1030</v>
      </c>
      <c r="M572" s="163"/>
      <c r="N572" s="163" t="s">
        <v>978</v>
      </c>
      <c r="O572" s="163"/>
      <c r="P572" s="163"/>
      <c r="Q572" s="163"/>
      <c r="R572" s="163"/>
      <c r="S572" s="163" t="s">
        <v>1076</v>
      </c>
      <c r="T572" s="43">
        <f t="shared" si="14"/>
        <v>12</v>
      </c>
      <c r="U572" s="167">
        <f t="shared" si="10"/>
        <v>45631</v>
      </c>
      <c r="V572" s="43"/>
      <c r="W572" s="43"/>
      <c r="X572" s="43"/>
      <c r="Y572" s="43"/>
      <c r="Z572" s="43" t="s">
        <v>1157</v>
      </c>
      <c r="AA572" s="43"/>
      <c r="AB572" s="43"/>
    </row>
    <row r="573" spans="1:28" ht="14.25" hidden="1" customHeight="1">
      <c r="A573" s="163" t="s">
        <v>1017</v>
      </c>
      <c r="B573" s="164">
        <v>45624</v>
      </c>
      <c r="C573" s="163" t="s">
        <v>1323</v>
      </c>
      <c r="D573" s="163" t="s">
        <v>281</v>
      </c>
      <c r="E573" s="163" t="s">
        <v>199</v>
      </c>
      <c r="F573" s="198">
        <v>-2477.65</v>
      </c>
      <c r="G573" s="165">
        <f t="shared" si="12"/>
        <v>104048.47000000002</v>
      </c>
      <c r="H573" s="163"/>
      <c r="I573" s="163" t="s">
        <v>342</v>
      </c>
      <c r="J573" s="163"/>
      <c r="K573" s="163"/>
      <c r="L573" s="163" t="s">
        <v>366</v>
      </c>
      <c r="M573" s="163"/>
      <c r="N573" s="163" t="s">
        <v>978</v>
      </c>
      <c r="O573" s="163"/>
      <c r="P573" s="163"/>
      <c r="Q573" s="163"/>
      <c r="R573" s="163" t="s">
        <v>1324</v>
      </c>
      <c r="S573" s="163" t="s">
        <v>1325</v>
      </c>
      <c r="T573" s="43">
        <f t="shared" si="14"/>
        <v>11</v>
      </c>
      <c r="U573" s="167">
        <f t="shared" si="10"/>
        <v>45631</v>
      </c>
      <c r="V573" s="166">
        <v>45631</v>
      </c>
      <c r="W573" s="43"/>
      <c r="X573" s="43"/>
      <c r="Y573" s="43"/>
      <c r="Z573" s="43" t="s">
        <v>1113</v>
      </c>
      <c r="AA573" s="43"/>
      <c r="AB573" s="43" t="s">
        <v>1113</v>
      </c>
    </row>
    <row r="574" spans="1:28" ht="14.25" hidden="1" customHeight="1">
      <c r="A574" s="163" t="s">
        <v>1017</v>
      </c>
      <c r="B574" s="164">
        <v>45621</v>
      </c>
      <c r="C574" s="190" t="s">
        <v>1326</v>
      </c>
      <c r="D574" s="163" t="s">
        <v>281</v>
      </c>
      <c r="E574" s="163" t="s">
        <v>199</v>
      </c>
      <c r="F574" s="198">
        <v>-544</v>
      </c>
      <c r="G574" s="165">
        <f t="shared" si="12"/>
        <v>103504.47000000002</v>
      </c>
      <c r="H574" s="163"/>
      <c r="I574" s="163" t="s">
        <v>342</v>
      </c>
      <c r="J574" s="163"/>
      <c r="K574" s="163"/>
      <c r="L574" s="163" t="s">
        <v>766</v>
      </c>
      <c r="M574" s="163"/>
      <c r="N574" s="163" t="s">
        <v>978</v>
      </c>
      <c r="O574" s="163"/>
      <c r="P574" s="163"/>
      <c r="Q574" s="163"/>
      <c r="R574" s="163" t="s">
        <v>1327</v>
      </c>
      <c r="S574" s="163"/>
      <c r="T574" s="43">
        <f t="shared" si="14"/>
        <v>11</v>
      </c>
      <c r="U574" s="167">
        <f t="shared" si="10"/>
        <v>45631</v>
      </c>
      <c r="V574" s="166">
        <v>45631</v>
      </c>
      <c r="W574" s="43"/>
      <c r="X574" s="43"/>
      <c r="Y574" s="43"/>
      <c r="Z574" s="43" t="s">
        <v>1113</v>
      </c>
      <c r="AA574" s="43"/>
      <c r="AB574" s="43" t="s">
        <v>1113</v>
      </c>
    </row>
    <row r="575" spans="1:28" ht="14.25" hidden="1" customHeight="1">
      <c r="A575" s="163" t="s">
        <v>1017</v>
      </c>
      <c r="B575" s="164">
        <v>45630</v>
      </c>
      <c r="C575" s="163" t="s">
        <v>126</v>
      </c>
      <c r="D575" s="163" t="s">
        <v>281</v>
      </c>
      <c r="E575" s="163" t="s">
        <v>199</v>
      </c>
      <c r="F575" s="198">
        <v>-120</v>
      </c>
      <c r="G575" s="165">
        <f t="shared" si="12"/>
        <v>103384.47000000002</v>
      </c>
      <c r="H575" s="163"/>
      <c r="I575" s="163" t="s">
        <v>977</v>
      </c>
      <c r="J575" s="163"/>
      <c r="K575" s="163"/>
      <c r="L575" s="163" t="s">
        <v>366</v>
      </c>
      <c r="M575" s="163"/>
      <c r="N575" s="163" t="s">
        <v>978</v>
      </c>
      <c r="O575" s="163"/>
      <c r="P575" s="163"/>
      <c r="Q575" s="163"/>
      <c r="R575" s="163" t="s">
        <v>126</v>
      </c>
      <c r="S575" s="163"/>
      <c r="T575" s="43">
        <f t="shared" si="14"/>
        <v>12</v>
      </c>
      <c r="U575" s="166">
        <f t="shared" si="10"/>
        <v>45631</v>
      </c>
      <c r="V575" s="166">
        <v>45631</v>
      </c>
      <c r="W575" s="43"/>
      <c r="X575" s="43"/>
      <c r="Y575" s="43"/>
      <c r="Z575" s="43" t="s">
        <v>1113</v>
      </c>
      <c r="AA575" s="43"/>
      <c r="AB575" s="43" t="s">
        <v>1113</v>
      </c>
    </row>
    <row r="576" spans="1:28" ht="14.25" hidden="1" customHeight="1">
      <c r="A576" s="163" t="s">
        <v>1017</v>
      </c>
      <c r="B576" s="164">
        <v>45631</v>
      </c>
      <c r="C576" s="163" t="s">
        <v>396</v>
      </c>
      <c r="D576" s="163" t="s">
        <v>281</v>
      </c>
      <c r="E576" s="163" t="s">
        <v>196</v>
      </c>
      <c r="F576" s="168">
        <v>-9084.9599999999991</v>
      </c>
      <c r="G576" s="165">
        <f t="shared" si="12"/>
        <v>94299.510000000009</v>
      </c>
      <c r="H576" s="163"/>
      <c r="I576" s="163" t="s">
        <v>342</v>
      </c>
      <c r="J576" s="163"/>
      <c r="K576" s="163"/>
      <c r="L576" s="163" t="s">
        <v>1030</v>
      </c>
      <c r="M576" s="163"/>
      <c r="N576" s="163" t="s">
        <v>978</v>
      </c>
      <c r="O576" s="163"/>
      <c r="P576" s="163"/>
      <c r="Q576" s="163"/>
      <c r="R576" s="163" t="s">
        <v>396</v>
      </c>
      <c r="S576" s="163" t="s">
        <v>398</v>
      </c>
      <c r="T576" s="43">
        <f t="shared" si="14"/>
        <v>12</v>
      </c>
      <c r="U576" s="167">
        <f t="shared" si="10"/>
        <v>45631</v>
      </c>
      <c r="V576" s="43"/>
      <c r="W576" s="43"/>
      <c r="X576" s="43"/>
      <c r="Y576" s="43"/>
      <c r="Z576" s="43" t="s">
        <v>1113</v>
      </c>
      <c r="AA576" s="43"/>
      <c r="AB576" s="43" t="s">
        <v>1113</v>
      </c>
    </row>
    <row r="577" spans="1:28" ht="14.25" hidden="1" customHeight="1">
      <c r="A577" s="163" t="s">
        <v>1017</v>
      </c>
      <c r="B577" s="164">
        <v>45631</v>
      </c>
      <c r="C577" s="163" t="s">
        <v>391</v>
      </c>
      <c r="D577" s="163" t="s">
        <v>281</v>
      </c>
      <c r="E577" s="163" t="s">
        <v>392</v>
      </c>
      <c r="F577" s="168">
        <v>-5000</v>
      </c>
      <c r="G577" s="165">
        <f t="shared" si="12"/>
        <v>89299.510000000009</v>
      </c>
      <c r="H577" s="163"/>
      <c r="I577" s="163" t="s">
        <v>994</v>
      </c>
      <c r="J577" s="163"/>
      <c r="K577" s="163"/>
      <c r="L577" s="163" t="s">
        <v>1030</v>
      </c>
      <c r="M577" s="163"/>
      <c r="N577" s="163" t="s">
        <v>978</v>
      </c>
      <c r="O577" s="163"/>
      <c r="P577" s="163"/>
      <c r="Q577" s="163"/>
      <c r="R577" s="163" t="s">
        <v>394</v>
      </c>
      <c r="S577" s="163" t="s">
        <v>395</v>
      </c>
      <c r="T577" s="43">
        <f t="shared" si="14"/>
        <v>12</v>
      </c>
      <c r="U577" s="167">
        <f t="shared" si="10"/>
        <v>45631</v>
      </c>
      <c r="V577" s="43"/>
      <c r="W577" s="43"/>
      <c r="X577" s="43"/>
      <c r="Y577" s="43"/>
      <c r="Z577" s="43" t="s">
        <v>1113</v>
      </c>
      <c r="AA577" s="43"/>
      <c r="AB577" s="43" t="s">
        <v>1113</v>
      </c>
    </row>
    <row r="578" spans="1:28" ht="14.25" hidden="1" customHeight="1">
      <c r="A578" s="163" t="s">
        <v>1017</v>
      </c>
      <c r="B578" s="164">
        <v>45631</v>
      </c>
      <c r="C578" s="163" t="s">
        <v>365</v>
      </c>
      <c r="D578" s="163" t="s">
        <v>281</v>
      </c>
      <c r="E578" s="163" t="s">
        <v>199</v>
      </c>
      <c r="F578" s="168">
        <v>-296.10000000000002</v>
      </c>
      <c r="G578" s="165">
        <f t="shared" si="12"/>
        <v>89003.41</v>
      </c>
      <c r="H578" s="163"/>
      <c r="I578" s="163" t="s">
        <v>342</v>
      </c>
      <c r="J578" s="163"/>
      <c r="K578" s="163"/>
      <c r="L578" s="163" t="s">
        <v>1030</v>
      </c>
      <c r="M578" s="163"/>
      <c r="N578" s="163" t="s">
        <v>978</v>
      </c>
      <c r="O578" s="163"/>
      <c r="P578" s="163"/>
      <c r="Q578" s="163"/>
      <c r="R578" s="163" t="s">
        <v>368</v>
      </c>
      <c r="S578" s="163" t="s">
        <v>369</v>
      </c>
      <c r="T578" s="43">
        <f t="shared" si="14"/>
        <v>12</v>
      </c>
      <c r="U578" s="167">
        <f t="shared" si="10"/>
        <v>45631</v>
      </c>
      <c r="V578" s="43"/>
      <c r="W578" s="43"/>
      <c r="X578" s="43"/>
      <c r="Y578" s="43"/>
      <c r="Z578" s="43" t="s">
        <v>1113</v>
      </c>
      <c r="AA578" s="43"/>
      <c r="AB578" s="43"/>
    </row>
    <row r="579" spans="1:28" ht="14.25" hidden="1" customHeight="1">
      <c r="A579" s="180" t="s">
        <v>1017</v>
      </c>
      <c r="B579" s="181">
        <v>45631</v>
      </c>
      <c r="C579" s="180" t="s">
        <v>87</v>
      </c>
      <c r="D579" s="180" t="s">
        <v>281</v>
      </c>
      <c r="E579" s="180" t="s">
        <v>308</v>
      </c>
      <c r="F579" s="182">
        <v>-64.5</v>
      </c>
      <c r="G579" s="165">
        <f t="shared" si="12"/>
        <v>88938.91</v>
      </c>
      <c r="H579" s="180"/>
      <c r="I579" s="180" t="s">
        <v>342</v>
      </c>
      <c r="J579" s="180"/>
      <c r="K579" s="180"/>
      <c r="L579" s="180" t="s">
        <v>305</v>
      </c>
      <c r="M579" s="180"/>
      <c r="N579" s="180" t="s">
        <v>978</v>
      </c>
      <c r="O579" s="180"/>
      <c r="P579" s="180"/>
      <c r="Q579" s="180"/>
      <c r="R579" s="180" t="s">
        <v>940</v>
      </c>
      <c r="S579" s="180" t="s">
        <v>942</v>
      </c>
      <c r="T579" s="183">
        <f t="shared" si="14"/>
        <v>12</v>
      </c>
      <c r="U579" s="184">
        <f t="shared" si="10"/>
        <v>45631</v>
      </c>
      <c r="V579" s="187"/>
      <c r="W579" s="183"/>
      <c r="X579" s="183"/>
      <c r="Y579" s="183"/>
      <c r="Z579" s="183"/>
      <c r="AA579" s="183"/>
      <c r="AB579" s="183" t="s">
        <v>1113</v>
      </c>
    </row>
    <row r="580" spans="1:28" ht="14.25" hidden="1" customHeight="1">
      <c r="A580" s="180" t="s">
        <v>1017</v>
      </c>
      <c r="B580" s="181">
        <v>45631</v>
      </c>
      <c r="C580" s="180" t="s">
        <v>93</v>
      </c>
      <c r="D580" s="180" t="s">
        <v>281</v>
      </c>
      <c r="E580" s="180" t="s">
        <v>308</v>
      </c>
      <c r="F580" s="182">
        <v>-59.5</v>
      </c>
      <c r="G580" s="165">
        <f t="shared" si="12"/>
        <v>88879.41</v>
      </c>
      <c r="H580" s="180"/>
      <c r="I580" s="180" t="s">
        <v>342</v>
      </c>
      <c r="J580" s="180"/>
      <c r="K580" s="180"/>
      <c r="L580" s="180" t="s">
        <v>305</v>
      </c>
      <c r="M580" s="180"/>
      <c r="N580" s="180" t="s">
        <v>978</v>
      </c>
      <c r="O580" s="180"/>
      <c r="P580" s="180"/>
      <c r="Q580" s="180"/>
      <c r="R580" s="180" t="s">
        <v>940</v>
      </c>
      <c r="S580" s="180" t="s">
        <v>942</v>
      </c>
      <c r="T580" s="183">
        <f t="shared" si="14"/>
        <v>12</v>
      </c>
      <c r="U580" s="184">
        <f t="shared" si="10"/>
        <v>45631</v>
      </c>
      <c r="V580" s="187"/>
      <c r="W580" s="183"/>
      <c r="X580" s="183"/>
      <c r="Y580" s="183"/>
      <c r="Z580" s="183"/>
      <c r="AA580" s="183"/>
      <c r="AB580" s="183" t="s">
        <v>1113</v>
      </c>
    </row>
    <row r="581" spans="1:28" ht="14.25" hidden="1" customHeight="1">
      <c r="A581" s="163"/>
      <c r="B581" s="164">
        <v>45631</v>
      </c>
      <c r="C581" s="163" t="s">
        <v>346</v>
      </c>
      <c r="D581" s="163"/>
      <c r="E581" s="163"/>
      <c r="F581" s="165">
        <v>0</v>
      </c>
      <c r="G581" s="165">
        <f t="shared" si="12"/>
        <v>88879.41</v>
      </c>
      <c r="H581" s="163"/>
      <c r="I581" s="163"/>
      <c r="J581" s="163"/>
      <c r="K581" s="163"/>
      <c r="L581" s="163"/>
      <c r="M581" s="163"/>
      <c r="N581" s="163"/>
      <c r="O581" s="163"/>
      <c r="P581" s="163"/>
      <c r="Q581" s="163"/>
      <c r="R581" s="163"/>
      <c r="S581" s="163"/>
      <c r="T581" s="43">
        <f t="shared" si="14"/>
        <v>12</v>
      </c>
      <c r="U581" s="167">
        <f t="shared" ref="U581:U835" si="15">IF(V581="",B581,V581)</f>
        <v>45631</v>
      </c>
      <c r="V581" s="43"/>
      <c r="W581" s="43"/>
      <c r="X581" s="43"/>
      <c r="Y581" s="43"/>
      <c r="Z581" s="43"/>
      <c r="AA581" s="43"/>
      <c r="AB581" s="43"/>
    </row>
    <row r="582" spans="1:28" ht="14.25" hidden="1" customHeight="1">
      <c r="A582" s="180" t="s">
        <v>279</v>
      </c>
      <c r="B582" s="181">
        <v>45632</v>
      </c>
      <c r="C582" s="180" t="s">
        <v>280</v>
      </c>
      <c r="D582" s="180" t="s">
        <v>281</v>
      </c>
      <c r="E582" s="180" t="s">
        <v>282</v>
      </c>
      <c r="F582" s="186">
        <v>35000</v>
      </c>
      <c r="G582" s="165">
        <f t="shared" si="12"/>
        <v>123879.41</v>
      </c>
      <c r="H582" s="180"/>
      <c r="I582" s="180" t="s">
        <v>283</v>
      </c>
      <c r="J582" s="180" t="s">
        <v>918</v>
      </c>
      <c r="K582" s="180"/>
      <c r="L582" s="180"/>
      <c r="M582" s="180"/>
      <c r="N582" s="180" t="s">
        <v>285</v>
      </c>
      <c r="O582" s="180"/>
      <c r="P582" s="180"/>
      <c r="Q582" s="180"/>
      <c r="R582" s="180" t="s">
        <v>286</v>
      </c>
      <c r="S582" s="180" t="s">
        <v>287</v>
      </c>
      <c r="T582" s="183">
        <f t="shared" si="14"/>
        <v>12</v>
      </c>
      <c r="U582" s="187">
        <f t="shared" si="15"/>
        <v>45632</v>
      </c>
      <c r="V582" s="183"/>
      <c r="W582" s="43"/>
      <c r="X582" s="43"/>
      <c r="Y582" s="43"/>
      <c r="Z582" s="43"/>
      <c r="AA582" s="43" t="s">
        <v>1113</v>
      </c>
      <c r="AB582" s="183"/>
    </row>
    <row r="583" spans="1:28" hidden="1">
      <c r="A583" s="163" t="s">
        <v>1046</v>
      </c>
      <c r="B583" s="164">
        <v>45632</v>
      </c>
      <c r="C583" s="163" t="s">
        <v>69</v>
      </c>
      <c r="D583" s="163" t="s">
        <v>281</v>
      </c>
      <c r="E583" s="163" t="s">
        <v>407</v>
      </c>
      <c r="F583" s="165">
        <v>5000</v>
      </c>
      <c r="G583" s="165">
        <f t="shared" si="12"/>
        <v>128879.41</v>
      </c>
      <c r="H583" s="163"/>
      <c r="I583" s="163" t="s">
        <v>342</v>
      </c>
      <c r="J583" s="163" t="s">
        <v>1224</v>
      </c>
      <c r="K583" s="163" t="s">
        <v>1225</v>
      </c>
      <c r="L583" s="163" t="s">
        <v>305</v>
      </c>
      <c r="M583" s="163" t="s">
        <v>1226</v>
      </c>
      <c r="N583" s="163" t="s">
        <v>966</v>
      </c>
      <c r="O583" s="163" t="s">
        <v>1227</v>
      </c>
      <c r="P583" s="163" t="s">
        <v>57</v>
      </c>
      <c r="Q583" s="163"/>
      <c r="R583" s="163" t="s">
        <v>1228</v>
      </c>
      <c r="S583" s="163" t="s">
        <v>1229</v>
      </c>
      <c r="T583" s="43">
        <f t="shared" si="14"/>
        <v>12</v>
      </c>
      <c r="U583" s="167">
        <f t="shared" si="15"/>
        <v>45632</v>
      </c>
      <c r="V583" s="166"/>
      <c r="W583" s="43"/>
      <c r="X583" s="43"/>
      <c r="Y583" s="43"/>
      <c r="Z583" s="43"/>
      <c r="AA583" s="43" t="s">
        <v>1113</v>
      </c>
      <c r="AB583" s="43"/>
    </row>
    <row r="584" spans="1:28" hidden="1">
      <c r="A584" s="163" t="s">
        <v>1046</v>
      </c>
      <c r="B584" s="164">
        <v>45632</v>
      </c>
      <c r="C584" s="163" t="s">
        <v>288</v>
      </c>
      <c r="D584" s="163" t="s">
        <v>281</v>
      </c>
      <c r="E584" s="163" t="s">
        <v>407</v>
      </c>
      <c r="F584" s="165">
        <v>4200</v>
      </c>
      <c r="G584" s="165">
        <f t="shared" si="12"/>
        <v>133079.41</v>
      </c>
      <c r="H584" s="163"/>
      <c r="I584" s="163" t="s">
        <v>342</v>
      </c>
      <c r="J584" s="163" t="s">
        <v>1224</v>
      </c>
      <c r="K584" s="163" t="s">
        <v>1225</v>
      </c>
      <c r="L584" s="163" t="s">
        <v>305</v>
      </c>
      <c r="M584" s="163" t="s">
        <v>1226</v>
      </c>
      <c r="N584" s="163" t="s">
        <v>966</v>
      </c>
      <c r="O584" s="163" t="s">
        <v>1227</v>
      </c>
      <c r="P584" s="163" t="s">
        <v>57</v>
      </c>
      <c r="Q584" s="163"/>
      <c r="R584" s="163" t="s">
        <v>1228</v>
      </c>
      <c r="S584" s="163" t="s">
        <v>1229</v>
      </c>
      <c r="T584" s="43">
        <f t="shared" si="14"/>
        <v>12</v>
      </c>
      <c r="U584" s="167">
        <f t="shared" si="15"/>
        <v>45632</v>
      </c>
      <c r="V584" s="166"/>
      <c r="W584" s="43"/>
      <c r="X584" s="43"/>
      <c r="Y584" s="43"/>
      <c r="Z584" s="43"/>
      <c r="AA584" s="43" t="s">
        <v>1113</v>
      </c>
      <c r="AB584" s="43"/>
    </row>
    <row r="585" spans="1:28" ht="14.25" hidden="1" customHeight="1">
      <c r="A585" s="180" t="s">
        <v>1174</v>
      </c>
      <c r="B585" s="181">
        <v>45631</v>
      </c>
      <c r="C585" s="180" t="s">
        <v>1328</v>
      </c>
      <c r="D585" s="180" t="s">
        <v>281</v>
      </c>
      <c r="E585" s="180" t="s">
        <v>407</v>
      </c>
      <c r="F585" s="186">
        <v>1799</v>
      </c>
      <c r="G585" s="165">
        <f t="shared" si="12"/>
        <v>134878.41</v>
      </c>
      <c r="H585" s="180"/>
      <c r="I585" s="180" t="s">
        <v>1176</v>
      </c>
      <c r="J585" s="180" t="s">
        <v>1329</v>
      </c>
      <c r="K585" s="180"/>
      <c r="L585" s="180" t="s">
        <v>305</v>
      </c>
      <c r="M585" s="180"/>
      <c r="N585" s="180" t="s">
        <v>1178</v>
      </c>
      <c r="O585" s="180" t="s">
        <v>1329</v>
      </c>
      <c r="P585" s="180" t="s">
        <v>62</v>
      </c>
      <c r="Q585" s="180"/>
      <c r="R585" s="180" t="s">
        <v>655</v>
      </c>
      <c r="S585" s="180" t="s">
        <v>656</v>
      </c>
      <c r="T585" s="183">
        <f t="shared" si="14"/>
        <v>12</v>
      </c>
      <c r="U585" s="184">
        <f t="shared" si="15"/>
        <v>45632</v>
      </c>
      <c r="V585" s="201">
        <v>45632</v>
      </c>
      <c r="W585" s="43"/>
      <c r="X585" s="43"/>
      <c r="Y585" s="43"/>
      <c r="Z585" s="43"/>
      <c r="AA585" s="43" t="s">
        <v>1113</v>
      </c>
      <c r="AB585" s="183" t="s">
        <v>1330</v>
      </c>
    </row>
    <row r="586" spans="1:28" ht="14.25" hidden="1" customHeight="1">
      <c r="A586" s="163" t="s">
        <v>1174</v>
      </c>
      <c r="B586" s="164">
        <v>45631</v>
      </c>
      <c r="C586" s="163" t="s">
        <v>68</v>
      </c>
      <c r="D586" s="163" t="s">
        <v>281</v>
      </c>
      <c r="E586" s="163" t="s">
        <v>407</v>
      </c>
      <c r="F586" s="165">
        <v>2500</v>
      </c>
      <c r="G586" s="165">
        <f t="shared" si="12"/>
        <v>137378.41</v>
      </c>
      <c r="H586" s="163"/>
      <c r="I586" s="163" t="s">
        <v>1176</v>
      </c>
      <c r="J586" s="163" t="s">
        <v>1329</v>
      </c>
      <c r="K586" s="163"/>
      <c r="L586" s="163" t="s">
        <v>305</v>
      </c>
      <c r="M586" s="163"/>
      <c r="N586" s="163" t="s">
        <v>1178</v>
      </c>
      <c r="O586" s="163" t="s">
        <v>1329</v>
      </c>
      <c r="P586" s="163" t="s">
        <v>62</v>
      </c>
      <c r="Q586" s="163"/>
      <c r="R586" s="163" t="s">
        <v>655</v>
      </c>
      <c r="S586" s="163" t="s">
        <v>656</v>
      </c>
      <c r="T586" s="43">
        <f t="shared" si="14"/>
        <v>12</v>
      </c>
      <c r="U586" s="167">
        <f t="shared" si="15"/>
        <v>45632</v>
      </c>
      <c r="V586" s="202">
        <v>45632</v>
      </c>
      <c r="W586" s="43"/>
      <c r="X586" s="43"/>
      <c r="Y586" s="43"/>
      <c r="Z586" s="43" t="s">
        <v>1113</v>
      </c>
      <c r="AA586" s="43" t="s">
        <v>1113</v>
      </c>
      <c r="AB586" s="194" t="s">
        <v>1330</v>
      </c>
    </row>
    <row r="587" spans="1:28" ht="14.25" hidden="1" customHeight="1">
      <c r="A587" s="163" t="s">
        <v>1017</v>
      </c>
      <c r="B587" s="164">
        <v>45632</v>
      </c>
      <c r="C587" s="163" t="s">
        <v>87</v>
      </c>
      <c r="D587" s="163" t="s">
        <v>281</v>
      </c>
      <c r="E587" s="163" t="s">
        <v>18</v>
      </c>
      <c r="F587" s="168">
        <v>-5705.14</v>
      </c>
      <c r="G587" s="165">
        <f t="shared" si="12"/>
        <v>131673.26999999999</v>
      </c>
      <c r="H587" s="163"/>
      <c r="I587" s="163" t="s">
        <v>283</v>
      </c>
      <c r="J587" s="163"/>
      <c r="K587" s="163"/>
      <c r="L587" s="163" t="s">
        <v>1030</v>
      </c>
      <c r="M587" s="163"/>
      <c r="N587" s="163" t="s">
        <v>978</v>
      </c>
      <c r="O587" s="163"/>
      <c r="P587" s="163"/>
      <c r="Q587" s="163"/>
      <c r="R587" s="163" t="s">
        <v>87</v>
      </c>
      <c r="S587" s="163" t="s">
        <v>325</v>
      </c>
      <c r="T587" s="43">
        <f t="shared" si="14"/>
        <v>12</v>
      </c>
      <c r="U587" s="167">
        <f t="shared" si="15"/>
        <v>45632</v>
      </c>
      <c r="V587" s="43"/>
      <c r="W587" s="43"/>
      <c r="X587" s="43"/>
      <c r="Y587" s="43"/>
      <c r="Z587" s="43" t="s">
        <v>1113</v>
      </c>
      <c r="AA587" s="43" t="s">
        <v>1113</v>
      </c>
      <c r="AB587" s="43"/>
    </row>
    <row r="588" spans="1:28" ht="14.25" hidden="1" customHeight="1">
      <c r="A588" s="163" t="s">
        <v>1017</v>
      </c>
      <c r="B588" s="164">
        <v>45632</v>
      </c>
      <c r="C588" s="163" t="s">
        <v>433</v>
      </c>
      <c r="D588" s="163" t="s">
        <v>281</v>
      </c>
      <c r="E588" s="163" t="s">
        <v>18</v>
      </c>
      <c r="F588" s="168">
        <v>-3950.43</v>
      </c>
      <c r="G588" s="165">
        <f t="shared" si="12"/>
        <v>127722.84</v>
      </c>
      <c r="H588" s="163"/>
      <c r="I588" s="163" t="s">
        <v>283</v>
      </c>
      <c r="J588" s="163"/>
      <c r="K588" s="163"/>
      <c r="L588" s="163" t="s">
        <v>1030</v>
      </c>
      <c r="M588" s="163"/>
      <c r="N588" s="163" t="s">
        <v>978</v>
      </c>
      <c r="O588" s="163"/>
      <c r="P588" s="163"/>
      <c r="Q588" s="163"/>
      <c r="R588" s="163" t="s">
        <v>433</v>
      </c>
      <c r="S588" s="163" t="s">
        <v>435</v>
      </c>
      <c r="T588" s="43">
        <f t="shared" si="14"/>
        <v>12</v>
      </c>
      <c r="U588" s="167">
        <f t="shared" si="15"/>
        <v>45632</v>
      </c>
      <c r="V588" s="43"/>
      <c r="W588" s="43"/>
      <c r="X588" s="43"/>
      <c r="Y588" s="43"/>
      <c r="Z588" s="43" t="s">
        <v>1113</v>
      </c>
      <c r="AA588" s="43" t="s">
        <v>1113</v>
      </c>
      <c r="AB588" s="43"/>
    </row>
    <row r="589" spans="1:28" ht="14.25" hidden="1" customHeight="1">
      <c r="A589" s="163" t="s">
        <v>1017</v>
      </c>
      <c r="B589" s="164">
        <v>45632</v>
      </c>
      <c r="C589" s="163" t="s">
        <v>436</v>
      </c>
      <c r="D589" s="163" t="s">
        <v>281</v>
      </c>
      <c r="E589" s="163" t="s">
        <v>18</v>
      </c>
      <c r="F589" s="168">
        <v>-4272.72</v>
      </c>
      <c r="G589" s="165">
        <f t="shared" si="12"/>
        <v>123450.12</v>
      </c>
      <c r="H589" s="163"/>
      <c r="I589" s="163" t="s">
        <v>283</v>
      </c>
      <c r="J589" s="163"/>
      <c r="K589" s="163"/>
      <c r="L589" s="163" t="s">
        <v>1030</v>
      </c>
      <c r="M589" s="163"/>
      <c r="N589" s="163" t="s">
        <v>978</v>
      </c>
      <c r="O589" s="163"/>
      <c r="P589" s="163"/>
      <c r="Q589" s="163"/>
      <c r="R589" s="163" t="s">
        <v>436</v>
      </c>
      <c r="S589" s="163" t="s">
        <v>438</v>
      </c>
      <c r="T589" s="43">
        <f t="shared" si="14"/>
        <v>12</v>
      </c>
      <c r="U589" s="167">
        <f t="shared" si="15"/>
        <v>45632</v>
      </c>
      <c r="V589" s="43"/>
      <c r="W589" s="43"/>
      <c r="X589" s="43"/>
      <c r="Y589" s="43"/>
      <c r="Z589" s="43" t="s">
        <v>1113</v>
      </c>
      <c r="AA589" s="43" t="s">
        <v>1113</v>
      </c>
      <c r="AB589" s="43"/>
    </row>
    <row r="590" spans="1:28" ht="14.25" hidden="1" customHeight="1">
      <c r="A590" s="163" t="s">
        <v>1017</v>
      </c>
      <c r="B590" s="164">
        <v>45632</v>
      </c>
      <c r="C590" s="163" t="s">
        <v>95</v>
      </c>
      <c r="D590" s="163" t="s">
        <v>281</v>
      </c>
      <c r="E590" s="163" t="s">
        <v>18</v>
      </c>
      <c r="F590" s="168">
        <v>-2083.4499999999998</v>
      </c>
      <c r="G590" s="165">
        <f t="shared" si="12"/>
        <v>121366.67</v>
      </c>
      <c r="H590" s="163"/>
      <c r="I590" s="163" t="s">
        <v>283</v>
      </c>
      <c r="J590" s="163"/>
      <c r="K590" s="163"/>
      <c r="L590" s="163" t="s">
        <v>1030</v>
      </c>
      <c r="M590" s="163"/>
      <c r="N590" s="163" t="s">
        <v>978</v>
      </c>
      <c r="O590" s="163"/>
      <c r="P590" s="163"/>
      <c r="Q590" s="163"/>
      <c r="R590" s="163" t="s">
        <v>95</v>
      </c>
      <c r="S590" s="163" t="s">
        <v>440</v>
      </c>
      <c r="T590" s="43">
        <f t="shared" si="14"/>
        <v>12</v>
      </c>
      <c r="U590" s="167">
        <f t="shared" si="15"/>
        <v>45632</v>
      </c>
      <c r="V590" s="166"/>
      <c r="W590" s="43"/>
      <c r="X590" s="43"/>
      <c r="Y590" s="43"/>
      <c r="Z590" s="43" t="s">
        <v>1113</v>
      </c>
      <c r="AA590" s="43" t="s">
        <v>1113</v>
      </c>
      <c r="AB590" s="43"/>
    </row>
    <row r="591" spans="1:28" ht="14.25" hidden="1" customHeight="1">
      <c r="A591" s="163" t="s">
        <v>1017</v>
      </c>
      <c r="B591" s="164">
        <v>45632</v>
      </c>
      <c r="C591" s="163" t="s">
        <v>472</v>
      </c>
      <c r="D591" s="163" t="s">
        <v>281</v>
      </c>
      <c r="E591" s="163" t="s">
        <v>18</v>
      </c>
      <c r="F591" s="168">
        <v>-2225.5700000000002</v>
      </c>
      <c r="G591" s="165">
        <f t="shared" si="12"/>
        <v>119141.09999999999</v>
      </c>
      <c r="H591" s="163"/>
      <c r="I591" s="163" t="s">
        <v>283</v>
      </c>
      <c r="J591" s="163"/>
      <c r="K591" s="163"/>
      <c r="L591" s="163" t="s">
        <v>1331</v>
      </c>
      <c r="M591" s="163"/>
      <c r="N591" s="163" t="s">
        <v>978</v>
      </c>
      <c r="O591" s="163"/>
      <c r="P591" s="163"/>
      <c r="Q591" s="163"/>
      <c r="R591" s="163" t="s">
        <v>472</v>
      </c>
      <c r="S591" s="163" t="s">
        <v>475</v>
      </c>
      <c r="T591" s="43">
        <f t="shared" si="14"/>
        <v>12</v>
      </c>
      <c r="U591" s="167">
        <f t="shared" si="15"/>
        <v>45632</v>
      </c>
      <c r="V591" s="43"/>
      <c r="W591" s="43"/>
      <c r="X591" s="43"/>
      <c r="Y591" s="43"/>
      <c r="Z591" s="43" t="s">
        <v>1113</v>
      </c>
      <c r="AA591" s="43" t="s">
        <v>1113</v>
      </c>
      <c r="AB591" s="43"/>
    </row>
    <row r="592" spans="1:28" ht="14.25" hidden="1" customHeight="1">
      <c r="A592" s="163" t="s">
        <v>1017</v>
      </c>
      <c r="B592" s="164">
        <v>45632</v>
      </c>
      <c r="C592" s="163" t="s">
        <v>441</v>
      </c>
      <c r="D592" s="163" t="s">
        <v>281</v>
      </c>
      <c r="E592" s="163" t="s">
        <v>18</v>
      </c>
      <c r="F592" s="168">
        <v>-1686.48</v>
      </c>
      <c r="G592" s="165">
        <f t="shared" si="12"/>
        <v>117454.62</v>
      </c>
      <c r="H592" s="163"/>
      <c r="I592" s="163" t="s">
        <v>283</v>
      </c>
      <c r="J592" s="163"/>
      <c r="K592" s="163"/>
      <c r="L592" s="163" t="s">
        <v>1030</v>
      </c>
      <c r="M592" s="163"/>
      <c r="N592" s="163" t="s">
        <v>978</v>
      </c>
      <c r="O592" s="163"/>
      <c r="P592" s="163"/>
      <c r="Q592" s="163"/>
      <c r="R592" s="163" t="s">
        <v>441</v>
      </c>
      <c r="S592" s="163" t="s">
        <v>443</v>
      </c>
      <c r="T592" s="43">
        <f t="shared" si="14"/>
        <v>12</v>
      </c>
      <c r="U592" s="167">
        <f t="shared" si="15"/>
        <v>45632</v>
      </c>
      <c r="V592" s="43"/>
      <c r="W592" s="43"/>
      <c r="X592" s="43"/>
      <c r="Y592" s="43"/>
      <c r="Z592" s="43" t="s">
        <v>1113</v>
      </c>
      <c r="AA592" s="43" t="s">
        <v>1113</v>
      </c>
      <c r="AB592" s="43"/>
    </row>
    <row r="593" spans="1:28" ht="14.25" hidden="1" customHeight="1">
      <c r="A593" s="163" t="s">
        <v>1017</v>
      </c>
      <c r="B593" s="164">
        <v>45632</v>
      </c>
      <c r="C593" s="163" t="s">
        <v>444</v>
      </c>
      <c r="D593" s="163" t="s">
        <v>281</v>
      </c>
      <c r="E593" s="163" t="s">
        <v>18</v>
      </c>
      <c r="F593" s="168">
        <v>-1686.48</v>
      </c>
      <c r="G593" s="165">
        <f t="shared" si="12"/>
        <v>115768.14</v>
      </c>
      <c r="H593" s="163"/>
      <c r="I593" s="163" t="s">
        <v>283</v>
      </c>
      <c r="J593" s="163"/>
      <c r="K593" s="163"/>
      <c r="L593" s="163" t="s">
        <v>1030</v>
      </c>
      <c r="M593" s="163"/>
      <c r="N593" s="163" t="s">
        <v>978</v>
      </c>
      <c r="O593" s="163"/>
      <c r="P593" s="163"/>
      <c r="Q593" s="163"/>
      <c r="R593" s="163" t="s">
        <v>444</v>
      </c>
      <c r="S593" s="163" t="s">
        <v>446</v>
      </c>
      <c r="T593" s="43">
        <f t="shared" si="14"/>
        <v>12</v>
      </c>
      <c r="U593" s="167">
        <f t="shared" si="15"/>
        <v>45632</v>
      </c>
      <c r="V593" s="43"/>
      <c r="W593" s="43"/>
      <c r="X593" s="43"/>
      <c r="Y593" s="43"/>
      <c r="Z593" s="43" t="s">
        <v>1113</v>
      </c>
      <c r="AA593" s="43" t="s">
        <v>1113</v>
      </c>
      <c r="AB593" s="43"/>
    </row>
    <row r="594" spans="1:28" ht="14.25" hidden="1" customHeight="1">
      <c r="A594" s="163" t="s">
        <v>1017</v>
      </c>
      <c r="B594" s="164">
        <v>45632</v>
      </c>
      <c r="C594" s="163" t="s">
        <v>447</v>
      </c>
      <c r="D594" s="163" t="s">
        <v>281</v>
      </c>
      <c r="E594" s="163" t="s">
        <v>18</v>
      </c>
      <c r="F594" s="168">
        <v>-1640.73</v>
      </c>
      <c r="G594" s="165">
        <f t="shared" si="12"/>
        <v>114127.41</v>
      </c>
      <c r="H594" s="163"/>
      <c r="I594" s="163" t="s">
        <v>283</v>
      </c>
      <c r="J594" s="163"/>
      <c r="K594" s="163"/>
      <c r="L594" s="163" t="s">
        <v>1030</v>
      </c>
      <c r="M594" s="163"/>
      <c r="N594" s="163" t="s">
        <v>978</v>
      </c>
      <c r="O594" s="163"/>
      <c r="P594" s="163"/>
      <c r="Q594" s="163"/>
      <c r="R594" s="163" t="s">
        <v>447</v>
      </c>
      <c r="S594" s="163" t="s">
        <v>449</v>
      </c>
      <c r="T594" s="43">
        <f t="shared" si="14"/>
        <v>12</v>
      </c>
      <c r="U594" s="167">
        <f t="shared" si="15"/>
        <v>45632</v>
      </c>
      <c r="V594" s="166"/>
      <c r="W594" s="43"/>
      <c r="X594" s="43"/>
      <c r="Y594" s="43"/>
      <c r="Z594" s="43" t="s">
        <v>1113</v>
      </c>
      <c r="AA594" s="43" t="s">
        <v>1113</v>
      </c>
      <c r="AB594" s="43"/>
    </row>
    <row r="595" spans="1:28" ht="14.25" hidden="1" customHeight="1">
      <c r="A595" s="163" t="s">
        <v>1017</v>
      </c>
      <c r="B595" s="164">
        <v>45632</v>
      </c>
      <c r="C595" s="163" t="s">
        <v>321</v>
      </c>
      <c r="D595" s="163" t="s">
        <v>281</v>
      </c>
      <c r="E595" s="163" t="s">
        <v>18</v>
      </c>
      <c r="F595" s="168">
        <v>-2514.79</v>
      </c>
      <c r="G595" s="165">
        <f t="shared" si="12"/>
        <v>111612.62000000001</v>
      </c>
      <c r="H595" s="163"/>
      <c r="I595" s="163" t="s">
        <v>283</v>
      </c>
      <c r="J595" s="163"/>
      <c r="K595" s="163"/>
      <c r="L595" s="163" t="s">
        <v>1030</v>
      </c>
      <c r="M595" s="163"/>
      <c r="N595" s="163" t="s">
        <v>978</v>
      </c>
      <c r="O595" s="163"/>
      <c r="P595" s="163"/>
      <c r="Q595" s="163"/>
      <c r="R595" s="163" t="s">
        <v>321</v>
      </c>
      <c r="S595" s="163" t="s">
        <v>323</v>
      </c>
      <c r="T595" s="43">
        <f t="shared" si="14"/>
        <v>12</v>
      </c>
      <c r="U595" s="167">
        <f t="shared" si="15"/>
        <v>45632</v>
      </c>
      <c r="V595" s="43"/>
      <c r="W595" s="43"/>
      <c r="X595" s="43"/>
      <c r="Y595" s="43"/>
      <c r="Z595" s="43" t="s">
        <v>1113</v>
      </c>
      <c r="AA595" s="43" t="s">
        <v>1113</v>
      </c>
      <c r="AB595" s="43"/>
    </row>
    <row r="596" spans="1:28" ht="14.25" hidden="1" customHeight="1">
      <c r="A596" s="163" t="s">
        <v>1017</v>
      </c>
      <c r="B596" s="164">
        <v>45632</v>
      </c>
      <c r="C596" s="163" t="s">
        <v>451</v>
      </c>
      <c r="D596" s="163" t="s">
        <v>281</v>
      </c>
      <c r="E596" s="163" t="s">
        <v>18</v>
      </c>
      <c r="F596" s="168">
        <v>-1391.64</v>
      </c>
      <c r="G596" s="165">
        <f t="shared" si="12"/>
        <v>110220.98000000001</v>
      </c>
      <c r="H596" s="163"/>
      <c r="I596" s="163" t="s">
        <v>283</v>
      </c>
      <c r="J596" s="163"/>
      <c r="K596" s="163"/>
      <c r="L596" s="163" t="s">
        <v>1030</v>
      </c>
      <c r="M596" s="163"/>
      <c r="N596" s="163" t="s">
        <v>978</v>
      </c>
      <c r="O596" s="163"/>
      <c r="P596" s="163"/>
      <c r="Q596" s="163"/>
      <c r="R596" s="163" t="s">
        <v>451</v>
      </c>
      <c r="S596" s="163" t="s">
        <v>453</v>
      </c>
      <c r="T596" s="43">
        <f t="shared" si="14"/>
        <v>12</v>
      </c>
      <c r="U596" s="167">
        <f t="shared" si="15"/>
        <v>45632</v>
      </c>
      <c r="V596" s="43"/>
      <c r="W596" s="43"/>
      <c r="X596" s="43"/>
      <c r="Y596" s="43"/>
      <c r="Z596" s="43" t="s">
        <v>1113</v>
      </c>
      <c r="AA596" s="43" t="s">
        <v>1113</v>
      </c>
      <c r="AB596" s="43"/>
    </row>
    <row r="597" spans="1:28" ht="14.25" hidden="1" customHeight="1">
      <c r="A597" s="163" t="s">
        <v>1017</v>
      </c>
      <c r="B597" s="164">
        <v>45632</v>
      </c>
      <c r="C597" s="163" t="s">
        <v>358</v>
      </c>
      <c r="D597" s="163" t="s">
        <v>281</v>
      </c>
      <c r="E597" s="163" t="s">
        <v>18</v>
      </c>
      <c r="F597" s="168">
        <v>-1361.64</v>
      </c>
      <c r="G597" s="165">
        <f t="shared" si="12"/>
        <v>108859.34000000001</v>
      </c>
      <c r="H597" s="163"/>
      <c r="I597" s="163" t="s">
        <v>283</v>
      </c>
      <c r="J597" s="163"/>
      <c r="K597" s="163"/>
      <c r="L597" s="163" t="s">
        <v>1030</v>
      </c>
      <c r="M597" s="163"/>
      <c r="N597" s="163" t="s">
        <v>978</v>
      </c>
      <c r="O597" s="163"/>
      <c r="P597" s="163"/>
      <c r="Q597" s="163"/>
      <c r="R597" s="163" t="s">
        <v>358</v>
      </c>
      <c r="S597" s="163" t="s">
        <v>361</v>
      </c>
      <c r="T597" s="43">
        <f t="shared" si="14"/>
        <v>12</v>
      </c>
      <c r="U597" s="167">
        <f t="shared" si="15"/>
        <v>45632</v>
      </c>
      <c r="V597" s="43"/>
      <c r="W597" s="43"/>
      <c r="X597" s="43"/>
      <c r="Y597" s="43"/>
      <c r="Z597" s="43" t="s">
        <v>1113</v>
      </c>
      <c r="AA597" s="43" t="s">
        <v>1113</v>
      </c>
      <c r="AB597" s="43"/>
    </row>
    <row r="598" spans="1:28" ht="14.25" hidden="1" customHeight="1">
      <c r="A598" s="163" t="s">
        <v>1017</v>
      </c>
      <c r="B598" s="164">
        <v>45632</v>
      </c>
      <c r="C598" s="163" t="s">
        <v>99</v>
      </c>
      <c r="D598" s="163" t="s">
        <v>281</v>
      </c>
      <c r="E598" s="163" t="s">
        <v>18</v>
      </c>
      <c r="F598" s="168">
        <v>-4425.4399999999996</v>
      </c>
      <c r="G598" s="165">
        <f t="shared" si="12"/>
        <v>104433.90000000001</v>
      </c>
      <c r="H598" s="163"/>
      <c r="I598" s="163" t="s">
        <v>283</v>
      </c>
      <c r="J598" s="163"/>
      <c r="K598" s="163"/>
      <c r="L598" s="163" t="s">
        <v>1030</v>
      </c>
      <c r="M598" s="163"/>
      <c r="N598" s="163" t="s">
        <v>978</v>
      </c>
      <c r="O598" s="163"/>
      <c r="P598" s="163"/>
      <c r="Q598" s="163"/>
      <c r="R598" s="163" t="s">
        <v>99</v>
      </c>
      <c r="S598" s="163" t="s">
        <v>456</v>
      </c>
      <c r="T598" s="43">
        <f t="shared" si="14"/>
        <v>12</v>
      </c>
      <c r="U598" s="167">
        <f t="shared" si="15"/>
        <v>45632</v>
      </c>
      <c r="V598" s="43"/>
      <c r="W598" s="43"/>
      <c r="X598" s="43"/>
      <c r="Y598" s="43"/>
      <c r="Z598" s="43" t="s">
        <v>1113</v>
      </c>
      <c r="AA598" s="43" t="s">
        <v>1113</v>
      </c>
      <c r="AB598" s="43"/>
    </row>
    <row r="599" spans="1:28" ht="14.25" hidden="1" customHeight="1">
      <c r="A599" s="163" t="s">
        <v>1017</v>
      </c>
      <c r="B599" s="164">
        <v>45632</v>
      </c>
      <c r="C599" s="163" t="s">
        <v>457</v>
      </c>
      <c r="D599" s="163" t="s">
        <v>281</v>
      </c>
      <c r="E599" s="163" t="s">
        <v>18</v>
      </c>
      <c r="F599" s="168">
        <v>-1623.51</v>
      </c>
      <c r="G599" s="165">
        <f t="shared" si="12"/>
        <v>102810.39000000001</v>
      </c>
      <c r="H599" s="163"/>
      <c r="I599" s="163" t="s">
        <v>283</v>
      </c>
      <c r="J599" s="163"/>
      <c r="K599" s="163"/>
      <c r="L599" s="163" t="s">
        <v>1030</v>
      </c>
      <c r="M599" s="163"/>
      <c r="N599" s="163" t="s">
        <v>978</v>
      </c>
      <c r="O599" s="163"/>
      <c r="P599" s="163"/>
      <c r="Q599" s="163"/>
      <c r="R599" s="163" t="s">
        <v>457</v>
      </c>
      <c r="S599" s="163" t="s">
        <v>459</v>
      </c>
      <c r="T599" s="43">
        <f t="shared" si="14"/>
        <v>12</v>
      </c>
      <c r="U599" s="167">
        <f t="shared" si="15"/>
        <v>45632</v>
      </c>
      <c r="V599" s="43"/>
      <c r="W599" s="43"/>
      <c r="X599" s="43"/>
      <c r="Y599" s="43"/>
      <c r="Z599" s="43" t="s">
        <v>1113</v>
      </c>
      <c r="AA599" s="43" t="s">
        <v>1113</v>
      </c>
      <c r="AB599" s="43"/>
    </row>
    <row r="600" spans="1:28" ht="14.25" hidden="1" customHeight="1">
      <c r="A600" s="163" t="s">
        <v>1017</v>
      </c>
      <c r="B600" s="164">
        <v>45632</v>
      </c>
      <c r="C600" s="163" t="s">
        <v>460</v>
      </c>
      <c r="D600" s="163" t="s">
        <v>281</v>
      </c>
      <c r="E600" s="163" t="s">
        <v>18</v>
      </c>
      <c r="F600" s="168">
        <v>-2625.13</v>
      </c>
      <c r="G600" s="165">
        <f t="shared" si="12"/>
        <v>100185.26000000001</v>
      </c>
      <c r="H600" s="163"/>
      <c r="I600" s="163" t="s">
        <v>283</v>
      </c>
      <c r="J600" s="163"/>
      <c r="K600" s="163"/>
      <c r="L600" s="163" t="s">
        <v>1030</v>
      </c>
      <c r="M600" s="163"/>
      <c r="N600" s="163" t="s">
        <v>978</v>
      </c>
      <c r="O600" s="163"/>
      <c r="P600" s="163"/>
      <c r="Q600" s="163"/>
      <c r="R600" s="163" t="s">
        <v>460</v>
      </c>
      <c r="S600" s="163" t="s">
        <v>462</v>
      </c>
      <c r="T600" s="43">
        <f t="shared" si="14"/>
        <v>12</v>
      </c>
      <c r="U600" s="167">
        <f t="shared" si="15"/>
        <v>45632</v>
      </c>
      <c r="V600" s="43"/>
      <c r="W600" s="43"/>
      <c r="X600" s="43"/>
      <c r="Y600" s="43"/>
      <c r="Z600" s="43" t="s">
        <v>1113</v>
      </c>
      <c r="AA600" s="43" t="s">
        <v>1113</v>
      </c>
      <c r="AB600" s="43"/>
    </row>
    <row r="601" spans="1:28" ht="14.25" hidden="1" customHeight="1">
      <c r="A601" s="163" t="s">
        <v>1017</v>
      </c>
      <c r="B601" s="164">
        <v>45632</v>
      </c>
      <c r="C601" s="163" t="s">
        <v>463</v>
      </c>
      <c r="D601" s="163" t="s">
        <v>281</v>
      </c>
      <c r="E601" s="163" t="s">
        <v>18</v>
      </c>
      <c r="F601" s="168">
        <v>-1641.2</v>
      </c>
      <c r="G601" s="165">
        <f t="shared" si="12"/>
        <v>98544.060000000012</v>
      </c>
      <c r="H601" s="163"/>
      <c r="I601" s="163" t="s">
        <v>283</v>
      </c>
      <c r="J601" s="163"/>
      <c r="K601" s="163"/>
      <c r="L601" s="163" t="s">
        <v>1030</v>
      </c>
      <c r="M601" s="163"/>
      <c r="N601" s="163" t="s">
        <v>978</v>
      </c>
      <c r="O601" s="163"/>
      <c r="P601" s="163"/>
      <c r="Q601" s="163"/>
      <c r="R601" s="163" t="s">
        <v>463</v>
      </c>
      <c r="S601" s="163" t="s">
        <v>465</v>
      </c>
      <c r="T601" s="43">
        <f t="shared" si="14"/>
        <v>12</v>
      </c>
      <c r="U601" s="167">
        <f t="shared" si="15"/>
        <v>45632</v>
      </c>
      <c r="V601" s="43"/>
      <c r="W601" s="43"/>
      <c r="X601" s="43"/>
      <c r="Y601" s="43"/>
      <c r="Z601" s="43" t="s">
        <v>1113</v>
      </c>
      <c r="AA601" s="43" t="s">
        <v>1113</v>
      </c>
      <c r="AB601" s="43"/>
    </row>
    <row r="602" spans="1:28" ht="14.25" hidden="1" customHeight="1">
      <c r="A602" s="163" t="s">
        <v>1017</v>
      </c>
      <c r="B602" s="164">
        <v>45632</v>
      </c>
      <c r="C602" s="163" t="s">
        <v>469</v>
      </c>
      <c r="D602" s="163" t="s">
        <v>281</v>
      </c>
      <c r="E602" s="163" t="s">
        <v>18</v>
      </c>
      <c r="F602" s="168">
        <v>-2294.56</v>
      </c>
      <c r="G602" s="165">
        <f t="shared" si="12"/>
        <v>96249.500000000015</v>
      </c>
      <c r="H602" s="163"/>
      <c r="I602" s="163" t="s">
        <v>283</v>
      </c>
      <c r="J602" s="163"/>
      <c r="K602" s="163"/>
      <c r="L602" s="163" t="s">
        <v>1030</v>
      </c>
      <c r="M602" s="163"/>
      <c r="N602" s="163" t="s">
        <v>978</v>
      </c>
      <c r="O602" s="163"/>
      <c r="P602" s="163"/>
      <c r="Q602" s="163"/>
      <c r="R602" s="163" t="s">
        <v>469</v>
      </c>
      <c r="S602" s="163" t="s">
        <v>471</v>
      </c>
      <c r="T602" s="43">
        <f t="shared" si="14"/>
        <v>12</v>
      </c>
      <c r="U602" s="167">
        <f t="shared" si="15"/>
        <v>45632</v>
      </c>
      <c r="V602" s="43"/>
      <c r="W602" s="43"/>
      <c r="X602" s="43"/>
      <c r="Y602" s="43"/>
      <c r="Z602" s="43" t="s">
        <v>1113</v>
      </c>
      <c r="AA602" s="43" t="s">
        <v>1113</v>
      </c>
      <c r="AB602" s="43"/>
    </row>
    <row r="603" spans="1:28" ht="14.25" hidden="1" customHeight="1">
      <c r="A603" s="163" t="s">
        <v>1017</v>
      </c>
      <c r="B603" s="164">
        <v>45632</v>
      </c>
      <c r="C603" s="163" t="s">
        <v>466</v>
      </c>
      <c r="D603" s="163" t="s">
        <v>281</v>
      </c>
      <c r="E603" s="163" t="s">
        <v>18</v>
      </c>
      <c r="F603" s="168">
        <v>-1614.69</v>
      </c>
      <c r="G603" s="165">
        <f t="shared" si="12"/>
        <v>94634.810000000012</v>
      </c>
      <c r="H603" s="163"/>
      <c r="I603" s="163" t="s">
        <v>283</v>
      </c>
      <c r="J603" s="163"/>
      <c r="K603" s="163"/>
      <c r="L603" s="163" t="s">
        <v>1030</v>
      </c>
      <c r="M603" s="163"/>
      <c r="N603" s="163" t="s">
        <v>978</v>
      </c>
      <c r="O603" s="163"/>
      <c r="P603" s="163"/>
      <c r="Q603" s="163"/>
      <c r="R603" s="163" t="s">
        <v>466</v>
      </c>
      <c r="S603" s="163" t="s">
        <v>468</v>
      </c>
      <c r="T603" s="43">
        <f t="shared" si="14"/>
        <v>12</v>
      </c>
      <c r="U603" s="167">
        <f t="shared" si="15"/>
        <v>45632</v>
      </c>
      <c r="V603" s="43"/>
      <c r="W603" s="43"/>
      <c r="X603" s="43"/>
      <c r="Y603" s="43"/>
      <c r="Z603" s="43" t="s">
        <v>1113</v>
      </c>
      <c r="AA603" s="43" t="s">
        <v>1113</v>
      </c>
      <c r="AB603" s="43"/>
    </row>
    <row r="604" spans="1:28" ht="14.25" hidden="1" customHeight="1">
      <c r="A604" s="163" t="s">
        <v>1017</v>
      </c>
      <c r="B604" s="164">
        <v>45632</v>
      </c>
      <c r="C604" s="163" t="s">
        <v>481</v>
      </c>
      <c r="D604" s="163" t="s">
        <v>281</v>
      </c>
      <c r="E604" s="163" t="s">
        <v>18</v>
      </c>
      <c r="F604" s="168">
        <v>-3487.35</v>
      </c>
      <c r="G604" s="165">
        <f t="shared" si="12"/>
        <v>91147.46</v>
      </c>
      <c r="H604" s="163"/>
      <c r="I604" s="163" t="s">
        <v>283</v>
      </c>
      <c r="J604" s="163"/>
      <c r="K604" s="163"/>
      <c r="L604" s="163" t="s">
        <v>766</v>
      </c>
      <c r="M604" s="163"/>
      <c r="N604" s="163" t="s">
        <v>978</v>
      </c>
      <c r="O604" s="163"/>
      <c r="P604" s="163"/>
      <c r="Q604" s="163"/>
      <c r="R604" s="163" t="s">
        <v>481</v>
      </c>
      <c r="S604" s="163" t="s">
        <v>483</v>
      </c>
      <c r="T604" s="43">
        <f t="shared" si="14"/>
        <v>12</v>
      </c>
      <c r="U604" s="167">
        <f t="shared" si="15"/>
        <v>45632</v>
      </c>
      <c r="V604" s="43"/>
      <c r="W604" s="43"/>
      <c r="X604" s="43"/>
      <c r="Y604" s="43"/>
      <c r="Z604" s="43" t="s">
        <v>1113</v>
      </c>
      <c r="AA604" s="43" t="s">
        <v>1113</v>
      </c>
      <c r="AB604" s="43"/>
    </row>
    <row r="605" spans="1:28" ht="14.25" hidden="1" customHeight="1">
      <c r="A605" s="163" t="s">
        <v>1017</v>
      </c>
      <c r="B605" s="164">
        <v>45632</v>
      </c>
      <c r="C605" s="163" t="s">
        <v>484</v>
      </c>
      <c r="D605" s="163" t="s">
        <v>281</v>
      </c>
      <c r="E605" s="163" t="s">
        <v>18</v>
      </c>
      <c r="F605" s="168">
        <v>-1349.88</v>
      </c>
      <c r="G605" s="165">
        <f t="shared" si="12"/>
        <v>89797.58</v>
      </c>
      <c r="H605" s="163"/>
      <c r="I605" s="163" t="s">
        <v>283</v>
      </c>
      <c r="J605" s="163"/>
      <c r="K605" s="163"/>
      <c r="L605" s="163" t="s">
        <v>477</v>
      </c>
      <c r="M605" s="163"/>
      <c r="N605" s="163" t="s">
        <v>978</v>
      </c>
      <c r="O605" s="163"/>
      <c r="P605" s="163"/>
      <c r="Q605" s="163"/>
      <c r="R605" s="163" t="s">
        <v>484</v>
      </c>
      <c r="S605" s="163" t="s">
        <v>487</v>
      </c>
      <c r="T605" s="43">
        <f t="shared" si="14"/>
        <v>12</v>
      </c>
      <c r="U605" s="167">
        <f t="shared" si="15"/>
        <v>45632</v>
      </c>
      <c r="V605" s="43"/>
      <c r="W605" s="43"/>
      <c r="X605" s="43"/>
      <c r="Y605" s="43"/>
      <c r="Z605" s="43" t="s">
        <v>1113</v>
      </c>
      <c r="AA605" s="43" t="s">
        <v>1113</v>
      </c>
      <c r="AB605" s="43"/>
    </row>
    <row r="606" spans="1:28" ht="14.25" hidden="1" customHeight="1">
      <c r="A606" s="163" t="s">
        <v>1017</v>
      </c>
      <c r="B606" s="164">
        <v>45632</v>
      </c>
      <c r="C606" s="163" t="s">
        <v>491</v>
      </c>
      <c r="D606" s="163" t="s">
        <v>281</v>
      </c>
      <c r="E606" s="163" t="s">
        <v>18</v>
      </c>
      <c r="F606" s="168">
        <v>-3568.36</v>
      </c>
      <c r="G606" s="165">
        <f t="shared" si="12"/>
        <v>86229.22</v>
      </c>
      <c r="H606" s="163"/>
      <c r="I606" s="163" t="s">
        <v>283</v>
      </c>
      <c r="J606" s="163"/>
      <c r="K606" s="163"/>
      <c r="L606" s="163" t="s">
        <v>477</v>
      </c>
      <c r="M606" s="163"/>
      <c r="N606" s="163" t="s">
        <v>978</v>
      </c>
      <c r="O606" s="163"/>
      <c r="P606" s="163"/>
      <c r="Q606" s="163"/>
      <c r="R606" s="163" t="s">
        <v>491</v>
      </c>
      <c r="S606" s="163" t="s">
        <v>493</v>
      </c>
      <c r="T606" s="43">
        <f t="shared" si="14"/>
        <v>12</v>
      </c>
      <c r="U606" s="167">
        <f t="shared" si="15"/>
        <v>45632</v>
      </c>
      <c r="V606" s="43"/>
      <c r="W606" s="43"/>
      <c r="X606" s="43"/>
      <c r="Y606" s="43"/>
      <c r="Z606" s="43" t="s">
        <v>1113</v>
      </c>
      <c r="AA606" s="43" t="s">
        <v>1113</v>
      </c>
      <c r="AB606" s="43"/>
    </row>
    <row r="607" spans="1:28" ht="14.25" hidden="1" customHeight="1">
      <c r="A607" s="163" t="s">
        <v>1017</v>
      </c>
      <c r="B607" s="164">
        <v>45632</v>
      </c>
      <c r="C607" s="163" t="s">
        <v>494</v>
      </c>
      <c r="D607" s="163" t="s">
        <v>281</v>
      </c>
      <c r="E607" s="163" t="s">
        <v>18</v>
      </c>
      <c r="F607" s="185">
        <v>-1841.18</v>
      </c>
      <c r="G607" s="165">
        <f t="shared" si="12"/>
        <v>84388.040000000008</v>
      </c>
      <c r="H607" s="163"/>
      <c r="I607" s="163" t="s">
        <v>283</v>
      </c>
      <c r="J607" s="163"/>
      <c r="K607" s="163"/>
      <c r="L607" s="163" t="s">
        <v>477</v>
      </c>
      <c r="M607" s="163"/>
      <c r="N607" s="163" t="s">
        <v>978</v>
      </c>
      <c r="O607" s="163"/>
      <c r="P607" s="163"/>
      <c r="Q607" s="163"/>
      <c r="R607" s="163" t="s">
        <v>494</v>
      </c>
      <c r="S607" s="163" t="s">
        <v>496</v>
      </c>
      <c r="T607" s="43">
        <f t="shared" si="14"/>
        <v>12</v>
      </c>
      <c r="U607" s="167">
        <f t="shared" si="15"/>
        <v>45632</v>
      </c>
      <c r="V607" s="43"/>
      <c r="W607" s="43"/>
      <c r="X607" s="43"/>
      <c r="Y607" s="43"/>
      <c r="Z607" s="43" t="s">
        <v>1113</v>
      </c>
      <c r="AA607" s="43" t="s">
        <v>1113</v>
      </c>
      <c r="AB607" s="43"/>
    </row>
    <row r="608" spans="1:28" ht="14.25" hidden="1" customHeight="1">
      <c r="A608" s="163" t="s">
        <v>1017</v>
      </c>
      <c r="B608" s="164">
        <v>45632</v>
      </c>
      <c r="C608" s="203" t="s">
        <v>1332</v>
      </c>
      <c r="D608" s="163" t="s">
        <v>281</v>
      </c>
      <c r="E608" s="163" t="s">
        <v>18</v>
      </c>
      <c r="F608" s="185">
        <v>-1355.85</v>
      </c>
      <c r="G608" s="165">
        <f t="shared" si="12"/>
        <v>83032.19</v>
      </c>
      <c r="H608" s="163"/>
      <c r="I608" s="163" t="s">
        <v>283</v>
      </c>
      <c r="J608" s="163"/>
      <c r="K608" s="163"/>
      <c r="L608" s="163" t="s">
        <v>477</v>
      </c>
      <c r="M608" s="163"/>
      <c r="N608" s="163" t="s">
        <v>978</v>
      </c>
      <c r="O608" s="163"/>
      <c r="P608" s="163"/>
      <c r="Q608" s="163"/>
      <c r="R608" s="163" t="s">
        <v>501</v>
      </c>
      <c r="S608" s="163" t="s">
        <v>503</v>
      </c>
      <c r="T608" s="43">
        <f t="shared" si="14"/>
        <v>12</v>
      </c>
      <c r="U608" s="167">
        <f t="shared" si="15"/>
        <v>45632</v>
      </c>
      <c r="V608" s="43"/>
      <c r="W608" s="43"/>
      <c r="X608" s="43"/>
      <c r="Y608" s="43"/>
      <c r="Z608" s="43" t="s">
        <v>1113</v>
      </c>
      <c r="AA608" s="43" t="s">
        <v>1113</v>
      </c>
      <c r="AB608" s="43"/>
    </row>
    <row r="609" spans="1:28" ht="14.25" hidden="1" customHeight="1">
      <c r="A609" s="163" t="s">
        <v>1017</v>
      </c>
      <c r="B609" s="164">
        <v>45632</v>
      </c>
      <c r="C609" s="163" t="s">
        <v>362</v>
      </c>
      <c r="D609" s="163" t="s">
        <v>281</v>
      </c>
      <c r="E609" s="163" t="s">
        <v>18</v>
      </c>
      <c r="F609" s="168">
        <v>-3268.35</v>
      </c>
      <c r="G609" s="165">
        <f t="shared" si="12"/>
        <v>79763.839999999997</v>
      </c>
      <c r="H609" s="163"/>
      <c r="I609" s="163" t="s">
        <v>283</v>
      </c>
      <c r="J609" s="163"/>
      <c r="K609" s="163"/>
      <c r="L609" s="163" t="s">
        <v>477</v>
      </c>
      <c r="M609" s="163"/>
      <c r="N609" s="163" t="s">
        <v>978</v>
      </c>
      <c r="O609" s="163"/>
      <c r="P609" s="163"/>
      <c r="Q609" s="163"/>
      <c r="R609" s="163" t="s">
        <v>362</v>
      </c>
      <c r="S609" s="163" t="s">
        <v>364</v>
      </c>
      <c r="T609" s="43">
        <f t="shared" si="14"/>
        <v>12</v>
      </c>
      <c r="U609" s="167">
        <f t="shared" si="15"/>
        <v>45632</v>
      </c>
      <c r="V609" s="43"/>
      <c r="W609" s="43"/>
      <c r="X609" s="43"/>
      <c r="Y609" s="43"/>
      <c r="Z609" s="43" t="s">
        <v>1113</v>
      </c>
      <c r="AA609" s="43" t="s">
        <v>1113</v>
      </c>
      <c r="AB609" s="43"/>
    </row>
    <row r="610" spans="1:28" ht="14.25" hidden="1" customHeight="1">
      <c r="A610" s="163" t="s">
        <v>1017</v>
      </c>
      <c r="B610" s="164">
        <v>45632</v>
      </c>
      <c r="C610" s="163" t="s">
        <v>505</v>
      </c>
      <c r="D610" s="163" t="s">
        <v>281</v>
      </c>
      <c r="E610" s="163" t="s">
        <v>18</v>
      </c>
      <c r="F610" s="168">
        <v>-2522.08</v>
      </c>
      <c r="G610" s="165">
        <f t="shared" si="12"/>
        <v>77241.759999999995</v>
      </c>
      <c r="H610" s="163"/>
      <c r="I610" s="163" t="s">
        <v>283</v>
      </c>
      <c r="J610" s="163"/>
      <c r="K610" s="163"/>
      <c r="L610" s="163" t="s">
        <v>477</v>
      </c>
      <c r="M610" s="163"/>
      <c r="N610" s="163" t="s">
        <v>978</v>
      </c>
      <c r="O610" s="163"/>
      <c r="P610" s="163"/>
      <c r="Q610" s="163"/>
      <c r="R610" s="163" t="s">
        <v>505</v>
      </c>
      <c r="S610" s="163" t="s">
        <v>507</v>
      </c>
      <c r="T610" s="43">
        <f t="shared" si="14"/>
        <v>12</v>
      </c>
      <c r="U610" s="167">
        <f t="shared" si="15"/>
        <v>45632</v>
      </c>
      <c r="V610" s="43"/>
      <c r="W610" s="43"/>
      <c r="X610" s="43"/>
      <c r="Y610" s="43"/>
      <c r="Z610" s="43" t="s">
        <v>1113</v>
      </c>
      <c r="AA610" s="43" t="s">
        <v>1113</v>
      </c>
      <c r="AB610" s="43"/>
    </row>
    <row r="611" spans="1:28" ht="14.25" hidden="1" customHeight="1">
      <c r="A611" s="163" t="s">
        <v>1017</v>
      </c>
      <c r="B611" s="164">
        <v>45632</v>
      </c>
      <c r="C611" s="163" t="s">
        <v>111</v>
      </c>
      <c r="D611" s="163" t="s">
        <v>281</v>
      </c>
      <c r="E611" s="163" t="s">
        <v>18</v>
      </c>
      <c r="F611" s="168">
        <v>-1887.35</v>
      </c>
      <c r="G611" s="165">
        <f t="shared" si="12"/>
        <v>75354.409999999989</v>
      </c>
      <c r="H611" s="163"/>
      <c r="I611" s="163" t="s">
        <v>283</v>
      </c>
      <c r="J611" s="163"/>
      <c r="K611" s="163"/>
      <c r="L611" s="163" t="s">
        <v>485</v>
      </c>
      <c r="M611" s="163"/>
      <c r="N611" s="163" t="s">
        <v>978</v>
      </c>
      <c r="O611" s="163"/>
      <c r="P611" s="163"/>
      <c r="Q611" s="163"/>
      <c r="R611" s="163" t="s">
        <v>111</v>
      </c>
      <c r="S611" s="163" t="s">
        <v>320</v>
      </c>
      <c r="T611" s="43">
        <f t="shared" si="14"/>
        <v>12</v>
      </c>
      <c r="U611" s="167">
        <f t="shared" si="15"/>
        <v>45632</v>
      </c>
      <c r="V611" s="43"/>
      <c r="W611" s="43"/>
      <c r="X611" s="43"/>
      <c r="Y611" s="43"/>
      <c r="Z611" s="43" t="s">
        <v>1113</v>
      </c>
      <c r="AA611" s="43" t="s">
        <v>1113</v>
      </c>
      <c r="AB611" s="43"/>
    </row>
    <row r="612" spans="1:28" ht="14.25" hidden="1" customHeight="1">
      <c r="A612" s="163" t="s">
        <v>1017</v>
      </c>
      <c r="B612" s="164">
        <v>45632</v>
      </c>
      <c r="C612" s="163" t="s">
        <v>510</v>
      </c>
      <c r="D612" s="163" t="s">
        <v>281</v>
      </c>
      <c r="E612" s="163" t="s">
        <v>18</v>
      </c>
      <c r="F612" s="168">
        <v>-2686.08</v>
      </c>
      <c r="G612" s="165">
        <f t="shared" si="12"/>
        <v>72668.329999999987</v>
      </c>
      <c r="H612" s="163"/>
      <c r="I612" s="163" t="s">
        <v>283</v>
      </c>
      <c r="J612" s="163"/>
      <c r="K612" s="163"/>
      <c r="L612" s="163" t="s">
        <v>485</v>
      </c>
      <c r="M612" s="163"/>
      <c r="N612" s="163" t="s">
        <v>978</v>
      </c>
      <c r="O612" s="163"/>
      <c r="P612" s="163"/>
      <c r="Q612" s="163"/>
      <c r="R612" s="163" t="s">
        <v>510</v>
      </c>
      <c r="S612" s="163" t="s">
        <v>512</v>
      </c>
      <c r="T612" s="43">
        <f t="shared" si="14"/>
        <v>12</v>
      </c>
      <c r="U612" s="167">
        <f t="shared" si="15"/>
        <v>45632</v>
      </c>
      <c r="V612" s="166"/>
      <c r="W612" s="43"/>
      <c r="X612" s="43"/>
      <c r="Y612" s="43"/>
      <c r="Z612" s="43" t="s">
        <v>1113</v>
      </c>
      <c r="AA612" s="43" t="s">
        <v>1113</v>
      </c>
      <c r="AB612" s="43"/>
    </row>
    <row r="613" spans="1:28" ht="14.25" hidden="1" customHeight="1">
      <c r="A613" s="163" t="s">
        <v>1017</v>
      </c>
      <c r="B613" s="164">
        <v>45632</v>
      </c>
      <c r="C613" s="163" t="s">
        <v>513</v>
      </c>
      <c r="D613" s="163" t="s">
        <v>281</v>
      </c>
      <c r="E613" s="163" t="s">
        <v>18</v>
      </c>
      <c r="F613" s="204">
        <v>-2296.1799999999998</v>
      </c>
      <c r="G613" s="165">
        <f t="shared" si="12"/>
        <v>70372.149999999994</v>
      </c>
      <c r="H613" s="163"/>
      <c r="I613" s="163" t="s">
        <v>283</v>
      </c>
      <c r="J613" s="163"/>
      <c r="K613" s="163"/>
      <c r="L613" s="163" t="s">
        <v>485</v>
      </c>
      <c r="M613" s="163"/>
      <c r="N613" s="163" t="s">
        <v>978</v>
      </c>
      <c r="O613" s="163"/>
      <c r="P613" s="163"/>
      <c r="Q613" s="163"/>
      <c r="R613" s="163" t="s">
        <v>513</v>
      </c>
      <c r="S613" s="163" t="s">
        <v>515</v>
      </c>
      <c r="T613" s="43">
        <f t="shared" si="14"/>
        <v>12</v>
      </c>
      <c r="U613" s="167">
        <f t="shared" si="15"/>
        <v>45632</v>
      </c>
      <c r="V613" s="43"/>
      <c r="W613" s="43"/>
      <c r="X613" s="43"/>
      <c r="Y613" s="43"/>
      <c r="Z613" s="43" t="s">
        <v>1113</v>
      </c>
      <c r="AA613" s="43" t="s">
        <v>1113</v>
      </c>
      <c r="AB613" s="43"/>
    </row>
    <row r="614" spans="1:28" ht="14.25" hidden="1" customHeight="1">
      <c r="A614" s="163" t="s">
        <v>1017</v>
      </c>
      <c r="B614" s="164">
        <v>45632</v>
      </c>
      <c r="C614" s="163" t="s">
        <v>528</v>
      </c>
      <c r="D614" s="163" t="s">
        <v>281</v>
      </c>
      <c r="E614" s="163" t="s">
        <v>18</v>
      </c>
      <c r="F614" s="168">
        <v>-2296.1799999999998</v>
      </c>
      <c r="G614" s="165">
        <f t="shared" si="12"/>
        <v>68075.97</v>
      </c>
      <c r="H614" s="163"/>
      <c r="I614" s="163" t="s">
        <v>342</v>
      </c>
      <c r="J614" s="163"/>
      <c r="K614" s="163"/>
      <c r="L614" s="163" t="s">
        <v>485</v>
      </c>
      <c r="M614" s="163"/>
      <c r="N614" s="163" t="s">
        <v>978</v>
      </c>
      <c r="O614" s="163"/>
      <c r="P614" s="163"/>
      <c r="Q614" s="163"/>
      <c r="R614" s="163" t="s">
        <v>528</v>
      </c>
      <c r="S614" s="163" t="s">
        <v>530</v>
      </c>
      <c r="T614" s="43">
        <f t="shared" si="14"/>
        <v>12</v>
      </c>
      <c r="U614" s="167">
        <f t="shared" si="15"/>
        <v>45632</v>
      </c>
      <c r="V614" s="43"/>
      <c r="W614" s="43"/>
      <c r="X614" s="43"/>
      <c r="Y614" s="43"/>
      <c r="Z614" s="43" t="s">
        <v>1113</v>
      </c>
      <c r="AA614" s="43" t="s">
        <v>1113</v>
      </c>
      <c r="AB614" s="43"/>
    </row>
    <row r="615" spans="1:28" ht="14.25" hidden="1" customHeight="1">
      <c r="A615" s="163" t="s">
        <v>1017</v>
      </c>
      <c r="B615" s="164">
        <v>45632</v>
      </c>
      <c r="C615" s="163" t="s">
        <v>516</v>
      </c>
      <c r="D615" s="163" t="s">
        <v>281</v>
      </c>
      <c r="E615" s="163" t="s">
        <v>18</v>
      </c>
      <c r="F615" s="168">
        <v>-1441.18</v>
      </c>
      <c r="G615" s="165">
        <f t="shared" si="12"/>
        <v>66634.790000000008</v>
      </c>
      <c r="H615" s="163"/>
      <c r="I615" s="163" t="s">
        <v>283</v>
      </c>
      <c r="J615" s="163"/>
      <c r="K615" s="163"/>
      <c r="L615" s="163" t="s">
        <v>485</v>
      </c>
      <c r="M615" s="163"/>
      <c r="N615" s="163" t="s">
        <v>978</v>
      </c>
      <c r="O615" s="163"/>
      <c r="P615" s="163"/>
      <c r="Q615" s="163"/>
      <c r="R615" s="163" t="s">
        <v>516</v>
      </c>
      <c r="S615" s="163" t="s">
        <v>518</v>
      </c>
      <c r="T615" s="43">
        <f t="shared" si="14"/>
        <v>12</v>
      </c>
      <c r="U615" s="167">
        <f t="shared" si="15"/>
        <v>45632</v>
      </c>
      <c r="V615" s="43"/>
      <c r="W615" s="43"/>
      <c r="X615" s="43"/>
      <c r="Y615" s="43"/>
      <c r="Z615" s="43" t="s">
        <v>1113</v>
      </c>
      <c r="AA615" s="43" t="s">
        <v>1113</v>
      </c>
      <c r="AB615" s="43"/>
    </row>
    <row r="616" spans="1:28" ht="14.25" hidden="1" customHeight="1">
      <c r="A616" s="163" t="s">
        <v>1017</v>
      </c>
      <c r="B616" s="164">
        <v>45632</v>
      </c>
      <c r="C616" s="163" t="s">
        <v>519</v>
      </c>
      <c r="D616" s="163" t="s">
        <v>281</v>
      </c>
      <c r="E616" s="163" t="s">
        <v>18</v>
      </c>
      <c r="F616" s="168">
        <v>-1841.18</v>
      </c>
      <c r="G616" s="165">
        <f t="shared" si="12"/>
        <v>64793.610000000008</v>
      </c>
      <c r="H616" s="163"/>
      <c r="I616" s="163" t="s">
        <v>283</v>
      </c>
      <c r="J616" s="163"/>
      <c r="K616" s="163"/>
      <c r="L616" s="163" t="s">
        <v>485</v>
      </c>
      <c r="M616" s="163"/>
      <c r="N616" s="163" t="s">
        <v>978</v>
      </c>
      <c r="O616" s="163"/>
      <c r="P616" s="163"/>
      <c r="Q616" s="163"/>
      <c r="R616" s="163" t="s">
        <v>519</v>
      </c>
      <c r="S616" s="163" t="s">
        <v>521</v>
      </c>
      <c r="T616" s="43">
        <f>MONTH(U616)</f>
        <v>12</v>
      </c>
      <c r="U616" s="167">
        <f t="shared" si="15"/>
        <v>45632</v>
      </c>
      <c r="V616" s="166"/>
      <c r="W616" s="43"/>
      <c r="X616" s="43"/>
      <c r="Y616" s="43"/>
      <c r="Z616" s="43" t="s">
        <v>1113</v>
      </c>
      <c r="AA616" s="43" t="s">
        <v>1113</v>
      </c>
      <c r="AB616" s="43"/>
    </row>
    <row r="617" spans="1:28" ht="14.25" hidden="1" customHeight="1">
      <c r="A617" s="163" t="s">
        <v>1017</v>
      </c>
      <c r="B617" s="164">
        <v>45632</v>
      </c>
      <c r="C617" s="163" t="s">
        <v>522</v>
      </c>
      <c r="D617" s="163" t="s">
        <v>281</v>
      </c>
      <c r="E617" s="163" t="s">
        <v>18</v>
      </c>
      <c r="F617" s="204">
        <v>-3122.35</v>
      </c>
      <c r="G617" s="165">
        <f t="shared" si="12"/>
        <v>61671.260000000009</v>
      </c>
      <c r="H617" s="163"/>
      <c r="I617" s="163" t="s">
        <v>283</v>
      </c>
      <c r="J617" s="163"/>
      <c r="K617" s="163"/>
      <c r="L617" s="163" t="s">
        <v>485</v>
      </c>
      <c r="M617" s="163"/>
      <c r="N617" s="163" t="s">
        <v>978</v>
      </c>
      <c r="O617" s="163"/>
      <c r="P617" s="163"/>
      <c r="Q617" s="163"/>
      <c r="R617" s="163" t="s">
        <v>522</v>
      </c>
      <c r="S617" s="163" t="s">
        <v>524</v>
      </c>
      <c r="T617" s="43">
        <f t="shared" ref="T617:T738" si="16">MONTH(B617)</f>
        <v>12</v>
      </c>
      <c r="U617" s="167">
        <f t="shared" si="15"/>
        <v>45632</v>
      </c>
      <c r="V617" s="43"/>
      <c r="W617" s="43"/>
      <c r="X617" s="43"/>
      <c r="Y617" s="43"/>
      <c r="Z617" s="43" t="s">
        <v>1113</v>
      </c>
      <c r="AA617" s="43" t="s">
        <v>1113</v>
      </c>
      <c r="AB617" s="43"/>
    </row>
    <row r="618" spans="1:28" ht="14.25" hidden="1" customHeight="1">
      <c r="A618" s="163" t="s">
        <v>1017</v>
      </c>
      <c r="B618" s="164">
        <v>45632</v>
      </c>
      <c r="C618" s="163" t="s">
        <v>525</v>
      </c>
      <c r="D618" s="163" t="s">
        <v>281</v>
      </c>
      <c r="E618" s="163" t="s">
        <v>18</v>
      </c>
      <c r="F618" s="168">
        <v>-2422.35</v>
      </c>
      <c r="G618" s="165">
        <f t="shared" si="12"/>
        <v>59248.910000000011</v>
      </c>
      <c r="H618" s="163"/>
      <c r="I618" s="163" t="s">
        <v>283</v>
      </c>
      <c r="J618" s="163"/>
      <c r="K618" s="163"/>
      <c r="L618" s="163" t="s">
        <v>485</v>
      </c>
      <c r="M618" s="163"/>
      <c r="N618" s="163" t="s">
        <v>978</v>
      </c>
      <c r="O618" s="163"/>
      <c r="P618" s="163"/>
      <c r="Q618" s="163"/>
      <c r="R618" s="163" t="s">
        <v>525</v>
      </c>
      <c r="S618" s="163" t="s">
        <v>527</v>
      </c>
      <c r="T618" s="43">
        <f t="shared" si="16"/>
        <v>12</v>
      </c>
      <c r="U618" s="167">
        <f t="shared" si="15"/>
        <v>45632</v>
      </c>
      <c r="V618" s="43"/>
      <c r="W618" s="43"/>
      <c r="X618" s="43"/>
      <c r="Y618" s="43"/>
      <c r="Z618" s="43" t="s">
        <v>1113</v>
      </c>
      <c r="AA618" s="43" t="s">
        <v>1113</v>
      </c>
      <c r="AB618" s="43"/>
    </row>
    <row r="619" spans="1:28" ht="14.25" hidden="1" customHeight="1">
      <c r="A619" s="163" t="s">
        <v>1017</v>
      </c>
      <c r="B619" s="164">
        <v>45632</v>
      </c>
      <c r="C619" s="163" t="s">
        <v>112</v>
      </c>
      <c r="D619" s="163" t="s">
        <v>281</v>
      </c>
      <c r="E619" s="163" t="s">
        <v>18</v>
      </c>
      <c r="F619" s="204">
        <v>-2296.1799999999998</v>
      </c>
      <c r="G619" s="165">
        <f t="shared" si="12"/>
        <v>56952.73000000001</v>
      </c>
      <c r="H619" s="163"/>
      <c r="I619" s="163" t="s">
        <v>283</v>
      </c>
      <c r="J619" s="163"/>
      <c r="K619" s="163"/>
      <c r="L619" s="163" t="s">
        <v>485</v>
      </c>
      <c r="M619" s="163"/>
      <c r="N619" s="163" t="s">
        <v>978</v>
      </c>
      <c r="O619" s="163"/>
      <c r="P619" s="163"/>
      <c r="Q619" s="163"/>
      <c r="R619" s="163" t="s">
        <v>112</v>
      </c>
      <c r="S619" s="163" t="s">
        <v>532</v>
      </c>
      <c r="T619" s="43">
        <f t="shared" si="16"/>
        <v>12</v>
      </c>
      <c r="U619" s="167">
        <f t="shared" si="15"/>
        <v>45632</v>
      </c>
      <c r="V619" s="43"/>
      <c r="W619" s="43"/>
      <c r="X619" s="43"/>
      <c r="Y619" s="43"/>
      <c r="Z619" s="43" t="s">
        <v>1113</v>
      </c>
      <c r="AA619" s="43" t="s">
        <v>1113</v>
      </c>
      <c r="AB619" s="43"/>
    </row>
    <row r="620" spans="1:28" ht="14.25" hidden="1" customHeight="1">
      <c r="A620" s="163" t="s">
        <v>1017</v>
      </c>
      <c r="B620" s="164">
        <v>45632</v>
      </c>
      <c r="C620" s="163" t="s">
        <v>533</v>
      </c>
      <c r="D620" s="163" t="s">
        <v>281</v>
      </c>
      <c r="E620" s="163" t="s">
        <v>18</v>
      </c>
      <c r="F620" s="204">
        <v>-1841.18</v>
      </c>
      <c r="G620" s="165">
        <f t="shared" si="12"/>
        <v>55111.55000000001</v>
      </c>
      <c r="H620" s="163"/>
      <c r="I620" s="163" t="s">
        <v>283</v>
      </c>
      <c r="J620" s="163"/>
      <c r="K620" s="163"/>
      <c r="L620" s="163" t="s">
        <v>485</v>
      </c>
      <c r="M620" s="163"/>
      <c r="N620" s="163" t="s">
        <v>978</v>
      </c>
      <c r="O620" s="163"/>
      <c r="P620" s="163"/>
      <c r="Q620" s="163"/>
      <c r="R620" s="163" t="s">
        <v>533</v>
      </c>
      <c r="S620" s="163" t="s">
        <v>535</v>
      </c>
      <c r="T620" s="43">
        <f t="shared" si="16"/>
        <v>12</v>
      </c>
      <c r="U620" s="167">
        <f t="shared" si="15"/>
        <v>45632</v>
      </c>
      <c r="V620" s="43"/>
      <c r="W620" s="43"/>
      <c r="X620" s="43"/>
      <c r="Y620" s="43"/>
      <c r="Z620" s="43" t="s">
        <v>1113</v>
      </c>
      <c r="AA620" s="43" t="s">
        <v>1113</v>
      </c>
      <c r="AB620" s="43"/>
    </row>
    <row r="621" spans="1:28" ht="14.25" hidden="1" customHeight="1">
      <c r="A621" s="163" t="s">
        <v>1017</v>
      </c>
      <c r="B621" s="164">
        <v>45632</v>
      </c>
      <c r="C621" s="163" t="s">
        <v>536</v>
      </c>
      <c r="D621" s="163" t="s">
        <v>281</v>
      </c>
      <c r="E621" s="163" t="s">
        <v>18</v>
      </c>
      <c r="F621" s="204">
        <v>-1841.18</v>
      </c>
      <c r="G621" s="165">
        <f t="shared" si="12"/>
        <v>53270.37000000001</v>
      </c>
      <c r="H621" s="163"/>
      <c r="I621" s="163" t="s">
        <v>283</v>
      </c>
      <c r="J621" s="163"/>
      <c r="K621" s="163"/>
      <c r="L621" s="163" t="s">
        <v>485</v>
      </c>
      <c r="M621" s="163"/>
      <c r="N621" s="163" t="s">
        <v>978</v>
      </c>
      <c r="O621" s="163"/>
      <c r="P621" s="163"/>
      <c r="Q621" s="163"/>
      <c r="R621" s="163" t="s">
        <v>536</v>
      </c>
      <c r="S621" s="163" t="s">
        <v>538</v>
      </c>
      <c r="T621" s="43">
        <f t="shared" si="16"/>
        <v>12</v>
      </c>
      <c r="U621" s="167">
        <f t="shared" si="15"/>
        <v>45632</v>
      </c>
      <c r="V621" s="43"/>
      <c r="W621" s="43"/>
      <c r="X621" s="43"/>
      <c r="Y621" s="43"/>
      <c r="Z621" s="43" t="s">
        <v>1113</v>
      </c>
      <c r="AA621" s="43" t="s">
        <v>1113</v>
      </c>
      <c r="AB621" s="43"/>
    </row>
    <row r="622" spans="1:28" ht="14.25" hidden="1" customHeight="1">
      <c r="A622" s="163" t="s">
        <v>1017</v>
      </c>
      <c r="B622" s="164">
        <v>45632</v>
      </c>
      <c r="C622" s="163" t="s">
        <v>93</v>
      </c>
      <c r="D622" s="163" t="s">
        <v>281</v>
      </c>
      <c r="E622" s="163" t="s">
        <v>18</v>
      </c>
      <c r="F622" s="204">
        <v>-4137.08</v>
      </c>
      <c r="G622" s="165">
        <f t="shared" si="12"/>
        <v>49133.290000000008</v>
      </c>
      <c r="H622" s="163"/>
      <c r="I622" s="163" t="s">
        <v>283</v>
      </c>
      <c r="J622" s="163"/>
      <c r="K622" s="163"/>
      <c r="L622" s="163" t="s">
        <v>485</v>
      </c>
      <c r="M622" s="163"/>
      <c r="N622" s="163" t="s">
        <v>978</v>
      </c>
      <c r="O622" s="163"/>
      <c r="P622" s="163"/>
      <c r="Q622" s="163"/>
      <c r="R622" s="163" t="s">
        <v>93</v>
      </c>
      <c r="S622" s="163" t="s">
        <v>540</v>
      </c>
      <c r="T622" s="43">
        <f t="shared" si="16"/>
        <v>12</v>
      </c>
      <c r="U622" s="167">
        <f t="shared" si="15"/>
        <v>45632</v>
      </c>
      <c r="V622" s="43"/>
      <c r="W622" s="43"/>
      <c r="X622" s="43"/>
      <c r="Y622" s="43"/>
      <c r="Z622" s="43" t="s">
        <v>1113</v>
      </c>
      <c r="AA622" s="43" t="s">
        <v>1113</v>
      </c>
      <c r="AB622" s="43"/>
    </row>
    <row r="623" spans="1:28" ht="14.25" hidden="1" customHeight="1">
      <c r="A623" s="163" t="s">
        <v>1017</v>
      </c>
      <c r="B623" s="164">
        <v>45632</v>
      </c>
      <c r="C623" s="163" t="s">
        <v>88</v>
      </c>
      <c r="D623" s="163" t="s">
        <v>281</v>
      </c>
      <c r="E623" s="163" t="s">
        <v>18</v>
      </c>
      <c r="F623" s="168">
        <v>-3828.54</v>
      </c>
      <c r="G623" s="165">
        <f t="shared" si="12"/>
        <v>45304.750000000007</v>
      </c>
      <c r="H623" s="163"/>
      <c r="I623" s="163" t="s">
        <v>283</v>
      </c>
      <c r="J623" s="163"/>
      <c r="K623" s="163"/>
      <c r="L623" s="163" t="s">
        <v>485</v>
      </c>
      <c r="M623" s="163"/>
      <c r="N623" s="163" t="s">
        <v>978</v>
      </c>
      <c r="O623" s="163"/>
      <c r="P623" s="163"/>
      <c r="Q623" s="163"/>
      <c r="R623" s="163" t="s">
        <v>88</v>
      </c>
      <c r="S623" s="163" t="s">
        <v>542</v>
      </c>
      <c r="T623" s="43">
        <f t="shared" si="16"/>
        <v>12</v>
      </c>
      <c r="U623" s="167">
        <f t="shared" si="15"/>
        <v>45632</v>
      </c>
      <c r="V623" s="166"/>
      <c r="W623" s="43"/>
      <c r="X623" s="43"/>
      <c r="Y623" s="43"/>
      <c r="Z623" s="43" t="s">
        <v>1113</v>
      </c>
      <c r="AA623" s="43" t="s">
        <v>1113</v>
      </c>
      <c r="AB623" s="43"/>
    </row>
    <row r="624" spans="1:28" ht="14.25" hidden="1" customHeight="1">
      <c r="A624" s="163" t="s">
        <v>1017</v>
      </c>
      <c r="B624" s="164">
        <v>45632</v>
      </c>
      <c r="C624" s="163" t="s">
        <v>543</v>
      </c>
      <c r="D624" s="163" t="s">
        <v>281</v>
      </c>
      <c r="E624" s="163" t="s">
        <v>18</v>
      </c>
      <c r="F624" s="204">
        <v>-2296.1799999999998</v>
      </c>
      <c r="G624" s="165">
        <f t="shared" si="12"/>
        <v>43008.570000000007</v>
      </c>
      <c r="H624" s="163"/>
      <c r="I624" s="163" t="s">
        <v>283</v>
      </c>
      <c r="J624" s="163"/>
      <c r="K624" s="163"/>
      <c r="L624" s="163" t="s">
        <v>485</v>
      </c>
      <c r="M624" s="163"/>
      <c r="N624" s="163" t="s">
        <v>978</v>
      </c>
      <c r="O624" s="163"/>
      <c r="P624" s="163"/>
      <c r="Q624" s="163"/>
      <c r="R624" s="163" t="s">
        <v>543</v>
      </c>
      <c r="S624" s="163" t="s">
        <v>545</v>
      </c>
      <c r="T624" s="43">
        <f t="shared" si="16"/>
        <v>12</v>
      </c>
      <c r="U624" s="167">
        <f t="shared" si="15"/>
        <v>45632</v>
      </c>
      <c r="V624" s="43"/>
      <c r="W624" s="43"/>
      <c r="X624" s="43"/>
      <c r="Y624" s="43"/>
      <c r="Z624" s="43" t="s">
        <v>1113</v>
      </c>
      <c r="AA624" s="43" t="s">
        <v>1113</v>
      </c>
      <c r="AB624" s="43"/>
    </row>
    <row r="625" spans="1:28" ht="14.25" hidden="1" customHeight="1">
      <c r="A625" s="163" t="s">
        <v>1017</v>
      </c>
      <c r="B625" s="164">
        <v>45632</v>
      </c>
      <c r="C625" s="163" t="s">
        <v>546</v>
      </c>
      <c r="D625" s="163" t="s">
        <v>281</v>
      </c>
      <c r="E625" s="163" t="s">
        <v>18</v>
      </c>
      <c r="F625" s="168">
        <v>-1357.21</v>
      </c>
      <c r="G625" s="165">
        <f t="shared" si="12"/>
        <v>41651.360000000008</v>
      </c>
      <c r="H625" s="163"/>
      <c r="I625" s="163" t="s">
        <v>283</v>
      </c>
      <c r="J625" s="163"/>
      <c r="K625" s="163"/>
      <c r="L625" s="163" t="s">
        <v>485</v>
      </c>
      <c r="M625" s="163"/>
      <c r="N625" s="163" t="s">
        <v>978</v>
      </c>
      <c r="O625" s="163"/>
      <c r="P625" s="163"/>
      <c r="Q625" s="163"/>
      <c r="R625" s="163" t="s">
        <v>546</v>
      </c>
      <c r="S625" s="163" t="s">
        <v>548</v>
      </c>
      <c r="T625" s="43">
        <f t="shared" si="16"/>
        <v>12</v>
      </c>
      <c r="U625" s="167">
        <f t="shared" si="15"/>
        <v>45632</v>
      </c>
      <c r="V625" s="43"/>
      <c r="W625" s="43"/>
      <c r="X625" s="43"/>
      <c r="Y625" s="43"/>
      <c r="Z625" s="43" t="s">
        <v>1113</v>
      </c>
      <c r="AA625" s="43" t="s">
        <v>1113</v>
      </c>
      <c r="AB625" s="43"/>
    </row>
    <row r="626" spans="1:28" ht="14.25" hidden="1" customHeight="1">
      <c r="A626" s="163" t="s">
        <v>1017</v>
      </c>
      <c r="B626" s="164">
        <v>45632</v>
      </c>
      <c r="C626" s="163" t="s">
        <v>549</v>
      </c>
      <c r="D626" s="163" t="s">
        <v>281</v>
      </c>
      <c r="E626" s="163" t="s">
        <v>18</v>
      </c>
      <c r="F626" s="204">
        <v>-5080.1099999999997</v>
      </c>
      <c r="G626" s="165">
        <f t="shared" si="12"/>
        <v>36571.250000000007</v>
      </c>
      <c r="H626" s="163"/>
      <c r="I626" s="163" t="s">
        <v>283</v>
      </c>
      <c r="J626" s="163"/>
      <c r="K626" s="163"/>
      <c r="L626" s="163" t="s">
        <v>485</v>
      </c>
      <c r="M626" s="163"/>
      <c r="N626" s="163" t="s">
        <v>978</v>
      </c>
      <c r="O626" s="163"/>
      <c r="P626" s="163"/>
      <c r="Q626" s="163"/>
      <c r="R626" s="163" t="s">
        <v>549</v>
      </c>
      <c r="S626" s="163" t="s">
        <v>551</v>
      </c>
      <c r="T626" s="43">
        <f t="shared" si="16"/>
        <v>12</v>
      </c>
      <c r="U626" s="167">
        <f t="shared" si="15"/>
        <v>45632</v>
      </c>
      <c r="V626" s="43"/>
      <c r="W626" s="43"/>
      <c r="X626" s="43"/>
      <c r="Y626" s="43"/>
      <c r="Z626" s="43" t="s">
        <v>1113</v>
      </c>
      <c r="AA626" s="43" t="s">
        <v>1113</v>
      </c>
      <c r="AB626" s="43"/>
    </row>
    <row r="627" spans="1:28" ht="14.25" hidden="1" customHeight="1">
      <c r="A627" s="180" t="s">
        <v>1017</v>
      </c>
      <c r="B627" s="181">
        <v>45632</v>
      </c>
      <c r="C627" s="180" t="s">
        <v>488</v>
      </c>
      <c r="D627" s="180" t="s">
        <v>281</v>
      </c>
      <c r="E627" s="180" t="s">
        <v>1333</v>
      </c>
      <c r="F627" s="182">
        <v>-2717.24</v>
      </c>
      <c r="G627" s="165">
        <f t="shared" si="12"/>
        <v>33854.010000000009</v>
      </c>
      <c r="H627" s="180"/>
      <c r="I627" s="180" t="s">
        <v>283</v>
      </c>
      <c r="J627" s="180"/>
      <c r="K627" s="180"/>
      <c r="L627" s="180" t="s">
        <v>485</v>
      </c>
      <c r="M627" s="180"/>
      <c r="N627" s="180" t="s">
        <v>978</v>
      </c>
      <c r="O627" s="180"/>
      <c r="P627" s="180"/>
      <c r="Q627" s="180"/>
      <c r="R627" s="180" t="s">
        <v>549</v>
      </c>
      <c r="S627" s="180" t="s">
        <v>551</v>
      </c>
      <c r="T627" s="183">
        <f t="shared" si="16"/>
        <v>12</v>
      </c>
      <c r="U627" s="184">
        <f t="shared" si="15"/>
        <v>45632</v>
      </c>
      <c r="V627" s="183"/>
      <c r="W627" s="43"/>
      <c r="X627" s="43"/>
      <c r="Y627" s="43"/>
      <c r="Z627" s="43" t="s">
        <v>1113</v>
      </c>
      <c r="AA627" s="43" t="s">
        <v>1113</v>
      </c>
      <c r="AB627" s="183"/>
    </row>
    <row r="628" spans="1:28" ht="14.25" hidden="1" customHeight="1">
      <c r="A628" s="180" t="s">
        <v>1017</v>
      </c>
      <c r="B628" s="181">
        <v>45632</v>
      </c>
      <c r="C628" s="180" t="s">
        <v>669</v>
      </c>
      <c r="D628" s="180" t="s">
        <v>281</v>
      </c>
      <c r="E628" s="180" t="s">
        <v>18</v>
      </c>
      <c r="F628" s="182">
        <v>-3828.54</v>
      </c>
      <c r="G628" s="165">
        <f t="shared" si="12"/>
        <v>30025.470000000008</v>
      </c>
      <c r="H628" s="180"/>
      <c r="I628" s="180" t="s">
        <v>283</v>
      </c>
      <c r="J628" s="180"/>
      <c r="K628" s="180"/>
      <c r="L628" s="180" t="s">
        <v>485</v>
      </c>
      <c r="M628" s="180"/>
      <c r="N628" s="180" t="s">
        <v>978</v>
      </c>
      <c r="O628" s="180"/>
      <c r="P628" s="180"/>
      <c r="Q628" s="180"/>
      <c r="R628" s="180" t="s">
        <v>549</v>
      </c>
      <c r="S628" s="180" t="s">
        <v>551</v>
      </c>
      <c r="T628" s="183">
        <f t="shared" si="16"/>
        <v>12</v>
      </c>
      <c r="U628" s="184">
        <f t="shared" si="15"/>
        <v>45632</v>
      </c>
      <c r="V628" s="183"/>
      <c r="W628" s="43"/>
      <c r="X628" s="43"/>
      <c r="Y628" s="43"/>
      <c r="Z628" s="43" t="s">
        <v>1113</v>
      </c>
      <c r="AA628" s="43" t="s">
        <v>1113</v>
      </c>
      <c r="AB628" s="183"/>
    </row>
    <row r="629" spans="1:28" ht="14.25" hidden="1" customHeight="1">
      <c r="A629" s="180" t="s">
        <v>1174</v>
      </c>
      <c r="B629" s="181">
        <v>45631</v>
      </c>
      <c r="C629" s="180" t="s">
        <v>1334</v>
      </c>
      <c r="D629" s="180" t="s">
        <v>281</v>
      </c>
      <c r="E629" s="180" t="s">
        <v>1335</v>
      </c>
      <c r="F629" s="186">
        <v>-2495.17</v>
      </c>
      <c r="G629" s="165">
        <f t="shared" si="12"/>
        <v>27530.30000000001</v>
      </c>
      <c r="H629" s="180"/>
      <c r="I629" s="180" t="s">
        <v>1176</v>
      </c>
      <c r="J629" s="180" t="s">
        <v>1329</v>
      </c>
      <c r="K629" s="180"/>
      <c r="L629" s="180" t="s">
        <v>305</v>
      </c>
      <c r="M629" s="180"/>
      <c r="N629" s="180" t="s">
        <v>1178</v>
      </c>
      <c r="O629" s="180" t="s">
        <v>1329</v>
      </c>
      <c r="P629" s="180" t="s">
        <v>62</v>
      </c>
      <c r="Q629" s="180"/>
      <c r="R629" s="180" t="s">
        <v>655</v>
      </c>
      <c r="S629" s="180" t="s">
        <v>656</v>
      </c>
      <c r="T629" s="183">
        <f t="shared" si="16"/>
        <v>12</v>
      </c>
      <c r="U629" s="184">
        <f t="shared" si="15"/>
        <v>45631</v>
      </c>
      <c r="V629" s="183"/>
      <c r="W629" s="183"/>
      <c r="X629" s="183"/>
      <c r="Y629" s="183"/>
      <c r="Z629" s="183"/>
      <c r="AA629" s="183" t="s">
        <v>1113</v>
      </c>
      <c r="AB629" s="183" t="s">
        <v>1113</v>
      </c>
    </row>
    <row r="630" spans="1:28" ht="14.25" hidden="1" customHeight="1">
      <c r="A630" s="180" t="s">
        <v>1017</v>
      </c>
      <c r="B630" s="181">
        <v>45632</v>
      </c>
      <c r="C630" s="180" t="s">
        <v>1087</v>
      </c>
      <c r="D630" s="180" t="s">
        <v>281</v>
      </c>
      <c r="E630" s="180" t="s">
        <v>18</v>
      </c>
      <c r="F630" s="182">
        <v>-5000</v>
      </c>
      <c r="G630" s="165">
        <f t="shared" si="12"/>
        <v>22530.30000000001</v>
      </c>
      <c r="H630" s="180"/>
      <c r="I630" s="180" t="s">
        <v>283</v>
      </c>
      <c r="J630" s="180"/>
      <c r="K630" s="180"/>
      <c r="L630" s="180" t="s">
        <v>305</v>
      </c>
      <c r="M630" s="180"/>
      <c r="N630" s="180" t="s">
        <v>978</v>
      </c>
      <c r="O630" s="180"/>
      <c r="P630" s="180"/>
      <c r="Q630" s="180" t="s">
        <v>1067</v>
      </c>
      <c r="R630" s="180" t="s">
        <v>1087</v>
      </c>
      <c r="S630" s="180" t="s">
        <v>1089</v>
      </c>
      <c r="T630" s="183">
        <f t="shared" si="16"/>
        <v>12</v>
      </c>
      <c r="U630" s="184">
        <f t="shared" si="15"/>
        <v>45632</v>
      </c>
      <c r="V630" s="183"/>
      <c r="W630" s="183"/>
      <c r="X630" s="183"/>
      <c r="Y630" s="183"/>
      <c r="Z630" s="183"/>
      <c r="AA630" s="183" t="s">
        <v>1336</v>
      </c>
      <c r="AB630" s="183"/>
    </row>
    <row r="631" spans="1:28" ht="14.25" hidden="1" customHeight="1">
      <c r="A631" s="180" t="s">
        <v>1017</v>
      </c>
      <c r="B631" s="181">
        <v>45636</v>
      </c>
      <c r="C631" s="180" t="s">
        <v>1087</v>
      </c>
      <c r="D631" s="180" t="s">
        <v>281</v>
      </c>
      <c r="E631" s="180" t="s">
        <v>925</v>
      </c>
      <c r="F631" s="182">
        <f>-45019.99*0.1</f>
        <v>-4501.9989999999998</v>
      </c>
      <c r="G631" s="165">
        <f t="shared" si="12"/>
        <v>18028.30100000001</v>
      </c>
      <c r="H631" s="180"/>
      <c r="I631" s="180" t="s">
        <v>283</v>
      </c>
      <c r="J631" s="180"/>
      <c r="K631" s="180"/>
      <c r="L631" s="180" t="s">
        <v>305</v>
      </c>
      <c r="M631" s="180"/>
      <c r="N631" s="180" t="s">
        <v>978</v>
      </c>
      <c r="O631" s="180"/>
      <c r="P631" s="180"/>
      <c r="Q631" s="180" t="s">
        <v>1067</v>
      </c>
      <c r="R631" s="180" t="s">
        <v>1087</v>
      </c>
      <c r="S631" s="180" t="s">
        <v>1089</v>
      </c>
      <c r="T631" s="183">
        <f t="shared" si="16"/>
        <v>12</v>
      </c>
      <c r="U631" s="184">
        <f t="shared" si="15"/>
        <v>45636</v>
      </c>
      <c r="V631" s="183"/>
      <c r="W631" s="183"/>
      <c r="X631" s="183"/>
      <c r="Y631" s="183"/>
      <c r="Z631" s="183" t="s">
        <v>1113</v>
      </c>
      <c r="AA631" s="183" t="s">
        <v>1336</v>
      </c>
      <c r="AB631" s="183"/>
    </row>
    <row r="632" spans="1:28" ht="14.25" hidden="1" customHeight="1">
      <c r="A632" s="180" t="s">
        <v>1017</v>
      </c>
      <c r="B632" s="181">
        <v>45636</v>
      </c>
      <c r="C632" s="180" t="s">
        <v>1087</v>
      </c>
      <c r="D632" s="180" t="s">
        <v>281</v>
      </c>
      <c r="E632" s="180" t="s">
        <v>1337</v>
      </c>
      <c r="F632" s="182">
        <v>-596</v>
      </c>
      <c r="G632" s="165">
        <f t="shared" si="12"/>
        <v>17432.30100000001</v>
      </c>
      <c r="H632" s="180"/>
      <c r="I632" s="180" t="s">
        <v>283</v>
      </c>
      <c r="J632" s="180"/>
      <c r="K632" s="180"/>
      <c r="L632" s="180" t="s">
        <v>305</v>
      </c>
      <c r="M632" s="180"/>
      <c r="N632" s="180" t="s">
        <v>978</v>
      </c>
      <c r="O632" s="180"/>
      <c r="P632" s="180"/>
      <c r="Q632" s="180" t="s">
        <v>1067</v>
      </c>
      <c r="R632" s="180" t="s">
        <v>1087</v>
      </c>
      <c r="S632" s="180" t="s">
        <v>1089</v>
      </c>
      <c r="T632" s="183">
        <f t="shared" si="16"/>
        <v>12</v>
      </c>
      <c r="U632" s="184">
        <f t="shared" si="15"/>
        <v>45636</v>
      </c>
      <c r="V632" s="183"/>
      <c r="W632" s="183"/>
      <c r="X632" s="183"/>
      <c r="Y632" s="183"/>
      <c r="Z632" s="183" t="s">
        <v>1113</v>
      </c>
      <c r="AA632" s="183" t="s">
        <v>1336</v>
      </c>
      <c r="AB632" s="183"/>
    </row>
    <row r="633" spans="1:28" ht="14.25" hidden="1" customHeight="1">
      <c r="A633" s="163" t="s">
        <v>1017</v>
      </c>
      <c r="B633" s="164">
        <v>45632</v>
      </c>
      <c r="C633" s="163" t="s">
        <v>552</v>
      </c>
      <c r="D633" s="163" t="s">
        <v>281</v>
      </c>
      <c r="E633" s="163" t="s">
        <v>199</v>
      </c>
      <c r="F633" s="204">
        <v>-481.85</v>
      </c>
      <c r="G633" s="165">
        <f t="shared" si="12"/>
        <v>16950.451000000012</v>
      </c>
      <c r="H633" s="163"/>
      <c r="I633" s="163" t="s">
        <v>342</v>
      </c>
      <c r="J633" s="163"/>
      <c r="K633" s="163"/>
      <c r="L633" s="163" t="s">
        <v>1030</v>
      </c>
      <c r="M633" s="163"/>
      <c r="N633" s="163" t="s">
        <v>978</v>
      </c>
      <c r="O633" s="163"/>
      <c r="P633" s="163"/>
      <c r="Q633" s="163"/>
      <c r="R633" s="163" t="s">
        <v>128</v>
      </c>
      <c r="S633" s="163" t="s">
        <v>554</v>
      </c>
      <c r="T633" s="43">
        <f t="shared" si="16"/>
        <v>12</v>
      </c>
      <c r="U633" s="167">
        <f t="shared" si="15"/>
        <v>45632</v>
      </c>
      <c r="V633" s="43"/>
      <c r="W633" s="43"/>
      <c r="X633" s="43"/>
      <c r="Y633" s="43"/>
      <c r="Z633" s="43" t="s">
        <v>1113</v>
      </c>
      <c r="AA633" s="43" t="s">
        <v>1113</v>
      </c>
      <c r="AB633" s="43"/>
    </row>
    <row r="634" spans="1:28" ht="14.25" hidden="1" customHeight="1">
      <c r="A634" s="163" t="s">
        <v>1017</v>
      </c>
      <c r="B634" s="164">
        <v>45632</v>
      </c>
      <c r="C634" s="163" t="s">
        <v>476</v>
      </c>
      <c r="D634" s="163" t="s">
        <v>281</v>
      </c>
      <c r="E634" s="163" t="s">
        <v>196</v>
      </c>
      <c r="F634" s="168">
        <v>-4000</v>
      </c>
      <c r="G634" s="165">
        <f t="shared" si="12"/>
        <v>12950.451000000012</v>
      </c>
      <c r="H634" s="163"/>
      <c r="I634" s="163" t="s">
        <v>283</v>
      </c>
      <c r="J634" s="163"/>
      <c r="K634" s="163"/>
      <c r="L634" s="163" t="s">
        <v>766</v>
      </c>
      <c r="M634" s="163"/>
      <c r="N634" s="163" t="s">
        <v>978</v>
      </c>
      <c r="O634" s="163"/>
      <c r="P634" s="163"/>
      <c r="Q634" s="163"/>
      <c r="R634" s="163" t="s">
        <v>479</v>
      </c>
      <c r="S634" s="163" t="s">
        <v>480</v>
      </c>
      <c r="T634" s="43">
        <f t="shared" si="16"/>
        <v>12</v>
      </c>
      <c r="U634" s="167">
        <f t="shared" si="15"/>
        <v>45632</v>
      </c>
      <c r="V634" s="43"/>
      <c r="W634" s="43"/>
      <c r="X634" s="43"/>
      <c r="Y634" s="43"/>
      <c r="Z634" s="43" t="s">
        <v>1113</v>
      </c>
      <c r="AA634" s="43" t="s">
        <v>1113</v>
      </c>
      <c r="AB634" s="43"/>
    </row>
    <row r="635" spans="1:28" ht="14.25" hidden="1" customHeight="1">
      <c r="A635" s="205" t="s">
        <v>1017</v>
      </c>
      <c r="B635" s="181">
        <v>45632</v>
      </c>
      <c r="C635" s="205" t="s">
        <v>1295</v>
      </c>
      <c r="D635" s="205" t="s">
        <v>281</v>
      </c>
      <c r="E635" s="205" t="s">
        <v>199</v>
      </c>
      <c r="F635" s="182">
        <v>-880</v>
      </c>
      <c r="G635" s="165">
        <f t="shared" si="12"/>
        <v>12070.451000000012</v>
      </c>
      <c r="H635" s="205"/>
      <c r="I635" s="205" t="s">
        <v>342</v>
      </c>
      <c r="J635" s="205"/>
      <c r="K635" s="205"/>
      <c r="L635" s="205" t="s">
        <v>366</v>
      </c>
      <c r="M635" s="205"/>
      <c r="N635" s="205" t="s">
        <v>978</v>
      </c>
      <c r="O635" s="205"/>
      <c r="P635" s="205"/>
      <c r="Q635" s="205"/>
      <c r="R635" s="205" t="s">
        <v>1295</v>
      </c>
      <c r="S635" s="205"/>
      <c r="T635" s="206">
        <f t="shared" si="16"/>
        <v>12</v>
      </c>
      <c r="U635" s="184">
        <f t="shared" si="15"/>
        <v>45632</v>
      </c>
      <c r="V635" s="207"/>
      <c r="W635" s="206"/>
      <c r="X635" s="206"/>
      <c r="Y635" s="206"/>
      <c r="Z635" s="206"/>
      <c r="AA635" s="206" t="s">
        <v>1113</v>
      </c>
      <c r="AB635" s="206"/>
    </row>
    <row r="636" spans="1:28" ht="14.25" hidden="1" customHeight="1">
      <c r="A636" s="205" t="s">
        <v>1017</v>
      </c>
      <c r="B636" s="208">
        <v>45632</v>
      </c>
      <c r="C636" s="205" t="s">
        <v>1338</v>
      </c>
      <c r="D636" s="205" t="s">
        <v>281</v>
      </c>
      <c r="E636" s="205" t="s">
        <v>199</v>
      </c>
      <c r="F636" s="182">
        <v>-105</v>
      </c>
      <c r="G636" s="165">
        <f t="shared" si="12"/>
        <v>11965.451000000012</v>
      </c>
      <c r="H636" s="205"/>
      <c r="I636" s="205" t="s">
        <v>977</v>
      </c>
      <c r="J636" s="205"/>
      <c r="K636" s="205"/>
      <c r="L636" s="205" t="s">
        <v>1003</v>
      </c>
      <c r="M636" s="205"/>
      <c r="N636" s="205" t="s">
        <v>978</v>
      </c>
      <c r="O636" s="205"/>
      <c r="P636" s="205"/>
      <c r="Q636" s="205"/>
      <c r="R636" s="205" t="s">
        <v>1011</v>
      </c>
      <c r="S636" s="205" t="s">
        <v>1012</v>
      </c>
      <c r="T636" s="209">
        <f t="shared" si="16"/>
        <v>12</v>
      </c>
      <c r="U636" s="210">
        <f t="shared" si="15"/>
        <v>45632</v>
      </c>
      <c r="V636" s="206"/>
      <c r="W636" s="206"/>
      <c r="X636" s="206"/>
      <c r="Y636" s="206"/>
      <c r="Z636" s="206"/>
      <c r="AA636" s="206" t="s">
        <v>1113</v>
      </c>
      <c r="AB636" s="206"/>
    </row>
    <row r="637" spans="1:28" ht="14.25" hidden="1" customHeight="1">
      <c r="A637" s="163" t="s">
        <v>1017</v>
      </c>
      <c r="B637" s="164">
        <v>45632</v>
      </c>
      <c r="C637" s="163"/>
      <c r="D637" s="163" t="s">
        <v>281</v>
      </c>
      <c r="E637" s="163" t="s">
        <v>1077</v>
      </c>
      <c r="F637" s="168">
        <f>-1.99*2-21.5-3.99</f>
        <v>-29.47</v>
      </c>
      <c r="G637" s="165">
        <f t="shared" si="12"/>
        <v>11935.981000000013</v>
      </c>
      <c r="H637" s="163"/>
      <c r="I637" s="163" t="s">
        <v>342</v>
      </c>
      <c r="J637" s="163"/>
      <c r="K637" s="163"/>
      <c r="L637" s="163" t="s">
        <v>1030</v>
      </c>
      <c r="M637" s="163"/>
      <c r="N637" s="163" t="s">
        <v>978</v>
      </c>
      <c r="O637" s="163"/>
      <c r="P637" s="163"/>
      <c r="Q637" s="163"/>
      <c r="R637" s="163"/>
      <c r="S637" s="163" t="s">
        <v>1076</v>
      </c>
      <c r="T637" s="43">
        <f t="shared" si="16"/>
        <v>12</v>
      </c>
      <c r="U637" s="167">
        <f t="shared" si="15"/>
        <v>45632</v>
      </c>
      <c r="V637" s="43"/>
      <c r="W637" s="43"/>
      <c r="X637" s="43"/>
      <c r="Y637" s="43"/>
      <c r="Z637" s="43" t="s">
        <v>1157</v>
      </c>
      <c r="AA637" s="43"/>
      <c r="AB637" s="43"/>
    </row>
    <row r="638" spans="1:28" ht="14.25" hidden="1" customHeight="1">
      <c r="A638" s="163"/>
      <c r="B638" s="164">
        <v>45632</v>
      </c>
      <c r="C638" s="163" t="s">
        <v>346</v>
      </c>
      <c r="D638" s="163"/>
      <c r="E638" s="163"/>
      <c r="F638" s="165">
        <v>0</v>
      </c>
      <c r="G638" s="165">
        <f t="shared" si="12"/>
        <v>11935.981000000013</v>
      </c>
      <c r="H638" s="163"/>
      <c r="I638" s="163"/>
      <c r="J638" s="163"/>
      <c r="K638" s="163"/>
      <c r="L638" s="163"/>
      <c r="M638" s="163"/>
      <c r="N638" s="163"/>
      <c r="O638" s="163"/>
      <c r="P638" s="163"/>
      <c r="Q638" s="163"/>
      <c r="R638" s="163"/>
      <c r="S638" s="163"/>
      <c r="T638" s="43">
        <f t="shared" si="16"/>
        <v>12</v>
      </c>
      <c r="U638" s="167">
        <f t="shared" si="15"/>
        <v>45632</v>
      </c>
      <c r="V638" s="43"/>
      <c r="W638" s="43"/>
      <c r="X638" s="43"/>
      <c r="Y638" s="43"/>
      <c r="Z638" s="43" t="s">
        <v>1157</v>
      </c>
      <c r="AA638" s="43" t="s">
        <v>1336</v>
      </c>
      <c r="AB638" s="43"/>
    </row>
    <row r="639" spans="1:28" ht="14.25" hidden="1" customHeight="1">
      <c r="A639" s="180" t="s">
        <v>1017</v>
      </c>
      <c r="B639" s="181">
        <v>45635</v>
      </c>
      <c r="C639" s="180" t="s">
        <v>1339</v>
      </c>
      <c r="D639" s="180" t="s">
        <v>281</v>
      </c>
      <c r="E639" s="180" t="s">
        <v>407</v>
      </c>
      <c r="F639" s="186">
        <v>4200</v>
      </c>
      <c r="G639" s="165">
        <f t="shared" si="12"/>
        <v>16135.981000000013</v>
      </c>
      <c r="H639" s="180"/>
      <c r="I639" s="180" t="s">
        <v>342</v>
      </c>
      <c r="J639" s="180"/>
      <c r="K639" s="180"/>
      <c r="L639" s="180" t="s">
        <v>1030</v>
      </c>
      <c r="M639" s="180"/>
      <c r="N639" s="180" t="s">
        <v>978</v>
      </c>
      <c r="O639" s="180"/>
      <c r="P639" s="180"/>
      <c r="Q639" s="180"/>
      <c r="R639" s="180" t="s">
        <v>389</v>
      </c>
      <c r="S639" s="180" t="s">
        <v>390</v>
      </c>
      <c r="T639" s="189">
        <f t="shared" si="16"/>
        <v>12</v>
      </c>
      <c r="U639" s="211">
        <f t="shared" si="15"/>
        <v>45635</v>
      </c>
      <c r="V639" s="183"/>
      <c r="W639" s="183"/>
      <c r="X639" s="183"/>
      <c r="Y639" s="183"/>
      <c r="Z639" s="183" t="s">
        <v>1113</v>
      </c>
      <c r="AA639" s="183" t="s">
        <v>1113</v>
      </c>
      <c r="AB639" s="183"/>
    </row>
    <row r="640" spans="1:28" ht="14.25" hidden="1" customHeight="1">
      <c r="A640" s="163" t="s">
        <v>1174</v>
      </c>
      <c r="B640" s="164">
        <v>45631</v>
      </c>
      <c r="C640" s="163" t="s">
        <v>406</v>
      </c>
      <c r="D640" s="163" t="s">
        <v>281</v>
      </c>
      <c r="E640" s="163" t="s">
        <v>407</v>
      </c>
      <c r="F640" s="165">
        <v>4285.3999999999996</v>
      </c>
      <c r="G640" s="165">
        <f t="shared" si="12"/>
        <v>20421.381000000012</v>
      </c>
      <c r="H640" s="163"/>
      <c r="I640" s="163" t="s">
        <v>1176</v>
      </c>
      <c r="J640" s="163" t="s">
        <v>1340</v>
      </c>
      <c r="K640" s="163"/>
      <c r="L640" s="163" t="s">
        <v>305</v>
      </c>
      <c r="M640" s="163"/>
      <c r="N640" s="163" t="s">
        <v>1178</v>
      </c>
      <c r="O640" s="163" t="s">
        <v>1340</v>
      </c>
      <c r="P640" s="163" t="s">
        <v>57</v>
      </c>
      <c r="Q640" s="163"/>
      <c r="R640" s="163" t="s">
        <v>406</v>
      </c>
      <c r="S640" s="163" t="s">
        <v>413</v>
      </c>
      <c r="T640" s="94">
        <f t="shared" si="16"/>
        <v>12</v>
      </c>
      <c r="U640" s="212">
        <f t="shared" si="15"/>
        <v>45635</v>
      </c>
      <c r="V640" s="213">
        <v>45635</v>
      </c>
      <c r="W640" s="43"/>
      <c r="X640" s="43"/>
      <c r="Y640" s="43"/>
      <c r="Z640" s="43" t="s">
        <v>1113</v>
      </c>
      <c r="AA640" s="43" t="s">
        <v>1113</v>
      </c>
      <c r="AB640" s="43" t="s">
        <v>1341</v>
      </c>
    </row>
    <row r="641" spans="1:28" ht="14.25" hidden="1" customHeight="1">
      <c r="A641" s="163" t="s">
        <v>1017</v>
      </c>
      <c r="B641" s="164">
        <v>45635</v>
      </c>
      <c r="C641" s="163" t="s">
        <v>385</v>
      </c>
      <c r="D641" s="163" t="s">
        <v>281</v>
      </c>
      <c r="E641" s="163" t="s">
        <v>622</v>
      </c>
      <c r="F641" s="204">
        <v>-427.26</v>
      </c>
      <c r="G641" s="165">
        <f t="shared" si="12"/>
        <v>19994.121000000014</v>
      </c>
      <c r="H641" s="163"/>
      <c r="I641" s="163" t="s">
        <v>342</v>
      </c>
      <c r="J641" s="163"/>
      <c r="K641" s="163"/>
      <c r="L641" s="163" t="s">
        <v>1030</v>
      </c>
      <c r="M641" s="163"/>
      <c r="N641" s="163" t="s">
        <v>978</v>
      </c>
      <c r="O641" s="163"/>
      <c r="P641" s="163"/>
      <c r="Q641" s="163"/>
      <c r="R641" s="163" t="s">
        <v>389</v>
      </c>
      <c r="S641" s="163" t="s">
        <v>390</v>
      </c>
      <c r="T641" s="94">
        <f t="shared" si="16"/>
        <v>12</v>
      </c>
      <c r="U641" s="212">
        <f t="shared" si="15"/>
        <v>45635</v>
      </c>
      <c r="V641" s="202"/>
      <c r="W641" s="43"/>
      <c r="X641" s="43"/>
      <c r="Y641" s="43"/>
      <c r="Z641" s="43" t="s">
        <v>1113</v>
      </c>
      <c r="AA641" s="43" t="s">
        <v>1113</v>
      </c>
      <c r="AB641" s="43"/>
    </row>
    <row r="642" spans="1:28" ht="14.25" hidden="1" customHeight="1">
      <c r="A642" s="163" t="s">
        <v>1017</v>
      </c>
      <c r="B642" s="164">
        <v>45635</v>
      </c>
      <c r="C642" s="163" t="s">
        <v>385</v>
      </c>
      <c r="D642" s="163" t="s">
        <v>281</v>
      </c>
      <c r="E642" s="163" t="s">
        <v>622</v>
      </c>
      <c r="F642" s="204">
        <v>-206.46</v>
      </c>
      <c r="G642" s="165">
        <f t="shared" si="12"/>
        <v>19787.661000000015</v>
      </c>
      <c r="H642" s="163"/>
      <c r="I642" s="163" t="s">
        <v>342</v>
      </c>
      <c r="J642" s="163"/>
      <c r="K642" s="163"/>
      <c r="L642" s="163" t="s">
        <v>485</v>
      </c>
      <c r="M642" s="163"/>
      <c r="N642" s="163" t="s">
        <v>978</v>
      </c>
      <c r="O642" s="163"/>
      <c r="P642" s="163"/>
      <c r="Q642" s="163"/>
      <c r="R642" s="163" t="s">
        <v>389</v>
      </c>
      <c r="S642" s="163" t="s">
        <v>390</v>
      </c>
      <c r="T642" s="94">
        <f t="shared" si="16"/>
        <v>12</v>
      </c>
      <c r="U642" s="212">
        <f t="shared" si="15"/>
        <v>45635</v>
      </c>
      <c r="V642" s="202"/>
      <c r="W642" s="43"/>
      <c r="X642" s="43"/>
      <c r="Y642" s="43"/>
      <c r="Z642" s="43" t="s">
        <v>1113</v>
      </c>
      <c r="AA642" s="43" t="s">
        <v>1113</v>
      </c>
      <c r="AB642" s="43"/>
    </row>
    <row r="643" spans="1:28" ht="14.25" hidden="1" customHeight="1">
      <c r="A643" s="163" t="s">
        <v>1017</v>
      </c>
      <c r="B643" s="164">
        <v>45635</v>
      </c>
      <c r="C643" s="163" t="s">
        <v>385</v>
      </c>
      <c r="D643" s="163" t="s">
        <v>281</v>
      </c>
      <c r="E643" s="163" t="s">
        <v>386</v>
      </c>
      <c r="F643" s="168">
        <v>-2061.79</v>
      </c>
      <c r="G643" s="165">
        <f t="shared" si="12"/>
        <v>17725.871000000014</v>
      </c>
      <c r="H643" s="163"/>
      <c r="I643" s="163" t="s">
        <v>342</v>
      </c>
      <c r="J643" s="163"/>
      <c r="K643" s="163"/>
      <c r="L643" s="163" t="s">
        <v>1342</v>
      </c>
      <c r="M643" s="163"/>
      <c r="N643" s="163" t="s">
        <v>978</v>
      </c>
      <c r="O643" s="163"/>
      <c r="P643" s="163"/>
      <c r="Q643" s="163"/>
      <c r="R643" s="163" t="s">
        <v>389</v>
      </c>
      <c r="S643" s="163" t="s">
        <v>390</v>
      </c>
      <c r="T643" s="94">
        <f t="shared" si="16"/>
        <v>12</v>
      </c>
      <c r="U643" s="212">
        <f t="shared" si="15"/>
        <v>45635</v>
      </c>
      <c r="V643" s="202"/>
      <c r="W643" s="43"/>
      <c r="X643" s="43"/>
      <c r="Y643" s="43"/>
      <c r="Z643" s="43" t="s">
        <v>1113</v>
      </c>
      <c r="AA643" s="43" t="s">
        <v>1113</v>
      </c>
      <c r="AB643" s="43"/>
    </row>
    <row r="644" spans="1:28" ht="14.25" hidden="1" customHeight="1">
      <c r="A644" s="163" t="s">
        <v>1017</v>
      </c>
      <c r="B644" s="164">
        <v>45635</v>
      </c>
      <c r="C644" s="163"/>
      <c r="D644" s="163" t="s">
        <v>281</v>
      </c>
      <c r="E644" s="163" t="s">
        <v>1077</v>
      </c>
      <c r="F644" s="168">
        <f>-1.99*2-1</f>
        <v>-4.9800000000000004</v>
      </c>
      <c r="G644" s="165">
        <f t="shared" si="12"/>
        <v>17720.891000000014</v>
      </c>
      <c r="H644" s="163"/>
      <c r="I644" s="163" t="s">
        <v>342</v>
      </c>
      <c r="J644" s="163"/>
      <c r="K644" s="163"/>
      <c r="L644" s="163" t="s">
        <v>1030</v>
      </c>
      <c r="M644" s="163"/>
      <c r="N644" s="163" t="s">
        <v>978</v>
      </c>
      <c r="O644" s="163"/>
      <c r="P644" s="163"/>
      <c r="Q644" s="163"/>
      <c r="R644" s="163"/>
      <c r="S644" s="163" t="s">
        <v>1076</v>
      </c>
      <c r="T644" s="94">
        <f t="shared" si="16"/>
        <v>12</v>
      </c>
      <c r="U644" s="212">
        <f t="shared" si="15"/>
        <v>45635</v>
      </c>
      <c r="V644" s="43"/>
      <c r="W644" s="43"/>
      <c r="X644" s="43"/>
      <c r="Y644" s="43"/>
      <c r="Z644" s="43" t="s">
        <v>1157</v>
      </c>
      <c r="AA644" s="43"/>
      <c r="AB644" s="43"/>
    </row>
    <row r="645" spans="1:28" ht="14.25" hidden="1" customHeight="1">
      <c r="A645" s="163" t="s">
        <v>1017</v>
      </c>
      <c r="B645" s="164">
        <v>45635</v>
      </c>
      <c r="C645" s="163" t="s">
        <v>181</v>
      </c>
      <c r="D645" s="163" t="s">
        <v>281</v>
      </c>
      <c r="E645" s="163" t="s">
        <v>760</v>
      </c>
      <c r="F645" s="204">
        <f>-5583.55-2500</f>
        <v>-8083.55</v>
      </c>
      <c r="G645" s="165">
        <f t="shared" si="12"/>
        <v>9637.3410000000149</v>
      </c>
      <c r="H645" s="163"/>
      <c r="I645" s="163" t="s">
        <v>283</v>
      </c>
      <c r="J645" s="163"/>
      <c r="K645" s="163"/>
      <c r="L645" s="163" t="s">
        <v>366</v>
      </c>
      <c r="M645" s="163"/>
      <c r="N645" s="163" t="s">
        <v>978</v>
      </c>
      <c r="O645" s="163"/>
      <c r="P645" s="163"/>
      <c r="Q645" s="163"/>
      <c r="R645" s="163" t="s">
        <v>764</v>
      </c>
      <c r="S645" s="163" t="s">
        <v>80</v>
      </c>
      <c r="T645" s="94">
        <f t="shared" si="16"/>
        <v>12</v>
      </c>
      <c r="U645" s="212">
        <f t="shared" si="15"/>
        <v>45635</v>
      </c>
      <c r="V645" s="202"/>
      <c r="W645" s="43"/>
      <c r="X645" s="43"/>
      <c r="Y645" s="43"/>
      <c r="Z645" s="43" t="s">
        <v>1113</v>
      </c>
      <c r="AA645" s="43" t="s">
        <v>1113</v>
      </c>
      <c r="AB645" s="43"/>
    </row>
    <row r="646" spans="1:28" ht="14.25" hidden="1" customHeight="1">
      <c r="A646" s="163" t="s">
        <v>1017</v>
      </c>
      <c r="B646" s="164">
        <v>45635</v>
      </c>
      <c r="C646" s="163" t="s">
        <v>698</v>
      </c>
      <c r="D646" s="163" t="s">
        <v>281</v>
      </c>
      <c r="E646" s="163" t="s">
        <v>199</v>
      </c>
      <c r="F646" s="168">
        <v>-879</v>
      </c>
      <c r="G646" s="165">
        <f t="shared" si="12"/>
        <v>8758.3410000000149</v>
      </c>
      <c r="H646" s="163"/>
      <c r="I646" s="163" t="s">
        <v>342</v>
      </c>
      <c r="J646" s="163"/>
      <c r="K646" s="163"/>
      <c r="L646" s="163" t="s">
        <v>1030</v>
      </c>
      <c r="M646" s="163"/>
      <c r="N646" s="163" t="s">
        <v>978</v>
      </c>
      <c r="O646" s="163"/>
      <c r="P646" s="163"/>
      <c r="Q646" s="163"/>
      <c r="R646" s="163" t="s">
        <v>135</v>
      </c>
      <c r="S646" s="163" t="s">
        <v>700</v>
      </c>
      <c r="T646" s="94">
        <f t="shared" si="16"/>
        <v>12</v>
      </c>
      <c r="U646" s="212">
        <f t="shared" si="15"/>
        <v>45635</v>
      </c>
      <c r="V646" s="43"/>
      <c r="W646" s="43"/>
      <c r="X646" s="43"/>
      <c r="Y646" s="43"/>
      <c r="Z646" s="43" t="s">
        <v>1113</v>
      </c>
      <c r="AA646" s="43" t="s">
        <v>1113</v>
      </c>
      <c r="AB646" s="43"/>
    </row>
    <row r="647" spans="1:28" ht="14.25" hidden="1" customHeight="1">
      <c r="A647" s="163" t="s">
        <v>1017</v>
      </c>
      <c r="B647" s="164">
        <v>45635</v>
      </c>
      <c r="C647" s="163" t="s">
        <v>1013</v>
      </c>
      <c r="D647" s="163" t="s">
        <v>281</v>
      </c>
      <c r="E647" s="163" t="s">
        <v>199</v>
      </c>
      <c r="F647" s="214"/>
      <c r="G647" s="165">
        <f t="shared" si="12"/>
        <v>8758.3410000000149</v>
      </c>
      <c r="H647" s="163"/>
      <c r="I647" s="163" t="s">
        <v>977</v>
      </c>
      <c r="J647" s="163"/>
      <c r="K647" s="163"/>
      <c r="L647" s="163" t="s">
        <v>1343</v>
      </c>
      <c r="M647" s="163"/>
      <c r="N647" s="163" t="s">
        <v>978</v>
      </c>
      <c r="O647" s="163"/>
      <c r="P647" s="163"/>
      <c r="Q647" s="163"/>
      <c r="R647" s="163" t="s">
        <v>1015</v>
      </c>
      <c r="S647" s="163" t="s">
        <v>1016</v>
      </c>
      <c r="T647" s="94">
        <f t="shared" si="16"/>
        <v>12</v>
      </c>
      <c r="U647" s="212">
        <f t="shared" si="15"/>
        <v>45635</v>
      </c>
      <c r="V647" s="43"/>
      <c r="W647" s="43"/>
      <c r="X647" s="43"/>
      <c r="Y647" s="43"/>
      <c r="Z647" s="43" t="s">
        <v>1113</v>
      </c>
      <c r="AA647" s="43" t="s">
        <v>1113</v>
      </c>
      <c r="AB647" s="43"/>
    </row>
    <row r="648" spans="1:28" ht="14.25" hidden="1" customHeight="1">
      <c r="A648" s="180" t="s">
        <v>1174</v>
      </c>
      <c r="B648" s="181">
        <v>45635</v>
      </c>
      <c r="C648" s="180" t="s">
        <v>1334</v>
      </c>
      <c r="D648" s="180" t="s">
        <v>281</v>
      </c>
      <c r="E648" s="180" t="s">
        <v>1344</v>
      </c>
      <c r="F648" s="215"/>
      <c r="G648" s="165">
        <f t="shared" si="12"/>
        <v>8758.3410000000149</v>
      </c>
      <c r="H648" s="180"/>
      <c r="I648" s="180" t="s">
        <v>1176</v>
      </c>
      <c r="J648" s="180" t="s">
        <v>1329</v>
      </c>
      <c r="K648" s="180"/>
      <c r="L648" s="180" t="s">
        <v>305</v>
      </c>
      <c r="M648" s="180"/>
      <c r="N648" s="180" t="s">
        <v>1178</v>
      </c>
      <c r="O648" s="180" t="s">
        <v>1329</v>
      </c>
      <c r="P648" s="180" t="s">
        <v>62</v>
      </c>
      <c r="Q648" s="180"/>
      <c r="R648" s="180" t="s">
        <v>655</v>
      </c>
      <c r="S648" s="180" t="s">
        <v>656</v>
      </c>
      <c r="T648" s="189">
        <f t="shared" si="16"/>
        <v>12</v>
      </c>
      <c r="U648" s="211">
        <f t="shared" si="15"/>
        <v>45635</v>
      </c>
      <c r="V648" s="183"/>
      <c r="W648" s="183"/>
      <c r="X648" s="183"/>
      <c r="Y648" s="183"/>
      <c r="Z648" s="183"/>
      <c r="AA648" s="183" t="s">
        <v>1113</v>
      </c>
      <c r="AB648" s="183" t="s">
        <v>1113</v>
      </c>
    </row>
    <row r="649" spans="1:28" hidden="1">
      <c r="A649" s="163"/>
      <c r="B649" s="164">
        <v>45635</v>
      </c>
      <c r="C649" s="163" t="s">
        <v>346</v>
      </c>
      <c r="D649" s="163"/>
      <c r="E649" s="163"/>
      <c r="F649" s="165">
        <v>0</v>
      </c>
      <c r="G649" s="165">
        <f t="shared" si="12"/>
        <v>8758.3410000000149</v>
      </c>
      <c r="H649" s="163"/>
      <c r="I649" s="163"/>
      <c r="J649" s="163"/>
      <c r="K649" s="163"/>
      <c r="L649" s="163"/>
      <c r="M649" s="163"/>
      <c r="N649" s="163"/>
      <c r="O649" s="163"/>
      <c r="P649" s="163"/>
      <c r="Q649" s="163"/>
      <c r="R649" s="163"/>
      <c r="S649" s="163"/>
      <c r="T649" s="94">
        <f t="shared" si="16"/>
        <v>12</v>
      </c>
      <c r="U649" s="212">
        <f t="shared" si="15"/>
        <v>45635</v>
      </c>
      <c r="V649" s="43"/>
      <c r="W649" s="43"/>
      <c r="X649" s="43"/>
      <c r="Y649" s="43"/>
      <c r="Z649" s="43" t="s">
        <v>1157</v>
      </c>
      <c r="AA649" s="43" t="s">
        <v>1157</v>
      </c>
      <c r="AB649" s="43"/>
    </row>
    <row r="650" spans="1:28" ht="14.25" hidden="1" customHeight="1">
      <c r="A650" s="180" t="s">
        <v>279</v>
      </c>
      <c r="B650" s="181">
        <v>45636</v>
      </c>
      <c r="C650" s="180" t="s">
        <v>280</v>
      </c>
      <c r="D650" s="180" t="s">
        <v>281</v>
      </c>
      <c r="E650" s="180" t="s">
        <v>282</v>
      </c>
      <c r="F650" s="186">
        <v>100000</v>
      </c>
      <c r="G650" s="165">
        <f t="shared" si="12"/>
        <v>108758.34100000001</v>
      </c>
      <c r="H650" s="180"/>
      <c r="I650" s="180" t="s">
        <v>283</v>
      </c>
      <c r="J650" s="180" t="s">
        <v>918</v>
      </c>
      <c r="K650" s="180"/>
      <c r="L650" s="180"/>
      <c r="M650" s="180"/>
      <c r="N650" s="180" t="s">
        <v>285</v>
      </c>
      <c r="O650" s="180"/>
      <c r="P650" s="180"/>
      <c r="Q650" s="180"/>
      <c r="R650" s="180" t="s">
        <v>286</v>
      </c>
      <c r="S650" s="180" t="s">
        <v>287</v>
      </c>
      <c r="T650" s="189">
        <f t="shared" si="16"/>
        <v>12</v>
      </c>
      <c r="U650" s="216">
        <f t="shared" si="15"/>
        <v>45636</v>
      </c>
      <c r="V650" s="183"/>
      <c r="W650" s="43"/>
      <c r="X650" s="43"/>
      <c r="Y650" s="43"/>
      <c r="Z650" s="43"/>
      <c r="AA650" s="43" t="s">
        <v>1113</v>
      </c>
      <c r="AB650" s="183"/>
    </row>
    <row r="651" spans="1:28" ht="14.25" hidden="1" customHeight="1">
      <c r="A651" s="163" t="s">
        <v>1017</v>
      </c>
      <c r="B651" s="164">
        <v>45636</v>
      </c>
      <c r="C651" s="163" t="s">
        <v>664</v>
      </c>
      <c r="D651" s="163" t="s">
        <v>281</v>
      </c>
      <c r="E651" s="163" t="s">
        <v>202</v>
      </c>
      <c r="F651" s="169">
        <v>-5500</v>
      </c>
      <c r="G651" s="165">
        <f t="shared" si="12"/>
        <v>103258.34100000001</v>
      </c>
      <c r="H651" s="163"/>
      <c r="I651" s="163" t="s">
        <v>994</v>
      </c>
      <c r="J651" s="163"/>
      <c r="K651" s="163"/>
      <c r="L651" s="163" t="s">
        <v>1030</v>
      </c>
      <c r="M651" s="163"/>
      <c r="N651" s="163" t="s">
        <v>978</v>
      </c>
      <c r="O651" s="163"/>
      <c r="P651" s="163"/>
      <c r="Q651" s="163"/>
      <c r="R651" s="163" t="s">
        <v>666</v>
      </c>
      <c r="S651" s="163" t="s">
        <v>667</v>
      </c>
      <c r="T651" s="94">
        <f t="shared" si="16"/>
        <v>12</v>
      </c>
      <c r="U651" s="212">
        <f t="shared" si="15"/>
        <v>45636</v>
      </c>
      <c r="V651" s="43"/>
      <c r="W651" s="183"/>
      <c r="X651" s="183"/>
      <c r="Y651" s="183"/>
      <c r="Z651" s="183" t="s">
        <v>1113</v>
      </c>
      <c r="AA651" s="183" t="s">
        <v>1113</v>
      </c>
      <c r="AB651" s="183"/>
    </row>
    <row r="652" spans="1:28" ht="14.25" hidden="1" customHeight="1">
      <c r="A652" s="163" t="s">
        <v>1017</v>
      </c>
      <c r="B652" s="164">
        <v>45636</v>
      </c>
      <c r="C652" s="163" t="s">
        <v>326</v>
      </c>
      <c r="D652" s="163" t="s">
        <v>281</v>
      </c>
      <c r="E652" s="163" t="s">
        <v>202</v>
      </c>
      <c r="F652" s="169">
        <v>-6500</v>
      </c>
      <c r="G652" s="165">
        <f t="shared" si="12"/>
        <v>96758.341000000015</v>
      </c>
      <c r="H652" s="163"/>
      <c r="I652" s="163" t="s">
        <v>994</v>
      </c>
      <c r="J652" s="163"/>
      <c r="K652" s="163"/>
      <c r="L652" s="163" t="s">
        <v>1030</v>
      </c>
      <c r="M652" s="163"/>
      <c r="N652" s="163" t="s">
        <v>978</v>
      </c>
      <c r="O652" s="163"/>
      <c r="P652" s="163"/>
      <c r="Q652" s="163"/>
      <c r="R652" s="163" t="s">
        <v>328</v>
      </c>
      <c r="S652" s="163" t="s">
        <v>329</v>
      </c>
      <c r="T652" s="94">
        <f t="shared" si="16"/>
        <v>12</v>
      </c>
      <c r="U652" s="212">
        <f t="shared" si="15"/>
        <v>45636</v>
      </c>
      <c r="V652" s="43"/>
      <c r="W652" s="43"/>
      <c r="X652" s="43"/>
      <c r="Y652" s="43"/>
      <c r="Z652" s="43" t="s">
        <v>1113</v>
      </c>
      <c r="AA652" s="43" t="s">
        <v>1113</v>
      </c>
      <c r="AB652" s="43"/>
    </row>
    <row r="653" spans="1:28" ht="14.25" hidden="1" customHeight="1">
      <c r="A653" s="163" t="s">
        <v>1017</v>
      </c>
      <c r="B653" s="164">
        <v>45636</v>
      </c>
      <c r="C653" s="163" t="s">
        <v>669</v>
      </c>
      <c r="D653" s="163" t="s">
        <v>281</v>
      </c>
      <c r="E653" s="163" t="s">
        <v>202</v>
      </c>
      <c r="F653" s="214"/>
      <c r="G653" s="165">
        <f t="shared" si="12"/>
        <v>96758.341000000015</v>
      </c>
      <c r="H653" s="163"/>
      <c r="I653" s="163" t="s">
        <v>994</v>
      </c>
      <c r="J653" s="163"/>
      <c r="K653" s="163"/>
      <c r="L653" s="163" t="s">
        <v>1030</v>
      </c>
      <c r="M653" s="163"/>
      <c r="N653" s="163" t="s">
        <v>978</v>
      </c>
      <c r="O653" s="163"/>
      <c r="P653" s="163"/>
      <c r="Q653" s="163"/>
      <c r="R653" s="163" t="s">
        <v>671</v>
      </c>
      <c r="S653" s="163" t="s">
        <v>672</v>
      </c>
      <c r="T653" s="94">
        <f t="shared" si="16"/>
        <v>12</v>
      </c>
      <c r="U653" s="212">
        <f t="shared" si="15"/>
        <v>45636</v>
      </c>
      <c r="V653" s="43"/>
      <c r="W653" s="43"/>
      <c r="X653" s="43"/>
      <c r="Y653" s="43"/>
      <c r="Z653" s="43" t="s">
        <v>1113</v>
      </c>
      <c r="AA653" s="43" t="s">
        <v>1113</v>
      </c>
      <c r="AB653" s="43" t="s">
        <v>1345</v>
      </c>
    </row>
    <row r="654" spans="1:28" ht="14.25" hidden="1" customHeight="1">
      <c r="A654" s="163" t="s">
        <v>1017</v>
      </c>
      <c r="B654" s="164">
        <v>45636</v>
      </c>
      <c r="C654" s="163" t="s">
        <v>673</v>
      </c>
      <c r="D654" s="163" t="s">
        <v>281</v>
      </c>
      <c r="E654" s="163" t="s">
        <v>202</v>
      </c>
      <c r="F654" s="169">
        <v>-2500</v>
      </c>
      <c r="G654" s="165">
        <f t="shared" si="12"/>
        <v>94258.341000000015</v>
      </c>
      <c r="H654" s="163"/>
      <c r="I654" s="163" t="s">
        <v>994</v>
      </c>
      <c r="J654" s="163"/>
      <c r="K654" s="163"/>
      <c r="L654" s="163" t="s">
        <v>1030</v>
      </c>
      <c r="M654" s="163"/>
      <c r="N654" s="163" t="s">
        <v>978</v>
      </c>
      <c r="O654" s="163"/>
      <c r="P654" s="163"/>
      <c r="Q654" s="163"/>
      <c r="R654" s="163" t="s">
        <v>675</v>
      </c>
      <c r="S654" s="163" t="s">
        <v>676</v>
      </c>
      <c r="T654" s="94">
        <f t="shared" si="16"/>
        <v>12</v>
      </c>
      <c r="U654" s="212">
        <f t="shared" si="15"/>
        <v>45636</v>
      </c>
      <c r="V654" s="43"/>
      <c r="W654" s="43"/>
      <c r="X654" s="43"/>
      <c r="Y654" s="43"/>
      <c r="Z654" s="43" t="s">
        <v>1113</v>
      </c>
      <c r="AA654" s="43" t="s">
        <v>1113</v>
      </c>
      <c r="AB654" s="43" t="s">
        <v>1346</v>
      </c>
    </row>
    <row r="655" spans="1:28" ht="14.25" hidden="1" customHeight="1">
      <c r="A655" s="163" t="s">
        <v>1017</v>
      </c>
      <c r="B655" s="164">
        <v>45636</v>
      </c>
      <c r="C655" s="163" t="s">
        <v>677</v>
      </c>
      <c r="D655" s="163" t="s">
        <v>281</v>
      </c>
      <c r="E655" s="163" t="s">
        <v>202</v>
      </c>
      <c r="F655" s="169">
        <v>-3500</v>
      </c>
      <c r="G655" s="165">
        <f t="shared" si="12"/>
        <v>90758.341000000015</v>
      </c>
      <c r="H655" s="163"/>
      <c r="I655" s="163" t="s">
        <v>994</v>
      </c>
      <c r="J655" s="163"/>
      <c r="K655" s="163"/>
      <c r="L655" s="163" t="s">
        <v>1030</v>
      </c>
      <c r="M655" s="163"/>
      <c r="N655" s="163" t="s">
        <v>978</v>
      </c>
      <c r="O655" s="163"/>
      <c r="P655" s="163"/>
      <c r="Q655" s="163"/>
      <c r="R655" s="163" t="s">
        <v>679</v>
      </c>
      <c r="S655" s="163" t="s">
        <v>680</v>
      </c>
      <c r="T655" s="94">
        <f t="shared" si="16"/>
        <v>12</v>
      </c>
      <c r="U655" s="212">
        <f t="shared" si="15"/>
        <v>45636</v>
      </c>
      <c r="V655" s="43"/>
      <c r="W655" s="43"/>
      <c r="X655" s="43"/>
      <c r="Y655" s="43"/>
      <c r="Z655" s="43" t="s">
        <v>1113</v>
      </c>
      <c r="AA655" s="43" t="s">
        <v>1113</v>
      </c>
      <c r="AB655" s="194" t="s">
        <v>1347</v>
      </c>
    </row>
    <row r="656" spans="1:28" ht="14.25" hidden="1" customHeight="1">
      <c r="A656" s="163" t="s">
        <v>1017</v>
      </c>
      <c r="B656" s="164">
        <v>45636</v>
      </c>
      <c r="C656" s="163" t="s">
        <v>756</v>
      </c>
      <c r="D656" s="163" t="s">
        <v>281</v>
      </c>
      <c r="E656" s="163" t="s">
        <v>791</v>
      </c>
      <c r="F656" s="169">
        <v>-2266.66</v>
      </c>
      <c r="G656" s="165">
        <f t="shared" si="12"/>
        <v>88491.681000000011</v>
      </c>
      <c r="H656" s="163"/>
      <c r="I656" s="163" t="s">
        <v>283</v>
      </c>
      <c r="J656" s="163"/>
      <c r="K656" s="163"/>
      <c r="L656" s="163" t="s">
        <v>1301</v>
      </c>
      <c r="M656" s="163"/>
      <c r="N656" s="163" t="s">
        <v>978</v>
      </c>
      <c r="O656" s="163"/>
      <c r="P656" s="163"/>
      <c r="Q656" s="163"/>
      <c r="R656" s="163" t="s">
        <v>758</v>
      </c>
      <c r="S656" s="163" t="s">
        <v>759</v>
      </c>
      <c r="T656" s="94">
        <f t="shared" si="16"/>
        <v>12</v>
      </c>
      <c r="U656" s="212">
        <f t="shared" si="15"/>
        <v>45636</v>
      </c>
      <c r="V656" s="43"/>
      <c r="W656" s="43"/>
      <c r="X656" s="43"/>
      <c r="Y656" s="43"/>
      <c r="Z656" s="43" t="s">
        <v>1113</v>
      </c>
      <c r="AA656" s="43" t="s">
        <v>1113</v>
      </c>
      <c r="AB656" s="43" t="s">
        <v>1348</v>
      </c>
    </row>
    <row r="657" spans="1:28" ht="14.25" hidden="1" customHeight="1">
      <c r="A657" s="163" t="s">
        <v>1017</v>
      </c>
      <c r="B657" s="164">
        <v>45636</v>
      </c>
      <c r="C657" s="163" t="s">
        <v>681</v>
      </c>
      <c r="D657" s="163" t="s">
        <v>281</v>
      </c>
      <c r="E657" s="163" t="s">
        <v>202</v>
      </c>
      <c r="F657" s="169">
        <v>-3600</v>
      </c>
      <c r="G657" s="165">
        <f t="shared" si="12"/>
        <v>84891.681000000011</v>
      </c>
      <c r="H657" s="163"/>
      <c r="I657" s="163" t="s">
        <v>994</v>
      </c>
      <c r="J657" s="163"/>
      <c r="K657" s="163"/>
      <c r="L657" s="163" t="s">
        <v>1030</v>
      </c>
      <c r="M657" s="163"/>
      <c r="N657" s="163" t="s">
        <v>978</v>
      </c>
      <c r="O657" s="163"/>
      <c r="P657" s="163"/>
      <c r="Q657" s="163"/>
      <c r="R657" s="163" t="s">
        <v>683</v>
      </c>
      <c r="S657" s="163" t="s">
        <v>684</v>
      </c>
      <c r="T657" s="94">
        <f t="shared" si="16"/>
        <v>12</v>
      </c>
      <c r="U657" s="212">
        <f t="shared" si="15"/>
        <v>45636</v>
      </c>
      <c r="V657" s="167"/>
      <c r="W657" s="43"/>
      <c r="X657" s="43"/>
      <c r="Y657" s="43"/>
      <c r="Z657" s="43" t="s">
        <v>1113</v>
      </c>
      <c r="AA657" s="43" t="s">
        <v>1113</v>
      </c>
      <c r="AB657" s="43" t="s">
        <v>1349</v>
      </c>
    </row>
    <row r="658" spans="1:28" ht="14.25" hidden="1" customHeight="1">
      <c r="A658" s="163" t="s">
        <v>1017</v>
      </c>
      <c r="B658" s="164">
        <v>45636</v>
      </c>
      <c r="C658" s="163" t="s">
        <v>685</v>
      </c>
      <c r="D658" s="163" t="s">
        <v>281</v>
      </c>
      <c r="E658" s="163" t="s">
        <v>202</v>
      </c>
      <c r="F658" s="169">
        <v>-3500</v>
      </c>
      <c r="G658" s="165">
        <f t="shared" si="12"/>
        <v>81391.681000000011</v>
      </c>
      <c r="H658" s="163"/>
      <c r="I658" s="163" t="s">
        <v>994</v>
      </c>
      <c r="J658" s="163"/>
      <c r="K658" s="163"/>
      <c r="L658" s="163" t="s">
        <v>366</v>
      </c>
      <c r="M658" s="163"/>
      <c r="N658" s="163" t="s">
        <v>978</v>
      </c>
      <c r="O658" s="163"/>
      <c r="P658" s="163"/>
      <c r="Q658" s="163"/>
      <c r="R658" s="163" t="s">
        <v>688</v>
      </c>
      <c r="S658" s="163" t="s">
        <v>689</v>
      </c>
      <c r="T658" s="94">
        <f t="shared" si="16"/>
        <v>12</v>
      </c>
      <c r="U658" s="212">
        <f t="shared" si="15"/>
        <v>45636</v>
      </c>
      <c r="V658" s="43"/>
      <c r="W658" s="43"/>
      <c r="X658" s="43"/>
      <c r="Y658" s="43"/>
      <c r="Z658" s="43" t="s">
        <v>1113</v>
      </c>
      <c r="AA658" s="43" t="s">
        <v>1113</v>
      </c>
      <c r="AB658" s="43" t="s">
        <v>1350</v>
      </c>
    </row>
    <row r="659" spans="1:28" ht="14.25" hidden="1" customHeight="1">
      <c r="A659" s="163" t="s">
        <v>1017</v>
      </c>
      <c r="B659" s="164">
        <v>45636</v>
      </c>
      <c r="C659" s="163" t="s">
        <v>690</v>
      </c>
      <c r="D659" s="163" t="s">
        <v>281</v>
      </c>
      <c r="E659" s="163" t="s">
        <v>202</v>
      </c>
      <c r="F659" s="169">
        <v>-3000</v>
      </c>
      <c r="G659" s="165">
        <f t="shared" si="12"/>
        <v>78391.681000000011</v>
      </c>
      <c r="H659" s="163"/>
      <c r="I659" s="163" t="s">
        <v>994</v>
      </c>
      <c r="J659" s="163"/>
      <c r="K659" s="163"/>
      <c r="L659" s="163" t="s">
        <v>366</v>
      </c>
      <c r="M659" s="163"/>
      <c r="N659" s="163" t="s">
        <v>978</v>
      </c>
      <c r="O659" s="163"/>
      <c r="P659" s="163"/>
      <c r="Q659" s="163"/>
      <c r="R659" s="163" t="s">
        <v>692</v>
      </c>
      <c r="S659" s="163" t="s">
        <v>693</v>
      </c>
      <c r="T659" s="94">
        <f t="shared" si="16"/>
        <v>12</v>
      </c>
      <c r="U659" s="212">
        <f t="shared" si="15"/>
        <v>45636</v>
      </c>
      <c r="V659" s="43"/>
      <c r="W659" s="43"/>
      <c r="X659" s="43"/>
      <c r="Y659" s="43"/>
      <c r="Z659" s="43" t="s">
        <v>1113</v>
      </c>
      <c r="AA659" s="43" t="s">
        <v>1113</v>
      </c>
      <c r="AB659" s="43"/>
    </row>
    <row r="660" spans="1:28" ht="14.25" hidden="1" customHeight="1">
      <c r="A660" s="163" t="s">
        <v>1017</v>
      </c>
      <c r="B660" s="164">
        <v>45636</v>
      </c>
      <c r="C660" s="163" t="s">
        <v>312</v>
      </c>
      <c r="D660" s="163" t="s">
        <v>281</v>
      </c>
      <c r="E660" s="163" t="s">
        <v>791</v>
      </c>
      <c r="F660" s="169">
        <v>-6000</v>
      </c>
      <c r="G660" s="165">
        <f t="shared" si="12"/>
        <v>72391.681000000011</v>
      </c>
      <c r="H660" s="163"/>
      <c r="I660" s="163" t="s">
        <v>283</v>
      </c>
      <c r="J660" s="163"/>
      <c r="K660" s="163"/>
      <c r="L660" s="163" t="s">
        <v>1351</v>
      </c>
      <c r="M660" s="163"/>
      <c r="N660" s="163" t="s">
        <v>978</v>
      </c>
      <c r="O660" s="163"/>
      <c r="P660" s="163"/>
      <c r="Q660" s="163"/>
      <c r="R660" s="163" t="s">
        <v>314</v>
      </c>
      <c r="S660" s="163" t="s">
        <v>315</v>
      </c>
      <c r="T660" s="94">
        <f t="shared" si="16"/>
        <v>12</v>
      </c>
      <c r="U660" s="212">
        <f t="shared" si="15"/>
        <v>45636</v>
      </c>
      <c r="V660" s="166"/>
      <c r="W660" s="43"/>
      <c r="X660" s="43"/>
      <c r="Y660" s="43"/>
      <c r="Z660" s="43" t="s">
        <v>1113</v>
      </c>
      <c r="AA660" s="43" t="s">
        <v>1113</v>
      </c>
      <c r="AB660" s="43" t="s">
        <v>1352</v>
      </c>
    </row>
    <row r="661" spans="1:28" ht="14.25" hidden="1" customHeight="1">
      <c r="A661" s="163" t="s">
        <v>1017</v>
      </c>
      <c r="B661" s="164">
        <v>45636</v>
      </c>
      <c r="C661" s="163" t="s">
        <v>751</v>
      </c>
      <c r="D661" s="163" t="s">
        <v>281</v>
      </c>
      <c r="E661" s="163" t="s">
        <v>202</v>
      </c>
      <c r="F661" s="169">
        <v>-6000</v>
      </c>
      <c r="G661" s="165">
        <f t="shared" si="12"/>
        <v>66391.681000000011</v>
      </c>
      <c r="H661" s="163"/>
      <c r="I661" s="163" t="s">
        <v>994</v>
      </c>
      <c r="J661" s="163"/>
      <c r="K661" s="163"/>
      <c r="L661" s="163" t="s">
        <v>766</v>
      </c>
      <c r="M661" s="163"/>
      <c r="N661" s="163" t="s">
        <v>978</v>
      </c>
      <c r="O661" s="163"/>
      <c r="P661" s="163"/>
      <c r="Q661" s="163"/>
      <c r="R661" s="163" t="s">
        <v>753</v>
      </c>
      <c r="S661" s="163" t="s">
        <v>754</v>
      </c>
      <c r="T661" s="94">
        <f t="shared" si="16"/>
        <v>12</v>
      </c>
      <c r="U661" s="212">
        <f t="shared" si="15"/>
        <v>45636</v>
      </c>
      <c r="V661" s="166"/>
      <c r="W661" s="43"/>
      <c r="X661" s="43"/>
      <c r="Y661" s="43"/>
      <c r="Z661" s="43" t="s">
        <v>1113</v>
      </c>
      <c r="AA661" s="43" t="s">
        <v>1113</v>
      </c>
      <c r="AB661" s="43"/>
    </row>
    <row r="662" spans="1:28" ht="14.25" hidden="1" customHeight="1">
      <c r="A662" s="163" t="s">
        <v>1017</v>
      </c>
      <c r="B662" s="164">
        <v>45636</v>
      </c>
      <c r="C662" s="163" t="s">
        <v>307</v>
      </c>
      <c r="D662" s="163" t="s">
        <v>281</v>
      </c>
      <c r="E662" s="163" t="s">
        <v>202</v>
      </c>
      <c r="F662" s="169">
        <v>-6000</v>
      </c>
      <c r="G662" s="165">
        <f t="shared" si="12"/>
        <v>60391.681000000011</v>
      </c>
      <c r="H662" s="163"/>
      <c r="I662" s="163" t="s">
        <v>283</v>
      </c>
      <c r="J662" s="163"/>
      <c r="K662" s="163"/>
      <c r="L662" s="163" t="s">
        <v>766</v>
      </c>
      <c r="M662" s="163"/>
      <c r="N662" s="163" t="s">
        <v>978</v>
      </c>
      <c r="O662" s="163"/>
      <c r="P662" s="163"/>
      <c r="Q662" s="163"/>
      <c r="R662" s="163" t="s">
        <v>310</v>
      </c>
      <c r="S662" s="163" t="s">
        <v>311</v>
      </c>
      <c r="T662" s="94">
        <f t="shared" si="16"/>
        <v>12</v>
      </c>
      <c r="U662" s="173">
        <f t="shared" si="15"/>
        <v>45636</v>
      </c>
      <c r="V662" s="43"/>
      <c r="W662" s="43"/>
      <c r="X662" s="43"/>
      <c r="Y662" s="43"/>
      <c r="Z662" s="43" t="s">
        <v>1113</v>
      </c>
      <c r="AA662" s="43" t="s">
        <v>1113</v>
      </c>
      <c r="AB662" s="43"/>
    </row>
    <row r="663" spans="1:28" ht="14.25" hidden="1" customHeight="1">
      <c r="A663" s="163" t="s">
        <v>1017</v>
      </c>
      <c r="B663" s="164">
        <v>45636</v>
      </c>
      <c r="C663" s="163" t="s">
        <v>154</v>
      </c>
      <c r="D663" s="163" t="s">
        <v>281</v>
      </c>
      <c r="E663" s="163" t="s">
        <v>202</v>
      </c>
      <c r="F663" s="169">
        <v>-3500</v>
      </c>
      <c r="G663" s="165">
        <f t="shared" si="12"/>
        <v>56891.681000000011</v>
      </c>
      <c r="H663" s="163"/>
      <c r="I663" s="163" t="s">
        <v>283</v>
      </c>
      <c r="J663" s="163"/>
      <c r="K663" s="163"/>
      <c r="L663" s="163" t="s">
        <v>766</v>
      </c>
      <c r="M663" s="163"/>
      <c r="N663" s="163" t="s">
        <v>978</v>
      </c>
      <c r="O663" s="163"/>
      <c r="P663" s="163"/>
      <c r="Q663" s="163"/>
      <c r="R663" s="163" t="s">
        <v>702</v>
      </c>
      <c r="S663" s="163" t="s">
        <v>703</v>
      </c>
      <c r="T663" s="94">
        <f t="shared" si="16"/>
        <v>12</v>
      </c>
      <c r="U663" s="212">
        <f t="shared" si="15"/>
        <v>45636</v>
      </c>
      <c r="V663" s="43"/>
      <c r="W663" s="43"/>
      <c r="X663" s="43"/>
      <c r="Y663" s="43"/>
      <c r="Z663" s="43" t="s">
        <v>1113</v>
      </c>
      <c r="AA663" s="43" t="s">
        <v>1113</v>
      </c>
      <c r="AB663" s="43"/>
    </row>
    <row r="664" spans="1:28" ht="14.25" hidden="1" customHeight="1">
      <c r="A664" s="163" t="s">
        <v>1017</v>
      </c>
      <c r="B664" s="164">
        <v>45636</v>
      </c>
      <c r="C664" s="163" t="s">
        <v>704</v>
      </c>
      <c r="D664" s="163" t="s">
        <v>281</v>
      </c>
      <c r="E664" s="163" t="s">
        <v>202</v>
      </c>
      <c r="F664" s="169">
        <v>-4000</v>
      </c>
      <c r="G664" s="165">
        <f t="shared" si="12"/>
        <v>52891.681000000011</v>
      </c>
      <c r="H664" s="163"/>
      <c r="I664" s="163" t="s">
        <v>283</v>
      </c>
      <c r="J664" s="163"/>
      <c r="K664" s="163"/>
      <c r="L664" s="163" t="s">
        <v>766</v>
      </c>
      <c r="M664" s="163"/>
      <c r="N664" s="163" t="s">
        <v>978</v>
      </c>
      <c r="O664" s="163"/>
      <c r="P664" s="163"/>
      <c r="Q664" s="163"/>
      <c r="R664" s="163" t="s">
        <v>706</v>
      </c>
      <c r="S664" s="163" t="s">
        <v>707</v>
      </c>
      <c r="T664" s="94">
        <f t="shared" si="16"/>
        <v>12</v>
      </c>
      <c r="U664" s="173">
        <f t="shared" si="15"/>
        <v>45636</v>
      </c>
      <c r="V664" s="166"/>
      <c r="W664" s="43"/>
      <c r="X664" s="43"/>
      <c r="Y664" s="43"/>
      <c r="Z664" s="43" t="s">
        <v>1113</v>
      </c>
      <c r="AA664" s="43" t="s">
        <v>1113</v>
      </c>
      <c r="AB664" s="43"/>
    </row>
    <row r="665" spans="1:28" ht="14.25" hidden="1" customHeight="1">
      <c r="A665" s="203" t="s">
        <v>1017</v>
      </c>
      <c r="B665" s="217">
        <v>45636</v>
      </c>
      <c r="C665" s="203" t="s">
        <v>984</v>
      </c>
      <c r="D665" s="203" t="s">
        <v>281</v>
      </c>
      <c r="E665" s="203" t="s">
        <v>202</v>
      </c>
      <c r="F665" s="169">
        <v>-8000</v>
      </c>
      <c r="G665" s="165">
        <f t="shared" si="12"/>
        <v>44891.681000000011</v>
      </c>
      <c r="H665" s="203"/>
      <c r="I665" s="203" t="s">
        <v>283</v>
      </c>
      <c r="J665" s="203"/>
      <c r="K665" s="203"/>
      <c r="L665" s="203" t="s">
        <v>485</v>
      </c>
      <c r="M665" s="203"/>
      <c r="N665" s="203" t="s">
        <v>978</v>
      </c>
      <c r="O665" s="203"/>
      <c r="P665" s="203"/>
      <c r="Q665" s="203"/>
      <c r="R665" s="203" t="s">
        <v>710</v>
      </c>
      <c r="S665" s="203" t="s">
        <v>711</v>
      </c>
      <c r="T665" s="218">
        <f t="shared" si="16"/>
        <v>12</v>
      </c>
      <c r="U665" s="219">
        <f t="shared" si="15"/>
        <v>45636</v>
      </c>
      <c r="V665" s="220"/>
      <c r="W665" s="43"/>
      <c r="X665" s="43"/>
      <c r="Y665" s="43"/>
      <c r="Z665" s="43" t="s">
        <v>1113</v>
      </c>
      <c r="AA665" s="43" t="s">
        <v>1113</v>
      </c>
      <c r="AB665" s="43"/>
    </row>
    <row r="666" spans="1:28" ht="14.25" hidden="1" customHeight="1">
      <c r="A666" s="203" t="s">
        <v>1017</v>
      </c>
      <c r="B666" s="217">
        <v>45636</v>
      </c>
      <c r="C666" s="203" t="s">
        <v>1028</v>
      </c>
      <c r="D666" s="203" t="s">
        <v>281</v>
      </c>
      <c r="E666" s="203" t="s">
        <v>202</v>
      </c>
      <c r="F666" s="169">
        <v>-10000</v>
      </c>
      <c r="G666" s="165">
        <f t="shared" si="12"/>
        <v>34891.681000000011</v>
      </c>
      <c r="H666" s="203"/>
      <c r="I666" s="203" t="s">
        <v>283</v>
      </c>
      <c r="J666" s="203"/>
      <c r="K666" s="203"/>
      <c r="L666" s="203" t="s">
        <v>485</v>
      </c>
      <c r="M666" s="203"/>
      <c r="N666" s="203" t="s">
        <v>978</v>
      </c>
      <c r="O666" s="203"/>
      <c r="P666" s="203"/>
      <c r="Q666" s="203"/>
      <c r="R666" s="203" t="s">
        <v>710</v>
      </c>
      <c r="S666" s="203" t="s">
        <v>711</v>
      </c>
      <c r="T666" s="218">
        <f t="shared" si="16"/>
        <v>12</v>
      </c>
      <c r="U666" s="219">
        <f t="shared" si="15"/>
        <v>45636</v>
      </c>
      <c r="V666" s="220"/>
      <c r="W666" s="177"/>
      <c r="X666" s="177"/>
      <c r="Y666" s="177"/>
      <c r="Z666" s="177" t="s">
        <v>1113</v>
      </c>
      <c r="AA666" s="177" t="s">
        <v>1113</v>
      </c>
      <c r="AB666" s="177"/>
    </row>
    <row r="667" spans="1:28" ht="14.25" hidden="1" customHeight="1">
      <c r="A667" s="163" t="s">
        <v>1017</v>
      </c>
      <c r="B667" s="164">
        <v>45636</v>
      </c>
      <c r="C667" s="163" t="s">
        <v>790</v>
      </c>
      <c r="D667" s="163" t="s">
        <v>281</v>
      </c>
      <c r="E667" s="163" t="s">
        <v>791</v>
      </c>
      <c r="F667" s="169">
        <f>-7500</f>
        <v>-7500</v>
      </c>
      <c r="G667" s="165">
        <f t="shared" si="12"/>
        <v>27391.681000000011</v>
      </c>
      <c r="H667" s="163"/>
      <c r="I667" s="163" t="s">
        <v>283</v>
      </c>
      <c r="J667" s="163"/>
      <c r="K667" s="163"/>
      <c r="L667" s="163" t="s">
        <v>805</v>
      </c>
      <c r="M667" s="163"/>
      <c r="N667" s="163" t="s">
        <v>978</v>
      </c>
      <c r="O667" s="163"/>
      <c r="P667" s="163"/>
      <c r="Q667" s="163"/>
      <c r="R667" s="163" t="s">
        <v>792</v>
      </c>
      <c r="S667" s="163" t="s">
        <v>793</v>
      </c>
      <c r="T667" s="94">
        <f t="shared" si="16"/>
        <v>12</v>
      </c>
      <c r="U667" s="173">
        <f t="shared" si="15"/>
        <v>45636</v>
      </c>
      <c r="V667" s="166"/>
      <c r="W667" s="43"/>
      <c r="X667" s="43"/>
      <c r="Y667" s="43"/>
      <c r="Z667" s="43" t="s">
        <v>1113</v>
      </c>
      <c r="AA667" s="43" t="s">
        <v>1113</v>
      </c>
      <c r="AB667" s="43"/>
    </row>
    <row r="668" spans="1:28" ht="14.25" hidden="1" customHeight="1">
      <c r="A668" s="163" t="s">
        <v>1017</v>
      </c>
      <c r="B668" s="164">
        <v>45636</v>
      </c>
      <c r="C668" s="163" t="s">
        <v>799</v>
      </c>
      <c r="D668" s="163" t="s">
        <v>281</v>
      </c>
      <c r="E668" s="163" t="s">
        <v>791</v>
      </c>
      <c r="F668" s="221"/>
      <c r="G668" s="165">
        <f t="shared" si="12"/>
        <v>27391.681000000011</v>
      </c>
      <c r="H668" s="163"/>
      <c r="I668" s="163" t="s">
        <v>283</v>
      </c>
      <c r="J668" s="163"/>
      <c r="K668" s="163"/>
      <c r="L668" s="163" t="s">
        <v>305</v>
      </c>
      <c r="M668" s="163"/>
      <c r="N668" s="163" t="s">
        <v>978</v>
      </c>
      <c r="O668" s="163"/>
      <c r="P668" s="163"/>
      <c r="Q668" s="163"/>
      <c r="R668" s="163" t="s">
        <v>802</v>
      </c>
      <c r="S668" s="163" t="s">
        <v>803</v>
      </c>
      <c r="T668" s="94">
        <f t="shared" si="16"/>
        <v>12</v>
      </c>
      <c r="U668" s="212">
        <f t="shared" si="15"/>
        <v>45636</v>
      </c>
      <c r="V668" s="166"/>
      <c r="W668" s="43"/>
      <c r="X668" s="43"/>
      <c r="Y668" s="43"/>
      <c r="Z668" s="43" t="s">
        <v>1113</v>
      </c>
      <c r="AA668" s="43" t="s">
        <v>1113</v>
      </c>
      <c r="AB668" s="43"/>
    </row>
    <row r="669" spans="1:28" ht="14.25" hidden="1" customHeight="1">
      <c r="A669" s="163" t="s">
        <v>1017</v>
      </c>
      <c r="B669" s="164">
        <v>45636</v>
      </c>
      <c r="C669" s="163" t="s">
        <v>804</v>
      </c>
      <c r="D669" s="163" t="s">
        <v>281</v>
      </c>
      <c r="E669" s="163" t="s">
        <v>791</v>
      </c>
      <c r="F669" s="169">
        <v>-2200</v>
      </c>
      <c r="G669" s="165">
        <f t="shared" si="12"/>
        <v>25191.681000000011</v>
      </c>
      <c r="H669" s="163"/>
      <c r="I669" s="163" t="s">
        <v>283</v>
      </c>
      <c r="J669" s="163"/>
      <c r="K669" s="163"/>
      <c r="L669" s="163" t="s">
        <v>305</v>
      </c>
      <c r="M669" s="163"/>
      <c r="N669" s="163" t="s">
        <v>978</v>
      </c>
      <c r="O669" s="163"/>
      <c r="P669" s="163"/>
      <c r="Q669" s="163"/>
      <c r="R669" s="163" t="s">
        <v>804</v>
      </c>
      <c r="S669" s="163" t="s">
        <v>807</v>
      </c>
      <c r="T669" s="94">
        <f t="shared" si="16"/>
        <v>12</v>
      </c>
      <c r="U669" s="212">
        <f t="shared" si="15"/>
        <v>45636</v>
      </c>
      <c r="V669" s="43"/>
      <c r="W669" s="43"/>
      <c r="X669" s="43"/>
      <c r="Y669" s="43"/>
      <c r="Z669" s="43" t="s">
        <v>1113</v>
      </c>
      <c r="AA669" s="43" t="s">
        <v>1113</v>
      </c>
      <c r="AB669" s="43"/>
    </row>
    <row r="670" spans="1:28" ht="14.25" hidden="1" customHeight="1">
      <c r="A670" s="163" t="s">
        <v>976</v>
      </c>
      <c r="B670" s="181">
        <v>45624</v>
      </c>
      <c r="C670" s="190" t="s">
        <v>1353</v>
      </c>
      <c r="D670" s="163" t="s">
        <v>281</v>
      </c>
      <c r="E670" s="163" t="s">
        <v>760</v>
      </c>
      <c r="F670" s="169">
        <v>-390.31</v>
      </c>
      <c r="G670" s="165">
        <f t="shared" si="12"/>
        <v>24801.37100000001</v>
      </c>
      <c r="H670" s="163"/>
      <c r="I670" s="163" t="s">
        <v>283</v>
      </c>
      <c r="J670" s="163"/>
      <c r="K670" s="163"/>
      <c r="L670" s="163" t="s">
        <v>508</v>
      </c>
      <c r="M670" s="163"/>
      <c r="N670" s="163" t="s">
        <v>978</v>
      </c>
      <c r="O670" s="163"/>
      <c r="P670" s="163"/>
      <c r="Q670" s="163"/>
      <c r="R670" s="163" t="s">
        <v>1354</v>
      </c>
      <c r="S670" s="163" t="s">
        <v>1355</v>
      </c>
      <c r="T670" s="94">
        <f t="shared" si="16"/>
        <v>11</v>
      </c>
      <c r="U670" s="212">
        <f t="shared" si="15"/>
        <v>45636</v>
      </c>
      <c r="V670" s="173">
        <v>45636</v>
      </c>
      <c r="W670" s="43"/>
      <c r="X670" s="43"/>
      <c r="Y670" s="43"/>
      <c r="Z670" s="43" t="s">
        <v>1113</v>
      </c>
      <c r="AA670" s="43" t="s">
        <v>1113</v>
      </c>
      <c r="AB670" s="43"/>
    </row>
    <row r="671" spans="1:28" ht="14.25" hidden="1" customHeight="1">
      <c r="A671" s="180" t="s">
        <v>976</v>
      </c>
      <c r="B671" s="181">
        <v>45636</v>
      </c>
      <c r="C671" s="180" t="s">
        <v>181</v>
      </c>
      <c r="D671" s="180" t="s">
        <v>281</v>
      </c>
      <c r="E671" s="180" t="s">
        <v>760</v>
      </c>
      <c r="F671" s="169">
        <v>-2100</v>
      </c>
      <c r="G671" s="165">
        <f t="shared" si="12"/>
        <v>22701.37100000001</v>
      </c>
      <c r="H671" s="180"/>
      <c r="I671" s="180" t="s">
        <v>283</v>
      </c>
      <c r="J671" s="180"/>
      <c r="K671" s="180"/>
      <c r="L671" s="180" t="s">
        <v>508</v>
      </c>
      <c r="M671" s="180"/>
      <c r="N671" s="180" t="s">
        <v>978</v>
      </c>
      <c r="O671" s="180"/>
      <c r="P671" s="180"/>
      <c r="Q671" s="180"/>
      <c r="R671" s="180" t="s">
        <v>1354</v>
      </c>
      <c r="S671" s="180" t="s">
        <v>1355</v>
      </c>
      <c r="T671" s="189">
        <f t="shared" si="16"/>
        <v>12</v>
      </c>
      <c r="U671" s="211">
        <f t="shared" si="15"/>
        <v>45636</v>
      </c>
      <c r="V671" s="216">
        <v>45636</v>
      </c>
      <c r="W671" s="43"/>
      <c r="X671" s="43"/>
      <c r="Y671" s="43"/>
      <c r="Z671" s="43" t="s">
        <v>1113</v>
      </c>
      <c r="AA671" s="43" t="s">
        <v>1113</v>
      </c>
      <c r="AB671" s="43"/>
    </row>
    <row r="672" spans="1:28" ht="14.25" hidden="1" customHeight="1">
      <c r="A672" s="205" t="s">
        <v>1017</v>
      </c>
      <c r="B672" s="208">
        <v>45632</v>
      </c>
      <c r="C672" s="205" t="s">
        <v>1008</v>
      </c>
      <c r="D672" s="205" t="s">
        <v>281</v>
      </c>
      <c r="E672" s="205" t="s">
        <v>199</v>
      </c>
      <c r="F672" s="182">
        <v>-1500</v>
      </c>
      <c r="G672" s="165">
        <f t="shared" si="12"/>
        <v>21201.37100000001</v>
      </c>
      <c r="H672" s="180"/>
      <c r="I672" s="205" t="s">
        <v>977</v>
      </c>
      <c r="J672" s="180"/>
      <c r="K672" s="180"/>
      <c r="L672" s="205" t="s">
        <v>1003</v>
      </c>
      <c r="M672" s="180"/>
      <c r="N672" s="205" t="s">
        <v>978</v>
      </c>
      <c r="O672" s="180"/>
      <c r="P672" s="180"/>
      <c r="Q672" s="180"/>
      <c r="R672" s="205" t="s">
        <v>1011</v>
      </c>
      <c r="S672" s="205" t="s">
        <v>1012</v>
      </c>
      <c r="T672" s="209">
        <f t="shared" si="16"/>
        <v>12</v>
      </c>
      <c r="U672" s="222">
        <f t="shared" si="15"/>
        <v>45636</v>
      </c>
      <c r="V672" s="223">
        <v>45636</v>
      </c>
      <c r="W672" s="43"/>
      <c r="X672" s="43"/>
      <c r="Y672" s="43"/>
      <c r="Z672" s="43" t="s">
        <v>1113</v>
      </c>
      <c r="AA672" s="43" t="s">
        <v>1113</v>
      </c>
      <c r="AB672" s="43"/>
    </row>
    <row r="673" spans="1:28" ht="14.25" hidden="1" customHeight="1">
      <c r="A673" s="180" t="s">
        <v>1017</v>
      </c>
      <c r="B673" s="181">
        <v>45636</v>
      </c>
      <c r="C673" s="180" t="s">
        <v>1087</v>
      </c>
      <c r="D673" s="180" t="s">
        <v>281</v>
      </c>
      <c r="E673" s="180" t="s">
        <v>1088</v>
      </c>
      <c r="F673" s="182">
        <v>-10000</v>
      </c>
      <c r="G673" s="165">
        <f t="shared" si="12"/>
        <v>11201.37100000001</v>
      </c>
      <c r="H673" s="180"/>
      <c r="I673" s="180" t="s">
        <v>283</v>
      </c>
      <c r="J673" s="180"/>
      <c r="K673" s="180"/>
      <c r="L673" s="180" t="s">
        <v>305</v>
      </c>
      <c r="M673" s="180"/>
      <c r="N673" s="180" t="s">
        <v>978</v>
      </c>
      <c r="O673" s="180"/>
      <c r="P673" s="180"/>
      <c r="Q673" s="180" t="s">
        <v>1067</v>
      </c>
      <c r="R673" s="180" t="s">
        <v>1087</v>
      </c>
      <c r="S673" s="180" t="s">
        <v>1089</v>
      </c>
      <c r="T673" s="189">
        <f t="shared" si="16"/>
        <v>12</v>
      </c>
      <c r="U673" s="211">
        <f t="shared" si="15"/>
        <v>45636</v>
      </c>
      <c r="V673" s="183"/>
      <c r="W673" s="43"/>
      <c r="X673" s="43"/>
      <c r="Y673" s="43"/>
      <c r="Z673" s="43" t="s">
        <v>1113</v>
      </c>
      <c r="AA673" s="43" t="s">
        <v>1113</v>
      </c>
      <c r="AB673" s="43"/>
    </row>
    <row r="674" spans="1:28" ht="14.25" hidden="1" customHeight="1">
      <c r="A674" s="180" t="s">
        <v>1017</v>
      </c>
      <c r="B674" s="181">
        <v>45636</v>
      </c>
      <c r="C674" s="180" t="s">
        <v>307</v>
      </c>
      <c r="D674" s="180" t="s">
        <v>281</v>
      </c>
      <c r="E674" s="180" t="s">
        <v>925</v>
      </c>
      <c r="F674" s="169">
        <v>-391.98</v>
      </c>
      <c r="G674" s="165">
        <f t="shared" si="12"/>
        <v>10809.391000000011</v>
      </c>
      <c r="H674" s="180"/>
      <c r="I674" s="180" t="s">
        <v>283</v>
      </c>
      <c r="J674" s="180"/>
      <c r="K674" s="180"/>
      <c r="L674" s="180" t="s">
        <v>305</v>
      </c>
      <c r="M674" s="180"/>
      <c r="N674" s="180" t="s">
        <v>978</v>
      </c>
      <c r="O674" s="180"/>
      <c r="P674" s="180"/>
      <c r="Q674" s="180" t="s">
        <v>1067</v>
      </c>
      <c r="R674" s="180" t="s">
        <v>1087</v>
      </c>
      <c r="S674" s="180" t="s">
        <v>1089</v>
      </c>
      <c r="T674" s="189">
        <f t="shared" si="16"/>
        <v>12</v>
      </c>
      <c r="U674" s="211">
        <f t="shared" si="15"/>
        <v>45636</v>
      </c>
      <c r="V674" s="183"/>
      <c r="W674" s="43"/>
      <c r="X674" s="43"/>
      <c r="Y674" s="43"/>
      <c r="Z674" s="43" t="s">
        <v>1113</v>
      </c>
      <c r="AA674" s="43" t="s">
        <v>1113</v>
      </c>
      <c r="AB674" s="43"/>
    </row>
    <row r="675" spans="1:28" ht="14.25" hidden="1" customHeight="1">
      <c r="A675" s="163" t="s">
        <v>1017</v>
      </c>
      <c r="B675" s="164">
        <v>45636</v>
      </c>
      <c r="C675" s="163"/>
      <c r="D675" s="163" t="s">
        <v>281</v>
      </c>
      <c r="E675" s="163" t="s">
        <v>1077</v>
      </c>
      <c r="F675" s="168">
        <v>-9.5</v>
      </c>
      <c r="G675" s="165">
        <f t="shared" si="12"/>
        <v>10799.891000000011</v>
      </c>
      <c r="H675" s="163"/>
      <c r="I675" s="163" t="s">
        <v>342</v>
      </c>
      <c r="J675" s="163"/>
      <c r="K675" s="163"/>
      <c r="L675" s="163" t="s">
        <v>1030</v>
      </c>
      <c r="M675" s="163"/>
      <c r="N675" s="163" t="s">
        <v>978</v>
      </c>
      <c r="O675" s="163"/>
      <c r="P675" s="163"/>
      <c r="Q675" s="163"/>
      <c r="R675" s="163"/>
      <c r="S675" s="163" t="s">
        <v>1076</v>
      </c>
      <c r="T675" s="94">
        <f t="shared" si="16"/>
        <v>12</v>
      </c>
      <c r="U675" s="212">
        <f t="shared" si="15"/>
        <v>45636</v>
      </c>
      <c r="V675" s="43"/>
      <c r="W675" s="43"/>
      <c r="X675" s="43"/>
      <c r="Y675" s="43"/>
      <c r="Z675" s="43" t="s">
        <v>1113</v>
      </c>
      <c r="AA675" s="43" t="s">
        <v>1113</v>
      </c>
      <c r="AB675" s="43"/>
    </row>
    <row r="676" spans="1:28" ht="14.25" hidden="1" customHeight="1">
      <c r="A676" s="163"/>
      <c r="B676" s="164">
        <v>45636</v>
      </c>
      <c r="C676" s="163" t="s">
        <v>346</v>
      </c>
      <c r="D676" s="163"/>
      <c r="E676" s="163"/>
      <c r="F676" s="165">
        <v>0</v>
      </c>
      <c r="G676" s="165">
        <f t="shared" si="12"/>
        <v>10799.891000000011</v>
      </c>
      <c r="H676" s="163"/>
      <c r="I676" s="163"/>
      <c r="J676" s="163"/>
      <c r="K676" s="163"/>
      <c r="L676" s="163"/>
      <c r="M676" s="163"/>
      <c r="N676" s="163"/>
      <c r="O676" s="163"/>
      <c r="P676" s="163"/>
      <c r="Q676" s="163"/>
      <c r="R676" s="163"/>
      <c r="S676" s="163"/>
      <c r="T676" s="94">
        <f t="shared" si="16"/>
        <v>12</v>
      </c>
      <c r="U676" s="212">
        <f t="shared" si="15"/>
        <v>45636</v>
      </c>
      <c r="V676" s="166"/>
      <c r="W676" s="43"/>
      <c r="X676" s="43"/>
      <c r="Y676" s="43"/>
      <c r="Z676" s="43" t="s">
        <v>1113</v>
      </c>
      <c r="AA676" s="43" t="s">
        <v>1113</v>
      </c>
      <c r="AB676" s="43"/>
    </row>
    <row r="677" spans="1:28" ht="14.25" hidden="1" customHeight="1">
      <c r="A677" s="163" t="s">
        <v>1174</v>
      </c>
      <c r="B677" s="164">
        <v>45636</v>
      </c>
      <c r="C677" s="163" t="s">
        <v>1356</v>
      </c>
      <c r="D677" s="163" t="s">
        <v>281</v>
      </c>
      <c r="E677" s="163" t="s">
        <v>289</v>
      </c>
      <c r="F677" s="221"/>
      <c r="G677" s="165">
        <f t="shared" si="12"/>
        <v>10799.891000000011</v>
      </c>
      <c r="H677" s="163"/>
      <c r="I677" s="163" t="s">
        <v>1176</v>
      </c>
      <c r="J677" s="163" t="s">
        <v>1357</v>
      </c>
      <c r="K677" s="163"/>
      <c r="L677" s="163" t="s">
        <v>305</v>
      </c>
      <c r="M677" s="163"/>
      <c r="N677" s="163" t="s">
        <v>1178</v>
      </c>
      <c r="O677" s="163" t="s">
        <v>1357</v>
      </c>
      <c r="P677" s="163" t="s">
        <v>1358</v>
      </c>
      <c r="Q677" s="163"/>
      <c r="R677" s="163" t="s">
        <v>1359</v>
      </c>
      <c r="S677" s="163" t="s">
        <v>1360</v>
      </c>
      <c r="T677" s="94">
        <f t="shared" si="16"/>
        <v>12</v>
      </c>
      <c r="U677" s="212">
        <f t="shared" si="15"/>
        <v>45637</v>
      </c>
      <c r="V677" s="213">
        <v>45637</v>
      </c>
      <c r="W677" s="183"/>
      <c r="X677" s="183"/>
      <c r="Y677" s="183"/>
      <c r="Z677" s="183" t="s">
        <v>1113</v>
      </c>
      <c r="AA677" s="183" t="s">
        <v>1113</v>
      </c>
      <c r="AB677" s="183"/>
    </row>
    <row r="678" spans="1:28" ht="14.25" hidden="1" customHeight="1">
      <c r="A678" s="163" t="s">
        <v>1174</v>
      </c>
      <c r="B678" s="164">
        <v>45636</v>
      </c>
      <c r="C678" s="163" t="s">
        <v>821</v>
      </c>
      <c r="D678" s="163" t="s">
        <v>281</v>
      </c>
      <c r="E678" s="163" t="s">
        <v>407</v>
      </c>
      <c r="F678" s="224">
        <v>1950</v>
      </c>
      <c r="G678" s="165">
        <f t="shared" si="12"/>
        <v>12749.891000000011</v>
      </c>
      <c r="H678" s="163"/>
      <c r="I678" s="163" t="s">
        <v>1176</v>
      </c>
      <c r="J678" s="163" t="s">
        <v>1361</v>
      </c>
      <c r="K678" s="163"/>
      <c r="L678" s="163" t="s">
        <v>305</v>
      </c>
      <c r="M678" s="163"/>
      <c r="N678" s="163" t="s">
        <v>1178</v>
      </c>
      <c r="O678" s="163" t="s">
        <v>1361</v>
      </c>
      <c r="P678" s="163" t="s">
        <v>57</v>
      </c>
      <c r="Q678" s="163"/>
      <c r="R678" s="163" t="s">
        <v>826</v>
      </c>
      <c r="S678" s="163" t="s">
        <v>827</v>
      </c>
      <c r="T678" s="94">
        <f t="shared" si="16"/>
        <v>12</v>
      </c>
      <c r="U678" s="212">
        <f t="shared" si="15"/>
        <v>45637</v>
      </c>
      <c r="V678" s="213">
        <v>45637</v>
      </c>
      <c r="W678" s="183"/>
      <c r="X678" s="183"/>
      <c r="Y678" s="183"/>
      <c r="Z678" s="183" t="s">
        <v>1113</v>
      </c>
      <c r="AA678" s="183" t="s">
        <v>1113</v>
      </c>
      <c r="AB678" s="183"/>
    </row>
    <row r="679" spans="1:28" ht="14.25" hidden="1" customHeight="1">
      <c r="A679" s="163" t="s">
        <v>1174</v>
      </c>
      <c r="B679" s="164">
        <v>45636</v>
      </c>
      <c r="C679" s="163" t="s">
        <v>644</v>
      </c>
      <c r="D679" s="163" t="s">
        <v>281</v>
      </c>
      <c r="E679" s="163" t="s">
        <v>407</v>
      </c>
      <c r="F679" s="224">
        <v>3300</v>
      </c>
      <c r="G679" s="165">
        <f t="shared" si="12"/>
        <v>16049.891000000011</v>
      </c>
      <c r="H679" s="163"/>
      <c r="I679" s="163" t="s">
        <v>1176</v>
      </c>
      <c r="J679" s="163" t="s">
        <v>1362</v>
      </c>
      <c r="K679" s="163"/>
      <c r="L679" s="163" t="s">
        <v>305</v>
      </c>
      <c r="M679" s="163"/>
      <c r="N679" s="163" t="s">
        <v>1178</v>
      </c>
      <c r="O679" s="163" t="s">
        <v>1362</v>
      </c>
      <c r="P679" s="163" t="s">
        <v>418</v>
      </c>
      <c r="Q679" s="163"/>
      <c r="R679" s="163" t="s">
        <v>649</v>
      </c>
      <c r="S679" s="163" t="s">
        <v>650</v>
      </c>
      <c r="T679" s="94">
        <f t="shared" si="16"/>
        <v>12</v>
      </c>
      <c r="U679" s="212">
        <f t="shared" si="15"/>
        <v>45637</v>
      </c>
      <c r="V679" s="213">
        <v>45637</v>
      </c>
      <c r="W679" s="43"/>
      <c r="X679" s="43"/>
      <c r="Y679" s="43"/>
      <c r="Z679" s="43" t="s">
        <v>1113</v>
      </c>
      <c r="AA679" s="43" t="s">
        <v>1113</v>
      </c>
      <c r="AB679" s="43"/>
    </row>
    <row r="680" spans="1:28" ht="14.25" hidden="1" customHeight="1">
      <c r="A680" s="163" t="s">
        <v>1174</v>
      </c>
      <c r="B680" s="164">
        <v>45636</v>
      </c>
      <c r="C680" s="163" t="s">
        <v>637</v>
      </c>
      <c r="D680" s="163" t="s">
        <v>281</v>
      </c>
      <c r="E680" s="163" t="s">
        <v>407</v>
      </c>
      <c r="F680" s="221"/>
      <c r="G680" s="165">
        <f t="shared" si="12"/>
        <v>16049.891000000011</v>
      </c>
      <c r="H680" s="163"/>
      <c r="I680" s="163" t="s">
        <v>1176</v>
      </c>
      <c r="J680" s="163" t="s">
        <v>1363</v>
      </c>
      <c r="K680" s="163"/>
      <c r="L680" s="163" t="s">
        <v>305</v>
      </c>
      <c r="M680" s="163"/>
      <c r="N680" s="163" t="s">
        <v>1178</v>
      </c>
      <c r="O680" s="163" t="s">
        <v>1363</v>
      </c>
      <c r="P680" s="163" t="s">
        <v>57</v>
      </c>
      <c r="Q680" s="163"/>
      <c r="R680" s="163" t="s">
        <v>642</v>
      </c>
      <c r="S680" s="163" t="s">
        <v>643</v>
      </c>
      <c r="T680" s="94">
        <f t="shared" si="16"/>
        <v>12</v>
      </c>
      <c r="U680" s="212">
        <f t="shared" si="15"/>
        <v>45637</v>
      </c>
      <c r="V680" s="213">
        <v>45637</v>
      </c>
      <c r="W680" s="43"/>
      <c r="X680" s="43"/>
      <c r="Y680" s="43"/>
      <c r="Z680" s="43" t="s">
        <v>1113</v>
      </c>
      <c r="AA680" s="43" t="s">
        <v>1113</v>
      </c>
      <c r="AB680" s="43"/>
    </row>
    <row r="681" spans="1:28" ht="14.25" hidden="1" customHeight="1">
      <c r="A681" s="163" t="s">
        <v>1174</v>
      </c>
      <c r="B681" s="164">
        <v>45636</v>
      </c>
      <c r="C681" s="163" t="s">
        <v>952</v>
      </c>
      <c r="D681" s="163" t="s">
        <v>281</v>
      </c>
      <c r="E681" s="163" t="s">
        <v>407</v>
      </c>
      <c r="F681" s="224">
        <v>5500</v>
      </c>
      <c r="G681" s="165">
        <f t="shared" si="12"/>
        <v>21549.891000000011</v>
      </c>
      <c r="H681" s="163"/>
      <c r="I681" s="163" t="s">
        <v>1176</v>
      </c>
      <c r="J681" s="163" t="s">
        <v>1364</v>
      </c>
      <c r="K681" s="163"/>
      <c r="L681" s="163" t="s">
        <v>305</v>
      </c>
      <c r="M681" s="163"/>
      <c r="N681" s="163" t="s">
        <v>1178</v>
      </c>
      <c r="O681" s="163" t="s">
        <v>1364</v>
      </c>
      <c r="P681" s="163" t="s">
        <v>957</v>
      </c>
      <c r="Q681" s="163"/>
      <c r="R681" s="163" t="s">
        <v>958</v>
      </c>
      <c r="S681" s="163" t="s">
        <v>959</v>
      </c>
      <c r="T681" s="94">
        <f t="shared" si="16"/>
        <v>12</v>
      </c>
      <c r="U681" s="212">
        <f t="shared" si="15"/>
        <v>45637</v>
      </c>
      <c r="V681" s="213">
        <v>45637</v>
      </c>
      <c r="W681" s="43"/>
      <c r="X681" s="43"/>
      <c r="Y681" s="43"/>
      <c r="Z681" s="43" t="s">
        <v>1113</v>
      </c>
      <c r="AA681" s="43" t="s">
        <v>1113</v>
      </c>
      <c r="AB681" s="43"/>
    </row>
    <row r="682" spans="1:28" ht="14.25" hidden="1" customHeight="1">
      <c r="A682" s="163" t="s">
        <v>1174</v>
      </c>
      <c r="B682" s="164">
        <v>45636</v>
      </c>
      <c r="C682" s="163" t="s">
        <v>625</v>
      </c>
      <c r="D682" s="163" t="s">
        <v>281</v>
      </c>
      <c r="E682" s="163" t="s">
        <v>407</v>
      </c>
      <c r="F682" s="224">
        <v>4200</v>
      </c>
      <c r="G682" s="165">
        <f t="shared" si="12"/>
        <v>25749.891000000011</v>
      </c>
      <c r="H682" s="163"/>
      <c r="I682" s="163" t="s">
        <v>1176</v>
      </c>
      <c r="J682" s="163" t="s">
        <v>1365</v>
      </c>
      <c r="K682" s="163"/>
      <c r="L682" s="163" t="s">
        <v>305</v>
      </c>
      <c r="M682" s="163"/>
      <c r="N682" s="163" t="s">
        <v>1178</v>
      </c>
      <c r="O682" s="163" t="s">
        <v>1365</v>
      </c>
      <c r="P682" s="163" t="s">
        <v>57</v>
      </c>
      <c r="Q682" s="163"/>
      <c r="R682" s="163" t="s">
        <v>630</v>
      </c>
      <c r="S682" s="163" t="s">
        <v>631</v>
      </c>
      <c r="T682" s="94">
        <f t="shared" si="16"/>
        <v>12</v>
      </c>
      <c r="U682" s="212">
        <f t="shared" si="15"/>
        <v>45637</v>
      </c>
      <c r="V682" s="213">
        <v>45637</v>
      </c>
      <c r="W682" s="43"/>
      <c r="X682" s="43"/>
      <c r="Y682" s="43"/>
      <c r="Z682" s="43" t="s">
        <v>1113</v>
      </c>
      <c r="AA682" s="43" t="s">
        <v>1113</v>
      </c>
      <c r="AB682" s="43"/>
    </row>
    <row r="683" spans="1:28" ht="14.25" hidden="1" customHeight="1">
      <c r="A683" s="190" t="s">
        <v>1017</v>
      </c>
      <c r="B683" s="164">
        <v>45642</v>
      </c>
      <c r="C683" s="163" t="s">
        <v>969</v>
      </c>
      <c r="D683" s="163" t="s">
        <v>281</v>
      </c>
      <c r="E683" s="163" t="s">
        <v>407</v>
      </c>
      <c r="F683" s="224">
        <v>3150</v>
      </c>
      <c r="G683" s="165">
        <f t="shared" si="12"/>
        <v>28899.891000000011</v>
      </c>
      <c r="H683" s="163"/>
      <c r="I683" s="163" t="s">
        <v>1176</v>
      </c>
      <c r="J683" s="163" t="s">
        <v>1366</v>
      </c>
      <c r="K683" s="163"/>
      <c r="L683" s="163" t="s">
        <v>305</v>
      </c>
      <c r="M683" s="163"/>
      <c r="N683" s="163" t="s">
        <v>1178</v>
      </c>
      <c r="O683" s="163" t="s">
        <v>1366</v>
      </c>
      <c r="P683" s="163" t="s">
        <v>57</v>
      </c>
      <c r="Q683" s="163"/>
      <c r="R683" s="163" t="s">
        <v>974</v>
      </c>
      <c r="S683" s="163" t="s">
        <v>975</v>
      </c>
      <c r="T683" s="94">
        <f t="shared" si="16"/>
        <v>12</v>
      </c>
      <c r="U683" s="212">
        <f t="shared" si="15"/>
        <v>45637</v>
      </c>
      <c r="V683" s="213">
        <v>45637</v>
      </c>
      <c r="W683" s="43"/>
      <c r="X683" s="43"/>
      <c r="Y683" s="43"/>
      <c r="Z683" s="43" t="s">
        <v>1113</v>
      </c>
      <c r="AA683" s="43" t="s">
        <v>1113</v>
      </c>
      <c r="AB683" s="43"/>
    </row>
    <row r="684" spans="1:28" ht="14.25" hidden="1" customHeight="1">
      <c r="A684" s="163" t="s">
        <v>1017</v>
      </c>
      <c r="B684" s="225">
        <v>45637</v>
      </c>
      <c r="C684" s="190" t="s">
        <v>1367</v>
      </c>
      <c r="D684" s="190" t="s">
        <v>281</v>
      </c>
      <c r="E684" s="190" t="s">
        <v>372</v>
      </c>
      <c r="F684" s="226">
        <v>-780.2</v>
      </c>
      <c r="G684" s="165">
        <f t="shared" si="12"/>
        <v>28119.69100000001</v>
      </c>
      <c r="H684" s="190"/>
      <c r="I684" s="190" t="s">
        <v>283</v>
      </c>
      <c r="J684" s="190"/>
      <c r="K684" s="190"/>
      <c r="L684" s="190" t="s">
        <v>485</v>
      </c>
      <c r="M684" s="190"/>
      <c r="N684" s="190" t="s">
        <v>978</v>
      </c>
      <c r="O684" s="190"/>
      <c r="P684" s="190"/>
      <c r="Q684" s="190"/>
      <c r="R684" s="190" t="s">
        <v>1368</v>
      </c>
      <c r="S684" s="190" t="s">
        <v>1369</v>
      </c>
      <c r="T684" s="94">
        <f t="shared" si="16"/>
        <v>12</v>
      </c>
      <c r="U684" s="212">
        <f t="shared" si="15"/>
        <v>45637</v>
      </c>
      <c r="V684" s="202"/>
      <c r="W684" s="43"/>
      <c r="X684" s="43"/>
      <c r="Y684" s="43"/>
      <c r="Z684" s="43" t="s">
        <v>1113</v>
      </c>
      <c r="AA684" s="43" t="s">
        <v>1113</v>
      </c>
      <c r="AB684" s="43"/>
    </row>
    <row r="685" spans="1:28" ht="14.25" hidden="1" customHeight="1">
      <c r="A685" s="205" t="s">
        <v>1017</v>
      </c>
      <c r="B685" s="164">
        <v>45631</v>
      </c>
      <c r="C685" s="163" t="s">
        <v>1370</v>
      </c>
      <c r="D685" s="163" t="s">
        <v>281</v>
      </c>
      <c r="E685" s="163" t="s">
        <v>199</v>
      </c>
      <c r="F685" s="226">
        <v>-111</v>
      </c>
      <c r="G685" s="165">
        <f t="shared" si="12"/>
        <v>28008.69100000001</v>
      </c>
      <c r="H685" s="163"/>
      <c r="I685" s="163" t="s">
        <v>977</v>
      </c>
      <c r="J685" s="163"/>
      <c r="K685" s="163"/>
      <c r="L685" s="163" t="s">
        <v>366</v>
      </c>
      <c r="M685" s="163"/>
      <c r="N685" s="163" t="s">
        <v>978</v>
      </c>
      <c r="O685" s="163"/>
      <c r="P685" s="163"/>
      <c r="Q685" s="163"/>
      <c r="R685" s="163" t="s">
        <v>1370</v>
      </c>
      <c r="S685" s="163"/>
      <c r="T685" s="94">
        <f t="shared" si="16"/>
        <v>12</v>
      </c>
      <c r="U685" s="212">
        <f t="shared" si="15"/>
        <v>45637</v>
      </c>
      <c r="V685" s="213">
        <v>45637</v>
      </c>
      <c r="W685" s="183"/>
      <c r="X685" s="183"/>
      <c r="Y685" s="183"/>
      <c r="Z685" s="183" t="s">
        <v>1113</v>
      </c>
      <c r="AA685" s="183" t="s">
        <v>1113</v>
      </c>
      <c r="AB685" s="183"/>
    </row>
    <row r="686" spans="1:28" ht="14.25" hidden="1" customHeight="1">
      <c r="A686" s="163" t="s">
        <v>1017</v>
      </c>
      <c r="B686" s="208">
        <v>45632</v>
      </c>
      <c r="C686" s="205" t="s">
        <v>1371</v>
      </c>
      <c r="D686" s="205" t="s">
        <v>281</v>
      </c>
      <c r="E686" s="205" t="s">
        <v>199</v>
      </c>
      <c r="F686" s="226">
        <v>-140</v>
      </c>
      <c r="G686" s="165">
        <f t="shared" si="12"/>
        <v>27868.69100000001</v>
      </c>
      <c r="H686" s="180"/>
      <c r="I686" s="205" t="s">
        <v>977</v>
      </c>
      <c r="J686" s="180"/>
      <c r="K686" s="180"/>
      <c r="L686" s="205" t="s">
        <v>1003</v>
      </c>
      <c r="M686" s="180"/>
      <c r="N686" s="205" t="s">
        <v>978</v>
      </c>
      <c r="O686" s="180"/>
      <c r="P686" s="180"/>
      <c r="Q686" s="180"/>
      <c r="R686" s="205" t="s">
        <v>1011</v>
      </c>
      <c r="S686" s="205" t="s">
        <v>1012</v>
      </c>
      <c r="T686" s="209">
        <f t="shared" si="16"/>
        <v>12</v>
      </c>
      <c r="U686" s="222">
        <f t="shared" si="15"/>
        <v>45637</v>
      </c>
      <c r="V686" s="213">
        <v>45637</v>
      </c>
      <c r="W686" s="206"/>
      <c r="X686" s="206"/>
      <c r="Y686" s="206"/>
      <c r="Z686" s="206" t="s">
        <v>1113</v>
      </c>
      <c r="AA686" s="206" t="s">
        <v>1113</v>
      </c>
      <c r="AB686" s="206"/>
    </row>
    <row r="687" spans="1:28" ht="14.25" hidden="1" customHeight="1">
      <c r="A687" s="180" t="s">
        <v>976</v>
      </c>
      <c r="B687" s="164">
        <v>45638</v>
      </c>
      <c r="C687" s="163" t="s">
        <v>848</v>
      </c>
      <c r="D687" s="163" t="s">
        <v>281</v>
      </c>
      <c r="E687" s="163" t="s">
        <v>791</v>
      </c>
      <c r="F687" s="226">
        <v>-1266.67</v>
      </c>
      <c r="G687" s="165">
        <f t="shared" si="12"/>
        <v>26602.021000000008</v>
      </c>
      <c r="H687" s="163"/>
      <c r="I687" s="163" t="s">
        <v>283</v>
      </c>
      <c r="J687" s="163"/>
      <c r="K687" s="163"/>
      <c r="L687" s="163" t="s">
        <v>305</v>
      </c>
      <c r="M687" s="163"/>
      <c r="N687" s="163" t="s">
        <v>978</v>
      </c>
      <c r="O687" s="163"/>
      <c r="P687" s="163"/>
      <c r="Q687" s="163"/>
      <c r="R687" s="163" t="s">
        <v>850</v>
      </c>
      <c r="S687" s="163" t="s">
        <v>851</v>
      </c>
      <c r="T687" s="94">
        <f t="shared" si="16"/>
        <v>12</v>
      </c>
      <c r="U687" s="212">
        <f t="shared" si="15"/>
        <v>45637</v>
      </c>
      <c r="V687" s="213">
        <v>45637</v>
      </c>
      <c r="W687" s="206"/>
      <c r="X687" s="206"/>
      <c r="Y687" s="206"/>
      <c r="Z687" s="206" t="s">
        <v>1113</v>
      </c>
      <c r="AA687" s="206" t="s">
        <v>1113</v>
      </c>
      <c r="AB687" s="206"/>
    </row>
    <row r="688" spans="1:28" ht="14.25" hidden="1" customHeight="1">
      <c r="A688" s="180" t="s">
        <v>1017</v>
      </c>
      <c r="B688" s="181">
        <v>45637</v>
      </c>
      <c r="C688" s="180" t="s">
        <v>549</v>
      </c>
      <c r="D688" s="180" t="s">
        <v>281</v>
      </c>
      <c r="E688" s="180" t="s">
        <v>308</v>
      </c>
      <c r="F688" s="226">
        <v>-1365.31</v>
      </c>
      <c r="G688" s="165">
        <f t="shared" si="12"/>
        <v>25236.711000000007</v>
      </c>
      <c r="H688" s="180"/>
      <c r="I688" s="180" t="s">
        <v>342</v>
      </c>
      <c r="J688" s="180"/>
      <c r="K688" s="180"/>
      <c r="L688" s="180" t="s">
        <v>305</v>
      </c>
      <c r="M688" s="180"/>
      <c r="N688" s="180" t="s">
        <v>978</v>
      </c>
      <c r="O688" s="180"/>
      <c r="P688" s="180"/>
      <c r="Q688" s="180"/>
      <c r="R688" s="180" t="s">
        <v>940</v>
      </c>
      <c r="S688" s="180" t="s">
        <v>942</v>
      </c>
      <c r="T688" s="189">
        <f t="shared" si="16"/>
        <v>12</v>
      </c>
      <c r="U688" s="211">
        <f t="shared" si="15"/>
        <v>45637</v>
      </c>
      <c r="V688" s="187"/>
      <c r="W688" s="183"/>
      <c r="X688" s="183"/>
      <c r="Y688" s="183"/>
      <c r="Z688" s="183" t="s">
        <v>1113</v>
      </c>
      <c r="AA688" s="183" t="s">
        <v>1336</v>
      </c>
      <c r="AB688" s="183"/>
    </row>
    <row r="689" spans="1:28" ht="14.25" hidden="1" customHeight="1">
      <c r="A689" s="180" t="s">
        <v>1017</v>
      </c>
      <c r="B689" s="181">
        <v>45637</v>
      </c>
      <c r="C689" s="180" t="s">
        <v>111</v>
      </c>
      <c r="D689" s="180" t="s">
        <v>281</v>
      </c>
      <c r="E689" s="180" t="s">
        <v>308</v>
      </c>
      <c r="F689" s="226">
        <v>-360</v>
      </c>
      <c r="G689" s="165">
        <f t="shared" si="12"/>
        <v>24876.711000000007</v>
      </c>
      <c r="H689" s="180"/>
      <c r="I689" s="180" t="s">
        <v>342</v>
      </c>
      <c r="J689" s="180"/>
      <c r="K689" s="180"/>
      <c r="L689" s="180" t="s">
        <v>305</v>
      </c>
      <c r="M689" s="180"/>
      <c r="N689" s="180" t="s">
        <v>978</v>
      </c>
      <c r="O689" s="180"/>
      <c r="P689" s="180"/>
      <c r="Q689" s="180"/>
      <c r="R689" s="180" t="s">
        <v>940</v>
      </c>
      <c r="S689" s="180" t="s">
        <v>942</v>
      </c>
      <c r="T689" s="189">
        <f t="shared" si="16"/>
        <v>12</v>
      </c>
      <c r="U689" s="211">
        <f t="shared" si="15"/>
        <v>45637</v>
      </c>
      <c r="V689" s="187"/>
      <c r="W689" s="183"/>
      <c r="X689" s="183"/>
      <c r="Y689" s="183"/>
      <c r="Z689" s="183" t="s">
        <v>1113</v>
      </c>
      <c r="AA689" s="183" t="s">
        <v>1113</v>
      </c>
      <c r="AB689" s="183"/>
    </row>
    <row r="690" spans="1:28" ht="14.25" hidden="1" customHeight="1">
      <c r="A690" s="180" t="s">
        <v>1017</v>
      </c>
      <c r="B690" s="181">
        <v>45637</v>
      </c>
      <c r="C690" s="180" t="s">
        <v>1372</v>
      </c>
      <c r="D690" s="180" t="s">
        <v>281</v>
      </c>
      <c r="E690" s="180" t="s">
        <v>1373</v>
      </c>
      <c r="F690" s="226">
        <f>-232*2</f>
        <v>-464</v>
      </c>
      <c r="G690" s="165">
        <f t="shared" si="12"/>
        <v>24412.711000000007</v>
      </c>
      <c r="H690" s="180"/>
      <c r="I690" s="180" t="s">
        <v>342</v>
      </c>
      <c r="J690" s="180"/>
      <c r="K690" s="180"/>
      <c r="L690" s="180" t="s">
        <v>1030</v>
      </c>
      <c r="M690" s="180"/>
      <c r="N690" s="180" t="s">
        <v>978</v>
      </c>
      <c r="O690" s="180"/>
      <c r="P690" s="180"/>
      <c r="Q690" s="180"/>
      <c r="R690" s="180"/>
      <c r="S690" s="180" t="s">
        <v>1076</v>
      </c>
      <c r="T690" s="189">
        <f t="shared" si="16"/>
        <v>12</v>
      </c>
      <c r="U690" s="211">
        <f t="shared" si="15"/>
        <v>45637</v>
      </c>
      <c r="V690" s="187"/>
      <c r="W690" s="43"/>
      <c r="X690" s="43"/>
      <c r="Y690" s="43"/>
      <c r="Z690" s="43" t="s">
        <v>1157</v>
      </c>
      <c r="AA690" s="43" t="s">
        <v>1157</v>
      </c>
      <c r="AB690" s="43"/>
    </row>
    <row r="691" spans="1:28" ht="14.25" hidden="1" customHeight="1">
      <c r="A691" s="180" t="s">
        <v>1017</v>
      </c>
      <c r="B691" s="164">
        <v>45637</v>
      </c>
      <c r="C691" s="163"/>
      <c r="D691" s="163" t="s">
        <v>281</v>
      </c>
      <c r="E691" s="163" t="s">
        <v>1077</v>
      </c>
      <c r="F691" s="168">
        <f>-1.99*4-2.5</f>
        <v>-10.46</v>
      </c>
      <c r="G691" s="165">
        <f t="shared" si="12"/>
        <v>24402.251000000007</v>
      </c>
      <c r="H691" s="163"/>
      <c r="I691" s="163" t="s">
        <v>342</v>
      </c>
      <c r="J691" s="163"/>
      <c r="K691" s="163"/>
      <c r="L691" s="163" t="s">
        <v>1030</v>
      </c>
      <c r="M691" s="163"/>
      <c r="N691" s="163" t="s">
        <v>978</v>
      </c>
      <c r="O691" s="163"/>
      <c r="P691" s="163"/>
      <c r="Q691" s="163"/>
      <c r="R691" s="163"/>
      <c r="S691" s="163" t="s">
        <v>1076</v>
      </c>
      <c r="T691" s="94">
        <f t="shared" si="16"/>
        <v>12</v>
      </c>
      <c r="U691" s="212">
        <f t="shared" si="15"/>
        <v>45637</v>
      </c>
      <c r="V691" s="43"/>
      <c r="W691" s="43"/>
      <c r="X691" s="43"/>
      <c r="Y691" s="43"/>
      <c r="Z691" s="43" t="s">
        <v>1113</v>
      </c>
      <c r="AA691" s="43"/>
      <c r="AB691" s="43"/>
    </row>
    <row r="692" spans="1:28" ht="14.25" hidden="1" customHeight="1">
      <c r="A692" s="163" t="s">
        <v>1017</v>
      </c>
      <c r="B692" s="164">
        <v>45637</v>
      </c>
      <c r="C692" s="163" t="s">
        <v>346</v>
      </c>
      <c r="D692" s="163"/>
      <c r="E692" s="163"/>
      <c r="F692" s="165">
        <v>0</v>
      </c>
      <c r="G692" s="165">
        <f t="shared" si="12"/>
        <v>24402.251000000007</v>
      </c>
      <c r="H692" s="163"/>
      <c r="I692" s="163"/>
      <c r="J692" s="163"/>
      <c r="K692" s="163"/>
      <c r="L692" s="163"/>
      <c r="M692" s="163"/>
      <c r="N692" s="163"/>
      <c r="O692" s="163"/>
      <c r="P692" s="163"/>
      <c r="Q692" s="163"/>
      <c r="R692" s="163"/>
      <c r="S692" s="163"/>
      <c r="T692" s="94">
        <f t="shared" si="16"/>
        <v>12</v>
      </c>
      <c r="U692" s="212">
        <f t="shared" si="15"/>
        <v>45637</v>
      </c>
      <c r="V692" s="43"/>
      <c r="W692" s="43"/>
      <c r="X692" s="43"/>
      <c r="Y692" s="43"/>
      <c r="Z692" s="43" t="s">
        <v>1113</v>
      </c>
      <c r="AA692" s="43" t="s">
        <v>1113</v>
      </c>
      <c r="AB692" s="43"/>
    </row>
    <row r="693" spans="1:28" ht="14.25" hidden="1" customHeight="1">
      <c r="A693" s="180" t="s">
        <v>279</v>
      </c>
      <c r="B693" s="181">
        <v>45636</v>
      </c>
      <c r="C693" s="180" t="s">
        <v>280</v>
      </c>
      <c r="D693" s="180" t="s">
        <v>281</v>
      </c>
      <c r="E693" s="180" t="s">
        <v>282</v>
      </c>
      <c r="F693" s="186">
        <v>5000</v>
      </c>
      <c r="G693" s="165">
        <f t="shared" si="12"/>
        <v>29402.251000000007</v>
      </c>
      <c r="H693" s="180"/>
      <c r="I693" s="180" t="s">
        <v>283</v>
      </c>
      <c r="J693" s="180" t="s">
        <v>918</v>
      </c>
      <c r="K693" s="180"/>
      <c r="L693" s="180"/>
      <c r="M693" s="180"/>
      <c r="N693" s="180" t="s">
        <v>285</v>
      </c>
      <c r="O693" s="180"/>
      <c r="P693" s="180"/>
      <c r="Q693" s="180"/>
      <c r="R693" s="180" t="s">
        <v>286</v>
      </c>
      <c r="S693" s="180" t="s">
        <v>287</v>
      </c>
      <c r="T693" s="189">
        <f t="shared" si="16"/>
        <v>12</v>
      </c>
      <c r="U693" s="216">
        <f t="shared" si="15"/>
        <v>45638</v>
      </c>
      <c r="V693" s="213">
        <v>45638</v>
      </c>
      <c r="W693" s="43"/>
      <c r="X693" s="43"/>
      <c r="Y693" s="43"/>
      <c r="Z693" s="43"/>
      <c r="AA693" s="43" t="s">
        <v>1113</v>
      </c>
      <c r="AB693" s="183"/>
    </row>
    <row r="694" spans="1:28" ht="14.25" hidden="1" customHeight="1">
      <c r="A694" s="163"/>
      <c r="B694" s="164">
        <v>45636</v>
      </c>
      <c r="C694" s="163" t="s">
        <v>829</v>
      </c>
      <c r="D694" s="163" t="s">
        <v>281</v>
      </c>
      <c r="E694" s="163" t="s">
        <v>407</v>
      </c>
      <c r="F694" s="165">
        <v>2000</v>
      </c>
      <c r="G694" s="165">
        <f t="shared" si="12"/>
        <v>31402.251000000007</v>
      </c>
      <c r="H694" s="163"/>
      <c r="I694" s="163" t="s">
        <v>1176</v>
      </c>
      <c r="J694" s="163" t="s">
        <v>1374</v>
      </c>
      <c r="K694" s="163"/>
      <c r="L694" s="163" t="s">
        <v>305</v>
      </c>
      <c r="M694" s="163"/>
      <c r="N694" s="163" t="s">
        <v>1178</v>
      </c>
      <c r="O694" s="163" t="s">
        <v>1374</v>
      </c>
      <c r="P694" s="163" t="s">
        <v>351</v>
      </c>
      <c r="Q694" s="163"/>
      <c r="R694" s="163" t="s">
        <v>833</v>
      </c>
      <c r="S694" s="163" t="s">
        <v>834</v>
      </c>
      <c r="T694" s="94">
        <f t="shared" si="16"/>
        <v>12</v>
      </c>
      <c r="U694" s="212">
        <f t="shared" si="15"/>
        <v>45638</v>
      </c>
      <c r="V694" s="213">
        <v>45638</v>
      </c>
      <c r="W694" s="43"/>
      <c r="X694" s="43"/>
      <c r="Y694" s="43"/>
      <c r="Z694" s="43" t="s">
        <v>1113</v>
      </c>
      <c r="AA694" s="43" t="s">
        <v>1113</v>
      </c>
      <c r="AB694" s="43"/>
    </row>
    <row r="695" spans="1:28" ht="14.25" hidden="1" customHeight="1">
      <c r="A695" s="163" t="s">
        <v>1174</v>
      </c>
      <c r="B695" s="181">
        <v>45636</v>
      </c>
      <c r="C695" s="180" t="s">
        <v>1375</v>
      </c>
      <c r="D695" s="180" t="s">
        <v>281</v>
      </c>
      <c r="E695" s="180" t="s">
        <v>407</v>
      </c>
      <c r="F695" s="215"/>
      <c r="G695" s="165">
        <f t="shared" si="12"/>
        <v>31402.251000000007</v>
      </c>
      <c r="H695" s="180"/>
      <c r="I695" s="180" t="s">
        <v>342</v>
      </c>
      <c r="J695" s="180"/>
      <c r="K695" s="180"/>
      <c r="L695" s="180" t="s">
        <v>1030</v>
      </c>
      <c r="M695" s="180"/>
      <c r="N695" s="180" t="s">
        <v>978</v>
      </c>
      <c r="O695" s="180"/>
      <c r="P695" s="180"/>
      <c r="Q695" s="180"/>
      <c r="R695" s="180" t="s">
        <v>389</v>
      </c>
      <c r="S695" s="180" t="s">
        <v>390</v>
      </c>
      <c r="T695" s="189">
        <f t="shared" si="16"/>
        <v>12</v>
      </c>
      <c r="U695" s="211">
        <f t="shared" si="15"/>
        <v>45638</v>
      </c>
      <c r="V695" s="227">
        <v>45638</v>
      </c>
      <c r="W695" s="43"/>
      <c r="X695" s="43"/>
      <c r="Y695" s="43"/>
      <c r="Z695" s="43" t="s">
        <v>1113</v>
      </c>
      <c r="AA695" s="43" t="s">
        <v>1113</v>
      </c>
      <c r="AB695" s="43"/>
    </row>
    <row r="696" spans="1:28" ht="14.25" hidden="1" customHeight="1">
      <c r="A696" s="180" t="s">
        <v>1017</v>
      </c>
      <c r="B696" s="164">
        <v>45636</v>
      </c>
      <c r="C696" s="163" t="s">
        <v>725</v>
      </c>
      <c r="D696" s="163" t="s">
        <v>281</v>
      </c>
      <c r="E696" s="163" t="s">
        <v>202</v>
      </c>
      <c r="F696" s="226">
        <v>-3500</v>
      </c>
      <c r="G696" s="165">
        <f t="shared" si="12"/>
        <v>27902.251000000007</v>
      </c>
      <c r="H696" s="163"/>
      <c r="I696" s="163" t="s">
        <v>283</v>
      </c>
      <c r="J696" s="163"/>
      <c r="K696" s="163"/>
      <c r="L696" s="163" t="s">
        <v>766</v>
      </c>
      <c r="M696" s="163"/>
      <c r="N696" s="163" t="s">
        <v>978</v>
      </c>
      <c r="O696" s="163"/>
      <c r="P696" s="163"/>
      <c r="Q696" s="163"/>
      <c r="R696" s="163" t="s">
        <v>727</v>
      </c>
      <c r="S696" s="163" t="s">
        <v>728</v>
      </c>
      <c r="T696" s="94">
        <f t="shared" si="16"/>
        <v>12</v>
      </c>
      <c r="U696" s="173">
        <f t="shared" si="15"/>
        <v>45638</v>
      </c>
      <c r="V696" s="213">
        <v>45638</v>
      </c>
      <c r="W696" s="183"/>
      <c r="X696" s="183"/>
      <c r="Y696" s="183"/>
      <c r="Z696" s="183" t="s">
        <v>1113</v>
      </c>
      <c r="AA696" s="183"/>
      <c r="AB696" s="183"/>
    </row>
    <row r="697" spans="1:28" ht="14.25" hidden="1" customHeight="1">
      <c r="A697" s="163" t="s">
        <v>1017</v>
      </c>
      <c r="B697" s="164">
        <v>45636</v>
      </c>
      <c r="C697" s="163" t="s">
        <v>708</v>
      </c>
      <c r="D697" s="163" t="s">
        <v>281</v>
      </c>
      <c r="E697" s="163" t="s">
        <v>202</v>
      </c>
      <c r="F697" s="226">
        <v>-8000</v>
      </c>
      <c r="G697" s="165">
        <f t="shared" si="12"/>
        <v>19902.251000000007</v>
      </c>
      <c r="H697" s="163"/>
      <c r="I697" s="163" t="s">
        <v>283</v>
      </c>
      <c r="J697" s="163"/>
      <c r="K697" s="163"/>
      <c r="L697" s="163" t="s">
        <v>485</v>
      </c>
      <c r="M697" s="163"/>
      <c r="N697" s="163" t="s">
        <v>978</v>
      </c>
      <c r="O697" s="163"/>
      <c r="P697" s="163"/>
      <c r="Q697" s="163"/>
      <c r="R697" s="163" t="s">
        <v>710</v>
      </c>
      <c r="S697" s="163" t="s">
        <v>711</v>
      </c>
      <c r="T697" s="94">
        <f t="shared" si="16"/>
        <v>12</v>
      </c>
      <c r="U697" s="173">
        <f t="shared" si="15"/>
        <v>45638</v>
      </c>
      <c r="V697" s="213">
        <v>45638</v>
      </c>
      <c r="W697" s="43"/>
      <c r="X697" s="43"/>
      <c r="Y697" s="43"/>
      <c r="Z697" s="43" t="s">
        <v>1113</v>
      </c>
      <c r="AA697" s="43"/>
      <c r="AB697" s="43"/>
    </row>
    <row r="698" spans="1:28" ht="14.25" hidden="1" customHeight="1">
      <c r="A698" s="163" t="s">
        <v>1017</v>
      </c>
      <c r="B698" s="164">
        <v>45636</v>
      </c>
      <c r="C698" s="163" t="s">
        <v>708</v>
      </c>
      <c r="D698" s="163" t="s">
        <v>281</v>
      </c>
      <c r="E698" s="163" t="s">
        <v>1376</v>
      </c>
      <c r="F698" s="226">
        <f>-5500*0.25-2500*0.1</f>
        <v>-1625</v>
      </c>
      <c r="G698" s="165">
        <f t="shared" si="12"/>
        <v>18277.251000000007</v>
      </c>
      <c r="H698" s="163"/>
      <c r="I698" s="163" t="s">
        <v>1176</v>
      </c>
      <c r="J698" s="163" t="s">
        <v>1364</v>
      </c>
      <c r="K698" s="163"/>
      <c r="L698" s="163" t="s">
        <v>305</v>
      </c>
      <c r="M698" s="163"/>
      <c r="N698" s="163" t="s">
        <v>1178</v>
      </c>
      <c r="O698" s="163" t="s">
        <v>1364</v>
      </c>
      <c r="P698" s="163" t="s">
        <v>957</v>
      </c>
      <c r="Q698" s="163"/>
      <c r="R698" s="163" t="s">
        <v>958</v>
      </c>
      <c r="S698" s="163" t="s">
        <v>959</v>
      </c>
      <c r="T698" s="94">
        <f t="shared" si="16"/>
        <v>12</v>
      </c>
      <c r="U698" s="212">
        <f t="shared" si="15"/>
        <v>45638</v>
      </c>
      <c r="V698" s="213">
        <v>45638</v>
      </c>
      <c r="W698" s="183"/>
      <c r="X698" s="183"/>
      <c r="Y698" s="183"/>
      <c r="Z698" s="183" t="s">
        <v>1113</v>
      </c>
      <c r="AA698" s="183" t="s">
        <v>1113</v>
      </c>
      <c r="AB698" s="183"/>
    </row>
    <row r="699" spans="1:28" ht="14.25" hidden="1" customHeight="1">
      <c r="A699" s="163" t="s">
        <v>1017</v>
      </c>
      <c r="B699" s="181">
        <v>45636</v>
      </c>
      <c r="C699" s="180" t="s">
        <v>1377</v>
      </c>
      <c r="D699" s="180" t="s">
        <v>281</v>
      </c>
      <c r="E699" s="180" t="s">
        <v>1378</v>
      </c>
      <c r="F699" s="226">
        <v>-360</v>
      </c>
      <c r="G699" s="165">
        <f t="shared" si="12"/>
        <v>17917.251000000007</v>
      </c>
      <c r="H699" s="180"/>
      <c r="I699" s="180" t="s">
        <v>283</v>
      </c>
      <c r="J699" s="180"/>
      <c r="K699" s="180"/>
      <c r="L699" s="180" t="s">
        <v>305</v>
      </c>
      <c r="M699" s="180"/>
      <c r="N699" s="180" t="s">
        <v>978</v>
      </c>
      <c r="O699" s="180"/>
      <c r="P699" s="180"/>
      <c r="Q699" s="180" t="s">
        <v>1067</v>
      </c>
      <c r="R699" s="180" t="s">
        <v>1087</v>
      </c>
      <c r="S699" s="180" t="s">
        <v>1089</v>
      </c>
      <c r="T699" s="189">
        <f t="shared" si="16"/>
        <v>12</v>
      </c>
      <c r="U699" s="211">
        <f t="shared" si="15"/>
        <v>45638</v>
      </c>
      <c r="V699" s="213">
        <v>45638</v>
      </c>
      <c r="W699" s="183"/>
      <c r="X699" s="183"/>
      <c r="Y699" s="183"/>
      <c r="Z699" s="183" t="s">
        <v>1113</v>
      </c>
      <c r="AA699" s="183"/>
      <c r="AB699" s="183"/>
    </row>
    <row r="700" spans="1:28" ht="14.25" hidden="1" customHeight="1">
      <c r="A700" s="163" t="s">
        <v>1017</v>
      </c>
      <c r="B700" s="181">
        <v>45624</v>
      </c>
      <c r="C700" s="190" t="s">
        <v>1379</v>
      </c>
      <c r="D700" s="163" t="s">
        <v>281</v>
      </c>
      <c r="E700" s="163" t="s">
        <v>760</v>
      </c>
      <c r="F700" s="228"/>
      <c r="G700" s="165">
        <f t="shared" si="12"/>
        <v>17917.251000000007</v>
      </c>
      <c r="H700" s="163"/>
      <c r="I700" s="163" t="s">
        <v>283</v>
      </c>
      <c r="J700" s="163"/>
      <c r="K700" s="163"/>
      <c r="L700" s="163" t="s">
        <v>508</v>
      </c>
      <c r="M700" s="163"/>
      <c r="N700" s="163" t="s">
        <v>978</v>
      </c>
      <c r="O700" s="163"/>
      <c r="P700" s="163"/>
      <c r="Q700" s="163"/>
      <c r="R700" s="163" t="s">
        <v>1368</v>
      </c>
      <c r="S700" s="163" t="s">
        <v>1369</v>
      </c>
      <c r="T700" s="94">
        <f t="shared" si="16"/>
        <v>11</v>
      </c>
      <c r="U700" s="212">
        <f t="shared" si="15"/>
        <v>45638</v>
      </c>
      <c r="V700" s="213">
        <v>45638</v>
      </c>
      <c r="W700" s="183"/>
      <c r="X700" s="183"/>
      <c r="Y700" s="183"/>
      <c r="Z700" s="183" t="s">
        <v>1113</v>
      </c>
      <c r="AA700" s="183"/>
      <c r="AB700" s="183"/>
    </row>
    <row r="701" spans="1:28" ht="14.25" hidden="1" customHeight="1">
      <c r="A701" s="163" t="s">
        <v>1174</v>
      </c>
      <c r="B701" s="164">
        <v>45637</v>
      </c>
      <c r="C701" s="163" t="s">
        <v>773</v>
      </c>
      <c r="D701" s="163" t="s">
        <v>281</v>
      </c>
      <c r="E701" s="163" t="s">
        <v>760</v>
      </c>
      <c r="F701" s="221"/>
      <c r="G701" s="165">
        <f t="shared" si="12"/>
        <v>17917.251000000007</v>
      </c>
      <c r="H701" s="163"/>
      <c r="I701" s="163" t="s">
        <v>283</v>
      </c>
      <c r="J701" s="163"/>
      <c r="K701" s="163"/>
      <c r="L701" s="163" t="s">
        <v>1030</v>
      </c>
      <c r="M701" s="163"/>
      <c r="N701" s="163" t="s">
        <v>978</v>
      </c>
      <c r="O701" s="163"/>
      <c r="P701" s="163"/>
      <c r="Q701" s="163"/>
      <c r="R701" s="163" t="s">
        <v>775</v>
      </c>
      <c r="S701" s="163" t="s">
        <v>776</v>
      </c>
      <c r="T701" s="94">
        <f t="shared" si="16"/>
        <v>12</v>
      </c>
      <c r="U701" s="212">
        <f t="shared" si="15"/>
        <v>45638</v>
      </c>
      <c r="V701" s="213">
        <v>45638</v>
      </c>
      <c r="W701" s="183"/>
      <c r="X701" s="183"/>
      <c r="Y701" s="183"/>
      <c r="Z701" s="183" t="s">
        <v>1113</v>
      </c>
      <c r="AA701" s="183"/>
      <c r="AB701" s="183"/>
    </row>
    <row r="702" spans="1:28" ht="14.25" hidden="1" customHeight="1">
      <c r="A702" s="163" t="s">
        <v>976</v>
      </c>
      <c r="B702" s="164">
        <v>45636</v>
      </c>
      <c r="C702" s="163" t="s">
        <v>840</v>
      </c>
      <c r="D702" s="163" t="s">
        <v>281</v>
      </c>
      <c r="E702" s="163" t="s">
        <v>841</v>
      </c>
      <c r="F702" s="226">
        <v>-1866.78</v>
      </c>
      <c r="G702" s="165">
        <f t="shared" si="12"/>
        <v>16050.471000000007</v>
      </c>
      <c r="H702" s="163"/>
      <c r="I702" s="163" t="s">
        <v>342</v>
      </c>
      <c r="J702" s="163"/>
      <c r="K702" s="163"/>
      <c r="L702" s="163" t="s">
        <v>1030</v>
      </c>
      <c r="M702" s="163"/>
      <c r="N702" s="163" t="s">
        <v>978</v>
      </c>
      <c r="O702" s="163"/>
      <c r="P702" s="163"/>
      <c r="Q702" s="163"/>
      <c r="R702" s="163" t="s">
        <v>125</v>
      </c>
      <c r="S702" s="163" t="s">
        <v>843</v>
      </c>
      <c r="T702" s="229">
        <f t="shared" si="16"/>
        <v>12</v>
      </c>
      <c r="U702" s="212">
        <f t="shared" si="15"/>
        <v>45638</v>
      </c>
      <c r="V702" s="213">
        <v>45638</v>
      </c>
      <c r="W702" s="43"/>
      <c r="X702" s="43"/>
      <c r="Y702" s="43"/>
      <c r="Z702" s="43" t="s">
        <v>1157</v>
      </c>
      <c r="AA702" s="43"/>
      <c r="AB702" s="43"/>
    </row>
    <row r="703" spans="1:28" ht="14.25" hidden="1" customHeight="1">
      <c r="A703" s="163" t="s">
        <v>1017</v>
      </c>
      <c r="B703" s="181">
        <v>45638</v>
      </c>
      <c r="C703" s="180" t="s">
        <v>1071</v>
      </c>
      <c r="D703" s="180" t="s">
        <v>281</v>
      </c>
      <c r="E703" s="180" t="s">
        <v>356</v>
      </c>
      <c r="F703" s="226">
        <v>-40</v>
      </c>
      <c r="G703" s="165">
        <f t="shared" si="12"/>
        <v>16010.471000000007</v>
      </c>
      <c r="H703" s="180"/>
      <c r="I703" s="180" t="s">
        <v>283</v>
      </c>
      <c r="J703" s="180"/>
      <c r="K703" s="180"/>
      <c r="L703" s="180" t="s">
        <v>305</v>
      </c>
      <c r="M703" s="180"/>
      <c r="N703" s="180" t="s">
        <v>978</v>
      </c>
      <c r="O703" s="180"/>
      <c r="P703" s="180"/>
      <c r="Q703" s="180" t="s">
        <v>1067</v>
      </c>
      <c r="R703" s="180" t="s">
        <v>1087</v>
      </c>
      <c r="S703" s="180" t="s">
        <v>1089</v>
      </c>
      <c r="T703" s="189">
        <f t="shared" si="16"/>
        <v>12</v>
      </c>
      <c r="U703" s="211">
        <f t="shared" si="15"/>
        <v>45638</v>
      </c>
      <c r="V703" s="201"/>
      <c r="W703" s="43"/>
      <c r="X703" s="43"/>
      <c r="Y703" s="43"/>
      <c r="Z703" s="43" t="s">
        <v>1113</v>
      </c>
      <c r="AA703" s="43" t="s">
        <v>1113</v>
      </c>
      <c r="AB703" s="43"/>
    </row>
    <row r="704" spans="1:28" ht="14.25" hidden="1" customHeight="1">
      <c r="A704" s="163" t="s">
        <v>1017</v>
      </c>
      <c r="B704" s="164">
        <v>45638</v>
      </c>
      <c r="C704" s="163"/>
      <c r="D704" s="163" t="s">
        <v>281</v>
      </c>
      <c r="E704" s="163" t="s">
        <v>1077</v>
      </c>
      <c r="F704" s="168">
        <v>-4</v>
      </c>
      <c r="G704" s="165">
        <f t="shared" si="12"/>
        <v>16006.471000000007</v>
      </c>
      <c r="H704" s="163"/>
      <c r="I704" s="163" t="s">
        <v>342</v>
      </c>
      <c r="J704" s="163"/>
      <c r="K704" s="163"/>
      <c r="L704" s="163" t="s">
        <v>1030</v>
      </c>
      <c r="M704" s="163"/>
      <c r="N704" s="163" t="s">
        <v>978</v>
      </c>
      <c r="O704" s="163"/>
      <c r="P704" s="163"/>
      <c r="Q704" s="163"/>
      <c r="R704" s="163"/>
      <c r="S704" s="163" t="s">
        <v>1076</v>
      </c>
      <c r="T704" s="94">
        <f t="shared" si="16"/>
        <v>12</v>
      </c>
      <c r="U704" s="212">
        <f t="shared" si="15"/>
        <v>45638</v>
      </c>
      <c r="V704" s="43"/>
      <c r="W704" s="43"/>
      <c r="X704" s="43"/>
      <c r="Y704" s="43"/>
      <c r="Z704" s="43" t="s">
        <v>1113</v>
      </c>
      <c r="AA704" s="43" t="s">
        <v>1113</v>
      </c>
      <c r="AB704" s="43"/>
    </row>
    <row r="705" spans="1:28" ht="14.25" hidden="1" customHeight="1">
      <c r="A705" s="180" t="s">
        <v>1017</v>
      </c>
      <c r="B705" s="181">
        <v>45638</v>
      </c>
      <c r="C705" s="180" t="s">
        <v>1380</v>
      </c>
      <c r="D705" s="180" t="s">
        <v>281</v>
      </c>
      <c r="E705" s="180" t="s">
        <v>1381</v>
      </c>
      <c r="F705" s="226">
        <v>-77.64</v>
      </c>
      <c r="G705" s="165">
        <f t="shared" si="12"/>
        <v>15928.831000000007</v>
      </c>
      <c r="H705" s="180"/>
      <c r="I705" s="180" t="s">
        <v>283</v>
      </c>
      <c r="J705" s="180"/>
      <c r="K705" s="180"/>
      <c r="L705" s="180" t="s">
        <v>305</v>
      </c>
      <c r="M705" s="180"/>
      <c r="N705" s="180" t="s">
        <v>978</v>
      </c>
      <c r="O705" s="180"/>
      <c r="P705" s="180"/>
      <c r="Q705" s="180" t="s">
        <v>1067</v>
      </c>
      <c r="R705" s="180" t="s">
        <v>1087</v>
      </c>
      <c r="S705" s="180" t="s">
        <v>1089</v>
      </c>
      <c r="T705" s="189">
        <f t="shared" si="16"/>
        <v>12</v>
      </c>
      <c r="U705" s="211">
        <f t="shared" si="15"/>
        <v>45638</v>
      </c>
      <c r="V705" s="187"/>
      <c r="W705" s="43"/>
      <c r="X705" s="43"/>
      <c r="Y705" s="43"/>
      <c r="Z705" s="43" t="s">
        <v>1113</v>
      </c>
      <c r="AA705" s="43" t="s">
        <v>1113</v>
      </c>
      <c r="AB705" s="43"/>
    </row>
    <row r="706" spans="1:28" ht="14.25" hidden="1" customHeight="1">
      <c r="A706" s="180" t="s">
        <v>1017</v>
      </c>
      <c r="B706" s="181">
        <v>45638</v>
      </c>
      <c r="C706" s="180" t="s">
        <v>176</v>
      </c>
      <c r="D706" s="180" t="s">
        <v>281</v>
      </c>
      <c r="E706" s="180" t="s">
        <v>1381</v>
      </c>
      <c r="F706" s="226">
        <v>-217.89</v>
      </c>
      <c r="G706" s="165">
        <f t="shared" si="12"/>
        <v>15710.941000000008</v>
      </c>
      <c r="H706" s="180"/>
      <c r="I706" s="180" t="s">
        <v>283</v>
      </c>
      <c r="J706" s="180"/>
      <c r="K706" s="180"/>
      <c r="L706" s="180" t="s">
        <v>305</v>
      </c>
      <c r="M706" s="180"/>
      <c r="N706" s="180" t="s">
        <v>978</v>
      </c>
      <c r="O706" s="180"/>
      <c r="P706" s="180"/>
      <c r="Q706" s="180" t="s">
        <v>1067</v>
      </c>
      <c r="R706" s="180" t="s">
        <v>1087</v>
      </c>
      <c r="S706" s="180" t="s">
        <v>1089</v>
      </c>
      <c r="T706" s="189">
        <f t="shared" si="16"/>
        <v>12</v>
      </c>
      <c r="U706" s="211">
        <f t="shared" si="15"/>
        <v>45638</v>
      </c>
      <c r="V706" s="187"/>
      <c r="W706" s="43"/>
      <c r="X706" s="43"/>
      <c r="Y706" s="43"/>
      <c r="Z706" s="43" t="s">
        <v>1113</v>
      </c>
      <c r="AA706" s="43" t="s">
        <v>1113</v>
      </c>
      <c r="AB706" s="43"/>
    </row>
    <row r="707" spans="1:28" ht="14.25" hidden="1" customHeight="1">
      <c r="A707" s="180" t="s">
        <v>1017</v>
      </c>
      <c r="B707" s="181">
        <v>45638</v>
      </c>
      <c r="C707" s="180" t="s">
        <v>1382</v>
      </c>
      <c r="D707" s="180" t="s">
        <v>281</v>
      </c>
      <c r="E707" s="180" t="s">
        <v>308</v>
      </c>
      <c r="F707" s="226">
        <v>-4724.9799999999996</v>
      </c>
      <c r="G707" s="165">
        <f t="shared" si="12"/>
        <v>10985.961000000008</v>
      </c>
      <c r="H707" s="180"/>
      <c r="I707" s="180" t="s">
        <v>342</v>
      </c>
      <c r="J707" s="180"/>
      <c r="K707" s="180"/>
      <c r="L707" s="180" t="s">
        <v>305</v>
      </c>
      <c r="M707" s="180"/>
      <c r="N707" s="180" t="s">
        <v>978</v>
      </c>
      <c r="O707" s="180"/>
      <c r="P707" s="180"/>
      <c r="Q707" s="180"/>
      <c r="R707" s="180" t="s">
        <v>940</v>
      </c>
      <c r="S707" s="180" t="s">
        <v>942</v>
      </c>
      <c r="T707" s="189">
        <f t="shared" si="16"/>
        <v>12</v>
      </c>
      <c r="U707" s="211">
        <f t="shared" si="15"/>
        <v>45638</v>
      </c>
      <c r="V707" s="187"/>
      <c r="W707" s="183"/>
      <c r="X707" s="183"/>
      <c r="Y707" s="183"/>
      <c r="Z707" s="183" t="s">
        <v>1113</v>
      </c>
      <c r="AA707" s="183" t="s">
        <v>1336</v>
      </c>
      <c r="AB707" s="183"/>
    </row>
    <row r="708" spans="1:28" ht="14.25" hidden="1" customHeight="1">
      <c r="A708" s="163"/>
      <c r="B708" s="181">
        <v>45636</v>
      </c>
      <c r="C708" s="180" t="s">
        <v>1087</v>
      </c>
      <c r="D708" s="180" t="s">
        <v>281</v>
      </c>
      <c r="E708" s="180" t="s">
        <v>1088</v>
      </c>
      <c r="F708" s="226">
        <v>-10000</v>
      </c>
      <c r="G708" s="165">
        <f t="shared" si="12"/>
        <v>985.96100000000843</v>
      </c>
      <c r="H708" s="180"/>
      <c r="I708" s="180" t="s">
        <v>283</v>
      </c>
      <c r="J708" s="180"/>
      <c r="K708" s="180"/>
      <c r="L708" s="180" t="s">
        <v>305</v>
      </c>
      <c r="M708" s="180"/>
      <c r="N708" s="180" t="s">
        <v>978</v>
      </c>
      <c r="O708" s="180"/>
      <c r="P708" s="180"/>
      <c r="Q708" s="180" t="s">
        <v>1067</v>
      </c>
      <c r="R708" s="180" t="s">
        <v>1087</v>
      </c>
      <c r="S708" s="180" t="s">
        <v>1089</v>
      </c>
      <c r="T708" s="189">
        <f t="shared" si="16"/>
        <v>12</v>
      </c>
      <c r="U708" s="211">
        <f t="shared" si="15"/>
        <v>45638</v>
      </c>
      <c r="V708" s="213">
        <v>45638</v>
      </c>
      <c r="W708" s="183"/>
      <c r="X708" s="183"/>
      <c r="Y708" s="183"/>
      <c r="Z708" s="183" t="s">
        <v>1113</v>
      </c>
      <c r="AA708" s="183" t="s">
        <v>1113</v>
      </c>
      <c r="AB708" s="183"/>
    </row>
    <row r="709" spans="1:28" ht="14.25" hidden="1" customHeight="1">
      <c r="A709" s="163" t="s">
        <v>1174</v>
      </c>
      <c r="B709" s="164">
        <v>45638</v>
      </c>
      <c r="C709" s="163" t="s">
        <v>346</v>
      </c>
      <c r="D709" s="163"/>
      <c r="E709" s="163"/>
      <c r="F709" s="165">
        <v>0</v>
      </c>
      <c r="G709" s="165">
        <f t="shared" si="12"/>
        <v>985.96100000000843</v>
      </c>
      <c r="H709" s="163"/>
      <c r="I709" s="163"/>
      <c r="J709" s="163"/>
      <c r="K709" s="163"/>
      <c r="L709" s="163"/>
      <c r="M709" s="163"/>
      <c r="N709" s="163"/>
      <c r="O709" s="163"/>
      <c r="P709" s="163"/>
      <c r="Q709" s="163"/>
      <c r="R709" s="163"/>
      <c r="S709" s="163"/>
      <c r="T709" s="94">
        <f t="shared" si="16"/>
        <v>12</v>
      </c>
      <c r="U709" s="212">
        <f t="shared" si="15"/>
        <v>45638</v>
      </c>
      <c r="V709" s="202"/>
      <c r="W709" s="183"/>
      <c r="X709" s="183"/>
      <c r="Y709" s="183"/>
      <c r="Z709" s="183" t="s">
        <v>1113</v>
      </c>
      <c r="AA709" s="183" t="s">
        <v>1113</v>
      </c>
      <c r="AB709" s="183"/>
    </row>
    <row r="710" spans="1:28" ht="14.25" hidden="1" customHeight="1">
      <c r="A710" s="163" t="s">
        <v>1017</v>
      </c>
      <c r="B710" s="164">
        <v>45636</v>
      </c>
      <c r="C710" s="163" t="s">
        <v>736</v>
      </c>
      <c r="D710" s="163" t="s">
        <v>281</v>
      </c>
      <c r="E710" s="163" t="s">
        <v>407</v>
      </c>
      <c r="F710" s="165">
        <v>3150</v>
      </c>
      <c r="G710" s="165">
        <f t="shared" si="12"/>
        <v>4135.9610000000084</v>
      </c>
      <c r="H710" s="163"/>
      <c r="I710" s="163" t="s">
        <v>1176</v>
      </c>
      <c r="J710" s="163" t="s">
        <v>1383</v>
      </c>
      <c r="K710" s="163"/>
      <c r="L710" s="163" t="s">
        <v>305</v>
      </c>
      <c r="M710" s="163"/>
      <c r="N710" s="163" t="s">
        <v>1178</v>
      </c>
      <c r="O710" s="163" t="s">
        <v>1383</v>
      </c>
      <c r="P710" s="163" t="s">
        <v>57</v>
      </c>
      <c r="Q710" s="163"/>
      <c r="R710" s="163" t="s">
        <v>741</v>
      </c>
      <c r="S710" s="163" t="s">
        <v>742</v>
      </c>
      <c r="T710" s="94">
        <f t="shared" si="16"/>
        <v>12</v>
      </c>
      <c r="U710" s="212">
        <f t="shared" si="15"/>
        <v>45639</v>
      </c>
      <c r="V710" s="213">
        <v>45639</v>
      </c>
      <c r="W710" s="43"/>
      <c r="X710" s="43"/>
      <c r="Y710" s="43"/>
      <c r="Z710" s="43" t="s">
        <v>1157</v>
      </c>
      <c r="AA710" s="43"/>
      <c r="AB710" s="43"/>
    </row>
    <row r="711" spans="1:28" ht="14.25" hidden="1" customHeight="1">
      <c r="A711" s="180" t="s">
        <v>279</v>
      </c>
      <c r="B711" s="181">
        <v>45636</v>
      </c>
      <c r="C711" s="180" t="s">
        <v>280</v>
      </c>
      <c r="D711" s="180" t="s">
        <v>281</v>
      </c>
      <c r="E711" s="180" t="s">
        <v>282</v>
      </c>
      <c r="F711" s="186">
        <v>20000</v>
      </c>
      <c r="G711" s="165">
        <f t="shared" si="12"/>
        <v>24135.96100000001</v>
      </c>
      <c r="H711" s="180"/>
      <c r="I711" s="180" t="s">
        <v>283</v>
      </c>
      <c r="J711" s="180" t="s">
        <v>918</v>
      </c>
      <c r="K711" s="180"/>
      <c r="L711" s="180"/>
      <c r="M711" s="180"/>
      <c r="N711" s="180" t="s">
        <v>285</v>
      </c>
      <c r="O711" s="180"/>
      <c r="P711" s="180"/>
      <c r="Q711" s="180"/>
      <c r="R711" s="180" t="s">
        <v>286</v>
      </c>
      <c r="S711" s="180" t="s">
        <v>287</v>
      </c>
      <c r="T711" s="189">
        <f t="shared" si="16"/>
        <v>12</v>
      </c>
      <c r="U711" s="216">
        <f t="shared" si="15"/>
        <v>45639</v>
      </c>
      <c r="V711" s="213">
        <v>45639</v>
      </c>
      <c r="W711" s="43"/>
      <c r="X711" s="43"/>
      <c r="Y711" s="43"/>
      <c r="Z711" s="43"/>
      <c r="AA711" s="43" t="s">
        <v>1113</v>
      </c>
      <c r="AB711" s="183"/>
    </row>
    <row r="712" spans="1:28" ht="14.25" hidden="1" customHeight="1">
      <c r="A712" s="163" t="s">
        <v>1017</v>
      </c>
      <c r="B712" s="164">
        <v>45638</v>
      </c>
      <c r="C712" s="163" t="s">
        <v>778</v>
      </c>
      <c r="D712" s="163" t="s">
        <v>281</v>
      </c>
      <c r="E712" s="163" t="s">
        <v>760</v>
      </c>
      <c r="F712" s="226">
        <v>-1181.05</v>
      </c>
      <c r="G712" s="165">
        <f t="shared" si="12"/>
        <v>22954.911000000011</v>
      </c>
      <c r="H712" s="163"/>
      <c r="I712" s="163" t="s">
        <v>283</v>
      </c>
      <c r="J712" s="163"/>
      <c r="K712" s="163"/>
      <c r="L712" s="163" t="s">
        <v>366</v>
      </c>
      <c r="M712" s="163"/>
      <c r="N712" s="163" t="s">
        <v>978</v>
      </c>
      <c r="O712" s="163"/>
      <c r="P712" s="163"/>
      <c r="Q712" s="163"/>
      <c r="R712" s="163" t="s">
        <v>780</v>
      </c>
      <c r="S712" s="163" t="s">
        <v>781</v>
      </c>
      <c r="T712" s="94">
        <f t="shared" si="16"/>
        <v>12</v>
      </c>
      <c r="U712" s="212">
        <f t="shared" si="15"/>
        <v>45639</v>
      </c>
      <c r="V712" s="213">
        <v>45639</v>
      </c>
      <c r="W712" s="43"/>
      <c r="X712" s="43"/>
      <c r="Y712" s="43"/>
      <c r="Z712" s="43" t="s">
        <v>1113</v>
      </c>
      <c r="AA712" s="43" t="s">
        <v>1384</v>
      </c>
      <c r="AB712" s="43"/>
    </row>
    <row r="713" spans="1:28" ht="14.25" hidden="1" customHeight="1">
      <c r="A713" s="163" t="s">
        <v>1017</v>
      </c>
      <c r="B713" s="164">
        <v>45638</v>
      </c>
      <c r="C713" s="163" t="s">
        <v>1385</v>
      </c>
      <c r="D713" s="163" t="s">
        <v>281</v>
      </c>
      <c r="E713" s="163" t="s">
        <v>760</v>
      </c>
      <c r="F713" s="226">
        <v>-1023.4</v>
      </c>
      <c r="G713" s="165">
        <f t="shared" si="12"/>
        <v>21931.51100000001</v>
      </c>
      <c r="H713" s="163"/>
      <c r="I713" s="163" t="s">
        <v>283</v>
      </c>
      <c r="J713" s="163"/>
      <c r="K713" s="163"/>
      <c r="L713" s="163" t="s">
        <v>366</v>
      </c>
      <c r="M713" s="163"/>
      <c r="N713" s="163" t="s">
        <v>978</v>
      </c>
      <c r="O713" s="163"/>
      <c r="P713" s="163"/>
      <c r="Q713" s="163"/>
      <c r="R713" s="163" t="s">
        <v>780</v>
      </c>
      <c r="S713" s="163" t="s">
        <v>781</v>
      </c>
      <c r="T713" s="94">
        <f t="shared" si="16"/>
        <v>12</v>
      </c>
      <c r="U713" s="212">
        <f t="shared" si="15"/>
        <v>45639</v>
      </c>
      <c r="V713" s="213">
        <v>45639</v>
      </c>
      <c r="W713" s="43"/>
      <c r="X713" s="43"/>
      <c r="Y713" s="43"/>
      <c r="Z713" s="43" t="s">
        <v>1113</v>
      </c>
      <c r="AA713" s="43" t="s">
        <v>1113</v>
      </c>
      <c r="AB713" s="43"/>
    </row>
    <row r="714" spans="1:28" ht="14.25" hidden="1" customHeight="1">
      <c r="A714" s="163" t="s">
        <v>1017</v>
      </c>
      <c r="B714" s="164">
        <v>45637</v>
      </c>
      <c r="C714" s="163" t="s">
        <v>1353</v>
      </c>
      <c r="D714" s="163" t="s">
        <v>281</v>
      </c>
      <c r="E714" s="163" t="s">
        <v>760</v>
      </c>
      <c r="F714" s="226">
        <v>-378.55</v>
      </c>
      <c r="G714" s="165">
        <f t="shared" si="12"/>
        <v>21552.96100000001</v>
      </c>
      <c r="H714" s="163"/>
      <c r="I714" s="163" t="s">
        <v>283</v>
      </c>
      <c r="J714" s="163"/>
      <c r="K714" s="163"/>
      <c r="L714" s="163" t="s">
        <v>485</v>
      </c>
      <c r="M714" s="163"/>
      <c r="N714" s="163" t="s">
        <v>978</v>
      </c>
      <c r="O714" s="163"/>
      <c r="P714" s="163"/>
      <c r="Q714" s="163"/>
      <c r="R714" s="163" t="s">
        <v>1354</v>
      </c>
      <c r="S714" s="163" t="s">
        <v>1355</v>
      </c>
      <c r="T714" s="94">
        <f t="shared" si="16"/>
        <v>12</v>
      </c>
      <c r="U714" s="212">
        <f t="shared" si="15"/>
        <v>45639</v>
      </c>
      <c r="V714" s="213">
        <v>45639</v>
      </c>
      <c r="W714" s="43"/>
      <c r="X714" s="43"/>
      <c r="Y714" s="43"/>
      <c r="Z714" s="43" t="s">
        <v>1113</v>
      </c>
      <c r="AA714" s="43" t="s">
        <v>1113</v>
      </c>
      <c r="AB714" s="43"/>
    </row>
    <row r="715" spans="1:28" ht="14.25" hidden="1" customHeight="1">
      <c r="A715" s="163" t="s">
        <v>1017</v>
      </c>
      <c r="B715" s="164">
        <v>45639</v>
      </c>
      <c r="C715" s="163" t="s">
        <v>183</v>
      </c>
      <c r="D715" s="163" t="s">
        <v>281</v>
      </c>
      <c r="E715" s="163" t="s">
        <v>760</v>
      </c>
      <c r="F715" s="226">
        <v>-205.98</v>
      </c>
      <c r="G715" s="165">
        <f t="shared" si="12"/>
        <v>21346.981000000011</v>
      </c>
      <c r="H715" s="163"/>
      <c r="I715" s="163" t="s">
        <v>283</v>
      </c>
      <c r="J715" s="163"/>
      <c r="K715" s="163"/>
      <c r="L715" s="163" t="s">
        <v>302</v>
      </c>
      <c r="M715" s="163"/>
      <c r="N715" s="163" t="s">
        <v>966</v>
      </c>
      <c r="O715" s="163"/>
      <c r="P715" s="163"/>
      <c r="Q715" s="163"/>
      <c r="R715" s="163" t="s">
        <v>762</v>
      </c>
      <c r="S715" s="163" t="s">
        <v>79</v>
      </c>
      <c r="T715" s="94">
        <f t="shared" si="16"/>
        <v>12</v>
      </c>
      <c r="U715" s="212">
        <f t="shared" si="15"/>
        <v>45639</v>
      </c>
      <c r="V715" s="43"/>
      <c r="W715" s="183"/>
      <c r="X715" s="183"/>
      <c r="Y715" s="183"/>
      <c r="Z715" s="183" t="s">
        <v>1113</v>
      </c>
      <c r="AA715" s="183"/>
      <c r="AB715" s="183"/>
    </row>
    <row r="716" spans="1:28" ht="14.25" hidden="1" customHeight="1">
      <c r="A716" s="163" t="s">
        <v>1017</v>
      </c>
      <c r="B716" s="164">
        <v>45639</v>
      </c>
      <c r="C716" s="163" t="s">
        <v>1386</v>
      </c>
      <c r="D716" s="163" t="s">
        <v>281</v>
      </c>
      <c r="E716" s="163" t="s">
        <v>199</v>
      </c>
      <c r="F716" s="226">
        <v>-880</v>
      </c>
      <c r="G716" s="165">
        <f t="shared" si="12"/>
        <v>20466.981000000011</v>
      </c>
      <c r="H716" s="163"/>
      <c r="I716" s="163" t="s">
        <v>283</v>
      </c>
      <c r="J716" s="163"/>
      <c r="K716" s="163"/>
      <c r="L716" s="163" t="s">
        <v>302</v>
      </c>
      <c r="M716" s="163"/>
      <c r="N716" s="163" t="s">
        <v>966</v>
      </c>
      <c r="O716" s="163"/>
      <c r="P716" s="163"/>
      <c r="Q716" s="163"/>
      <c r="R716" s="163" t="s">
        <v>762</v>
      </c>
      <c r="S716" s="163" t="s">
        <v>79</v>
      </c>
      <c r="T716" s="94">
        <f t="shared" si="16"/>
        <v>12</v>
      </c>
      <c r="U716" s="212">
        <f t="shared" si="15"/>
        <v>45639</v>
      </c>
      <c r="V716" s="43"/>
      <c r="W716" s="183"/>
      <c r="X716" s="183"/>
      <c r="Y716" s="183"/>
      <c r="Z716" s="183" t="s">
        <v>1113</v>
      </c>
      <c r="AA716" s="183"/>
      <c r="AB716" s="183"/>
    </row>
    <row r="717" spans="1:28" ht="14.25" hidden="1" customHeight="1">
      <c r="A717" s="163" t="s">
        <v>1017</v>
      </c>
      <c r="B717" s="181">
        <v>45638</v>
      </c>
      <c r="C717" s="180" t="s">
        <v>1013</v>
      </c>
      <c r="D717" s="180" t="s">
        <v>281</v>
      </c>
      <c r="E717" s="180" t="s">
        <v>199</v>
      </c>
      <c r="F717" s="226"/>
      <c r="G717" s="165">
        <f t="shared" si="12"/>
        <v>20466.981000000011</v>
      </c>
      <c r="H717" s="180"/>
      <c r="I717" s="180" t="s">
        <v>283</v>
      </c>
      <c r="J717" s="180"/>
      <c r="K717" s="180"/>
      <c r="L717" s="180" t="s">
        <v>305</v>
      </c>
      <c r="M717" s="180"/>
      <c r="N717" s="180" t="s">
        <v>978</v>
      </c>
      <c r="O717" s="180"/>
      <c r="P717" s="180"/>
      <c r="Q717" s="180" t="s">
        <v>1067</v>
      </c>
      <c r="R717" s="180" t="s">
        <v>1087</v>
      </c>
      <c r="S717" s="180" t="s">
        <v>1089</v>
      </c>
      <c r="T717" s="189">
        <f t="shared" si="16"/>
        <v>12</v>
      </c>
      <c r="U717" s="211">
        <f t="shared" si="15"/>
        <v>45638</v>
      </c>
      <c r="V717" s="201"/>
      <c r="W717" s="43"/>
      <c r="X717" s="43"/>
      <c r="Y717" s="43"/>
      <c r="Z717" s="43" t="s">
        <v>1113</v>
      </c>
      <c r="AA717" s="43" t="s">
        <v>1113</v>
      </c>
      <c r="AB717" s="43"/>
    </row>
    <row r="718" spans="1:28" ht="14.25" hidden="1" customHeight="1">
      <c r="A718" s="163" t="s">
        <v>1017</v>
      </c>
      <c r="B718" s="181">
        <v>45636</v>
      </c>
      <c r="C718" s="180" t="s">
        <v>1387</v>
      </c>
      <c r="D718" s="180" t="s">
        <v>281</v>
      </c>
      <c r="E718" s="180" t="s">
        <v>356</v>
      </c>
      <c r="F718" s="226">
        <v>-150</v>
      </c>
      <c r="G718" s="165">
        <f t="shared" si="12"/>
        <v>20316.981000000011</v>
      </c>
      <c r="H718" s="180"/>
      <c r="I718" s="180" t="s">
        <v>283</v>
      </c>
      <c r="J718" s="180"/>
      <c r="K718" s="180"/>
      <c r="L718" s="180" t="s">
        <v>305</v>
      </c>
      <c r="M718" s="180"/>
      <c r="N718" s="180" t="s">
        <v>978</v>
      </c>
      <c r="O718" s="180"/>
      <c r="P718" s="180"/>
      <c r="Q718" s="180" t="s">
        <v>1067</v>
      </c>
      <c r="R718" s="180" t="s">
        <v>1087</v>
      </c>
      <c r="S718" s="180" t="s">
        <v>1089</v>
      </c>
      <c r="T718" s="189">
        <f t="shared" si="16"/>
        <v>12</v>
      </c>
      <c r="U718" s="211">
        <f t="shared" si="15"/>
        <v>45639</v>
      </c>
      <c r="V718" s="213">
        <v>45639</v>
      </c>
      <c r="W718" s="43"/>
      <c r="X718" s="43"/>
      <c r="Y718" s="43"/>
      <c r="Z718" s="43"/>
      <c r="AA718" s="43"/>
      <c r="AB718" s="43"/>
    </row>
    <row r="719" spans="1:28" ht="14.25" hidden="1" customHeight="1">
      <c r="A719" s="180" t="s">
        <v>1017</v>
      </c>
      <c r="B719" s="164">
        <v>45639</v>
      </c>
      <c r="C719" s="163" t="s">
        <v>183</v>
      </c>
      <c r="D719" s="163" t="s">
        <v>1388</v>
      </c>
      <c r="E719" s="163" t="s">
        <v>634</v>
      </c>
      <c r="F719" s="221"/>
      <c r="G719" s="165">
        <f t="shared" si="12"/>
        <v>20316.981000000011</v>
      </c>
      <c r="H719" s="163"/>
      <c r="I719" s="163" t="s">
        <v>283</v>
      </c>
      <c r="J719" s="163"/>
      <c r="K719" s="163"/>
      <c r="L719" s="163" t="s">
        <v>302</v>
      </c>
      <c r="M719" s="163"/>
      <c r="N719" s="163" t="s">
        <v>966</v>
      </c>
      <c r="O719" s="163"/>
      <c r="P719" s="163"/>
      <c r="Q719" s="163"/>
      <c r="R719" s="163" t="s">
        <v>762</v>
      </c>
      <c r="S719" s="163" t="s">
        <v>79</v>
      </c>
      <c r="T719" s="94">
        <f t="shared" si="16"/>
        <v>12</v>
      </c>
      <c r="U719" s="212">
        <f t="shared" si="15"/>
        <v>45639</v>
      </c>
      <c r="V719" s="166"/>
      <c r="W719" s="43"/>
      <c r="X719" s="43"/>
      <c r="Y719" s="43"/>
      <c r="Z719" s="43"/>
      <c r="AA719" s="43"/>
      <c r="AB719" s="43"/>
    </row>
    <row r="720" spans="1:28" ht="14.25" hidden="1" customHeight="1">
      <c r="A720" s="205" t="s">
        <v>1017</v>
      </c>
      <c r="B720" s="164">
        <v>45639</v>
      </c>
      <c r="C720" s="163" t="s">
        <v>1389</v>
      </c>
      <c r="D720" s="163" t="s">
        <v>281</v>
      </c>
      <c r="E720" s="163" t="s">
        <v>199</v>
      </c>
      <c r="F720" s="226">
        <v>-22</v>
      </c>
      <c r="G720" s="165">
        <f t="shared" si="12"/>
        <v>20294.981000000011</v>
      </c>
      <c r="H720" s="163"/>
      <c r="I720" s="163" t="s">
        <v>342</v>
      </c>
      <c r="J720" s="163"/>
      <c r="K720" s="163"/>
      <c r="L720" s="163" t="s">
        <v>366</v>
      </c>
      <c r="M720" s="163"/>
      <c r="N720" s="163" t="s">
        <v>978</v>
      </c>
      <c r="O720" s="163"/>
      <c r="P720" s="163"/>
      <c r="Q720" s="163"/>
      <c r="R720" s="163" t="s">
        <v>1390</v>
      </c>
      <c r="S720" s="163" t="s">
        <v>1391</v>
      </c>
      <c r="T720" s="94">
        <f t="shared" si="16"/>
        <v>12</v>
      </c>
      <c r="U720" s="212">
        <f t="shared" si="15"/>
        <v>45639</v>
      </c>
      <c r="V720" s="166"/>
      <c r="W720" s="43"/>
      <c r="X720" s="43"/>
      <c r="Y720" s="43"/>
      <c r="Z720" s="43"/>
      <c r="AA720" s="43"/>
      <c r="AB720" s="43"/>
    </row>
    <row r="721" spans="1:28" ht="14.25" hidden="1" customHeight="1">
      <c r="A721" s="163"/>
      <c r="B721" s="181">
        <v>45638</v>
      </c>
      <c r="C721" s="180" t="s">
        <v>1392</v>
      </c>
      <c r="D721" s="180" t="s">
        <v>281</v>
      </c>
      <c r="E721" s="180" t="s">
        <v>199</v>
      </c>
      <c r="F721" s="226">
        <v>-175</v>
      </c>
      <c r="G721" s="165">
        <f t="shared" si="12"/>
        <v>20119.981000000011</v>
      </c>
      <c r="H721" s="180"/>
      <c r="I721" s="180" t="s">
        <v>342</v>
      </c>
      <c r="J721" s="180"/>
      <c r="K721" s="180"/>
      <c r="L721" s="180" t="s">
        <v>305</v>
      </c>
      <c r="M721" s="180"/>
      <c r="N721" s="180" t="s">
        <v>978</v>
      </c>
      <c r="O721" s="180"/>
      <c r="P721" s="180"/>
      <c r="Q721" s="180"/>
      <c r="R721" s="180" t="s">
        <v>940</v>
      </c>
      <c r="S721" s="180" t="s">
        <v>942</v>
      </c>
      <c r="T721" s="189">
        <f t="shared" si="16"/>
        <v>12</v>
      </c>
      <c r="U721" s="211">
        <f t="shared" si="15"/>
        <v>45639</v>
      </c>
      <c r="V721" s="216">
        <v>45639</v>
      </c>
      <c r="W721" s="43"/>
      <c r="X721" s="43"/>
      <c r="Y721" s="43"/>
      <c r="Z721" s="43"/>
      <c r="AA721" s="43"/>
      <c r="AB721" s="43"/>
    </row>
    <row r="722" spans="1:28" ht="14.25" hidden="1" customHeight="1">
      <c r="A722" s="163" t="s">
        <v>1174</v>
      </c>
      <c r="B722" s="164">
        <v>45639</v>
      </c>
      <c r="C722" s="163" t="s">
        <v>1393</v>
      </c>
      <c r="D722" s="163" t="s">
        <v>281</v>
      </c>
      <c r="E722" s="163" t="s">
        <v>199</v>
      </c>
      <c r="F722" s="226">
        <v>-120</v>
      </c>
      <c r="G722" s="165">
        <f t="shared" si="12"/>
        <v>19999.981000000011</v>
      </c>
      <c r="H722" s="163"/>
      <c r="I722" s="163" t="s">
        <v>342</v>
      </c>
      <c r="J722" s="163"/>
      <c r="K722" s="163"/>
      <c r="L722" s="163" t="s">
        <v>477</v>
      </c>
      <c r="M722" s="163"/>
      <c r="N722" s="163" t="s">
        <v>978</v>
      </c>
      <c r="O722" s="163"/>
      <c r="P722" s="163"/>
      <c r="Q722" s="163"/>
      <c r="R722" s="163" t="s">
        <v>1394</v>
      </c>
      <c r="S722" s="163" t="s">
        <v>1395</v>
      </c>
      <c r="T722" s="94">
        <f t="shared" si="16"/>
        <v>12</v>
      </c>
      <c r="U722" s="212">
        <f t="shared" si="15"/>
        <v>45639</v>
      </c>
      <c r="V722" s="166"/>
      <c r="W722" s="43"/>
      <c r="X722" s="43"/>
      <c r="Y722" s="43"/>
      <c r="Z722" s="43" t="s">
        <v>1113</v>
      </c>
      <c r="AA722" s="43" t="s">
        <v>1113</v>
      </c>
      <c r="AB722" s="43"/>
    </row>
    <row r="723" spans="1:28" ht="14.25" hidden="1" customHeight="1">
      <c r="A723" s="163" t="s">
        <v>1174</v>
      </c>
      <c r="B723" s="181">
        <v>45639</v>
      </c>
      <c r="C723" s="180" t="s">
        <v>1070</v>
      </c>
      <c r="D723" s="180" t="s">
        <v>281</v>
      </c>
      <c r="E723" s="180" t="s">
        <v>356</v>
      </c>
      <c r="F723" s="226">
        <v>-187.52</v>
      </c>
      <c r="G723" s="165">
        <f t="shared" si="12"/>
        <v>19812.46100000001</v>
      </c>
      <c r="H723" s="180"/>
      <c r="I723" s="180" t="s">
        <v>283</v>
      </c>
      <c r="J723" s="180"/>
      <c r="K723" s="180"/>
      <c r="L723" s="180" t="s">
        <v>686</v>
      </c>
      <c r="M723" s="180"/>
      <c r="N723" s="180" t="s">
        <v>978</v>
      </c>
      <c r="O723" s="180"/>
      <c r="P723" s="180"/>
      <c r="Q723" s="180"/>
      <c r="R723" s="180" t="s">
        <v>771</v>
      </c>
      <c r="S723" s="180" t="s">
        <v>772</v>
      </c>
      <c r="T723" s="189">
        <f t="shared" si="16"/>
        <v>12</v>
      </c>
      <c r="U723" s="211">
        <f t="shared" si="15"/>
        <v>45639</v>
      </c>
      <c r="V723" s="187"/>
      <c r="W723" s="43"/>
      <c r="X723" s="43"/>
      <c r="Y723" s="43"/>
      <c r="Z723" s="43" t="s">
        <v>1113</v>
      </c>
      <c r="AA723" s="43" t="s">
        <v>1113</v>
      </c>
      <c r="AB723" s="43"/>
    </row>
    <row r="724" spans="1:28" ht="14.25" hidden="1" customHeight="1">
      <c r="A724" s="163" t="s">
        <v>1174</v>
      </c>
      <c r="B724" s="208">
        <v>45639</v>
      </c>
      <c r="C724" s="205" t="s">
        <v>1010</v>
      </c>
      <c r="D724" s="205" t="s">
        <v>281</v>
      </c>
      <c r="E724" s="205" t="s">
        <v>199</v>
      </c>
      <c r="F724" s="226">
        <v>-2500</v>
      </c>
      <c r="G724" s="165">
        <f t="shared" si="12"/>
        <v>17312.46100000001</v>
      </c>
      <c r="H724" s="180"/>
      <c r="I724" s="205" t="s">
        <v>977</v>
      </c>
      <c r="J724" s="180"/>
      <c r="K724" s="180"/>
      <c r="L724" s="205" t="s">
        <v>1003</v>
      </c>
      <c r="M724" s="180"/>
      <c r="N724" s="205" t="s">
        <v>978</v>
      </c>
      <c r="O724" s="180"/>
      <c r="P724" s="180"/>
      <c r="Q724" s="180"/>
      <c r="R724" s="205" t="s">
        <v>1011</v>
      </c>
      <c r="S724" s="205" t="s">
        <v>1012</v>
      </c>
      <c r="T724" s="209">
        <f t="shared" si="16"/>
        <v>12</v>
      </c>
      <c r="U724" s="222">
        <f t="shared" si="15"/>
        <v>45639</v>
      </c>
      <c r="V724" s="183"/>
      <c r="W724" s="43"/>
      <c r="X724" s="43"/>
      <c r="Y724" s="43"/>
      <c r="Z724" s="43" t="s">
        <v>1113</v>
      </c>
      <c r="AA724" s="43" t="s">
        <v>1113</v>
      </c>
      <c r="AB724" s="43" t="s">
        <v>1396</v>
      </c>
    </row>
    <row r="725" spans="1:28" ht="14.25" hidden="1" customHeight="1">
      <c r="A725" s="180" t="s">
        <v>1017</v>
      </c>
      <c r="B725" s="181">
        <v>45639</v>
      </c>
      <c r="C725" s="180"/>
      <c r="D725" s="180" t="s">
        <v>281</v>
      </c>
      <c r="E725" s="180" t="s">
        <v>1397</v>
      </c>
      <c r="F725" s="182">
        <v>-2000</v>
      </c>
      <c r="G725" s="165">
        <f t="shared" si="12"/>
        <v>15312.46100000001</v>
      </c>
      <c r="H725" s="180"/>
      <c r="I725" s="180" t="s">
        <v>283</v>
      </c>
      <c r="J725" s="180"/>
      <c r="K725" s="180"/>
      <c r="L725" s="180" t="s">
        <v>305</v>
      </c>
      <c r="M725" s="180"/>
      <c r="N725" s="180" t="s">
        <v>978</v>
      </c>
      <c r="O725" s="180"/>
      <c r="P725" s="180"/>
      <c r="Q725" s="180" t="s">
        <v>1067</v>
      </c>
      <c r="R725" s="180" t="s">
        <v>1087</v>
      </c>
      <c r="S725" s="180" t="s">
        <v>1089</v>
      </c>
      <c r="T725" s="189">
        <f t="shared" si="16"/>
        <v>12</v>
      </c>
      <c r="U725" s="211">
        <f t="shared" si="15"/>
        <v>45639</v>
      </c>
      <c r="V725" s="183"/>
      <c r="W725" s="43"/>
      <c r="X725" s="43"/>
      <c r="Y725" s="43"/>
      <c r="Z725" s="43" t="s">
        <v>1113</v>
      </c>
      <c r="AA725" s="43" t="s">
        <v>1113</v>
      </c>
      <c r="AB725" s="43"/>
    </row>
    <row r="726" spans="1:28" ht="14.25" hidden="1" customHeight="1">
      <c r="A726" s="163" t="s">
        <v>1174</v>
      </c>
      <c r="B726" s="181">
        <v>45636</v>
      </c>
      <c r="C726" s="180" t="s">
        <v>1087</v>
      </c>
      <c r="D726" s="180" t="s">
        <v>281</v>
      </c>
      <c r="E726" s="180" t="s">
        <v>1088</v>
      </c>
      <c r="F726" s="226">
        <v>-10000</v>
      </c>
      <c r="G726" s="165">
        <f t="shared" si="12"/>
        <v>5312.4610000000102</v>
      </c>
      <c r="H726" s="180"/>
      <c r="I726" s="180" t="s">
        <v>283</v>
      </c>
      <c r="J726" s="180"/>
      <c r="K726" s="180"/>
      <c r="L726" s="180" t="s">
        <v>305</v>
      </c>
      <c r="M726" s="180"/>
      <c r="N726" s="180" t="s">
        <v>978</v>
      </c>
      <c r="O726" s="180"/>
      <c r="P726" s="180"/>
      <c r="Q726" s="180" t="s">
        <v>1067</v>
      </c>
      <c r="R726" s="180" t="s">
        <v>1087</v>
      </c>
      <c r="S726" s="180" t="s">
        <v>1089</v>
      </c>
      <c r="T726" s="189">
        <f t="shared" si="16"/>
        <v>12</v>
      </c>
      <c r="U726" s="211">
        <f t="shared" si="15"/>
        <v>45639</v>
      </c>
      <c r="V726" s="213">
        <v>45639</v>
      </c>
      <c r="W726" s="43"/>
      <c r="X726" s="43"/>
      <c r="Y726" s="43"/>
      <c r="Z726" s="43" t="s">
        <v>1113</v>
      </c>
      <c r="AA726" s="43" t="s">
        <v>1113</v>
      </c>
      <c r="AB726" s="194" t="s">
        <v>1398</v>
      </c>
    </row>
    <row r="727" spans="1:28" ht="14.25" hidden="1" customHeight="1">
      <c r="A727" s="163" t="s">
        <v>1017</v>
      </c>
      <c r="B727" s="164">
        <v>45639</v>
      </c>
      <c r="C727" s="163"/>
      <c r="D727" s="163" t="s">
        <v>281</v>
      </c>
      <c r="E727" s="163" t="s">
        <v>1077</v>
      </c>
      <c r="F727" s="168">
        <f>-1.99-3.5</f>
        <v>-5.49</v>
      </c>
      <c r="G727" s="165">
        <f t="shared" si="12"/>
        <v>5306.9710000000105</v>
      </c>
      <c r="H727" s="163"/>
      <c r="I727" s="163" t="s">
        <v>342</v>
      </c>
      <c r="J727" s="163"/>
      <c r="K727" s="163"/>
      <c r="L727" s="163" t="s">
        <v>1030</v>
      </c>
      <c r="M727" s="163"/>
      <c r="N727" s="163" t="s">
        <v>978</v>
      </c>
      <c r="O727" s="163"/>
      <c r="P727" s="163"/>
      <c r="Q727" s="163"/>
      <c r="R727" s="163"/>
      <c r="S727" s="163" t="s">
        <v>1076</v>
      </c>
      <c r="T727" s="94">
        <f t="shared" si="16"/>
        <v>12</v>
      </c>
      <c r="U727" s="212">
        <f t="shared" si="15"/>
        <v>45639</v>
      </c>
      <c r="V727" s="43"/>
      <c r="W727" s="43"/>
      <c r="X727" s="43"/>
      <c r="Y727" s="43"/>
      <c r="Z727" s="43" t="s">
        <v>1113</v>
      </c>
      <c r="AA727" s="43" t="s">
        <v>1113</v>
      </c>
      <c r="AB727" s="43"/>
    </row>
    <row r="728" spans="1:28" ht="14.25" hidden="1" customHeight="1">
      <c r="A728" s="163" t="s">
        <v>1174</v>
      </c>
      <c r="B728" s="164">
        <v>45639</v>
      </c>
      <c r="C728" s="163" t="s">
        <v>346</v>
      </c>
      <c r="D728" s="163"/>
      <c r="E728" s="163"/>
      <c r="F728" s="165">
        <v>0</v>
      </c>
      <c r="G728" s="165">
        <f t="shared" si="12"/>
        <v>5306.9710000000105</v>
      </c>
      <c r="H728" s="163"/>
      <c r="I728" s="163"/>
      <c r="J728" s="163"/>
      <c r="K728" s="163"/>
      <c r="L728" s="163"/>
      <c r="M728" s="163"/>
      <c r="N728" s="163"/>
      <c r="O728" s="163"/>
      <c r="P728" s="163"/>
      <c r="Q728" s="163"/>
      <c r="R728" s="163"/>
      <c r="S728" s="163"/>
      <c r="T728" s="94">
        <f t="shared" si="16"/>
        <v>12</v>
      </c>
      <c r="U728" s="212">
        <f t="shared" si="15"/>
        <v>45639</v>
      </c>
      <c r="V728" s="166"/>
      <c r="W728" s="43"/>
      <c r="X728" s="43"/>
      <c r="Y728" s="43"/>
      <c r="Z728" s="43" t="s">
        <v>1113</v>
      </c>
      <c r="AA728" s="43" t="s">
        <v>1113</v>
      </c>
      <c r="AB728" s="43" t="s">
        <v>1399</v>
      </c>
    </row>
    <row r="729" spans="1:28" ht="14.25" hidden="1" customHeight="1">
      <c r="A729" s="180" t="s">
        <v>279</v>
      </c>
      <c r="B729" s="181">
        <v>45642</v>
      </c>
      <c r="C729" s="180" t="s">
        <v>280</v>
      </c>
      <c r="D729" s="180" t="s">
        <v>281</v>
      </c>
      <c r="E729" s="180" t="s">
        <v>282</v>
      </c>
      <c r="F729" s="186">
        <v>25000</v>
      </c>
      <c r="G729" s="165">
        <f t="shared" si="12"/>
        <v>30306.971000000012</v>
      </c>
      <c r="H729" s="180"/>
      <c r="I729" s="180" t="s">
        <v>283</v>
      </c>
      <c r="J729" s="180" t="s">
        <v>918</v>
      </c>
      <c r="K729" s="180"/>
      <c r="L729" s="180"/>
      <c r="M729" s="180"/>
      <c r="N729" s="180" t="s">
        <v>285</v>
      </c>
      <c r="O729" s="180"/>
      <c r="P729" s="180"/>
      <c r="Q729" s="180"/>
      <c r="R729" s="180" t="s">
        <v>286</v>
      </c>
      <c r="S729" s="180" t="s">
        <v>287</v>
      </c>
      <c r="T729" s="189">
        <f t="shared" si="16"/>
        <v>12</v>
      </c>
      <c r="U729" s="216">
        <f t="shared" si="15"/>
        <v>45642</v>
      </c>
      <c r="V729" s="213"/>
      <c r="W729" s="43"/>
      <c r="X729" s="43"/>
      <c r="Y729" s="43"/>
      <c r="Z729" s="43"/>
      <c r="AA729" s="43" t="s">
        <v>1113</v>
      </c>
      <c r="AB729" s="183"/>
    </row>
    <row r="730" spans="1:28" ht="14.25" hidden="1" customHeight="1">
      <c r="A730" s="163" t="s">
        <v>1017</v>
      </c>
      <c r="B730" s="164">
        <v>45642</v>
      </c>
      <c r="C730" s="163" t="s">
        <v>962</v>
      </c>
      <c r="D730" s="163" t="s">
        <v>281</v>
      </c>
      <c r="E730" s="163" t="s">
        <v>407</v>
      </c>
      <c r="F730" s="165">
        <v>10000</v>
      </c>
      <c r="G730" s="165">
        <f t="shared" si="12"/>
        <v>40306.971000000012</v>
      </c>
      <c r="H730" s="163"/>
      <c r="I730" s="163" t="s">
        <v>1176</v>
      </c>
      <c r="J730" s="163" t="s">
        <v>1400</v>
      </c>
      <c r="K730" s="163"/>
      <c r="L730" s="163" t="s">
        <v>305</v>
      </c>
      <c r="M730" s="163"/>
      <c r="N730" s="163" t="s">
        <v>1178</v>
      </c>
      <c r="O730" s="163" t="s">
        <v>1400</v>
      </c>
      <c r="P730" s="163" t="s">
        <v>57</v>
      </c>
      <c r="Q730" s="163"/>
      <c r="R730" s="163" t="s">
        <v>962</v>
      </c>
      <c r="S730" s="163" t="s">
        <v>968</v>
      </c>
      <c r="T730" s="94">
        <f t="shared" si="16"/>
        <v>12</v>
      </c>
      <c r="U730" s="212">
        <f t="shared" si="15"/>
        <v>45643</v>
      </c>
      <c r="V730" s="166">
        <v>45643</v>
      </c>
      <c r="W730" s="43"/>
      <c r="X730" s="43"/>
      <c r="Y730" s="43"/>
      <c r="Z730" s="43" t="s">
        <v>1113</v>
      </c>
      <c r="AA730" s="43" t="s">
        <v>1113</v>
      </c>
      <c r="AB730" s="43"/>
    </row>
    <row r="731" spans="1:28" ht="14.25" hidden="1" customHeight="1">
      <c r="A731" s="190" t="s">
        <v>1017</v>
      </c>
      <c r="B731" s="225">
        <v>45642</v>
      </c>
      <c r="C731" s="190" t="s">
        <v>1401</v>
      </c>
      <c r="D731" s="190" t="s">
        <v>281</v>
      </c>
      <c r="E731" s="190" t="s">
        <v>407</v>
      </c>
      <c r="F731" s="230">
        <v>2800</v>
      </c>
      <c r="G731" s="165">
        <f t="shared" si="12"/>
        <v>43106.971000000012</v>
      </c>
      <c r="H731" s="190"/>
      <c r="I731" s="190" t="s">
        <v>1176</v>
      </c>
      <c r="J731" s="190" t="s">
        <v>1400</v>
      </c>
      <c r="K731" s="190"/>
      <c r="L731" s="190" t="s">
        <v>305</v>
      </c>
      <c r="M731" s="190"/>
      <c r="N731" s="190" t="s">
        <v>1178</v>
      </c>
      <c r="O731" s="190" t="s">
        <v>1400</v>
      </c>
      <c r="P731" s="190" t="s">
        <v>57</v>
      </c>
      <c r="Q731" s="190"/>
      <c r="R731" s="190"/>
      <c r="S731" s="190" t="s">
        <v>968</v>
      </c>
      <c r="T731" s="94">
        <f t="shared" si="16"/>
        <v>12</v>
      </c>
      <c r="U731" s="212">
        <f t="shared" si="15"/>
        <v>45643</v>
      </c>
      <c r="V731" s="166">
        <v>45643</v>
      </c>
      <c r="W731" s="43"/>
      <c r="X731" s="43"/>
      <c r="Y731" s="43"/>
      <c r="Z731" s="43" t="s">
        <v>1113</v>
      </c>
      <c r="AA731" s="43"/>
      <c r="AB731" s="43"/>
    </row>
    <row r="732" spans="1:28" ht="14.25" hidden="1" customHeight="1">
      <c r="A732" s="180" t="s">
        <v>1174</v>
      </c>
      <c r="B732" s="164">
        <v>45642</v>
      </c>
      <c r="C732" s="163" t="s">
        <v>1037</v>
      </c>
      <c r="D732" s="163" t="s">
        <v>281</v>
      </c>
      <c r="E732" s="163" t="s">
        <v>407</v>
      </c>
      <c r="F732" s="221"/>
      <c r="G732" s="165">
        <f t="shared" si="12"/>
        <v>43106.971000000012</v>
      </c>
      <c r="H732" s="163"/>
      <c r="I732" s="163" t="s">
        <v>1176</v>
      </c>
      <c r="J732" s="163" t="s">
        <v>1402</v>
      </c>
      <c r="K732" s="163"/>
      <c r="L732" s="163" t="s">
        <v>305</v>
      </c>
      <c r="M732" s="163"/>
      <c r="N732" s="163" t="s">
        <v>1178</v>
      </c>
      <c r="O732" s="163" t="s">
        <v>1402</v>
      </c>
      <c r="P732" s="163" t="s">
        <v>1042</v>
      </c>
      <c r="Q732" s="163"/>
      <c r="R732" s="163" t="s">
        <v>1043</v>
      </c>
      <c r="S732" s="163" t="s">
        <v>1044</v>
      </c>
      <c r="T732" s="94">
        <f t="shared" si="16"/>
        <v>12</v>
      </c>
      <c r="U732" s="212">
        <f t="shared" si="15"/>
        <v>45642</v>
      </c>
      <c r="V732" s="166"/>
      <c r="W732" s="183"/>
      <c r="X732" s="183"/>
      <c r="Y732" s="183"/>
      <c r="Z732" s="183" t="s">
        <v>1113</v>
      </c>
      <c r="AA732" s="183"/>
      <c r="AB732" s="183"/>
    </row>
    <row r="733" spans="1:28" ht="14.25" hidden="1" customHeight="1">
      <c r="A733" s="163" t="s">
        <v>1017</v>
      </c>
      <c r="B733" s="164">
        <v>45642</v>
      </c>
      <c r="C733" s="163" t="s">
        <v>1248</v>
      </c>
      <c r="D733" s="163" t="s">
        <v>281</v>
      </c>
      <c r="E733" s="163" t="s">
        <v>407</v>
      </c>
      <c r="F733" s="221"/>
      <c r="G733" s="165">
        <f t="shared" si="12"/>
        <v>43106.971000000012</v>
      </c>
      <c r="H733" s="163"/>
      <c r="I733" s="163" t="s">
        <v>1176</v>
      </c>
      <c r="J733" s="163" t="s">
        <v>1403</v>
      </c>
      <c r="K733" s="163"/>
      <c r="L733" s="163" t="s">
        <v>305</v>
      </c>
      <c r="M733" s="163"/>
      <c r="N733" s="163" t="s">
        <v>1178</v>
      </c>
      <c r="O733" s="163" t="s">
        <v>1403</v>
      </c>
      <c r="P733" s="163" t="s">
        <v>1083</v>
      </c>
      <c r="Q733" s="163"/>
      <c r="R733" s="163" t="s">
        <v>1253</v>
      </c>
      <c r="S733" s="163" t="s">
        <v>1254</v>
      </c>
      <c r="T733" s="94">
        <f t="shared" si="16"/>
        <v>12</v>
      </c>
      <c r="U733" s="212">
        <f t="shared" si="15"/>
        <v>45642</v>
      </c>
      <c r="V733" s="199"/>
      <c r="W733" s="43"/>
      <c r="X733" s="43"/>
      <c r="Y733" s="43"/>
      <c r="Z733" s="43" t="s">
        <v>1113</v>
      </c>
      <c r="AA733" s="43"/>
      <c r="AB733" s="43"/>
    </row>
    <row r="734" spans="1:28" ht="14.25" hidden="1" customHeight="1">
      <c r="A734" s="190" t="s">
        <v>1017</v>
      </c>
      <c r="B734" s="225">
        <v>45642</v>
      </c>
      <c r="C734" s="190" t="s">
        <v>1404</v>
      </c>
      <c r="D734" s="190" t="s">
        <v>281</v>
      </c>
      <c r="E734" s="190" t="s">
        <v>1405</v>
      </c>
      <c r="F734" s="185">
        <f>-500-160-100-100</f>
        <v>-860</v>
      </c>
      <c r="G734" s="165">
        <f t="shared" si="12"/>
        <v>42246.971000000012</v>
      </c>
      <c r="H734" s="190"/>
      <c r="I734" s="190" t="s">
        <v>283</v>
      </c>
      <c r="J734" s="190"/>
      <c r="K734" s="190"/>
      <c r="L734" s="190" t="s">
        <v>305</v>
      </c>
      <c r="M734" s="190"/>
      <c r="N734" s="190" t="s">
        <v>978</v>
      </c>
      <c r="O734" s="190"/>
      <c r="P734" s="190"/>
      <c r="Q734" s="190" t="s">
        <v>1067</v>
      </c>
      <c r="R734" s="190" t="s">
        <v>1087</v>
      </c>
      <c r="S734" s="190" t="s">
        <v>1089</v>
      </c>
      <c r="T734" s="94">
        <f t="shared" si="16"/>
        <v>12</v>
      </c>
      <c r="U734" s="212">
        <f t="shared" si="15"/>
        <v>45642</v>
      </c>
      <c r="V734" s="199"/>
      <c r="W734" s="43"/>
      <c r="X734" s="43"/>
      <c r="Y734" s="43"/>
      <c r="Z734" s="43" t="s">
        <v>1113</v>
      </c>
      <c r="AA734" s="43" t="s">
        <v>1113</v>
      </c>
      <c r="AB734" s="43"/>
    </row>
    <row r="735" spans="1:28" ht="14.25" hidden="1" customHeight="1">
      <c r="A735" s="190" t="s">
        <v>1017</v>
      </c>
      <c r="B735" s="225">
        <v>45642</v>
      </c>
      <c r="C735" s="190" t="s">
        <v>998</v>
      </c>
      <c r="D735" s="190" t="s">
        <v>281</v>
      </c>
      <c r="E735" s="190" t="s">
        <v>199</v>
      </c>
      <c r="F735" s="185">
        <v>-1190</v>
      </c>
      <c r="G735" s="165">
        <f t="shared" si="12"/>
        <v>41056.971000000012</v>
      </c>
      <c r="H735" s="190"/>
      <c r="I735" s="190" t="s">
        <v>342</v>
      </c>
      <c r="J735" s="190"/>
      <c r="K735" s="190"/>
      <c r="L735" s="190" t="s">
        <v>1030</v>
      </c>
      <c r="M735" s="190"/>
      <c r="N735" s="190" t="s">
        <v>978</v>
      </c>
      <c r="O735" s="190"/>
      <c r="P735" s="190"/>
      <c r="Q735" s="190"/>
      <c r="R735" s="190" t="s">
        <v>999</v>
      </c>
      <c r="S735" s="190" t="s">
        <v>1000</v>
      </c>
      <c r="T735" s="94">
        <f t="shared" si="16"/>
        <v>12</v>
      </c>
      <c r="U735" s="212">
        <f t="shared" si="15"/>
        <v>45642</v>
      </c>
      <c r="V735" s="166"/>
      <c r="W735" s="43"/>
      <c r="X735" s="43"/>
      <c r="Y735" s="43"/>
      <c r="Z735" s="43" t="s">
        <v>1113</v>
      </c>
      <c r="AA735" s="43" t="s">
        <v>1113</v>
      </c>
      <c r="AB735" s="43"/>
    </row>
    <row r="736" spans="1:28" ht="14.25" hidden="1" customHeight="1">
      <c r="A736" s="190" t="s">
        <v>1017</v>
      </c>
      <c r="B736" s="225">
        <v>45642</v>
      </c>
      <c r="C736" s="190" t="s">
        <v>919</v>
      </c>
      <c r="D736" s="190" t="s">
        <v>281</v>
      </c>
      <c r="E736" s="190" t="s">
        <v>129</v>
      </c>
      <c r="F736" s="185">
        <v>-2362</v>
      </c>
      <c r="G736" s="165">
        <f t="shared" si="12"/>
        <v>38694.971000000012</v>
      </c>
      <c r="H736" s="190"/>
      <c r="I736" s="190" t="s">
        <v>342</v>
      </c>
      <c r="J736" s="190"/>
      <c r="K736" s="190"/>
      <c r="L736" s="190" t="s">
        <v>366</v>
      </c>
      <c r="M736" s="190"/>
      <c r="N736" s="190" t="s">
        <v>978</v>
      </c>
      <c r="O736" s="190"/>
      <c r="P736" s="190"/>
      <c r="Q736" s="190"/>
      <c r="R736" s="190" t="s">
        <v>922</v>
      </c>
      <c r="S736" s="190" t="s">
        <v>923</v>
      </c>
      <c r="T736" s="94">
        <f t="shared" si="16"/>
        <v>12</v>
      </c>
      <c r="U736" s="212">
        <f t="shared" si="15"/>
        <v>45642</v>
      </c>
      <c r="V736" s="43"/>
      <c r="W736" s="43"/>
      <c r="X736" s="43"/>
      <c r="Y736" s="43"/>
      <c r="Z736" s="43" t="s">
        <v>1113</v>
      </c>
      <c r="AA736" s="43"/>
      <c r="AB736" s="43"/>
    </row>
    <row r="737" spans="1:28" ht="14.25" hidden="1" customHeight="1">
      <c r="A737" s="190" t="s">
        <v>1017</v>
      </c>
      <c r="B737" s="225">
        <v>45642</v>
      </c>
      <c r="C737" s="190" t="s">
        <v>992</v>
      </c>
      <c r="D737" s="190" t="s">
        <v>281</v>
      </c>
      <c r="E737" s="190" t="s">
        <v>993</v>
      </c>
      <c r="F737" s="185">
        <v>-1737.53</v>
      </c>
      <c r="G737" s="165">
        <f t="shared" si="12"/>
        <v>36957.441000000013</v>
      </c>
      <c r="H737" s="190"/>
      <c r="I737" s="190" t="s">
        <v>994</v>
      </c>
      <c r="J737" s="190"/>
      <c r="K737" s="190"/>
      <c r="L737" s="190" t="s">
        <v>1034</v>
      </c>
      <c r="M737" s="190"/>
      <c r="N737" s="190" t="s">
        <v>978</v>
      </c>
      <c r="O737" s="190"/>
      <c r="P737" s="190"/>
      <c r="Q737" s="190"/>
      <c r="R737" s="190" t="s">
        <v>996</v>
      </c>
      <c r="S737" s="190" t="s">
        <v>997</v>
      </c>
      <c r="T737" s="94">
        <f t="shared" si="16"/>
        <v>12</v>
      </c>
      <c r="U737" s="212">
        <f t="shared" si="15"/>
        <v>45642</v>
      </c>
      <c r="V737" s="231"/>
      <c r="W737" s="43"/>
      <c r="X737" s="43"/>
      <c r="Y737" s="43"/>
      <c r="Z737" s="43" t="s">
        <v>1113</v>
      </c>
      <c r="AA737" s="43" t="s">
        <v>1113</v>
      </c>
      <c r="AB737" s="43"/>
    </row>
    <row r="738" spans="1:28" ht="14.25" hidden="1" customHeight="1">
      <c r="A738" s="232" t="s">
        <v>1017</v>
      </c>
      <c r="B738" s="233">
        <v>45642</v>
      </c>
      <c r="C738" s="232" t="s">
        <v>1002</v>
      </c>
      <c r="D738" s="232" t="s">
        <v>281</v>
      </c>
      <c r="E738" s="232" t="s">
        <v>190</v>
      </c>
      <c r="F738" s="230">
        <v>-225</v>
      </c>
      <c r="G738" s="165">
        <f t="shared" si="12"/>
        <v>36732.441000000013</v>
      </c>
      <c r="H738" s="232"/>
      <c r="I738" s="232" t="s">
        <v>342</v>
      </c>
      <c r="J738" s="232"/>
      <c r="K738" s="232"/>
      <c r="L738" s="232" t="s">
        <v>1009</v>
      </c>
      <c r="M738" s="232"/>
      <c r="N738" s="232" t="s">
        <v>978</v>
      </c>
      <c r="O738" s="232"/>
      <c r="P738" s="232"/>
      <c r="Q738" s="232"/>
      <c r="R738" s="232" t="s">
        <v>1004</v>
      </c>
      <c r="S738" s="232" t="s">
        <v>1005</v>
      </c>
      <c r="T738" s="234">
        <f t="shared" si="16"/>
        <v>12</v>
      </c>
      <c r="U738" s="235">
        <f t="shared" si="15"/>
        <v>45642</v>
      </c>
      <c r="V738" s="236"/>
      <c r="W738" s="236"/>
      <c r="X738" s="236"/>
      <c r="Y738" s="236"/>
      <c r="Z738" s="236" t="s">
        <v>1113</v>
      </c>
      <c r="AA738" s="236" t="s">
        <v>1113</v>
      </c>
      <c r="AB738" s="99"/>
    </row>
    <row r="739" spans="1:28" ht="14.25" hidden="1" customHeight="1">
      <c r="A739" s="232" t="s">
        <v>1017</v>
      </c>
      <c r="B739" s="233">
        <v>45642</v>
      </c>
      <c r="C739" s="232" t="s">
        <v>987</v>
      </c>
      <c r="D739" s="232" t="s">
        <v>281</v>
      </c>
      <c r="E739" s="232" t="s">
        <v>986</v>
      </c>
      <c r="F739" s="230"/>
      <c r="G739" s="165">
        <f t="shared" si="12"/>
        <v>36732.441000000013</v>
      </c>
      <c r="H739" s="232"/>
      <c r="I739" s="232" t="s">
        <v>283</v>
      </c>
      <c r="J739" s="232"/>
      <c r="K739" s="232"/>
      <c r="L739" s="232" t="s">
        <v>485</v>
      </c>
      <c r="M739" s="232"/>
      <c r="N739" s="232" t="s">
        <v>978</v>
      </c>
      <c r="O739" s="232"/>
      <c r="P739" s="232"/>
      <c r="Q739" s="232"/>
      <c r="R739" s="232" t="s">
        <v>987</v>
      </c>
      <c r="S739" s="232" t="s">
        <v>988</v>
      </c>
      <c r="T739" s="234">
        <f>MONTH(U739)</f>
        <v>12</v>
      </c>
      <c r="U739" s="235">
        <f t="shared" si="15"/>
        <v>45642</v>
      </c>
      <c r="V739" s="237"/>
      <c r="W739" s="236"/>
      <c r="X739" s="236"/>
      <c r="Y739" s="236"/>
      <c r="Z739" s="236" t="s">
        <v>1113</v>
      </c>
      <c r="AA739" s="236" t="s">
        <v>1113</v>
      </c>
      <c r="AB739" s="43"/>
    </row>
    <row r="740" spans="1:28" ht="14.25" hidden="1" customHeight="1">
      <c r="A740" s="232" t="s">
        <v>1017</v>
      </c>
      <c r="B740" s="233">
        <v>45642</v>
      </c>
      <c r="C740" s="232" t="s">
        <v>919</v>
      </c>
      <c r="D740" s="232" t="s">
        <v>281</v>
      </c>
      <c r="E740" s="232" t="s">
        <v>129</v>
      </c>
      <c r="F740" s="230">
        <v>-1412</v>
      </c>
      <c r="G740" s="165">
        <f t="shared" si="12"/>
        <v>35320.441000000013</v>
      </c>
      <c r="H740" s="232"/>
      <c r="I740" s="232" t="s">
        <v>342</v>
      </c>
      <c r="J740" s="232"/>
      <c r="K740" s="232"/>
      <c r="L740" s="232" t="s">
        <v>485</v>
      </c>
      <c r="M740" s="232"/>
      <c r="N740" s="232" t="s">
        <v>978</v>
      </c>
      <c r="O740" s="232"/>
      <c r="P740" s="232"/>
      <c r="Q740" s="232"/>
      <c r="R740" s="232" t="s">
        <v>922</v>
      </c>
      <c r="S740" s="232" t="s">
        <v>923</v>
      </c>
      <c r="T740" s="234">
        <f t="shared" ref="T740:T761" si="17">MONTH(B740)</f>
        <v>12</v>
      </c>
      <c r="U740" s="235">
        <f t="shared" si="15"/>
        <v>45642</v>
      </c>
      <c r="V740" s="170"/>
      <c r="W740" s="236"/>
      <c r="X740" s="236"/>
      <c r="Y740" s="236"/>
      <c r="Z740" s="236" t="s">
        <v>1113</v>
      </c>
      <c r="AA740" s="236" t="s">
        <v>1113</v>
      </c>
      <c r="AB740" s="43"/>
    </row>
    <row r="741" spans="1:28" ht="14.25" hidden="1" customHeight="1">
      <c r="A741" s="232" t="s">
        <v>1017</v>
      </c>
      <c r="B741" s="233">
        <v>45642</v>
      </c>
      <c r="C741" s="232" t="s">
        <v>919</v>
      </c>
      <c r="D741" s="232" t="s">
        <v>281</v>
      </c>
      <c r="E741" s="232" t="s">
        <v>129</v>
      </c>
      <c r="F741" s="238">
        <v>-875</v>
      </c>
      <c r="G741" s="165">
        <f t="shared" si="12"/>
        <v>34445.441000000013</v>
      </c>
      <c r="H741" s="232"/>
      <c r="I741" s="232" t="s">
        <v>342</v>
      </c>
      <c r="J741" s="232"/>
      <c r="K741" s="232"/>
      <c r="L741" s="232" t="s">
        <v>805</v>
      </c>
      <c r="M741" s="232"/>
      <c r="N741" s="232" t="s">
        <v>978</v>
      </c>
      <c r="O741" s="232"/>
      <c r="P741" s="232"/>
      <c r="Q741" s="232"/>
      <c r="R741" s="232" t="s">
        <v>922</v>
      </c>
      <c r="S741" s="232" t="s">
        <v>923</v>
      </c>
      <c r="T741" s="234">
        <f t="shared" si="17"/>
        <v>12</v>
      </c>
      <c r="U741" s="235">
        <f t="shared" si="15"/>
        <v>45642</v>
      </c>
      <c r="V741" s="237"/>
      <c r="W741" s="236"/>
      <c r="X741" s="236"/>
      <c r="Y741" s="236"/>
      <c r="Z741" s="236" t="s">
        <v>1113</v>
      </c>
      <c r="AA741" s="236" t="s">
        <v>1113</v>
      </c>
      <c r="AB741" s="43" t="s">
        <v>1406</v>
      </c>
    </row>
    <row r="742" spans="1:28" ht="14.25" hidden="1" customHeight="1">
      <c r="A742" s="232" t="s">
        <v>1017</v>
      </c>
      <c r="B742" s="233">
        <v>45642</v>
      </c>
      <c r="C742" s="232" t="s">
        <v>1407</v>
      </c>
      <c r="D742" s="232" t="s">
        <v>281</v>
      </c>
      <c r="E742" s="232" t="s">
        <v>199</v>
      </c>
      <c r="F742" s="230">
        <v>-130</v>
      </c>
      <c r="G742" s="165">
        <f t="shared" si="12"/>
        <v>34315.441000000013</v>
      </c>
      <c r="H742" s="232"/>
      <c r="I742" s="232" t="s">
        <v>342</v>
      </c>
      <c r="J742" s="232"/>
      <c r="K742" s="232"/>
      <c r="L742" s="232" t="s">
        <v>805</v>
      </c>
      <c r="M742" s="232"/>
      <c r="N742" s="232" t="s">
        <v>978</v>
      </c>
      <c r="O742" s="232"/>
      <c r="P742" s="232"/>
      <c r="Q742" s="232"/>
      <c r="R742" s="232" t="s">
        <v>922</v>
      </c>
      <c r="S742" s="232" t="s">
        <v>923</v>
      </c>
      <c r="T742" s="234">
        <f t="shared" si="17"/>
        <v>12</v>
      </c>
      <c r="U742" s="235">
        <f t="shared" si="15"/>
        <v>45642</v>
      </c>
      <c r="V742" s="236"/>
      <c r="W742" s="236"/>
      <c r="X742" s="236"/>
      <c r="Y742" s="236"/>
      <c r="Z742" s="236" t="s">
        <v>1113</v>
      </c>
      <c r="AA742" s="236" t="s">
        <v>1336</v>
      </c>
      <c r="AB742" s="43"/>
    </row>
    <row r="743" spans="1:28" ht="14.25" hidden="1" customHeight="1">
      <c r="A743" s="232" t="s">
        <v>1017</v>
      </c>
      <c r="B743" s="233">
        <v>45638</v>
      </c>
      <c r="C743" s="232" t="s">
        <v>769</v>
      </c>
      <c r="D743" s="232" t="s">
        <v>281</v>
      </c>
      <c r="E743" s="232" t="s">
        <v>760</v>
      </c>
      <c r="F743" s="230">
        <v>-1463.8</v>
      </c>
      <c r="G743" s="165">
        <f t="shared" si="12"/>
        <v>32851.641000000011</v>
      </c>
      <c r="H743" s="232"/>
      <c r="I743" s="232" t="s">
        <v>283</v>
      </c>
      <c r="J743" s="232"/>
      <c r="K743" s="232"/>
      <c r="L743" s="232" t="s">
        <v>686</v>
      </c>
      <c r="M743" s="232"/>
      <c r="N743" s="232" t="s">
        <v>978</v>
      </c>
      <c r="O743" s="232"/>
      <c r="P743" s="232"/>
      <c r="Q743" s="232"/>
      <c r="R743" s="232" t="s">
        <v>771</v>
      </c>
      <c r="S743" s="232" t="s">
        <v>772</v>
      </c>
      <c r="T743" s="234">
        <f t="shared" si="17"/>
        <v>12</v>
      </c>
      <c r="U743" s="235">
        <f t="shared" si="15"/>
        <v>45642</v>
      </c>
      <c r="V743" s="239">
        <v>45642</v>
      </c>
      <c r="W743" s="236"/>
      <c r="X743" s="236"/>
      <c r="Y743" s="236"/>
      <c r="Z743" s="236" t="s">
        <v>1113</v>
      </c>
      <c r="AA743" s="236" t="s">
        <v>1113</v>
      </c>
      <c r="AB743" s="43"/>
    </row>
    <row r="744" spans="1:28" ht="14.25" hidden="1" customHeight="1">
      <c r="A744" s="232"/>
      <c r="B744" s="233">
        <v>45642</v>
      </c>
      <c r="C744" s="232" t="s">
        <v>1008</v>
      </c>
      <c r="D744" s="232" t="s">
        <v>281</v>
      </c>
      <c r="E744" s="232" t="s">
        <v>199</v>
      </c>
      <c r="F744" s="230">
        <v>-830</v>
      </c>
      <c r="G744" s="165">
        <f t="shared" si="12"/>
        <v>32021.641000000011</v>
      </c>
      <c r="H744" s="232"/>
      <c r="I744" s="232" t="s">
        <v>977</v>
      </c>
      <c r="J744" s="232"/>
      <c r="K744" s="232"/>
      <c r="L744" s="232" t="s">
        <v>1003</v>
      </c>
      <c r="M744" s="232"/>
      <c r="N744" s="232" t="s">
        <v>978</v>
      </c>
      <c r="O744" s="232"/>
      <c r="P744" s="232"/>
      <c r="Q744" s="232"/>
      <c r="R744" s="232" t="s">
        <v>1011</v>
      </c>
      <c r="S744" s="232" t="s">
        <v>1012</v>
      </c>
      <c r="T744" s="234">
        <f t="shared" si="17"/>
        <v>12</v>
      </c>
      <c r="U744" s="235">
        <f t="shared" si="15"/>
        <v>45642</v>
      </c>
      <c r="V744" s="237"/>
      <c r="W744" s="236"/>
      <c r="X744" s="236"/>
      <c r="Y744" s="236"/>
      <c r="Z744" s="236"/>
      <c r="AA744" s="236"/>
      <c r="AB744" s="43"/>
    </row>
    <row r="745" spans="1:28" ht="14.25" hidden="1" customHeight="1">
      <c r="A745" s="163" t="s">
        <v>1017</v>
      </c>
      <c r="B745" s="164">
        <v>45642</v>
      </c>
      <c r="C745" s="163"/>
      <c r="D745" s="163" t="s">
        <v>281</v>
      </c>
      <c r="E745" s="163" t="s">
        <v>1077</v>
      </c>
      <c r="F745" s="168">
        <f>-5-1.99-1.19</f>
        <v>-8.18</v>
      </c>
      <c r="G745" s="165">
        <f t="shared" si="12"/>
        <v>32013.46100000001</v>
      </c>
      <c r="H745" s="163"/>
      <c r="I745" s="163" t="s">
        <v>342</v>
      </c>
      <c r="J745" s="163"/>
      <c r="K745" s="163"/>
      <c r="L745" s="163" t="s">
        <v>1030</v>
      </c>
      <c r="M745" s="163"/>
      <c r="N745" s="163" t="s">
        <v>978</v>
      </c>
      <c r="O745" s="163"/>
      <c r="P745" s="163"/>
      <c r="Q745" s="163"/>
      <c r="R745" s="163"/>
      <c r="S745" s="163" t="s">
        <v>1076</v>
      </c>
      <c r="T745" s="94">
        <f t="shared" si="17"/>
        <v>12</v>
      </c>
      <c r="U745" s="212">
        <f t="shared" si="15"/>
        <v>45642</v>
      </c>
      <c r="V745" s="43"/>
      <c r="W745" s="43"/>
      <c r="X745" s="43"/>
      <c r="Y745" s="43"/>
      <c r="Z745" s="43" t="s">
        <v>1113</v>
      </c>
      <c r="AA745" s="43" t="s">
        <v>1113</v>
      </c>
      <c r="AB745" s="43"/>
    </row>
    <row r="746" spans="1:28" ht="14.25" hidden="1" customHeight="1">
      <c r="A746" s="190"/>
      <c r="B746" s="225">
        <v>45642</v>
      </c>
      <c r="C746" s="190" t="s">
        <v>346</v>
      </c>
      <c r="D746" s="190"/>
      <c r="E746" s="190"/>
      <c r="F746" s="191">
        <v>0</v>
      </c>
      <c r="G746" s="165">
        <f t="shared" si="12"/>
        <v>32013.46100000001</v>
      </c>
      <c r="H746" s="190"/>
      <c r="I746" s="190"/>
      <c r="J746" s="190"/>
      <c r="K746" s="190"/>
      <c r="L746" s="190"/>
      <c r="M746" s="190"/>
      <c r="N746" s="190"/>
      <c r="O746" s="190"/>
      <c r="P746" s="190"/>
      <c r="Q746" s="190"/>
      <c r="R746" s="190"/>
      <c r="S746" s="190"/>
      <c r="T746" s="94">
        <f t="shared" si="17"/>
        <v>12</v>
      </c>
      <c r="U746" s="212">
        <f t="shared" si="15"/>
        <v>45642</v>
      </c>
      <c r="V746" s="166"/>
      <c r="W746" s="43"/>
      <c r="X746" s="43"/>
      <c r="Y746" s="43"/>
      <c r="Z746" s="43"/>
      <c r="AA746" s="43"/>
      <c r="AB746" s="43"/>
    </row>
    <row r="747" spans="1:28" ht="14.25" hidden="1" customHeight="1">
      <c r="A747" s="180" t="s">
        <v>279</v>
      </c>
      <c r="B747" s="181">
        <v>45643</v>
      </c>
      <c r="C747" s="180" t="s">
        <v>280</v>
      </c>
      <c r="D747" s="180" t="s">
        <v>281</v>
      </c>
      <c r="E747" s="180" t="s">
        <v>282</v>
      </c>
      <c r="F747" s="186">
        <v>5000</v>
      </c>
      <c r="G747" s="165">
        <f t="shared" si="12"/>
        <v>37013.46100000001</v>
      </c>
      <c r="H747" s="180"/>
      <c r="I747" s="180" t="s">
        <v>283</v>
      </c>
      <c r="J747" s="180" t="s">
        <v>918</v>
      </c>
      <c r="K747" s="180"/>
      <c r="L747" s="180"/>
      <c r="M747" s="180"/>
      <c r="N747" s="180" t="s">
        <v>285</v>
      </c>
      <c r="O747" s="180"/>
      <c r="P747" s="180"/>
      <c r="Q747" s="180"/>
      <c r="R747" s="180" t="s">
        <v>286</v>
      </c>
      <c r="S747" s="180" t="s">
        <v>287</v>
      </c>
      <c r="T747" s="189">
        <f t="shared" si="17"/>
        <v>12</v>
      </c>
      <c r="U747" s="216">
        <f t="shared" si="15"/>
        <v>45643</v>
      </c>
      <c r="V747" s="213"/>
      <c r="W747" s="43"/>
      <c r="X747" s="43"/>
      <c r="Y747" s="43"/>
      <c r="Z747" s="43"/>
      <c r="AA747" s="43" t="s">
        <v>1113</v>
      </c>
      <c r="AB747" s="183"/>
    </row>
    <row r="748" spans="1:28" ht="14.25" hidden="1" customHeight="1">
      <c r="A748" s="190" t="s">
        <v>1017</v>
      </c>
      <c r="B748" s="225">
        <v>45642</v>
      </c>
      <c r="C748" s="190" t="s">
        <v>1408</v>
      </c>
      <c r="D748" s="190" t="s">
        <v>281</v>
      </c>
      <c r="E748" s="190" t="s">
        <v>993</v>
      </c>
      <c r="F748" s="185">
        <v>-7000</v>
      </c>
      <c r="G748" s="165">
        <f t="shared" si="12"/>
        <v>30013.46100000001</v>
      </c>
      <c r="H748" s="190"/>
      <c r="I748" s="190" t="s">
        <v>1176</v>
      </c>
      <c r="J748" s="190" t="s">
        <v>1400</v>
      </c>
      <c r="K748" s="190"/>
      <c r="L748" s="190" t="s">
        <v>305</v>
      </c>
      <c r="M748" s="190"/>
      <c r="N748" s="190" t="s">
        <v>1178</v>
      </c>
      <c r="O748" s="190" t="s">
        <v>1400</v>
      </c>
      <c r="P748" s="190" t="s">
        <v>57</v>
      </c>
      <c r="Q748" s="190"/>
      <c r="R748" s="190"/>
      <c r="S748" s="190" t="s">
        <v>968</v>
      </c>
      <c r="T748" s="94">
        <f t="shared" si="17"/>
        <v>12</v>
      </c>
      <c r="U748" s="212">
        <f t="shared" si="15"/>
        <v>45643</v>
      </c>
      <c r="V748" s="166">
        <v>45643</v>
      </c>
      <c r="W748" s="43"/>
      <c r="X748" s="43"/>
      <c r="Y748" s="43"/>
      <c r="Z748" s="43" t="s">
        <v>1113</v>
      </c>
      <c r="AA748" s="43"/>
      <c r="AB748" s="43"/>
    </row>
    <row r="749" spans="1:28" ht="14.25" hidden="1" customHeight="1">
      <c r="A749" s="232" t="s">
        <v>1017</v>
      </c>
      <c r="B749" s="233">
        <v>45642</v>
      </c>
      <c r="C749" s="232" t="s">
        <v>919</v>
      </c>
      <c r="D749" s="232" t="s">
        <v>281</v>
      </c>
      <c r="E749" s="232" t="s">
        <v>129</v>
      </c>
      <c r="F749" s="238">
        <v>-1975</v>
      </c>
      <c r="G749" s="165">
        <f t="shared" si="12"/>
        <v>28038.46100000001</v>
      </c>
      <c r="H749" s="232"/>
      <c r="I749" s="232" t="s">
        <v>342</v>
      </c>
      <c r="J749" s="232"/>
      <c r="K749" s="232"/>
      <c r="L749" s="232" t="s">
        <v>805</v>
      </c>
      <c r="M749" s="232"/>
      <c r="N749" s="232" t="s">
        <v>978</v>
      </c>
      <c r="O749" s="232"/>
      <c r="P749" s="232"/>
      <c r="Q749" s="232"/>
      <c r="R749" s="232" t="s">
        <v>922</v>
      </c>
      <c r="S749" s="232" t="s">
        <v>923</v>
      </c>
      <c r="T749" s="234">
        <f t="shared" si="17"/>
        <v>12</v>
      </c>
      <c r="U749" s="235">
        <f t="shared" si="15"/>
        <v>45643</v>
      </c>
      <c r="V749" s="166">
        <v>45643</v>
      </c>
      <c r="W749" s="236"/>
      <c r="X749" s="236"/>
      <c r="Y749" s="236"/>
      <c r="Z749" s="236" t="s">
        <v>1113</v>
      </c>
      <c r="AA749" s="236" t="s">
        <v>1113</v>
      </c>
      <c r="AB749" s="43" t="s">
        <v>1406</v>
      </c>
    </row>
    <row r="750" spans="1:28" ht="14.25" hidden="1" customHeight="1">
      <c r="A750" s="190"/>
      <c r="B750" s="225">
        <v>45642</v>
      </c>
      <c r="C750" s="190" t="s">
        <v>1087</v>
      </c>
      <c r="D750" s="190" t="s">
        <v>281</v>
      </c>
      <c r="E750" s="190" t="s">
        <v>1088</v>
      </c>
      <c r="F750" s="185">
        <v>-5000</v>
      </c>
      <c r="G750" s="165">
        <f t="shared" si="12"/>
        <v>23038.46100000001</v>
      </c>
      <c r="H750" s="190"/>
      <c r="I750" s="190" t="s">
        <v>283</v>
      </c>
      <c r="J750" s="190"/>
      <c r="K750" s="190"/>
      <c r="L750" s="190" t="s">
        <v>305</v>
      </c>
      <c r="M750" s="190"/>
      <c r="N750" s="190" t="s">
        <v>978</v>
      </c>
      <c r="O750" s="190"/>
      <c r="P750" s="190"/>
      <c r="Q750" s="190" t="s">
        <v>1067</v>
      </c>
      <c r="R750" s="190" t="s">
        <v>1087</v>
      </c>
      <c r="S750" s="190" t="s">
        <v>1089</v>
      </c>
      <c r="T750" s="94">
        <f t="shared" si="17"/>
        <v>12</v>
      </c>
      <c r="U750" s="212">
        <f t="shared" si="15"/>
        <v>45643</v>
      </c>
      <c r="V750" s="166">
        <v>45643</v>
      </c>
      <c r="W750" s="43"/>
      <c r="X750" s="43"/>
      <c r="Y750" s="43"/>
      <c r="Z750" s="43"/>
      <c r="AA750" s="43"/>
      <c r="AB750" s="43"/>
    </row>
    <row r="751" spans="1:28" ht="14.25" hidden="1" customHeight="1">
      <c r="A751" s="163" t="s">
        <v>1017</v>
      </c>
      <c r="B751" s="164">
        <v>45652</v>
      </c>
      <c r="C751" s="163" t="s">
        <v>1155</v>
      </c>
      <c r="D751" s="163" t="s">
        <v>281</v>
      </c>
      <c r="E751" s="163" t="s">
        <v>392</v>
      </c>
      <c r="F751" s="168">
        <v>-9385</v>
      </c>
      <c r="G751" s="165">
        <f t="shared" si="12"/>
        <v>13653.46100000001</v>
      </c>
      <c r="H751" s="163"/>
      <c r="I751" s="163" t="s">
        <v>283</v>
      </c>
      <c r="J751" s="163"/>
      <c r="K751" s="163"/>
      <c r="L751" s="163" t="s">
        <v>485</v>
      </c>
      <c r="M751" s="163"/>
      <c r="N751" s="163" t="s">
        <v>978</v>
      </c>
      <c r="O751" s="163"/>
      <c r="P751" s="163"/>
      <c r="Q751" s="163"/>
      <c r="R751" s="163" t="s">
        <v>1155</v>
      </c>
      <c r="S751" s="163" t="s">
        <v>1156</v>
      </c>
      <c r="T751" s="43">
        <f t="shared" si="17"/>
        <v>12</v>
      </c>
      <c r="U751" s="167">
        <f t="shared" si="15"/>
        <v>45643</v>
      </c>
      <c r="V751" s="166">
        <v>45643</v>
      </c>
      <c r="W751" s="43"/>
      <c r="X751" s="43"/>
      <c r="Y751" s="43"/>
      <c r="Z751" s="43" t="s">
        <v>1113</v>
      </c>
      <c r="AA751" s="43" t="s">
        <v>1113</v>
      </c>
      <c r="AB751" s="43"/>
    </row>
    <row r="752" spans="1:28" ht="14.25" hidden="1" customHeight="1">
      <c r="A752" s="190" t="s">
        <v>1017</v>
      </c>
      <c r="B752" s="225">
        <v>45642</v>
      </c>
      <c r="C752" s="190" t="s">
        <v>1409</v>
      </c>
      <c r="D752" s="190" t="s">
        <v>281</v>
      </c>
      <c r="E752" s="190" t="s">
        <v>199</v>
      </c>
      <c r="F752" s="185">
        <v>-1990</v>
      </c>
      <c r="G752" s="165">
        <f t="shared" si="12"/>
        <v>11663.46100000001</v>
      </c>
      <c r="H752" s="190"/>
      <c r="I752" s="190" t="s">
        <v>342</v>
      </c>
      <c r="J752" s="190"/>
      <c r="K752" s="190"/>
      <c r="L752" s="190" t="s">
        <v>366</v>
      </c>
      <c r="M752" s="190"/>
      <c r="N752" s="190" t="s">
        <v>978</v>
      </c>
      <c r="O752" s="190"/>
      <c r="P752" s="190"/>
      <c r="Q752" s="190"/>
      <c r="R752" s="190" t="s">
        <v>1153</v>
      </c>
      <c r="S752" s="190" t="s">
        <v>1154</v>
      </c>
      <c r="T752" s="94">
        <f t="shared" si="17"/>
        <v>12</v>
      </c>
      <c r="U752" s="212">
        <f t="shared" si="15"/>
        <v>45643</v>
      </c>
      <c r="V752" s="166">
        <v>45643</v>
      </c>
      <c r="W752" s="43"/>
      <c r="X752" s="43"/>
      <c r="Y752" s="43"/>
      <c r="Z752" s="43" t="s">
        <v>1113</v>
      </c>
      <c r="AA752" s="43"/>
      <c r="AB752" s="43"/>
    </row>
    <row r="753" spans="1:28" ht="14.25" hidden="1" customHeight="1">
      <c r="A753" s="190" t="s">
        <v>1017</v>
      </c>
      <c r="B753" s="225">
        <v>45642</v>
      </c>
      <c r="C753" s="190" t="s">
        <v>130</v>
      </c>
      <c r="D753" s="190" t="s">
        <v>281</v>
      </c>
      <c r="E753" s="190" t="s">
        <v>199</v>
      </c>
      <c r="F753" s="185"/>
      <c r="G753" s="165">
        <f t="shared" si="12"/>
        <v>11663.46100000001</v>
      </c>
      <c r="H753" s="190"/>
      <c r="I753" s="190" t="s">
        <v>977</v>
      </c>
      <c r="J753" s="190"/>
      <c r="K753" s="190"/>
      <c r="L753" s="190" t="s">
        <v>366</v>
      </c>
      <c r="M753" s="190"/>
      <c r="N753" s="190" t="s">
        <v>978</v>
      </c>
      <c r="O753" s="190"/>
      <c r="P753" s="190"/>
      <c r="Q753" s="190"/>
      <c r="R753" s="190" t="s">
        <v>130</v>
      </c>
      <c r="S753" s="190"/>
      <c r="T753" s="94">
        <f t="shared" si="17"/>
        <v>12</v>
      </c>
      <c r="U753" s="212">
        <f t="shared" si="15"/>
        <v>45643</v>
      </c>
      <c r="V753" s="166">
        <v>45643</v>
      </c>
      <c r="W753" s="43"/>
      <c r="X753" s="43"/>
      <c r="Y753" s="43"/>
      <c r="Z753" s="43" t="s">
        <v>1113</v>
      </c>
      <c r="AA753" s="43" t="s">
        <v>1113</v>
      </c>
      <c r="AB753" s="43"/>
    </row>
    <row r="754" spans="1:28" ht="14.25" hidden="1" customHeight="1">
      <c r="A754" s="180" t="s">
        <v>1017</v>
      </c>
      <c r="B754" s="181">
        <v>45642</v>
      </c>
      <c r="C754" s="180" t="s">
        <v>1410</v>
      </c>
      <c r="D754" s="180" t="s">
        <v>281</v>
      </c>
      <c r="E754" s="180" t="s">
        <v>199</v>
      </c>
      <c r="F754" s="182">
        <v>-44</v>
      </c>
      <c r="G754" s="165">
        <f t="shared" si="12"/>
        <v>11619.46100000001</v>
      </c>
      <c r="H754" s="180"/>
      <c r="I754" s="180" t="s">
        <v>977</v>
      </c>
      <c r="J754" s="180"/>
      <c r="K754" s="180"/>
      <c r="L754" s="180" t="s">
        <v>1411</v>
      </c>
      <c r="M754" s="180"/>
      <c r="N754" s="180" t="s">
        <v>978</v>
      </c>
      <c r="O754" s="180"/>
      <c r="P754" s="180"/>
      <c r="Q754" s="180"/>
      <c r="R754" s="180" t="s">
        <v>1015</v>
      </c>
      <c r="S754" s="180" t="s">
        <v>1016</v>
      </c>
      <c r="T754" s="189">
        <f t="shared" si="17"/>
        <v>12</v>
      </c>
      <c r="U754" s="211">
        <f t="shared" si="15"/>
        <v>45643</v>
      </c>
      <c r="V754" s="187">
        <v>45643</v>
      </c>
      <c r="W754" s="183"/>
      <c r="X754" s="183"/>
      <c r="Y754" s="183"/>
      <c r="Z754" s="183" t="s">
        <v>1113</v>
      </c>
      <c r="AA754" s="183"/>
      <c r="AB754" s="183"/>
    </row>
    <row r="755" spans="1:28" ht="14.25" hidden="1" customHeight="1">
      <c r="A755" s="163" t="s">
        <v>1017</v>
      </c>
      <c r="B755" s="164">
        <v>45643</v>
      </c>
      <c r="C755" s="163" t="s">
        <v>95</v>
      </c>
      <c r="D755" s="163" t="s">
        <v>281</v>
      </c>
      <c r="E755" s="163" t="s">
        <v>1314</v>
      </c>
      <c r="F755" s="168">
        <v>-2386.6</v>
      </c>
      <c r="G755" s="165">
        <f t="shared" si="12"/>
        <v>9232.8610000000099</v>
      </c>
      <c r="H755" s="163"/>
      <c r="I755" s="163" t="s">
        <v>283</v>
      </c>
      <c r="J755" s="163"/>
      <c r="K755" s="163"/>
      <c r="L755" s="163" t="s">
        <v>305</v>
      </c>
      <c r="M755" s="163"/>
      <c r="N755" s="163" t="s">
        <v>978</v>
      </c>
      <c r="O755" s="163"/>
      <c r="P755" s="163"/>
      <c r="Q755" s="163"/>
      <c r="R755" s="163" t="s">
        <v>95</v>
      </c>
      <c r="S755" s="163" t="s">
        <v>440</v>
      </c>
      <c r="T755" s="43">
        <f t="shared" si="17"/>
        <v>12</v>
      </c>
      <c r="U755" s="167">
        <f t="shared" si="15"/>
        <v>45643</v>
      </c>
      <c r="V755" s="166"/>
      <c r="W755" s="43"/>
      <c r="X755" s="43"/>
      <c r="Y755" s="43"/>
      <c r="Z755" s="43" t="s">
        <v>1113</v>
      </c>
      <c r="AA755" s="43" t="s">
        <v>1113</v>
      </c>
      <c r="AB755" s="43"/>
    </row>
    <row r="756" spans="1:28" ht="14.25" hidden="1" customHeight="1">
      <c r="A756" s="163" t="s">
        <v>1017</v>
      </c>
      <c r="B756" s="164">
        <v>45643</v>
      </c>
      <c r="C756" s="163"/>
      <c r="D756" s="163" t="s">
        <v>281</v>
      </c>
      <c r="E756" s="163" t="s">
        <v>1077</v>
      </c>
      <c r="F756" s="168">
        <v>-3.5</v>
      </c>
      <c r="G756" s="165">
        <f t="shared" si="12"/>
        <v>9229.3610000000099</v>
      </c>
      <c r="H756" s="163"/>
      <c r="I756" s="163" t="s">
        <v>342</v>
      </c>
      <c r="J756" s="163"/>
      <c r="K756" s="163"/>
      <c r="L756" s="163" t="s">
        <v>1030</v>
      </c>
      <c r="M756" s="163"/>
      <c r="N756" s="163" t="s">
        <v>978</v>
      </c>
      <c r="O756" s="163"/>
      <c r="P756" s="163"/>
      <c r="Q756" s="163"/>
      <c r="R756" s="163"/>
      <c r="S756" s="163" t="s">
        <v>1076</v>
      </c>
      <c r="T756" s="94">
        <f t="shared" si="17"/>
        <v>12</v>
      </c>
      <c r="U756" s="212">
        <f t="shared" si="15"/>
        <v>45643</v>
      </c>
      <c r="V756" s="43"/>
      <c r="W756" s="43"/>
      <c r="X756" s="43"/>
      <c r="Y756" s="43"/>
      <c r="Z756" s="43" t="s">
        <v>1113</v>
      </c>
      <c r="AA756" s="43" t="s">
        <v>1113</v>
      </c>
      <c r="AB756" s="43"/>
    </row>
    <row r="757" spans="1:28" ht="14.25" hidden="1" customHeight="1">
      <c r="A757" s="240" t="s">
        <v>1017</v>
      </c>
      <c r="B757" s="241">
        <v>45643</v>
      </c>
      <c r="C757" s="240" t="s">
        <v>181</v>
      </c>
      <c r="D757" s="240" t="s">
        <v>281</v>
      </c>
      <c r="E757" s="240" t="s">
        <v>760</v>
      </c>
      <c r="F757" s="188">
        <v>-1400</v>
      </c>
      <c r="G757" s="165">
        <f t="shared" si="12"/>
        <v>7829.3610000000099</v>
      </c>
      <c r="H757" s="240"/>
      <c r="I757" s="240" t="s">
        <v>283</v>
      </c>
      <c r="J757" s="240"/>
      <c r="K757" s="240"/>
      <c r="L757" s="240" t="s">
        <v>305</v>
      </c>
      <c r="M757" s="240"/>
      <c r="N757" s="240" t="s">
        <v>978</v>
      </c>
      <c r="O757" s="240"/>
      <c r="P757" s="240"/>
      <c r="Q757" s="240" t="s">
        <v>1067</v>
      </c>
      <c r="R757" s="240" t="s">
        <v>1087</v>
      </c>
      <c r="S757" s="240" t="s">
        <v>1089</v>
      </c>
      <c r="T757" s="242">
        <f t="shared" si="17"/>
        <v>12</v>
      </c>
      <c r="U757" s="243">
        <f t="shared" si="15"/>
        <v>45643</v>
      </c>
      <c r="V757" s="244"/>
      <c r="W757" s="245"/>
      <c r="X757" s="245"/>
      <c r="Y757" s="245"/>
      <c r="Z757" s="245" t="s">
        <v>1157</v>
      </c>
      <c r="AA757" s="245" t="s">
        <v>1157</v>
      </c>
      <c r="AB757" s="183"/>
    </row>
    <row r="758" spans="1:28" ht="14.25" hidden="1" customHeight="1">
      <c r="A758" s="240" t="s">
        <v>1017</v>
      </c>
      <c r="B758" s="241">
        <v>45643</v>
      </c>
      <c r="C758" s="240" t="s">
        <v>1103</v>
      </c>
      <c r="D758" s="240" t="s">
        <v>281</v>
      </c>
      <c r="E758" s="240" t="s">
        <v>356</v>
      </c>
      <c r="F758" s="188">
        <v>-1673</v>
      </c>
      <c r="G758" s="165">
        <f t="shared" si="12"/>
        <v>6156.3610000000099</v>
      </c>
      <c r="H758" s="240"/>
      <c r="I758" s="240" t="s">
        <v>283</v>
      </c>
      <c r="J758" s="240"/>
      <c r="K758" s="240"/>
      <c r="L758" s="240" t="s">
        <v>305</v>
      </c>
      <c r="M758" s="240"/>
      <c r="N758" s="240" t="s">
        <v>978</v>
      </c>
      <c r="O758" s="240"/>
      <c r="P758" s="240"/>
      <c r="Q758" s="240" t="s">
        <v>1067</v>
      </c>
      <c r="R758" s="240" t="s">
        <v>1087</v>
      </c>
      <c r="S758" s="240" t="s">
        <v>1089</v>
      </c>
      <c r="T758" s="242">
        <f t="shared" si="17"/>
        <v>12</v>
      </c>
      <c r="U758" s="243">
        <f t="shared" si="15"/>
        <v>45643</v>
      </c>
      <c r="V758" s="244"/>
      <c r="W758" s="245"/>
      <c r="X758" s="245"/>
      <c r="Y758" s="245"/>
      <c r="Z758" s="245" t="s">
        <v>1157</v>
      </c>
      <c r="AA758" s="245" t="s">
        <v>1157</v>
      </c>
      <c r="AB758" s="183"/>
    </row>
    <row r="759" spans="1:28" ht="14.25" hidden="1" customHeight="1">
      <c r="A759" s="163"/>
      <c r="B759" s="164">
        <v>45643</v>
      </c>
      <c r="C759" s="163" t="s">
        <v>346</v>
      </c>
      <c r="D759" s="163"/>
      <c r="E759" s="163"/>
      <c r="F759" s="165">
        <v>0</v>
      </c>
      <c r="G759" s="165">
        <f t="shared" si="12"/>
        <v>6156.3610000000099</v>
      </c>
      <c r="H759" s="163"/>
      <c r="I759" s="163"/>
      <c r="J759" s="163"/>
      <c r="K759" s="163"/>
      <c r="L759" s="163"/>
      <c r="M759" s="163"/>
      <c r="N759" s="163"/>
      <c r="O759" s="163"/>
      <c r="P759" s="163"/>
      <c r="Q759" s="163"/>
      <c r="R759" s="163"/>
      <c r="S759" s="163"/>
      <c r="T759" s="43">
        <f t="shared" si="17"/>
        <v>12</v>
      </c>
      <c r="U759" s="167">
        <f t="shared" si="15"/>
        <v>45643</v>
      </c>
      <c r="V759" s="166"/>
      <c r="W759" s="43"/>
      <c r="X759" s="43"/>
      <c r="Y759" s="43"/>
      <c r="Z759" s="43" t="s">
        <v>1157</v>
      </c>
      <c r="AA759" s="43" t="s">
        <v>1157</v>
      </c>
      <c r="AB759" s="43"/>
    </row>
    <row r="760" spans="1:28" ht="14.25" hidden="1" customHeight="1">
      <c r="A760" s="163" t="s">
        <v>1017</v>
      </c>
      <c r="B760" s="164">
        <v>45643</v>
      </c>
      <c r="C760" s="163"/>
      <c r="D760" s="163" t="s">
        <v>281</v>
      </c>
      <c r="E760" s="163" t="s">
        <v>1077</v>
      </c>
      <c r="F760" s="168">
        <v>-1</v>
      </c>
      <c r="G760" s="165">
        <f t="shared" si="12"/>
        <v>6155.3610000000099</v>
      </c>
      <c r="H760" s="163"/>
      <c r="I760" s="163" t="s">
        <v>342</v>
      </c>
      <c r="J760" s="163"/>
      <c r="K760" s="163"/>
      <c r="L760" s="163" t="s">
        <v>1030</v>
      </c>
      <c r="M760" s="163"/>
      <c r="N760" s="163" t="s">
        <v>978</v>
      </c>
      <c r="O760" s="163"/>
      <c r="P760" s="163"/>
      <c r="Q760" s="163"/>
      <c r="R760" s="163"/>
      <c r="S760" s="163" t="s">
        <v>1076</v>
      </c>
      <c r="T760" s="94">
        <f t="shared" si="17"/>
        <v>12</v>
      </c>
      <c r="U760" s="212">
        <f t="shared" si="15"/>
        <v>45643</v>
      </c>
      <c r="V760" s="43"/>
      <c r="W760" s="43"/>
      <c r="X760" s="43"/>
      <c r="Y760" s="43"/>
      <c r="Z760" s="43" t="s">
        <v>1113</v>
      </c>
      <c r="AA760" s="43" t="s">
        <v>1113</v>
      </c>
      <c r="AB760" s="43"/>
    </row>
    <row r="761" spans="1:28" ht="14.25" hidden="1" customHeight="1">
      <c r="A761" s="163" t="s">
        <v>1017</v>
      </c>
      <c r="B761" s="164">
        <v>45644</v>
      </c>
      <c r="C761" s="163" t="s">
        <v>1142</v>
      </c>
      <c r="D761" s="163" t="s">
        <v>281</v>
      </c>
      <c r="E761" s="163" t="s">
        <v>199</v>
      </c>
      <c r="F761" s="168"/>
      <c r="G761" s="165">
        <f t="shared" si="12"/>
        <v>6155.3610000000099</v>
      </c>
      <c r="H761" s="163"/>
      <c r="I761" s="163" t="s">
        <v>342</v>
      </c>
      <c r="J761" s="163"/>
      <c r="K761" s="163"/>
      <c r="L761" s="163" t="s">
        <v>686</v>
      </c>
      <c r="M761" s="163"/>
      <c r="N761" s="163" t="s">
        <v>978</v>
      </c>
      <c r="O761" s="163"/>
      <c r="P761" s="163"/>
      <c r="Q761" s="163"/>
      <c r="R761" s="163" t="s">
        <v>1143</v>
      </c>
      <c r="S761" s="163" t="s">
        <v>1144</v>
      </c>
      <c r="T761" s="43">
        <f t="shared" si="17"/>
        <v>12</v>
      </c>
      <c r="U761" s="167">
        <f t="shared" si="15"/>
        <v>45644</v>
      </c>
      <c r="V761" s="43"/>
      <c r="W761" s="43"/>
      <c r="X761" s="43"/>
      <c r="Y761" s="43"/>
      <c r="Z761" s="43" t="s">
        <v>1113</v>
      </c>
      <c r="AA761" s="43" t="s">
        <v>1113</v>
      </c>
      <c r="AB761" s="43"/>
    </row>
    <row r="762" spans="1:28" ht="14.25" hidden="1" customHeight="1">
      <c r="A762" s="232" t="s">
        <v>1017</v>
      </c>
      <c r="B762" s="233">
        <v>45642</v>
      </c>
      <c r="C762" s="232" t="s">
        <v>987</v>
      </c>
      <c r="D762" s="232" t="s">
        <v>281</v>
      </c>
      <c r="E762" s="232" t="s">
        <v>986</v>
      </c>
      <c r="F762" s="230">
        <v>-135.05000000000001</v>
      </c>
      <c r="G762" s="165">
        <f t="shared" si="12"/>
        <v>6020.3110000000097</v>
      </c>
      <c r="H762" s="232"/>
      <c r="I762" s="232" t="s">
        <v>283</v>
      </c>
      <c r="J762" s="232"/>
      <c r="K762" s="232"/>
      <c r="L762" s="232" t="s">
        <v>485</v>
      </c>
      <c r="M762" s="232"/>
      <c r="N762" s="232" t="s">
        <v>978</v>
      </c>
      <c r="O762" s="232"/>
      <c r="P762" s="232"/>
      <c r="Q762" s="232"/>
      <c r="R762" s="232" t="s">
        <v>987</v>
      </c>
      <c r="S762" s="232" t="s">
        <v>988</v>
      </c>
      <c r="T762" s="234">
        <f>MONTH(U762)</f>
        <v>12</v>
      </c>
      <c r="U762" s="235">
        <f t="shared" si="15"/>
        <v>45644</v>
      </c>
      <c r="V762" s="166">
        <v>45644</v>
      </c>
      <c r="W762" s="236"/>
      <c r="X762" s="236"/>
      <c r="Y762" s="236"/>
      <c r="Z762" s="236" t="s">
        <v>1113</v>
      </c>
      <c r="AA762" s="236" t="s">
        <v>1113</v>
      </c>
      <c r="AB762" s="43"/>
    </row>
    <row r="763" spans="1:28" ht="14.25" hidden="1" customHeight="1">
      <c r="A763" s="180" t="s">
        <v>279</v>
      </c>
      <c r="B763" s="181">
        <v>45644</v>
      </c>
      <c r="C763" s="180" t="s">
        <v>447</v>
      </c>
      <c r="D763" s="180" t="s">
        <v>281</v>
      </c>
      <c r="E763" s="180" t="s">
        <v>372</v>
      </c>
      <c r="F763" s="186">
        <v>-150</v>
      </c>
      <c r="G763" s="165">
        <f t="shared" si="12"/>
        <v>5870.3110000000097</v>
      </c>
      <c r="H763" s="180"/>
      <c r="I763" s="180" t="s">
        <v>283</v>
      </c>
      <c r="J763" s="180" t="s">
        <v>918</v>
      </c>
      <c r="K763" s="180"/>
      <c r="L763" s="180"/>
      <c r="M763" s="180"/>
      <c r="N763" s="180" t="s">
        <v>285</v>
      </c>
      <c r="O763" s="180"/>
      <c r="P763" s="180"/>
      <c r="Q763" s="180"/>
      <c r="R763" s="180" t="s">
        <v>286</v>
      </c>
      <c r="S763" s="180" t="s">
        <v>287</v>
      </c>
      <c r="T763" s="189">
        <f t="shared" ref="T763:T782" si="18">MONTH(B763)</f>
        <v>12</v>
      </c>
      <c r="U763" s="216">
        <f t="shared" si="15"/>
        <v>45644</v>
      </c>
      <c r="V763" s="213"/>
      <c r="W763" s="43"/>
      <c r="X763" s="43"/>
      <c r="Y763" s="43"/>
      <c r="Z763" s="43"/>
      <c r="AA763" s="43" t="s">
        <v>1113</v>
      </c>
      <c r="AB763" s="183"/>
    </row>
    <row r="764" spans="1:28" ht="14.25" hidden="1" customHeight="1">
      <c r="A764" s="163"/>
      <c r="B764" s="164">
        <v>45644</v>
      </c>
      <c r="C764" s="163" t="s">
        <v>346</v>
      </c>
      <c r="D764" s="163"/>
      <c r="E764" s="163"/>
      <c r="F764" s="165">
        <v>0</v>
      </c>
      <c r="G764" s="165">
        <f t="shared" si="12"/>
        <v>5870.3110000000097</v>
      </c>
      <c r="H764" s="163"/>
      <c r="I764" s="163"/>
      <c r="J764" s="163"/>
      <c r="K764" s="163"/>
      <c r="L764" s="163"/>
      <c r="M764" s="163"/>
      <c r="N764" s="163"/>
      <c r="O764" s="163"/>
      <c r="P764" s="163"/>
      <c r="Q764" s="163"/>
      <c r="R764" s="163"/>
      <c r="S764" s="163"/>
      <c r="T764" s="43">
        <f t="shared" si="18"/>
        <v>12</v>
      </c>
      <c r="U764" s="167">
        <f t="shared" si="15"/>
        <v>45644</v>
      </c>
      <c r="V764" s="43"/>
      <c r="W764" s="43"/>
      <c r="X764" s="43"/>
      <c r="Y764" s="43"/>
      <c r="Z764" s="43" t="s">
        <v>1113</v>
      </c>
      <c r="AA764" s="43" t="s">
        <v>1157</v>
      </c>
      <c r="AB764" s="43"/>
    </row>
    <row r="765" spans="1:28" ht="14.25" hidden="1" customHeight="1">
      <c r="A765" s="180" t="s">
        <v>279</v>
      </c>
      <c r="B765" s="181">
        <v>45644</v>
      </c>
      <c r="C765" s="180" t="s">
        <v>1412</v>
      </c>
      <c r="D765" s="180" t="s">
        <v>281</v>
      </c>
      <c r="E765" s="180" t="s">
        <v>407</v>
      </c>
      <c r="F765" s="186">
        <v>3000</v>
      </c>
      <c r="G765" s="165">
        <f t="shared" si="12"/>
        <v>8870.3110000000088</v>
      </c>
      <c r="H765" s="180"/>
      <c r="I765" s="180" t="s">
        <v>283</v>
      </c>
      <c r="J765" s="180" t="s">
        <v>918</v>
      </c>
      <c r="K765" s="180"/>
      <c r="L765" s="180"/>
      <c r="M765" s="180"/>
      <c r="N765" s="180" t="s">
        <v>285</v>
      </c>
      <c r="O765" s="180"/>
      <c r="P765" s="180"/>
      <c r="Q765" s="180"/>
      <c r="R765" s="180" t="s">
        <v>286</v>
      </c>
      <c r="S765" s="180" t="s">
        <v>287</v>
      </c>
      <c r="T765" s="189">
        <f t="shared" si="18"/>
        <v>12</v>
      </c>
      <c r="U765" s="216">
        <f t="shared" si="15"/>
        <v>45645</v>
      </c>
      <c r="V765" s="213">
        <v>45645</v>
      </c>
      <c r="W765" s="43"/>
      <c r="X765" s="43"/>
      <c r="Y765" s="43"/>
      <c r="Z765" s="43"/>
      <c r="AA765" s="43" t="s">
        <v>1113</v>
      </c>
      <c r="AB765" s="183"/>
    </row>
    <row r="766" spans="1:28" ht="14.25" hidden="1" customHeight="1">
      <c r="A766" s="180" t="s">
        <v>279</v>
      </c>
      <c r="B766" s="181">
        <v>45644</v>
      </c>
      <c r="C766" s="180" t="s">
        <v>280</v>
      </c>
      <c r="D766" s="180" t="s">
        <v>281</v>
      </c>
      <c r="E766" s="180" t="s">
        <v>282</v>
      </c>
      <c r="F766" s="186">
        <v>25000</v>
      </c>
      <c r="G766" s="165">
        <f t="shared" si="12"/>
        <v>33870.311000000009</v>
      </c>
      <c r="H766" s="180"/>
      <c r="I766" s="180" t="s">
        <v>283</v>
      </c>
      <c r="J766" s="180" t="s">
        <v>918</v>
      </c>
      <c r="K766" s="180"/>
      <c r="L766" s="180"/>
      <c r="M766" s="180"/>
      <c r="N766" s="180" t="s">
        <v>285</v>
      </c>
      <c r="O766" s="180"/>
      <c r="P766" s="180"/>
      <c r="Q766" s="180"/>
      <c r="R766" s="180" t="s">
        <v>286</v>
      </c>
      <c r="S766" s="180" t="s">
        <v>287</v>
      </c>
      <c r="T766" s="189">
        <f t="shared" si="18"/>
        <v>12</v>
      </c>
      <c r="U766" s="216">
        <f t="shared" si="15"/>
        <v>45645</v>
      </c>
      <c r="V766" s="213">
        <v>45645</v>
      </c>
      <c r="W766" s="43"/>
      <c r="X766" s="43"/>
      <c r="Y766" s="43"/>
      <c r="Z766" s="43"/>
      <c r="AA766" s="43" t="s">
        <v>1113</v>
      </c>
      <c r="AB766" s="183"/>
    </row>
    <row r="767" spans="1:28" ht="14.25" hidden="1" customHeight="1">
      <c r="A767" s="163" t="s">
        <v>1017</v>
      </c>
      <c r="B767" s="164">
        <v>45645</v>
      </c>
      <c r="C767" s="163"/>
      <c r="D767" s="163" t="s">
        <v>281</v>
      </c>
      <c r="E767" s="163" t="s">
        <v>1077</v>
      </c>
      <c r="F767" s="168">
        <v>-1.19</v>
      </c>
      <c r="G767" s="165">
        <f t="shared" si="12"/>
        <v>33869.121000000006</v>
      </c>
      <c r="H767" s="163"/>
      <c r="I767" s="163" t="s">
        <v>342</v>
      </c>
      <c r="J767" s="163"/>
      <c r="K767" s="163"/>
      <c r="L767" s="163" t="s">
        <v>1030</v>
      </c>
      <c r="M767" s="163"/>
      <c r="N767" s="163" t="s">
        <v>978</v>
      </c>
      <c r="O767" s="163"/>
      <c r="P767" s="163"/>
      <c r="Q767" s="163"/>
      <c r="R767" s="163"/>
      <c r="S767" s="163" t="s">
        <v>1076</v>
      </c>
      <c r="T767" s="94">
        <f t="shared" si="18"/>
        <v>12</v>
      </c>
      <c r="U767" s="212">
        <f t="shared" si="15"/>
        <v>45645</v>
      </c>
      <c r="V767" s="43"/>
      <c r="W767" s="43"/>
      <c r="X767" s="43"/>
      <c r="Y767" s="43"/>
      <c r="Z767" s="43" t="s">
        <v>1113</v>
      </c>
      <c r="AA767" s="43" t="s">
        <v>1113</v>
      </c>
      <c r="AB767" s="43"/>
    </row>
    <row r="768" spans="1:28" ht="14.25" hidden="1" customHeight="1">
      <c r="A768" s="163"/>
      <c r="B768" s="164">
        <v>45645</v>
      </c>
      <c r="C768" s="163" t="s">
        <v>346</v>
      </c>
      <c r="D768" s="163"/>
      <c r="E768" s="163"/>
      <c r="F768" s="165">
        <v>0</v>
      </c>
      <c r="G768" s="165">
        <f t="shared" ref="G768:G1022" si="19">F768+G767</f>
        <v>33869.121000000006</v>
      </c>
      <c r="H768" s="163"/>
      <c r="I768" s="163"/>
      <c r="J768" s="163"/>
      <c r="K768" s="163"/>
      <c r="L768" s="163"/>
      <c r="M768" s="163"/>
      <c r="N768" s="163"/>
      <c r="O768" s="163"/>
      <c r="P768" s="163"/>
      <c r="Q768" s="163"/>
      <c r="R768" s="163"/>
      <c r="S768" s="163"/>
      <c r="T768" s="43">
        <f t="shared" si="18"/>
        <v>12</v>
      </c>
      <c r="U768" s="167">
        <f t="shared" si="15"/>
        <v>45645</v>
      </c>
      <c r="V768" s="43"/>
      <c r="W768" s="43"/>
      <c r="X768" s="43"/>
      <c r="Y768" s="43"/>
      <c r="Z768" s="43" t="s">
        <v>1113</v>
      </c>
      <c r="AA768" s="43" t="s">
        <v>1157</v>
      </c>
      <c r="AB768" s="43"/>
    </row>
    <row r="769" spans="1:28" hidden="1">
      <c r="A769" s="163" t="s">
        <v>1046</v>
      </c>
      <c r="B769" s="164">
        <v>45630</v>
      </c>
      <c r="C769" s="163" t="s">
        <v>1413</v>
      </c>
      <c r="D769" s="163" t="s">
        <v>281</v>
      </c>
      <c r="E769" s="163" t="s">
        <v>407</v>
      </c>
      <c r="F769" s="165"/>
      <c r="G769" s="165">
        <f t="shared" si="19"/>
        <v>33869.121000000006</v>
      </c>
      <c r="H769" s="163"/>
      <c r="I769" s="163" t="s">
        <v>342</v>
      </c>
      <c r="J769" s="163" t="s">
        <v>1224</v>
      </c>
      <c r="K769" s="163" t="s">
        <v>1225</v>
      </c>
      <c r="L769" s="163" t="s">
        <v>305</v>
      </c>
      <c r="M769" s="163" t="s">
        <v>1226</v>
      </c>
      <c r="N769" s="163" t="s">
        <v>966</v>
      </c>
      <c r="O769" s="163" t="s">
        <v>1227</v>
      </c>
      <c r="P769" s="163" t="s">
        <v>57</v>
      </c>
      <c r="Q769" s="163"/>
      <c r="R769" s="163" t="s">
        <v>1228</v>
      </c>
      <c r="S769" s="163" t="s">
        <v>1229</v>
      </c>
      <c r="T769" s="43">
        <f t="shared" si="18"/>
        <v>12</v>
      </c>
      <c r="U769" s="167">
        <f t="shared" si="15"/>
        <v>45646</v>
      </c>
      <c r="V769" s="166">
        <v>45646</v>
      </c>
      <c r="W769" s="43"/>
      <c r="X769" s="43"/>
      <c r="Y769" s="43"/>
      <c r="Z769" s="43" t="s">
        <v>1113</v>
      </c>
      <c r="AA769" s="43" t="s">
        <v>1113</v>
      </c>
      <c r="AB769" s="43"/>
    </row>
    <row r="770" spans="1:28" ht="14.25" hidden="1" customHeight="1">
      <c r="A770" s="163" t="s">
        <v>1174</v>
      </c>
      <c r="B770" s="164">
        <v>45636</v>
      </c>
      <c r="C770" s="163" t="s">
        <v>1090</v>
      </c>
      <c r="D770" s="163" t="s">
        <v>281</v>
      </c>
      <c r="E770" s="163" t="s">
        <v>407</v>
      </c>
      <c r="F770" s="214"/>
      <c r="G770" s="165">
        <f t="shared" si="19"/>
        <v>33869.121000000006</v>
      </c>
      <c r="H770" s="163"/>
      <c r="I770" s="163" t="s">
        <v>1176</v>
      </c>
      <c r="J770" s="163" t="s">
        <v>1414</v>
      </c>
      <c r="K770" s="163"/>
      <c r="L770" s="163" t="s">
        <v>305</v>
      </c>
      <c r="M770" s="163"/>
      <c r="N770" s="163" t="s">
        <v>1178</v>
      </c>
      <c r="O770" s="163" t="s">
        <v>1414</v>
      </c>
      <c r="P770" s="163" t="s">
        <v>1083</v>
      </c>
      <c r="Q770" s="163"/>
      <c r="R770" s="163" t="s">
        <v>1095</v>
      </c>
      <c r="S770" s="163" t="s">
        <v>1096</v>
      </c>
      <c r="T770" s="94">
        <f t="shared" si="18"/>
        <v>12</v>
      </c>
      <c r="U770" s="212">
        <f t="shared" si="15"/>
        <v>45646</v>
      </c>
      <c r="V770" s="166">
        <v>45646</v>
      </c>
      <c r="W770" s="43"/>
      <c r="X770" s="43"/>
      <c r="Y770" s="43"/>
      <c r="Z770" s="43" t="s">
        <v>1113</v>
      </c>
      <c r="AA770" s="43"/>
      <c r="AB770" s="43" t="s">
        <v>1415</v>
      </c>
    </row>
    <row r="771" spans="1:28" ht="14.25" hidden="1" customHeight="1">
      <c r="A771" s="163" t="s">
        <v>1017</v>
      </c>
      <c r="B771" s="164">
        <v>45646</v>
      </c>
      <c r="C771" s="163" t="s">
        <v>1292</v>
      </c>
      <c r="D771" s="163" t="s">
        <v>281</v>
      </c>
      <c r="E771" s="163" t="s">
        <v>289</v>
      </c>
      <c r="F771" s="165"/>
      <c r="G771" s="165">
        <f t="shared" si="19"/>
        <v>33869.121000000006</v>
      </c>
      <c r="H771" s="163"/>
      <c r="I771" s="163" t="s">
        <v>342</v>
      </c>
      <c r="J771" s="163"/>
      <c r="K771" s="163"/>
      <c r="L771" s="163" t="s">
        <v>1416</v>
      </c>
      <c r="M771" s="163"/>
      <c r="N771" s="163" t="s">
        <v>966</v>
      </c>
      <c r="O771" s="163"/>
      <c r="P771" s="163"/>
      <c r="Q771" s="163"/>
      <c r="R771" s="163" t="s">
        <v>1292</v>
      </c>
      <c r="S771" s="163" t="s">
        <v>1417</v>
      </c>
      <c r="T771" s="43">
        <f t="shared" si="18"/>
        <v>12</v>
      </c>
      <c r="U771" s="167">
        <f t="shared" si="15"/>
        <v>45646</v>
      </c>
      <c r="V771" s="43"/>
      <c r="W771" s="43"/>
      <c r="X771" s="43"/>
      <c r="Y771" s="43"/>
      <c r="Z771" s="43" t="s">
        <v>1113</v>
      </c>
      <c r="AA771" s="43" t="s">
        <v>1113</v>
      </c>
      <c r="AB771" s="43"/>
    </row>
    <row r="772" spans="1:28" ht="14.25" hidden="1" customHeight="1">
      <c r="A772" s="163" t="s">
        <v>1174</v>
      </c>
      <c r="B772" s="164">
        <v>45646</v>
      </c>
      <c r="C772" s="163" t="s">
        <v>1078</v>
      </c>
      <c r="D772" s="163" t="s">
        <v>281</v>
      </c>
      <c r="E772" s="163" t="s">
        <v>407</v>
      </c>
      <c r="F772" s="165"/>
      <c r="G772" s="165">
        <f t="shared" si="19"/>
        <v>33869.121000000006</v>
      </c>
      <c r="H772" s="163"/>
      <c r="I772" s="163" t="s">
        <v>1176</v>
      </c>
      <c r="J772" s="163" t="s">
        <v>1418</v>
      </c>
      <c r="K772" s="163"/>
      <c r="L772" s="163" t="s">
        <v>305</v>
      </c>
      <c r="M772" s="163"/>
      <c r="N772" s="163" t="s">
        <v>1178</v>
      </c>
      <c r="O772" s="163" t="s">
        <v>1418</v>
      </c>
      <c r="P772" s="163" t="s">
        <v>1083</v>
      </c>
      <c r="Q772" s="163"/>
      <c r="R772" s="163" t="s">
        <v>1084</v>
      </c>
      <c r="S772" s="163" t="s">
        <v>1085</v>
      </c>
      <c r="T772" s="43">
        <f t="shared" si="18"/>
        <v>12</v>
      </c>
      <c r="U772" s="167">
        <f t="shared" si="15"/>
        <v>45646</v>
      </c>
      <c r="V772" s="43"/>
      <c r="W772" s="43"/>
      <c r="X772" s="43"/>
      <c r="Y772" s="43"/>
      <c r="Z772" s="43" t="s">
        <v>1113</v>
      </c>
      <c r="AA772" s="43" t="s">
        <v>1113</v>
      </c>
      <c r="AB772" s="43"/>
    </row>
    <row r="773" spans="1:28" ht="14.25" hidden="1" customHeight="1">
      <c r="A773" s="163" t="s">
        <v>1174</v>
      </c>
      <c r="B773" s="164">
        <v>45646</v>
      </c>
      <c r="C773" s="163" t="s">
        <v>1054</v>
      </c>
      <c r="D773" s="163" t="s">
        <v>281</v>
      </c>
      <c r="E773" s="163" t="s">
        <v>407</v>
      </c>
      <c r="F773" s="165"/>
      <c r="G773" s="165">
        <f t="shared" si="19"/>
        <v>33869.121000000006</v>
      </c>
      <c r="H773" s="163"/>
      <c r="I773" s="163" t="s">
        <v>1176</v>
      </c>
      <c r="J773" s="163" t="s">
        <v>1419</v>
      </c>
      <c r="K773" s="163"/>
      <c r="L773" s="163" t="s">
        <v>305</v>
      </c>
      <c r="M773" s="163"/>
      <c r="N773" s="163" t="s">
        <v>1178</v>
      </c>
      <c r="O773" s="163" t="s">
        <v>1419</v>
      </c>
      <c r="P773" s="163" t="s">
        <v>418</v>
      </c>
      <c r="Q773" s="163"/>
      <c r="R773" s="163" t="s">
        <v>1054</v>
      </c>
      <c r="S773" s="163" t="s">
        <v>1059</v>
      </c>
      <c r="T773" s="43">
        <f t="shared" si="18"/>
        <v>12</v>
      </c>
      <c r="U773" s="167">
        <f t="shared" si="15"/>
        <v>45646</v>
      </c>
      <c r="V773" s="43"/>
      <c r="W773" s="43"/>
      <c r="X773" s="43"/>
      <c r="Y773" s="43"/>
      <c r="Z773" s="43" t="s">
        <v>1113</v>
      </c>
      <c r="AA773" s="43" t="s">
        <v>1113</v>
      </c>
      <c r="AB773" s="43"/>
    </row>
    <row r="774" spans="1:28" ht="14.25" hidden="1" customHeight="1">
      <c r="A774" s="180" t="s">
        <v>1174</v>
      </c>
      <c r="B774" s="181">
        <v>45646</v>
      </c>
      <c r="C774" s="180" t="s">
        <v>1264</v>
      </c>
      <c r="D774" s="180" t="s">
        <v>281</v>
      </c>
      <c r="E774" s="180" t="s">
        <v>407</v>
      </c>
      <c r="F774" s="224">
        <v>1799</v>
      </c>
      <c r="G774" s="165">
        <f t="shared" si="19"/>
        <v>35668.121000000006</v>
      </c>
      <c r="H774" s="180"/>
      <c r="I774" s="180" t="s">
        <v>1176</v>
      </c>
      <c r="J774" s="180" t="s">
        <v>1420</v>
      </c>
      <c r="K774" s="180"/>
      <c r="L774" s="180" t="s">
        <v>305</v>
      </c>
      <c r="M774" s="180"/>
      <c r="N774" s="180" t="s">
        <v>1178</v>
      </c>
      <c r="O774" s="180" t="s">
        <v>1420</v>
      </c>
      <c r="P774" s="180" t="s">
        <v>1023</v>
      </c>
      <c r="Q774" s="180"/>
      <c r="R774" s="180" t="s">
        <v>1024</v>
      </c>
      <c r="S774" s="180" t="s">
        <v>1025</v>
      </c>
      <c r="T774" s="183">
        <f t="shared" si="18"/>
        <v>12</v>
      </c>
      <c r="U774" s="184">
        <f t="shared" si="15"/>
        <v>45646</v>
      </c>
      <c r="V774" s="183"/>
      <c r="W774" s="183"/>
      <c r="X774" s="183"/>
      <c r="Y774" s="183"/>
      <c r="Z774" s="183" t="s">
        <v>1113</v>
      </c>
      <c r="AA774" s="183" t="s">
        <v>1113</v>
      </c>
      <c r="AB774" s="183" t="s">
        <v>1421</v>
      </c>
    </row>
    <row r="775" spans="1:28" ht="14.25" hidden="1" customHeight="1">
      <c r="A775" s="163" t="s">
        <v>1174</v>
      </c>
      <c r="B775" s="164">
        <v>45646</v>
      </c>
      <c r="C775" s="163" t="s">
        <v>72</v>
      </c>
      <c r="D775" s="163" t="s">
        <v>281</v>
      </c>
      <c r="E775" s="163" t="s">
        <v>407</v>
      </c>
      <c r="F775" s="224">
        <v>2950</v>
      </c>
      <c r="G775" s="165">
        <f t="shared" si="19"/>
        <v>38618.121000000006</v>
      </c>
      <c r="H775" s="163"/>
      <c r="I775" s="163" t="s">
        <v>1176</v>
      </c>
      <c r="J775" s="163" t="s">
        <v>1422</v>
      </c>
      <c r="K775" s="163"/>
      <c r="L775" s="163" t="s">
        <v>305</v>
      </c>
      <c r="M775" s="163"/>
      <c r="N775" s="163" t="s">
        <v>1178</v>
      </c>
      <c r="O775" s="163" t="s">
        <v>1422</v>
      </c>
      <c r="P775" s="163" t="s">
        <v>1023</v>
      </c>
      <c r="Q775" s="163"/>
      <c r="R775" s="163" t="s">
        <v>1051</v>
      </c>
      <c r="S775" s="163" t="s">
        <v>1052</v>
      </c>
      <c r="T775" s="43">
        <f t="shared" si="18"/>
        <v>12</v>
      </c>
      <c r="U775" s="167">
        <f t="shared" si="15"/>
        <v>45646</v>
      </c>
      <c r="V775" s="166"/>
      <c r="W775" s="43"/>
      <c r="X775" s="43"/>
      <c r="Y775" s="43"/>
      <c r="Z775" s="43" t="s">
        <v>1113</v>
      </c>
      <c r="AA775" s="43" t="s">
        <v>1113</v>
      </c>
      <c r="AB775" s="43" t="s">
        <v>1423</v>
      </c>
    </row>
    <row r="776" spans="1:28" ht="14.25" hidden="1" customHeight="1">
      <c r="A776" s="180" t="s">
        <v>279</v>
      </c>
      <c r="B776" s="181">
        <v>45646</v>
      </c>
      <c r="C776" s="180" t="s">
        <v>280</v>
      </c>
      <c r="D776" s="180" t="s">
        <v>281</v>
      </c>
      <c r="E776" s="180" t="s">
        <v>282</v>
      </c>
      <c r="F776" s="224">
        <v>60000</v>
      </c>
      <c r="G776" s="165">
        <f t="shared" si="19"/>
        <v>98618.121000000014</v>
      </c>
      <c r="H776" s="180"/>
      <c r="I776" s="180" t="s">
        <v>283</v>
      </c>
      <c r="J776" s="180" t="s">
        <v>918</v>
      </c>
      <c r="K776" s="180"/>
      <c r="L776" s="180"/>
      <c r="M776" s="180"/>
      <c r="N776" s="180" t="s">
        <v>285</v>
      </c>
      <c r="O776" s="180"/>
      <c r="P776" s="180"/>
      <c r="Q776" s="180"/>
      <c r="R776" s="180" t="s">
        <v>286</v>
      </c>
      <c r="S776" s="180" t="s">
        <v>287</v>
      </c>
      <c r="T776" s="189">
        <f t="shared" si="18"/>
        <v>12</v>
      </c>
      <c r="U776" s="216">
        <f t="shared" si="15"/>
        <v>45645</v>
      </c>
      <c r="V776" s="213">
        <v>45645</v>
      </c>
      <c r="W776" s="43"/>
      <c r="X776" s="43"/>
      <c r="Y776" s="43"/>
      <c r="Z776" s="43"/>
      <c r="AA776" s="43" t="s">
        <v>1113</v>
      </c>
      <c r="AB776" s="183"/>
    </row>
    <row r="777" spans="1:28" ht="14.25" hidden="1" customHeight="1">
      <c r="A777" s="163" t="s">
        <v>1017</v>
      </c>
      <c r="B777" s="164">
        <v>45646</v>
      </c>
      <c r="C777" s="163" t="s">
        <v>385</v>
      </c>
      <c r="D777" s="163" t="s">
        <v>281</v>
      </c>
      <c r="E777" s="163" t="s">
        <v>1061</v>
      </c>
      <c r="F777" s="246">
        <v>-6463.18</v>
      </c>
      <c r="G777" s="165">
        <f t="shared" si="19"/>
        <v>92154.941000000021</v>
      </c>
      <c r="H777" s="163"/>
      <c r="I777" s="163" t="s">
        <v>342</v>
      </c>
      <c r="J777" s="163"/>
      <c r="K777" s="163"/>
      <c r="L777" s="163" t="s">
        <v>1424</v>
      </c>
      <c r="M777" s="163"/>
      <c r="N777" s="163" t="s">
        <v>978</v>
      </c>
      <c r="O777" s="163"/>
      <c r="P777" s="163"/>
      <c r="Q777" s="163"/>
      <c r="R777" s="163" t="s">
        <v>389</v>
      </c>
      <c r="S777" s="163" t="s">
        <v>390</v>
      </c>
      <c r="T777" s="43">
        <f t="shared" si="18"/>
        <v>12</v>
      </c>
      <c r="U777" s="167">
        <f t="shared" si="15"/>
        <v>45646</v>
      </c>
      <c r="V777" s="166"/>
      <c r="W777" s="43"/>
      <c r="X777" s="43"/>
      <c r="Y777" s="43"/>
      <c r="Z777" s="43" t="s">
        <v>1113</v>
      </c>
      <c r="AA777" s="43" t="s">
        <v>1113</v>
      </c>
      <c r="AB777" s="43"/>
    </row>
    <row r="778" spans="1:28" ht="14.25" hidden="1" customHeight="1">
      <c r="A778" s="163" t="s">
        <v>1017</v>
      </c>
      <c r="B778" s="164">
        <v>45646</v>
      </c>
      <c r="C778" s="163" t="s">
        <v>351</v>
      </c>
      <c r="D778" s="163" t="s">
        <v>281</v>
      </c>
      <c r="E778" s="163" t="s">
        <v>122</v>
      </c>
      <c r="F778" s="246">
        <v>-14507.88</v>
      </c>
      <c r="G778" s="165">
        <f t="shared" si="19"/>
        <v>77647.061000000016</v>
      </c>
      <c r="H778" s="163"/>
      <c r="I778" s="163" t="s">
        <v>283</v>
      </c>
      <c r="J778" s="163"/>
      <c r="K778" s="163"/>
      <c r="L778" s="163" t="s">
        <v>1062</v>
      </c>
      <c r="M778" s="163"/>
      <c r="N778" s="163" t="s">
        <v>978</v>
      </c>
      <c r="O778" s="163"/>
      <c r="P778" s="163"/>
      <c r="Q778" s="163"/>
      <c r="R778" s="163" t="s">
        <v>353</v>
      </c>
      <c r="S778" s="163" t="s">
        <v>354</v>
      </c>
      <c r="T778" s="43">
        <f t="shared" si="18"/>
        <v>12</v>
      </c>
      <c r="U778" s="167">
        <f t="shared" si="15"/>
        <v>45646</v>
      </c>
      <c r="V778" s="166"/>
      <c r="W778" s="43"/>
      <c r="X778" s="43"/>
      <c r="Y778" s="43"/>
      <c r="Z778" s="43" t="s">
        <v>1113</v>
      </c>
      <c r="AA778" s="43" t="s">
        <v>1113</v>
      </c>
      <c r="AB778" s="43"/>
    </row>
    <row r="779" spans="1:28" ht="14.25" hidden="1" customHeight="1">
      <c r="A779" s="163" t="s">
        <v>1017</v>
      </c>
      <c r="B779" s="164">
        <v>45646</v>
      </c>
      <c r="C779" s="163" t="s">
        <v>1073</v>
      </c>
      <c r="D779" s="163" t="s">
        <v>281</v>
      </c>
      <c r="E779" s="163" t="s">
        <v>1074</v>
      </c>
      <c r="F779" s="246">
        <v>-579</v>
      </c>
      <c r="G779" s="165">
        <f t="shared" si="19"/>
        <v>77068.061000000016</v>
      </c>
      <c r="H779" s="163"/>
      <c r="I779" s="163" t="s">
        <v>342</v>
      </c>
      <c r="J779" s="163"/>
      <c r="K779" s="163"/>
      <c r="L779" s="163" t="s">
        <v>1062</v>
      </c>
      <c r="M779" s="163"/>
      <c r="N779" s="163" t="s">
        <v>978</v>
      </c>
      <c r="O779" s="163"/>
      <c r="P779" s="163"/>
      <c r="Q779" s="163"/>
      <c r="R779" s="163" t="s">
        <v>1075</v>
      </c>
      <c r="S779" s="163" t="s">
        <v>1076</v>
      </c>
      <c r="T779" s="43">
        <f t="shared" si="18"/>
        <v>12</v>
      </c>
      <c r="U779" s="167">
        <f t="shared" si="15"/>
        <v>45646</v>
      </c>
      <c r="V779" s="43"/>
      <c r="W779" s="43"/>
      <c r="X779" s="43"/>
      <c r="Y779" s="43"/>
      <c r="Z779" s="43" t="s">
        <v>1113</v>
      </c>
      <c r="AA779" s="43" t="s">
        <v>1113</v>
      </c>
      <c r="AB779" s="43"/>
    </row>
    <row r="780" spans="1:28" ht="14.25" hidden="1" customHeight="1">
      <c r="A780" s="163" t="s">
        <v>1017</v>
      </c>
      <c r="B780" s="164">
        <v>45646</v>
      </c>
      <c r="C780" s="163" t="s">
        <v>95</v>
      </c>
      <c r="D780" s="163" t="s">
        <v>281</v>
      </c>
      <c r="E780" s="163" t="s">
        <v>1031</v>
      </c>
      <c r="F780" s="246">
        <v>-702.92</v>
      </c>
      <c r="G780" s="165">
        <f t="shared" si="19"/>
        <v>76365.141000000018</v>
      </c>
      <c r="H780" s="163"/>
      <c r="I780" s="163" t="s">
        <v>994</v>
      </c>
      <c r="J780" s="163"/>
      <c r="K780" s="163"/>
      <c r="L780" s="163" t="s">
        <v>1062</v>
      </c>
      <c r="M780" s="163"/>
      <c r="N780" s="163" t="s">
        <v>978</v>
      </c>
      <c r="O780" s="163"/>
      <c r="P780" s="163"/>
      <c r="Q780" s="163"/>
      <c r="R780" s="163" t="s">
        <v>95</v>
      </c>
      <c r="S780" s="163" t="s">
        <v>440</v>
      </c>
      <c r="T780" s="43">
        <f t="shared" si="18"/>
        <v>12</v>
      </c>
      <c r="U780" s="167">
        <f t="shared" si="15"/>
        <v>45646</v>
      </c>
      <c r="V780" s="166"/>
      <c r="W780" s="43"/>
      <c r="X780" s="43"/>
      <c r="Y780" s="43"/>
      <c r="Z780" s="43" t="s">
        <v>1113</v>
      </c>
      <c r="AA780" s="43" t="s">
        <v>1384</v>
      </c>
      <c r="AB780" s="43"/>
    </row>
    <row r="781" spans="1:28" ht="14.25" hidden="1" customHeight="1">
      <c r="A781" s="163" t="s">
        <v>1017</v>
      </c>
      <c r="B781" s="164">
        <v>45646</v>
      </c>
      <c r="C781" s="163" t="s">
        <v>358</v>
      </c>
      <c r="D781" s="163" t="s">
        <v>281</v>
      </c>
      <c r="E781" s="163" t="s">
        <v>1031</v>
      </c>
      <c r="F781" s="246">
        <v>-1021.1</v>
      </c>
      <c r="G781" s="165">
        <f t="shared" si="19"/>
        <v>75344.041000000012</v>
      </c>
      <c r="H781" s="163"/>
      <c r="I781" s="163" t="s">
        <v>994</v>
      </c>
      <c r="J781" s="163"/>
      <c r="K781" s="163"/>
      <c r="L781" s="163" t="s">
        <v>1062</v>
      </c>
      <c r="M781" s="163"/>
      <c r="N781" s="163" t="s">
        <v>978</v>
      </c>
      <c r="O781" s="163"/>
      <c r="P781" s="163"/>
      <c r="Q781" s="163"/>
      <c r="R781" s="163" t="s">
        <v>358</v>
      </c>
      <c r="S781" s="163" t="s">
        <v>361</v>
      </c>
      <c r="T781" s="43">
        <f t="shared" si="18"/>
        <v>12</v>
      </c>
      <c r="U781" s="167">
        <f t="shared" si="15"/>
        <v>45646</v>
      </c>
      <c r="V781" s="43"/>
      <c r="W781" s="43"/>
      <c r="X781" s="43"/>
      <c r="Y781" s="43"/>
      <c r="Z781" s="43" t="s">
        <v>1113</v>
      </c>
      <c r="AA781" s="43" t="s">
        <v>1113</v>
      </c>
      <c r="AB781" s="43"/>
    </row>
    <row r="782" spans="1:28" ht="14.25" hidden="1" customHeight="1">
      <c r="A782" s="163" t="s">
        <v>1017</v>
      </c>
      <c r="B782" s="164">
        <v>45646</v>
      </c>
      <c r="C782" s="163" t="s">
        <v>457</v>
      </c>
      <c r="D782" s="163" t="s">
        <v>281</v>
      </c>
      <c r="E782" s="163" t="s">
        <v>1031</v>
      </c>
      <c r="F782" s="246">
        <v>-1021.1</v>
      </c>
      <c r="G782" s="165">
        <f t="shared" si="19"/>
        <v>74322.941000000006</v>
      </c>
      <c r="H782" s="163"/>
      <c r="I782" s="163" t="s">
        <v>994</v>
      </c>
      <c r="J782" s="163"/>
      <c r="K782" s="163"/>
      <c r="L782" s="163" t="s">
        <v>1062</v>
      </c>
      <c r="M782" s="163"/>
      <c r="N782" s="163" t="s">
        <v>978</v>
      </c>
      <c r="O782" s="163"/>
      <c r="P782" s="163"/>
      <c r="Q782" s="163"/>
      <c r="R782" s="163" t="s">
        <v>457</v>
      </c>
      <c r="S782" s="163" t="s">
        <v>459</v>
      </c>
      <c r="T782" s="43">
        <f t="shared" si="18"/>
        <v>12</v>
      </c>
      <c r="U782" s="167">
        <f t="shared" si="15"/>
        <v>45646</v>
      </c>
      <c r="V782" s="43"/>
      <c r="W782" s="43"/>
      <c r="X782" s="43"/>
      <c r="Y782" s="43"/>
      <c r="Z782" s="43" t="s">
        <v>1113</v>
      </c>
      <c r="AA782" s="43" t="s">
        <v>1113</v>
      </c>
      <c r="AB782" s="43"/>
    </row>
    <row r="783" spans="1:28" ht="14.25" hidden="1" customHeight="1">
      <c r="A783" s="163" t="s">
        <v>1017</v>
      </c>
      <c r="B783" s="164">
        <v>45646</v>
      </c>
      <c r="C783" s="163" t="s">
        <v>466</v>
      </c>
      <c r="D783" s="163" t="s">
        <v>281</v>
      </c>
      <c r="E783" s="163" t="s">
        <v>1031</v>
      </c>
      <c r="F783" s="246">
        <v>-1021.1</v>
      </c>
      <c r="G783" s="165">
        <f t="shared" si="19"/>
        <v>73301.841</v>
      </c>
      <c r="H783" s="163"/>
      <c r="I783" s="163" t="s">
        <v>994</v>
      </c>
      <c r="J783" s="163"/>
      <c r="K783" s="163"/>
      <c r="L783" s="163" t="s">
        <v>1062</v>
      </c>
      <c r="M783" s="163"/>
      <c r="N783" s="163" t="s">
        <v>978</v>
      </c>
      <c r="O783" s="163"/>
      <c r="P783" s="163"/>
      <c r="Q783" s="163"/>
      <c r="R783" s="163" t="s">
        <v>466</v>
      </c>
      <c r="S783" s="163" t="s">
        <v>468</v>
      </c>
      <c r="T783" s="43">
        <f t="shared" ref="T783:T784" si="20">MONTH(U783)</f>
        <v>12</v>
      </c>
      <c r="U783" s="167">
        <f t="shared" si="15"/>
        <v>45646</v>
      </c>
      <c r="V783" s="166"/>
      <c r="W783" s="43"/>
      <c r="X783" s="43"/>
      <c r="Y783" s="43"/>
      <c r="Z783" s="43" t="s">
        <v>1113</v>
      </c>
      <c r="AA783" s="43" t="s">
        <v>1113</v>
      </c>
      <c r="AB783" s="43"/>
    </row>
    <row r="784" spans="1:28" ht="14.25" hidden="1" customHeight="1">
      <c r="A784" s="163" t="s">
        <v>1017</v>
      </c>
      <c r="B784" s="164">
        <v>45646</v>
      </c>
      <c r="C784" s="163" t="s">
        <v>1425</v>
      </c>
      <c r="D784" s="163" t="s">
        <v>281</v>
      </c>
      <c r="E784" s="163" t="s">
        <v>1426</v>
      </c>
      <c r="F784" s="168"/>
      <c r="G784" s="165">
        <f t="shared" si="19"/>
        <v>73301.841</v>
      </c>
      <c r="H784" s="163"/>
      <c r="I784" s="163" t="s">
        <v>994</v>
      </c>
      <c r="J784" s="163"/>
      <c r="K784" s="163"/>
      <c r="L784" s="163" t="s">
        <v>1062</v>
      </c>
      <c r="M784" s="163"/>
      <c r="N784" s="163" t="s">
        <v>978</v>
      </c>
      <c r="O784" s="163"/>
      <c r="P784" s="163"/>
      <c r="Q784" s="163"/>
      <c r="R784" s="163" t="s">
        <v>1425</v>
      </c>
      <c r="S784" s="163"/>
      <c r="T784" s="43">
        <f t="shared" si="20"/>
        <v>1</v>
      </c>
      <c r="U784" s="167">
        <f t="shared" si="15"/>
        <v>45658</v>
      </c>
      <c r="V784" s="166">
        <v>45658</v>
      </c>
      <c r="W784" s="43">
        <f>MONTH(U784)</f>
        <v>1</v>
      </c>
      <c r="X784" s="43" t="s">
        <v>1427</v>
      </c>
      <c r="Y784" s="43" t="s">
        <v>1336</v>
      </c>
      <c r="Z784" s="43" t="s">
        <v>1113</v>
      </c>
      <c r="AA784" s="43" t="s">
        <v>1113</v>
      </c>
      <c r="AB784" s="43"/>
    </row>
    <row r="785" spans="1:28" ht="14.25" hidden="1" customHeight="1">
      <c r="A785" s="163" t="s">
        <v>1017</v>
      </c>
      <c r="B785" s="164">
        <v>45646</v>
      </c>
      <c r="C785" s="163" t="s">
        <v>124</v>
      </c>
      <c r="D785" s="163" t="s">
        <v>281</v>
      </c>
      <c r="E785" s="163" t="s">
        <v>199</v>
      </c>
      <c r="F785" s="246">
        <f>-95</f>
        <v>-95</v>
      </c>
      <c r="G785" s="165">
        <f t="shared" si="19"/>
        <v>73206.841</v>
      </c>
      <c r="H785" s="163"/>
      <c r="I785" s="163" t="s">
        <v>977</v>
      </c>
      <c r="J785" s="163"/>
      <c r="K785" s="163"/>
      <c r="L785" s="163" t="s">
        <v>366</v>
      </c>
      <c r="M785" s="163"/>
      <c r="N785" s="163" t="s">
        <v>978</v>
      </c>
      <c r="O785" s="163"/>
      <c r="P785" s="163"/>
      <c r="Q785" s="163"/>
      <c r="R785" s="163" t="s">
        <v>124</v>
      </c>
      <c r="S785" s="163"/>
      <c r="T785" s="43">
        <f t="shared" ref="T785:T823" si="21">MONTH(B785)</f>
        <v>12</v>
      </c>
      <c r="U785" s="167">
        <f t="shared" si="15"/>
        <v>45646</v>
      </c>
      <c r="V785" s="43"/>
      <c r="W785" s="43"/>
      <c r="X785" s="43"/>
      <c r="Y785" s="43"/>
      <c r="Z785" s="43" t="s">
        <v>1113</v>
      </c>
      <c r="AA785" s="43" t="s">
        <v>1113</v>
      </c>
      <c r="AB785" s="43"/>
    </row>
    <row r="786" spans="1:28" ht="14.25" hidden="1" customHeight="1">
      <c r="A786" s="163" t="s">
        <v>1017</v>
      </c>
      <c r="B786" s="164">
        <v>45646</v>
      </c>
      <c r="C786" s="163" t="s">
        <v>451</v>
      </c>
      <c r="D786" s="163" t="s">
        <v>281</v>
      </c>
      <c r="E786" s="163" t="s">
        <v>1031</v>
      </c>
      <c r="F786" s="246">
        <v>-1021.1</v>
      </c>
      <c r="G786" s="165">
        <f t="shared" si="19"/>
        <v>72185.740999999995</v>
      </c>
      <c r="H786" s="163"/>
      <c r="I786" s="163" t="s">
        <v>994</v>
      </c>
      <c r="J786" s="163"/>
      <c r="K786" s="163"/>
      <c r="L786" s="163" t="s">
        <v>766</v>
      </c>
      <c r="M786" s="163"/>
      <c r="N786" s="163" t="s">
        <v>978</v>
      </c>
      <c r="O786" s="163"/>
      <c r="P786" s="163"/>
      <c r="Q786" s="163"/>
      <c r="R786" s="163" t="s">
        <v>451</v>
      </c>
      <c r="S786" s="163" t="s">
        <v>453</v>
      </c>
      <c r="T786" s="43">
        <f t="shared" si="21"/>
        <v>12</v>
      </c>
      <c r="U786" s="167">
        <f t="shared" si="15"/>
        <v>45646</v>
      </c>
      <c r="V786" s="43"/>
      <c r="W786" s="43"/>
      <c r="X786" s="43"/>
      <c r="Y786" s="43"/>
      <c r="Z786" s="43" t="s">
        <v>1113</v>
      </c>
      <c r="AA786" s="43" t="s">
        <v>1113</v>
      </c>
      <c r="AB786" s="43"/>
    </row>
    <row r="787" spans="1:28" ht="14.25" hidden="1" customHeight="1">
      <c r="A787" s="163" t="s">
        <v>1017</v>
      </c>
      <c r="B787" s="164">
        <v>45646</v>
      </c>
      <c r="C787" s="163" t="s">
        <v>111</v>
      </c>
      <c r="D787" s="163" t="s">
        <v>281</v>
      </c>
      <c r="E787" s="163" t="s">
        <v>1031</v>
      </c>
      <c r="F787" s="246">
        <v>-1600</v>
      </c>
      <c r="G787" s="165">
        <f t="shared" si="19"/>
        <v>70585.740999999995</v>
      </c>
      <c r="H787" s="163"/>
      <c r="I787" s="163" t="s">
        <v>283</v>
      </c>
      <c r="J787" s="163"/>
      <c r="K787" s="163"/>
      <c r="L787" s="163" t="s">
        <v>477</v>
      </c>
      <c r="M787" s="163"/>
      <c r="N787" s="163" t="s">
        <v>978</v>
      </c>
      <c r="O787" s="163"/>
      <c r="P787" s="163"/>
      <c r="Q787" s="163"/>
      <c r="R787" s="163" t="s">
        <v>111</v>
      </c>
      <c r="S787" s="163" t="s">
        <v>320</v>
      </c>
      <c r="T787" s="43">
        <f t="shared" si="21"/>
        <v>12</v>
      </c>
      <c r="U787" s="167">
        <f t="shared" si="15"/>
        <v>45646</v>
      </c>
      <c r="V787" s="43"/>
      <c r="W787" s="43"/>
      <c r="X787" s="43"/>
      <c r="Y787" s="43"/>
      <c r="Z787" s="43" t="s">
        <v>1113</v>
      </c>
      <c r="AA787" s="43" t="s">
        <v>1113</v>
      </c>
      <c r="AB787" s="43"/>
    </row>
    <row r="788" spans="1:28" ht="14.25" hidden="1" customHeight="1">
      <c r="A788" s="163" t="s">
        <v>1017</v>
      </c>
      <c r="B788" s="164">
        <v>45646</v>
      </c>
      <c r="C788" s="163" t="s">
        <v>93</v>
      </c>
      <c r="D788" s="163" t="s">
        <v>281</v>
      </c>
      <c r="E788" s="163" t="s">
        <v>1031</v>
      </c>
      <c r="F788" s="246">
        <v>-4800</v>
      </c>
      <c r="G788" s="165">
        <f t="shared" si="19"/>
        <v>65785.740999999995</v>
      </c>
      <c r="H788" s="163"/>
      <c r="I788" s="163" t="s">
        <v>283</v>
      </c>
      <c r="J788" s="163"/>
      <c r="K788" s="163"/>
      <c r="L788" s="163" t="s">
        <v>485</v>
      </c>
      <c r="M788" s="163"/>
      <c r="N788" s="163" t="s">
        <v>978</v>
      </c>
      <c r="O788" s="163"/>
      <c r="P788" s="163"/>
      <c r="Q788" s="163"/>
      <c r="R788" s="163" t="s">
        <v>93</v>
      </c>
      <c r="S788" s="163" t="s">
        <v>540</v>
      </c>
      <c r="T788" s="43">
        <f t="shared" si="21"/>
        <v>12</v>
      </c>
      <c r="U788" s="167">
        <f t="shared" si="15"/>
        <v>45646</v>
      </c>
      <c r="V788" s="43"/>
      <c r="W788" s="43"/>
      <c r="X788" s="43"/>
      <c r="Y788" s="43"/>
      <c r="Z788" s="43" t="s">
        <v>1113</v>
      </c>
      <c r="AA788" s="43" t="s">
        <v>1113</v>
      </c>
      <c r="AB788" s="43"/>
    </row>
    <row r="789" spans="1:28" ht="14.25" hidden="1" customHeight="1">
      <c r="A789" s="163" t="s">
        <v>1017</v>
      </c>
      <c r="B789" s="164">
        <v>45646</v>
      </c>
      <c r="C789" s="163" t="s">
        <v>501</v>
      </c>
      <c r="D789" s="163" t="s">
        <v>281</v>
      </c>
      <c r="E789" s="163" t="s">
        <v>1031</v>
      </c>
      <c r="F789" s="168"/>
      <c r="G789" s="165">
        <f t="shared" si="19"/>
        <v>65785.740999999995</v>
      </c>
      <c r="H789" s="163"/>
      <c r="I789" s="163" t="s">
        <v>283</v>
      </c>
      <c r="J789" s="163"/>
      <c r="K789" s="163"/>
      <c r="L789" s="163" t="s">
        <v>485</v>
      </c>
      <c r="M789" s="163"/>
      <c r="N789" s="163" t="s">
        <v>978</v>
      </c>
      <c r="O789" s="163"/>
      <c r="P789" s="163"/>
      <c r="Q789" s="163"/>
      <c r="R789" s="163" t="s">
        <v>501</v>
      </c>
      <c r="S789" s="163" t="s">
        <v>503</v>
      </c>
      <c r="T789" s="43">
        <f t="shared" si="21"/>
        <v>12</v>
      </c>
      <c r="U789" s="167">
        <f t="shared" si="15"/>
        <v>45646</v>
      </c>
      <c r="V789" s="43"/>
      <c r="W789" s="43"/>
      <c r="X789" s="43"/>
      <c r="Y789" s="43"/>
      <c r="Z789" s="43" t="s">
        <v>1113</v>
      </c>
      <c r="AA789" s="43" t="s">
        <v>1113</v>
      </c>
      <c r="AB789" s="43"/>
    </row>
    <row r="790" spans="1:28" ht="14.25" hidden="1" customHeight="1">
      <c r="A790" s="163" t="s">
        <v>1017</v>
      </c>
      <c r="B790" s="164">
        <v>45646</v>
      </c>
      <c r="C790" s="163" t="s">
        <v>546</v>
      </c>
      <c r="D790" s="163" t="s">
        <v>281</v>
      </c>
      <c r="E790" s="163" t="s">
        <v>1031</v>
      </c>
      <c r="F790" s="246">
        <v>-1021.1</v>
      </c>
      <c r="G790" s="165">
        <f t="shared" si="19"/>
        <v>64764.640999999996</v>
      </c>
      <c r="H790" s="163"/>
      <c r="I790" s="163" t="s">
        <v>283</v>
      </c>
      <c r="J790" s="163"/>
      <c r="K790" s="163"/>
      <c r="L790" s="163" t="s">
        <v>485</v>
      </c>
      <c r="M790" s="163"/>
      <c r="N790" s="163" t="s">
        <v>978</v>
      </c>
      <c r="O790" s="163"/>
      <c r="P790" s="163"/>
      <c r="Q790" s="163"/>
      <c r="R790" s="163" t="s">
        <v>546</v>
      </c>
      <c r="S790" s="163" t="s">
        <v>548</v>
      </c>
      <c r="T790" s="43">
        <f t="shared" si="21"/>
        <v>12</v>
      </c>
      <c r="U790" s="167">
        <f t="shared" si="15"/>
        <v>45646</v>
      </c>
      <c r="V790" s="167"/>
      <c r="W790" s="43"/>
      <c r="X790" s="43"/>
      <c r="Y790" s="43"/>
      <c r="Z790" s="43" t="s">
        <v>1113</v>
      </c>
      <c r="AA790" s="43" t="s">
        <v>1113</v>
      </c>
      <c r="AB790" s="43"/>
    </row>
    <row r="791" spans="1:28" ht="14.25" hidden="1" customHeight="1">
      <c r="A791" s="163" t="s">
        <v>1017</v>
      </c>
      <c r="B791" s="164">
        <v>45646</v>
      </c>
      <c r="C791" s="163" t="s">
        <v>484</v>
      </c>
      <c r="D791" s="163" t="s">
        <v>281</v>
      </c>
      <c r="E791" s="163" t="s">
        <v>1031</v>
      </c>
      <c r="F791" s="246">
        <v>-400</v>
      </c>
      <c r="G791" s="165">
        <f t="shared" si="19"/>
        <v>64364.640999999996</v>
      </c>
      <c r="H791" s="163"/>
      <c r="I791" s="163" t="s">
        <v>283</v>
      </c>
      <c r="J791" s="163"/>
      <c r="K791" s="163"/>
      <c r="L791" s="163" t="s">
        <v>485</v>
      </c>
      <c r="M791" s="163"/>
      <c r="N791" s="163" t="s">
        <v>978</v>
      </c>
      <c r="O791" s="163"/>
      <c r="P791" s="163"/>
      <c r="Q791" s="163"/>
      <c r="R791" s="163" t="s">
        <v>484</v>
      </c>
      <c r="S791" s="163" t="s">
        <v>487</v>
      </c>
      <c r="T791" s="43">
        <f t="shared" si="21"/>
        <v>12</v>
      </c>
      <c r="U791" s="167">
        <f t="shared" si="15"/>
        <v>45646</v>
      </c>
      <c r="V791" s="43"/>
      <c r="W791" s="43"/>
      <c r="X791" s="43"/>
      <c r="Y791" s="43"/>
      <c r="Z791" s="43" t="s">
        <v>1113</v>
      </c>
      <c r="AA791" s="43" t="s">
        <v>1113</v>
      </c>
      <c r="AB791" s="43"/>
    </row>
    <row r="792" spans="1:28" ht="14.25" hidden="1" customHeight="1">
      <c r="A792" s="163" t="s">
        <v>1017</v>
      </c>
      <c r="B792" s="164">
        <v>45646</v>
      </c>
      <c r="C792" s="163" t="s">
        <v>491</v>
      </c>
      <c r="D792" s="163" t="s">
        <v>281</v>
      </c>
      <c r="E792" s="163" t="s">
        <v>1031</v>
      </c>
      <c r="F792" s="246">
        <v>-1200</v>
      </c>
      <c r="G792" s="165">
        <f t="shared" si="19"/>
        <v>63164.640999999996</v>
      </c>
      <c r="H792" s="163"/>
      <c r="I792" s="163" t="s">
        <v>283</v>
      </c>
      <c r="J792" s="163"/>
      <c r="K792" s="163"/>
      <c r="L792" s="163" t="s">
        <v>485</v>
      </c>
      <c r="M792" s="163"/>
      <c r="N792" s="163" t="s">
        <v>978</v>
      </c>
      <c r="O792" s="163"/>
      <c r="P792" s="163"/>
      <c r="Q792" s="163"/>
      <c r="R792" s="163" t="s">
        <v>491</v>
      </c>
      <c r="S792" s="163" t="s">
        <v>493</v>
      </c>
      <c r="T792" s="43">
        <f t="shared" si="21"/>
        <v>12</v>
      </c>
      <c r="U792" s="167">
        <f t="shared" si="15"/>
        <v>45646</v>
      </c>
      <c r="V792" s="166"/>
      <c r="W792" s="43"/>
      <c r="X792" s="43"/>
      <c r="Y792" s="43"/>
      <c r="Z792" s="43" t="s">
        <v>1113</v>
      </c>
      <c r="AA792" s="43" t="s">
        <v>1113</v>
      </c>
      <c r="AB792" s="43"/>
    </row>
    <row r="793" spans="1:28" ht="14.25" hidden="1" customHeight="1">
      <c r="A793" s="163" t="s">
        <v>1017</v>
      </c>
      <c r="B793" s="164">
        <v>45646</v>
      </c>
      <c r="C793" s="163" t="s">
        <v>516</v>
      </c>
      <c r="D793" s="163" t="s">
        <v>281</v>
      </c>
      <c r="E793" s="163" t="s">
        <v>1031</v>
      </c>
      <c r="F793" s="246">
        <v>-400</v>
      </c>
      <c r="G793" s="165">
        <f t="shared" si="19"/>
        <v>62764.640999999996</v>
      </c>
      <c r="H793" s="163"/>
      <c r="I793" s="163" t="s">
        <v>283</v>
      </c>
      <c r="J793" s="163"/>
      <c r="K793" s="163"/>
      <c r="L793" s="163" t="s">
        <v>485</v>
      </c>
      <c r="M793" s="163"/>
      <c r="N793" s="163" t="s">
        <v>978</v>
      </c>
      <c r="O793" s="163"/>
      <c r="P793" s="163"/>
      <c r="Q793" s="163"/>
      <c r="R793" s="163" t="s">
        <v>516</v>
      </c>
      <c r="S793" s="163" t="s">
        <v>518</v>
      </c>
      <c r="T793" s="43">
        <f t="shared" si="21"/>
        <v>12</v>
      </c>
      <c r="U793" s="167">
        <f t="shared" si="15"/>
        <v>45646</v>
      </c>
      <c r="V793" s="166"/>
      <c r="W793" s="43"/>
      <c r="X793" s="43"/>
      <c r="Y793" s="43"/>
      <c r="Z793" s="43" t="s">
        <v>1113</v>
      </c>
      <c r="AA793" s="43" t="s">
        <v>1113</v>
      </c>
      <c r="AB793" s="43"/>
    </row>
    <row r="794" spans="1:28" ht="14.25" hidden="1" customHeight="1">
      <c r="A794" s="163" t="s">
        <v>1017</v>
      </c>
      <c r="B794" s="164">
        <v>45646</v>
      </c>
      <c r="C794" s="163" t="s">
        <v>525</v>
      </c>
      <c r="D794" s="163" t="s">
        <v>281</v>
      </c>
      <c r="E794" s="163" t="s">
        <v>1031</v>
      </c>
      <c r="F794" s="246">
        <v>-700</v>
      </c>
      <c r="G794" s="165">
        <f t="shared" si="19"/>
        <v>62064.640999999996</v>
      </c>
      <c r="H794" s="163"/>
      <c r="I794" s="163" t="s">
        <v>283</v>
      </c>
      <c r="J794" s="163"/>
      <c r="K794" s="163"/>
      <c r="L794" s="163" t="s">
        <v>485</v>
      </c>
      <c r="M794" s="163"/>
      <c r="N794" s="163" t="s">
        <v>978</v>
      </c>
      <c r="O794" s="163"/>
      <c r="P794" s="163"/>
      <c r="Q794" s="163"/>
      <c r="R794" s="163" t="s">
        <v>525</v>
      </c>
      <c r="S794" s="163" t="s">
        <v>527</v>
      </c>
      <c r="T794" s="43">
        <f t="shared" si="21"/>
        <v>12</v>
      </c>
      <c r="U794" s="167">
        <f t="shared" si="15"/>
        <v>45646</v>
      </c>
      <c r="V794" s="43"/>
      <c r="W794" s="43"/>
      <c r="X794" s="43"/>
      <c r="Y794" s="43"/>
      <c r="Z794" s="43" t="s">
        <v>1113</v>
      </c>
      <c r="AA794" s="43" t="s">
        <v>1113</v>
      </c>
      <c r="AB794" s="43"/>
    </row>
    <row r="795" spans="1:28" ht="14.25" hidden="1" customHeight="1">
      <c r="A795" s="180" t="s">
        <v>1017</v>
      </c>
      <c r="B795" s="181">
        <v>45646</v>
      </c>
      <c r="C795" s="180" t="s">
        <v>1428</v>
      </c>
      <c r="D795" s="180" t="s">
        <v>281</v>
      </c>
      <c r="E795" s="180" t="s">
        <v>196</v>
      </c>
      <c r="F795" s="246">
        <v>-5100</v>
      </c>
      <c r="G795" s="165">
        <f t="shared" si="19"/>
        <v>56964.640999999996</v>
      </c>
      <c r="H795" s="180"/>
      <c r="I795" s="180" t="s">
        <v>283</v>
      </c>
      <c r="J795" s="180"/>
      <c r="K795" s="180"/>
      <c r="L795" s="180" t="s">
        <v>485</v>
      </c>
      <c r="M795" s="180"/>
      <c r="N795" s="180" t="s">
        <v>978</v>
      </c>
      <c r="O795" s="180"/>
      <c r="P795" s="180"/>
      <c r="Q795" s="180"/>
      <c r="R795" s="180" t="s">
        <v>525</v>
      </c>
      <c r="S795" s="180" t="s">
        <v>527</v>
      </c>
      <c r="T795" s="183">
        <f t="shared" si="21"/>
        <v>12</v>
      </c>
      <c r="U795" s="184">
        <f t="shared" si="15"/>
        <v>45646</v>
      </c>
      <c r="V795" s="183"/>
      <c r="W795" s="43"/>
      <c r="X795" s="43"/>
      <c r="Y795" s="43"/>
      <c r="Z795" s="43" t="s">
        <v>1113</v>
      </c>
      <c r="AA795" s="183" t="s">
        <v>1113</v>
      </c>
      <c r="AB795" s="183"/>
    </row>
    <row r="796" spans="1:28" ht="14.25" hidden="1" customHeight="1">
      <c r="A796" s="180" t="s">
        <v>1017</v>
      </c>
      <c r="B796" s="181">
        <v>45646</v>
      </c>
      <c r="C796" s="180" t="s">
        <v>549</v>
      </c>
      <c r="D796" s="180" t="s">
        <v>281</v>
      </c>
      <c r="E796" s="180" t="s">
        <v>1031</v>
      </c>
      <c r="F796" s="246">
        <v>-2600</v>
      </c>
      <c r="G796" s="165">
        <f t="shared" si="19"/>
        <v>54364.640999999996</v>
      </c>
      <c r="H796" s="180"/>
      <c r="I796" s="180" t="s">
        <v>283</v>
      </c>
      <c r="J796" s="180"/>
      <c r="K796" s="180"/>
      <c r="L796" s="180" t="s">
        <v>485</v>
      </c>
      <c r="M796" s="180"/>
      <c r="N796" s="180" t="s">
        <v>978</v>
      </c>
      <c r="O796" s="180"/>
      <c r="P796" s="180"/>
      <c r="Q796" s="180"/>
      <c r="R796" s="180" t="s">
        <v>525</v>
      </c>
      <c r="S796" s="180" t="s">
        <v>527</v>
      </c>
      <c r="T796" s="183">
        <f t="shared" si="21"/>
        <v>12</v>
      </c>
      <c r="U796" s="184">
        <f t="shared" si="15"/>
        <v>45646</v>
      </c>
      <c r="V796" s="183"/>
      <c r="W796" s="43"/>
      <c r="X796" s="43"/>
      <c r="Y796" s="43"/>
      <c r="Z796" s="43" t="s">
        <v>1113</v>
      </c>
      <c r="AA796" s="183" t="s">
        <v>1113</v>
      </c>
      <c r="AB796" s="183"/>
    </row>
    <row r="797" spans="1:28" ht="14.25" hidden="1" customHeight="1">
      <c r="A797" s="180" t="s">
        <v>1017</v>
      </c>
      <c r="B797" s="181">
        <v>45646</v>
      </c>
      <c r="C797" s="180" t="s">
        <v>543</v>
      </c>
      <c r="D797" s="180" t="s">
        <v>281</v>
      </c>
      <c r="E797" s="180" t="s">
        <v>1031</v>
      </c>
      <c r="F797" s="246">
        <v>-1000</v>
      </c>
      <c r="G797" s="165">
        <f t="shared" si="19"/>
        <v>53364.640999999996</v>
      </c>
      <c r="H797" s="180"/>
      <c r="I797" s="180" t="s">
        <v>283</v>
      </c>
      <c r="J797" s="180"/>
      <c r="K797" s="180"/>
      <c r="L797" s="180" t="s">
        <v>485</v>
      </c>
      <c r="M797" s="180"/>
      <c r="N797" s="180" t="s">
        <v>978</v>
      </c>
      <c r="O797" s="180"/>
      <c r="P797" s="180"/>
      <c r="Q797" s="180"/>
      <c r="R797" s="180" t="s">
        <v>525</v>
      </c>
      <c r="S797" s="180" t="s">
        <v>527</v>
      </c>
      <c r="T797" s="183">
        <f t="shared" si="21"/>
        <v>12</v>
      </c>
      <c r="U797" s="184">
        <f t="shared" si="15"/>
        <v>45646</v>
      </c>
      <c r="V797" s="183"/>
      <c r="W797" s="43"/>
      <c r="X797" s="43"/>
      <c r="Y797" s="43"/>
      <c r="Z797" s="43" t="s">
        <v>1113</v>
      </c>
      <c r="AA797" s="183" t="s">
        <v>1113</v>
      </c>
      <c r="AB797" s="183"/>
    </row>
    <row r="798" spans="1:28" ht="14.25" hidden="1" customHeight="1">
      <c r="A798" s="180" t="s">
        <v>1017</v>
      </c>
      <c r="B798" s="181">
        <v>45646</v>
      </c>
      <c r="C798" s="180" t="s">
        <v>513</v>
      </c>
      <c r="D798" s="180" t="s">
        <v>281</v>
      </c>
      <c r="E798" s="180" t="s">
        <v>1031</v>
      </c>
      <c r="F798" s="246">
        <v>-500</v>
      </c>
      <c r="G798" s="165">
        <f t="shared" si="19"/>
        <v>52864.640999999996</v>
      </c>
      <c r="H798" s="180"/>
      <c r="I798" s="180" t="s">
        <v>283</v>
      </c>
      <c r="J798" s="180"/>
      <c r="K798" s="180"/>
      <c r="L798" s="180" t="s">
        <v>485</v>
      </c>
      <c r="M798" s="180"/>
      <c r="N798" s="180" t="s">
        <v>978</v>
      </c>
      <c r="O798" s="180"/>
      <c r="P798" s="180"/>
      <c r="Q798" s="180"/>
      <c r="R798" s="180" t="s">
        <v>525</v>
      </c>
      <c r="S798" s="180" t="s">
        <v>527</v>
      </c>
      <c r="T798" s="183">
        <f t="shared" si="21"/>
        <v>12</v>
      </c>
      <c r="U798" s="184">
        <f t="shared" si="15"/>
        <v>45646</v>
      </c>
      <c r="V798" s="183"/>
      <c r="W798" s="43"/>
      <c r="X798" s="43"/>
      <c r="Y798" s="43"/>
      <c r="Z798" s="43" t="s">
        <v>1113</v>
      </c>
      <c r="AA798" s="183" t="s">
        <v>1113</v>
      </c>
      <c r="AB798" s="183"/>
    </row>
    <row r="799" spans="1:28" ht="14.25" hidden="1" customHeight="1">
      <c r="A799" s="180" t="s">
        <v>1017</v>
      </c>
      <c r="B799" s="181">
        <v>45646</v>
      </c>
      <c r="C799" s="180" t="s">
        <v>522</v>
      </c>
      <c r="D799" s="180" t="s">
        <v>281</v>
      </c>
      <c r="E799" s="180" t="s">
        <v>1031</v>
      </c>
      <c r="F799" s="246">
        <v>-700</v>
      </c>
      <c r="G799" s="165">
        <f t="shared" si="19"/>
        <v>52164.640999999996</v>
      </c>
      <c r="H799" s="180"/>
      <c r="I799" s="180" t="s">
        <v>283</v>
      </c>
      <c r="J799" s="180"/>
      <c r="K799" s="180"/>
      <c r="L799" s="180" t="s">
        <v>485</v>
      </c>
      <c r="M799" s="180"/>
      <c r="N799" s="180" t="s">
        <v>978</v>
      </c>
      <c r="O799" s="180"/>
      <c r="P799" s="180"/>
      <c r="Q799" s="180"/>
      <c r="R799" s="180" t="s">
        <v>525</v>
      </c>
      <c r="S799" s="180" t="s">
        <v>527</v>
      </c>
      <c r="T799" s="183">
        <f t="shared" si="21"/>
        <v>12</v>
      </c>
      <c r="U799" s="184">
        <f t="shared" si="15"/>
        <v>45646</v>
      </c>
      <c r="V799" s="183"/>
      <c r="W799" s="43"/>
      <c r="X799" s="43"/>
      <c r="Y799" s="43"/>
      <c r="Z799" s="43" t="s">
        <v>1113</v>
      </c>
      <c r="AA799" s="183" t="s">
        <v>1113</v>
      </c>
      <c r="AB799" s="183"/>
    </row>
    <row r="800" spans="1:28" ht="14.25" hidden="1" customHeight="1">
      <c r="A800" s="180" t="s">
        <v>1017</v>
      </c>
      <c r="B800" s="181">
        <v>45646</v>
      </c>
      <c r="C800" s="180" t="s">
        <v>112</v>
      </c>
      <c r="D800" s="180" t="s">
        <v>281</v>
      </c>
      <c r="E800" s="180" t="s">
        <v>1031</v>
      </c>
      <c r="F800" s="246">
        <v>-500</v>
      </c>
      <c r="G800" s="165">
        <f t="shared" si="19"/>
        <v>51664.640999999996</v>
      </c>
      <c r="H800" s="180"/>
      <c r="I800" s="180" t="s">
        <v>283</v>
      </c>
      <c r="J800" s="180"/>
      <c r="K800" s="180"/>
      <c r="L800" s="180" t="s">
        <v>485</v>
      </c>
      <c r="M800" s="180"/>
      <c r="N800" s="180" t="s">
        <v>978</v>
      </c>
      <c r="O800" s="180"/>
      <c r="P800" s="180"/>
      <c r="Q800" s="180"/>
      <c r="R800" s="180" t="s">
        <v>525</v>
      </c>
      <c r="S800" s="180" t="s">
        <v>527</v>
      </c>
      <c r="T800" s="183">
        <f t="shared" si="21"/>
        <v>12</v>
      </c>
      <c r="U800" s="184">
        <f t="shared" si="15"/>
        <v>45646</v>
      </c>
      <c r="V800" s="183"/>
      <c r="W800" s="43"/>
      <c r="X800" s="43"/>
      <c r="Y800" s="43"/>
      <c r="Z800" s="43" t="s">
        <v>1113</v>
      </c>
      <c r="AA800" s="183" t="s">
        <v>1113</v>
      </c>
      <c r="AB800" s="183"/>
    </row>
    <row r="801" spans="1:28" ht="14.25" hidden="1" customHeight="1">
      <c r="A801" s="180" t="s">
        <v>1017</v>
      </c>
      <c r="B801" s="181">
        <v>45646</v>
      </c>
      <c r="C801" s="180" t="s">
        <v>181</v>
      </c>
      <c r="D801" s="180" t="s">
        <v>281</v>
      </c>
      <c r="E801" s="180" t="s">
        <v>760</v>
      </c>
      <c r="F801" s="246">
        <v>-1500</v>
      </c>
      <c r="G801" s="165">
        <f t="shared" si="19"/>
        <v>50164.640999999996</v>
      </c>
      <c r="H801" s="180"/>
      <c r="I801" s="180" t="s">
        <v>342</v>
      </c>
      <c r="J801" s="180"/>
      <c r="K801" s="180"/>
      <c r="L801" s="180" t="s">
        <v>1429</v>
      </c>
      <c r="M801" s="180"/>
      <c r="N801" s="180" t="s">
        <v>978</v>
      </c>
      <c r="O801" s="180"/>
      <c r="P801" s="180"/>
      <c r="Q801" s="180"/>
      <c r="R801" s="180" t="s">
        <v>1035</v>
      </c>
      <c r="S801" s="180" t="s">
        <v>1036</v>
      </c>
      <c r="T801" s="183">
        <f t="shared" si="21"/>
        <v>12</v>
      </c>
      <c r="U801" s="184">
        <f t="shared" si="15"/>
        <v>45646</v>
      </c>
      <c r="V801" s="183"/>
      <c r="W801" s="183"/>
      <c r="X801" s="183"/>
      <c r="Y801" s="183"/>
      <c r="Z801" s="183" t="s">
        <v>1113</v>
      </c>
      <c r="AA801" s="183" t="s">
        <v>1336</v>
      </c>
      <c r="AB801" s="183"/>
    </row>
    <row r="802" spans="1:28" ht="14.25" hidden="1" customHeight="1">
      <c r="A802" s="163" t="s">
        <v>1017</v>
      </c>
      <c r="B802" s="164">
        <v>45646</v>
      </c>
      <c r="C802" s="163" t="s">
        <v>326</v>
      </c>
      <c r="D802" s="163" t="s">
        <v>281</v>
      </c>
      <c r="E802" s="163" t="s">
        <v>356</v>
      </c>
      <c r="F802" s="246">
        <v>-400</v>
      </c>
      <c r="G802" s="165">
        <f t="shared" si="19"/>
        <v>49764.640999999996</v>
      </c>
      <c r="H802" s="163"/>
      <c r="I802" s="163" t="s">
        <v>283</v>
      </c>
      <c r="J802" s="163"/>
      <c r="K802" s="163"/>
      <c r="L802" s="163" t="s">
        <v>805</v>
      </c>
      <c r="M802" s="163"/>
      <c r="N802" s="163" t="s">
        <v>978</v>
      </c>
      <c r="O802" s="163"/>
      <c r="P802" s="163"/>
      <c r="Q802" s="163" t="s">
        <v>1067</v>
      </c>
      <c r="R802" s="163" t="s">
        <v>1068</v>
      </c>
      <c r="S802" s="163" t="s">
        <v>1069</v>
      </c>
      <c r="T802" s="43">
        <f t="shared" si="21"/>
        <v>12</v>
      </c>
      <c r="U802" s="167">
        <f t="shared" si="15"/>
        <v>45646</v>
      </c>
      <c r="V802" s="43"/>
      <c r="W802" s="43"/>
      <c r="X802" s="43"/>
      <c r="Y802" s="43"/>
      <c r="Z802" s="43" t="s">
        <v>1113</v>
      </c>
      <c r="AA802" s="43"/>
      <c r="AB802" s="43"/>
    </row>
    <row r="803" spans="1:28" ht="14.25" hidden="1" customHeight="1">
      <c r="A803" s="205" t="s">
        <v>1017</v>
      </c>
      <c r="B803" s="208">
        <v>45646</v>
      </c>
      <c r="C803" s="205" t="s">
        <v>1010</v>
      </c>
      <c r="D803" s="205" t="s">
        <v>281</v>
      </c>
      <c r="E803" s="205" t="s">
        <v>199</v>
      </c>
      <c r="F803" s="246">
        <v>-1500</v>
      </c>
      <c r="G803" s="165">
        <f t="shared" si="19"/>
        <v>48264.640999999996</v>
      </c>
      <c r="H803" s="205"/>
      <c r="I803" s="205" t="s">
        <v>977</v>
      </c>
      <c r="J803" s="205"/>
      <c r="K803" s="205"/>
      <c r="L803" s="205" t="s">
        <v>1003</v>
      </c>
      <c r="M803" s="205"/>
      <c r="N803" s="205" t="s">
        <v>978</v>
      </c>
      <c r="O803" s="205"/>
      <c r="P803" s="205"/>
      <c r="Q803" s="205"/>
      <c r="R803" s="205" t="s">
        <v>1011</v>
      </c>
      <c r="S803" s="205" t="s">
        <v>1012</v>
      </c>
      <c r="T803" s="209">
        <f t="shared" si="21"/>
        <v>12</v>
      </c>
      <c r="U803" s="210">
        <f t="shared" si="15"/>
        <v>45646</v>
      </c>
      <c r="V803" s="206"/>
      <c r="W803" s="206"/>
      <c r="X803" s="206"/>
      <c r="Y803" s="206"/>
      <c r="Z803" s="206" t="s">
        <v>1113</v>
      </c>
      <c r="AA803" s="206" t="s">
        <v>1113</v>
      </c>
      <c r="AB803" s="206"/>
    </row>
    <row r="804" spans="1:28" ht="14.25" hidden="1" customHeight="1">
      <c r="A804" s="163" t="s">
        <v>1017</v>
      </c>
      <c r="B804" s="164">
        <v>45649</v>
      </c>
      <c r="C804" s="163" t="s">
        <v>124</v>
      </c>
      <c r="D804" s="163" t="s">
        <v>281</v>
      </c>
      <c r="E804" s="163" t="s">
        <v>199</v>
      </c>
      <c r="F804" s="246">
        <v>-227.73</v>
      </c>
      <c r="G804" s="165">
        <f t="shared" si="19"/>
        <v>48036.910999999993</v>
      </c>
      <c r="H804" s="163"/>
      <c r="I804" s="163" t="s">
        <v>977</v>
      </c>
      <c r="J804" s="163"/>
      <c r="K804" s="163"/>
      <c r="L804" s="163" t="s">
        <v>1430</v>
      </c>
      <c r="M804" s="163"/>
      <c r="N804" s="163" t="s">
        <v>978</v>
      </c>
      <c r="O804" s="163"/>
      <c r="P804" s="163"/>
      <c r="Q804" s="163"/>
      <c r="R804" s="163" t="s">
        <v>1015</v>
      </c>
      <c r="S804" s="163" t="s">
        <v>1016</v>
      </c>
      <c r="T804" s="43">
        <f t="shared" si="21"/>
        <v>12</v>
      </c>
      <c r="U804" s="167">
        <f t="shared" si="15"/>
        <v>45646</v>
      </c>
      <c r="V804" s="167">
        <v>45646</v>
      </c>
      <c r="W804" s="43"/>
      <c r="X804" s="43"/>
      <c r="Y804" s="43"/>
      <c r="Z804" s="43" t="s">
        <v>1113</v>
      </c>
      <c r="AA804" s="43" t="s">
        <v>1113</v>
      </c>
      <c r="AB804" s="43"/>
    </row>
    <row r="805" spans="1:28" ht="14.25" hidden="1" customHeight="1">
      <c r="A805" s="163" t="s">
        <v>1017</v>
      </c>
      <c r="B805" s="164">
        <v>45649</v>
      </c>
      <c r="C805" s="163" t="s">
        <v>1098</v>
      </c>
      <c r="D805" s="163" t="s">
        <v>281</v>
      </c>
      <c r="E805" s="163" t="s">
        <v>199</v>
      </c>
      <c r="F805" s="246">
        <v>-552</v>
      </c>
      <c r="G805" s="165">
        <f t="shared" si="19"/>
        <v>47484.910999999993</v>
      </c>
      <c r="H805" s="163"/>
      <c r="I805" s="163" t="s">
        <v>342</v>
      </c>
      <c r="J805" s="163"/>
      <c r="K805" s="163"/>
      <c r="L805" s="163" t="s">
        <v>686</v>
      </c>
      <c r="M805" s="163"/>
      <c r="N805" s="163" t="s">
        <v>978</v>
      </c>
      <c r="O805" s="163"/>
      <c r="P805" s="163"/>
      <c r="Q805" s="163"/>
      <c r="R805" s="163" t="s">
        <v>1099</v>
      </c>
      <c r="S805" s="163" t="s">
        <v>1100</v>
      </c>
      <c r="T805" s="43">
        <f t="shared" si="21"/>
        <v>12</v>
      </c>
      <c r="U805" s="167">
        <f t="shared" si="15"/>
        <v>45646</v>
      </c>
      <c r="V805" s="167">
        <v>45646</v>
      </c>
      <c r="W805" s="43"/>
      <c r="X805" s="43"/>
      <c r="Y805" s="43"/>
      <c r="Z805" s="43" t="s">
        <v>1113</v>
      </c>
      <c r="AA805" s="43" t="s">
        <v>1113</v>
      </c>
      <c r="AB805" s="43"/>
    </row>
    <row r="806" spans="1:28" ht="14.25" hidden="1" customHeight="1">
      <c r="A806" s="163" t="s">
        <v>1017</v>
      </c>
      <c r="B806" s="164">
        <v>45649</v>
      </c>
      <c r="C806" s="163" t="s">
        <v>1326</v>
      </c>
      <c r="D806" s="163" t="s">
        <v>281</v>
      </c>
      <c r="E806" s="163" t="s">
        <v>199</v>
      </c>
      <c r="F806" s="246">
        <v>-544</v>
      </c>
      <c r="G806" s="165">
        <f t="shared" si="19"/>
        <v>46940.910999999993</v>
      </c>
      <c r="H806" s="163"/>
      <c r="I806" s="163" t="s">
        <v>342</v>
      </c>
      <c r="J806" s="163"/>
      <c r="K806" s="163"/>
      <c r="L806" s="163" t="s">
        <v>686</v>
      </c>
      <c r="M806" s="163"/>
      <c r="N806" s="163" t="s">
        <v>978</v>
      </c>
      <c r="O806" s="163"/>
      <c r="P806" s="163"/>
      <c r="Q806" s="163"/>
      <c r="R806" s="163" t="s">
        <v>1327</v>
      </c>
      <c r="S806" s="163"/>
      <c r="T806" s="43">
        <f t="shared" si="21"/>
        <v>12</v>
      </c>
      <c r="U806" s="167">
        <f t="shared" si="15"/>
        <v>45646</v>
      </c>
      <c r="V806" s="167">
        <v>45646</v>
      </c>
      <c r="W806" s="43"/>
      <c r="X806" s="43"/>
      <c r="Y806" s="43"/>
      <c r="Z806" s="43" t="s">
        <v>1113</v>
      </c>
      <c r="AA806" s="43" t="s">
        <v>1113</v>
      </c>
      <c r="AB806" s="43"/>
    </row>
    <row r="807" spans="1:28" ht="14.25" hidden="1" customHeight="1">
      <c r="A807" s="180" t="s">
        <v>1017</v>
      </c>
      <c r="B807" s="181">
        <v>45649</v>
      </c>
      <c r="C807" s="180" t="s">
        <v>127</v>
      </c>
      <c r="D807" s="180" t="s">
        <v>281</v>
      </c>
      <c r="E807" s="180" t="s">
        <v>199</v>
      </c>
      <c r="F807" s="246">
        <f>-130-130</f>
        <v>-260</v>
      </c>
      <c r="G807" s="165">
        <f t="shared" si="19"/>
        <v>46680.910999999993</v>
      </c>
      <c r="H807" s="180"/>
      <c r="I807" s="180" t="s">
        <v>342</v>
      </c>
      <c r="J807" s="180"/>
      <c r="K807" s="180"/>
      <c r="L807" s="180" t="s">
        <v>1429</v>
      </c>
      <c r="M807" s="180"/>
      <c r="N807" s="180" t="s">
        <v>978</v>
      </c>
      <c r="O807" s="180"/>
      <c r="P807" s="180"/>
      <c r="Q807" s="180"/>
      <c r="R807" s="180" t="s">
        <v>1035</v>
      </c>
      <c r="S807" s="180" t="s">
        <v>1036</v>
      </c>
      <c r="T807" s="183">
        <f t="shared" si="21"/>
        <v>12</v>
      </c>
      <c r="U807" s="184">
        <f t="shared" si="15"/>
        <v>45646</v>
      </c>
      <c r="V807" s="167">
        <v>45646</v>
      </c>
      <c r="W807" s="183"/>
      <c r="X807" s="183"/>
      <c r="Y807" s="183"/>
      <c r="Z807" s="183" t="s">
        <v>1113</v>
      </c>
      <c r="AA807" s="183" t="s">
        <v>1113</v>
      </c>
      <c r="AB807" s="183"/>
    </row>
    <row r="808" spans="1:28" ht="14.25" hidden="1" customHeight="1">
      <c r="A808" s="180" t="s">
        <v>1017</v>
      </c>
      <c r="B808" s="181">
        <v>45649</v>
      </c>
      <c r="C808" s="180" t="s">
        <v>1431</v>
      </c>
      <c r="D808" s="180" t="s">
        <v>281</v>
      </c>
      <c r="E808" s="180" t="s">
        <v>199</v>
      </c>
      <c r="F808" s="246">
        <v>-255</v>
      </c>
      <c r="G808" s="165">
        <f t="shared" si="19"/>
        <v>46425.910999999993</v>
      </c>
      <c r="H808" s="180"/>
      <c r="I808" s="180" t="s">
        <v>342</v>
      </c>
      <c r="J808" s="180"/>
      <c r="K808" s="180"/>
      <c r="L808" s="180" t="s">
        <v>1429</v>
      </c>
      <c r="M808" s="180"/>
      <c r="N808" s="180" t="s">
        <v>978</v>
      </c>
      <c r="O808" s="180"/>
      <c r="P808" s="180"/>
      <c r="Q808" s="180"/>
      <c r="R808" s="180" t="s">
        <v>1035</v>
      </c>
      <c r="S808" s="180" t="s">
        <v>1036</v>
      </c>
      <c r="T808" s="183">
        <f t="shared" si="21"/>
        <v>12</v>
      </c>
      <c r="U808" s="184">
        <f t="shared" si="15"/>
        <v>45646</v>
      </c>
      <c r="V808" s="167">
        <v>45646</v>
      </c>
      <c r="W808" s="183"/>
      <c r="X808" s="183"/>
      <c r="Y808" s="183"/>
      <c r="Z808" s="183" t="s">
        <v>1113</v>
      </c>
      <c r="AA808" s="183" t="s">
        <v>1113</v>
      </c>
      <c r="AB808" s="183"/>
    </row>
    <row r="809" spans="1:28" ht="14.25" hidden="1" customHeight="1">
      <c r="A809" s="163" t="s">
        <v>1017</v>
      </c>
      <c r="B809" s="164">
        <v>45649</v>
      </c>
      <c r="C809" s="163" t="s">
        <v>1210</v>
      </c>
      <c r="D809" s="163" t="s">
        <v>281</v>
      </c>
      <c r="E809" s="163" t="s">
        <v>196</v>
      </c>
      <c r="F809" s="246">
        <v>-266.33999999999997</v>
      </c>
      <c r="G809" s="165">
        <f t="shared" si="19"/>
        <v>46159.570999999996</v>
      </c>
      <c r="H809" s="163"/>
      <c r="I809" s="163" t="s">
        <v>342</v>
      </c>
      <c r="J809" s="163"/>
      <c r="K809" s="163"/>
      <c r="L809" s="163" t="s">
        <v>1062</v>
      </c>
      <c r="M809" s="163"/>
      <c r="N809" s="163" t="s">
        <v>978</v>
      </c>
      <c r="O809" s="163"/>
      <c r="P809" s="163"/>
      <c r="Q809" s="163"/>
      <c r="R809" s="163" t="s">
        <v>1211</v>
      </c>
      <c r="S809" s="163" t="s">
        <v>1212</v>
      </c>
      <c r="T809" s="43">
        <f t="shared" si="21"/>
        <v>12</v>
      </c>
      <c r="U809" s="167">
        <f t="shared" si="15"/>
        <v>45646</v>
      </c>
      <c r="V809" s="167">
        <v>45646</v>
      </c>
      <c r="W809" s="43"/>
      <c r="X809" s="43"/>
      <c r="Y809" s="43"/>
      <c r="Z809" s="43" t="s">
        <v>1113</v>
      </c>
      <c r="AA809" s="43" t="s">
        <v>1113</v>
      </c>
      <c r="AB809" s="43"/>
    </row>
    <row r="810" spans="1:28" ht="14.25" hidden="1" customHeight="1">
      <c r="A810" s="180" t="s">
        <v>1017</v>
      </c>
      <c r="B810" s="181">
        <v>45646</v>
      </c>
      <c r="C810" s="180" t="s">
        <v>1432</v>
      </c>
      <c r="D810" s="180" t="s">
        <v>281</v>
      </c>
      <c r="E810" s="180" t="s">
        <v>1265</v>
      </c>
      <c r="F810" s="246">
        <v>-27137.47</v>
      </c>
      <c r="G810" s="165">
        <f t="shared" si="19"/>
        <v>19022.100999999995</v>
      </c>
      <c r="H810" s="180"/>
      <c r="I810" s="180" t="s">
        <v>342</v>
      </c>
      <c r="J810" s="180"/>
      <c r="K810" s="180"/>
      <c r="L810" s="180" t="s">
        <v>1429</v>
      </c>
      <c r="M810" s="180"/>
      <c r="N810" s="180" t="s">
        <v>978</v>
      </c>
      <c r="O810" s="180"/>
      <c r="P810" s="180"/>
      <c r="Q810" s="180"/>
      <c r="R810" s="180" t="s">
        <v>1035</v>
      </c>
      <c r="S810" s="180" t="s">
        <v>1036</v>
      </c>
      <c r="T810" s="183">
        <f t="shared" si="21"/>
        <v>12</v>
      </c>
      <c r="U810" s="184">
        <f t="shared" si="15"/>
        <v>45646</v>
      </c>
      <c r="V810" s="183"/>
      <c r="W810" s="183"/>
      <c r="X810" s="183"/>
      <c r="Y810" s="183"/>
      <c r="Z810" s="183" t="s">
        <v>1113</v>
      </c>
      <c r="AA810" s="183" t="s">
        <v>1336</v>
      </c>
      <c r="AB810" s="183"/>
    </row>
    <row r="811" spans="1:28" ht="14.25" hidden="1" customHeight="1">
      <c r="A811" s="180" t="s">
        <v>1017</v>
      </c>
      <c r="B811" s="181">
        <v>45646</v>
      </c>
      <c r="C811" s="180" t="s">
        <v>1432</v>
      </c>
      <c r="D811" s="180" t="s">
        <v>281</v>
      </c>
      <c r="E811" s="180" t="s">
        <v>1433</v>
      </c>
      <c r="F811" s="246">
        <v>-7150</v>
      </c>
      <c r="G811" s="165">
        <f t="shared" si="19"/>
        <v>11872.100999999995</v>
      </c>
      <c r="H811" s="180"/>
      <c r="I811" s="180" t="s">
        <v>342</v>
      </c>
      <c r="J811" s="180"/>
      <c r="K811" s="180"/>
      <c r="L811" s="180" t="s">
        <v>1429</v>
      </c>
      <c r="M811" s="180"/>
      <c r="N811" s="180" t="s">
        <v>978</v>
      </c>
      <c r="O811" s="180"/>
      <c r="P811" s="180"/>
      <c r="Q811" s="180"/>
      <c r="R811" s="180" t="s">
        <v>1035</v>
      </c>
      <c r="S811" s="180" t="s">
        <v>1036</v>
      </c>
      <c r="T811" s="183">
        <f t="shared" si="21"/>
        <v>12</v>
      </c>
      <c r="U811" s="184">
        <f t="shared" si="15"/>
        <v>45646</v>
      </c>
      <c r="V811" s="183"/>
      <c r="W811" s="183"/>
      <c r="X811" s="183"/>
      <c r="Y811" s="183"/>
      <c r="Z811" s="183" t="s">
        <v>1113</v>
      </c>
      <c r="AA811" s="183" t="s">
        <v>1336</v>
      </c>
      <c r="AB811" s="183"/>
    </row>
    <row r="812" spans="1:28" ht="14.25" hidden="1" customHeight="1">
      <c r="A812" s="180" t="s">
        <v>1017</v>
      </c>
      <c r="B812" s="181">
        <v>45646</v>
      </c>
      <c r="C812" s="180" t="s">
        <v>1087</v>
      </c>
      <c r="D812" s="180" t="s">
        <v>281</v>
      </c>
      <c r="E812" s="180" t="s">
        <v>1434</v>
      </c>
      <c r="F812" s="246">
        <v>-1527.65</v>
      </c>
      <c r="G812" s="165">
        <f t="shared" si="19"/>
        <v>10344.450999999995</v>
      </c>
      <c r="H812" s="180"/>
      <c r="I812" s="180" t="s">
        <v>283</v>
      </c>
      <c r="J812" s="180"/>
      <c r="K812" s="180"/>
      <c r="L812" s="180" t="s">
        <v>305</v>
      </c>
      <c r="M812" s="180"/>
      <c r="N812" s="180" t="s">
        <v>978</v>
      </c>
      <c r="O812" s="180"/>
      <c r="P812" s="180"/>
      <c r="Q812" s="180" t="s">
        <v>1067</v>
      </c>
      <c r="R812" s="180" t="s">
        <v>1087</v>
      </c>
      <c r="S812" s="180" t="s">
        <v>1089</v>
      </c>
      <c r="T812" s="183">
        <f t="shared" si="21"/>
        <v>12</v>
      </c>
      <c r="U812" s="184">
        <f t="shared" si="15"/>
        <v>45646</v>
      </c>
      <c r="V812" s="183"/>
      <c r="W812" s="183"/>
      <c r="X812" s="183"/>
      <c r="Y812" s="183"/>
      <c r="Z812" s="183" t="s">
        <v>1113</v>
      </c>
      <c r="AA812" s="183" t="s">
        <v>1336</v>
      </c>
      <c r="AB812" s="183"/>
    </row>
    <row r="813" spans="1:28" ht="14.25" hidden="1" customHeight="1">
      <c r="A813" s="163" t="s">
        <v>1017</v>
      </c>
      <c r="B813" s="164">
        <v>45646</v>
      </c>
      <c r="C813" s="163"/>
      <c r="D813" s="163" t="s">
        <v>281</v>
      </c>
      <c r="E813" s="163" t="s">
        <v>1077</v>
      </c>
      <c r="F813" s="168">
        <f>-20.5-27.5-10.5-1.19-1.5</f>
        <v>-61.19</v>
      </c>
      <c r="G813" s="165">
        <f t="shared" si="19"/>
        <v>10283.260999999995</v>
      </c>
      <c r="H813" s="163"/>
      <c r="I813" s="163" t="s">
        <v>342</v>
      </c>
      <c r="J813" s="163"/>
      <c r="K813" s="163"/>
      <c r="L813" s="163" t="s">
        <v>1030</v>
      </c>
      <c r="M813" s="163"/>
      <c r="N813" s="163" t="s">
        <v>978</v>
      </c>
      <c r="O813" s="163"/>
      <c r="P813" s="163"/>
      <c r="Q813" s="163"/>
      <c r="R813" s="163"/>
      <c r="S813" s="163" t="s">
        <v>1076</v>
      </c>
      <c r="T813" s="94">
        <f t="shared" si="21"/>
        <v>12</v>
      </c>
      <c r="U813" s="212">
        <f t="shared" si="15"/>
        <v>45646</v>
      </c>
      <c r="V813" s="43"/>
      <c r="W813" s="43"/>
      <c r="X813" s="43"/>
      <c r="Y813" s="43"/>
      <c r="Z813" s="43" t="s">
        <v>1113</v>
      </c>
      <c r="AA813" s="43" t="s">
        <v>1113</v>
      </c>
      <c r="AB813" s="43"/>
    </row>
    <row r="814" spans="1:28" ht="14.25" hidden="1" customHeight="1">
      <c r="A814" s="163"/>
      <c r="B814" s="164">
        <v>45646</v>
      </c>
      <c r="C814" s="163" t="s">
        <v>346</v>
      </c>
      <c r="D814" s="163"/>
      <c r="E814" s="163"/>
      <c r="F814" s="165">
        <v>0</v>
      </c>
      <c r="G814" s="165">
        <f t="shared" si="19"/>
        <v>10283.260999999995</v>
      </c>
      <c r="H814" s="163"/>
      <c r="I814" s="163"/>
      <c r="J814" s="163"/>
      <c r="K814" s="163"/>
      <c r="L814" s="163"/>
      <c r="M814" s="163"/>
      <c r="N814" s="163"/>
      <c r="O814" s="163"/>
      <c r="P814" s="163"/>
      <c r="Q814" s="163"/>
      <c r="R814" s="163"/>
      <c r="S814" s="163"/>
      <c r="T814" s="43">
        <f t="shared" si="21"/>
        <v>12</v>
      </c>
      <c r="U814" s="167">
        <f t="shared" si="15"/>
        <v>45646</v>
      </c>
      <c r="V814" s="43"/>
      <c r="W814" s="43"/>
      <c r="X814" s="43"/>
      <c r="Y814" s="43"/>
      <c r="Z814" s="43" t="s">
        <v>1157</v>
      </c>
      <c r="AA814" s="43" t="s">
        <v>1157</v>
      </c>
      <c r="AB814" s="43"/>
    </row>
    <row r="815" spans="1:28" ht="14.25" hidden="1" customHeight="1">
      <c r="A815" s="163" t="s">
        <v>1174</v>
      </c>
      <c r="B815" s="164">
        <v>45646</v>
      </c>
      <c r="C815" s="163" t="s">
        <v>1106</v>
      </c>
      <c r="D815" s="163" t="s">
        <v>281</v>
      </c>
      <c r="E815" s="163" t="s">
        <v>407</v>
      </c>
      <c r="F815" s="195">
        <v>1950</v>
      </c>
      <c r="G815" s="165">
        <f t="shared" si="19"/>
        <v>12233.260999999995</v>
      </c>
      <c r="H815" s="163"/>
      <c r="I815" s="163" t="s">
        <v>1176</v>
      </c>
      <c r="J815" s="163" t="s">
        <v>1435</v>
      </c>
      <c r="K815" s="163"/>
      <c r="L815" s="163" t="s">
        <v>305</v>
      </c>
      <c r="M815" s="163"/>
      <c r="N815" s="163" t="s">
        <v>1178</v>
      </c>
      <c r="O815" s="163" t="s">
        <v>1435</v>
      </c>
      <c r="P815" s="163" t="s">
        <v>57</v>
      </c>
      <c r="Q815" s="163"/>
      <c r="R815" s="163" t="s">
        <v>1111</v>
      </c>
      <c r="S815" s="163" t="s">
        <v>1112</v>
      </c>
      <c r="T815" s="43">
        <f t="shared" si="21"/>
        <v>12</v>
      </c>
      <c r="U815" s="167">
        <f t="shared" si="15"/>
        <v>45649</v>
      </c>
      <c r="V815" s="166">
        <v>45649</v>
      </c>
      <c r="W815" s="43"/>
      <c r="X815" s="43"/>
      <c r="Y815" s="43"/>
      <c r="Z815" s="43" t="s">
        <v>1113</v>
      </c>
      <c r="AA815" s="43" t="s">
        <v>1113</v>
      </c>
      <c r="AB815" s="43" t="s">
        <v>1436</v>
      </c>
    </row>
    <row r="816" spans="1:28" ht="14.25" hidden="1" customHeight="1">
      <c r="A816" s="163" t="s">
        <v>1017</v>
      </c>
      <c r="B816" s="164">
        <v>45649</v>
      </c>
      <c r="C816" s="163"/>
      <c r="D816" s="163" t="s">
        <v>281</v>
      </c>
      <c r="E816" s="163" t="s">
        <v>1077</v>
      </c>
      <c r="F816" s="168">
        <v>-1.19</v>
      </c>
      <c r="G816" s="165">
        <f t="shared" si="19"/>
        <v>12232.070999999994</v>
      </c>
      <c r="H816" s="163"/>
      <c r="I816" s="163" t="s">
        <v>342</v>
      </c>
      <c r="J816" s="163"/>
      <c r="K816" s="163"/>
      <c r="L816" s="163" t="s">
        <v>1030</v>
      </c>
      <c r="M816" s="163"/>
      <c r="N816" s="163" t="s">
        <v>978</v>
      </c>
      <c r="O816" s="163"/>
      <c r="P816" s="163"/>
      <c r="Q816" s="163"/>
      <c r="R816" s="163"/>
      <c r="S816" s="163" t="s">
        <v>1076</v>
      </c>
      <c r="T816" s="94">
        <f t="shared" si="21"/>
        <v>12</v>
      </c>
      <c r="U816" s="212">
        <f t="shared" si="15"/>
        <v>45649</v>
      </c>
      <c r="V816" s="43"/>
      <c r="W816" s="43"/>
      <c r="X816" s="43"/>
      <c r="Y816" s="43"/>
      <c r="Z816" s="43" t="s">
        <v>1113</v>
      </c>
      <c r="AA816" s="43" t="s">
        <v>1113</v>
      </c>
      <c r="AB816" s="43"/>
    </row>
    <row r="817" spans="1:28" ht="14.25" hidden="1" customHeight="1">
      <c r="A817" s="163" t="s">
        <v>1174</v>
      </c>
      <c r="B817" s="164">
        <v>45649</v>
      </c>
      <c r="C817" s="163" t="s">
        <v>1437</v>
      </c>
      <c r="D817" s="163" t="s">
        <v>281</v>
      </c>
      <c r="E817" s="163" t="s">
        <v>407</v>
      </c>
      <c r="F817" s="247"/>
      <c r="G817" s="165">
        <f t="shared" si="19"/>
        <v>12232.070999999994</v>
      </c>
      <c r="H817" s="163"/>
      <c r="I817" s="163" t="s">
        <v>1176</v>
      </c>
      <c r="J817" s="163" t="s">
        <v>1438</v>
      </c>
      <c r="K817" s="163"/>
      <c r="L817" s="163" t="s">
        <v>305</v>
      </c>
      <c r="M817" s="163"/>
      <c r="N817" s="163" t="s">
        <v>1178</v>
      </c>
      <c r="O817" s="163" t="s">
        <v>1438</v>
      </c>
      <c r="P817" s="163" t="s">
        <v>351</v>
      </c>
      <c r="Q817" s="163"/>
      <c r="R817" s="163" t="s">
        <v>1437</v>
      </c>
      <c r="S817" s="163" t="s">
        <v>1439</v>
      </c>
      <c r="T817" s="43">
        <f t="shared" si="21"/>
        <v>12</v>
      </c>
      <c r="U817" s="167">
        <f t="shared" si="15"/>
        <v>45649</v>
      </c>
      <c r="V817" s="43"/>
      <c r="W817" s="43"/>
      <c r="X817" s="43"/>
      <c r="Y817" s="43"/>
      <c r="Z817" s="43" t="s">
        <v>1113</v>
      </c>
      <c r="AA817" s="43"/>
      <c r="AB817" s="43"/>
    </row>
    <row r="818" spans="1:28" ht="14.25" hidden="1" customHeight="1">
      <c r="A818" s="163" t="s">
        <v>1017</v>
      </c>
      <c r="B818" s="164">
        <v>45649</v>
      </c>
      <c r="C818" s="163" t="s">
        <v>1013</v>
      </c>
      <c r="D818" s="163" t="s">
        <v>281</v>
      </c>
      <c r="E818" s="163" t="s">
        <v>199</v>
      </c>
      <c r="F818" s="168"/>
      <c r="G818" s="165">
        <f t="shared" si="19"/>
        <v>12232.070999999994</v>
      </c>
      <c r="H818" s="163"/>
      <c r="I818" s="163" t="s">
        <v>977</v>
      </c>
      <c r="J818" s="163"/>
      <c r="K818" s="163"/>
      <c r="L818" s="163" t="s">
        <v>1430</v>
      </c>
      <c r="M818" s="163"/>
      <c r="N818" s="163" t="s">
        <v>978</v>
      </c>
      <c r="O818" s="163"/>
      <c r="P818" s="163"/>
      <c r="Q818" s="163"/>
      <c r="R818" s="163" t="s">
        <v>1015</v>
      </c>
      <c r="S818" s="163" t="s">
        <v>1016</v>
      </c>
      <c r="T818" s="43">
        <f t="shared" si="21"/>
        <v>12</v>
      </c>
      <c r="U818" s="167">
        <f t="shared" si="15"/>
        <v>45649</v>
      </c>
      <c r="V818" s="43"/>
      <c r="W818" s="43"/>
      <c r="X818" s="43"/>
      <c r="Y818" s="43"/>
      <c r="Z818" s="43" t="s">
        <v>1113</v>
      </c>
      <c r="AA818" s="43" t="s">
        <v>1113</v>
      </c>
      <c r="AB818" s="43"/>
    </row>
    <row r="819" spans="1:28" ht="14.25" hidden="1" customHeight="1">
      <c r="A819" s="205" t="s">
        <v>1017</v>
      </c>
      <c r="B819" s="181">
        <v>45649</v>
      </c>
      <c r="C819" s="205" t="s">
        <v>1008</v>
      </c>
      <c r="D819" s="205" t="s">
        <v>281</v>
      </c>
      <c r="E819" s="205" t="s">
        <v>199</v>
      </c>
      <c r="F819" s="182"/>
      <c r="G819" s="165">
        <f t="shared" si="19"/>
        <v>12232.070999999994</v>
      </c>
      <c r="H819" s="205"/>
      <c r="I819" s="205" t="s">
        <v>977</v>
      </c>
      <c r="J819" s="205"/>
      <c r="K819" s="205"/>
      <c r="L819" s="205" t="s">
        <v>1003</v>
      </c>
      <c r="M819" s="205"/>
      <c r="N819" s="205" t="s">
        <v>978</v>
      </c>
      <c r="O819" s="205"/>
      <c r="P819" s="205"/>
      <c r="Q819" s="205"/>
      <c r="R819" s="205" t="s">
        <v>1011</v>
      </c>
      <c r="S819" s="205" t="s">
        <v>1012</v>
      </c>
      <c r="T819" s="209">
        <f t="shared" si="21"/>
        <v>12</v>
      </c>
      <c r="U819" s="210">
        <f t="shared" si="15"/>
        <v>45649</v>
      </c>
      <c r="V819" s="206"/>
      <c r="W819" s="206"/>
      <c r="X819" s="206"/>
      <c r="Y819" s="206"/>
      <c r="Z819" s="206" t="s">
        <v>1113</v>
      </c>
      <c r="AA819" s="206" t="s">
        <v>1113</v>
      </c>
      <c r="AB819" s="206"/>
    </row>
    <row r="820" spans="1:28" ht="14.25" hidden="1" customHeight="1">
      <c r="A820" s="248" t="s">
        <v>1017</v>
      </c>
      <c r="B820" s="249">
        <v>45649</v>
      </c>
      <c r="C820" s="248" t="s">
        <v>1440</v>
      </c>
      <c r="D820" s="248" t="s">
        <v>281</v>
      </c>
      <c r="E820" s="248" t="s">
        <v>407</v>
      </c>
      <c r="F820" s="250"/>
      <c r="G820" s="165">
        <f t="shared" si="19"/>
        <v>12232.070999999994</v>
      </c>
      <c r="H820" s="248"/>
      <c r="I820" s="248" t="s">
        <v>342</v>
      </c>
      <c r="J820" s="248"/>
      <c r="K820" s="248"/>
      <c r="L820" s="248" t="s">
        <v>1429</v>
      </c>
      <c r="M820" s="248"/>
      <c r="N820" s="248" t="s">
        <v>978</v>
      </c>
      <c r="O820" s="248"/>
      <c r="P820" s="248"/>
      <c r="Q820" s="248"/>
      <c r="R820" s="248" t="s">
        <v>1035</v>
      </c>
      <c r="S820" s="248" t="s">
        <v>1036</v>
      </c>
      <c r="T820" s="251">
        <f t="shared" si="21"/>
        <v>12</v>
      </c>
      <c r="U820" s="252">
        <f t="shared" si="15"/>
        <v>45649</v>
      </c>
      <c r="V820" s="251"/>
      <c r="W820" s="251"/>
      <c r="X820" s="251"/>
      <c r="Y820" s="251"/>
      <c r="Z820" s="251" t="s">
        <v>1113</v>
      </c>
      <c r="AA820" s="251" t="s">
        <v>1336</v>
      </c>
      <c r="AB820" s="251"/>
    </row>
    <row r="821" spans="1:28" ht="14.25" hidden="1" customHeight="1">
      <c r="A821" s="248" t="s">
        <v>1017</v>
      </c>
      <c r="B821" s="249">
        <v>45649</v>
      </c>
      <c r="C821" s="248" t="s">
        <v>1441</v>
      </c>
      <c r="D821" s="248" t="s">
        <v>281</v>
      </c>
      <c r="E821" s="248" t="s">
        <v>760</v>
      </c>
      <c r="F821" s="253"/>
      <c r="G821" s="165">
        <f t="shared" si="19"/>
        <v>12232.070999999994</v>
      </c>
      <c r="H821" s="248"/>
      <c r="I821" s="248" t="s">
        <v>342</v>
      </c>
      <c r="J821" s="248"/>
      <c r="K821" s="248"/>
      <c r="L821" s="248" t="s">
        <v>1429</v>
      </c>
      <c r="M821" s="248"/>
      <c r="N821" s="248" t="s">
        <v>978</v>
      </c>
      <c r="O821" s="248"/>
      <c r="P821" s="248"/>
      <c r="Q821" s="248"/>
      <c r="R821" s="248" t="s">
        <v>1035</v>
      </c>
      <c r="S821" s="248" t="s">
        <v>1036</v>
      </c>
      <c r="T821" s="251">
        <f t="shared" si="21"/>
        <v>12</v>
      </c>
      <c r="U821" s="252">
        <f t="shared" si="15"/>
        <v>45649</v>
      </c>
      <c r="V821" s="251"/>
      <c r="W821" s="251"/>
      <c r="X821" s="251"/>
      <c r="Y821" s="251"/>
      <c r="Z821" s="251" t="s">
        <v>1113</v>
      </c>
      <c r="AA821" s="251" t="s">
        <v>1336</v>
      </c>
      <c r="AB821" s="251"/>
    </row>
    <row r="822" spans="1:28" ht="14.25" hidden="1" customHeight="1">
      <c r="A822" s="248" t="s">
        <v>1017</v>
      </c>
      <c r="B822" s="249">
        <v>45649</v>
      </c>
      <c r="C822" s="248" t="s">
        <v>1440</v>
      </c>
      <c r="D822" s="248" t="s">
        <v>281</v>
      </c>
      <c r="E822" s="248" t="s">
        <v>289</v>
      </c>
      <c r="F822" s="250"/>
      <c r="G822" s="165">
        <f t="shared" si="19"/>
        <v>12232.070999999994</v>
      </c>
      <c r="H822" s="248"/>
      <c r="I822" s="248" t="s">
        <v>342</v>
      </c>
      <c r="J822" s="248"/>
      <c r="K822" s="248"/>
      <c r="L822" s="248" t="s">
        <v>1429</v>
      </c>
      <c r="M822" s="248"/>
      <c r="N822" s="248" t="s">
        <v>978</v>
      </c>
      <c r="O822" s="248"/>
      <c r="P822" s="248"/>
      <c r="Q822" s="248"/>
      <c r="R822" s="248" t="s">
        <v>1035</v>
      </c>
      <c r="S822" s="248" t="s">
        <v>1036</v>
      </c>
      <c r="T822" s="251">
        <f t="shared" si="21"/>
        <v>12</v>
      </c>
      <c r="U822" s="252">
        <f t="shared" si="15"/>
        <v>45649</v>
      </c>
      <c r="V822" s="251"/>
      <c r="W822" s="251"/>
      <c r="X822" s="251"/>
      <c r="Y822" s="251"/>
      <c r="Z822" s="251" t="s">
        <v>1113</v>
      </c>
      <c r="AA822" s="251" t="s">
        <v>1336</v>
      </c>
      <c r="AB822" s="251"/>
    </row>
    <row r="823" spans="1:28" ht="14.25" hidden="1" customHeight="1">
      <c r="A823" s="163"/>
      <c r="B823" s="164">
        <v>45649</v>
      </c>
      <c r="C823" s="163" t="s">
        <v>346</v>
      </c>
      <c r="D823" s="163"/>
      <c r="E823" s="163"/>
      <c r="F823" s="165">
        <v>0</v>
      </c>
      <c r="G823" s="165">
        <f t="shared" si="19"/>
        <v>12232.070999999994</v>
      </c>
      <c r="H823" s="163"/>
      <c r="I823" s="163"/>
      <c r="J823" s="163"/>
      <c r="K823" s="163"/>
      <c r="L823" s="163"/>
      <c r="M823" s="163"/>
      <c r="N823" s="163"/>
      <c r="O823" s="163"/>
      <c r="P823" s="163"/>
      <c r="Q823" s="163"/>
      <c r="R823" s="163"/>
      <c r="S823" s="163"/>
      <c r="T823" s="43">
        <f t="shared" si="21"/>
        <v>12</v>
      </c>
      <c r="U823" s="167">
        <f t="shared" si="15"/>
        <v>45649</v>
      </c>
      <c r="V823" s="167"/>
      <c r="W823" s="43"/>
      <c r="X823" s="43"/>
      <c r="Y823" s="43"/>
      <c r="Z823" s="43" t="s">
        <v>1157</v>
      </c>
      <c r="AA823" s="43" t="s">
        <v>1157</v>
      </c>
      <c r="AB823" s="43"/>
    </row>
    <row r="824" spans="1:28" ht="14.25" hidden="1" customHeight="1">
      <c r="A824" s="163" t="s">
        <v>1017</v>
      </c>
      <c r="B824" s="164">
        <v>45650</v>
      </c>
      <c r="C824" s="163" t="s">
        <v>1442</v>
      </c>
      <c r="D824" s="163" t="s">
        <v>281</v>
      </c>
      <c r="E824" s="163" t="s">
        <v>1442</v>
      </c>
      <c r="F824" s="204"/>
      <c r="G824" s="165">
        <f t="shared" si="19"/>
        <v>12232.070999999994</v>
      </c>
      <c r="H824" s="163"/>
      <c r="I824" s="163" t="s">
        <v>994</v>
      </c>
      <c r="J824" s="163"/>
      <c r="K824" s="163"/>
      <c r="L824" s="163" t="s">
        <v>1062</v>
      </c>
      <c r="M824" s="163"/>
      <c r="N824" s="163" t="s">
        <v>978</v>
      </c>
      <c r="O824" s="163"/>
      <c r="P824" s="163"/>
      <c r="Q824" s="163"/>
      <c r="R824" s="163" t="s">
        <v>1442</v>
      </c>
      <c r="S824" s="163"/>
      <c r="T824" s="43">
        <f t="shared" ref="T824:T825" si="22">MONTH(U824)</f>
        <v>1</v>
      </c>
      <c r="U824" s="167">
        <f t="shared" si="15"/>
        <v>45658</v>
      </c>
      <c r="V824" s="166">
        <v>45658</v>
      </c>
      <c r="W824" s="43">
        <f t="shared" ref="W824:W825" si="23">MONTH(U824)</f>
        <v>1</v>
      </c>
      <c r="X824" s="43" t="s">
        <v>12</v>
      </c>
      <c r="Y824" s="43" t="s">
        <v>1443</v>
      </c>
      <c r="Z824" s="43" t="s">
        <v>1113</v>
      </c>
      <c r="AA824" s="43" t="s">
        <v>1113</v>
      </c>
      <c r="AB824" s="43"/>
    </row>
    <row r="825" spans="1:28" ht="14.25" hidden="1" customHeight="1">
      <c r="A825" s="163" t="s">
        <v>1017</v>
      </c>
      <c r="B825" s="164">
        <v>45650</v>
      </c>
      <c r="C825" s="163" t="s">
        <v>1444</v>
      </c>
      <c r="D825" s="163" t="s">
        <v>281</v>
      </c>
      <c r="E825" s="163" t="s">
        <v>1444</v>
      </c>
      <c r="F825" s="204"/>
      <c r="G825" s="165">
        <f t="shared" si="19"/>
        <v>12232.070999999994</v>
      </c>
      <c r="H825" s="163"/>
      <c r="I825" s="163" t="s">
        <v>994</v>
      </c>
      <c r="J825" s="163"/>
      <c r="K825" s="163"/>
      <c r="L825" s="163" t="s">
        <v>1062</v>
      </c>
      <c r="M825" s="163"/>
      <c r="N825" s="163" t="s">
        <v>978</v>
      </c>
      <c r="O825" s="163"/>
      <c r="P825" s="163"/>
      <c r="Q825" s="163"/>
      <c r="R825" s="163" t="s">
        <v>1444</v>
      </c>
      <c r="S825" s="163"/>
      <c r="T825" s="43">
        <f t="shared" si="22"/>
        <v>1</v>
      </c>
      <c r="U825" s="167">
        <f t="shared" si="15"/>
        <v>45658</v>
      </c>
      <c r="V825" s="166">
        <v>45658</v>
      </c>
      <c r="W825" s="43">
        <f t="shared" si="23"/>
        <v>1</v>
      </c>
      <c r="X825" s="43" t="s">
        <v>12</v>
      </c>
      <c r="Y825" s="43" t="s">
        <v>1443</v>
      </c>
      <c r="Z825" s="43" t="s">
        <v>1113</v>
      </c>
      <c r="AA825" s="43" t="s">
        <v>1113</v>
      </c>
      <c r="AB825" s="43"/>
    </row>
    <row r="826" spans="1:28" ht="14.25" hidden="1" customHeight="1">
      <c r="A826" s="163" t="s">
        <v>1017</v>
      </c>
      <c r="B826" s="164">
        <v>45650</v>
      </c>
      <c r="C826" s="163" t="s">
        <v>1367</v>
      </c>
      <c r="D826" s="163" t="s">
        <v>281</v>
      </c>
      <c r="E826" s="163" t="s">
        <v>372</v>
      </c>
      <c r="F826" s="168"/>
      <c r="G826" s="165">
        <f t="shared" si="19"/>
        <v>12232.070999999994</v>
      </c>
      <c r="H826" s="163"/>
      <c r="I826" s="163" t="s">
        <v>994</v>
      </c>
      <c r="J826" s="163"/>
      <c r="K826" s="163"/>
      <c r="L826" s="163" t="s">
        <v>1030</v>
      </c>
      <c r="M826" s="163"/>
      <c r="N826" s="163" t="s">
        <v>978</v>
      </c>
      <c r="O826" s="163"/>
      <c r="P826" s="163"/>
      <c r="Q826" s="163"/>
      <c r="R826" s="163" t="s">
        <v>1445</v>
      </c>
      <c r="S826" s="163" t="s">
        <v>1446</v>
      </c>
      <c r="T826" s="43">
        <f t="shared" ref="T826:T838" si="24">MONTH(B826)</f>
        <v>12</v>
      </c>
      <c r="U826" s="167">
        <f t="shared" si="15"/>
        <v>45650</v>
      </c>
      <c r="V826" s="43"/>
      <c r="W826" s="43"/>
      <c r="X826" s="43"/>
      <c r="Y826" s="43"/>
      <c r="Z826" s="43" t="s">
        <v>1113</v>
      </c>
      <c r="AA826" s="43" t="s">
        <v>1113</v>
      </c>
      <c r="AB826" s="43"/>
    </row>
    <row r="827" spans="1:28" ht="14.25" hidden="1" customHeight="1">
      <c r="A827" s="163"/>
      <c r="B827" s="164">
        <v>45650</v>
      </c>
      <c r="C827" s="163" t="s">
        <v>346</v>
      </c>
      <c r="D827" s="163"/>
      <c r="E827" s="163"/>
      <c r="F827" s="165">
        <v>0</v>
      </c>
      <c r="G827" s="165">
        <f t="shared" si="19"/>
        <v>12232.070999999994</v>
      </c>
      <c r="H827" s="163"/>
      <c r="I827" s="163"/>
      <c r="J827" s="163"/>
      <c r="K827" s="163"/>
      <c r="L827" s="163"/>
      <c r="M827" s="163"/>
      <c r="N827" s="163"/>
      <c r="O827" s="163"/>
      <c r="P827" s="163"/>
      <c r="Q827" s="163"/>
      <c r="R827" s="163"/>
      <c r="S827" s="163"/>
      <c r="T827" s="43">
        <f t="shared" si="24"/>
        <v>12</v>
      </c>
      <c r="U827" s="167">
        <f t="shared" si="15"/>
        <v>45650</v>
      </c>
      <c r="V827" s="43"/>
      <c r="W827" s="43"/>
      <c r="X827" s="43"/>
      <c r="Y827" s="43"/>
      <c r="Z827" s="43" t="s">
        <v>1157</v>
      </c>
      <c r="AA827" s="43" t="s">
        <v>1157</v>
      </c>
      <c r="AB827" s="43"/>
    </row>
    <row r="828" spans="1:28" ht="14.25" hidden="1" customHeight="1">
      <c r="A828" s="163" t="s">
        <v>1174</v>
      </c>
      <c r="B828" s="164">
        <v>45646</v>
      </c>
      <c r="C828" s="163" t="s">
        <v>1018</v>
      </c>
      <c r="D828" s="163" t="s">
        <v>281</v>
      </c>
      <c r="E828" s="163" t="s">
        <v>407</v>
      </c>
      <c r="F828" s="224">
        <v>4199</v>
      </c>
      <c r="G828" s="165">
        <f t="shared" si="19"/>
        <v>16431.070999999996</v>
      </c>
      <c r="H828" s="163"/>
      <c r="I828" s="163" t="s">
        <v>1176</v>
      </c>
      <c r="J828" s="163" t="s">
        <v>1420</v>
      </c>
      <c r="K828" s="163"/>
      <c r="L828" s="163" t="s">
        <v>305</v>
      </c>
      <c r="M828" s="163"/>
      <c r="N828" s="163" t="s">
        <v>1178</v>
      </c>
      <c r="O828" s="163" t="s">
        <v>1420</v>
      </c>
      <c r="P828" s="163" t="s">
        <v>1023</v>
      </c>
      <c r="Q828" s="163"/>
      <c r="R828" s="163" t="s">
        <v>1024</v>
      </c>
      <c r="S828" s="163" t="s">
        <v>1025</v>
      </c>
      <c r="T828" s="43">
        <f t="shared" si="24"/>
        <v>12</v>
      </c>
      <c r="U828" s="167">
        <f t="shared" si="15"/>
        <v>45652</v>
      </c>
      <c r="V828" s="166">
        <v>45652</v>
      </c>
      <c r="W828" s="43"/>
      <c r="X828" s="43"/>
      <c r="Y828" s="43"/>
      <c r="Z828" s="43" t="s">
        <v>1113</v>
      </c>
      <c r="AA828" s="43" t="s">
        <v>1113</v>
      </c>
      <c r="AB828" s="43" t="s">
        <v>1421</v>
      </c>
    </row>
    <row r="829" spans="1:28" ht="14.25" hidden="1" customHeight="1">
      <c r="A829" s="163" t="s">
        <v>1174</v>
      </c>
      <c r="B829" s="164">
        <v>45652</v>
      </c>
      <c r="C829" s="163" t="s">
        <v>1205</v>
      </c>
      <c r="D829" s="163" t="s">
        <v>281</v>
      </c>
      <c r="E829" s="163" t="s">
        <v>407</v>
      </c>
      <c r="F829" s="224">
        <v>1200</v>
      </c>
      <c r="G829" s="165">
        <f t="shared" si="19"/>
        <v>17631.070999999996</v>
      </c>
      <c r="H829" s="163"/>
      <c r="I829" s="163" t="s">
        <v>1176</v>
      </c>
      <c r="J829" s="163" t="s">
        <v>1206</v>
      </c>
      <c r="K829" s="163"/>
      <c r="L829" s="163" t="s">
        <v>305</v>
      </c>
      <c r="M829" s="163"/>
      <c r="N829" s="163" t="s">
        <v>1178</v>
      </c>
      <c r="O829" s="163" t="s">
        <v>1206</v>
      </c>
      <c r="P829" s="163" t="s">
        <v>351</v>
      </c>
      <c r="Q829" s="163"/>
      <c r="R829" s="163" t="s">
        <v>1207</v>
      </c>
      <c r="S829" s="163" t="s">
        <v>1208</v>
      </c>
      <c r="T829" s="43">
        <f t="shared" si="24"/>
        <v>12</v>
      </c>
      <c r="U829" s="167">
        <f t="shared" si="15"/>
        <v>45652</v>
      </c>
      <c r="V829" s="43"/>
      <c r="W829" s="43"/>
      <c r="X829" s="43"/>
      <c r="Y829" s="43"/>
      <c r="Z829" s="43" t="s">
        <v>1113</v>
      </c>
      <c r="AA829" s="43" t="s">
        <v>1113</v>
      </c>
      <c r="AB829" s="43" t="s">
        <v>1447</v>
      </c>
    </row>
    <row r="830" spans="1:28" ht="14.25" hidden="1" customHeight="1">
      <c r="A830" s="163" t="s">
        <v>1174</v>
      </c>
      <c r="B830" s="164">
        <v>45652</v>
      </c>
      <c r="C830" s="163" t="s">
        <v>1189</v>
      </c>
      <c r="D830" s="163" t="s">
        <v>281</v>
      </c>
      <c r="E830" s="163" t="s">
        <v>407</v>
      </c>
      <c r="F830" s="165"/>
      <c r="G830" s="165">
        <f t="shared" si="19"/>
        <v>17631.070999999996</v>
      </c>
      <c r="H830" s="163"/>
      <c r="I830" s="163" t="s">
        <v>1176</v>
      </c>
      <c r="J830" s="163" t="s">
        <v>1448</v>
      </c>
      <c r="K830" s="163"/>
      <c r="L830" s="163" t="s">
        <v>305</v>
      </c>
      <c r="M830" s="163"/>
      <c r="N830" s="163" t="s">
        <v>1178</v>
      </c>
      <c r="O830" s="163" t="s">
        <v>1448</v>
      </c>
      <c r="P830" s="163" t="s">
        <v>1083</v>
      </c>
      <c r="Q830" s="163"/>
      <c r="R830" s="163" t="s">
        <v>1189</v>
      </c>
      <c r="S830" s="163" t="s">
        <v>1194</v>
      </c>
      <c r="T830" s="43">
        <f t="shared" si="24"/>
        <v>12</v>
      </c>
      <c r="U830" s="167">
        <f t="shared" si="15"/>
        <v>45652</v>
      </c>
      <c r="V830" s="43"/>
      <c r="W830" s="43"/>
      <c r="X830" s="43"/>
      <c r="Y830" s="43"/>
      <c r="Z830" s="43" t="s">
        <v>1113</v>
      </c>
      <c r="AA830" s="43" t="s">
        <v>1113</v>
      </c>
      <c r="AB830" s="43"/>
    </row>
    <row r="831" spans="1:28" ht="14.25" hidden="1" customHeight="1">
      <c r="A831" s="163" t="s">
        <v>1174</v>
      </c>
      <c r="B831" s="164">
        <v>45652</v>
      </c>
      <c r="C831" s="163" t="s">
        <v>1223</v>
      </c>
      <c r="D831" s="163" t="s">
        <v>281</v>
      </c>
      <c r="E831" s="163" t="s">
        <v>407</v>
      </c>
      <c r="F831" s="224">
        <v>3200</v>
      </c>
      <c r="G831" s="165">
        <f t="shared" si="19"/>
        <v>20831.070999999996</v>
      </c>
      <c r="H831" s="163"/>
      <c r="I831" s="163" t="s">
        <v>1176</v>
      </c>
      <c r="J831" s="163" t="s">
        <v>1449</v>
      </c>
      <c r="K831" s="163"/>
      <c r="L831" s="163" t="s">
        <v>305</v>
      </c>
      <c r="M831" s="163"/>
      <c r="N831" s="163" t="s">
        <v>1178</v>
      </c>
      <c r="O831" s="163" t="s">
        <v>1449</v>
      </c>
      <c r="P831" s="163" t="s">
        <v>57</v>
      </c>
      <c r="Q831" s="163"/>
      <c r="R831" s="163" t="s">
        <v>1228</v>
      </c>
      <c r="S831" s="163" t="s">
        <v>1229</v>
      </c>
      <c r="T831" s="43">
        <f t="shared" si="24"/>
        <v>12</v>
      </c>
      <c r="U831" s="167">
        <f t="shared" si="15"/>
        <v>45652</v>
      </c>
      <c r="V831" s="43"/>
      <c r="W831" s="43"/>
      <c r="X831" s="43"/>
      <c r="Y831" s="43"/>
      <c r="Z831" s="43" t="s">
        <v>1113</v>
      </c>
      <c r="AA831" s="43" t="s">
        <v>1113</v>
      </c>
      <c r="AB831" s="43" t="s">
        <v>1450</v>
      </c>
    </row>
    <row r="832" spans="1:28" ht="14.25" hidden="1" customHeight="1">
      <c r="A832" s="163" t="s">
        <v>1174</v>
      </c>
      <c r="B832" s="164">
        <v>45652</v>
      </c>
      <c r="C832" s="163" t="s">
        <v>1256</v>
      </c>
      <c r="D832" s="163" t="s">
        <v>281</v>
      </c>
      <c r="E832" s="163" t="s">
        <v>407</v>
      </c>
      <c r="F832" s="165"/>
      <c r="G832" s="165">
        <f t="shared" si="19"/>
        <v>20831.070999999996</v>
      </c>
      <c r="H832" s="163"/>
      <c r="I832" s="163" t="s">
        <v>1176</v>
      </c>
      <c r="J832" s="163" t="s">
        <v>1451</v>
      </c>
      <c r="K832" s="163"/>
      <c r="L832" s="163" t="s">
        <v>305</v>
      </c>
      <c r="M832" s="163"/>
      <c r="N832" s="163" t="s">
        <v>1178</v>
      </c>
      <c r="O832" s="163" t="s">
        <v>1451</v>
      </c>
      <c r="P832" s="163" t="s">
        <v>351</v>
      </c>
      <c r="Q832" s="163"/>
      <c r="R832" s="163" t="s">
        <v>1261</v>
      </c>
      <c r="S832" s="163" t="s">
        <v>1262</v>
      </c>
      <c r="T832" s="43">
        <f t="shared" si="24"/>
        <v>12</v>
      </c>
      <c r="U832" s="167">
        <f t="shared" si="15"/>
        <v>45652</v>
      </c>
      <c r="V832" s="43"/>
      <c r="W832" s="43"/>
      <c r="X832" s="43"/>
      <c r="Y832" s="43"/>
      <c r="Z832" s="43" t="s">
        <v>1113</v>
      </c>
      <c r="AA832" s="43" t="s">
        <v>1113</v>
      </c>
      <c r="AB832" s="43"/>
    </row>
    <row r="833" spans="1:28" ht="14.25" hidden="1" customHeight="1">
      <c r="A833" s="163" t="s">
        <v>1174</v>
      </c>
      <c r="B833" s="164">
        <v>45652</v>
      </c>
      <c r="C833" s="163" t="s">
        <v>1123</v>
      </c>
      <c r="D833" s="163" t="s">
        <v>281</v>
      </c>
      <c r="E833" s="163" t="s">
        <v>407</v>
      </c>
      <c r="F833" s="224">
        <v>4300</v>
      </c>
      <c r="G833" s="165">
        <f t="shared" si="19"/>
        <v>25131.070999999996</v>
      </c>
      <c r="H833" s="163"/>
      <c r="I833" s="163" t="s">
        <v>1176</v>
      </c>
      <c r="J833" s="163" t="s">
        <v>1452</v>
      </c>
      <c r="K833" s="163"/>
      <c r="L833" s="163" t="s">
        <v>305</v>
      </c>
      <c r="M833" s="163"/>
      <c r="N833" s="163" t="s">
        <v>1178</v>
      </c>
      <c r="O833" s="163" t="s">
        <v>1452</v>
      </c>
      <c r="P833" s="163" t="s">
        <v>57</v>
      </c>
      <c r="Q833" s="163"/>
      <c r="R833" s="163" t="s">
        <v>1128</v>
      </c>
      <c r="S833" s="163" t="s">
        <v>1129</v>
      </c>
      <c r="T833" s="43">
        <f t="shared" si="24"/>
        <v>12</v>
      </c>
      <c r="U833" s="167">
        <f t="shared" si="15"/>
        <v>45652</v>
      </c>
      <c r="V833" s="43"/>
      <c r="W833" s="43"/>
      <c r="X833" s="43"/>
      <c r="Y833" s="43"/>
      <c r="Z833" s="43" t="s">
        <v>1113</v>
      </c>
      <c r="AA833" s="43" t="s">
        <v>1113</v>
      </c>
      <c r="AB833" s="43" t="s">
        <v>1453</v>
      </c>
    </row>
    <row r="834" spans="1:28" ht="14.25" hidden="1" customHeight="1">
      <c r="A834" s="163" t="s">
        <v>1174</v>
      </c>
      <c r="B834" s="164">
        <v>45652</v>
      </c>
      <c r="C834" s="163" t="s">
        <v>1115</v>
      </c>
      <c r="D834" s="163" t="s">
        <v>281</v>
      </c>
      <c r="E834" s="163" t="s">
        <v>407</v>
      </c>
      <c r="F834" s="224">
        <v>4390</v>
      </c>
      <c r="G834" s="165">
        <f t="shared" si="19"/>
        <v>29521.070999999996</v>
      </c>
      <c r="H834" s="163"/>
      <c r="I834" s="163" t="s">
        <v>1176</v>
      </c>
      <c r="J834" s="163" t="s">
        <v>1454</v>
      </c>
      <c r="K834" s="163"/>
      <c r="L834" s="163" t="s">
        <v>305</v>
      </c>
      <c r="M834" s="163"/>
      <c r="N834" s="163" t="s">
        <v>1178</v>
      </c>
      <c r="O834" s="163" t="s">
        <v>1454</v>
      </c>
      <c r="P834" s="163" t="s">
        <v>1023</v>
      </c>
      <c r="Q834" s="163"/>
      <c r="R834" s="163" t="s">
        <v>1120</v>
      </c>
      <c r="S834" s="163" t="s">
        <v>1121</v>
      </c>
      <c r="T834" s="43">
        <f t="shared" si="24"/>
        <v>12</v>
      </c>
      <c r="U834" s="167">
        <f t="shared" si="15"/>
        <v>45652</v>
      </c>
      <c r="V834" s="43"/>
      <c r="W834" s="43"/>
      <c r="X834" s="43"/>
      <c r="Y834" s="43"/>
      <c r="Z834" s="43" t="s">
        <v>1113</v>
      </c>
      <c r="AA834" s="43" t="s">
        <v>1113</v>
      </c>
      <c r="AB834" s="194" t="s">
        <v>1455</v>
      </c>
    </row>
    <row r="835" spans="1:28" ht="14.25" hidden="1" customHeight="1">
      <c r="A835" s="163" t="s">
        <v>1174</v>
      </c>
      <c r="B835" s="164">
        <v>45652</v>
      </c>
      <c r="C835" s="163" t="s">
        <v>1196</v>
      </c>
      <c r="D835" s="163" t="s">
        <v>281</v>
      </c>
      <c r="E835" s="163" t="s">
        <v>407</v>
      </c>
      <c r="F835" s="168"/>
      <c r="G835" s="165">
        <f t="shared" si="19"/>
        <v>29521.070999999996</v>
      </c>
      <c r="H835" s="163"/>
      <c r="I835" s="163" t="s">
        <v>1176</v>
      </c>
      <c r="J835" s="163" t="s">
        <v>1456</v>
      </c>
      <c r="K835" s="163"/>
      <c r="L835" s="163" t="s">
        <v>305</v>
      </c>
      <c r="M835" s="163"/>
      <c r="N835" s="163" t="s">
        <v>1178</v>
      </c>
      <c r="O835" s="163" t="s">
        <v>1456</v>
      </c>
      <c r="P835" s="163" t="s">
        <v>1201</v>
      </c>
      <c r="Q835" s="163"/>
      <c r="R835" s="163" t="s">
        <v>1202</v>
      </c>
      <c r="S835" s="163" t="s">
        <v>1203</v>
      </c>
      <c r="T835" s="43">
        <f t="shared" si="24"/>
        <v>12</v>
      </c>
      <c r="U835" s="167">
        <f t="shared" si="15"/>
        <v>45652</v>
      </c>
      <c r="V835" s="43"/>
      <c r="W835" s="43"/>
      <c r="X835" s="43"/>
      <c r="Y835" s="43"/>
      <c r="Z835" s="43" t="s">
        <v>1113</v>
      </c>
      <c r="AA835" s="43" t="s">
        <v>1113</v>
      </c>
      <c r="AB835" s="43"/>
    </row>
    <row r="836" spans="1:28" ht="14.25" hidden="1" customHeight="1">
      <c r="A836" s="163" t="s">
        <v>1174</v>
      </c>
      <c r="B836" s="164">
        <v>45652</v>
      </c>
      <c r="C836" s="163" t="s">
        <v>1182</v>
      </c>
      <c r="D836" s="163" t="s">
        <v>281</v>
      </c>
      <c r="E836" s="163" t="s">
        <v>407</v>
      </c>
      <c r="F836" s="224">
        <v>4500</v>
      </c>
      <c r="G836" s="165">
        <f t="shared" si="19"/>
        <v>34021.070999999996</v>
      </c>
      <c r="H836" s="163"/>
      <c r="I836" s="163" t="s">
        <v>1176</v>
      </c>
      <c r="J836" s="163" t="s">
        <v>1457</v>
      </c>
      <c r="K836" s="163"/>
      <c r="L836" s="163" t="s">
        <v>305</v>
      </c>
      <c r="M836" s="163"/>
      <c r="N836" s="163" t="s">
        <v>1178</v>
      </c>
      <c r="O836" s="163" t="s">
        <v>1457</v>
      </c>
      <c r="P836" s="163" t="s">
        <v>957</v>
      </c>
      <c r="Q836" s="163"/>
      <c r="R836" s="163" t="s">
        <v>1182</v>
      </c>
      <c r="S836" s="163" t="s">
        <v>1187</v>
      </c>
      <c r="T836" s="43">
        <f t="shared" si="24"/>
        <v>12</v>
      </c>
      <c r="U836" s="167">
        <f t="shared" ref="U836:U1090" si="25">IF(V836="",B836,V836)</f>
        <v>45652</v>
      </c>
      <c r="V836" s="43"/>
      <c r="W836" s="43"/>
      <c r="X836" s="43"/>
      <c r="Y836" s="43"/>
      <c r="Z836" s="43" t="s">
        <v>1113</v>
      </c>
      <c r="AA836" s="43" t="s">
        <v>1113</v>
      </c>
      <c r="AB836" s="43" t="s">
        <v>1458</v>
      </c>
    </row>
    <row r="837" spans="1:28" ht="14.25" hidden="1" customHeight="1">
      <c r="A837" s="163" t="s">
        <v>1017</v>
      </c>
      <c r="B837" s="164">
        <v>45642</v>
      </c>
      <c r="C837" s="163" t="s">
        <v>1240</v>
      </c>
      <c r="D837" s="163" t="s">
        <v>281</v>
      </c>
      <c r="E837" s="163" t="s">
        <v>407</v>
      </c>
      <c r="F837" s="224">
        <v>5300</v>
      </c>
      <c r="G837" s="165">
        <f t="shared" si="19"/>
        <v>39321.070999999996</v>
      </c>
      <c r="H837" s="163"/>
      <c r="I837" s="163" t="s">
        <v>1176</v>
      </c>
      <c r="J837" s="163" t="s">
        <v>1459</v>
      </c>
      <c r="K837" s="163"/>
      <c r="L837" s="163" t="s">
        <v>305</v>
      </c>
      <c r="M837" s="163"/>
      <c r="N837" s="163" t="s">
        <v>1178</v>
      </c>
      <c r="O837" s="163" t="s">
        <v>1459</v>
      </c>
      <c r="P837" s="163" t="s">
        <v>57</v>
      </c>
      <c r="Q837" s="163"/>
      <c r="R837" s="163" t="s">
        <v>1245</v>
      </c>
      <c r="S837" s="163" t="s">
        <v>1246</v>
      </c>
      <c r="T837" s="94">
        <f t="shared" si="24"/>
        <v>12</v>
      </c>
      <c r="U837" s="212">
        <f t="shared" si="25"/>
        <v>45652</v>
      </c>
      <c r="V837" s="166">
        <v>45652</v>
      </c>
      <c r="W837" s="43"/>
      <c r="X837" s="43"/>
      <c r="Y837" s="43"/>
      <c r="Z837" s="43" t="s">
        <v>1113</v>
      </c>
      <c r="AA837" s="43" t="s">
        <v>1113</v>
      </c>
      <c r="AB837" s="43"/>
    </row>
    <row r="838" spans="1:28" ht="14.25" hidden="1" customHeight="1">
      <c r="A838" s="163" t="s">
        <v>1174</v>
      </c>
      <c r="B838" s="164">
        <v>45652</v>
      </c>
      <c r="C838" s="163" t="s">
        <v>1131</v>
      </c>
      <c r="D838" s="163" t="s">
        <v>281</v>
      </c>
      <c r="E838" s="163" t="s">
        <v>407</v>
      </c>
      <c r="F838" s="165"/>
      <c r="G838" s="165">
        <f t="shared" si="19"/>
        <v>39321.070999999996</v>
      </c>
      <c r="H838" s="163"/>
      <c r="I838" s="163" t="s">
        <v>1176</v>
      </c>
      <c r="J838" s="163" t="s">
        <v>1460</v>
      </c>
      <c r="K838" s="163"/>
      <c r="L838" s="163" t="s">
        <v>305</v>
      </c>
      <c r="M838" s="163"/>
      <c r="N838" s="163" t="s">
        <v>1178</v>
      </c>
      <c r="O838" s="163" t="s">
        <v>1460</v>
      </c>
      <c r="P838" s="163" t="s">
        <v>957</v>
      </c>
      <c r="Q838" s="163"/>
      <c r="R838" s="163" t="s">
        <v>1136</v>
      </c>
      <c r="S838" s="163" t="s">
        <v>1137</v>
      </c>
      <c r="T838" s="43">
        <f t="shared" si="24"/>
        <v>12</v>
      </c>
      <c r="U838" s="167">
        <f t="shared" si="25"/>
        <v>45652</v>
      </c>
      <c r="V838" s="43"/>
      <c r="W838" s="43"/>
      <c r="X838" s="43"/>
      <c r="Y838" s="43"/>
      <c r="Z838" s="43" t="s">
        <v>1113</v>
      </c>
      <c r="AA838" s="43" t="s">
        <v>1113</v>
      </c>
      <c r="AB838" s="43" t="s">
        <v>1461</v>
      </c>
    </row>
    <row r="839" spans="1:28" ht="14.25" hidden="1" customHeight="1">
      <c r="A839" s="190"/>
      <c r="B839" s="225">
        <v>45628</v>
      </c>
      <c r="C839" s="190" t="s">
        <v>1462</v>
      </c>
      <c r="D839" s="190" t="s">
        <v>281</v>
      </c>
      <c r="E839" s="190" t="s">
        <v>193</v>
      </c>
      <c r="F839" s="185">
        <v>-5000</v>
      </c>
      <c r="G839" s="165">
        <f t="shared" si="19"/>
        <v>34321.070999999996</v>
      </c>
      <c r="H839" s="190"/>
      <c r="I839" s="190" t="s">
        <v>342</v>
      </c>
      <c r="J839" s="190"/>
      <c r="K839" s="190"/>
      <c r="L839" s="190" t="s">
        <v>1301</v>
      </c>
      <c r="M839" s="190"/>
      <c r="N839" s="190" t="s">
        <v>978</v>
      </c>
      <c r="O839" s="190"/>
      <c r="P839" s="190"/>
      <c r="Q839" s="190"/>
      <c r="R839" s="190" t="s">
        <v>1463</v>
      </c>
      <c r="S839" s="190" t="s">
        <v>345</v>
      </c>
      <c r="T839" s="94">
        <f>MONTH(U839)</f>
        <v>12</v>
      </c>
      <c r="U839" s="173">
        <f t="shared" si="25"/>
        <v>45652</v>
      </c>
      <c r="V839" s="166">
        <v>45652</v>
      </c>
      <c r="W839" s="43"/>
      <c r="X839" s="43"/>
      <c r="Y839" s="43"/>
      <c r="Z839" s="43"/>
      <c r="AA839" s="43"/>
      <c r="AB839" s="43"/>
    </row>
    <row r="840" spans="1:28" ht="14.25" hidden="1" customHeight="1">
      <c r="A840" s="163" t="s">
        <v>1017</v>
      </c>
      <c r="B840" s="164">
        <v>45652</v>
      </c>
      <c r="C840" s="163" t="s">
        <v>1002</v>
      </c>
      <c r="D840" s="163" t="s">
        <v>281</v>
      </c>
      <c r="E840" s="163" t="s">
        <v>190</v>
      </c>
      <c r="F840" s="168">
        <v>-500</v>
      </c>
      <c r="G840" s="165">
        <f t="shared" si="19"/>
        <v>33821.070999999996</v>
      </c>
      <c r="H840" s="163"/>
      <c r="I840" s="163" t="s">
        <v>342</v>
      </c>
      <c r="J840" s="163"/>
      <c r="K840" s="163"/>
      <c r="L840" s="163" t="s">
        <v>1062</v>
      </c>
      <c r="M840" s="163"/>
      <c r="N840" s="163" t="s">
        <v>978</v>
      </c>
      <c r="O840" s="163"/>
      <c r="P840" s="163"/>
      <c r="Q840" s="163"/>
      <c r="R840" s="163" t="s">
        <v>1004</v>
      </c>
      <c r="S840" s="163" t="s">
        <v>1005</v>
      </c>
      <c r="T840" s="43">
        <f t="shared" ref="T840:T879" si="26">MONTH(B840)</f>
        <v>12</v>
      </c>
      <c r="U840" s="167">
        <f t="shared" si="25"/>
        <v>45652</v>
      </c>
      <c r="V840" s="43"/>
      <c r="W840" s="43"/>
      <c r="X840" s="43"/>
      <c r="Y840" s="43"/>
      <c r="Z840" s="43" t="s">
        <v>1113</v>
      </c>
      <c r="AA840" s="43" t="s">
        <v>1113</v>
      </c>
      <c r="AB840" s="43"/>
    </row>
    <row r="841" spans="1:28" ht="14.25" hidden="1" customHeight="1">
      <c r="A841" s="163" t="s">
        <v>1017</v>
      </c>
      <c r="B841" s="164">
        <v>45652</v>
      </c>
      <c r="C841" s="163" t="s">
        <v>844</v>
      </c>
      <c r="D841" s="163" t="s">
        <v>281</v>
      </c>
      <c r="E841" s="163" t="s">
        <v>120</v>
      </c>
      <c r="F841" s="168">
        <f>-15130.4</f>
        <v>-15130.4</v>
      </c>
      <c r="G841" s="165">
        <f t="shared" si="19"/>
        <v>18690.670999999995</v>
      </c>
      <c r="H841" s="163"/>
      <c r="I841" s="163" t="s">
        <v>342</v>
      </c>
      <c r="J841" s="163"/>
      <c r="K841" s="163"/>
      <c r="L841" s="163" t="s">
        <v>1030</v>
      </c>
      <c r="M841" s="163"/>
      <c r="N841" s="163" t="s">
        <v>978</v>
      </c>
      <c r="O841" s="163"/>
      <c r="P841" s="163"/>
      <c r="Q841" s="163"/>
      <c r="R841" s="163" t="s">
        <v>846</v>
      </c>
      <c r="S841" s="163" t="s">
        <v>847</v>
      </c>
      <c r="T841" s="43">
        <f t="shared" si="26"/>
        <v>12</v>
      </c>
      <c r="U841" s="167">
        <f t="shared" si="25"/>
        <v>45652</v>
      </c>
      <c r="V841" s="43"/>
      <c r="W841" s="43"/>
      <c r="X841" s="43"/>
      <c r="Y841" s="43"/>
      <c r="Z841" s="43" t="s">
        <v>1113</v>
      </c>
      <c r="AA841" s="43" t="s">
        <v>1113</v>
      </c>
      <c r="AB841" s="43"/>
    </row>
    <row r="842" spans="1:28" ht="14.25" hidden="1" customHeight="1">
      <c r="A842" s="163" t="s">
        <v>1017</v>
      </c>
      <c r="B842" s="164">
        <v>45652</v>
      </c>
      <c r="C842" s="163" t="s">
        <v>1295</v>
      </c>
      <c r="D842" s="163" t="s">
        <v>281</v>
      </c>
      <c r="E842" s="163" t="s">
        <v>199</v>
      </c>
      <c r="F842" s="168"/>
      <c r="G842" s="165">
        <f t="shared" si="19"/>
        <v>18690.670999999995</v>
      </c>
      <c r="H842" s="163"/>
      <c r="I842" s="163" t="s">
        <v>342</v>
      </c>
      <c r="J842" s="163"/>
      <c r="K842" s="163"/>
      <c r="L842" s="163" t="s">
        <v>1030</v>
      </c>
      <c r="M842" s="163"/>
      <c r="N842" s="163" t="s">
        <v>978</v>
      </c>
      <c r="O842" s="163"/>
      <c r="P842" s="163"/>
      <c r="Q842" s="163"/>
      <c r="R842" s="163" t="s">
        <v>1295</v>
      </c>
      <c r="S842" s="163"/>
      <c r="T842" s="43">
        <f t="shared" si="26"/>
        <v>12</v>
      </c>
      <c r="U842" s="167">
        <f t="shared" si="25"/>
        <v>45652</v>
      </c>
      <c r="V842" s="43"/>
      <c r="W842" s="43"/>
      <c r="X842" s="43"/>
      <c r="Y842" s="43"/>
      <c r="Z842" s="43" t="s">
        <v>1113</v>
      </c>
      <c r="AA842" s="43"/>
      <c r="AB842" s="43"/>
    </row>
    <row r="843" spans="1:28" ht="14.25" hidden="1" customHeight="1">
      <c r="A843" s="163" t="s">
        <v>1017</v>
      </c>
      <c r="B843" s="164">
        <v>45652</v>
      </c>
      <c r="C843" s="163" t="s">
        <v>402</v>
      </c>
      <c r="D843" s="163" t="s">
        <v>281</v>
      </c>
      <c r="E843" s="163" t="s">
        <v>356</v>
      </c>
      <c r="F843" s="168">
        <v>-65</v>
      </c>
      <c r="G843" s="165">
        <f t="shared" si="19"/>
        <v>18625.670999999995</v>
      </c>
      <c r="H843" s="163"/>
      <c r="I843" s="163" t="s">
        <v>342</v>
      </c>
      <c r="J843" s="163"/>
      <c r="K843" s="163"/>
      <c r="L843" s="163" t="s">
        <v>1030</v>
      </c>
      <c r="M843" s="163"/>
      <c r="N843" s="163" t="s">
        <v>978</v>
      </c>
      <c r="O843" s="163"/>
      <c r="P843" s="163"/>
      <c r="Q843" s="163"/>
      <c r="R843" s="163" t="s">
        <v>1295</v>
      </c>
      <c r="S843" s="163"/>
      <c r="T843" s="43">
        <f t="shared" si="26"/>
        <v>12</v>
      </c>
      <c r="U843" s="167">
        <f t="shared" si="25"/>
        <v>45652</v>
      </c>
      <c r="V843" s="43"/>
      <c r="W843" s="43"/>
      <c r="X843" s="43"/>
      <c r="Y843" s="43"/>
      <c r="Z843" s="43" t="s">
        <v>1113</v>
      </c>
      <c r="AA843" s="43"/>
      <c r="AB843" s="43"/>
    </row>
    <row r="844" spans="1:28" ht="14.25" hidden="1" customHeight="1">
      <c r="A844" s="190"/>
      <c r="B844" s="225">
        <v>45628</v>
      </c>
      <c r="C844" s="190" t="s">
        <v>1276</v>
      </c>
      <c r="D844" s="190" t="s">
        <v>281</v>
      </c>
      <c r="E844" s="190" t="s">
        <v>25</v>
      </c>
      <c r="F844" s="185">
        <v>-1297.5</v>
      </c>
      <c r="G844" s="165">
        <f t="shared" si="19"/>
        <v>17328.170999999995</v>
      </c>
      <c r="H844" s="190"/>
      <c r="I844" s="190" t="s">
        <v>342</v>
      </c>
      <c r="J844" s="190"/>
      <c r="K844" s="190"/>
      <c r="L844" s="190" t="s">
        <v>305</v>
      </c>
      <c r="M844" s="190"/>
      <c r="N844" s="190" t="s">
        <v>978</v>
      </c>
      <c r="O844" s="190"/>
      <c r="P844" s="190"/>
      <c r="Q844" s="190"/>
      <c r="R844" s="190" t="s">
        <v>1277</v>
      </c>
      <c r="S844" s="190" t="s">
        <v>1278</v>
      </c>
      <c r="T844" s="94">
        <f t="shared" si="26"/>
        <v>12</v>
      </c>
      <c r="U844" s="173">
        <f t="shared" si="25"/>
        <v>45652</v>
      </c>
      <c r="V844" s="166">
        <v>45652</v>
      </c>
      <c r="W844" s="43"/>
      <c r="X844" s="43"/>
      <c r="Y844" s="43"/>
      <c r="Z844" s="43" t="s">
        <v>1157</v>
      </c>
      <c r="AA844" s="43" t="s">
        <v>1157</v>
      </c>
      <c r="AB844" s="43"/>
    </row>
    <row r="845" spans="1:28" ht="14.25" hidden="1" customHeight="1">
      <c r="A845" s="163" t="s">
        <v>1017</v>
      </c>
      <c r="B845" s="164">
        <v>45652</v>
      </c>
      <c r="C845" s="163"/>
      <c r="D845" s="163" t="s">
        <v>281</v>
      </c>
      <c r="E845" s="163" t="s">
        <v>1077</v>
      </c>
      <c r="F845" s="168">
        <f>-1.19*4</f>
        <v>-4.76</v>
      </c>
      <c r="G845" s="165">
        <f t="shared" si="19"/>
        <v>17323.410999999996</v>
      </c>
      <c r="H845" s="163"/>
      <c r="I845" s="163" t="s">
        <v>342</v>
      </c>
      <c r="J845" s="163"/>
      <c r="K845" s="163"/>
      <c r="L845" s="163" t="s">
        <v>1030</v>
      </c>
      <c r="M845" s="163"/>
      <c r="N845" s="163" t="s">
        <v>978</v>
      </c>
      <c r="O845" s="163"/>
      <c r="P845" s="163"/>
      <c r="Q845" s="163"/>
      <c r="R845" s="163"/>
      <c r="S845" s="163" t="s">
        <v>1076</v>
      </c>
      <c r="T845" s="94">
        <f t="shared" si="26"/>
        <v>12</v>
      </c>
      <c r="U845" s="212">
        <f t="shared" si="25"/>
        <v>45652</v>
      </c>
      <c r="V845" s="43"/>
      <c r="W845" s="43"/>
      <c r="X845" s="43"/>
      <c r="Y845" s="43"/>
      <c r="Z845" s="43" t="s">
        <v>1113</v>
      </c>
      <c r="AA845" s="43" t="s">
        <v>1113</v>
      </c>
      <c r="AB845" s="43"/>
    </row>
    <row r="846" spans="1:28" ht="14.25" hidden="1" customHeight="1">
      <c r="A846" s="163"/>
      <c r="B846" s="164">
        <v>45652</v>
      </c>
      <c r="C846" s="163" t="s">
        <v>346</v>
      </c>
      <c r="D846" s="163"/>
      <c r="E846" s="163"/>
      <c r="F846" s="165">
        <v>0</v>
      </c>
      <c r="G846" s="165">
        <f t="shared" si="19"/>
        <v>17323.410999999996</v>
      </c>
      <c r="H846" s="163"/>
      <c r="I846" s="163"/>
      <c r="J846" s="163"/>
      <c r="K846" s="163"/>
      <c r="L846" s="163"/>
      <c r="M846" s="163"/>
      <c r="N846" s="163"/>
      <c r="O846" s="163"/>
      <c r="P846" s="163"/>
      <c r="Q846" s="163"/>
      <c r="R846" s="163"/>
      <c r="S846" s="163"/>
      <c r="T846" s="43">
        <f t="shared" si="26"/>
        <v>12</v>
      </c>
      <c r="U846" s="167">
        <f t="shared" si="25"/>
        <v>45652</v>
      </c>
      <c r="V846" s="43"/>
      <c r="W846" s="43"/>
      <c r="X846" s="43"/>
      <c r="Y846" s="43"/>
      <c r="Z846" s="43" t="s">
        <v>1157</v>
      </c>
      <c r="AA846" s="43" t="s">
        <v>1157</v>
      </c>
      <c r="AB846" s="43"/>
    </row>
    <row r="847" spans="1:28" ht="14.25" hidden="1" customHeight="1">
      <c r="A847" s="163" t="s">
        <v>1174</v>
      </c>
      <c r="B847" s="164">
        <v>45653</v>
      </c>
      <c r="C847" s="163" t="s">
        <v>1232</v>
      </c>
      <c r="D847" s="163" t="s">
        <v>281</v>
      </c>
      <c r="E847" s="163" t="s">
        <v>407</v>
      </c>
      <c r="F847" s="254"/>
      <c r="G847" s="165">
        <f t="shared" si="19"/>
        <v>17323.410999999996</v>
      </c>
      <c r="H847" s="163"/>
      <c r="I847" s="163" t="s">
        <v>1176</v>
      </c>
      <c r="J847" s="163" t="s">
        <v>1464</v>
      </c>
      <c r="K847" s="163"/>
      <c r="L847" s="163" t="s">
        <v>305</v>
      </c>
      <c r="M847" s="163"/>
      <c r="N847" s="163" t="s">
        <v>1178</v>
      </c>
      <c r="O847" s="163" t="s">
        <v>1464</v>
      </c>
      <c r="P847" s="163" t="s">
        <v>351</v>
      </c>
      <c r="Q847" s="163"/>
      <c r="R847" s="163" t="s">
        <v>1237</v>
      </c>
      <c r="S847" s="163" t="s">
        <v>1238</v>
      </c>
      <c r="T847" s="43">
        <f t="shared" si="26"/>
        <v>12</v>
      </c>
      <c r="U847" s="167">
        <f t="shared" si="25"/>
        <v>45653</v>
      </c>
      <c r="V847" s="43"/>
      <c r="W847" s="43"/>
      <c r="X847" s="43"/>
      <c r="Y847" s="43"/>
      <c r="Z847" s="43" t="s">
        <v>1113</v>
      </c>
      <c r="AA847" s="43"/>
      <c r="AB847" s="43" t="s">
        <v>1465</v>
      </c>
    </row>
    <row r="848" spans="1:28" ht="14.25" hidden="1" customHeight="1">
      <c r="A848" s="163" t="s">
        <v>1174</v>
      </c>
      <c r="B848" s="164">
        <v>45652</v>
      </c>
      <c r="C848" s="163" t="s">
        <v>1166</v>
      </c>
      <c r="D848" s="163" t="s">
        <v>281</v>
      </c>
      <c r="E848" s="163" t="s">
        <v>407</v>
      </c>
      <c r="F848" s="165">
        <v>4199</v>
      </c>
      <c r="G848" s="165">
        <f t="shared" si="19"/>
        <v>21522.410999999996</v>
      </c>
      <c r="H848" s="163"/>
      <c r="I848" s="163" t="s">
        <v>1176</v>
      </c>
      <c r="J848" s="163" t="s">
        <v>1466</v>
      </c>
      <c r="K848" s="163"/>
      <c r="L848" s="163" t="s">
        <v>305</v>
      </c>
      <c r="M848" s="163"/>
      <c r="N848" s="163" t="s">
        <v>1178</v>
      </c>
      <c r="O848" s="163" t="s">
        <v>1466</v>
      </c>
      <c r="P848" s="163" t="s">
        <v>62</v>
      </c>
      <c r="Q848" s="163"/>
      <c r="R848" s="163" t="s">
        <v>1171</v>
      </c>
      <c r="S848" s="163" t="s">
        <v>1172</v>
      </c>
      <c r="T848" s="43">
        <f t="shared" si="26"/>
        <v>12</v>
      </c>
      <c r="U848" s="167">
        <f t="shared" si="25"/>
        <v>45653</v>
      </c>
      <c r="V848" s="167">
        <v>45653</v>
      </c>
      <c r="W848" s="43"/>
      <c r="X848" s="43"/>
      <c r="Y848" s="43"/>
      <c r="Z848" s="43" t="s">
        <v>1113</v>
      </c>
      <c r="AA848" s="43" t="s">
        <v>1113</v>
      </c>
      <c r="AB848" s="43" t="s">
        <v>1467</v>
      </c>
    </row>
    <row r="849" spans="1:28" ht="14.25" hidden="1" customHeight="1">
      <c r="A849" s="163" t="s">
        <v>1174</v>
      </c>
      <c r="B849" s="164">
        <v>45652</v>
      </c>
      <c r="C849" s="163" t="s">
        <v>1175</v>
      </c>
      <c r="D849" s="163" t="s">
        <v>281</v>
      </c>
      <c r="E849" s="163" t="s">
        <v>407</v>
      </c>
      <c r="F849" s="165">
        <v>2500</v>
      </c>
      <c r="G849" s="165">
        <f t="shared" si="19"/>
        <v>24022.410999999996</v>
      </c>
      <c r="H849" s="163"/>
      <c r="I849" s="163" t="s">
        <v>1176</v>
      </c>
      <c r="J849" s="163" t="s">
        <v>1177</v>
      </c>
      <c r="K849" s="163"/>
      <c r="L849" s="163" t="s">
        <v>305</v>
      </c>
      <c r="M849" s="163"/>
      <c r="N849" s="163" t="s">
        <v>1178</v>
      </c>
      <c r="O849" s="163" t="s">
        <v>1177</v>
      </c>
      <c r="P849" s="163" t="s">
        <v>57</v>
      </c>
      <c r="Q849" s="163"/>
      <c r="R849" s="163" t="s">
        <v>1179</v>
      </c>
      <c r="S849" s="163" t="s">
        <v>1180</v>
      </c>
      <c r="T849" s="43">
        <f t="shared" si="26"/>
        <v>12</v>
      </c>
      <c r="U849" s="167">
        <f t="shared" si="25"/>
        <v>45653</v>
      </c>
      <c r="V849" s="167">
        <v>45653</v>
      </c>
      <c r="W849" s="43"/>
      <c r="X849" s="43"/>
      <c r="Y849" s="43"/>
      <c r="Z849" s="43" t="s">
        <v>1113</v>
      </c>
      <c r="AA849" s="43" t="s">
        <v>1113</v>
      </c>
      <c r="AB849" s="43" t="s">
        <v>1468</v>
      </c>
    </row>
    <row r="850" spans="1:28" ht="14.25" hidden="1" customHeight="1">
      <c r="A850" s="163" t="s">
        <v>1174</v>
      </c>
      <c r="B850" s="164">
        <v>45652</v>
      </c>
      <c r="C850" s="163" t="s">
        <v>1279</v>
      </c>
      <c r="D850" s="163" t="s">
        <v>281</v>
      </c>
      <c r="E850" s="163" t="s">
        <v>407</v>
      </c>
      <c r="F850" s="165">
        <f>3500*0.85</f>
        <v>2975</v>
      </c>
      <c r="G850" s="165">
        <f t="shared" si="19"/>
        <v>26997.410999999996</v>
      </c>
      <c r="H850" s="163"/>
      <c r="I850" s="163" t="s">
        <v>1176</v>
      </c>
      <c r="J850" s="163" t="s">
        <v>1469</v>
      </c>
      <c r="K850" s="163"/>
      <c r="L850" s="163" t="s">
        <v>305</v>
      </c>
      <c r="M850" s="163"/>
      <c r="N850" s="163" t="s">
        <v>1178</v>
      </c>
      <c r="O850" s="163" t="s">
        <v>1469</v>
      </c>
      <c r="P850" s="163" t="s">
        <v>57</v>
      </c>
      <c r="Q850" s="163"/>
      <c r="R850" s="163" t="s">
        <v>1284</v>
      </c>
      <c r="S850" s="163" t="s">
        <v>1285</v>
      </c>
      <c r="T850" s="43">
        <f t="shared" si="26"/>
        <v>12</v>
      </c>
      <c r="U850" s="167">
        <f t="shared" si="25"/>
        <v>45653</v>
      </c>
      <c r="V850" s="167">
        <v>45653</v>
      </c>
      <c r="W850" s="43"/>
      <c r="X850" s="43"/>
      <c r="Y850" s="43"/>
      <c r="Z850" s="43" t="s">
        <v>1113</v>
      </c>
      <c r="AA850" s="43" t="s">
        <v>1113</v>
      </c>
      <c r="AB850" s="43" t="s">
        <v>1470</v>
      </c>
    </row>
    <row r="851" spans="1:28" ht="14.25" hidden="1" customHeight="1">
      <c r="A851" s="205" t="s">
        <v>1017</v>
      </c>
      <c r="B851" s="208">
        <v>45653</v>
      </c>
      <c r="C851" s="205" t="s">
        <v>1010</v>
      </c>
      <c r="D851" s="205" t="s">
        <v>281</v>
      </c>
      <c r="E851" s="205" t="s">
        <v>199</v>
      </c>
      <c r="F851" s="182">
        <v>-1500</v>
      </c>
      <c r="G851" s="165">
        <f t="shared" si="19"/>
        <v>25497.410999999996</v>
      </c>
      <c r="H851" s="205"/>
      <c r="I851" s="205" t="s">
        <v>977</v>
      </c>
      <c r="J851" s="205"/>
      <c r="K851" s="205"/>
      <c r="L851" s="205" t="s">
        <v>1003</v>
      </c>
      <c r="M851" s="205"/>
      <c r="N851" s="205" t="s">
        <v>978</v>
      </c>
      <c r="O851" s="205"/>
      <c r="P851" s="205"/>
      <c r="Q851" s="205"/>
      <c r="R851" s="205" t="s">
        <v>1011</v>
      </c>
      <c r="S851" s="205" t="s">
        <v>1012</v>
      </c>
      <c r="T851" s="209">
        <f t="shared" si="26"/>
        <v>12</v>
      </c>
      <c r="U851" s="210">
        <f t="shared" si="25"/>
        <v>45653</v>
      </c>
      <c r="V851" s="206"/>
      <c r="W851" s="206"/>
      <c r="X851" s="206"/>
      <c r="Y851" s="206"/>
      <c r="Z851" s="206" t="s">
        <v>1113</v>
      </c>
      <c r="AA851" s="206" t="s">
        <v>1113</v>
      </c>
      <c r="AB851" s="206"/>
    </row>
    <row r="852" spans="1:28" ht="14.25" hidden="1" customHeight="1">
      <c r="A852" s="163" t="s">
        <v>1017</v>
      </c>
      <c r="B852" s="164">
        <v>45653</v>
      </c>
      <c r="C852" s="163" t="s">
        <v>1287</v>
      </c>
      <c r="D852" s="163" t="s">
        <v>281</v>
      </c>
      <c r="E852" s="163" t="s">
        <v>1288</v>
      </c>
      <c r="F852" s="204">
        <v>-3250</v>
      </c>
      <c r="G852" s="165">
        <f t="shared" si="19"/>
        <v>22247.410999999996</v>
      </c>
      <c r="H852" s="163"/>
      <c r="I852" s="163" t="s">
        <v>283</v>
      </c>
      <c r="J852" s="163"/>
      <c r="K852" s="163"/>
      <c r="L852" s="163" t="s">
        <v>1471</v>
      </c>
      <c r="M852" s="163"/>
      <c r="N852" s="163" t="s">
        <v>978</v>
      </c>
      <c r="O852" s="163"/>
      <c r="P852" s="163"/>
      <c r="Q852" s="163"/>
      <c r="R852" s="163" t="s">
        <v>1290</v>
      </c>
      <c r="S852" s="163" t="s">
        <v>1291</v>
      </c>
      <c r="T852" s="43">
        <f t="shared" si="26"/>
        <v>12</v>
      </c>
      <c r="U852" s="167">
        <f t="shared" si="25"/>
        <v>45653</v>
      </c>
      <c r="V852" s="255"/>
      <c r="W852" s="43"/>
      <c r="X852" s="43"/>
      <c r="Y852" s="43"/>
      <c r="Z852" s="43" t="s">
        <v>1113</v>
      </c>
      <c r="AA852" s="43" t="s">
        <v>1113</v>
      </c>
      <c r="AB852" s="43"/>
    </row>
    <row r="853" spans="1:28" ht="14.25" hidden="1" customHeight="1">
      <c r="A853" s="163" t="s">
        <v>1017</v>
      </c>
      <c r="B853" s="164">
        <v>45656</v>
      </c>
      <c r="C853" s="163" t="s">
        <v>1033</v>
      </c>
      <c r="D853" s="163" t="s">
        <v>281</v>
      </c>
      <c r="E853" s="163" t="s">
        <v>120</v>
      </c>
      <c r="F853" s="168">
        <v>-7060.27</v>
      </c>
      <c r="G853" s="165">
        <f t="shared" si="19"/>
        <v>15187.140999999996</v>
      </c>
      <c r="H853" s="163"/>
      <c r="I853" s="163" t="s">
        <v>342</v>
      </c>
      <c r="J853" s="163"/>
      <c r="K853" s="163"/>
      <c r="L853" s="163" t="s">
        <v>1429</v>
      </c>
      <c r="M853" s="163"/>
      <c r="N853" s="163" t="s">
        <v>978</v>
      </c>
      <c r="O853" s="163"/>
      <c r="P853" s="163"/>
      <c r="Q853" s="163"/>
      <c r="R853" s="163" t="s">
        <v>1035</v>
      </c>
      <c r="S853" s="163" t="s">
        <v>1036</v>
      </c>
      <c r="T853" s="43">
        <f t="shared" si="26"/>
        <v>12</v>
      </c>
      <c r="U853" s="167">
        <f t="shared" si="25"/>
        <v>45653</v>
      </c>
      <c r="V853" s="202">
        <v>45653</v>
      </c>
      <c r="W853" s="43"/>
      <c r="X853" s="43"/>
      <c r="Y853" s="43"/>
      <c r="Z853" s="43" t="s">
        <v>1113</v>
      </c>
      <c r="AA853" s="43" t="s">
        <v>1113</v>
      </c>
      <c r="AB853" s="43"/>
    </row>
    <row r="854" spans="1:28" ht="14.25" hidden="1" customHeight="1">
      <c r="A854" s="163" t="s">
        <v>1017</v>
      </c>
      <c r="B854" s="164">
        <v>45649</v>
      </c>
      <c r="C854" s="163" t="s">
        <v>1273</v>
      </c>
      <c r="D854" s="163" t="s">
        <v>281</v>
      </c>
      <c r="E854" s="163" t="s">
        <v>199</v>
      </c>
      <c r="F854" s="168">
        <v>-1225</v>
      </c>
      <c r="G854" s="165">
        <f t="shared" si="19"/>
        <v>13962.140999999996</v>
      </c>
      <c r="H854" s="163"/>
      <c r="I854" s="163" t="s">
        <v>342</v>
      </c>
      <c r="J854" s="163"/>
      <c r="K854" s="163"/>
      <c r="L854" s="163" t="s">
        <v>366</v>
      </c>
      <c r="M854" s="163"/>
      <c r="N854" s="163" t="s">
        <v>978</v>
      </c>
      <c r="O854" s="163"/>
      <c r="P854" s="163"/>
      <c r="Q854" s="163"/>
      <c r="R854" s="163" t="s">
        <v>1274</v>
      </c>
      <c r="S854" s="163" t="s">
        <v>1275</v>
      </c>
      <c r="T854" s="43">
        <f t="shared" si="26"/>
        <v>12</v>
      </c>
      <c r="U854" s="167">
        <f t="shared" si="25"/>
        <v>45653</v>
      </c>
      <c r="V854" s="202">
        <v>45653</v>
      </c>
      <c r="W854" s="43"/>
      <c r="X854" s="43"/>
      <c r="Y854" s="43"/>
      <c r="Z854" s="43" t="s">
        <v>1113</v>
      </c>
      <c r="AA854" s="43" t="s">
        <v>1113</v>
      </c>
      <c r="AB854" s="43"/>
    </row>
    <row r="855" spans="1:28" ht="14.25" hidden="1" customHeight="1">
      <c r="A855" s="163" t="s">
        <v>1017</v>
      </c>
      <c r="B855" s="164">
        <v>45653</v>
      </c>
      <c r="C855" s="163"/>
      <c r="D855" s="163" t="s">
        <v>281</v>
      </c>
      <c r="E855" s="163" t="s">
        <v>1077</v>
      </c>
      <c r="F855" s="168">
        <f>-1.19*3-1.5</f>
        <v>-5.07</v>
      </c>
      <c r="G855" s="165">
        <f t="shared" si="19"/>
        <v>13957.070999999996</v>
      </c>
      <c r="H855" s="163"/>
      <c r="I855" s="163" t="s">
        <v>342</v>
      </c>
      <c r="J855" s="163"/>
      <c r="K855" s="163"/>
      <c r="L855" s="163" t="s">
        <v>1030</v>
      </c>
      <c r="M855" s="163"/>
      <c r="N855" s="163" t="s">
        <v>978</v>
      </c>
      <c r="O855" s="163"/>
      <c r="P855" s="163"/>
      <c r="Q855" s="163"/>
      <c r="R855" s="163"/>
      <c r="S855" s="163" t="s">
        <v>1076</v>
      </c>
      <c r="T855" s="94">
        <f t="shared" si="26"/>
        <v>12</v>
      </c>
      <c r="U855" s="212">
        <f t="shared" si="25"/>
        <v>45653</v>
      </c>
      <c r="V855" s="43"/>
      <c r="W855" s="43"/>
      <c r="X855" s="43"/>
      <c r="Y855" s="43"/>
      <c r="Z855" s="43" t="s">
        <v>1113</v>
      </c>
      <c r="AA855" s="43" t="s">
        <v>1113</v>
      </c>
      <c r="AB855" s="43"/>
    </row>
    <row r="856" spans="1:28" ht="14.25" hidden="1" customHeight="1">
      <c r="A856" s="190"/>
      <c r="B856" s="164">
        <v>45653</v>
      </c>
      <c r="C856" s="190" t="s">
        <v>1334</v>
      </c>
      <c r="D856" s="190" t="s">
        <v>281</v>
      </c>
      <c r="E856" s="190" t="s">
        <v>1381</v>
      </c>
      <c r="F856" s="185">
        <v>-615.52</v>
      </c>
      <c r="G856" s="165">
        <f t="shared" si="19"/>
        <v>13341.550999999996</v>
      </c>
      <c r="H856" s="190"/>
      <c r="I856" s="190" t="s">
        <v>342</v>
      </c>
      <c r="J856" s="190"/>
      <c r="K856" s="190"/>
      <c r="L856" s="190" t="s">
        <v>305</v>
      </c>
      <c r="M856" s="190"/>
      <c r="N856" s="190" t="s">
        <v>978</v>
      </c>
      <c r="O856" s="190"/>
      <c r="P856" s="190"/>
      <c r="Q856" s="190"/>
      <c r="R856" s="190" t="s">
        <v>1277</v>
      </c>
      <c r="S856" s="190" t="s">
        <v>1278</v>
      </c>
      <c r="T856" s="94">
        <f t="shared" si="26"/>
        <v>12</v>
      </c>
      <c r="U856" s="173">
        <f t="shared" si="25"/>
        <v>45652</v>
      </c>
      <c r="V856" s="166">
        <v>45652</v>
      </c>
      <c r="W856" s="43"/>
      <c r="X856" s="43"/>
      <c r="Y856" s="43"/>
      <c r="Z856" s="43" t="s">
        <v>1157</v>
      </c>
      <c r="AA856" s="43" t="s">
        <v>1157</v>
      </c>
      <c r="AB856" s="43"/>
    </row>
    <row r="857" spans="1:28" ht="14.25" hidden="1" customHeight="1">
      <c r="A857" s="163"/>
      <c r="B857" s="164">
        <v>45653</v>
      </c>
      <c r="C857" s="163" t="s">
        <v>346</v>
      </c>
      <c r="D857" s="163"/>
      <c r="E857" s="163"/>
      <c r="F857" s="165">
        <v>0</v>
      </c>
      <c r="G857" s="165">
        <f t="shared" si="19"/>
        <v>13341.550999999996</v>
      </c>
      <c r="H857" s="163"/>
      <c r="I857" s="163"/>
      <c r="J857" s="163"/>
      <c r="K857" s="163"/>
      <c r="L857" s="163"/>
      <c r="M857" s="163"/>
      <c r="N857" s="163"/>
      <c r="O857" s="163"/>
      <c r="P857" s="163"/>
      <c r="Q857" s="163"/>
      <c r="R857" s="163"/>
      <c r="S857" s="163"/>
      <c r="T857" s="43">
        <f t="shared" si="26"/>
        <v>12</v>
      </c>
      <c r="U857" s="167">
        <f t="shared" si="25"/>
        <v>45653</v>
      </c>
      <c r="V857" s="43"/>
      <c r="W857" s="43"/>
      <c r="X857" s="43"/>
      <c r="Y857" s="43"/>
      <c r="Z857" s="43" t="s">
        <v>1157</v>
      </c>
      <c r="AA857" s="43" t="s">
        <v>1157</v>
      </c>
      <c r="AB857" s="43"/>
    </row>
    <row r="858" spans="1:28" ht="14.25" hidden="1" customHeight="1">
      <c r="A858" s="163" t="s">
        <v>1017</v>
      </c>
      <c r="B858" s="164">
        <v>45621</v>
      </c>
      <c r="C858" s="163" t="s">
        <v>615</v>
      </c>
      <c r="D858" s="163" t="s">
        <v>281</v>
      </c>
      <c r="E858" s="163" t="s">
        <v>407</v>
      </c>
      <c r="F858" s="191">
        <v>10500</v>
      </c>
      <c r="G858" s="165">
        <f t="shared" si="19"/>
        <v>23841.550999999996</v>
      </c>
      <c r="H858" s="163"/>
      <c r="I858" s="163" t="s">
        <v>283</v>
      </c>
      <c r="J858" s="163" t="s">
        <v>1308</v>
      </c>
      <c r="K858" s="163" t="s">
        <v>1309</v>
      </c>
      <c r="L858" s="163" t="s">
        <v>305</v>
      </c>
      <c r="M858" s="163" t="s">
        <v>1310</v>
      </c>
      <c r="N858" s="163" t="s">
        <v>966</v>
      </c>
      <c r="O858" s="163" t="s">
        <v>1311</v>
      </c>
      <c r="P858" s="163" t="s">
        <v>418</v>
      </c>
      <c r="Q858" s="163"/>
      <c r="R858" s="163" t="s">
        <v>620</v>
      </c>
      <c r="S858" s="163" t="s">
        <v>621</v>
      </c>
      <c r="T858" s="43">
        <f t="shared" si="26"/>
        <v>11</v>
      </c>
      <c r="U858" s="167">
        <f t="shared" si="25"/>
        <v>45653</v>
      </c>
      <c r="V858" s="167">
        <v>45653</v>
      </c>
      <c r="W858" s="43"/>
      <c r="X858" s="43"/>
      <c r="Y858" s="43"/>
      <c r="Z858" s="43" t="s">
        <v>1113</v>
      </c>
      <c r="AA858" s="43" t="s">
        <v>1113</v>
      </c>
      <c r="AB858" s="194" t="s">
        <v>1472</v>
      </c>
    </row>
    <row r="859" spans="1:28" ht="14.25" hidden="1" customHeight="1">
      <c r="A859" s="163" t="s">
        <v>1017</v>
      </c>
      <c r="B859" s="164">
        <v>45653</v>
      </c>
      <c r="C859" s="163"/>
      <c r="D859" s="163" t="s">
        <v>281</v>
      </c>
      <c r="E859" s="163" t="s">
        <v>1077</v>
      </c>
      <c r="F859" s="168">
        <f>-160-7</f>
        <v>-167</v>
      </c>
      <c r="G859" s="165">
        <f t="shared" si="19"/>
        <v>23674.550999999996</v>
      </c>
      <c r="H859" s="163"/>
      <c r="I859" s="163" t="s">
        <v>342</v>
      </c>
      <c r="J859" s="163"/>
      <c r="K859" s="163"/>
      <c r="L859" s="163" t="s">
        <v>1030</v>
      </c>
      <c r="M859" s="163"/>
      <c r="N859" s="163" t="s">
        <v>978</v>
      </c>
      <c r="O859" s="163"/>
      <c r="P859" s="163"/>
      <c r="Q859" s="163"/>
      <c r="R859" s="163"/>
      <c r="S859" s="163" t="s">
        <v>1076</v>
      </c>
      <c r="T859" s="94">
        <f t="shared" si="26"/>
        <v>12</v>
      </c>
      <c r="U859" s="212">
        <f t="shared" si="25"/>
        <v>45653</v>
      </c>
      <c r="V859" s="43"/>
      <c r="W859" s="43"/>
      <c r="X859" s="43"/>
      <c r="Y859" s="43"/>
      <c r="Z859" s="43" t="s">
        <v>1113</v>
      </c>
      <c r="AA859" s="43" t="s">
        <v>1113</v>
      </c>
      <c r="AB859" s="43"/>
    </row>
    <row r="860" spans="1:28" ht="14.25" hidden="1" customHeight="1">
      <c r="A860" s="180" t="s">
        <v>1174</v>
      </c>
      <c r="B860" s="181">
        <v>45656</v>
      </c>
      <c r="C860" s="180" t="s">
        <v>1264</v>
      </c>
      <c r="D860" s="180" t="s">
        <v>281</v>
      </c>
      <c r="E860" s="180" t="s">
        <v>407</v>
      </c>
      <c r="F860" s="186"/>
      <c r="G860" s="165">
        <f t="shared" si="19"/>
        <v>23674.550999999996</v>
      </c>
      <c r="H860" s="180"/>
      <c r="I860" s="180" t="s">
        <v>1176</v>
      </c>
      <c r="J860" s="180" t="s">
        <v>1473</v>
      </c>
      <c r="K860" s="180"/>
      <c r="L860" s="180" t="s">
        <v>305</v>
      </c>
      <c r="M860" s="180"/>
      <c r="N860" s="180" t="s">
        <v>1178</v>
      </c>
      <c r="O860" s="180" t="s">
        <v>1473</v>
      </c>
      <c r="P860" s="180" t="s">
        <v>351</v>
      </c>
      <c r="Q860" s="180"/>
      <c r="R860" s="180" t="s">
        <v>1220</v>
      </c>
      <c r="S860" s="180" t="s">
        <v>1221</v>
      </c>
      <c r="T860" s="183">
        <f t="shared" si="26"/>
        <v>12</v>
      </c>
      <c r="U860" s="184">
        <f t="shared" si="25"/>
        <v>45656</v>
      </c>
      <c r="V860" s="183"/>
      <c r="W860" s="183"/>
      <c r="X860" s="183"/>
      <c r="Y860" s="183"/>
      <c r="Z860" s="183" t="s">
        <v>1113</v>
      </c>
      <c r="AA860" s="183" t="s">
        <v>1113</v>
      </c>
      <c r="AB860" s="183" t="s">
        <v>1474</v>
      </c>
    </row>
    <row r="861" spans="1:28" ht="14.25" hidden="1" customHeight="1">
      <c r="A861" s="163" t="s">
        <v>1017</v>
      </c>
      <c r="B861" s="164">
        <v>45656</v>
      </c>
      <c r="C861" s="163" t="s">
        <v>321</v>
      </c>
      <c r="D861" s="163" t="s">
        <v>281</v>
      </c>
      <c r="E861" s="163" t="s">
        <v>121</v>
      </c>
      <c r="F861" s="226">
        <v>-104</v>
      </c>
      <c r="G861" s="165">
        <f t="shared" si="19"/>
        <v>23570.550999999996</v>
      </c>
      <c r="H861" s="163"/>
      <c r="I861" s="163" t="s">
        <v>994</v>
      </c>
      <c r="J861" s="163"/>
      <c r="K861" s="163"/>
      <c r="L861" s="163" t="s">
        <v>1062</v>
      </c>
      <c r="M861" s="163"/>
      <c r="N861" s="163" t="s">
        <v>978</v>
      </c>
      <c r="O861" s="163"/>
      <c r="P861" s="163"/>
      <c r="Q861" s="163"/>
      <c r="R861" s="163" t="s">
        <v>321</v>
      </c>
      <c r="S861" s="163" t="s">
        <v>323</v>
      </c>
      <c r="T861" s="43">
        <f t="shared" si="26"/>
        <v>12</v>
      </c>
      <c r="U861" s="167">
        <f t="shared" si="25"/>
        <v>45656</v>
      </c>
      <c r="V861" s="43"/>
      <c r="W861" s="43"/>
      <c r="X861" s="43"/>
      <c r="Y861" s="43"/>
      <c r="Z861" s="43" t="s">
        <v>1113</v>
      </c>
      <c r="AA861" s="43" t="s">
        <v>1113</v>
      </c>
      <c r="AB861" s="43"/>
    </row>
    <row r="862" spans="1:28" ht="14.25" hidden="1" customHeight="1">
      <c r="A862" s="163" t="s">
        <v>1017</v>
      </c>
      <c r="B862" s="164">
        <v>45656</v>
      </c>
      <c r="C862" s="163" t="s">
        <v>447</v>
      </c>
      <c r="D862" s="163" t="s">
        <v>281</v>
      </c>
      <c r="E862" s="163" t="s">
        <v>121</v>
      </c>
      <c r="F862" s="226">
        <v>-210.9</v>
      </c>
      <c r="G862" s="165">
        <f t="shared" si="19"/>
        <v>23359.650999999994</v>
      </c>
      <c r="H862" s="163"/>
      <c r="I862" s="163" t="s">
        <v>283</v>
      </c>
      <c r="J862" s="163"/>
      <c r="K862" s="163"/>
      <c r="L862" s="163" t="s">
        <v>1062</v>
      </c>
      <c r="M862" s="163"/>
      <c r="N862" s="163" t="s">
        <v>978</v>
      </c>
      <c r="O862" s="163"/>
      <c r="P862" s="163"/>
      <c r="Q862" s="163"/>
      <c r="R862" s="163" t="s">
        <v>447</v>
      </c>
      <c r="S862" s="163" t="s">
        <v>449</v>
      </c>
      <c r="T862" s="43">
        <f t="shared" si="26"/>
        <v>12</v>
      </c>
      <c r="U862" s="167">
        <f t="shared" si="25"/>
        <v>45656</v>
      </c>
      <c r="V862" s="43"/>
      <c r="W862" s="43"/>
      <c r="X862" s="43"/>
      <c r="Y862" s="43"/>
      <c r="Z862" s="43" t="s">
        <v>1113</v>
      </c>
      <c r="AA862" s="43" t="s">
        <v>1113</v>
      </c>
      <c r="AB862" s="43"/>
    </row>
    <row r="863" spans="1:28" ht="14.25" hidden="1" customHeight="1">
      <c r="A863" s="163" t="s">
        <v>1017</v>
      </c>
      <c r="B863" s="164">
        <v>45656</v>
      </c>
      <c r="C863" s="163" t="s">
        <v>451</v>
      </c>
      <c r="D863" s="163" t="s">
        <v>281</v>
      </c>
      <c r="E863" s="163" t="s">
        <v>121</v>
      </c>
      <c r="F863" s="226">
        <v>-460</v>
      </c>
      <c r="G863" s="165">
        <f t="shared" si="19"/>
        <v>22899.650999999994</v>
      </c>
      <c r="H863" s="163"/>
      <c r="I863" s="163" t="s">
        <v>994</v>
      </c>
      <c r="J863" s="163"/>
      <c r="K863" s="163"/>
      <c r="L863" s="163" t="s">
        <v>1062</v>
      </c>
      <c r="M863" s="163"/>
      <c r="N863" s="163" t="s">
        <v>978</v>
      </c>
      <c r="O863" s="163"/>
      <c r="P863" s="163"/>
      <c r="Q863" s="163"/>
      <c r="R863" s="163" t="s">
        <v>451</v>
      </c>
      <c r="S863" s="163" t="s">
        <v>453</v>
      </c>
      <c r="T863" s="43">
        <f t="shared" si="26"/>
        <v>12</v>
      </c>
      <c r="U863" s="167">
        <f t="shared" si="25"/>
        <v>45656</v>
      </c>
      <c r="V863" s="43"/>
      <c r="W863" s="43"/>
      <c r="X863" s="43"/>
      <c r="Y863" s="43"/>
      <c r="Z863" s="43" t="s">
        <v>1113</v>
      </c>
      <c r="AA863" s="43" t="s">
        <v>1113</v>
      </c>
      <c r="AB863" s="43"/>
    </row>
    <row r="864" spans="1:28" ht="14.25" hidden="1" customHeight="1">
      <c r="A864" s="163" t="s">
        <v>1017</v>
      </c>
      <c r="B864" s="164">
        <v>45656</v>
      </c>
      <c r="C864" s="163" t="s">
        <v>463</v>
      </c>
      <c r="D864" s="163" t="s">
        <v>281</v>
      </c>
      <c r="E864" s="163" t="s">
        <v>121</v>
      </c>
      <c r="F864" s="226">
        <v>-210</v>
      </c>
      <c r="G864" s="165">
        <f t="shared" si="19"/>
        <v>22689.650999999994</v>
      </c>
      <c r="H864" s="163"/>
      <c r="I864" s="163" t="s">
        <v>283</v>
      </c>
      <c r="J864" s="163"/>
      <c r="K864" s="163"/>
      <c r="L864" s="163" t="s">
        <v>1062</v>
      </c>
      <c r="M864" s="163"/>
      <c r="N864" s="163" t="s">
        <v>978</v>
      </c>
      <c r="O864" s="163"/>
      <c r="P864" s="163"/>
      <c r="Q864" s="163"/>
      <c r="R864" s="163" t="s">
        <v>463</v>
      </c>
      <c r="S864" s="163" t="s">
        <v>465</v>
      </c>
      <c r="T864" s="43">
        <f t="shared" si="26"/>
        <v>12</v>
      </c>
      <c r="U864" s="167">
        <f t="shared" si="25"/>
        <v>45656</v>
      </c>
      <c r="V864" s="43"/>
      <c r="W864" s="43"/>
      <c r="X864" s="43"/>
      <c r="Y864" s="43"/>
      <c r="Z864" s="43" t="s">
        <v>1113</v>
      </c>
      <c r="AA864" s="43" t="s">
        <v>1113</v>
      </c>
      <c r="AB864" s="43"/>
    </row>
    <row r="865" spans="1:28" ht="14.25" hidden="1" customHeight="1">
      <c r="A865" s="163" t="s">
        <v>1017</v>
      </c>
      <c r="B865" s="164">
        <v>45656</v>
      </c>
      <c r="C865" s="163" t="s">
        <v>469</v>
      </c>
      <c r="D865" s="163" t="s">
        <v>281</v>
      </c>
      <c r="E865" s="163" t="s">
        <v>121</v>
      </c>
      <c r="F865" s="226">
        <v>-188.7</v>
      </c>
      <c r="G865" s="165">
        <f t="shared" si="19"/>
        <v>22500.950999999994</v>
      </c>
      <c r="H865" s="163"/>
      <c r="I865" s="163" t="s">
        <v>994</v>
      </c>
      <c r="J865" s="163"/>
      <c r="K865" s="163"/>
      <c r="L865" s="163" t="s">
        <v>1062</v>
      </c>
      <c r="M865" s="163"/>
      <c r="N865" s="163" t="s">
        <v>978</v>
      </c>
      <c r="O865" s="163"/>
      <c r="P865" s="163"/>
      <c r="Q865" s="163"/>
      <c r="R865" s="163" t="s">
        <v>469</v>
      </c>
      <c r="S865" s="163" t="s">
        <v>471</v>
      </c>
      <c r="T865" s="43">
        <f t="shared" si="26"/>
        <v>12</v>
      </c>
      <c r="U865" s="167">
        <f t="shared" si="25"/>
        <v>45656</v>
      </c>
      <c r="V865" s="43"/>
      <c r="W865" s="43"/>
      <c r="X865" s="43"/>
      <c r="Y865" s="43"/>
      <c r="Z865" s="43" t="s">
        <v>1113</v>
      </c>
      <c r="AA865" s="43" t="s">
        <v>1113</v>
      </c>
      <c r="AB865" s="43"/>
    </row>
    <row r="866" spans="1:28" ht="14.25" hidden="1" customHeight="1">
      <c r="A866" s="163" t="s">
        <v>1017</v>
      </c>
      <c r="B866" s="164">
        <v>45656</v>
      </c>
      <c r="C866" s="163" t="s">
        <v>358</v>
      </c>
      <c r="D866" s="163" t="s">
        <v>281</v>
      </c>
      <c r="E866" s="163" t="s">
        <v>121</v>
      </c>
      <c r="F866" s="226">
        <v>-147</v>
      </c>
      <c r="G866" s="165">
        <f t="shared" si="19"/>
        <v>22353.950999999994</v>
      </c>
      <c r="H866" s="163"/>
      <c r="I866" s="163" t="s">
        <v>994</v>
      </c>
      <c r="J866" s="163"/>
      <c r="K866" s="163"/>
      <c r="L866" s="163" t="s">
        <v>1030</v>
      </c>
      <c r="M866" s="163"/>
      <c r="N866" s="163" t="s">
        <v>978</v>
      </c>
      <c r="O866" s="163"/>
      <c r="P866" s="163"/>
      <c r="Q866" s="163"/>
      <c r="R866" s="163" t="s">
        <v>358</v>
      </c>
      <c r="S866" s="163" t="s">
        <v>361</v>
      </c>
      <c r="T866" s="43">
        <f t="shared" si="26"/>
        <v>12</v>
      </c>
      <c r="U866" s="167">
        <f t="shared" si="25"/>
        <v>45656</v>
      </c>
      <c r="V866" s="43"/>
      <c r="W866" s="43"/>
      <c r="X866" s="43"/>
      <c r="Y866" s="43"/>
      <c r="Z866" s="43" t="s">
        <v>1113</v>
      </c>
      <c r="AA866" s="43" t="s">
        <v>1113</v>
      </c>
      <c r="AB866" s="43"/>
    </row>
    <row r="867" spans="1:28" ht="14.25" hidden="1" customHeight="1">
      <c r="A867" s="163" t="s">
        <v>1017</v>
      </c>
      <c r="B867" s="164">
        <v>45656</v>
      </c>
      <c r="C867" s="163" t="s">
        <v>133</v>
      </c>
      <c r="D867" s="163" t="s">
        <v>281</v>
      </c>
      <c r="E867" s="163" t="s">
        <v>199</v>
      </c>
      <c r="F867" s="226">
        <v>-730</v>
      </c>
      <c r="G867" s="165">
        <f t="shared" si="19"/>
        <v>21623.950999999994</v>
      </c>
      <c r="H867" s="163"/>
      <c r="I867" s="163" t="s">
        <v>977</v>
      </c>
      <c r="J867" s="163"/>
      <c r="K867" s="163"/>
      <c r="L867" s="163" t="s">
        <v>1030</v>
      </c>
      <c r="M867" s="163"/>
      <c r="N867" s="163" t="s">
        <v>978</v>
      </c>
      <c r="O867" s="163"/>
      <c r="P867" s="163"/>
      <c r="Q867" s="163"/>
      <c r="R867" s="163" t="s">
        <v>133</v>
      </c>
      <c r="S867" s="163"/>
      <c r="T867" s="43">
        <f t="shared" si="26"/>
        <v>12</v>
      </c>
      <c r="U867" s="167">
        <f t="shared" si="25"/>
        <v>45656</v>
      </c>
      <c r="V867" s="43"/>
      <c r="W867" s="43"/>
      <c r="X867" s="43"/>
      <c r="Y867" s="43"/>
      <c r="Z867" s="43" t="s">
        <v>1113</v>
      </c>
      <c r="AA867" s="43" t="s">
        <v>1113</v>
      </c>
      <c r="AB867" s="43"/>
    </row>
    <row r="868" spans="1:28" ht="14.25" hidden="1" customHeight="1">
      <c r="A868" s="163" t="s">
        <v>1017</v>
      </c>
      <c r="B868" s="164">
        <v>45656</v>
      </c>
      <c r="C868" s="163" t="s">
        <v>1013</v>
      </c>
      <c r="D868" s="163" t="s">
        <v>281</v>
      </c>
      <c r="E868" s="163" t="s">
        <v>199</v>
      </c>
      <c r="F868" s="168"/>
      <c r="G868" s="165">
        <f t="shared" si="19"/>
        <v>21623.950999999994</v>
      </c>
      <c r="H868" s="163"/>
      <c r="I868" s="163" t="s">
        <v>977</v>
      </c>
      <c r="J868" s="163"/>
      <c r="K868" s="163"/>
      <c r="L868" s="163" t="s">
        <v>1475</v>
      </c>
      <c r="M868" s="163"/>
      <c r="N868" s="163" t="s">
        <v>978</v>
      </c>
      <c r="O868" s="163"/>
      <c r="P868" s="163"/>
      <c r="Q868" s="163"/>
      <c r="R868" s="163" t="s">
        <v>1015</v>
      </c>
      <c r="S868" s="163" t="s">
        <v>1016</v>
      </c>
      <c r="T868" s="43">
        <f t="shared" si="26"/>
        <v>12</v>
      </c>
      <c r="U868" s="167">
        <f t="shared" si="25"/>
        <v>45656</v>
      </c>
      <c r="V868" s="43"/>
      <c r="W868" s="43"/>
      <c r="X868" s="43"/>
      <c r="Y868" s="43"/>
      <c r="Z868" s="43" t="s">
        <v>1113</v>
      </c>
      <c r="AA868" s="43" t="s">
        <v>1113</v>
      </c>
      <c r="AB868" s="43"/>
    </row>
    <row r="869" spans="1:28" ht="14.25" hidden="1" customHeight="1">
      <c r="A869" s="180" t="s">
        <v>1017</v>
      </c>
      <c r="B869" s="181">
        <v>45646</v>
      </c>
      <c r="C869" s="180" t="s">
        <v>1293</v>
      </c>
      <c r="D869" s="180" t="s">
        <v>281</v>
      </c>
      <c r="E869" s="180" t="s">
        <v>212</v>
      </c>
      <c r="F869" s="226">
        <v>-2478.06</v>
      </c>
      <c r="G869" s="165">
        <f t="shared" si="19"/>
        <v>19145.890999999992</v>
      </c>
      <c r="H869" s="180"/>
      <c r="I869" s="180" t="s">
        <v>283</v>
      </c>
      <c r="J869" s="180"/>
      <c r="K869" s="180"/>
      <c r="L869" s="180" t="s">
        <v>805</v>
      </c>
      <c r="M869" s="180"/>
      <c r="N869" s="180" t="s">
        <v>978</v>
      </c>
      <c r="O869" s="180"/>
      <c r="P869" s="180"/>
      <c r="Q869" s="180" t="s">
        <v>1067</v>
      </c>
      <c r="R869" s="180" t="s">
        <v>1104</v>
      </c>
      <c r="S869" s="180" t="s">
        <v>1105</v>
      </c>
      <c r="T869" s="183">
        <f t="shared" si="26"/>
        <v>12</v>
      </c>
      <c r="U869" s="184">
        <f t="shared" si="25"/>
        <v>45656</v>
      </c>
      <c r="V869" s="187">
        <v>45656</v>
      </c>
      <c r="W869" s="183"/>
      <c r="X869" s="183"/>
      <c r="Y869" s="183"/>
      <c r="Z869" s="183" t="s">
        <v>1113</v>
      </c>
      <c r="AA869" s="183" t="s">
        <v>1113</v>
      </c>
      <c r="AB869" s="183"/>
    </row>
    <row r="870" spans="1:28" ht="14.25" hidden="1" customHeight="1">
      <c r="A870" s="180" t="s">
        <v>1017</v>
      </c>
      <c r="B870" s="181">
        <v>45646</v>
      </c>
      <c r="C870" s="180" t="s">
        <v>1294</v>
      </c>
      <c r="D870" s="180" t="s">
        <v>281</v>
      </c>
      <c r="E870" s="180" t="s">
        <v>212</v>
      </c>
      <c r="F870" s="226">
        <v>-1500</v>
      </c>
      <c r="G870" s="165">
        <f t="shared" si="19"/>
        <v>17645.890999999992</v>
      </c>
      <c r="H870" s="180"/>
      <c r="I870" s="180" t="s">
        <v>283</v>
      </c>
      <c r="J870" s="180"/>
      <c r="K870" s="180"/>
      <c r="L870" s="180" t="s">
        <v>805</v>
      </c>
      <c r="M870" s="180"/>
      <c r="N870" s="180" t="s">
        <v>978</v>
      </c>
      <c r="O870" s="180"/>
      <c r="P870" s="180"/>
      <c r="Q870" s="180" t="s">
        <v>1067</v>
      </c>
      <c r="R870" s="180" t="s">
        <v>1104</v>
      </c>
      <c r="S870" s="180" t="s">
        <v>1105</v>
      </c>
      <c r="T870" s="183">
        <f t="shared" si="26"/>
        <v>12</v>
      </c>
      <c r="U870" s="184">
        <f t="shared" si="25"/>
        <v>45656</v>
      </c>
      <c r="V870" s="187">
        <v>45656</v>
      </c>
      <c r="W870" s="183"/>
      <c r="X870" s="183"/>
      <c r="Y870" s="183"/>
      <c r="Z870" s="183" t="s">
        <v>1113</v>
      </c>
      <c r="AA870" s="183" t="s">
        <v>1113</v>
      </c>
      <c r="AB870" s="183"/>
    </row>
    <row r="871" spans="1:28" ht="14.25" hidden="1" customHeight="1">
      <c r="A871" s="163" t="s">
        <v>1017</v>
      </c>
      <c r="B871" s="164">
        <v>45657</v>
      </c>
      <c r="C871" s="163" t="s">
        <v>131</v>
      </c>
      <c r="D871" s="163" t="s">
        <v>281</v>
      </c>
      <c r="E871" s="163" t="s">
        <v>199</v>
      </c>
      <c r="F871" s="226">
        <v>-5110</v>
      </c>
      <c r="G871" s="165">
        <f t="shared" si="19"/>
        <v>12535.890999999992</v>
      </c>
      <c r="H871" s="163"/>
      <c r="I871" s="163" t="s">
        <v>283</v>
      </c>
      <c r="J871" s="163"/>
      <c r="K871" s="163"/>
      <c r="L871" s="163" t="s">
        <v>1030</v>
      </c>
      <c r="M871" s="163"/>
      <c r="N871" s="163" t="s">
        <v>978</v>
      </c>
      <c r="O871" s="163"/>
      <c r="P871" s="163"/>
      <c r="Q871" s="163"/>
      <c r="R871" s="163" t="s">
        <v>131</v>
      </c>
      <c r="S871" s="163"/>
      <c r="T871" s="43">
        <f t="shared" si="26"/>
        <v>12</v>
      </c>
      <c r="U871" s="167">
        <f t="shared" si="25"/>
        <v>45656</v>
      </c>
      <c r="V871" s="166">
        <v>45656</v>
      </c>
      <c r="W871" s="43"/>
      <c r="X871" s="43"/>
      <c r="Y871" s="43"/>
      <c r="Z871" s="43" t="s">
        <v>1113</v>
      </c>
      <c r="AA871" s="43" t="s">
        <v>1113</v>
      </c>
      <c r="AB871" s="43"/>
    </row>
    <row r="872" spans="1:28" ht="14.25" hidden="1" customHeight="1">
      <c r="A872" s="163" t="s">
        <v>1017</v>
      </c>
      <c r="B872" s="164">
        <v>45657</v>
      </c>
      <c r="C872" s="163" t="s">
        <v>436</v>
      </c>
      <c r="D872" s="163" t="s">
        <v>281</v>
      </c>
      <c r="E872" s="163" t="s">
        <v>121</v>
      </c>
      <c r="F872" s="226">
        <v>-84</v>
      </c>
      <c r="G872" s="165">
        <f t="shared" si="19"/>
        <v>12451.890999999992</v>
      </c>
      <c r="H872" s="163"/>
      <c r="I872" s="163" t="s">
        <v>994</v>
      </c>
      <c r="J872" s="163"/>
      <c r="K872" s="163"/>
      <c r="L872" s="163" t="s">
        <v>366</v>
      </c>
      <c r="M872" s="163"/>
      <c r="N872" s="163" t="s">
        <v>978</v>
      </c>
      <c r="O872" s="163"/>
      <c r="P872" s="163"/>
      <c r="Q872" s="163"/>
      <c r="R872" s="163" t="s">
        <v>436</v>
      </c>
      <c r="S872" s="163" t="s">
        <v>438</v>
      </c>
      <c r="T872" s="43">
        <f t="shared" si="26"/>
        <v>12</v>
      </c>
      <c r="U872" s="167">
        <f t="shared" si="25"/>
        <v>45656</v>
      </c>
      <c r="V872" s="166">
        <v>45656</v>
      </c>
      <c r="W872" s="43"/>
      <c r="X872" s="43"/>
      <c r="Y872" s="43"/>
      <c r="Z872" s="43" t="s">
        <v>1113</v>
      </c>
      <c r="AA872" s="43" t="s">
        <v>1113</v>
      </c>
      <c r="AB872" s="43"/>
    </row>
    <row r="873" spans="1:28" ht="14.25" hidden="1" customHeight="1">
      <c r="A873" s="163" t="s">
        <v>1017</v>
      </c>
      <c r="B873" s="164">
        <v>45657</v>
      </c>
      <c r="C873" s="163" t="s">
        <v>466</v>
      </c>
      <c r="D873" s="163" t="s">
        <v>281</v>
      </c>
      <c r="E873" s="163" t="s">
        <v>121</v>
      </c>
      <c r="F873" s="226">
        <v>-210</v>
      </c>
      <c r="G873" s="165">
        <f t="shared" si="19"/>
        <v>12241.890999999992</v>
      </c>
      <c r="H873" s="163"/>
      <c r="I873" s="163" t="s">
        <v>994</v>
      </c>
      <c r="J873" s="163"/>
      <c r="K873" s="163"/>
      <c r="L873" s="163" t="s">
        <v>766</v>
      </c>
      <c r="M873" s="163"/>
      <c r="N873" s="163" t="s">
        <v>978</v>
      </c>
      <c r="O873" s="163"/>
      <c r="P873" s="163"/>
      <c r="Q873" s="163"/>
      <c r="R873" s="163" t="s">
        <v>466</v>
      </c>
      <c r="S873" s="163" t="s">
        <v>468</v>
      </c>
      <c r="T873" s="43">
        <f t="shared" si="26"/>
        <v>12</v>
      </c>
      <c r="U873" s="167">
        <f t="shared" si="25"/>
        <v>45656</v>
      </c>
      <c r="V873" s="166">
        <v>45656</v>
      </c>
      <c r="W873" s="43"/>
      <c r="X873" s="43"/>
      <c r="Y873" s="43"/>
      <c r="Z873" s="43" t="s">
        <v>1113</v>
      </c>
      <c r="AA873" s="43" t="s">
        <v>1113</v>
      </c>
      <c r="AB873" s="43"/>
    </row>
    <row r="874" spans="1:28" ht="14.25" hidden="1" customHeight="1">
      <c r="A874" s="163" t="s">
        <v>1017</v>
      </c>
      <c r="B874" s="164">
        <v>45657</v>
      </c>
      <c r="C874" s="163" t="s">
        <v>501</v>
      </c>
      <c r="D874" s="163" t="s">
        <v>281</v>
      </c>
      <c r="E874" s="163" t="s">
        <v>121</v>
      </c>
      <c r="F874" s="168"/>
      <c r="G874" s="165">
        <f t="shared" si="19"/>
        <v>12241.890999999992</v>
      </c>
      <c r="H874" s="163"/>
      <c r="I874" s="163" t="s">
        <v>994</v>
      </c>
      <c r="J874" s="163"/>
      <c r="K874" s="163"/>
      <c r="L874" s="163" t="s">
        <v>766</v>
      </c>
      <c r="M874" s="163"/>
      <c r="N874" s="163" t="s">
        <v>978</v>
      </c>
      <c r="O874" s="163"/>
      <c r="P874" s="163"/>
      <c r="Q874" s="163"/>
      <c r="R874" s="163" t="s">
        <v>501</v>
      </c>
      <c r="S874" s="163" t="s">
        <v>503</v>
      </c>
      <c r="T874" s="43">
        <f t="shared" si="26"/>
        <v>12</v>
      </c>
      <c r="U874" s="167">
        <f t="shared" si="25"/>
        <v>45656</v>
      </c>
      <c r="V874" s="166">
        <v>45656</v>
      </c>
      <c r="W874" s="43"/>
      <c r="X874" s="43"/>
      <c r="Y874" s="43"/>
      <c r="Z874" s="43" t="s">
        <v>1113</v>
      </c>
      <c r="AA874" s="43" t="s">
        <v>1113</v>
      </c>
      <c r="AB874" s="43"/>
    </row>
    <row r="875" spans="1:28" ht="14.25" hidden="1" customHeight="1">
      <c r="A875" s="163" t="s">
        <v>1017</v>
      </c>
      <c r="B875" s="164">
        <v>45657</v>
      </c>
      <c r="C875" s="163" t="s">
        <v>505</v>
      </c>
      <c r="D875" s="163" t="s">
        <v>281</v>
      </c>
      <c r="E875" s="163" t="s">
        <v>121</v>
      </c>
      <c r="F875" s="226">
        <v>-84</v>
      </c>
      <c r="G875" s="165">
        <f t="shared" si="19"/>
        <v>12157.890999999992</v>
      </c>
      <c r="H875" s="163"/>
      <c r="I875" s="163" t="s">
        <v>994</v>
      </c>
      <c r="J875" s="163"/>
      <c r="K875" s="163"/>
      <c r="L875" s="163" t="s">
        <v>766</v>
      </c>
      <c r="M875" s="163"/>
      <c r="N875" s="163" t="s">
        <v>978</v>
      </c>
      <c r="O875" s="163"/>
      <c r="P875" s="163"/>
      <c r="Q875" s="163"/>
      <c r="R875" s="163" t="s">
        <v>505</v>
      </c>
      <c r="S875" s="163" t="s">
        <v>507</v>
      </c>
      <c r="T875" s="43">
        <f t="shared" si="26"/>
        <v>12</v>
      </c>
      <c r="U875" s="167">
        <f t="shared" si="25"/>
        <v>45656</v>
      </c>
      <c r="V875" s="166">
        <v>45656</v>
      </c>
      <c r="W875" s="43"/>
      <c r="X875" s="43"/>
      <c r="Y875" s="43"/>
      <c r="Z875" s="43" t="s">
        <v>1113</v>
      </c>
      <c r="AA875" s="43" t="s">
        <v>1113</v>
      </c>
      <c r="AB875" s="43"/>
    </row>
    <row r="876" spans="1:28" ht="14.25" hidden="1" customHeight="1">
      <c r="A876" s="163" t="s">
        <v>1017</v>
      </c>
      <c r="B876" s="164">
        <v>45657</v>
      </c>
      <c r="C876" s="163" t="s">
        <v>484</v>
      </c>
      <c r="D876" s="163" t="s">
        <v>281</v>
      </c>
      <c r="E876" s="163" t="s">
        <v>121</v>
      </c>
      <c r="F876" s="226">
        <v>-66.400000000000006</v>
      </c>
      <c r="G876" s="165">
        <f t="shared" si="19"/>
        <v>12091.490999999993</v>
      </c>
      <c r="H876" s="163"/>
      <c r="I876" s="163" t="s">
        <v>283</v>
      </c>
      <c r="J876" s="163"/>
      <c r="K876" s="163"/>
      <c r="L876" s="163" t="s">
        <v>477</v>
      </c>
      <c r="M876" s="163"/>
      <c r="N876" s="163" t="s">
        <v>978</v>
      </c>
      <c r="O876" s="163"/>
      <c r="P876" s="163"/>
      <c r="Q876" s="163"/>
      <c r="R876" s="163" t="s">
        <v>484</v>
      </c>
      <c r="S876" s="163" t="s">
        <v>487</v>
      </c>
      <c r="T876" s="43">
        <f t="shared" si="26"/>
        <v>12</v>
      </c>
      <c r="U876" s="167">
        <f t="shared" si="25"/>
        <v>45656</v>
      </c>
      <c r="V876" s="166">
        <v>45656</v>
      </c>
      <c r="W876" s="43"/>
      <c r="X876" s="43"/>
      <c r="Y876" s="43"/>
      <c r="Z876" s="43" t="s">
        <v>1113</v>
      </c>
      <c r="AA876" s="43" t="s">
        <v>1113</v>
      </c>
      <c r="AB876" s="43"/>
    </row>
    <row r="877" spans="1:28" ht="14.25" hidden="1" customHeight="1">
      <c r="A877" s="163" t="s">
        <v>1017</v>
      </c>
      <c r="B877" s="164">
        <v>45657</v>
      </c>
      <c r="C877" s="163" t="s">
        <v>1305</v>
      </c>
      <c r="D877" s="163" t="s">
        <v>281</v>
      </c>
      <c r="E877" s="163" t="s">
        <v>199</v>
      </c>
      <c r="F877" s="226">
        <v>-3000</v>
      </c>
      <c r="G877" s="165">
        <f t="shared" si="19"/>
        <v>9091.4909999999927</v>
      </c>
      <c r="H877" s="163"/>
      <c r="I877" s="163" t="s">
        <v>342</v>
      </c>
      <c r="J877" s="163"/>
      <c r="K877" s="163"/>
      <c r="L877" s="163" t="s">
        <v>1476</v>
      </c>
      <c r="M877" s="163"/>
      <c r="N877" s="163" t="s">
        <v>978</v>
      </c>
      <c r="O877" s="163"/>
      <c r="P877" s="163"/>
      <c r="Q877" s="163"/>
      <c r="R877" s="163" t="s">
        <v>1305</v>
      </c>
      <c r="S877" s="163" t="s">
        <v>1306</v>
      </c>
      <c r="T877" s="43">
        <f t="shared" si="26"/>
        <v>12</v>
      </c>
      <c r="U877" s="167">
        <f t="shared" si="25"/>
        <v>45656</v>
      </c>
      <c r="V877" s="166">
        <v>45656</v>
      </c>
      <c r="W877" s="43"/>
      <c r="X877" s="43"/>
      <c r="Y877" s="43"/>
      <c r="Z877" s="43" t="s">
        <v>1113</v>
      </c>
      <c r="AA877" s="43" t="s">
        <v>1113</v>
      </c>
      <c r="AB877" s="43"/>
    </row>
    <row r="878" spans="1:28" ht="14.25" hidden="1" customHeight="1">
      <c r="A878" s="163" t="s">
        <v>1017</v>
      </c>
      <c r="B878" s="164">
        <v>45656</v>
      </c>
      <c r="C878" s="163" t="s">
        <v>1323</v>
      </c>
      <c r="D878" s="163" t="s">
        <v>281</v>
      </c>
      <c r="E878" s="163" t="s">
        <v>199</v>
      </c>
      <c r="F878" s="226">
        <v>-2523.23</v>
      </c>
      <c r="G878" s="165">
        <f t="shared" si="19"/>
        <v>6568.2609999999931</v>
      </c>
      <c r="H878" s="163"/>
      <c r="I878" s="163" t="s">
        <v>342</v>
      </c>
      <c r="J878" s="163"/>
      <c r="K878" s="163"/>
      <c r="L878" s="163" t="s">
        <v>1030</v>
      </c>
      <c r="M878" s="163"/>
      <c r="N878" s="163" t="s">
        <v>978</v>
      </c>
      <c r="O878" s="163"/>
      <c r="P878" s="163"/>
      <c r="Q878" s="163"/>
      <c r="R878" s="163" t="s">
        <v>1324</v>
      </c>
      <c r="S878" s="163" t="s">
        <v>1325</v>
      </c>
      <c r="T878" s="43">
        <f t="shared" si="26"/>
        <v>12</v>
      </c>
      <c r="U878" s="167">
        <f t="shared" si="25"/>
        <v>45656</v>
      </c>
      <c r="V878" s="231"/>
      <c r="W878" s="43"/>
      <c r="X878" s="43"/>
      <c r="Y878" s="43"/>
      <c r="Z878" s="43" t="s">
        <v>1113</v>
      </c>
      <c r="AA878" s="43" t="s">
        <v>1113</v>
      </c>
      <c r="AB878" s="43" t="s">
        <v>1384</v>
      </c>
    </row>
    <row r="879" spans="1:28" ht="14.25" hidden="1" customHeight="1">
      <c r="A879" s="163"/>
      <c r="B879" s="164">
        <v>45656</v>
      </c>
      <c r="C879" s="163" t="s">
        <v>346</v>
      </c>
      <c r="D879" s="163"/>
      <c r="E879" s="163"/>
      <c r="F879" s="165">
        <v>0</v>
      </c>
      <c r="G879" s="165">
        <f t="shared" si="19"/>
        <v>6568.2609999999931</v>
      </c>
      <c r="H879" s="163"/>
      <c r="I879" s="163"/>
      <c r="J879" s="163"/>
      <c r="K879" s="163"/>
      <c r="L879" s="163"/>
      <c r="M879" s="163"/>
      <c r="N879" s="163"/>
      <c r="O879" s="163"/>
      <c r="P879" s="163"/>
      <c r="Q879" s="163"/>
      <c r="R879" s="163"/>
      <c r="S879" s="163"/>
      <c r="T879" s="43">
        <f t="shared" si="26"/>
        <v>12</v>
      </c>
      <c r="U879" s="167">
        <f t="shared" si="25"/>
        <v>45656</v>
      </c>
      <c r="V879" s="43"/>
      <c r="W879" s="43"/>
      <c r="X879" s="43"/>
      <c r="Y879" s="43"/>
      <c r="Z879" s="43" t="s">
        <v>1157</v>
      </c>
      <c r="AA879" s="43" t="s">
        <v>1157</v>
      </c>
      <c r="AB879" s="43"/>
    </row>
    <row r="880" spans="1:28" ht="14.25" hidden="1" customHeight="1">
      <c r="A880" s="190"/>
      <c r="B880" s="164">
        <v>45657</v>
      </c>
      <c r="C880" s="190" t="s">
        <v>1432</v>
      </c>
      <c r="D880" s="190" t="s">
        <v>281</v>
      </c>
      <c r="E880" s="190" t="s">
        <v>1477</v>
      </c>
      <c r="F880" s="185"/>
      <c r="G880" s="165">
        <f t="shared" si="19"/>
        <v>6568.2609999999931</v>
      </c>
      <c r="H880" s="190"/>
      <c r="I880" s="190" t="s">
        <v>342</v>
      </c>
      <c r="J880" s="190"/>
      <c r="K880" s="190"/>
      <c r="L880" s="190" t="s">
        <v>1301</v>
      </c>
      <c r="M880" s="190"/>
      <c r="N880" s="190" t="s">
        <v>978</v>
      </c>
      <c r="O880" s="190"/>
      <c r="P880" s="190"/>
      <c r="Q880" s="190"/>
      <c r="R880" s="190" t="s">
        <v>1463</v>
      </c>
      <c r="S880" s="190" t="s">
        <v>345</v>
      </c>
      <c r="T880" s="94">
        <f>MONTH(U880)</f>
        <v>12</v>
      </c>
      <c r="U880" s="173">
        <f t="shared" si="25"/>
        <v>45657</v>
      </c>
      <c r="V880" s="173"/>
      <c r="W880" s="43"/>
      <c r="X880" s="43"/>
      <c r="Y880" s="43"/>
      <c r="Z880" s="43"/>
      <c r="AA880" s="43"/>
      <c r="AB880" s="43"/>
    </row>
    <row r="881" spans="1:28" hidden="1">
      <c r="A881" s="163"/>
      <c r="B881" s="164">
        <v>45657</v>
      </c>
      <c r="C881" s="163" t="s">
        <v>278</v>
      </c>
      <c r="D881" s="163"/>
      <c r="E881" s="163"/>
      <c r="F881" s="165">
        <v>0</v>
      </c>
      <c r="G881" s="165">
        <f t="shared" si="19"/>
        <v>6568.2609999999931</v>
      </c>
      <c r="H881" s="163"/>
      <c r="I881" s="163"/>
      <c r="J881" s="163"/>
      <c r="K881" s="163"/>
      <c r="L881" s="163"/>
      <c r="M881" s="163"/>
      <c r="N881" s="163"/>
      <c r="O881" s="163"/>
      <c r="P881" s="163"/>
      <c r="Q881" s="163"/>
      <c r="R881" s="163"/>
      <c r="S881" s="163"/>
      <c r="T881" s="43">
        <f t="shared" ref="T881:T1135" si="27">MONTH(B881)</f>
        <v>12</v>
      </c>
      <c r="U881" s="167">
        <f t="shared" si="25"/>
        <v>45657</v>
      </c>
    </row>
    <row r="882" spans="1:28" ht="14.25" hidden="1" customHeight="1">
      <c r="A882" s="205" t="s">
        <v>1017</v>
      </c>
      <c r="B882" s="208">
        <v>45659</v>
      </c>
      <c r="C882" s="205" t="s">
        <v>1010</v>
      </c>
      <c r="D882" s="205" t="s">
        <v>281</v>
      </c>
      <c r="E882" s="205" t="s">
        <v>199</v>
      </c>
      <c r="F882" s="182">
        <v>-1500</v>
      </c>
      <c r="G882" s="165">
        <f t="shared" si="19"/>
        <v>5068.2609999999931</v>
      </c>
      <c r="H882" s="205"/>
      <c r="I882" s="205" t="s">
        <v>977</v>
      </c>
      <c r="J882" s="205"/>
      <c r="K882" s="205"/>
      <c r="L882" s="205" t="s">
        <v>1003</v>
      </c>
      <c r="M882" s="205"/>
      <c r="N882" s="205" t="s">
        <v>978</v>
      </c>
      <c r="O882" s="205"/>
      <c r="P882" s="205"/>
      <c r="Q882" s="205"/>
      <c r="R882" s="205" t="s">
        <v>1011</v>
      </c>
      <c r="S882" s="205" t="s">
        <v>1012</v>
      </c>
      <c r="T882" s="209">
        <f t="shared" si="27"/>
        <v>1</v>
      </c>
      <c r="U882" s="210">
        <f t="shared" si="25"/>
        <v>45659</v>
      </c>
      <c r="V882" s="206"/>
      <c r="W882" s="43">
        <f t="shared" ref="W882:W1136" si="28">MONTH(U882)</f>
        <v>1</v>
      </c>
      <c r="X882" s="206" t="s">
        <v>1478</v>
      </c>
      <c r="Y882" s="206" t="s">
        <v>26</v>
      </c>
      <c r="Z882" s="206" t="s">
        <v>1113</v>
      </c>
      <c r="AA882" s="206" t="s">
        <v>1113</v>
      </c>
      <c r="AB882" s="206"/>
    </row>
    <row r="883" spans="1:28" ht="14.25" hidden="1" customHeight="1">
      <c r="A883" s="180" t="s">
        <v>1017</v>
      </c>
      <c r="B883" s="181">
        <v>45624</v>
      </c>
      <c r="C883" s="180" t="s">
        <v>1087</v>
      </c>
      <c r="D883" s="180" t="s">
        <v>281</v>
      </c>
      <c r="E883" s="180" t="s">
        <v>1337</v>
      </c>
      <c r="F883" s="188">
        <v>50</v>
      </c>
      <c r="G883" s="165">
        <f t="shared" si="19"/>
        <v>5118.2609999999931</v>
      </c>
      <c r="H883" s="180"/>
      <c r="I883" s="180" t="s">
        <v>977</v>
      </c>
      <c r="J883" s="180"/>
      <c r="K883" s="180"/>
      <c r="L883" s="180" t="s">
        <v>366</v>
      </c>
      <c r="M883" s="180"/>
      <c r="N883" s="180" t="s">
        <v>978</v>
      </c>
      <c r="O883" s="180"/>
      <c r="P883" s="180"/>
      <c r="Q883" s="180"/>
      <c r="R883" s="180" t="s">
        <v>990</v>
      </c>
      <c r="S883" s="180" t="s">
        <v>991</v>
      </c>
      <c r="T883" s="183">
        <f t="shared" si="27"/>
        <v>11</v>
      </c>
      <c r="U883" s="184">
        <f t="shared" si="25"/>
        <v>45659</v>
      </c>
      <c r="V883" s="256">
        <v>45659</v>
      </c>
      <c r="W883" s="43">
        <f t="shared" si="28"/>
        <v>1</v>
      </c>
      <c r="X883" s="183" t="s">
        <v>1381</v>
      </c>
      <c r="Y883" s="183" t="s">
        <v>1479</v>
      </c>
      <c r="Z883" s="183" t="s">
        <v>1113</v>
      </c>
      <c r="AA883" s="183" t="s">
        <v>1113</v>
      </c>
      <c r="AB883" s="183"/>
    </row>
    <row r="884" spans="1:28" ht="14.25" hidden="1" customHeight="1">
      <c r="A884" s="163" t="s">
        <v>1017</v>
      </c>
      <c r="B884" s="164">
        <v>45624</v>
      </c>
      <c r="C884" s="163" t="s">
        <v>989</v>
      </c>
      <c r="D884" s="163" t="s">
        <v>281</v>
      </c>
      <c r="E884" s="163" t="s">
        <v>199</v>
      </c>
      <c r="F884" s="185">
        <v>-1119</v>
      </c>
      <c r="G884" s="165">
        <f t="shared" si="19"/>
        <v>3999.2609999999931</v>
      </c>
      <c r="H884" s="163"/>
      <c r="I884" s="163" t="s">
        <v>977</v>
      </c>
      <c r="J884" s="163"/>
      <c r="K884" s="163"/>
      <c r="L884" s="163" t="s">
        <v>366</v>
      </c>
      <c r="M884" s="163"/>
      <c r="N884" s="163" t="s">
        <v>978</v>
      </c>
      <c r="O884" s="163"/>
      <c r="P884" s="163"/>
      <c r="Q884" s="163"/>
      <c r="R884" s="163" t="s">
        <v>990</v>
      </c>
      <c r="S884" s="163" t="s">
        <v>991</v>
      </c>
      <c r="T884" s="43">
        <f t="shared" si="27"/>
        <v>11</v>
      </c>
      <c r="U884" s="167">
        <f t="shared" si="25"/>
        <v>45659</v>
      </c>
      <c r="V884" s="231">
        <v>45659</v>
      </c>
      <c r="W884" s="43">
        <f t="shared" si="28"/>
        <v>1</v>
      </c>
      <c r="X884" s="43" t="s">
        <v>1480</v>
      </c>
      <c r="Y884" s="43" t="s">
        <v>86</v>
      </c>
      <c r="Z884" s="43" t="s">
        <v>1113</v>
      </c>
      <c r="AA884" s="43" t="s">
        <v>1113</v>
      </c>
      <c r="AB884" s="43"/>
    </row>
    <row r="885" spans="1:28" hidden="1">
      <c r="A885" s="163" t="s">
        <v>1017</v>
      </c>
      <c r="B885" s="164">
        <v>45660</v>
      </c>
      <c r="C885" s="163" t="s">
        <v>132</v>
      </c>
      <c r="D885" s="163" t="s">
        <v>281</v>
      </c>
      <c r="E885" s="163" t="s">
        <v>199</v>
      </c>
      <c r="F885" s="168">
        <v>-105</v>
      </c>
      <c r="G885" s="165">
        <f t="shared" si="19"/>
        <v>3894.2609999999931</v>
      </c>
      <c r="H885" s="163"/>
      <c r="I885" s="163" t="s">
        <v>977</v>
      </c>
      <c r="J885" s="163"/>
      <c r="K885" s="163"/>
      <c r="L885" s="163" t="s">
        <v>485</v>
      </c>
      <c r="M885" s="163"/>
      <c r="N885" s="163" t="s">
        <v>978</v>
      </c>
      <c r="O885" s="163"/>
      <c r="P885" s="163"/>
      <c r="Q885" s="163"/>
      <c r="R885" s="163" t="s">
        <v>132</v>
      </c>
      <c r="S885" s="163"/>
      <c r="T885" s="43">
        <f t="shared" si="27"/>
        <v>1</v>
      </c>
      <c r="U885" s="167">
        <f t="shared" si="25"/>
        <v>45659</v>
      </c>
      <c r="V885" s="231">
        <v>45659</v>
      </c>
      <c r="W885" s="43">
        <f t="shared" si="28"/>
        <v>1</v>
      </c>
      <c r="X885" s="49" t="s">
        <v>1480</v>
      </c>
      <c r="Y885" s="49" t="s">
        <v>105</v>
      </c>
    </row>
    <row r="886" spans="1:28" ht="14.25" hidden="1" customHeight="1">
      <c r="A886" s="232" t="s">
        <v>1017</v>
      </c>
      <c r="B886" s="233">
        <v>45638</v>
      </c>
      <c r="C886" s="232" t="s">
        <v>1481</v>
      </c>
      <c r="D886" s="232" t="s">
        <v>281</v>
      </c>
      <c r="E886" s="232" t="s">
        <v>760</v>
      </c>
      <c r="F886" s="230">
        <v>-2100</v>
      </c>
      <c r="G886" s="165">
        <f t="shared" si="19"/>
        <v>1794.2609999999931</v>
      </c>
      <c r="H886" s="232"/>
      <c r="I886" s="232" t="s">
        <v>283</v>
      </c>
      <c r="J886" s="232"/>
      <c r="K886" s="232"/>
      <c r="L886" s="232" t="s">
        <v>508</v>
      </c>
      <c r="M886" s="232"/>
      <c r="N886" s="232" t="s">
        <v>978</v>
      </c>
      <c r="O886" s="232"/>
      <c r="P886" s="232"/>
      <c r="Q886" s="232"/>
      <c r="R886" s="232" t="s">
        <v>1354</v>
      </c>
      <c r="S886" s="232" t="s">
        <v>1355</v>
      </c>
      <c r="T886" s="234">
        <f t="shared" si="27"/>
        <v>12</v>
      </c>
      <c r="U886" s="235">
        <f t="shared" si="25"/>
        <v>45659</v>
      </c>
      <c r="V886" s="231">
        <v>45659</v>
      </c>
      <c r="W886" s="43">
        <f t="shared" si="28"/>
        <v>1</v>
      </c>
      <c r="X886" s="236" t="s">
        <v>1482</v>
      </c>
      <c r="Y886" s="236" t="s">
        <v>78</v>
      </c>
      <c r="Z886" s="236" t="s">
        <v>1113</v>
      </c>
      <c r="AA886" s="236" t="s">
        <v>1113</v>
      </c>
      <c r="AB886" s="99"/>
    </row>
    <row r="887" spans="1:28" hidden="1">
      <c r="A887" s="180" t="s">
        <v>1017</v>
      </c>
      <c r="B887" s="181">
        <v>45659</v>
      </c>
      <c r="C887" s="180" t="s">
        <v>1087</v>
      </c>
      <c r="D887" s="180" t="s">
        <v>281</v>
      </c>
      <c r="E887" s="180" t="s">
        <v>1337</v>
      </c>
      <c r="F887" s="182">
        <v>-749.09</v>
      </c>
      <c r="G887" s="165">
        <f t="shared" si="19"/>
        <v>1045.170999999993</v>
      </c>
      <c r="H887" s="180"/>
      <c r="I887" s="180" t="s">
        <v>977</v>
      </c>
      <c r="J887" s="180"/>
      <c r="K887" s="180"/>
      <c r="L887" s="180" t="s">
        <v>485</v>
      </c>
      <c r="M887" s="180"/>
      <c r="N887" s="180" t="s">
        <v>978</v>
      </c>
      <c r="O887" s="180"/>
      <c r="P887" s="180"/>
      <c r="Q887" s="180"/>
      <c r="R887" s="180" t="s">
        <v>132</v>
      </c>
      <c r="S887" s="180"/>
      <c r="T887" s="183">
        <f t="shared" si="27"/>
        <v>1</v>
      </c>
      <c r="U887" s="184">
        <f t="shared" si="25"/>
        <v>45659</v>
      </c>
      <c r="V887" s="256"/>
      <c r="W887" s="43">
        <f t="shared" si="28"/>
        <v>1</v>
      </c>
      <c r="X887" s="183" t="s">
        <v>1381</v>
      </c>
      <c r="Y887" s="183" t="s">
        <v>1479</v>
      </c>
      <c r="Z887" s="183"/>
      <c r="AA887" s="183"/>
      <c r="AB887" s="183"/>
    </row>
    <row r="888" spans="1:28" ht="14.25" hidden="1" customHeight="1">
      <c r="A888" s="163" t="s">
        <v>1017</v>
      </c>
      <c r="B888" s="164">
        <v>45659</v>
      </c>
      <c r="C888" s="163"/>
      <c r="D888" s="163" t="s">
        <v>281</v>
      </c>
      <c r="E888" s="163" t="s">
        <v>1077</v>
      </c>
      <c r="F888" s="168">
        <v>-1</v>
      </c>
      <c r="G888" s="165">
        <f t="shared" si="19"/>
        <v>1044.170999999993</v>
      </c>
      <c r="H888" s="163"/>
      <c r="I888" s="163" t="s">
        <v>342</v>
      </c>
      <c r="J888" s="163"/>
      <c r="K888" s="163"/>
      <c r="L888" s="163" t="s">
        <v>1030</v>
      </c>
      <c r="M888" s="163"/>
      <c r="N888" s="163" t="s">
        <v>978</v>
      </c>
      <c r="O888" s="163"/>
      <c r="P888" s="163"/>
      <c r="Q888" s="163"/>
      <c r="R888" s="163"/>
      <c r="S888" s="163" t="s">
        <v>1076</v>
      </c>
      <c r="T888" s="94">
        <f t="shared" si="27"/>
        <v>1</v>
      </c>
      <c r="U888" s="212">
        <f t="shared" si="25"/>
        <v>45659</v>
      </c>
      <c r="V888" s="43"/>
      <c r="W888" s="43">
        <f t="shared" si="28"/>
        <v>1</v>
      </c>
      <c r="X888" s="43" t="s">
        <v>1483</v>
      </c>
      <c r="Y888" s="43" t="s">
        <v>1443</v>
      </c>
      <c r="Z888" s="43" t="s">
        <v>1113</v>
      </c>
      <c r="AA888" s="43" t="s">
        <v>1113</v>
      </c>
      <c r="AB888" s="43"/>
    </row>
    <row r="889" spans="1:28" hidden="1">
      <c r="A889" s="163"/>
      <c r="B889" s="164">
        <v>45659</v>
      </c>
      <c r="C889" s="163" t="s">
        <v>346</v>
      </c>
      <c r="D889" s="163"/>
      <c r="E889" s="163"/>
      <c r="F889" s="165">
        <v>0</v>
      </c>
      <c r="G889" s="165">
        <f t="shared" si="19"/>
        <v>1044.170999999993</v>
      </c>
      <c r="H889" s="163"/>
      <c r="I889" s="163"/>
      <c r="J889" s="163"/>
      <c r="K889" s="163"/>
      <c r="L889" s="163"/>
      <c r="M889" s="163"/>
      <c r="N889" s="163"/>
      <c r="O889" s="163"/>
      <c r="P889" s="163"/>
      <c r="Q889" s="163"/>
      <c r="R889" s="163"/>
      <c r="S889" s="163"/>
      <c r="T889" s="43">
        <f t="shared" si="27"/>
        <v>1</v>
      </c>
      <c r="U889" s="167">
        <f t="shared" si="25"/>
        <v>45659</v>
      </c>
      <c r="V889" s="231">
        <v>45659</v>
      </c>
      <c r="W889" s="43">
        <f t="shared" si="28"/>
        <v>1</v>
      </c>
    </row>
    <row r="890" spans="1:28" ht="14.25" hidden="1" customHeight="1">
      <c r="A890" s="163" t="s">
        <v>1174</v>
      </c>
      <c r="B890" s="164">
        <v>45656</v>
      </c>
      <c r="C890" s="163" t="s">
        <v>1215</v>
      </c>
      <c r="D890" s="163" t="s">
        <v>281</v>
      </c>
      <c r="E890" s="163" t="s">
        <v>407</v>
      </c>
      <c r="F890" s="165">
        <v>1786.75</v>
      </c>
      <c r="G890" s="165">
        <f t="shared" si="19"/>
        <v>2830.920999999993</v>
      </c>
      <c r="H890" s="163"/>
      <c r="I890" s="163" t="s">
        <v>1176</v>
      </c>
      <c r="J890" s="163" t="s">
        <v>1473</v>
      </c>
      <c r="K890" s="163"/>
      <c r="L890" s="163" t="s">
        <v>305</v>
      </c>
      <c r="M890" s="163"/>
      <c r="N890" s="163" t="s">
        <v>1178</v>
      </c>
      <c r="O890" s="163" t="s">
        <v>1473</v>
      </c>
      <c r="P890" s="163" t="s">
        <v>351</v>
      </c>
      <c r="Q890" s="163"/>
      <c r="R890" s="163" t="s">
        <v>1220</v>
      </c>
      <c r="S890" s="163" t="s">
        <v>1221</v>
      </c>
      <c r="T890" s="43">
        <f t="shared" si="27"/>
        <v>12</v>
      </c>
      <c r="U890" s="167">
        <f t="shared" si="25"/>
        <v>45660</v>
      </c>
      <c r="V890" s="231">
        <v>45660</v>
      </c>
      <c r="W890" s="43">
        <f t="shared" si="28"/>
        <v>1</v>
      </c>
      <c r="X890" s="43" t="s">
        <v>1484</v>
      </c>
      <c r="Y890" s="43" t="s">
        <v>1485</v>
      </c>
      <c r="Z890" s="43" t="s">
        <v>1113</v>
      </c>
      <c r="AA890" s="43" t="s">
        <v>1113</v>
      </c>
      <c r="AB890" s="257" t="s">
        <v>1486</v>
      </c>
    </row>
    <row r="891" spans="1:28" ht="14.25" hidden="1" customHeight="1">
      <c r="A891" s="163" t="s">
        <v>1017</v>
      </c>
      <c r="B891" s="164">
        <v>45660</v>
      </c>
      <c r="C891" s="163"/>
      <c r="D891" s="163" t="s">
        <v>281</v>
      </c>
      <c r="E891" s="163" t="s">
        <v>1077</v>
      </c>
      <c r="F891" s="168">
        <v>-1.19</v>
      </c>
      <c r="G891" s="165">
        <f t="shared" si="19"/>
        <v>2829.7309999999929</v>
      </c>
      <c r="H891" s="163"/>
      <c r="I891" s="163" t="s">
        <v>342</v>
      </c>
      <c r="J891" s="163"/>
      <c r="K891" s="163"/>
      <c r="L891" s="163" t="s">
        <v>1030</v>
      </c>
      <c r="M891" s="163"/>
      <c r="N891" s="163" t="s">
        <v>978</v>
      </c>
      <c r="O891" s="163"/>
      <c r="P891" s="163"/>
      <c r="Q891" s="163"/>
      <c r="R891" s="163"/>
      <c r="S891" s="163" t="s">
        <v>1076</v>
      </c>
      <c r="T891" s="94">
        <f t="shared" si="27"/>
        <v>1</v>
      </c>
      <c r="U891" s="212">
        <f t="shared" si="25"/>
        <v>45660</v>
      </c>
      <c r="V891" s="43"/>
      <c r="W891" s="43">
        <f t="shared" si="28"/>
        <v>1</v>
      </c>
      <c r="X891" s="43" t="s">
        <v>1483</v>
      </c>
      <c r="Y891" s="43" t="s">
        <v>1443</v>
      </c>
      <c r="Z891" s="43" t="s">
        <v>1113</v>
      </c>
      <c r="AA891" s="43" t="s">
        <v>1113</v>
      </c>
      <c r="AB891" s="43"/>
    </row>
    <row r="892" spans="1:28" ht="14.25" hidden="1" customHeight="1">
      <c r="A892" s="180" t="s">
        <v>1017</v>
      </c>
      <c r="B892" s="181">
        <v>45661</v>
      </c>
      <c r="C892" s="180" t="s">
        <v>1087</v>
      </c>
      <c r="D892" s="180" t="s">
        <v>281</v>
      </c>
      <c r="E892" s="180" t="s">
        <v>1337</v>
      </c>
      <c r="F892" s="188">
        <v>1792.6</v>
      </c>
      <c r="G892" s="165">
        <f t="shared" si="19"/>
        <v>4622.3309999999929</v>
      </c>
      <c r="H892" s="180"/>
      <c r="I892" s="180" t="s">
        <v>977</v>
      </c>
      <c r="J892" s="180"/>
      <c r="K892" s="180"/>
      <c r="L892" s="180" t="s">
        <v>366</v>
      </c>
      <c r="M892" s="180"/>
      <c r="N892" s="180" t="s">
        <v>978</v>
      </c>
      <c r="O892" s="180"/>
      <c r="P892" s="180"/>
      <c r="Q892" s="180"/>
      <c r="R892" s="180" t="s">
        <v>990</v>
      </c>
      <c r="S892" s="180" t="s">
        <v>991</v>
      </c>
      <c r="T892" s="183">
        <f t="shared" si="27"/>
        <v>1</v>
      </c>
      <c r="U892" s="184">
        <f t="shared" si="25"/>
        <v>45661</v>
      </c>
      <c r="V892" s="256"/>
      <c r="W892" s="43">
        <f t="shared" si="28"/>
        <v>1</v>
      </c>
      <c r="X892" s="183" t="s">
        <v>1381</v>
      </c>
      <c r="Y892" s="183" t="s">
        <v>1479</v>
      </c>
      <c r="Z892" s="183" t="s">
        <v>1113</v>
      </c>
      <c r="AA892" s="183" t="s">
        <v>1113</v>
      </c>
      <c r="AB892" s="183"/>
    </row>
    <row r="893" spans="1:28" hidden="1">
      <c r="A893" s="163"/>
      <c r="B893" s="164">
        <v>45661</v>
      </c>
      <c r="C893" s="163" t="s">
        <v>346</v>
      </c>
      <c r="D893" s="163"/>
      <c r="E893" s="163"/>
      <c r="F893" s="165">
        <v>0</v>
      </c>
      <c r="G893" s="165">
        <f t="shared" si="19"/>
        <v>4622.3309999999929</v>
      </c>
      <c r="H893" s="163"/>
      <c r="I893" s="163"/>
      <c r="J893" s="163"/>
      <c r="K893" s="163"/>
      <c r="L893" s="163"/>
      <c r="M893" s="163"/>
      <c r="N893" s="163"/>
      <c r="O893" s="163"/>
      <c r="P893" s="163"/>
      <c r="Q893" s="163"/>
      <c r="R893" s="163"/>
      <c r="S893" s="163"/>
      <c r="T893" s="43">
        <f t="shared" si="27"/>
        <v>1</v>
      </c>
      <c r="U893" s="167">
        <f t="shared" si="25"/>
        <v>45661</v>
      </c>
      <c r="V893" s="231"/>
      <c r="W893" s="43">
        <f t="shared" si="28"/>
        <v>1</v>
      </c>
    </row>
    <row r="894" spans="1:28" ht="14.25" hidden="1" customHeight="1">
      <c r="A894" s="180" t="s">
        <v>1017</v>
      </c>
      <c r="B894" s="181">
        <v>45663</v>
      </c>
      <c r="C894" s="180" t="s">
        <v>1487</v>
      </c>
      <c r="D894" s="180" t="s">
        <v>281</v>
      </c>
      <c r="E894" s="180" t="s">
        <v>282</v>
      </c>
      <c r="F894" s="188">
        <v>75000</v>
      </c>
      <c r="G894" s="165">
        <f t="shared" si="19"/>
        <v>79622.330999999991</v>
      </c>
      <c r="H894" s="180"/>
      <c r="I894" s="180" t="s">
        <v>977</v>
      </c>
      <c r="J894" s="180"/>
      <c r="K894" s="180"/>
      <c r="L894" s="180" t="s">
        <v>366</v>
      </c>
      <c r="M894" s="180"/>
      <c r="N894" s="180" t="s">
        <v>978</v>
      </c>
      <c r="O894" s="180"/>
      <c r="P894" s="180"/>
      <c r="Q894" s="180"/>
      <c r="R894" s="180" t="s">
        <v>990</v>
      </c>
      <c r="S894" s="180" t="s">
        <v>991</v>
      </c>
      <c r="T894" s="183">
        <f t="shared" si="27"/>
        <v>1</v>
      </c>
      <c r="U894" s="184">
        <f t="shared" si="25"/>
        <v>45663</v>
      </c>
      <c r="V894" s="256"/>
      <c r="W894" s="43">
        <f t="shared" si="28"/>
        <v>1</v>
      </c>
      <c r="X894" s="183" t="s">
        <v>282</v>
      </c>
      <c r="Y894" s="183" t="s">
        <v>1443</v>
      </c>
      <c r="Z894" s="183" t="s">
        <v>1113</v>
      </c>
      <c r="AA894" s="183" t="s">
        <v>1113</v>
      </c>
      <c r="AB894" s="183"/>
    </row>
    <row r="895" spans="1:28" ht="14.25" hidden="1" customHeight="1">
      <c r="A895" s="180" t="s">
        <v>1017</v>
      </c>
      <c r="B895" s="181">
        <v>45663</v>
      </c>
      <c r="C895" s="180" t="s">
        <v>209</v>
      </c>
      <c r="D895" s="180" t="s">
        <v>281</v>
      </c>
      <c r="E895" s="180" t="s">
        <v>209</v>
      </c>
      <c r="F895" s="188">
        <v>-860.29</v>
      </c>
      <c r="G895" s="165">
        <f t="shared" si="19"/>
        <v>78762.040999999997</v>
      </c>
      <c r="H895" s="180"/>
      <c r="I895" s="180" t="s">
        <v>977</v>
      </c>
      <c r="J895" s="180"/>
      <c r="K895" s="180"/>
      <c r="L895" s="180" t="s">
        <v>366</v>
      </c>
      <c r="M895" s="180"/>
      <c r="N895" s="180" t="s">
        <v>978</v>
      </c>
      <c r="O895" s="180"/>
      <c r="P895" s="180"/>
      <c r="Q895" s="180"/>
      <c r="R895" s="180" t="s">
        <v>990</v>
      </c>
      <c r="S895" s="180" t="s">
        <v>991</v>
      </c>
      <c r="T895" s="183">
        <f t="shared" si="27"/>
        <v>1</v>
      </c>
      <c r="U895" s="184">
        <f t="shared" si="25"/>
        <v>45663</v>
      </c>
      <c r="V895" s="256"/>
      <c r="W895" s="43">
        <f t="shared" si="28"/>
        <v>1</v>
      </c>
      <c r="X895" s="183" t="s">
        <v>196</v>
      </c>
      <c r="Y895" s="183" t="s">
        <v>1443</v>
      </c>
      <c r="Z895" s="183" t="s">
        <v>1113</v>
      </c>
      <c r="AA895" s="183" t="s">
        <v>1113</v>
      </c>
      <c r="AB895" s="183"/>
    </row>
    <row r="896" spans="1:28" hidden="1">
      <c r="A896" s="163" t="s">
        <v>1017</v>
      </c>
      <c r="B896" s="164">
        <v>45659</v>
      </c>
      <c r="C896" s="163" t="s">
        <v>1001</v>
      </c>
      <c r="D896" s="163" t="s">
        <v>281</v>
      </c>
      <c r="E896" s="163" t="s">
        <v>199</v>
      </c>
      <c r="F896" s="258">
        <v>-12180</v>
      </c>
      <c r="G896" s="165">
        <f t="shared" si="19"/>
        <v>66582.040999999997</v>
      </c>
      <c r="H896" s="163"/>
      <c r="I896" s="163" t="s">
        <v>977</v>
      </c>
      <c r="J896" s="163"/>
      <c r="K896" s="163"/>
      <c r="L896" s="163" t="s">
        <v>508</v>
      </c>
      <c r="M896" s="163"/>
      <c r="N896" s="163" t="s">
        <v>978</v>
      </c>
      <c r="O896" s="163"/>
      <c r="P896" s="163"/>
      <c r="Q896" s="163"/>
      <c r="R896" s="163" t="s">
        <v>1001</v>
      </c>
      <c r="S896" s="163"/>
      <c r="T896" s="43">
        <f t="shared" si="27"/>
        <v>1</v>
      </c>
      <c r="U896" s="167">
        <f t="shared" si="25"/>
        <v>45663</v>
      </c>
      <c r="V896" s="231">
        <v>45663</v>
      </c>
      <c r="W896" s="43">
        <f t="shared" si="28"/>
        <v>1</v>
      </c>
      <c r="X896" s="49" t="s">
        <v>1480</v>
      </c>
      <c r="Y896" s="49" t="s">
        <v>26</v>
      </c>
    </row>
    <row r="897" spans="1:28" ht="14.25" hidden="1" customHeight="1">
      <c r="A897" s="163" t="s">
        <v>1017</v>
      </c>
      <c r="B897" s="164">
        <v>45630</v>
      </c>
      <c r="C897" s="163" t="s">
        <v>989</v>
      </c>
      <c r="D897" s="163" t="s">
        <v>281</v>
      </c>
      <c r="E897" s="163" t="s">
        <v>199</v>
      </c>
      <c r="F897" s="226">
        <v>-1900</v>
      </c>
      <c r="G897" s="165">
        <f t="shared" si="19"/>
        <v>64682.040999999997</v>
      </c>
      <c r="H897" s="163"/>
      <c r="I897" s="163" t="s">
        <v>977</v>
      </c>
      <c r="J897" s="163"/>
      <c r="K897" s="163"/>
      <c r="L897" s="163" t="s">
        <v>686</v>
      </c>
      <c r="M897" s="163"/>
      <c r="N897" s="163" t="s">
        <v>978</v>
      </c>
      <c r="O897" s="163"/>
      <c r="P897" s="163"/>
      <c r="Q897" s="163"/>
      <c r="R897" s="163" t="s">
        <v>990</v>
      </c>
      <c r="S897" s="163" t="s">
        <v>991</v>
      </c>
      <c r="T897" s="43">
        <f t="shared" si="27"/>
        <v>12</v>
      </c>
      <c r="U897" s="167">
        <f t="shared" si="25"/>
        <v>45663</v>
      </c>
      <c r="V897" s="167">
        <v>45663</v>
      </c>
      <c r="W897" s="43">
        <f t="shared" si="28"/>
        <v>1</v>
      </c>
      <c r="X897" s="43" t="s">
        <v>1480</v>
      </c>
      <c r="Y897" s="43" t="s">
        <v>86</v>
      </c>
      <c r="Z897" s="43" t="s">
        <v>1113</v>
      </c>
      <c r="AA897" s="43" t="s">
        <v>1113</v>
      </c>
      <c r="AB897" s="43"/>
    </row>
    <row r="898" spans="1:28" ht="14.25" hidden="1" customHeight="1">
      <c r="A898" s="163" t="s">
        <v>1017</v>
      </c>
      <c r="B898" s="164">
        <v>45653</v>
      </c>
      <c r="C898" s="163" t="s">
        <v>989</v>
      </c>
      <c r="D898" s="163" t="s">
        <v>281</v>
      </c>
      <c r="E898" s="163" t="s">
        <v>199</v>
      </c>
      <c r="F898" s="168"/>
      <c r="G898" s="165">
        <f t="shared" si="19"/>
        <v>64682.040999999997</v>
      </c>
      <c r="H898" s="163"/>
      <c r="I898" s="163" t="s">
        <v>977</v>
      </c>
      <c r="J898" s="163"/>
      <c r="K898" s="163"/>
      <c r="L898" s="163" t="s">
        <v>1030</v>
      </c>
      <c r="M898" s="163"/>
      <c r="N898" s="163" t="s">
        <v>978</v>
      </c>
      <c r="O898" s="163"/>
      <c r="P898" s="163"/>
      <c r="Q898" s="163"/>
      <c r="R898" s="163" t="s">
        <v>990</v>
      </c>
      <c r="S898" s="163" t="s">
        <v>991</v>
      </c>
      <c r="T898" s="43">
        <f t="shared" si="27"/>
        <v>12</v>
      </c>
      <c r="U898" s="167">
        <f t="shared" si="25"/>
        <v>45663</v>
      </c>
      <c r="V898" s="167">
        <v>45663</v>
      </c>
      <c r="W898" s="43">
        <f t="shared" si="28"/>
        <v>1</v>
      </c>
      <c r="X898" s="43" t="s">
        <v>1480</v>
      </c>
      <c r="Y898" s="43" t="s">
        <v>86</v>
      </c>
      <c r="Z898" s="43" t="s">
        <v>1113</v>
      </c>
      <c r="AA898" s="43" t="s">
        <v>1113</v>
      </c>
      <c r="AB898" s="43"/>
    </row>
    <row r="899" spans="1:28" hidden="1">
      <c r="A899" s="163" t="s">
        <v>1017</v>
      </c>
      <c r="B899" s="164">
        <v>45659</v>
      </c>
      <c r="C899" s="163" t="s">
        <v>351</v>
      </c>
      <c r="D899" s="163" t="s">
        <v>281</v>
      </c>
      <c r="E899" s="163" t="s">
        <v>359</v>
      </c>
      <c r="F899" s="259"/>
      <c r="G899" s="165">
        <f t="shared" si="19"/>
        <v>64682.040999999997</v>
      </c>
      <c r="H899" s="163"/>
      <c r="I899" s="163" t="s">
        <v>283</v>
      </c>
      <c r="J899" s="163"/>
      <c r="K899" s="163"/>
      <c r="L899" s="163" t="s">
        <v>686</v>
      </c>
      <c r="M899" s="163"/>
      <c r="N899" s="163" t="s">
        <v>978</v>
      </c>
      <c r="O899" s="163"/>
      <c r="P899" s="163"/>
      <c r="Q899" s="163"/>
      <c r="R899" s="163" t="s">
        <v>353</v>
      </c>
      <c r="S899" s="163" t="s">
        <v>354</v>
      </c>
      <c r="T899" s="43">
        <f t="shared" si="27"/>
        <v>1</v>
      </c>
      <c r="U899" s="167">
        <f t="shared" si="25"/>
        <v>45663</v>
      </c>
      <c r="V899" s="167">
        <v>45663</v>
      </c>
      <c r="W899" s="43">
        <f t="shared" si="28"/>
        <v>1</v>
      </c>
      <c r="X899" s="49" t="s">
        <v>1483</v>
      </c>
      <c r="Y899" s="49" t="s">
        <v>25</v>
      </c>
    </row>
    <row r="900" spans="1:28" hidden="1">
      <c r="A900" s="163" t="s">
        <v>1017</v>
      </c>
      <c r="B900" s="164">
        <v>45663</v>
      </c>
      <c r="C900" s="163" t="s">
        <v>396</v>
      </c>
      <c r="D900" s="163" t="s">
        <v>281</v>
      </c>
      <c r="E900" s="163" t="s">
        <v>196</v>
      </c>
      <c r="F900" s="226">
        <v>-9084.9599999999991</v>
      </c>
      <c r="G900" s="165">
        <f t="shared" si="19"/>
        <v>55597.080999999998</v>
      </c>
      <c r="H900" s="163"/>
      <c r="I900" s="163" t="s">
        <v>342</v>
      </c>
      <c r="J900" s="163"/>
      <c r="K900" s="163"/>
      <c r="L900" s="163" t="s">
        <v>1062</v>
      </c>
      <c r="M900" s="163"/>
      <c r="N900" s="163" t="s">
        <v>978</v>
      </c>
      <c r="O900" s="163"/>
      <c r="P900" s="163"/>
      <c r="Q900" s="163"/>
      <c r="R900" s="163" t="s">
        <v>396</v>
      </c>
      <c r="S900" s="163" t="s">
        <v>398</v>
      </c>
      <c r="T900" s="43">
        <f t="shared" si="27"/>
        <v>1</v>
      </c>
      <c r="U900" s="167">
        <f t="shared" si="25"/>
        <v>45663</v>
      </c>
      <c r="W900" s="43">
        <f t="shared" si="28"/>
        <v>1</v>
      </c>
      <c r="X900" s="43" t="s">
        <v>196</v>
      </c>
      <c r="Y900" s="43" t="s">
        <v>1443</v>
      </c>
    </row>
    <row r="901" spans="1:28" hidden="1">
      <c r="A901" s="163" t="s">
        <v>1017</v>
      </c>
      <c r="B901" s="164">
        <v>45663</v>
      </c>
      <c r="C901" s="163" t="s">
        <v>391</v>
      </c>
      <c r="D901" s="163" t="s">
        <v>281</v>
      </c>
      <c r="E901" s="163" t="s">
        <v>392</v>
      </c>
      <c r="F901" s="226">
        <v>-5000</v>
      </c>
      <c r="G901" s="165">
        <f t="shared" si="19"/>
        <v>50597.080999999998</v>
      </c>
      <c r="H901" s="163"/>
      <c r="I901" s="163" t="s">
        <v>994</v>
      </c>
      <c r="J901" s="163"/>
      <c r="K901" s="163"/>
      <c r="L901" s="163" t="s">
        <v>1062</v>
      </c>
      <c r="M901" s="163"/>
      <c r="N901" s="163" t="s">
        <v>978</v>
      </c>
      <c r="O901" s="163"/>
      <c r="P901" s="163"/>
      <c r="Q901" s="163"/>
      <c r="R901" s="163" t="s">
        <v>394</v>
      </c>
      <c r="S901" s="163" t="s">
        <v>395</v>
      </c>
      <c r="T901" s="43">
        <f t="shared" si="27"/>
        <v>1</v>
      </c>
      <c r="U901" s="167">
        <f t="shared" si="25"/>
        <v>45663</v>
      </c>
      <c r="W901" s="43">
        <f t="shared" si="28"/>
        <v>1</v>
      </c>
      <c r="X901" s="49" t="s">
        <v>392</v>
      </c>
      <c r="Y901" s="49" t="s">
        <v>1443</v>
      </c>
    </row>
    <row r="902" spans="1:28" hidden="1">
      <c r="A902" s="163" t="s">
        <v>1017</v>
      </c>
      <c r="B902" s="164">
        <v>45663</v>
      </c>
      <c r="C902" s="163" t="s">
        <v>552</v>
      </c>
      <c r="D902" s="163" t="s">
        <v>281</v>
      </c>
      <c r="E902" s="163" t="s">
        <v>199</v>
      </c>
      <c r="F902" s="226">
        <v>-251.1</v>
      </c>
      <c r="G902" s="165">
        <f t="shared" si="19"/>
        <v>50345.981</v>
      </c>
      <c r="H902" s="163"/>
      <c r="I902" s="163" t="s">
        <v>342</v>
      </c>
      <c r="J902" s="163"/>
      <c r="K902" s="163"/>
      <c r="L902" s="163" t="s">
        <v>1062</v>
      </c>
      <c r="M902" s="163"/>
      <c r="N902" s="163" t="s">
        <v>978</v>
      </c>
      <c r="O902" s="163"/>
      <c r="P902" s="163"/>
      <c r="Q902" s="163"/>
      <c r="R902" s="163" t="s">
        <v>128</v>
      </c>
      <c r="S902" s="163" t="s">
        <v>554</v>
      </c>
      <c r="T902" s="43">
        <f t="shared" si="27"/>
        <v>1</v>
      </c>
      <c r="U902" s="167">
        <f t="shared" si="25"/>
        <v>45663</v>
      </c>
      <c r="W902" s="43">
        <f t="shared" si="28"/>
        <v>1</v>
      </c>
      <c r="X902" s="49" t="s">
        <v>1480</v>
      </c>
      <c r="Y902" s="49" t="s">
        <v>1443</v>
      </c>
    </row>
    <row r="903" spans="1:28" hidden="1">
      <c r="A903" s="163" t="s">
        <v>1017</v>
      </c>
      <c r="B903" s="164">
        <v>45663</v>
      </c>
      <c r="C903" s="163" t="s">
        <v>365</v>
      </c>
      <c r="D903" s="163" t="s">
        <v>281</v>
      </c>
      <c r="E903" s="163" t="s">
        <v>199</v>
      </c>
      <c r="F903" s="226">
        <v>-296.10000000000002</v>
      </c>
      <c r="G903" s="165">
        <f t="shared" si="19"/>
        <v>50049.881000000001</v>
      </c>
      <c r="H903" s="163"/>
      <c r="I903" s="163" t="s">
        <v>342</v>
      </c>
      <c r="J903" s="163"/>
      <c r="K903" s="163"/>
      <c r="L903" s="163" t="s">
        <v>1062</v>
      </c>
      <c r="M903" s="163"/>
      <c r="N903" s="163" t="s">
        <v>978</v>
      </c>
      <c r="O903" s="163"/>
      <c r="P903" s="163"/>
      <c r="Q903" s="163"/>
      <c r="R903" s="163" t="s">
        <v>368</v>
      </c>
      <c r="S903" s="163" t="s">
        <v>369</v>
      </c>
      <c r="T903" s="43">
        <f t="shared" si="27"/>
        <v>1</v>
      </c>
      <c r="U903" s="167">
        <f t="shared" si="25"/>
        <v>45663</v>
      </c>
      <c r="W903" s="43">
        <f t="shared" si="28"/>
        <v>1</v>
      </c>
      <c r="X903" s="49" t="s">
        <v>1480</v>
      </c>
      <c r="Y903" s="49" t="s">
        <v>1488</v>
      </c>
    </row>
    <row r="904" spans="1:28" hidden="1">
      <c r="A904" s="163" t="s">
        <v>1017</v>
      </c>
      <c r="B904" s="164">
        <v>45663</v>
      </c>
      <c r="C904" s="163" t="s">
        <v>1295</v>
      </c>
      <c r="D904" s="163" t="s">
        <v>281</v>
      </c>
      <c r="E904" s="163" t="s">
        <v>199</v>
      </c>
      <c r="F904" s="226">
        <v>-880</v>
      </c>
      <c r="G904" s="165">
        <f t="shared" si="19"/>
        <v>49169.881000000001</v>
      </c>
      <c r="H904" s="163"/>
      <c r="I904" s="163" t="s">
        <v>342</v>
      </c>
      <c r="J904" s="163"/>
      <c r="K904" s="163"/>
      <c r="L904" s="163" t="s">
        <v>485</v>
      </c>
      <c r="M904" s="163"/>
      <c r="N904" s="163" t="s">
        <v>978</v>
      </c>
      <c r="O904" s="163"/>
      <c r="P904" s="163"/>
      <c r="Q904" s="163"/>
      <c r="R904" s="163" t="s">
        <v>1295</v>
      </c>
      <c r="S904" s="163"/>
      <c r="T904" s="43">
        <f t="shared" si="27"/>
        <v>1</v>
      </c>
      <c r="U904" s="167">
        <f t="shared" si="25"/>
        <v>45663</v>
      </c>
      <c r="W904" s="43">
        <f t="shared" si="28"/>
        <v>1</v>
      </c>
      <c r="X904" s="43" t="s">
        <v>1480</v>
      </c>
      <c r="Y904" s="43" t="s">
        <v>86</v>
      </c>
    </row>
    <row r="905" spans="1:28" hidden="1">
      <c r="A905" s="163" t="s">
        <v>1017</v>
      </c>
      <c r="B905" s="164">
        <v>45663</v>
      </c>
      <c r="C905" s="163" t="s">
        <v>1013</v>
      </c>
      <c r="D905" s="163" t="s">
        <v>281</v>
      </c>
      <c r="E905" s="163" t="s">
        <v>199</v>
      </c>
      <c r="F905" s="226">
        <v>-500</v>
      </c>
      <c r="G905" s="165">
        <f t="shared" si="19"/>
        <v>48669.881000000001</v>
      </c>
      <c r="H905" s="163"/>
      <c r="I905" s="163" t="s">
        <v>977</v>
      </c>
      <c r="J905" s="163"/>
      <c r="K905" s="163"/>
      <c r="L905" s="163" t="s">
        <v>1489</v>
      </c>
      <c r="M905" s="163"/>
      <c r="N905" s="163" t="s">
        <v>978</v>
      </c>
      <c r="O905" s="163"/>
      <c r="P905" s="163"/>
      <c r="Q905" s="163"/>
      <c r="R905" s="163" t="s">
        <v>1015</v>
      </c>
      <c r="S905" s="163" t="s">
        <v>1016</v>
      </c>
      <c r="T905" s="43">
        <f t="shared" si="27"/>
        <v>1</v>
      </c>
      <c r="U905" s="167">
        <f t="shared" si="25"/>
        <v>45663</v>
      </c>
      <c r="W905" s="43">
        <f t="shared" si="28"/>
        <v>1</v>
      </c>
      <c r="X905" s="49" t="s">
        <v>1480</v>
      </c>
      <c r="Y905" s="49" t="s">
        <v>26</v>
      </c>
    </row>
    <row r="906" spans="1:28" hidden="1">
      <c r="A906" s="163" t="s">
        <v>1017</v>
      </c>
      <c r="B906" s="164">
        <v>45663</v>
      </c>
      <c r="C906" s="163" t="s">
        <v>1370</v>
      </c>
      <c r="D906" s="163" t="s">
        <v>281</v>
      </c>
      <c r="E906" s="163" t="s">
        <v>199</v>
      </c>
      <c r="F906" s="226">
        <v>-111</v>
      </c>
      <c r="G906" s="165">
        <f t="shared" si="19"/>
        <v>48558.881000000001</v>
      </c>
      <c r="H906" s="163"/>
      <c r="I906" s="163" t="s">
        <v>977</v>
      </c>
      <c r="J906" s="163"/>
      <c r="K906" s="163"/>
      <c r="L906" s="163" t="s">
        <v>1030</v>
      </c>
      <c r="M906" s="163"/>
      <c r="N906" s="163" t="s">
        <v>978</v>
      </c>
      <c r="O906" s="163"/>
      <c r="P906" s="163"/>
      <c r="Q906" s="163"/>
      <c r="R906" s="163" t="s">
        <v>1370</v>
      </c>
      <c r="S906" s="163"/>
      <c r="T906" s="43">
        <f t="shared" si="27"/>
        <v>1</v>
      </c>
      <c r="U906" s="167">
        <f t="shared" si="25"/>
        <v>45663</v>
      </c>
      <c r="W906" s="43">
        <f t="shared" si="28"/>
        <v>1</v>
      </c>
      <c r="X906" s="49" t="s">
        <v>1480</v>
      </c>
      <c r="Y906" s="49" t="s">
        <v>26</v>
      </c>
    </row>
    <row r="907" spans="1:28" hidden="1">
      <c r="A907" s="163" t="s">
        <v>1017</v>
      </c>
      <c r="B907" s="164">
        <v>45663</v>
      </c>
      <c r="C907" s="163" t="s">
        <v>126</v>
      </c>
      <c r="D907" s="163" t="s">
        <v>281</v>
      </c>
      <c r="E907" s="163" t="s">
        <v>199</v>
      </c>
      <c r="F907" s="226">
        <v>-120</v>
      </c>
      <c r="G907" s="165">
        <f t="shared" si="19"/>
        <v>48438.881000000001</v>
      </c>
      <c r="H907" s="163"/>
      <c r="I907" s="163" t="s">
        <v>977</v>
      </c>
      <c r="J907" s="163"/>
      <c r="K907" s="163"/>
      <c r="L907" s="163" t="s">
        <v>1030</v>
      </c>
      <c r="M907" s="163"/>
      <c r="N907" s="163" t="s">
        <v>978</v>
      </c>
      <c r="O907" s="163"/>
      <c r="P907" s="163"/>
      <c r="Q907" s="163"/>
      <c r="R907" s="163" t="s">
        <v>126</v>
      </c>
      <c r="S907" s="163"/>
      <c r="T907" s="43">
        <f t="shared" si="27"/>
        <v>1</v>
      </c>
      <c r="U907" s="167">
        <f t="shared" si="25"/>
        <v>45663</v>
      </c>
      <c r="W907" s="43">
        <f t="shared" si="28"/>
        <v>1</v>
      </c>
      <c r="X907" s="49" t="s">
        <v>1480</v>
      </c>
      <c r="Y907" s="49" t="s">
        <v>25</v>
      </c>
    </row>
    <row r="908" spans="1:28" hidden="1">
      <c r="A908" s="163" t="s">
        <v>1017</v>
      </c>
      <c r="B908" s="164">
        <v>45663</v>
      </c>
      <c r="C908" s="163" t="s">
        <v>476</v>
      </c>
      <c r="D908" s="163" t="s">
        <v>281</v>
      </c>
      <c r="E908" s="163" t="s">
        <v>196</v>
      </c>
      <c r="F908" s="168"/>
      <c r="G908" s="165">
        <f t="shared" si="19"/>
        <v>48438.881000000001</v>
      </c>
      <c r="H908" s="163"/>
      <c r="I908" s="163" t="s">
        <v>283</v>
      </c>
      <c r="J908" s="163"/>
      <c r="K908" s="163"/>
      <c r="L908" s="163" t="s">
        <v>686</v>
      </c>
      <c r="M908" s="163"/>
      <c r="N908" s="163" t="s">
        <v>978</v>
      </c>
      <c r="O908" s="163"/>
      <c r="P908" s="163"/>
      <c r="Q908" s="163"/>
      <c r="R908" s="163" t="s">
        <v>479</v>
      </c>
      <c r="S908" s="163" t="s">
        <v>480</v>
      </c>
      <c r="T908" s="43">
        <f t="shared" si="27"/>
        <v>1</v>
      </c>
      <c r="U908" s="167">
        <f t="shared" si="25"/>
        <v>45663</v>
      </c>
      <c r="W908" s="43">
        <f t="shared" si="28"/>
        <v>1</v>
      </c>
      <c r="X908" s="43" t="s">
        <v>196</v>
      </c>
      <c r="Y908" s="43" t="s">
        <v>1443</v>
      </c>
    </row>
    <row r="909" spans="1:28" hidden="1">
      <c r="A909" s="163" t="s">
        <v>1017</v>
      </c>
      <c r="B909" s="164">
        <v>45663</v>
      </c>
      <c r="C909" s="163" t="s">
        <v>519</v>
      </c>
      <c r="D909" s="163" t="s">
        <v>281</v>
      </c>
      <c r="E909" s="203" t="s">
        <v>1333</v>
      </c>
      <c r="F909" s="168"/>
      <c r="G909" s="165">
        <f t="shared" si="19"/>
        <v>48438.881000000001</v>
      </c>
      <c r="H909" s="163"/>
      <c r="I909" s="163" t="s">
        <v>283</v>
      </c>
      <c r="J909" s="163"/>
      <c r="K909" s="163"/>
      <c r="L909" s="163" t="s">
        <v>477</v>
      </c>
      <c r="M909" s="163"/>
      <c r="N909" s="163" t="s">
        <v>978</v>
      </c>
      <c r="O909" s="163"/>
      <c r="P909" s="163"/>
      <c r="Q909" s="163"/>
      <c r="R909" s="163" t="s">
        <v>519</v>
      </c>
      <c r="S909" s="163" t="s">
        <v>521</v>
      </c>
      <c r="T909" s="43">
        <f t="shared" si="27"/>
        <v>1</v>
      </c>
      <c r="U909" s="167">
        <f t="shared" si="25"/>
        <v>45663</v>
      </c>
      <c r="W909" s="43">
        <f t="shared" si="28"/>
        <v>1</v>
      </c>
      <c r="X909" s="49" t="s">
        <v>1333</v>
      </c>
      <c r="Y909" s="49" t="s">
        <v>86</v>
      </c>
    </row>
    <row r="910" spans="1:28" hidden="1">
      <c r="A910" s="163" t="s">
        <v>1017</v>
      </c>
      <c r="B910" s="164">
        <v>45663</v>
      </c>
      <c r="C910" s="163" t="s">
        <v>989</v>
      </c>
      <c r="D910" s="163" t="s">
        <v>281</v>
      </c>
      <c r="E910" s="163" t="s">
        <v>199</v>
      </c>
      <c r="F910" s="226">
        <v>-1900</v>
      </c>
      <c r="G910" s="165">
        <f t="shared" si="19"/>
        <v>46538.881000000001</v>
      </c>
      <c r="H910" s="163"/>
      <c r="I910" s="163" t="s">
        <v>977</v>
      </c>
      <c r="J910" s="163"/>
      <c r="K910" s="163"/>
      <c r="L910" s="163" t="s">
        <v>485</v>
      </c>
      <c r="M910" s="163"/>
      <c r="N910" s="163" t="s">
        <v>978</v>
      </c>
      <c r="O910" s="163"/>
      <c r="P910" s="163"/>
      <c r="Q910" s="163"/>
      <c r="R910" s="163" t="s">
        <v>990</v>
      </c>
      <c r="S910" s="163" t="s">
        <v>991</v>
      </c>
      <c r="T910" s="43">
        <f t="shared" si="27"/>
        <v>1</v>
      </c>
      <c r="U910" s="167">
        <f t="shared" si="25"/>
        <v>45663</v>
      </c>
      <c r="W910" s="43">
        <f t="shared" si="28"/>
        <v>1</v>
      </c>
      <c r="X910" s="43" t="s">
        <v>1480</v>
      </c>
      <c r="Y910" s="43" t="s">
        <v>86</v>
      </c>
    </row>
    <row r="911" spans="1:28" hidden="1">
      <c r="A911" s="163" t="s">
        <v>1017</v>
      </c>
      <c r="B911" s="164">
        <v>45659</v>
      </c>
      <c r="C911" s="163" t="s">
        <v>1490</v>
      </c>
      <c r="D911" s="163" t="s">
        <v>281</v>
      </c>
      <c r="E911" s="163" t="s">
        <v>199</v>
      </c>
      <c r="F911" s="226">
        <v>-540</v>
      </c>
      <c r="G911" s="165">
        <f t="shared" si="19"/>
        <v>45998.881000000001</v>
      </c>
      <c r="H911" s="163"/>
      <c r="I911" s="163" t="s">
        <v>977</v>
      </c>
      <c r="J911" s="163"/>
      <c r="K911" s="163"/>
      <c r="L911" s="163" t="s">
        <v>485</v>
      </c>
      <c r="M911" s="163"/>
      <c r="N911" s="163" t="s">
        <v>978</v>
      </c>
      <c r="O911" s="163"/>
      <c r="P911" s="163"/>
      <c r="Q911" s="163"/>
      <c r="R911" s="163" t="s">
        <v>1490</v>
      </c>
      <c r="S911" s="163"/>
      <c r="T911" s="43">
        <f t="shared" si="27"/>
        <v>1</v>
      </c>
      <c r="U911" s="167">
        <f t="shared" si="25"/>
        <v>45663</v>
      </c>
      <c r="V911" s="260">
        <v>45663</v>
      </c>
      <c r="W911" s="43">
        <f t="shared" si="28"/>
        <v>1</v>
      </c>
      <c r="X911" s="49" t="s">
        <v>1480</v>
      </c>
      <c r="Y911" s="49" t="s">
        <v>105</v>
      </c>
    </row>
    <row r="912" spans="1:28" ht="14.25" hidden="1" customHeight="1">
      <c r="A912" s="163" t="s">
        <v>1017</v>
      </c>
      <c r="B912" s="164">
        <v>45632</v>
      </c>
      <c r="C912" s="163" t="s">
        <v>1490</v>
      </c>
      <c r="D912" s="163" t="s">
        <v>281</v>
      </c>
      <c r="E912" s="163" t="s">
        <v>199</v>
      </c>
      <c r="F912" s="185"/>
      <c r="G912" s="165">
        <f t="shared" si="19"/>
        <v>45998.881000000001</v>
      </c>
      <c r="H912" s="163"/>
      <c r="I912" s="163" t="s">
        <v>283</v>
      </c>
      <c r="J912" s="163"/>
      <c r="K912" s="163"/>
      <c r="L912" s="163" t="s">
        <v>305</v>
      </c>
      <c r="M912" s="163"/>
      <c r="N912" s="163" t="s">
        <v>978</v>
      </c>
      <c r="O912" s="163"/>
      <c r="P912" s="163"/>
      <c r="Q912" s="163"/>
      <c r="R912" s="163" t="s">
        <v>1490</v>
      </c>
      <c r="S912" s="163"/>
      <c r="T912" s="43">
        <f t="shared" si="27"/>
        <v>12</v>
      </c>
      <c r="U912" s="167">
        <f t="shared" si="25"/>
        <v>45663</v>
      </c>
      <c r="V912" s="167">
        <v>45663</v>
      </c>
      <c r="W912" s="43">
        <f t="shared" si="28"/>
        <v>1</v>
      </c>
      <c r="X912" s="49" t="s">
        <v>1480</v>
      </c>
      <c r="Y912" s="49" t="s">
        <v>105</v>
      </c>
      <c r="Z912" s="43" t="s">
        <v>1113</v>
      </c>
      <c r="AA912" s="43" t="s">
        <v>1113</v>
      </c>
      <c r="AB912" s="43"/>
    </row>
    <row r="913" spans="1:28" ht="14.25" hidden="1" customHeight="1">
      <c r="A913" s="163" t="s">
        <v>1017</v>
      </c>
      <c r="B913" s="164">
        <v>45663</v>
      </c>
      <c r="C913" s="163"/>
      <c r="D913" s="163" t="s">
        <v>281</v>
      </c>
      <c r="E913" s="163" t="s">
        <v>1077</v>
      </c>
      <c r="F913" s="168">
        <v>-1</v>
      </c>
      <c r="G913" s="165">
        <f t="shared" si="19"/>
        <v>45997.881000000001</v>
      </c>
      <c r="H913" s="163"/>
      <c r="I913" s="163" t="s">
        <v>342</v>
      </c>
      <c r="J913" s="163"/>
      <c r="K913" s="163"/>
      <c r="L913" s="163" t="s">
        <v>1030</v>
      </c>
      <c r="M913" s="163"/>
      <c r="N913" s="163" t="s">
        <v>978</v>
      </c>
      <c r="O913" s="163"/>
      <c r="P913" s="163"/>
      <c r="Q913" s="163"/>
      <c r="R913" s="163"/>
      <c r="S913" s="163" t="s">
        <v>1076</v>
      </c>
      <c r="T913" s="94">
        <f t="shared" si="27"/>
        <v>1</v>
      </c>
      <c r="U913" s="212">
        <f t="shared" si="25"/>
        <v>45663</v>
      </c>
      <c r="V913" s="43"/>
      <c r="W913" s="43">
        <f t="shared" si="28"/>
        <v>1</v>
      </c>
      <c r="X913" s="43" t="s">
        <v>1483</v>
      </c>
      <c r="Y913" s="43" t="s">
        <v>1443</v>
      </c>
      <c r="Z913" s="43" t="s">
        <v>1113</v>
      </c>
      <c r="AA913" s="43" t="s">
        <v>1113</v>
      </c>
      <c r="AB913" s="43"/>
    </row>
    <row r="914" spans="1:28" hidden="1">
      <c r="A914" s="180" t="s">
        <v>1017</v>
      </c>
      <c r="B914" s="181">
        <v>45663</v>
      </c>
      <c r="C914" s="180" t="s">
        <v>1491</v>
      </c>
      <c r="D914" s="180" t="s">
        <v>281</v>
      </c>
      <c r="E914" s="180" t="s">
        <v>199</v>
      </c>
      <c r="F914" s="226">
        <v>-320</v>
      </c>
      <c r="G914" s="165">
        <f t="shared" si="19"/>
        <v>45677.881000000001</v>
      </c>
      <c r="H914" s="180"/>
      <c r="I914" s="180" t="s">
        <v>283</v>
      </c>
      <c r="J914" s="180"/>
      <c r="K914" s="180"/>
      <c r="L914" s="180" t="s">
        <v>485</v>
      </c>
      <c r="M914" s="180"/>
      <c r="N914" s="180" t="s">
        <v>978</v>
      </c>
      <c r="O914" s="180"/>
      <c r="P914" s="180"/>
      <c r="Q914" s="180"/>
      <c r="R914" s="180" t="s">
        <v>669</v>
      </c>
      <c r="S914" s="180" t="s">
        <v>1492</v>
      </c>
      <c r="T914" s="183">
        <f t="shared" si="27"/>
        <v>1</v>
      </c>
      <c r="U914" s="184">
        <f t="shared" si="25"/>
        <v>45663</v>
      </c>
      <c r="V914" s="183"/>
      <c r="W914" s="43">
        <f t="shared" si="28"/>
        <v>1</v>
      </c>
      <c r="X914" s="183" t="s">
        <v>1480</v>
      </c>
      <c r="Y914" s="183" t="s">
        <v>1488</v>
      </c>
      <c r="Z914" s="183"/>
      <c r="AA914" s="183"/>
      <c r="AB914" s="183"/>
    </row>
    <row r="915" spans="1:28" hidden="1">
      <c r="A915" s="180" t="s">
        <v>1017</v>
      </c>
      <c r="B915" s="181">
        <v>45663</v>
      </c>
      <c r="C915" s="180" t="s">
        <v>1008</v>
      </c>
      <c r="D915" s="180" t="s">
        <v>281</v>
      </c>
      <c r="E915" s="180" t="s">
        <v>199</v>
      </c>
      <c r="F915" s="182"/>
      <c r="G915" s="165">
        <f t="shared" si="19"/>
        <v>45677.881000000001</v>
      </c>
      <c r="H915" s="180"/>
      <c r="I915" s="180" t="s">
        <v>283</v>
      </c>
      <c r="J915" s="180"/>
      <c r="K915" s="180"/>
      <c r="L915" s="180" t="s">
        <v>485</v>
      </c>
      <c r="M915" s="180"/>
      <c r="N915" s="180" t="s">
        <v>978</v>
      </c>
      <c r="O915" s="180"/>
      <c r="P915" s="180"/>
      <c r="Q915" s="180"/>
      <c r="R915" s="180" t="s">
        <v>669</v>
      </c>
      <c r="S915" s="180" t="s">
        <v>1492</v>
      </c>
      <c r="T915" s="183">
        <f t="shared" si="27"/>
        <v>1</v>
      </c>
      <c r="U915" s="184">
        <f t="shared" si="25"/>
        <v>45663</v>
      </c>
      <c r="V915" s="183"/>
      <c r="W915" s="43">
        <f t="shared" si="28"/>
        <v>1</v>
      </c>
      <c r="X915" s="206" t="s">
        <v>1478</v>
      </c>
      <c r="Y915" s="206" t="s">
        <v>26</v>
      </c>
      <c r="Z915" s="183"/>
      <c r="AA915" s="183"/>
      <c r="AB915" s="183"/>
    </row>
    <row r="916" spans="1:28" hidden="1">
      <c r="A916" s="180" t="s">
        <v>1017</v>
      </c>
      <c r="B916" s="181">
        <v>45663</v>
      </c>
      <c r="C916" s="180" t="s">
        <v>1010</v>
      </c>
      <c r="D916" s="180" t="s">
        <v>281</v>
      </c>
      <c r="E916" s="180" t="s">
        <v>199</v>
      </c>
      <c r="F916" s="182"/>
      <c r="G916" s="165">
        <f t="shared" si="19"/>
        <v>45677.881000000001</v>
      </c>
      <c r="H916" s="180"/>
      <c r="I916" s="180" t="s">
        <v>283</v>
      </c>
      <c r="J916" s="180"/>
      <c r="K916" s="180"/>
      <c r="L916" s="180" t="s">
        <v>485</v>
      </c>
      <c r="M916" s="180"/>
      <c r="N916" s="180" t="s">
        <v>978</v>
      </c>
      <c r="O916" s="180"/>
      <c r="P916" s="180"/>
      <c r="Q916" s="180"/>
      <c r="R916" s="180" t="s">
        <v>669</v>
      </c>
      <c r="S916" s="180" t="s">
        <v>1492</v>
      </c>
      <c r="T916" s="183">
        <f t="shared" si="27"/>
        <v>1</v>
      </c>
      <c r="U916" s="184">
        <f t="shared" si="25"/>
        <v>45663</v>
      </c>
      <c r="V916" s="183"/>
      <c r="W916" s="43">
        <f t="shared" si="28"/>
        <v>1</v>
      </c>
      <c r="X916" s="206" t="s">
        <v>1478</v>
      </c>
      <c r="Y916" s="206" t="s">
        <v>26</v>
      </c>
      <c r="Z916" s="183"/>
      <c r="AA916" s="183"/>
      <c r="AB916" s="183"/>
    </row>
    <row r="917" spans="1:28" hidden="1">
      <c r="A917" s="180" t="s">
        <v>1017</v>
      </c>
      <c r="B917" s="181">
        <v>45663</v>
      </c>
      <c r="C917" s="180" t="s">
        <v>1087</v>
      </c>
      <c r="D917" s="180" t="s">
        <v>281</v>
      </c>
      <c r="E917" s="180" t="s">
        <v>1337</v>
      </c>
      <c r="F917" s="182"/>
      <c r="G917" s="165">
        <f t="shared" si="19"/>
        <v>45677.881000000001</v>
      </c>
      <c r="H917" s="180"/>
      <c r="I917" s="180" t="s">
        <v>283</v>
      </c>
      <c r="J917" s="180"/>
      <c r="K917" s="180"/>
      <c r="L917" s="180" t="s">
        <v>485</v>
      </c>
      <c r="M917" s="180"/>
      <c r="N917" s="180" t="s">
        <v>978</v>
      </c>
      <c r="O917" s="180"/>
      <c r="P917" s="180"/>
      <c r="Q917" s="180"/>
      <c r="R917" s="180" t="s">
        <v>669</v>
      </c>
      <c r="S917" s="180" t="s">
        <v>1492</v>
      </c>
      <c r="T917" s="183">
        <f t="shared" si="27"/>
        <v>1</v>
      </c>
      <c r="U917" s="184">
        <f t="shared" si="25"/>
        <v>45663</v>
      </c>
      <c r="V917" s="183"/>
      <c r="W917" s="43">
        <f t="shared" si="28"/>
        <v>1</v>
      </c>
      <c r="X917" s="183" t="s">
        <v>1381</v>
      </c>
      <c r="Y917" s="183" t="s">
        <v>1479</v>
      </c>
      <c r="Z917" s="183"/>
      <c r="AA917" s="183"/>
      <c r="AB917" s="183"/>
    </row>
    <row r="918" spans="1:28" hidden="1">
      <c r="A918" s="248" t="s">
        <v>1017</v>
      </c>
      <c r="B918" s="249">
        <v>45663</v>
      </c>
      <c r="C918" s="248" t="s">
        <v>1087</v>
      </c>
      <c r="D918" s="248" t="s">
        <v>281</v>
      </c>
      <c r="E918" s="248" t="s">
        <v>925</v>
      </c>
      <c r="F918" s="253"/>
      <c r="G918" s="165">
        <f t="shared" si="19"/>
        <v>45677.881000000001</v>
      </c>
      <c r="H918" s="248"/>
      <c r="I918" s="248" t="s">
        <v>283</v>
      </c>
      <c r="J918" s="248"/>
      <c r="K918" s="248"/>
      <c r="L918" s="248" t="s">
        <v>485</v>
      </c>
      <c r="M918" s="248"/>
      <c r="N918" s="248" t="s">
        <v>978</v>
      </c>
      <c r="O918" s="248"/>
      <c r="P918" s="248"/>
      <c r="Q918" s="248"/>
      <c r="R918" s="248" t="s">
        <v>669</v>
      </c>
      <c r="S918" s="248" t="s">
        <v>1492</v>
      </c>
      <c r="T918" s="251">
        <f t="shared" si="27"/>
        <v>1</v>
      </c>
      <c r="U918" s="252">
        <f t="shared" si="25"/>
        <v>45663</v>
      </c>
      <c r="V918" s="251"/>
      <c r="W918" s="43">
        <f t="shared" si="28"/>
        <v>1</v>
      </c>
      <c r="X918" s="43" t="s">
        <v>90</v>
      </c>
      <c r="Y918" s="43" t="s">
        <v>1479</v>
      </c>
      <c r="Z918" s="251"/>
      <c r="AA918" s="251"/>
      <c r="AB918" s="251"/>
    </row>
    <row r="919" spans="1:28" hidden="1">
      <c r="A919" s="163"/>
      <c r="B919" s="164">
        <v>45663</v>
      </c>
      <c r="C919" s="163" t="s">
        <v>346</v>
      </c>
      <c r="D919" s="163"/>
      <c r="E919" s="163"/>
      <c r="F919" s="165">
        <v>0</v>
      </c>
      <c r="G919" s="165">
        <f t="shared" si="19"/>
        <v>45677.881000000001</v>
      </c>
      <c r="H919" s="163"/>
      <c r="I919" s="163"/>
      <c r="J919" s="163"/>
      <c r="K919" s="163"/>
      <c r="L919" s="163"/>
      <c r="M919" s="163"/>
      <c r="N919" s="163"/>
      <c r="O919" s="163"/>
      <c r="P919" s="163"/>
      <c r="Q919" s="163"/>
      <c r="R919" s="163"/>
      <c r="S919" s="163"/>
      <c r="T919" s="43">
        <f t="shared" si="27"/>
        <v>1</v>
      </c>
      <c r="U919" s="167">
        <f t="shared" si="25"/>
        <v>45663</v>
      </c>
      <c r="W919" s="43">
        <f t="shared" si="28"/>
        <v>1</v>
      </c>
    </row>
    <row r="920" spans="1:28" ht="14.25" hidden="1" customHeight="1">
      <c r="A920" s="163" t="s">
        <v>1174</v>
      </c>
      <c r="B920" s="164">
        <v>45652</v>
      </c>
      <c r="C920" s="163" t="s">
        <v>1158</v>
      </c>
      <c r="D920" s="163" t="s">
        <v>281</v>
      </c>
      <c r="E920" s="163" t="s">
        <v>407</v>
      </c>
      <c r="F920" s="165">
        <v>3200</v>
      </c>
      <c r="G920" s="165">
        <f t="shared" si="19"/>
        <v>48877.881000000001</v>
      </c>
      <c r="H920" s="163"/>
      <c r="I920" s="163" t="s">
        <v>1176</v>
      </c>
      <c r="J920" s="163" t="s">
        <v>1493</v>
      </c>
      <c r="K920" s="163"/>
      <c r="L920" s="163" t="s">
        <v>305</v>
      </c>
      <c r="M920" s="163"/>
      <c r="N920" s="163" t="s">
        <v>1178</v>
      </c>
      <c r="O920" s="163" t="s">
        <v>1493</v>
      </c>
      <c r="P920" s="163" t="s">
        <v>57</v>
      </c>
      <c r="Q920" s="163"/>
      <c r="R920" s="163" t="s">
        <v>1163</v>
      </c>
      <c r="S920" s="163" t="s">
        <v>1164</v>
      </c>
      <c r="T920" s="43">
        <f t="shared" si="27"/>
        <v>12</v>
      </c>
      <c r="U920" s="167">
        <f t="shared" si="25"/>
        <v>45664</v>
      </c>
      <c r="V920" s="167">
        <v>45664</v>
      </c>
      <c r="W920" s="43">
        <f t="shared" si="28"/>
        <v>1</v>
      </c>
      <c r="X920" s="43" t="s">
        <v>1484</v>
      </c>
      <c r="Y920" s="43" t="s">
        <v>1485</v>
      </c>
      <c r="Z920" s="43" t="s">
        <v>1113</v>
      </c>
      <c r="AA920" s="43" t="s">
        <v>1113</v>
      </c>
      <c r="AB920" s="43" t="s">
        <v>1494</v>
      </c>
    </row>
    <row r="921" spans="1:28" ht="14.25" hidden="1" customHeight="1">
      <c r="A921" s="180" t="s">
        <v>1017</v>
      </c>
      <c r="B921" s="181">
        <v>45664</v>
      </c>
      <c r="C921" s="180" t="s">
        <v>1487</v>
      </c>
      <c r="D921" s="180" t="s">
        <v>281</v>
      </c>
      <c r="E921" s="180" t="s">
        <v>282</v>
      </c>
      <c r="F921" s="188">
        <f>35000+10000</f>
        <v>45000</v>
      </c>
      <c r="G921" s="165">
        <f t="shared" si="19"/>
        <v>93877.880999999994</v>
      </c>
      <c r="H921" s="180"/>
      <c r="I921" s="180" t="s">
        <v>977</v>
      </c>
      <c r="J921" s="180"/>
      <c r="K921" s="180"/>
      <c r="L921" s="180" t="s">
        <v>366</v>
      </c>
      <c r="M921" s="180"/>
      <c r="N921" s="180" t="s">
        <v>978</v>
      </c>
      <c r="O921" s="180"/>
      <c r="P921" s="180"/>
      <c r="Q921" s="180"/>
      <c r="R921" s="180" t="s">
        <v>990</v>
      </c>
      <c r="S921" s="180" t="s">
        <v>991</v>
      </c>
      <c r="T921" s="183">
        <f t="shared" si="27"/>
        <v>1</v>
      </c>
      <c r="U921" s="184">
        <f t="shared" si="25"/>
        <v>45664</v>
      </c>
      <c r="V921" s="256"/>
      <c r="W921" s="43">
        <f t="shared" si="28"/>
        <v>1</v>
      </c>
      <c r="X921" s="183" t="s">
        <v>282</v>
      </c>
      <c r="Y921" s="183" t="s">
        <v>1443</v>
      </c>
      <c r="Z921" s="183" t="s">
        <v>1113</v>
      </c>
      <c r="AA921" s="183" t="s">
        <v>1113</v>
      </c>
      <c r="AB921" s="183"/>
    </row>
    <row r="922" spans="1:28" ht="14.25" hidden="1" customHeight="1">
      <c r="A922" s="180" t="s">
        <v>1017</v>
      </c>
      <c r="B922" s="181">
        <v>45664</v>
      </c>
      <c r="C922" s="180" t="s">
        <v>987</v>
      </c>
      <c r="D922" s="180" t="s">
        <v>281</v>
      </c>
      <c r="E922" s="180" t="s">
        <v>1495</v>
      </c>
      <c r="F922" s="188">
        <v>2000</v>
      </c>
      <c r="G922" s="165">
        <f t="shared" si="19"/>
        <v>95877.880999999994</v>
      </c>
      <c r="H922" s="180"/>
      <c r="I922" s="180" t="s">
        <v>977</v>
      </c>
      <c r="J922" s="180"/>
      <c r="K922" s="180"/>
      <c r="L922" s="180" t="s">
        <v>366</v>
      </c>
      <c r="M922" s="180"/>
      <c r="N922" s="180" t="s">
        <v>978</v>
      </c>
      <c r="O922" s="180"/>
      <c r="P922" s="180"/>
      <c r="Q922" s="180"/>
      <c r="R922" s="180" t="s">
        <v>990</v>
      </c>
      <c r="S922" s="180" t="s">
        <v>991</v>
      </c>
      <c r="T922" s="183">
        <f t="shared" si="27"/>
        <v>1</v>
      </c>
      <c r="U922" s="184">
        <f t="shared" si="25"/>
        <v>45664</v>
      </c>
      <c r="V922" s="256"/>
      <c r="W922" s="43">
        <f t="shared" si="28"/>
        <v>1</v>
      </c>
      <c r="X922" s="183" t="s">
        <v>196</v>
      </c>
      <c r="Y922" s="183" t="s">
        <v>1443</v>
      </c>
      <c r="Z922" s="183" t="s">
        <v>1113</v>
      </c>
      <c r="AA922" s="183" t="s">
        <v>1113</v>
      </c>
      <c r="AB922" s="183"/>
    </row>
    <row r="923" spans="1:28" ht="14.25" hidden="1" customHeight="1">
      <c r="A923" s="180" t="s">
        <v>1017</v>
      </c>
      <c r="B923" s="181">
        <v>45664</v>
      </c>
      <c r="C923" s="180" t="s">
        <v>1496</v>
      </c>
      <c r="D923" s="180" t="s">
        <v>281</v>
      </c>
      <c r="E923" s="180" t="s">
        <v>1497</v>
      </c>
      <c r="F923" s="188">
        <v>5000</v>
      </c>
      <c r="G923" s="165">
        <f t="shared" si="19"/>
        <v>100877.88099999999</v>
      </c>
      <c r="H923" s="180"/>
      <c r="I923" s="180" t="s">
        <v>977</v>
      </c>
      <c r="J923" s="180"/>
      <c r="K923" s="180"/>
      <c r="L923" s="180" t="s">
        <v>366</v>
      </c>
      <c r="M923" s="180"/>
      <c r="N923" s="180" t="s">
        <v>978</v>
      </c>
      <c r="O923" s="180"/>
      <c r="P923" s="180"/>
      <c r="Q923" s="180"/>
      <c r="R923" s="180" t="s">
        <v>990</v>
      </c>
      <c r="S923" s="180" t="s">
        <v>991</v>
      </c>
      <c r="T923" s="183">
        <f t="shared" si="27"/>
        <v>1</v>
      </c>
      <c r="U923" s="184">
        <f t="shared" si="25"/>
        <v>45664</v>
      </c>
      <c r="V923" s="256"/>
      <c r="W923" s="43">
        <f t="shared" si="28"/>
        <v>1</v>
      </c>
      <c r="X923" s="183"/>
      <c r="Y923" s="183"/>
      <c r="Z923" s="183" t="s">
        <v>1113</v>
      </c>
      <c r="AA923" s="183" t="s">
        <v>1113</v>
      </c>
      <c r="AB923" s="183"/>
    </row>
    <row r="924" spans="1:28" ht="14.25" hidden="1" customHeight="1">
      <c r="A924" s="180" t="s">
        <v>1017</v>
      </c>
      <c r="B924" s="181">
        <v>45664</v>
      </c>
      <c r="C924" s="180" t="s">
        <v>987</v>
      </c>
      <c r="D924" s="180" t="s">
        <v>281</v>
      </c>
      <c r="E924" s="180" t="s">
        <v>986</v>
      </c>
      <c r="F924" s="188">
        <v>-183.87</v>
      </c>
      <c r="G924" s="165">
        <f t="shared" si="19"/>
        <v>100694.011</v>
      </c>
      <c r="H924" s="180"/>
      <c r="I924" s="180" t="s">
        <v>977</v>
      </c>
      <c r="J924" s="180"/>
      <c r="K924" s="180"/>
      <c r="L924" s="180" t="s">
        <v>366</v>
      </c>
      <c r="M924" s="180"/>
      <c r="N924" s="180" t="s">
        <v>978</v>
      </c>
      <c r="O924" s="180"/>
      <c r="P924" s="180"/>
      <c r="Q924" s="180"/>
      <c r="R924" s="180" t="s">
        <v>990</v>
      </c>
      <c r="S924" s="180" t="s">
        <v>991</v>
      </c>
      <c r="T924" s="183">
        <f t="shared" si="27"/>
        <v>1</v>
      </c>
      <c r="U924" s="184">
        <f t="shared" si="25"/>
        <v>45664</v>
      </c>
      <c r="V924" s="256"/>
      <c r="W924" s="43">
        <f t="shared" si="28"/>
        <v>1</v>
      </c>
      <c r="X924" s="43" t="s">
        <v>196</v>
      </c>
      <c r="Y924" s="43" t="s">
        <v>1443</v>
      </c>
      <c r="Z924" s="183" t="s">
        <v>1113</v>
      </c>
      <c r="AA924" s="183" t="s">
        <v>1113</v>
      </c>
      <c r="AB924" s="183"/>
    </row>
    <row r="925" spans="1:28" hidden="1">
      <c r="A925" s="163" t="s">
        <v>1017</v>
      </c>
      <c r="B925" s="164">
        <v>45664</v>
      </c>
      <c r="C925" s="163" t="s">
        <v>385</v>
      </c>
      <c r="D925" s="163" t="s">
        <v>281</v>
      </c>
      <c r="E925" s="163" t="s">
        <v>622</v>
      </c>
      <c r="F925" s="168">
        <v>-478.89</v>
      </c>
      <c r="G925" s="165">
        <f t="shared" si="19"/>
        <v>100215.121</v>
      </c>
      <c r="H925" s="163"/>
      <c r="I925" s="163" t="s">
        <v>342</v>
      </c>
      <c r="J925" s="163"/>
      <c r="K925" s="163"/>
      <c r="L925" s="163" t="s">
        <v>1062</v>
      </c>
      <c r="M925" s="163"/>
      <c r="N925" s="163" t="s">
        <v>978</v>
      </c>
      <c r="O925" s="163"/>
      <c r="P925" s="163"/>
      <c r="Q925" s="163"/>
      <c r="R925" s="163" t="s">
        <v>389</v>
      </c>
      <c r="S925" s="163" t="s">
        <v>390</v>
      </c>
      <c r="T925" s="43">
        <f t="shared" si="27"/>
        <v>1</v>
      </c>
      <c r="U925" s="167">
        <f t="shared" si="25"/>
        <v>45664</v>
      </c>
      <c r="W925" s="43">
        <f t="shared" si="28"/>
        <v>1</v>
      </c>
      <c r="X925" s="49" t="s">
        <v>1498</v>
      </c>
      <c r="Y925" s="49" t="s">
        <v>1336</v>
      </c>
    </row>
    <row r="926" spans="1:28" hidden="1">
      <c r="A926" s="163" t="s">
        <v>1017</v>
      </c>
      <c r="B926" s="164">
        <v>45664</v>
      </c>
      <c r="C926" s="163" t="s">
        <v>385</v>
      </c>
      <c r="D926" s="163" t="s">
        <v>281</v>
      </c>
      <c r="E926" s="163" t="s">
        <v>622</v>
      </c>
      <c r="F926" s="168">
        <v>-158.24</v>
      </c>
      <c r="G926" s="165">
        <f t="shared" si="19"/>
        <v>100056.88099999999</v>
      </c>
      <c r="H926" s="163"/>
      <c r="I926" s="163" t="s">
        <v>342</v>
      </c>
      <c r="J926" s="163"/>
      <c r="K926" s="163"/>
      <c r="L926" s="163" t="s">
        <v>477</v>
      </c>
      <c r="M926" s="163"/>
      <c r="N926" s="163" t="s">
        <v>978</v>
      </c>
      <c r="O926" s="163"/>
      <c r="P926" s="163"/>
      <c r="Q926" s="163"/>
      <c r="R926" s="163" t="s">
        <v>389</v>
      </c>
      <c r="S926" s="163" t="s">
        <v>390</v>
      </c>
      <c r="T926" s="43">
        <f t="shared" si="27"/>
        <v>1</v>
      </c>
      <c r="U926" s="167">
        <f t="shared" si="25"/>
        <v>45664</v>
      </c>
      <c r="W926" s="43">
        <f t="shared" si="28"/>
        <v>1</v>
      </c>
      <c r="X926" s="49" t="s">
        <v>1498</v>
      </c>
      <c r="Y926" s="49" t="s">
        <v>1336</v>
      </c>
    </row>
    <row r="927" spans="1:28" hidden="1">
      <c r="A927" s="163" t="s">
        <v>1017</v>
      </c>
      <c r="B927" s="164">
        <v>45663</v>
      </c>
      <c r="C927" s="163" t="s">
        <v>87</v>
      </c>
      <c r="D927" s="163" t="s">
        <v>281</v>
      </c>
      <c r="E927" s="163" t="s">
        <v>18</v>
      </c>
      <c r="F927" s="185">
        <v>-5705.14</v>
      </c>
      <c r="G927" s="165">
        <f t="shared" si="19"/>
        <v>94351.740999999995</v>
      </c>
      <c r="H927" s="163"/>
      <c r="I927" s="163" t="s">
        <v>283</v>
      </c>
      <c r="J927" s="163"/>
      <c r="K927" s="163"/>
      <c r="L927" s="163" t="s">
        <v>1062</v>
      </c>
      <c r="M927" s="163"/>
      <c r="N927" s="163" t="s">
        <v>978</v>
      </c>
      <c r="O927" s="163"/>
      <c r="P927" s="163"/>
      <c r="Q927" s="163"/>
      <c r="R927" s="163" t="s">
        <v>87</v>
      </c>
      <c r="S927" s="163" t="s">
        <v>325</v>
      </c>
      <c r="T927" s="43">
        <f t="shared" si="27"/>
        <v>1</v>
      </c>
      <c r="U927" s="167">
        <f t="shared" si="25"/>
        <v>45664</v>
      </c>
      <c r="V927" s="261">
        <v>45664</v>
      </c>
      <c r="W927" s="43">
        <f t="shared" si="28"/>
        <v>1</v>
      </c>
      <c r="X927" s="49" t="s">
        <v>1499</v>
      </c>
      <c r="Y927" s="49" t="s">
        <v>25</v>
      </c>
    </row>
    <row r="928" spans="1:28" hidden="1">
      <c r="A928" s="163" t="s">
        <v>1017</v>
      </c>
      <c r="B928" s="164">
        <v>45663</v>
      </c>
      <c r="C928" s="163" t="s">
        <v>433</v>
      </c>
      <c r="D928" s="163" t="s">
        <v>281</v>
      </c>
      <c r="E928" s="163" t="s">
        <v>18</v>
      </c>
      <c r="F928" s="185">
        <v>-3950.43</v>
      </c>
      <c r="G928" s="165">
        <f t="shared" si="19"/>
        <v>90401.311000000002</v>
      </c>
      <c r="H928" s="163"/>
      <c r="I928" s="163" t="s">
        <v>283</v>
      </c>
      <c r="J928" s="163"/>
      <c r="K928" s="163"/>
      <c r="L928" s="163" t="s">
        <v>1062</v>
      </c>
      <c r="M928" s="163"/>
      <c r="N928" s="163" t="s">
        <v>978</v>
      </c>
      <c r="O928" s="163"/>
      <c r="P928" s="163"/>
      <c r="Q928" s="163"/>
      <c r="R928" s="163" t="s">
        <v>433</v>
      </c>
      <c r="S928" s="163" t="s">
        <v>435</v>
      </c>
      <c r="T928" s="43">
        <f t="shared" si="27"/>
        <v>1</v>
      </c>
      <c r="U928" s="167">
        <f t="shared" si="25"/>
        <v>45664</v>
      </c>
      <c r="V928" s="261">
        <v>45664</v>
      </c>
      <c r="W928" s="43">
        <f t="shared" si="28"/>
        <v>1</v>
      </c>
      <c r="X928" s="49" t="s">
        <v>1499</v>
      </c>
      <c r="Y928" s="49" t="s">
        <v>94</v>
      </c>
    </row>
    <row r="929" spans="1:25" hidden="1">
      <c r="A929" s="163" t="s">
        <v>1017</v>
      </c>
      <c r="B929" s="164">
        <v>45663</v>
      </c>
      <c r="C929" s="163" t="s">
        <v>436</v>
      </c>
      <c r="D929" s="163" t="s">
        <v>281</v>
      </c>
      <c r="E929" s="163" t="s">
        <v>18</v>
      </c>
      <c r="F929" s="185">
        <v>-4272.72</v>
      </c>
      <c r="G929" s="165">
        <f t="shared" si="19"/>
        <v>86128.591</v>
      </c>
      <c r="H929" s="163"/>
      <c r="I929" s="163" t="s">
        <v>283</v>
      </c>
      <c r="J929" s="163"/>
      <c r="K929" s="163"/>
      <c r="L929" s="163" t="s">
        <v>1062</v>
      </c>
      <c r="M929" s="163"/>
      <c r="N929" s="163" t="s">
        <v>978</v>
      </c>
      <c r="O929" s="163"/>
      <c r="P929" s="163"/>
      <c r="Q929" s="163"/>
      <c r="R929" s="163" t="s">
        <v>436</v>
      </c>
      <c r="S929" s="163" t="s">
        <v>438</v>
      </c>
      <c r="T929" s="43">
        <f t="shared" si="27"/>
        <v>1</v>
      </c>
      <c r="U929" s="167">
        <f t="shared" si="25"/>
        <v>45664</v>
      </c>
      <c r="V929" s="261">
        <v>45664</v>
      </c>
      <c r="W929" s="43">
        <f t="shared" si="28"/>
        <v>1</v>
      </c>
      <c r="X929" s="49" t="s">
        <v>1499</v>
      </c>
      <c r="Y929" s="49" t="s">
        <v>1488</v>
      </c>
    </row>
    <row r="930" spans="1:25" hidden="1">
      <c r="A930" s="163" t="s">
        <v>1017</v>
      </c>
      <c r="B930" s="164">
        <v>45663</v>
      </c>
      <c r="C930" s="163" t="s">
        <v>95</v>
      </c>
      <c r="D930" s="163" t="s">
        <v>281</v>
      </c>
      <c r="E930" s="163" t="s">
        <v>18</v>
      </c>
      <c r="F930" s="185">
        <v>-898.34</v>
      </c>
      <c r="G930" s="165">
        <f t="shared" si="19"/>
        <v>85230.251000000004</v>
      </c>
      <c r="H930" s="163"/>
      <c r="I930" s="163" t="s">
        <v>283</v>
      </c>
      <c r="J930" s="163"/>
      <c r="K930" s="163"/>
      <c r="L930" s="163" t="s">
        <v>1062</v>
      </c>
      <c r="M930" s="163"/>
      <c r="N930" s="163" t="s">
        <v>978</v>
      </c>
      <c r="O930" s="163"/>
      <c r="P930" s="163"/>
      <c r="Q930" s="163"/>
      <c r="R930" s="163" t="s">
        <v>95</v>
      </c>
      <c r="S930" s="163" t="s">
        <v>440</v>
      </c>
      <c r="T930" s="43">
        <f t="shared" si="27"/>
        <v>1</v>
      </c>
      <c r="U930" s="167">
        <f t="shared" si="25"/>
        <v>45664</v>
      </c>
      <c r="V930" s="261">
        <v>45664</v>
      </c>
      <c r="W930" s="43">
        <f t="shared" si="28"/>
        <v>1</v>
      </c>
      <c r="X930" s="49" t="s">
        <v>1499</v>
      </c>
      <c r="Y930" s="49" t="s">
        <v>26</v>
      </c>
    </row>
    <row r="931" spans="1:25" hidden="1">
      <c r="A931" s="163" t="s">
        <v>1017</v>
      </c>
      <c r="B931" s="164">
        <v>45663</v>
      </c>
      <c r="C931" s="163" t="s">
        <v>472</v>
      </c>
      <c r="D931" s="163" t="s">
        <v>281</v>
      </c>
      <c r="E931" s="163" t="s">
        <v>18</v>
      </c>
      <c r="F931" s="185">
        <v>-90.26</v>
      </c>
      <c r="G931" s="165">
        <f t="shared" si="19"/>
        <v>85139.991000000009</v>
      </c>
      <c r="H931" s="163"/>
      <c r="I931" s="163" t="s">
        <v>283</v>
      </c>
      <c r="J931" s="163"/>
      <c r="K931" s="163"/>
      <c r="L931" s="163" t="s">
        <v>1500</v>
      </c>
      <c r="M931" s="163"/>
      <c r="N931" s="163" t="s">
        <v>978</v>
      </c>
      <c r="O931" s="163"/>
      <c r="P931" s="163"/>
      <c r="Q931" s="163"/>
      <c r="R931" s="163" t="s">
        <v>472</v>
      </c>
      <c r="S931" s="163" t="s">
        <v>475</v>
      </c>
      <c r="T931" s="43">
        <f t="shared" si="27"/>
        <v>1</v>
      </c>
      <c r="U931" s="167">
        <f t="shared" si="25"/>
        <v>45664</v>
      </c>
      <c r="V931" s="261">
        <v>45664</v>
      </c>
      <c r="W931" s="43">
        <f t="shared" si="28"/>
        <v>1</v>
      </c>
      <c r="X931" s="49" t="s">
        <v>1499</v>
      </c>
      <c r="Y931" s="49" t="s">
        <v>26</v>
      </c>
    </row>
    <row r="932" spans="1:25" hidden="1">
      <c r="A932" s="163" t="s">
        <v>1017</v>
      </c>
      <c r="B932" s="164">
        <v>45663</v>
      </c>
      <c r="C932" s="163" t="s">
        <v>447</v>
      </c>
      <c r="D932" s="163" t="s">
        <v>281</v>
      </c>
      <c r="E932" s="163" t="s">
        <v>18</v>
      </c>
      <c r="F932" s="185">
        <v>-1640.73</v>
      </c>
      <c r="G932" s="165">
        <f t="shared" si="19"/>
        <v>83499.261000000013</v>
      </c>
      <c r="H932" s="163"/>
      <c r="I932" s="163" t="s">
        <v>283</v>
      </c>
      <c r="J932" s="163"/>
      <c r="K932" s="163"/>
      <c r="L932" s="163" t="s">
        <v>1062</v>
      </c>
      <c r="M932" s="163"/>
      <c r="N932" s="163" t="s">
        <v>978</v>
      </c>
      <c r="O932" s="163"/>
      <c r="P932" s="163"/>
      <c r="Q932" s="163"/>
      <c r="R932" s="163" t="s">
        <v>447</v>
      </c>
      <c r="S932" s="163" t="s">
        <v>449</v>
      </c>
      <c r="T932" s="43">
        <f t="shared" si="27"/>
        <v>1</v>
      </c>
      <c r="U932" s="167">
        <f t="shared" si="25"/>
        <v>45664</v>
      </c>
      <c r="V932" s="261">
        <v>45664</v>
      </c>
      <c r="W932" s="43">
        <f t="shared" si="28"/>
        <v>1</v>
      </c>
      <c r="X932" s="49" t="s">
        <v>1499</v>
      </c>
      <c r="Y932" s="49" t="s">
        <v>1488</v>
      </c>
    </row>
    <row r="933" spans="1:25" hidden="1">
      <c r="A933" s="163" t="s">
        <v>1017</v>
      </c>
      <c r="B933" s="164">
        <v>45663</v>
      </c>
      <c r="C933" s="163" t="s">
        <v>321</v>
      </c>
      <c r="D933" s="163" t="s">
        <v>281</v>
      </c>
      <c r="E933" s="163" t="s">
        <v>18</v>
      </c>
      <c r="F933" s="185">
        <v>-2329</v>
      </c>
      <c r="G933" s="165">
        <f t="shared" si="19"/>
        <v>81170.261000000013</v>
      </c>
      <c r="H933" s="163"/>
      <c r="I933" s="163" t="s">
        <v>283</v>
      </c>
      <c r="J933" s="163"/>
      <c r="K933" s="163"/>
      <c r="L933" s="163" t="s">
        <v>1062</v>
      </c>
      <c r="M933" s="163"/>
      <c r="N933" s="163" t="s">
        <v>978</v>
      </c>
      <c r="O933" s="163"/>
      <c r="P933" s="163"/>
      <c r="Q933" s="163"/>
      <c r="R933" s="163" t="s">
        <v>321</v>
      </c>
      <c r="S933" s="163" t="s">
        <v>323</v>
      </c>
      <c r="T933" s="43">
        <f t="shared" si="27"/>
        <v>1</v>
      </c>
      <c r="U933" s="167">
        <f t="shared" si="25"/>
        <v>45664</v>
      </c>
      <c r="V933" s="261">
        <v>45664</v>
      </c>
      <c r="W933" s="43">
        <f t="shared" si="28"/>
        <v>1</v>
      </c>
      <c r="X933" s="49" t="s">
        <v>1499</v>
      </c>
      <c r="Y933" s="49" t="s">
        <v>26</v>
      </c>
    </row>
    <row r="934" spans="1:25" hidden="1">
      <c r="A934" s="163" t="s">
        <v>1017</v>
      </c>
      <c r="B934" s="164">
        <v>45663</v>
      </c>
      <c r="C934" s="163" t="s">
        <v>451</v>
      </c>
      <c r="D934" s="163" t="s">
        <v>281</v>
      </c>
      <c r="E934" s="163" t="s">
        <v>18</v>
      </c>
      <c r="F934" s="185">
        <v>-1237.5899999999999</v>
      </c>
      <c r="G934" s="165">
        <f t="shared" si="19"/>
        <v>79932.671000000017</v>
      </c>
      <c r="H934" s="163"/>
      <c r="I934" s="163" t="s">
        <v>283</v>
      </c>
      <c r="J934" s="163"/>
      <c r="K934" s="163"/>
      <c r="L934" s="163" t="s">
        <v>1062</v>
      </c>
      <c r="M934" s="163"/>
      <c r="N934" s="163" t="s">
        <v>978</v>
      </c>
      <c r="O934" s="163"/>
      <c r="P934" s="163"/>
      <c r="Q934" s="163"/>
      <c r="R934" s="163" t="s">
        <v>451</v>
      </c>
      <c r="S934" s="163" t="s">
        <v>453</v>
      </c>
      <c r="T934" s="43">
        <f t="shared" si="27"/>
        <v>1</v>
      </c>
      <c r="U934" s="167">
        <f t="shared" si="25"/>
        <v>45664</v>
      </c>
      <c r="V934" s="261">
        <v>45664</v>
      </c>
      <c r="W934" s="43">
        <f t="shared" si="28"/>
        <v>1</v>
      </c>
      <c r="X934" s="49" t="s">
        <v>1499</v>
      </c>
      <c r="Y934" s="49" t="s">
        <v>26</v>
      </c>
    </row>
    <row r="935" spans="1:25" hidden="1">
      <c r="A935" s="163" t="s">
        <v>1017</v>
      </c>
      <c r="B935" s="164">
        <v>45663</v>
      </c>
      <c r="C935" s="163" t="s">
        <v>358</v>
      </c>
      <c r="D935" s="163" t="s">
        <v>281</v>
      </c>
      <c r="E935" s="163" t="s">
        <v>18</v>
      </c>
      <c r="F935" s="262">
        <v>-1471.69</v>
      </c>
      <c r="G935" s="165">
        <f t="shared" si="19"/>
        <v>78460.981000000014</v>
      </c>
      <c r="H935" s="163"/>
      <c r="I935" s="163" t="s">
        <v>283</v>
      </c>
      <c r="J935" s="163"/>
      <c r="K935" s="163"/>
      <c r="L935" s="163" t="s">
        <v>1062</v>
      </c>
      <c r="M935" s="163"/>
      <c r="N935" s="163" t="s">
        <v>978</v>
      </c>
      <c r="O935" s="163"/>
      <c r="P935" s="163"/>
      <c r="Q935" s="163"/>
      <c r="R935" s="163" t="s">
        <v>358</v>
      </c>
      <c r="S935" s="163" t="s">
        <v>361</v>
      </c>
      <c r="T935" s="43">
        <f t="shared" si="27"/>
        <v>1</v>
      </c>
      <c r="U935" s="167">
        <f t="shared" si="25"/>
        <v>45664</v>
      </c>
      <c r="V935" s="261">
        <v>45664</v>
      </c>
      <c r="W935" s="43">
        <f t="shared" si="28"/>
        <v>1</v>
      </c>
      <c r="X935" s="49" t="s">
        <v>1499</v>
      </c>
      <c r="Y935" s="49" t="s">
        <v>26</v>
      </c>
    </row>
    <row r="936" spans="1:25" hidden="1">
      <c r="A936" s="163" t="s">
        <v>1017</v>
      </c>
      <c r="B936" s="164">
        <v>45663</v>
      </c>
      <c r="C936" s="163" t="s">
        <v>99</v>
      </c>
      <c r="D936" s="163" t="s">
        <v>281</v>
      </c>
      <c r="E936" s="163" t="s">
        <v>18</v>
      </c>
      <c r="F936" s="185">
        <v>-4273.04</v>
      </c>
      <c r="G936" s="165">
        <f t="shared" si="19"/>
        <v>74187.941000000021</v>
      </c>
      <c r="H936" s="163"/>
      <c r="I936" s="163" t="s">
        <v>283</v>
      </c>
      <c r="J936" s="163"/>
      <c r="K936" s="163"/>
      <c r="L936" s="163" t="s">
        <v>1062</v>
      </c>
      <c r="M936" s="163"/>
      <c r="N936" s="163" t="s">
        <v>978</v>
      </c>
      <c r="O936" s="163"/>
      <c r="P936" s="163"/>
      <c r="Q936" s="163"/>
      <c r="R936" s="163" t="s">
        <v>99</v>
      </c>
      <c r="S936" s="163" t="s">
        <v>456</v>
      </c>
      <c r="T936" s="43">
        <f t="shared" si="27"/>
        <v>1</v>
      </c>
      <c r="U936" s="167">
        <f t="shared" si="25"/>
        <v>45664</v>
      </c>
      <c r="V936" s="261">
        <v>45664</v>
      </c>
      <c r="W936" s="43">
        <f t="shared" si="28"/>
        <v>1</v>
      </c>
      <c r="X936" s="49" t="s">
        <v>1499</v>
      </c>
      <c r="Y936" s="49" t="s">
        <v>26</v>
      </c>
    </row>
    <row r="937" spans="1:25" hidden="1">
      <c r="A937" s="163" t="s">
        <v>1017</v>
      </c>
      <c r="B937" s="164">
        <v>45663</v>
      </c>
      <c r="C937" s="163" t="s">
        <v>457</v>
      </c>
      <c r="D937" s="163" t="s">
        <v>281</v>
      </c>
      <c r="E937" s="163" t="s">
        <v>18</v>
      </c>
      <c r="F937" s="185">
        <v>-1391.34</v>
      </c>
      <c r="G937" s="165">
        <f t="shared" si="19"/>
        <v>72796.601000000024</v>
      </c>
      <c r="H937" s="163"/>
      <c r="I937" s="163" t="s">
        <v>283</v>
      </c>
      <c r="J937" s="163"/>
      <c r="K937" s="163"/>
      <c r="L937" s="163" t="s">
        <v>1062</v>
      </c>
      <c r="M937" s="163"/>
      <c r="N937" s="163" t="s">
        <v>978</v>
      </c>
      <c r="O937" s="163"/>
      <c r="P937" s="163"/>
      <c r="Q937" s="163"/>
      <c r="R937" s="163" t="s">
        <v>457</v>
      </c>
      <c r="S937" s="163" t="s">
        <v>459</v>
      </c>
      <c r="T937" s="43">
        <f t="shared" si="27"/>
        <v>1</v>
      </c>
      <c r="U937" s="167">
        <f t="shared" si="25"/>
        <v>45664</v>
      </c>
      <c r="V937" s="261">
        <v>45664</v>
      </c>
      <c r="W937" s="43">
        <f t="shared" si="28"/>
        <v>1</v>
      </c>
      <c r="X937" s="49" t="s">
        <v>1499</v>
      </c>
      <c r="Y937" s="49" t="s">
        <v>26</v>
      </c>
    </row>
    <row r="938" spans="1:25" hidden="1">
      <c r="A938" s="163" t="s">
        <v>1017</v>
      </c>
      <c r="B938" s="164">
        <v>45663</v>
      </c>
      <c r="C938" s="163" t="s">
        <v>460</v>
      </c>
      <c r="D938" s="163" t="s">
        <v>281</v>
      </c>
      <c r="E938" s="163" t="s">
        <v>18</v>
      </c>
      <c r="F938" s="185">
        <v>-2517.34</v>
      </c>
      <c r="G938" s="165">
        <f t="shared" si="19"/>
        <v>70279.261000000028</v>
      </c>
      <c r="H938" s="163"/>
      <c r="I938" s="163" t="s">
        <v>283</v>
      </c>
      <c r="J938" s="163"/>
      <c r="K938" s="163"/>
      <c r="L938" s="163" t="s">
        <v>1062</v>
      </c>
      <c r="M938" s="163"/>
      <c r="N938" s="163" t="s">
        <v>978</v>
      </c>
      <c r="O938" s="163"/>
      <c r="P938" s="163"/>
      <c r="Q938" s="163"/>
      <c r="R938" s="163" t="s">
        <v>460</v>
      </c>
      <c r="S938" s="163" t="s">
        <v>462</v>
      </c>
      <c r="T938" s="43">
        <f t="shared" si="27"/>
        <v>1</v>
      </c>
      <c r="U938" s="167">
        <f t="shared" si="25"/>
        <v>45664</v>
      </c>
      <c r="V938" s="261">
        <v>45664</v>
      </c>
      <c r="W938" s="43">
        <f t="shared" si="28"/>
        <v>1</v>
      </c>
      <c r="X938" s="49" t="s">
        <v>1499</v>
      </c>
      <c r="Y938" s="49" t="s">
        <v>26</v>
      </c>
    </row>
    <row r="939" spans="1:25" hidden="1">
      <c r="A939" s="163" t="s">
        <v>1017</v>
      </c>
      <c r="B939" s="164">
        <v>45663</v>
      </c>
      <c r="C939" s="163" t="s">
        <v>463</v>
      </c>
      <c r="D939" s="163" t="s">
        <v>281</v>
      </c>
      <c r="E939" s="163" t="s">
        <v>18</v>
      </c>
      <c r="F939" s="185">
        <v>-1641.2</v>
      </c>
      <c r="G939" s="165">
        <f t="shared" si="19"/>
        <v>68638.061000000031</v>
      </c>
      <c r="H939" s="163"/>
      <c r="I939" s="163" t="s">
        <v>283</v>
      </c>
      <c r="J939" s="163"/>
      <c r="K939" s="163"/>
      <c r="L939" s="163" t="s">
        <v>1062</v>
      </c>
      <c r="M939" s="163"/>
      <c r="N939" s="163" t="s">
        <v>978</v>
      </c>
      <c r="O939" s="163"/>
      <c r="P939" s="163"/>
      <c r="Q939" s="163"/>
      <c r="R939" s="163" t="s">
        <v>463</v>
      </c>
      <c r="S939" s="163" t="s">
        <v>465</v>
      </c>
      <c r="T939" s="43">
        <f t="shared" si="27"/>
        <v>1</v>
      </c>
      <c r="U939" s="167">
        <f t="shared" si="25"/>
        <v>45664</v>
      </c>
      <c r="V939" s="261">
        <v>45664</v>
      </c>
      <c r="W939" s="43">
        <f t="shared" si="28"/>
        <v>1</v>
      </c>
      <c r="X939" s="49" t="s">
        <v>1499</v>
      </c>
      <c r="Y939" s="49" t="s">
        <v>1488</v>
      </c>
    </row>
    <row r="940" spans="1:25" hidden="1">
      <c r="A940" s="163" t="s">
        <v>1017</v>
      </c>
      <c r="B940" s="164">
        <v>45663</v>
      </c>
      <c r="C940" s="163" t="s">
        <v>469</v>
      </c>
      <c r="D940" s="163" t="s">
        <v>281</v>
      </c>
      <c r="E940" s="163" t="s">
        <v>18</v>
      </c>
      <c r="F940" s="185">
        <v>-2542.34</v>
      </c>
      <c r="G940" s="165">
        <f t="shared" si="19"/>
        <v>66095.721000000034</v>
      </c>
      <c r="H940" s="163"/>
      <c r="I940" s="163" t="s">
        <v>283</v>
      </c>
      <c r="J940" s="163"/>
      <c r="K940" s="163"/>
      <c r="L940" s="163" t="s">
        <v>1062</v>
      </c>
      <c r="M940" s="163"/>
      <c r="N940" s="163" t="s">
        <v>978</v>
      </c>
      <c r="O940" s="163"/>
      <c r="P940" s="163"/>
      <c r="Q940" s="163"/>
      <c r="R940" s="163" t="s">
        <v>469</v>
      </c>
      <c r="S940" s="163" t="s">
        <v>471</v>
      </c>
      <c r="T940" s="43">
        <f t="shared" si="27"/>
        <v>1</v>
      </c>
      <c r="U940" s="167">
        <f t="shared" si="25"/>
        <v>45664</v>
      </c>
      <c r="V940" s="261">
        <v>45664</v>
      </c>
      <c r="W940" s="43">
        <f t="shared" si="28"/>
        <v>1</v>
      </c>
      <c r="X940" s="49" t="s">
        <v>1499</v>
      </c>
      <c r="Y940" s="49" t="s">
        <v>26</v>
      </c>
    </row>
    <row r="941" spans="1:25" hidden="1">
      <c r="A941" s="163" t="s">
        <v>1017</v>
      </c>
      <c r="B941" s="164">
        <v>45663</v>
      </c>
      <c r="C941" s="163" t="s">
        <v>466</v>
      </c>
      <c r="D941" s="163" t="s">
        <v>281</v>
      </c>
      <c r="E941" s="163" t="s">
        <v>18</v>
      </c>
      <c r="F941" s="185">
        <v>-1294.8</v>
      </c>
      <c r="G941" s="165">
        <f t="shared" si="19"/>
        <v>64800.921000000031</v>
      </c>
      <c r="H941" s="163"/>
      <c r="I941" s="163" t="s">
        <v>283</v>
      </c>
      <c r="J941" s="163"/>
      <c r="K941" s="163"/>
      <c r="L941" s="163" t="s">
        <v>1062</v>
      </c>
      <c r="M941" s="163"/>
      <c r="N941" s="163" t="s">
        <v>978</v>
      </c>
      <c r="O941" s="163"/>
      <c r="P941" s="163"/>
      <c r="Q941" s="163"/>
      <c r="R941" s="163" t="s">
        <v>466</v>
      </c>
      <c r="S941" s="163" t="s">
        <v>468</v>
      </c>
      <c r="T941" s="43">
        <f t="shared" si="27"/>
        <v>1</v>
      </c>
      <c r="U941" s="167">
        <f t="shared" si="25"/>
        <v>45664</v>
      </c>
      <c r="V941" s="261">
        <v>45664</v>
      </c>
      <c r="W941" s="43">
        <f t="shared" si="28"/>
        <v>1</v>
      </c>
      <c r="X941" s="49" t="s">
        <v>1499</v>
      </c>
      <c r="Y941" s="49" t="s">
        <v>26</v>
      </c>
    </row>
    <row r="942" spans="1:25" hidden="1">
      <c r="A942" s="163" t="s">
        <v>1017</v>
      </c>
      <c r="B942" s="164">
        <v>45663</v>
      </c>
      <c r="C942" s="163" t="s">
        <v>481</v>
      </c>
      <c r="D942" s="163" t="s">
        <v>281</v>
      </c>
      <c r="E942" s="163" t="s">
        <v>18</v>
      </c>
      <c r="F942" s="185">
        <v>-3487.35</v>
      </c>
      <c r="G942" s="165">
        <f t="shared" si="19"/>
        <v>61313.571000000033</v>
      </c>
      <c r="H942" s="163"/>
      <c r="I942" s="163" t="s">
        <v>283</v>
      </c>
      <c r="J942" s="163"/>
      <c r="K942" s="163"/>
      <c r="L942" s="163" t="s">
        <v>686</v>
      </c>
      <c r="M942" s="163"/>
      <c r="N942" s="163" t="s">
        <v>978</v>
      </c>
      <c r="O942" s="163"/>
      <c r="P942" s="163"/>
      <c r="Q942" s="163"/>
      <c r="R942" s="163" t="s">
        <v>481</v>
      </c>
      <c r="S942" s="163" t="s">
        <v>483</v>
      </c>
      <c r="T942" s="43">
        <f t="shared" si="27"/>
        <v>1</v>
      </c>
      <c r="U942" s="167">
        <f t="shared" si="25"/>
        <v>45664</v>
      </c>
      <c r="V942" s="261">
        <v>45664</v>
      </c>
      <c r="W942" s="43">
        <f t="shared" si="28"/>
        <v>1</v>
      </c>
      <c r="X942" s="49" t="s">
        <v>1499</v>
      </c>
      <c r="Y942" s="49" t="s">
        <v>86</v>
      </c>
    </row>
    <row r="943" spans="1:25" hidden="1">
      <c r="A943" s="163" t="s">
        <v>1017</v>
      </c>
      <c r="B943" s="164">
        <v>45663</v>
      </c>
      <c r="C943" s="163" t="s">
        <v>484</v>
      </c>
      <c r="D943" s="163" t="s">
        <v>281</v>
      </c>
      <c r="E943" s="163" t="s">
        <v>18</v>
      </c>
      <c r="F943" s="185">
        <v>-1366.48</v>
      </c>
      <c r="G943" s="165">
        <f t="shared" si="19"/>
        <v>59947.091000000029</v>
      </c>
      <c r="H943" s="163"/>
      <c r="I943" s="163" t="s">
        <v>283</v>
      </c>
      <c r="J943" s="163"/>
      <c r="K943" s="163"/>
      <c r="L943" s="163" t="s">
        <v>766</v>
      </c>
      <c r="M943" s="163"/>
      <c r="N943" s="163" t="s">
        <v>978</v>
      </c>
      <c r="O943" s="163"/>
      <c r="P943" s="163"/>
      <c r="Q943" s="163"/>
      <c r="R943" s="163" t="s">
        <v>484</v>
      </c>
      <c r="S943" s="163" t="s">
        <v>487</v>
      </c>
      <c r="T943" s="43">
        <f t="shared" si="27"/>
        <v>1</v>
      </c>
      <c r="U943" s="167">
        <f t="shared" si="25"/>
        <v>45664</v>
      </c>
      <c r="V943" s="261">
        <v>45664</v>
      </c>
      <c r="W943" s="43">
        <f t="shared" si="28"/>
        <v>1</v>
      </c>
      <c r="X943" s="49" t="s">
        <v>1499</v>
      </c>
      <c r="Y943" s="49" t="s">
        <v>86</v>
      </c>
    </row>
    <row r="944" spans="1:25" hidden="1">
      <c r="A944" s="163" t="s">
        <v>1017</v>
      </c>
      <c r="B944" s="164">
        <v>45663</v>
      </c>
      <c r="C944" s="163" t="s">
        <v>491</v>
      </c>
      <c r="D944" s="163" t="s">
        <v>281</v>
      </c>
      <c r="E944" s="163" t="s">
        <v>18</v>
      </c>
      <c r="F944" s="185">
        <v>-3568.36</v>
      </c>
      <c r="G944" s="165">
        <f t="shared" si="19"/>
        <v>56378.731000000029</v>
      </c>
      <c r="H944" s="163"/>
      <c r="I944" s="163" t="s">
        <v>283</v>
      </c>
      <c r="J944" s="163"/>
      <c r="K944" s="163"/>
      <c r="L944" s="163" t="s">
        <v>766</v>
      </c>
      <c r="M944" s="163"/>
      <c r="N944" s="163" t="s">
        <v>978</v>
      </c>
      <c r="O944" s="163"/>
      <c r="P944" s="163"/>
      <c r="Q944" s="163"/>
      <c r="R944" s="163" t="s">
        <v>491</v>
      </c>
      <c r="S944" s="163" t="s">
        <v>493</v>
      </c>
      <c r="T944" s="43">
        <f t="shared" si="27"/>
        <v>1</v>
      </c>
      <c r="U944" s="167">
        <f t="shared" si="25"/>
        <v>45664</v>
      </c>
      <c r="V944" s="261">
        <v>45664</v>
      </c>
      <c r="W944" s="43">
        <f t="shared" si="28"/>
        <v>1</v>
      </c>
      <c r="X944" s="49" t="s">
        <v>1499</v>
      </c>
      <c r="Y944" s="49" t="s">
        <v>86</v>
      </c>
    </row>
    <row r="945" spans="1:25" hidden="1">
      <c r="A945" s="163" t="s">
        <v>1017</v>
      </c>
      <c r="B945" s="164">
        <v>45663</v>
      </c>
      <c r="C945" s="163" t="s">
        <v>494</v>
      </c>
      <c r="D945" s="163" t="s">
        <v>281</v>
      </c>
      <c r="E945" s="163" t="s">
        <v>18</v>
      </c>
      <c r="F945" s="185">
        <v>-1841.18</v>
      </c>
      <c r="G945" s="165">
        <f t="shared" si="19"/>
        <v>54537.551000000029</v>
      </c>
      <c r="H945" s="163"/>
      <c r="I945" s="163" t="s">
        <v>283</v>
      </c>
      <c r="J945" s="163"/>
      <c r="K945" s="163"/>
      <c r="L945" s="163" t="s">
        <v>766</v>
      </c>
      <c r="M945" s="163"/>
      <c r="N945" s="163" t="s">
        <v>978</v>
      </c>
      <c r="O945" s="163"/>
      <c r="P945" s="163"/>
      <c r="Q945" s="163"/>
      <c r="R945" s="163" t="s">
        <v>494</v>
      </c>
      <c r="S945" s="163" t="s">
        <v>496</v>
      </c>
      <c r="T945" s="43">
        <f t="shared" si="27"/>
        <v>1</v>
      </c>
      <c r="U945" s="167">
        <f t="shared" si="25"/>
        <v>45664</v>
      </c>
      <c r="V945" s="261">
        <v>45664</v>
      </c>
      <c r="W945" s="43">
        <f t="shared" si="28"/>
        <v>1</v>
      </c>
      <c r="X945" s="49" t="s">
        <v>1499</v>
      </c>
      <c r="Y945" s="49" t="s">
        <v>86</v>
      </c>
    </row>
    <row r="946" spans="1:25" hidden="1">
      <c r="A946" s="163" t="s">
        <v>1017</v>
      </c>
      <c r="B946" s="164">
        <v>45663</v>
      </c>
      <c r="C946" s="163" t="s">
        <v>505</v>
      </c>
      <c r="D946" s="163" t="s">
        <v>281</v>
      </c>
      <c r="E946" s="163" t="s">
        <v>18</v>
      </c>
      <c r="F946" s="185">
        <v>-1821.09</v>
      </c>
      <c r="G946" s="165">
        <f t="shared" si="19"/>
        <v>52716.461000000032</v>
      </c>
      <c r="H946" s="163"/>
      <c r="I946" s="163" t="s">
        <v>283</v>
      </c>
      <c r="J946" s="163"/>
      <c r="K946" s="163"/>
      <c r="L946" s="163" t="s">
        <v>766</v>
      </c>
      <c r="M946" s="163"/>
      <c r="N946" s="163" t="s">
        <v>978</v>
      </c>
      <c r="O946" s="163"/>
      <c r="P946" s="163"/>
      <c r="Q946" s="163"/>
      <c r="R946" s="163" t="s">
        <v>505</v>
      </c>
      <c r="S946" s="163" t="s">
        <v>507</v>
      </c>
      <c r="T946" s="43">
        <f t="shared" si="27"/>
        <v>1</v>
      </c>
      <c r="U946" s="167">
        <f t="shared" si="25"/>
        <v>45664</v>
      </c>
      <c r="V946" s="261">
        <v>45664</v>
      </c>
      <c r="W946" s="43">
        <f t="shared" si="28"/>
        <v>1</v>
      </c>
      <c r="X946" s="49" t="s">
        <v>1499</v>
      </c>
      <c r="Y946" s="49" t="s">
        <v>105</v>
      </c>
    </row>
    <row r="947" spans="1:25" hidden="1">
      <c r="A947" s="163" t="s">
        <v>1017</v>
      </c>
      <c r="B947" s="164">
        <v>45663</v>
      </c>
      <c r="C947" s="163" t="s">
        <v>111</v>
      </c>
      <c r="D947" s="163" t="s">
        <v>281</v>
      </c>
      <c r="E947" s="163" t="s">
        <v>18</v>
      </c>
      <c r="F947" s="185">
        <v>-1887.35</v>
      </c>
      <c r="G947" s="165">
        <f t="shared" si="19"/>
        <v>50829.111000000034</v>
      </c>
      <c r="H947" s="163"/>
      <c r="I947" s="163" t="s">
        <v>283</v>
      </c>
      <c r="J947" s="163"/>
      <c r="K947" s="163"/>
      <c r="L947" s="163" t="s">
        <v>477</v>
      </c>
      <c r="M947" s="163"/>
      <c r="N947" s="163" t="s">
        <v>978</v>
      </c>
      <c r="O947" s="163"/>
      <c r="P947" s="163"/>
      <c r="Q947" s="163"/>
      <c r="R947" s="163" t="s">
        <v>111</v>
      </c>
      <c r="S947" s="163" t="s">
        <v>320</v>
      </c>
      <c r="T947" s="43">
        <f t="shared" si="27"/>
        <v>1</v>
      </c>
      <c r="U947" s="167">
        <f t="shared" si="25"/>
        <v>45664</v>
      </c>
      <c r="V947" s="261">
        <v>45664</v>
      </c>
      <c r="W947" s="43">
        <f t="shared" si="28"/>
        <v>1</v>
      </c>
      <c r="X947" s="49" t="s">
        <v>1499</v>
      </c>
      <c r="Y947" s="49" t="s">
        <v>105</v>
      </c>
    </row>
    <row r="948" spans="1:25" hidden="1">
      <c r="A948" s="163" t="s">
        <v>1017</v>
      </c>
      <c r="B948" s="164">
        <v>45663</v>
      </c>
      <c r="C948" s="163" t="s">
        <v>510</v>
      </c>
      <c r="D948" s="163" t="s">
        <v>281</v>
      </c>
      <c r="E948" s="163" t="s">
        <v>18</v>
      </c>
      <c r="F948" s="185">
        <v>-2296.1799999999998</v>
      </c>
      <c r="G948" s="165">
        <f t="shared" si="19"/>
        <v>48532.931000000033</v>
      </c>
      <c r="H948" s="163"/>
      <c r="I948" s="163" t="s">
        <v>283</v>
      </c>
      <c r="J948" s="163"/>
      <c r="K948" s="163"/>
      <c r="L948" s="163" t="s">
        <v>477</v>
      </c>
      <c r="M948" s="163"/>
      <c r="N948" s="163" t="s">
        <v>978</v>
      </c>
      <c r="O948" s="163"/>
      <c r="P948" s="163"/>
      <c r="Q948" s="163"/>
      <c r="R948" s="163" t="s">
        <v>510</v>
      </c>
      <c r="S948" s="163" t="s">
        <v>512</v>
      </c>
      <c r="T948" s="43">
        <f t="shared" si="27"/>
        <v>1</v>
      </c>
      <c r="U948" s="167">
        <f t="shared" si="25"/>
        <v>45664</v>
      </c>
      <c r="V948" s="261">
        <v>45664</v>
      </c>
      <c r="W948" s="43">
        <f t="shared" si="28"/>
        <v>1</v>
      </c>
      <c r="X948" s="49" t="s">
        <v>1499</v>
      </c>
      <c r="Y948" s="49" t="s">
        <v>86</v>
      </c>
    </row>
    <row r="949" spans="1:25" hidden="1">
      <c r="A949" s="163" t="s">
        <v>1017</v>
      </c>
      <c r="B949" s="164">
        <v>45663</v>
      </c>
      <c r="C949" s="163" t="s">
        <v>513</v>
      </c>
      <c r="D949" s="163" t="s">
        <v>281</v>
      </c>
      <c r="E949" s="163" t="s">
        <v>18</v>
      </c>
      <c r="F949" s="185">
        <v>-1796.18</v>
      </c>
      <c r="G949" s="165">
        <f t="shared" si="19"/>
        <v>46736.751000000033</v>
      </c>
      <c r="H949" s="163"/>
      <c r="I949" s="163" t="s">
        <v>283</v>
      </c>
      <c r="J949" s="163"/>
      <c r="K949" s="163"/>
      <c r="L949" s="163" t="s">
        <v>477</v>
      </c>
      <c r="M949" s="163"/>
      <c r="N949" s="163" t="s">
        <v>978</v>
      </c>
      <c r="O949" s="163"/>
      <c r="P949" s="163"/>
      <c r="Q949" s="163"/>
      <c r="R949" s="163" t="s">
        <v>513</v>
      </c>
      <c r="S949" s="163" t="s">
        <v>515</v>
      </c>
      <c r="T949" s="43">
        <f t="shared" si="27"/>
        <v>1</v>
      </c>
      <c r="U949" s="167">
        <f t="shared" si="25"/>
        <v>45664</v>
      </c>
      <c r="V949" s="261">
        <v>45664</v>
      </c>
      <c r="W949" s="43">
        <f t="shared" si="28"/>
        <v>1</v>
      </c>
      <c r="X949" s="49" t="s">
        <v>1499</v>
      </c>
      <c r="Y949" s="49" t="s">
        <v>86</v>
      </c>
    </row>
    <row r="950" spans="1:25" hidden="1">
      <c r="A950" s="163" t="s">
        <v>1017</v>
      </c>
      <c r="B950" s="164">
        <v>45663</v>
      </c>
      <c r="C950" s="163" t="s">
        <v>528</v>
      </c>
      <c r="D950" s="163" t="s">
        <v>281</v>
      </c>
      <c r="E950" s="163" t="s">
        <v>18</v>
      </c>
      <c r="F950" s="185">
        <v>-2296.1799999999998</v>
      </c>
      <c r="G950" s="165">
        <f t="shared" si="19"/>
        <v>44440.571000000033</v>
      </c>
      <c r="H950" s="163"/>
      <c r="I950" s="163" t="s">
        <v>283</v>
      </c>
      <c r="J950" s="163"/>
      <c r="K950" s="163"/>
      <c r="L950" s="163" t="s">
        <v>477</v>
      </c>
      <c r="M950" s="163"/>
      <c r="N950" s="163" t="s">
        <v>978</v>
      </c>
      <c r="O950" s="163"/>
      <c r="P950" s="163"/>
      <c r="Q950" s="163"/>
      <c r="R950" s="163" t="s">
        <v>528</v>
      </c>
      <c r="S950" s="163" t="s">
        <v>530</v>
      </c>
      <c r="T950" s="43">
        <f t="shared" si="27"/>
        <v>1</v>
      </c>
      <c r="U950" s="167">
        <f t="shared" si="25"/>
        <v>45664</v>
      </c>
      <c r="V950" s="261">
        <v>45664</v>
      </c>
      <c r="W950" s="43">
        <f t="shared" si="28"/>
        <v>1</v>
      </c>
      <c r="X950" s="49" t="s">
        <v>1499</v>
      </c>
      <c r="Y950" s="49" t="s">
        <v>86</v>
      </c>
    </row>
    <row r="951" spans="1:25" hidden="1">
      <c r="A951" s="163" t="s">
        <v>1017</v>
      </c>
      <c r="B951" s="164">
        <v>45663</v>
      </c>
      <c r="C951" s="163" t="s">
        <v>516</v>
      </c>
      <c r="D951" s="163" t="s">
        <v>281</v>
      </c>
      <c r="E951" s="163" t="s">
        <v>18</v>
      </c>
      <c r="F951" s="185">
        <v>-1441.18</v>
      </c>
      <c r="G951" s="165">
        <f t="shared" si="19"/>
        <v>42999.391000000032</v>
      </c>
      <c r="H951" s="163"/>
      <c r="I951" s="163" t="s">
        <v>283</v>
      </c>
      <c r="J951" s="163"/>
      <c r="K951" s="163"/>
      <c r="L951" s="163" t="s">
        <v>477</v>
      </c>
      <c r="M951" s="163"/>
      <c r="N951" s="163" t="s">
        <v>978</v>
      </c>
      <c r="O951" s="163"/>
      <c r="P951" s="163"/>
      <c r="Q951" s="163"/>
      <c r="R951" s="163" t="s">
        <v>516</v>
      </c>
      <c r="S951" s="163" t="s">
        <v>518</v>
      </c>
      <c r="T951" s="43">
        <f t="shared" si="27"/>
        <v>1</v>
      </c>
      <c r="U951" s="167">
        <f t="shared" si="25"/>
        <v>45664</v>
      </c>
      <c r="V951" s="261">
        <v>45664</v>
      </c>
      <c r="W951" s="43">
        <f t="shared" si="28"/>
        <v>1</v>
      </c>
      <c r="X951" s="49" t="s">
        <v>1499</v>
      </c>
      <c r="Y951" s="49" t="s">
        <v>86</v>
      </c>
    </row>
    <row r="952" spans="1:25" hidden="1">
      <c r="A952" s="163" t="s">
        <v>1017</v>
      </c>
      <c r="B952" s="164">
        <v>45663</v>
      </c>
      <c r="C952" s="163" t="s">
        <v>522</v>
      </c>
      <c r="D952" s="163" t="s">
        <v>281</v>
      </c>
      <c r="E952" s="163" t="s">
        <v>18</v>
      </c>
      <c r="F952" s="185">
        <v>-2422.35</v>
      </c>
      <c r="G952" s="165">
        <f t="shared" si="19"/>
        <v>40577.041000000034</v>
      </c>
      <c r="H952" s="163"/>
      <c r="I952" s="163" t="s">
        <v>283</v>
      </c>
      <c r="J952" s="163"/>
      <c r="K952" s="163"/>
      <c r="L952" s="163" t="s">
        <v>477</v>
      </c>
      <c r="M952" s="163"/>
      <c r="N952" s="163" t="s">
        <v>978</v>
      </c>
      <c r="O952" s="163"/>
      <c r="P952" s="163"/>
      <c r="Q952" s="163"/>
      <c r="R952" s="163" t="s">
        <v>522</v>
      </c>
      <c r="S952" s="163" t="s">
        <v>524</v>
      </c>
      <c r="T952" s="43">
        <f t="shared" si="27"/>
        <v>1</v>
      </c>
      <c r="U952" s="167">
        <f t="shared" si="25"/>
        <v>45664</v>
      </c>
      <c r="V952" s="261">
        <v>45664</v>
      </c>
      <c r="W952" s="43">
        <f t="shared" si="28"/>
        <v>1</v>
      </c>
      <c r="X952" s="49" t="s">
        <v>1499</v>
      </c>
      <c r="Y952" s="49" t="s">
        <v>86</v>
      </c>
    </row>
    <row r="953" spans="1:25" hidden="1">
      <c r="A953" s="163" t="s">
        <v>1017</v>
      </c>
      <c r="B953" s="164">
        <v>45663</v>
      </c>
      <c r="C953" s="163" t="s">
        <v>525</v>
      </c>
      <c r="D953" s="163" t="s">
        <v>281</v>
      </c>
      <c r="E953" s="163" t="s">
        <v>18</v>
      </c>
      <c r="F953" s="185">
        <v>-2422.35</v>
      </c>
      <c r="G953" s="165">
        <f t="shared" si="19"/>
        <v>38154.691000000035</v>
      </c>
      <c r="H953" s="163"/>
      <c r="I953" s="163" t="s">
        <v>283</v>
      </c>
      <c r="J953" s="163"/>
      <c r="K953" s="163"/>
      <c r="L953" s="163" t="s">
        <v>477</v>
      </c>
      <c r="M953" s="163"/>
      <c r="N953" s="163" t="s">
        <v>978</v>
      </c>
      <c r="O953" s="163"/>
      <c r="P953" s="163"/>
      <c r="Q953" s="163"/>
      <c r="R953" s="163" t="s">
        <v>525</v>
      </c>
      <c r="S953" s="163" t="s">
        <v>527</v>
      </c>
      <c r="T953" s="43">
        <f t="shared" si="27"/>
        <v>1</v>
      </c>
      <c r="U953" s="167">
        <f t="shared" si="25"/>
        <v>45664</v>
      </c>
      <c r="V953" s="261">
        <v>45664</v>
      </c>
      <c r="W953" s="43">
        <f t="shared" si="28"/>
        <v>1</v>
      </c>
      <c r="X953" s="49" t="s">
        <v>1499</v>
      </c>
      <c r="Y953" s="49" t="s">
        <v>86</v>
      </c>
    </row>
    <row r="954" spans="1:25" hidden="1">
      <c r="A954" s="163" t="s">
        <v>1017</v>
      </c>
      <c r="B954" s="164">
        <v>45663</v>
      </c>
      <c r="C954" s="163" t="s">
        <v>112</v>
      </c>
      <c r="D954" s="163" t="s">
        <v>281</v>
      </c>
      <c r="E954" s="163" t="s">
        <v>18</v>
      </c>
      <c r="F954" s="185">
        <v>-1796.18</v>
      </c>
      <c r="G954" s="165">
        <f t="shared" si="19"/>
        <v>36358.511000000035</v>
      </c>
      <c r="H954" s="163"/>
      <c r="I954" s="163" t="s">
        <v>283</v>
      </c>
      <c r="J954" s="163"/>
      <c r="K954" s="163"/>
      <c r="L954" s="163" t="s">
        <v>477</v>
      </c>
      <c r="M954" s="163"/>
      <c r="N954" s="163" t="s">
        <v>978</v>
      </c>
      <c r="O954" s="163"/>
      <c r="P954" s="163"/>
      <c r="Q954" s="163"/>
      <c r="R954" s="163" t="s">
        <v>112</v>
      </c>
      <c r="S954" s="163" t="s">
        <v>532</v>
      </c>
      <c r="T954" s="43">
        <f t="shared" si="27"/>
        <v>1</v>
      </c>
      <c r="U954" s="167">
        <f t="shared" si="25"/>
        <v>45664</v>
      </c>
      <c r="V954" s="261">
        <v>45664</v>
      </c>
      <c r="W954" s="43">
        <f t="shared" si="28"/>
        <v>1</v>
      </c>
      <c r="X954" s="49" t="s">
        <v>1499</v>
      </c>
      <c r="Y954" s="49" t="s">
        <v>86</v>
      </c>
    </row>
    <row r="955" spans="1:25" hidden="1">
      <c r="A955" s="163" t="s">
        <v>1017</v>
      </c>
      <c r="B955" s="164">
        <v>45663</v>
      </c>
      <c r="C955" s="163" t="s">
        <v>533</v>
      </c>
      <c r="D955" s="163" t="s">
        <v>281</v>
      </c>
      <c r="E955" s="163" t="s">
        <v>18</v>
      </c>
      <c r="F955" s="185">
        <v>-1841.18</v>
      </c>
      <c r="G955" s="165">
        <f t="shared" si="19"/>
        <v>34517.331000000035</v>
      </c>
      <c r="H955" s="163"/>
      <c r="I955" s="163" t="s">
        <v>283</v>
      </c>
      <c r="J955" s="163"/>
      <c r="K955" s="163"/>
      <c r="L955" s="163" t="s">
        <v>477</v>
      </c>
      <c r="M955" s="163"/>
      <c r="N955" s="163" t="s">
        <v>978</v>
      </c>
      <c r="O955" s="163"/>
      <c r="P955" s="163"/>
      <c r="Q955" s="163"/>
      <c r="R955" s="163" t="s">
        <v>533</v>
      </c>
      <c r="S955" s="163" t="s">
        <v>535</v>
      </c>
      <c r="T955" s="43">
        <f t="shared" si="27"/>
        <v>1</v>
      </c>
      <c r="U955" s="167">
        <f t="shared" si="25"/>
        <v>45664</v>
      </c>
      <c r="V955" s="261">
        <v>45664</v>
      </c>
      <c r="W955" s="43">
        <f t="shared" si="28"/>
        <v>1</v>
      </c>
      <c r="X955" s="49" t="s">
        <v>1499</v>
      </c>
      <c r="Y955" s="49" t="s">
        <v>86</v>
      </c>
    </row>
    <row r="956" spans="1:25" hidden="1">
      <c r="A956" s="163" t="s">
        <v>1017</v>
      </c>
      <c r="B956" s="164">
        <v>45663</v>
      </c>
      <c r="C956" s="163" t="s">
        <v>536</v>
      </c>
      <c r="D956" s="163" t="s">
        <v>281</v>
      </c>
      <c r="E956" s="163" t="s">
        <v>18</v>
      </c>
      <c r="F956" s="185">
        <v>-1841.18</v>
      </c>
      <c r="G956" s="165">
        <f t="shared" si="19"/>
        <v>32676.151000000034</v>
      </c>
      <c r="H956" s="163"/>
      <c r="I956" s="163" t="s">
        <v>283</v>
      </c>
      <c r="J956" s="163"/>
      <c r="K956" s="163"/>
      <c r="L956" s="163" t="s">
        <v>477</v>
      </c>
      <c r="M956" s="163"/>
      <c r="N956" s="163" t="s">
        <v>978</v>
      </c>
      <c r="O956" s="163"/>
      <c r="P956" s="163"/>
      <c r="Q956" s="163"/>
      <c r="R956" s="163" t="s">
        <v>536</v>
      </c>
      <c r="S956" s="163" t="s">
        <v>538</v>
      </c>
      <c r="T956" s="43">
        <f t="shared" si="27"/>
        <v>1</v>
      </c>
      <c r="U956" s="167">
        <f t="shared" si="25"/>
        <v>45664</v>
      </c>
      <c r="V956" s="261">
        <v>45664</v>
      </c>
      <c r="W956" s="43">
        <f t="shared" si="28"/>
        <v>1</v>
      </c>
      <c r="X956" s="49" t="s">
        <v>1499</v>
      </c>
      <c r="Y956" s="49" t="s">
        <v>86</v>
      </c>
    </row>
    <row r="957" spans="1:25" hidden="1">
      <c r="A957" s="163" t="s">
        <v>1017</v>
      </c>
      <c r="B957" s="164">
        <v>45663</v>
      </c>
      <c r="C957" s="163" t="s">
        <v>93</v>
      </c>
      <c r="D957" s="163" t="s">
        <v>281</v>
      </c>
      <c r="E957" s="163" t="s">
        <v>18</v>
      </c>
      <c r="F957" s="185">
        <v>-4137.08</v>
      </c>
      <c r="G957" s="165">
        <f t="shared" si="19"/>
        <v>28539.071000000033</v>
      </c>
      <c r="H957" s="163"/>
      <c r="I957" s="163" t="s">
        <v>283</v>
      </c>
      <c r="J957" s="163"/>
      <c r="K957" s="163"/>
      <c r="L957" s="163" t="s">
        <v>477</v>
      </c>
      <c r="M957" s="163"/>
      <c r="N957" s="163" t="s">
        <v>978</v>
      </c>
      <c r="O957" s="163"/>
      <c r="P957" s="163"/>
      <c r="Q957" s="163"/>
      <c r="R957" s="163" t="s">
        <v>93</v>
      </c>
      <c r="S957" s="163" t="s">
        <v>540</v>
      </c>
      <c r="T957" s="43">
        <f t="shared" si="27"/>
        <v>1</v>
      </c>
      <c r="U957" s="167">
        <f t="shared" si="25"/>
        <v>45664</v>
      </c>
      <c r="V957" s="261">
        <v>45664</v>
      </c>
      <c r="W957" s="43">
        <f t="shared" si="28"/>
        <v>1</v>
      </c>
      <c r="X957" s="49" t="s">
        <v>1499</v>
      </c>
      <c r="Y957" s="49" t="s">
        <v>94</v>
      </c>
    </row>
    <row r="958" spans="1:25" hidden="1">
      <c r="A958" s="163" t="s">
        <v>1017</v>
      </c>
      <c r="B958" s="164">
        <v>45663</v>
      </c>
      <c r="C958" s="163" t="s">
        <v>88</v>
      </c>
      <c r="D958" s="163" t="s">
        <v>281</v>
      </c>
      <c r="E958" s="163" t="s">
        <v>18</v>
      </c>
      <c r="F958" s="185">
        <v>-3828.54</v>
      </c>
      <c r="G958" s="165">
        <f t="shared" si="19"/>
        <v>24710.531000000032</v>
      </c>
      <c r="H958" s="163"/>
      <c r="I958" s="163" t="s">
        <v>283</v>
      </c>
      <c r="J958" s="163"/>
      <c r="K958" s="163"/>
      <c r="L958" s="163" t="s">
        <v>477</v>
      </c>
      <c r="M958" s="163"/>
      <c r="N958" s="163" t="s">
        <v>978</v>
      </c>
      <c r="O958" s="163"/>
      <c r="P958" s="163"/>
      <c r="Q958" s="163"/>
      <c r="R958" s="163" t="s">
        <v>88</v>
      </c>
      <c r="S958" s="163" t="s">
        <v>542</v>
      </c>
      <c r="T958" s="43">
        <f t="shared" si="27"/>
        <v>1</v>
      </c>
      <c r="U958" s="167">
        <f t="shared" si="25"/>
        <v>45664</v>
      </c>
      <c r="V958" s="261">
        <v>45664</v>
      </c>
      <c r="W958" s="43">
        <f t="shared" si="28"/>
        <v>1</v>
      </c>
      <c r="X958" s="49" t="s">
        <v>1499</v>
      </c>
      <c r="Y958" s="49" t="s">
        <v>25</v>
      </c>
    </row>
    <row r="959" spans="1:25" hidden="1">
      <c r="A959" s="163" t="s">
        <v>1017</v>
      </c>
      <c r="B959" s="164">
        <v>45663</v>
      </c>
      <c r="C959" s="163" t="s">
        <v>543</v>
      </c>
      <c r="D959" s="163" t="s">
        <v>281</v>
      </c>
      <c r="E959" s="163" t="s">
        <v>18</v>
      </c>
      <c r="F959" s="185">
        <v>-1296.18</v>
      </c>
      <c r="G959" s="165">
        <f t="shared" si="19"/>
        <v>23414.351000000031</v>
      </c>
      <c r="H959" s="163"/>
      <c r="I959" s="163" t="s">
        <v>283</v>
      </c>
      <c r="J959" s="163"/>
      <c r="K959" s="163"/>
      <c r="L959" s="163" t="s">
        <v>477</v>
      </c>
      <c r="M959" s="163"/>
      <c r="N959" s="163" t="s">
        <v>978</v>
      </c>
      <c r="O959" s="163"/>
      <c r="P959" s="163"/>
      <c r="Q959" s="163"/>
      <c r="R959" s="163" t="s">
        <v>543</v>
      </c>
      <c r="S959" s="163" t="s">
        <v>545</v>
      </c>
      <c r="T959" s="43">
        <f t="shared" si="27"/>
        <v>1</v>
      </c>
      <c r="U959" s="167">
        <f t="shared" si="25"/>
        <v>45664</v>
      </c>
      <c r="V959" s="261">
        <v>45664</v>
      </c>
      <c r="W959" s="43">
        <f t="shared" si="28"/>
        <v>1</v>
      </c>
      <c r="X959" s="49" t="s">
        <v>1499</v>
      </c>
      <c r="Y959" s="49" t="s">
        <v>26</v>
      </c>
    </row>
    <row r="960" spans="1:25" hidden="1">
      <c r="A960" s="163" t="s">
        <v>1017</v>
      </c>
      <c r="B960" s="164">
        <v>45663</v>
      </c>
      <c r="C960" s="163" t="s">
        <v>546</v>
      </c>
      <c r="D960" s="163" t="s">
        <v>281</v>
      </c>
      <c r="E960" s="163" t="s">
        <v>18</v>
      </c>
      <c r="F960" s="185">
        <v>-1323.09</v>
      </c>
      <c r="G960" s="165">
        <f t="shared" si="19"/>
        <v>22091.261000000031</v>
      </c>
      <c r="H960" s="163"/>
      <c r="I960" s="163" t="s">
        <v>283</v>
      </c>
      <c r="J960" s="163"/>
      <c r="K960" s="163"/>
      <c r="L960" s="163" t="s">
        <v>477</v>
      </c>
      <c r="M960" s="163"/>
      <c r="N960" s="163" t="s">
        <v>978</v>
      </c>
      <c r="O960" s="163"/>
      <c r="P960" s="163"/>
      <c r="Q960" s="163"/>
      <c r="R960" s="163" t="s">
        <v>546</v>
      </c>
      <c r="S960" s="163" t="s">
        <v>548</v>
      </c>
      <c r="T960" s="43">
        <f t="shared" si="27"/>
        <v>1</v>
      </c>
      <c r="U960" s="167">
        <f t="shared" si="25"/>
        <v>45664</v>
      </c>
      <c r="V960" s="261">
        <v>45664</v>
      </c>
      <c r="W960" s="43">
        <f t="shared" si="28"/>
        <v>1</v>
      </c>
      <c r="X960" s="49" t="s">
        <v>1499</v>
      </c>
      <c r="Y960" s="49" t="s">
        <v>26</v>
      </c>
    </row>
    <row r="961" spans="1:28" hidden="1">
      <c r="A961" s="163" t="s">
        <v>1017</v>
      </c>
      <c r="B961" s="164">
        <v>45663</v>
      </c>
      <c r="C961" s="163" t="s">
        <v>549</v>
      </c>
      <c r="D961" s="163" t="s">
        <v>281</v>
      </c>
      <c r="E961" s="163" t="s">
        <v>18</v>
      </c>
      <c r="F961" s="185">
        <v>-2480.11</v>
      </c>
      <c r="G961" s="165">
        <f t="shared" si="19"/>
        <v>19611.151000000031</v>
      </c>
      <c r="H961" s="163"/>
      <c r="I961" s="163" t="s">
        <v>283</v>
      </c>
      <c r="J961" s="163"/>
      <c r="K961" s="163"/>
      <c r="L961" s="163" t="s">
        <v>477</v>
      </c>
      <c r="M961" s="163"/>
      <c r="N961" s="163" t="s">
        <v>978</v>
      </c>
      <c r="O961" s="163"/>
      <c r="P961" s="163"/>
      <c r="Q961" s="163"/>
      <c r="R961" s="163" t="s">
        <v>549</v>
      </c>
      <c r="S961" s="163" t="s">
        <v>551</v>
      </c>
      <c r="T961" s="43">
        <f t="shared" si="27"/>
        <v>1</v>
      </c>
      <c r="U961" s="167">
        <f t="shared" si="25"/>
        <v>45664</v>
      </c>
      <c r="V961" s="261">
        <v>45664</v>
      </c>
      <c r="W961" s="43">
        <f t="shared" si="28"/>
        <v>1</v>
      </c>
      <c r="X961" s="49" t="s">
        <v>1499</v>
      </c>
      <c r="Y961" s="49" t="s">
        <v>105</v>
      </c>
    </row>
    <row r="962" spans="1:28" hidden="1">
      <c r="A962" s="163" t="s">
        <v>1017</v>
      </c>
      <c r="B962" s="164">
        <v>45663</v>
      </c>
      <c r="C962" s="163" t="s">
        <v>1266</v>
      </c>
      <c r="D962" s="163" t="s">
        <v>281</v>
      </c>
      <c r="E962" s="163" t="s">
        <v>18</v>
      </c>
      <c r="F962" s="185">
        <v>-2023.18</v>
      </c>
      <c r="G962" s="165">
        <f t="shared" si="19"/>
        <v>17587.97100000003</v>
      </c>
      <c r="H962" s="163"/>
      <c r="I962" s="163" t="s">
        <v>283</v>
      </c>
      <c r="J962" s="163"/>
      <c r="K962" s="163"/>
      <c r="L962" s="163" t="s">
        <v>485</v>
      </c>
      <c r="M962" s="163"/>
      <c r="N962" s="163" t="s">
        <v>978</v>
      </c>
      <c r="O962" s="163"/>
      <c r="P962" s="163"/>
      <c r="Q962" s="163"/>
      <c r="R962" s="163" t="s">
        <v>1266</v>
      </c>
      <c r="S962" s="163" t="s">
        <v>1267</v>
      </c>
      <c r="T962" s="43">
        <f t="shared" si="27"/>
        <v>1</v>
      </c>
      <c r="U962" s="167">
        <f t="shared" si="25"/>
        <v>45664</v>
      </c>
      <c r="V962" s="261">
        <v>45664</v>
      </c>
      <c r="W962" s="43">
        <f t="shared" si="28"/>
        <v>1</v>
      </c>
      <c r="X962" s="49" t="s">
        <v>1499</v>
      </c>
      <c r="Y962" s="49" t="s">
        <v>86</v>
      </c>
    </row>
    <row r="963" spans="1:28" hidden="1">
      <c r="A963" s="163" t="s">
        <v>1017</v>
      </c>
      <c r="B963" s="164">
        <v>45663</v>
      </c>
      <c r="C963" s="163" t="s">
        <v>669</v>
      </c>
      <c r="D963" s="163" t="s">
        <v>281</v>
      </c>
      <c r="E963" s="163" t="s">
        <v>18</v>
      </c>
      <c r="F963" s="185">
        <v>-3828.54</v>
      </c>
      <c r="G963" s="165">
        <f t="shared" si="19"/>
        <v>13759.43100000003</v>
      </c>
      <c r="H963" s="163"/>
      <c r="I963" s="163" t="s">
        <v>283</v>
      </c>
      <c r="J963" s="163"/>
      <c r="K963" s="163"/>
      <c r="L963" s="163" t="s">
        <v>485</v>
      </c>
      <c r="M963" s="163"/>
      <c r="N963" s="163" t="s">
        <v>978</v>
      </c>
      <c r="O963" s="163"/>
      <c r="P963" s="163"/>
      <c r="Q963" s="163"/>
      <c r="R963" s="163" t="s">
        <v>669</v>
      </c>
      <c r="S963" s="163" t="s">
        <v>1492</v>
      </c>
      <c r="T963" s="43">
        <f t="shared" si="27"/>
        <v>1</v>
      </c>
      <c r="U963" s="167">
        <f t="shared" si="25"/>
        <v>45664</v>
      </c>
      <c r="V963" s="261">
        <v>45664</v>
      </c>
      <c r="W963" s="43">
        <f t="shared" si="28"/>
        <v>1</v>
      </c>
      <c r="X963" s="49" t="s">
        <v>1499</v>
      </c>
      <c r="Y963" s="49" t="s">
        <v>25</v>
      </c>
    </row>
    <row r="964" spans="1:28" hidden="1">
      <c r="A964" s="163" t="s">
        <v>1017</v>
      </c>
      <c r="B964" s="164">
        <v>45663</v>
      </c>
      <c r="C964" s="163" t="s">
        <v>519</v>
      </c>
      <c r="D964" s="163" t="s">
        <v>281</v>
      </c>
      <c r="E964" s="163" t="s">
        <v>18</v>
      </c>
      <c r="F964" s="185">
        <v>-1841.18</v>
      </c>
      <c r="G964" s="165">
        <f t="shared" si="19"/>
        <v>11918.251000000029</v>
      </c>
      <c r="H964" s="163"/>
      <c r="I964" s="163" t="s">
        <v>283</v>
      </c>
      <c r="J964" s="163"/>
      <c r="K964" s="163"/>
      <c r="L964" s="163" t="s">
        <v>477</v>
      </c>
      <c r="M964" s="163"/>
      <c r="N964" s="163" t="s">
        <v>978</v>
      </c>
      <c r="O964" s="163"/>
      <c r="P964" s="163"/>
      <c r="Q964" s="163"/>
      <c r="R964" s="163" t="s">
        <v>519</v>
      </c>
      <c r="S964" s="163" t="s">
        <v>521</v>
      </c>
      <c r="T964" s="43">
        <f t="shared" si="27"/>
        <v>1</v>
      </c>
      <c r="U964" s="167">
        <f t="shared" si="25"/>
        <v>45664</v>
      </c>
      <c r="V964" s="261">
        <v>45664</v>
      </c>
      <c r="W964" s="43">
        <f t="shared" si="28"/>
        <v>1</v>
      </c>
      <c r="X964" s="49" t="s">
        <v>1499</v>
      </c>
      <c r="Y964" s="49" t="s">
        <v>86</v>
      </c>
    </row>
    <row r="965" spans="1:28" hidden="1">
      <c r="A965" s="163" t="s">
        <v>1017</v>
      </c>
      <c r="B965" s="164">
        <v>45663</v>
      </c>
      <c r="C965" s="163" t="s">
        <v>441</v>
      </c>
      <c r="D965" s="163" t="s">
        <v>281</v>
      </c>
      <c r="E965" s="163" t="s">
        <v>18</v>
      </c>
      <c r="F965" s="185">
        <v>-1686.48</v>
      </c>
      <c r="G965" s="165">
        <f t="shared" si="19"/>
        <v>10231.77100000003</v>
      </c>
      <c r="H965" s="163"/>
      <c r="I965" s="163" t="s">
        <v>283</v>
      </c>
      <c r="J965" s="163"/>
      <c r="K965" s="163"/>
      <c r="L965" s="163" t="s">
        <v>1062</v>
      </c>
      <c r="M965" s="163"/>
      <c r="N965" s="163" t="s">
        <v>978</v>
      </c>
      <c r="O965" s="163"/>
      <c r="P965" s="163"/>
      <c r="Q965" s="163"/>
      <c r="R965" s="163" t="s">
        <v>441</v>
      </c>
      <c r="S965" s="163" t="s">
        <v>443</v>
      </c>
      <c r="T965" s="43">
        <f t="shared" si="27"/>
        <v>1</v>
      </c>
      <c r="U965" s="167">
        <f t="shared" si="25"/>
        <v>45664</v>
      </c>
      <c r="V965" s="261">
        <v>45664</v>
      </c>
      <c r="W965" s="43">
        <f t="shared" si="28"/>
        <v>1</v>
      </c>
      <c r="X965" s="49" t="s">
        <v>1499</v>
      </c>
      <c r="Y965" s="49" t="s">
        <v>25</v>
      </c>
    </row>
    <row r="966" spans="1:28" hidden="1">
      <c r="A966" s="163" t="s">
        <v>1017</v>
      </c>
      <c r="B966" s="164">
        <v>45663</v>
      </c>
      <c r="C966" s="163" t="s">
        <v>444</v>
      </c>
      <c r="D966" s="163" t="s">
        <v>281</v>
      </c>
      <c r="E966" s="163" t="s">
        <v>18</v>
      </c>
      <c r="F966" s="185">
        <v>-1686.48</v>
      </c>
      <c r="G966" s="165">
        <f t="shared" si="19"/>
        <v>8545.2910000000302</v>
      </c>
      <c r="H966" s="163"/>
      <c r="I966" s="163" t="s">
        <v>283</v>
      </c>
      <c r="J966" s="163"/>
      <c r="K966" s="163"/>
      <c r="L966" s="163" t="s">
        <v>1062</v>
      </c>
      <c r="M966" s="163"/>
      <c r="N966" s="163" t="s">
        <v>978</v>
      </c>
      <c r="O966" s="163"/>
      <c r="P966" s="163"/>
      <c r="Q966" s="163"/>
      <c r="R966" s="163" t="s">
        <v>444</v>
      </c>
      <c r="S966" s="163" t="s">
        <v>446</v>
      </c>
      <c r="T966" s="43">
        <f t="shared" si="27"/>
        <v>1</v>
      </c>
      <c r="U966" s="167">
        <f t="shared" si="25"/>
        <v>45664</v>
      </c>
      <c r="V966" s="261">
        <v>45664</v>
      </c>
      <c r="W966" s="43">
        <f t="shared" si="28"/>
        <v>1</v>
      </c>
      <c r="X966" s="49" t="s">
        <v>1499</v>
      </c>
      <c r="Y966" s="49" t="s">
        <v>25</v>
      </c>
    </row>
    <row r="967" spans="1:28" hidden="1">
      <c r="A967" s="163" t="s">
        <v>1017</v>
      </c>
      <c r="B967" s="164">
        <v>45663</v>
      </c>
      <c r="C967" s="163" t="s">
        <v>362</v>
      </c>
      <c r="D967" s="163" t="s">
        <v>281</v>
      </c>
      <c r="E967" s="163" t="s">
        <v>18</v>
      </c>
      <c r="F967" s="185">
        <v>-3268.35</v>
      </c>
      <c r="G967" s="165">
        <f t="shared" si="19"/>
        <v>5276.9410000000298</v>
      </c>
      <c r="H967" s="163"/>
      <c r="I967" s="163" t="s">
        <v>283</v>
      </c>
      <c r="J967" s="163"/>
      <c r="K967" s="163"/>
      <c r="L967" s="163" t="s">
        <v>766</v>
      </c>
      <c r="M967" s="163"/>
      <c r="N967" s="163" t="s">
        <v>978</v>
      </c>
      <c r="O967" s="163"/>
      <c r="P967" s="163"/>
      <c r="Q967" s="163"/>
      <c r="R967" s="163" t="s">
        <v>362</v>
      </c>
      <c r="S967" s="163" t="s">
        <v>364</v>
      </c>
      <c r="T967" s="43">
        <f t="shared" si="27"/>
        <v>1</v>
      </c>
      <c r="U967" s="167">
        <f t="shared" si="25"/>
        <v>45664</v>
      </c>
      <c r="V967" s="261">
        <v>45664</v>
      </c>
      <c r="W967" s="43">
        <f t="shared" si="28"/>
        <v>1</v>
      </c>
      <c r="X967" s="49" t="s">
        <v>1499</v>
      </c>
      <c r="Y967" s="49" t="s">
        <v>86</v>
      </c>
    </row>
    <row r="968" spans="1:28" ht="14.25" hidden="1" customHeight="1">
      <c r="A968" s="163" t="s">
        <v>1017</v>
      </c>
      <c r="B968" s="164">
        <v>45664</v>
      </c>
      <c r="C968" s="163"/>
      <c r="D968" s="163" t="s">
        <v>281</v>
      </c>
      <c r="E968" s="163" t="s">
        <v>1077</v>
      </c>
      <c r="F968" s="168">
        <v>-21</v>
      </c>
      <c r="G968" s="165">
        <f t="shared" si="19"/>
        <v>5255.9410000000298</v>
      </c>
      <c r="H968" s="163"/>
      <c r="I968" s="163" t="s">
        <v>342</v>
      </c>
      <c r="J968" s="163"/>
      <c r="K968" s="163"/>
      <c r="L968" s="163" t="s">
        <v>1030</v>
      </c>
      <c r="M968" s="163"/>
      <c r="N968" s="163" t="s">
        <v>978</v>
      </c>
      <c r="O968" s="163"/>
      <c r="P968" s="163"/>
      <c r="Q968" s="163"/>
      <c r="R968" s="163"/>
      <c r="S968" s="163" t="s">
        <v>1076</v>
      </c>
      <c r="T968" s="94">
        <f t="shared" si="27"/>
        <v>1</v>
      </c>
      <c r="U968" s="212">
        <f t="shared" si="25"/>
        <v>45664</v>
      </c>
      <c r="V968" s="43"/>
      <c r="W968" s="43">
        <f t="shared" si="28"/>
        <v>1</v>
      </c>
      <c r="X968" s="43" t="s">
        <v>1483</v>
      </c>
      <c r="Y968" s="43" t="s">
        <v>1443</v>
      </c>
      <c r="Z968" s="43" t="s">
        <v>1113</v>
      </c>
      <c r="AA968" s="43" t="s">
        <v>1113</v>
      </c>
      <c r="AB968" s="43"/>
    </row>
    <row r="969" spans="1:28" hidden="1">
      <c r="A969" s="163"/>
      <c r="B969" s="164">
        <v>45664</v>
      </c>
      <c r="C969" s="163" t="s">
        <v>346</v>
      </c>
      <c r="D969" s="163"/>
      <c r="E969" s="163"/>
      <c r="F969" s="191">
        <v>0</v>
      </c>
      <c r="G969" s="165">
        <f t="shared" si="19"/>
        <v>5255.9410000000298</v>
      </c>
      <c r="H969" s="163"/>
      <c r="I969" s="163"/>
      <c r="J969" s="163"/>
      <c r="K969" s="163"/>
      <c r="L969" s="163"/>
      <c r="M969" s="163"/>
      <c r="N969" s="163"/>
      <c r="O969" s="163"/>
      <c r="P969" s="163"/>
      <c r="Q969" s="163"/>
      <c r="R969" s="163"/>
      <c r="S969" s="163"/>
      <c r="T969" s="43">
        <f t="shared" si="27"/>
        <v>1</v>
      </c>
      <c r="U969" s="167">
        <f t="shared" si="25"/>
        <v>45664</v>
      </c>
      <c r="W969" s="43">
        <f t="shared" si="28"/>
        <v>1</v>
      </c>
    </row>
    <row r="970" spans="1:28" hidden="1">
      <c r="A970" s="163" t="s">
        <v>1174</v>
      </c>
      <c r="B970" s="164">
        <v>45663</v>
      </c>
      <c r="C970" s="163" t="s">
        <v>1501</v>
      </c>
      <c r="D970" s="163" t="s">
        <v>281</v>
      </c>
      <c r="E970" s="163" t="s">
        <v>407</v>
      </c>
      <c r="F970" s="165">
        <v>1799</v>
      </c>
      <c r="G970" s="165">
        <f t="shared" si="19"/>
        <v>7054.9410000000298</v>
      </c>
      <c r="H970" s="163"/>
      <c r="I970" s="163" t="s">
        <v>1176</v>
      </c>
      <c r="J970" s="163" t="s">
        <v>1502</v>
      </c>
      <c r="K970" s="163"/>
      <c r="L970" s="163" t="s">
        <v>305</v>
      </c>
      <c r="M970" s="163"/>
      <c r="N970" s="163" t="s">
        <v>1178</v>
      </c>
      <c r="O970" s="163" t="s">
        <v>1502</v>
      </c>
      <c r="P970" s="163" t="s">
        <v>57</v>
      </c>
      <c r="Q970" s="163"/>
      <c r="R970" s="163" t="s">
        <v>1503</v>
      </c>
      <c r="S970" s="163" t="s">
        <v>1504</v>
      </c>
      <c r="T970" s="43">
        <f t="shared" si="27"/>
        <v>1</v>
      </c>
      <c r="U970" s="167">
        <f t="shared" si="25"/>
        <v>45665</v>
      </c>
      <c r="V970" s="261">
        <v>45665</v>
      </c>
      <c r="W970" s="43">
        <f t="shared" si="28"/>
        <v>1</v>
      </c>
      <c r="X970" s="43" t="s">
        <v>1484</v>
      </c>
      <c r="Y970" s="43" t="s">
        <v>1485</v>
      </c>
    </row>
    <row r="971" spans="1:28" hidden="1">
      <c r="A971" s="163" t="s">
        <v>1174</v>
      </c>
      <c r="B971" s="164">
        <v>45659</v>
      </c>
      <c r="C971" s="163" t="s">
        <v>1505</v>
      </c>
      <c r="D971" s="163" t="s">
        <v>281</v>
      </c>
      <c r="E971" s="163" t="s">
        <v>289</v>
      </c>
      <c r="F971" s="165">
        <v>2953.91</v>
      </c>
      <c r="G971" s="165">
        <f t="shared" si="19"/>
        <v>10008.85100000003</v>
      </c>
      <c r="H971" s="163"/>
      <c r="I971" s="163" t="s">
        <v>1176</v>
      </c>
      <c r="J971" s="163" t="s">
        <v>1506</v>
      </c>
      <c r="K971" s="163"/>
      <c r="L971" s="163" t="s">
        <v>305</v>
      </c>
      <c r="M971" s="163"/>
      <c r="N971" s="163" t="s">
        <v>1178</v>
      </c>
      <c r="O971" s="163" t="s">
        <v>1506</v>
      </c>
      <c r="P971" s="163"/>
      <c r="Q971" s="163"/>
      <c r="R971" s="163" t="s">
        <v>1507</v>
      </c>
      <c r="S971" s="163" t="s">
        <v>1508</v>
      </c>
      <c r="T971" s="43">
        <f t="shared" si="27"/>
        <v>1</v>
      </c>
      <c r="U971" s="167">
        <f t="shared" si="25"/>
        <v>45665</v>
      </c>
      <c r="V971" s="261">
        <v>45665</v>
      </c>
      <c r="W971" s="43">
        <f t="shared" si="28"/>
        <v>1</v>
      </c>
      <c r="X971" s="49" t="s">
        <v>1484</v>
      </c>
      <c r="Y971" s="49" t="s">
        <v>78</v>
      </c>
    </row>
    <row r="972" spans="1:28" hidden="1">
      <c r="A972" s="163" t="s">
        <v>1174</v>
      </c>
      <c r="B972" s="164">
        <v>45663</v>
      </c>
      <c r="C972" s="163" t="s">
        <v>67</v>
      </c>
      <c r="D972" s="163" t="s">
        <v>281</v>
      </c>
      <c r="E972" s="163" t="s">
        <v>407</v>
      </c>
      <c r="F972" s="165">
        <v>2950</v>
      </c>
      <c r="G972" s="165">
        <f t="shared" si="19"/>
        <v>12958.85100000003</v>
      </c>
      <c r="H972" s="163"/>
      <c r="I972" s="163" t="s">
        <v>1176</v>
      </c>
      <c r="J972" s="163" t="s">
        <v>1321</v>
      </c>
      <c r="K972" s="163"/>
      <c r="L972" s="163" t="s">
        <v>305</v>
      </c>
      <c r="M972" s="163"/>
      <c r="N972" s="163" t="s">
        <v>1178</v>
      </c>
      <c r="O972" s="163" t="s">
        <v>1321</v>
      </c>
      <c r="P972" s="163" t="s">
        <v>418</v>
      </c>
      <c r="Q972" s="163"/>
      <c r="R972" s="163" t="s">
        <v>419</v>
      </c>
      <c r="S972" s="163" t="s">
        <v>420</v>
      </c>
      <c r="T972" s="43">
        <f t="shared" si="27"/>
        <v>1</v>
      </c>
      <c r="U972" s="167">
        <f t="shared" si="25"/>
        <v>45665</v>
      </c>
      <c r="V972" s="261">
        <v>45665</v>
      </c>
      <c r="W972" s="43">
        <f t="shared" si="28"/>
        <v>1</v>
      </c>
      <c r="X972" s="43" t="s">
        <v>1484</v>
      </c>
      <c r="Y972" s="43" t="s">
        <v>1485</v>
      </c>
    </row>
    <row r="973" spans="1:28" hidden="1">
      <c r="A973" s="163" t="s">
        <v>1174</v>
      </c>
      <c r="B973" s="164">
        <v>45663</v>
      </c>
      <c r="C973" s="163" t="s">
        <v>68</v>
      </c>
      <c r="D973" s="163" t="s">
        <v>281</v>
      </c>
      <c r="E973" s="163" t="s">
        <v>407</v>
      </c>
      <c r="F973" s="263">
        <v>2500</v>
      </c>
      <c r="G973" s="165">
        <f t="shared" si="19"/>
        <v>15458.85100000003</v>
      </c>
      <c r="H973" s="163"/>
      <c r="I973" s="163" t="s">
        <v>1176</v>
      </c>
      <c r="J973" s="163" t="s">
        <v>1329</v>
      </c>
      <c r="K973" s="163"/>
      <c r="L973" s="163" t="s">
        <v>305</v>
      </c>
      <c r="M973" s="163"/>
      <c r="N973" s="163" t="s">
        <v>1178</v>
      </c>
      <c r="O973" s="163" t="s">
        <v>1329</v>
      </c>
      <c r="P973" s="163" t="s">
        <v>62</v>
      </c>
      <c r="Q973" s="163"/>
      <c r="R973" s="163" t="s">
        <v>655</v>
      </c>
      <c r="S973" s="163" t="s">
        <v>656</v>
      </c>
      <c r="T973" s="43">
        <f t="shared" si="27"/>
        <v>1</v>
      </c>
      <c r="U973" s="167">
        <f t="shared" si="25"/>
        <v>45665</v>
      </c>
      <c r="V973" s="261">
        <v>45665</v>
      </c>
      <c r="W973" s="43">
        <f t="shared" si="28"/>
        <v>1</v>
      </c>
      <c r="X973" s="43" t="s">
        <v>1484</v>
      </c>
      <c r="Y973" s="43" t="s">
        <v>1485</v>
      </c>
      <c r="AB973" s="196" t="s">
        <v>1509</v>
      </c>
    </row>
    <row r="974" spans="1:28" hidden="1">
      <c r="A974" s="163" t="s">
        <v>1017</v>
      </c>
      <c r="B974" s="164">
        <v>45665</v>
      </c>
      <c r="C974" s="163" t="s">
        <v>698</v>
      </c>
      <c r="D974" s="163" t="s">
        <v>281</v>
      </c>
      <c r="E974" s="163" t="s">
        <v>199</v>
      </c>
      <c r="F974" s="168">
        <v>-879</v>
      </c>
      <c r="G974" s="165">
        <f t="shared" si="19"/>
        <v>14579.85100000003</v>
      </c>
      <c r="H974" s="163"/>
      <c r="I974" s="163" t="s">
        <v>342</v>
      </c>
      <c r="J974" s="163"/>
      <c r="K974" s="163"/>
      <c r="L974" s="163" t="s">
        <v>1062</v>
      </c>
      <c r="M974" s="163"/>
      <c r="N974" s="163" t="s">
        <v>978</v>
      </c>
      <c r="O974" s="163"/>
      <c r="P974" s="163"/>
      <c r="Q974" s="163"/>
      <c r="R974" s="163" t="s">
        <v>135</v>
      </c>
      <c r="S974" s="163" t="s">
        <v>700</v>
      </c>
      <c r="T974" s="43">
        <f t="shared" si="27"/>
        <v>1</v>
      </c>
      <c r="U974" s="167">
        <f t="shared" si="25"/>
        <v>45665</v>
      </c>
      <c r="W974" s="43">
        <f t="shared" si="28"/>
        <v>1</v>
      </c>
      <c r="X974" s="49" t="s">
        <v>1480</v>
      </c>
      <c r="Y974" s="49" t="s">
        <v>94</v>
      </c>
    </row>
    <row r="975" spans="1:28" hidden="1">
      <c r="A975" s="163" t="s">
        <v>1017</v>
      </c>
      <c r="B975" s="164">
        <v>45665</v>
      </c>
      <c r="C975" s="163" t="s">
        <v>385</v>
      </c>
      <c r="D975" s="163" t="s">
        <v>281</v>
      </c>
      <c r="E975" s="163" t="s">
        <v>386</v>
      </c>
      <c r="F975" s="168">
        <v>-2061.79</v>
      </c>
      <c r="G975" s="165">
        <f t="shared" si="19"/>
        <v>12518.061000000031</v>
      </c>
      <c r="H975" s="163"/>
      <c r="I975" s="163" t="s">
        <v>342</v>
      </c>
      <c r="J975" s="163"/>
      <c r="K975" s="163"/>
      <c r="L975" s="163" t="s">
        <v>1510</v>
      </c>
      <c r="M975" s="163"/>
      <c r="N975" s="163" t="s">
        <v>978</v>
      </c>
      <c r="O975" s="163"/>
      <c r="P975" s="163"/>
      <c r="Q975" s="163"/>
      <c r="R975" s="163" t="s">
        <v>389</v>
      </c>
      <c r="S975" s="163" t="s">
        <v>390</v>
      </c>
      <c r="T975" s="43">
        <f t="shared" si="27"/>
        <v>1</v>
      </c>
      <c r="U975" s="167">
        <f t="shared" si="25"/>
        <v>45665</v>
      </c>
      <c r="W975" s="43">
        <f t="shared" si="28"/>
        <v>1</v>
      </c>
      <c r="X975" s="49" t="s">
        <v>196</v>
      </c>
      <c r="Y975" s="49" t="s">
        <v>1443</v>
      </c>
      <c r="AB975" s="49" t="s">
        <v>1511</v>
      </c>
    </row>
    <row r="976" spans="1:28" hidden="1">
      <c r="A976" s="163" t="s">
        <v>1017</v>
      </c>
      <c r="B976" s="164">
        <v>45654</v>
      </c>
      <c r="C976" s="163" t="s">
        <v>1512</v>
      </c>
      <c r="D976" s="163" t="s">
        <v>281</v>
      </c>
      <c r="E976" s="163" t="s">
        <v>199</v>
      </c>
      <c r="F976" s="168">
        <v>-2383.23</v>
      </c>
      <c r="G976" s="165">
        <f t="shared" si="19"/>
        <v>10134.831000000031</v>
      </c>
      <c r="H976" s="163"/>
      <c r="I976" s="163" t="s">
        <v>342</v>
      </c>
      <c r="J976" s="163"/>
      <c r="K976" s="163"/>
      <c r="L976" s="163" t="s">
        <v>1062</v>
      </c>
      <c r="M976" s="163"/>
      <c r="N976" s="163" t="s">
        <v>978</v>
      </c>
      <c r="O976" s="163"/>
      <c r="P976" s="163"/>
      <c r="Q976" s="163"/>
      <c r="R976" s="163" t="s">
        <v>135</v>
      </c>
      <c r="S976" s="163" t="s">
        <v>700</v>
      </c>
      <c r="T976" s="43">
        <f t="shared" si="27"/>
        <v>12</v>
      </c>
      <c r="U976" s="167">
        <f t="shared" si="25"/>
        <v>45665</v>
      </c>
      <c r="V976" s="261">
        <v>45665</v>
      </c>
      <c r="W976" s="43">
        <f t="shared" si="28"/>
        <v>1</v>
      </c>
      <c r="X976" s="49" t="s">
        <v>1480</v>
      </c>
      <c r="Y976" s="49" t="s">
        <v>86</v>
      </c>
    </row>
    <row r="977" spans="1:28" ht="14.25" hidden="1" customHeight="1">
      <c r="A977" s="163" t="s">
        <v>1017</v>
      </c>
      <c r="B977" s="164">
        <v>45665</v>
      </c>
      <c r="C977" s="163"/>
      <c r="D977" s="163" t="s">
        <v>281</v>
      </c>
      <c r="E977" s="163" t="s">
        <v>1077</v>
      </c>
      <c r="F977" s="168">
        <f>-1.99*2-1.5</f>
        <v>-5.48</v>
      </c>
      <c r="G977" s="165">
        <f t="shared" si="19"/>
        <v>10129.351000000031</v>
      </c>
      <c r="H977" s="163"/>
      <c r="I977" s="163" t="s">
        <v>342</v>
      </c>
      <c r="J977" s="163"/>
      <c r="K977" s="163"/>
      <c r="L977" s="163" t="s">
        <v>1030</v>
      </c>
      <c r="M977" s="163"/>
      <c r="N977" s="163" t="s">
        <v>978</v>
      </c>
      <c r="O977" s="163"/>
      <c r="P977" s="163"/>
      <c r="Q977" s="163"/>
      <c r="R977" s="163"/>
      <c r="S977" s="163" t="s">
        <v>1076</v>
      </c>
      <c r="T977" s="94">
        <f t="shared" si="27"/>
        <v>1</v>
      </c>
      <c r="U977" s="212">
        <f t="shared" si="25"/>
        <v>45665</v>
      </c>
      <c r="V977" s="43"/>
      <c r="W977" s="43">
        <f t="shared" si="28"/>
        <v>1</v>
      </c>
      <c r="X977" s="43" t="s">
        <v>1483</v>
      </c>
      <c r="Y977" s="43" t="s">
        <v>1443</v>
      </c>
      <c r="Z977" s="43" t="s">
        <v>1113</v>
      </c>
      <c r="AA977" s="43" t="s">
        <v>1113</v>
      </c>
      <c r="AB977" s="43"/>
    </row>
    <row r="978" spans="1:28" hidden="1">
      <c r="A978" s="163" t="s">
        <v>1174</v>
      </c>
      <c r="B978" s="164">
        <v>45663</v>
      </c>
      <c r="C978" s="163" t="s">
        <v>421</v>
      </c>
      <c r="D978" s="163" t="s">
        <v>281</v>
      </c>
      <c r="E978" s="163" t="s">
        <v>407</v>
      </c>
      <c r="F978" s="168"/>
      <c r="G978" s="165">
        <f t="shared" si="19"/>
        <v>10129.351000000031</v>
      </c>
      <c r="H978" s="163"/>
      <c r="I978" s="163" t="s">
        <v>1176</v>
      </c>
      <c r="J978" s="163" t="s">
        <v>1315</v>
      </c>
      <c r="K978" s="163"/>
      <c r="L978" s="163" t="s">
        <v>305</v>
      </c>
      <c r="M978" s="163"/>
      <c r="N978" s="163" t="s">
        <v>1178</v>
      </c>
      <c r="O978" s="163" t="s">
        <v>1315</v>
      </c>
      <c r="P978" s="163" t="s">
        <v>57</v>
      </c>
      <c r="Q978" s="163"/>
      <c r="R978" s="163" t="s">
        <v>426</v>
      </c>
      <c r="S978" s="163" t="s">
        <v>427</v>
      </c>
      <c r="T978" s="43">
        <f t="shared" si="27"/>
        <v>1</v>
      </c>
      <c r="U978" s="167">
        <f t="shared" si="25"/>
        <v>45665</v>
      </c>
      <c r="V978" s="261">
        <v>45665</v>
      </c>
      <c r="W978" s="43">
        <f t="shared" si="28"/>
        <v>1</v>
      </c>
      <c r="X978" s="43" t="s">
        <v>1484</v>
      </c>
      <c r="Y978" s="43" t="s">
        <v>1485</v>
      </c>
      <c r="AB978" s="49" t="s">
        <v>1513</v>
      </c>
    </row>
    <row r="979" spans="1:28" ht="14.25" hidden="1" customHeight="1">
      <c r="A979" s="163" t="s">
        <v>1017</v>
      </c>
      <c r="B979" s="164">
        <v>45665</v>
      </c>
      <c r="C979" s="163" t="s">
        <v>1087</v>
      </c>
      <c r="D979" s="163" t="s">
        <v>281</v>
      </c>
      <c r="E979" s="163" t="s">
        <v>1514</v>
      </c>
      <c r="F979" s="168">
        <v>-1000</v>
      </c>
      <c r="G979" s="165">
        <f t="shared" si="19"/>
        <v>9129.3510000000315</v>
      </c>
      <c r="H979" s="163"/>
      <c r="I979" s="163" t="s">
        <v>342</v>
      </c>
      <c r="J979" s="163"/>
      <c r="K979" s="163"/>
      <c r="L979" s="163" t="s">
        <v>1030</v>
      </c>
      <c r="M979" s="163"/>
      <c r="N979" s="163" t="s">
        <v>978</v>
      </c>
      <c r="O979" s="163"/>
      <c r="P979" s="163"/>
      <c r="Q979" s="163"/>
      <c r="R979" s="163"/>
      <c r="S979" s="163" t="s">
        <v>1076</v>
      </c>
      <c r="T979" s="94">
        <f t="shared" si="27"/>
        <v>1</v>
      </c>
      <c r="U979" s="212">
        <f t="shared" si="25"/>
        <v>45665</v>
      </c>
      <c r="V979" s="43"/>
      <c r="W979" s="43">
        <f t="shared" si="28"/>
        <v>1</v>
      </c>
      <c r="X979" s="43" t="s">
        <v>1381</v>
      </c>
      <c r="Y979" s="43" t="s">
        <v>1479</v>
      </c>
      <c r="Z979" s="43" t="s">
        <v>1113</v>
      </c>
      <c r="AA979" s="43" t="s">
        <v>1113</v>
      </c>
      <c r="AB979" s="43"/>
    </row>
    <row r="980" spans="1:28" hidden="1">
      <c r="A980" s="163"/>
      <c r="B980" s="164">
        <v>45665</v>
      </c>
      <c r="C980" s="163" t="s">
        <v>346</v>
      </c>
      <c r="D980" s="163"/>
      <c r="E980" s="163"/>
      <c r="F980" s="191">
        <v>0</v>
      </c>
      <c r="G980" s="165">
        <f t="shared" si="19"/>
        <v>9129.3510000000315</v>
      </c>
      <c r="H980" s="163"/>
      <c r="I980" s="163"/>
      <c r="J980" s="163"/>
      <c r="K980" s="163"/>
      <c r="L980" s="163"/>
      <c r="M980" s="163"/>
      <c r="N980" s="163"/>
      <c r="O980" s="163"/>
      <c r="P980" s="163"/>
      <c r="Q980" s="163"/>
      <c r="R980" s="163"/>
      <c r="S980" s="163"/>
      <c r="T980" s="43">
        <f t="shared" si="27"/>
        <v>1</v>
      </c>
      <c r="U980" s="167">
        <f t="shared" si="25"/>
        <v>45665</v>
      </c>
      <c r="W980" s="43">
        <f t="shared" si="28"/>
        <v>1</v>
      </c>
    </row>
    <row r="981" spans="1:28" ht="14.25" hidden="1" customHeight="1">
      <c r="A981" s="180" t="s">
        <v>1017</v>
      </c>
      <c r="B981" s="181">
        <v>45666</v>
      </c>
      <c r="C981" s="180" t="s">
        <v>1487</v>
      </c>
      <c r="D981" s="180" t="s">
        <v>281</v>
      </c>
      <c r="E981" s="180" t="s">
        <v>282</v>
      </c>
      <c r="F981" s="230">
        <f>80000+30000</f>
        <v>110000</v>
      </c>
      <c r="G981" s="165">
        <f t="shared" si="19"/>
        <v>119129.35100000002</v>
      </c>
      <c r="H981" s="180"/>
      <c r="I981" s="180" t="s">
        <v>977</v>
      </c>
      <c r="J981" s="180"/>
      <c r="K981" s="180"/>
      <c r="L981" s="180" t="s">
        <v>366</v>
      </c>
      <c r="M981" s="180"/>
      <c r="N981" s="180" t="s">
        <v>978</v>
      </c>
      <c r="O981" s="180"/>
      <c r="P981" s="180"/>
      <c r="Q981" s="180"/>
      <c r="R981" s="180" t="s">
        <v>990</v>
      </c>
      <c r="S981" s="180" t="s">
        <v>991</v>
      </c>
      <c r="T981" s="183">
        <f t="shared" si="27"/>
        <v>1</v>
      </c>
      <c r="U981" s="184">
        <f t="shared" si="25"/>
        <v>45666</v>
      </c>
      <c r="V981" s="256"/>
      <c r="W981" s="43">
        <f t="shared" si="28"/>
        <v>1</v>
      </c>
      <c r="X981" s="183" t="s">
        <v>282</v>
      </c>
      <c r="Y981" s="183" t="s">
        <v>1443</v>
      </c>
      <c r="Z981" s="183" t="s">
        <v>1113</v>
      </c>
      <c r="AA981" s="183" t="s">
        <v>1113</v>
      </c>
      <c r="AB981" s="183"/>
    </row>
    <row r="982" spans="1:28" hidden="1">
      <c r="A982" s="163" t="s">
        <v>1017</v>
      </c>
      <c r="B982" s="164">
        <v>45666</v>
      </c>
      <c r="C982" s="163" t="s">
        <v>1371</v>
      </c>
      <c r="D982" s="163" t="s">
        <v>281</v>
      </c>
      <c r="E982" s="163" t="s">
        <v>199</v>
      </c>
      <c r="F982" s="185">
        <f>-140-100-54.44</f>
        <v>-294.44</v>
      </c>
      <c r="G982" s="165">
        <f t="shared" si="19"/>
        <v>118834.91100000002</v>
      </c>
      <c r="H982" s="163"/>
      <c r="I982" s="163" t="s">
        <v>977</v>
      </c>
      <c r="J982" s="163"/>
      <c r="K982" s="163"/>
      <c r="L982" s="163" t="s">
        <v>485</v>
      </c>
      <c r="M982" s="163"/>
      <c r="N982" s="163" t="s">
        <v>978</v>
      </c>
      <c r="O982" s="163"/>
      <c r="P982" s="163"/>
      <c r="Q982" s="163"/>
      <c r="R982" s="163" t="s">
        <v>1371</v>
      </c>
      <c r="S982" s="163"/>
      <c r="T982" s="43">
        <f t="shared" si="27"/>
        <v>1</v>
      </c>
      <c r="U982" s="167">
        <f t="shared" si="25"/>
        <v>45666</v>
      </c>
      <c r="W982" s="43">
        <f t="shared" si="28"/>
        <v>1</v>
      </c>
      <c r="X982" s="49" t="s">
        <v>1480</v>
      </c>
      <c r="Y982" s="49" t="s">
        <v>25</v>
      </c>
    </row>
    <row r="983" spans="1:28" hidden="1">
      <c r="A983" s="163" t="s">
        <v>1017</v>
      </c>
      <c r="B983" s="164">
        <v>45666</v>
      </c>
      <c r="C983" s="163" t="s">
        <v>1515</v>
      </c>
      <c r="D983" s="163" t="s">
        <v>281</v>
      </c>
      <c r="E983" s="163" t="s">
        <v>199</v>
      </c>
      <c r="F983" s="185">
        <v>-131.35</v>
      </c>
      <c r="G983" s="165">
        <f t="shared" si="19"/>
        <v>118703.56100000002</v>
      </c>
      <c r="H983" s="163"/>
      <c r="I983" s="163" t="s">
        <v>977</v>
      </c>
      <c r="J983" s="163"/>
      <c r="K983" s="163"/>
      <c r="L983" s="163" t="s">
        <v>485</v>
      </c>
      <c r="M983" s="163"/>
      <c r="N983" s="163" t="s">
        <v>978</v>
      </c>
      <c r="O983" s="163"/>
      <c r="P983" s="163"/>
      <c r="Q983" s="163"/>
      <c r="R983" s="163" t="s">
        <v>1371</v>
      </c>
      <c r="S983" s="163"/>
      <c r="T983" s="43">
        <f t="shared" si="27"/>
        <v>1</v>
      </c>
      <c r="U983" s="167">
        <f t="shared" si="25"/>
        <v>45666</v>
      </c>
      <c r="W983" s="43">
        <f t="shared" si="28"/>
        <v>1</v>
      </c>
      <c r="X983" s="49" t="s">
        <v>1480</v>
      </c>
      <c r="Y983" s="49" t="s">
        <v>1443</v>
      </c>
    </row>
    <row r="984" spans="1:28" ht="14.25" hidden="1" customHeight="1">
      <c r="A984" s="163" t="s">
        <v>1017</v>
      </c>
      <c r="B984" s="164">
        <v>45666</v>
      </c>
      <c r="C984" s="163"/>
      <c r="D984" s="163" t="s">
        <v>281</v>
      </c>
      <c r="E984" s="163" t="s">
        <v>1077</v>
      </c>
      <c r="F984" s="185">
        <v>-1</v>
      </c>
      <c r="G984" s="165">
        <f t="shared" si="19"/>
        <v>118702.56100000002</v>
      </c>
      <c r="H984" s="163"/>
      <c r="I984" s="163" t="s">
        <v>342</v>
      </c>
      <c r="J984" s="163"/>
      <c r="K984" s="163"/>
      <c r="L984" s="163" t="s">
        <v>1030</v>
      </c>
      <c r="M984" s="163"/>
      <c r="N984" s="163" t="s">
        <v>978</v>
      </c>
      <c r="O984" s="163"/>
      <c r="P984" s="163"/>
      <c r="Q984" s="163"/>
      <c r="R984" s="163"/>
      <c r="S984" s="163" t="s">
        <v>1076</v>
      </c>
      <c r="T984" s="94">
        <f t="shared" si="27"/>
        <v>1</v>
      </c>
      <c r="U984" s="212">
        <f t="shared" si="25"/>
        <v>45666</v>
      </c>
      <c r="V984" s="43"/>
      <c r="W984" s="43">
        <f t="shared" si="28"/>
        <v>1</v>
      </c>
      <c r="X984" s="43" t="s">
        <v>1483</v>
      </c>
      <c r="Y984" s="43" t="s">
        <v>1443</v>
      </c>
      <c r="Z984" s="43" t="s">
        <v>1113</v>
      </c>
      <c r="AA984" s="43" t="s">
        <v>1113</v>
      </c>
      <c r="AB984" s="43"/>
    </row>
    <row r="985" spans="1:28" hidden="1">
      <c r="A985" s="163"/>
      <c r="B985" s="164">
        <v>45666</v>
      </c>
      <c r="C985" s="163" t="s">
        <v>346</v>
      </c>
      <c r="D985" s="163"/>
      <c r="E985" s="163"/>
      <c r="F985" s="191">
        <v>0</v>
      </c>
      <c r="G985" s="165">
        <f t="shared" si="19"/>
        <v>118702.56100000002</v>
      </c>
      <c r="H985" s="163"/>
      <c r="I985" s="163"/>
      <c r="J985" s="163"/>
      <c r="K985" s="163"/>
      <c r="L985" s="163"/>
      <c r="M985" s="163"/>
      <c r="N985" s="163"/>
      <c r="O985" s="163"/>
      <c r="P985" s="163"/>
      <c r="Q985" s="163"/>
      <c r="R985" s="163"/>
      <c r="S985" s="163"/>
      <c r="T985" s="43">
        <f t="shared" si="27"/>
        <v>1</v>
      </c>
      <c r="U985" s="167">
        <f t="shared" si="25"/>
        <v>45666</v>
      </c>
      <c r="W985" s="43">
        <f t="shared" si="28"/>
        <v>1</v>
      </c>
    </row>
    <row r="986" spans="1:28" hidden="1">
      <c r="A986" s="163" t="s">
        <v>1174</v>
      </c>
      <c r="B986" s="164">
        <v>45667</v>
      </c>
      <c r="C986" s="163" t="s">
        <v>1516</v>
      </c>
      <c r="D986" s="163" t="s">
        <v>281</v>
      </c>
      <c r="E986" s="163" t="s">
        <v>407</v>
      </c>
      <c r="F986" s="191"/>
      <c r="G986" s="165">
        <f t="shared" si="19"/>
        <v>118702.56100000002</v>
      </c>
      <c r="H986" s="163"/>
      <c r="I986" s="163" t="s">
        <v>1176</v>
      </c>
      <c r="J986" s="163" t="s">
        <v>1517</v>
      </c>
      <c r="K986" s="163"/>
      <c r="L986" s="163" t="s">
        <v>305</v>
      </c>
      <c r="M986" s="163"/>
      <c r="N986" s="163" t="s">
        <v>1178</v>
      </c>
      <c r="O986" s="163" t="s">
        <v>1517</v>
      </c>
      <c r="P986" s="163" t="s">
        <v>1518</v>
      </c>
      <c r="Q986" s="163"/>
      <c r="R986" s="163" t="s">
        <v>1516</v>
      </c>
      <c r="S986" s="163" t="s">
        <v>1519</v>
      </c>
      <c r="T986" s="43">
        <f t="shared" si="27"/>
        <v>1</v>
      </c>
      <c r="U986" s="167">
        <f t="shared" si="25"/>
        <v>45667</v>
      </c>
      <c r="W986" s="43">
        <f t="shared" si="28"/>
        <v>1</v>
      </c>
      <c r="X986" s="43" t="s">
        <v>1484</v>
      </c>
      <c r="Y986" s="43" t="s">
        <v>1485</v>
      </c>
    </row>
    <row r="987" spans="1:28" hidden="1">
      <c r="A987" s="163" t="s">
        <v>1174</v>
      </c>
      <c r="B987" s="164">
        <v>45667</v>
      </c>
      <c r="C987" s="163" t="s">
        <v>821</v>
      </c>
      <c r="D987" s="163" t="s">
        <v>281</v>
      </c>
      <c r="E987" s="163" t="s">
        <v>407</v>
      </c>
      <c r="F987" s="191"/>
      <c r="G987" s="165">
        <f t="shared" si="19"/>
        <v>118702.56100000002</v>
      </c>
      <c r="H987" s="163"/>
      <c r="I987" s="163" t="s">
        <v>1176</v>
      </c>
      <c r="J987" s="163" t="s">
        <v>1361</v>
      </c>
      <c r="K987" s="163"/>
      <c r="L987" s="163" t="s">
        <v>305</v>
      </c>
      <c r="M987" s="163"/>
      <c r="N987" s="163" t="s">
        <v>1178</v>
      </c>
      <c r="O987" s="163" t="s">
        <v>1361</v>
      </c>
      <c r="P987" s="163" t="s">
        <v>57</v>
      </c>
      <c r="Q987" s="163"/>
      <c r="R987" s="163" t="s">
        <v>826</v>
      </c>
      <c r="S987" s="163" t="s">
        <v>827</v>
      </c>
      <c r="T987" s="43">
        <f t="shared" si="27"/>
        <v>1</v>
      </c>
      <c r="U987" s="167">
        <f t="shared" si="25"/>
        <v>45667</v>
      </c>
      <c r="W987" s="43">
        <f t="shared" si="28"/>
        <v>1</v>
      </c>
      <c r="X987" s="43" t="s">
        <v>1484</v>
      </c>
      <c r="Y987" s="43" t="s">
        <v>1485</v>
      </c>
    </row>
    <row r="988" spans="1:28" hidden="1">
      <c r="A988" s="163" t="s">
        <v>1174</v>
      </c>
      <c r="B988" s="164">
        <v>45667</v>
      </c>
      <c r="C988" s="163" t="s">
        <v>1090</v>
      </c>
      <c r="D988" s="163" t="s">
        <v>281</v>
      </c>
      <c r="E988" s="163" t="s">
        <v>407</v>
      </c>
      <c r="F988" s="191"/>
      <c r="G988" s="165">
        <f t="shared" si="19"/>
        <v>118702.56100000002</v>
      </c>
      <c r="H988" s="163"/>
      <c r="I988" s="163" t="s">
        <v>1176</v>
      </c>
      <c r="J988" s="163" t="s">
        <v>1414</v>
      </c>
      <c r="K988" s="163"/>
      <c r="L988" s="163" t="s">
        <v>305</v>
      </c>
      <c r="M988" s="163"/>
      <c r="N988" s="163" t="s">
        <v>1178</v>
      </c>
      <c r="O988" s="163" t="s">
        <v>1414</v>
      </c>
      <c r="P988" s="163" t="s">
        <v>1083</v>
      </c>
      <c r="Q988" s="163"/>
      <c r="R988" s="163" t="s">
        <v>1095</v>
      </c>
      <c r="S988" s="163" t="s">
        <v>1096</v>
      </c>
      <c r="T988" s="43">
        <f t="shared" si="27"/>
        <v>1</v>
      </c>
      <c r="U988" s="167">
        <f t="shared" si="25"/>
        <v>45667</v>
      </c>
      <c r="W988" s="43">
        <f t="shared" si="28"/>
        <v>1</v>
      </c>
      <c r="X988" s="43" t="s">
        <v>1484</v>
      </c>
      <c r="Y988" s="43" t="s">
        <v>1485</v>
      </c>
    </row>
    <row r="989" spans="1:28" hidden="1">
      <c r="A989" s="163" t="s">
        <v>1174</v>
      </c>
      <c r="B989" s="164">
        <v>45667</v>
      </c>
      <c r="C989" s="163" t="s">
        <v>736</v>
      </c>
      <c r="D989" s="163" t="s">
        <v>281</v>
      </c>
      <c r="E989" s="163" t="s">
        <v>407</v>
      </c>
      <c r="F989" s="191"/>
      <c r="G989" s="165">
        <f t="shared" si="19"/>
        <v>118702.56100000002</v>
      </c>
      <c r="H989" s="163"/>
      <c r="I989" s="163" t="s">
        <v>1176</v>
      </c>
      <c r="J989" s="163" t="s">
        <v>1383</v>
      </c>
      <c r="K989" s="163"/>
      <c r="L989" s="163" t="s">
        <v>305</v>
      </c>
      <c r="M989" s="163"/>
      <c r="N989" s="163" t="s">
        <v>1178</v>
      </c>
      <c r="O989" s="163" t="s">
        <v>1383</v>
      </c>
      <c r="P989" s="163" t="s">
        <v>57</v>
      </c>
      <c r="Q989" s="163"/>
      <c r="R989" s="163" t="s">
        <v>741</v>
      </c>
      <c r="S989" s="163" t="s">
        <v>742</v>
      </c>
      <c r="T989" s="43">
        <f t="shared" si="27"/>
        <v>1</v>
      </c>
      <c r="U989" s="167">
        <f t="shared" si="25"/>
        <v>45667</v>
      </c>
      <c r="W989" s="43">
        <f t="shared" si="28"/>
        <v>1</v>
      </c>
      <c r="X989" s="43" t="s">
        <v>1484</v>
      </c>
      <c r="Y989" s="43" t="s">
        <v>1485</v>
      </c>
      <c r="AB989" s="194" t="s">
        <v>1520</v>
      </c>
    </row>
    <row r="990" spans="1:28" hidden="1">
      <c r="A990" s="163" t="s">
        <v>1174</v>
      </c>
      <c r="B990" s="164">
        <v>45667</v>
      </c>
      <c r="C990" s="163" t="s">
        <v>644</v>
      </c>
      <c r="D990" s="163" t="s">
        <v>281</v>
      </c>
      <c r="E990" s="163" t="s">
        <v>407</v>
      </c>
      <c r="F990" s="191">
        <v>3300</v>
      </c>
      <c r="G990" s="165">
        <f t="shared" si="19"/>
        <v>122002.56100000002</v>
      </c>
      <c r="H990" s="163"/>
      <c r="I990" s="163" t="s">
        <v>1176</v>
      </c>
      <c r="J990" s="163" t="s">
        <v>1362</v>
      </c>
      <c r="K990" s="163"/>
      <c r="L990" s="163" t="s">
        <v>305</v>
      </c>
      <c r="M990" s="163"/>
      <c r="N990" s="163" t="s">
        <v>1178</v>
      </c>
      <c r="O990" s="163" t="s">
        <v>1362</v>
      </c>
      <c r="P990" s="163" t="s">
        <v>418</v>
      </c>
      <c r="Q990" s="163"/>
      <c r="R990" s="163" t="s">
        <v>649</v>
      </c>
      <c r="S990" s="163" t="s">
        <v>650</v>
      </c>
      <c r="T990" s="43">
        <f t="shared" si="27"/>
        <v>1</v>
      </c>
      <c r="U990" s="167">
        <f t="shared" si="25"/>
        <v>45667</v>
      </c>
      <c r="W990" s="43">
        <f t="shared" si="28"/>
        <v>1</v>
      </c>
      <c r="X990" s="43" t="s">
        <v>1484</v>
      </c>
      <c r="Y990" s="43" t="s">
        <v>1485</v>
      </c>
    </row>
    <row r="991" spans="1:28" hidden="1">
      <c r="A991" s="163" t="s">
        <v>1174</v>
      </c>
      <c r="B991" s="164">
        <v>45667</v>
      </c>
      <c r="C991" s="163" t="s">
        <v>1353</v>
      </c>
      <c r="D991" s="163" t="s">
        <v>281</v>
      </c>
      <c r="E991" s="163" t="s">
        <v>289</v>
      </c>
      <c r="F991" s="191"/>
      <c r="G991" s="165">
        <f t="shared" si="19"/>
        <v>122002.56100000002</v>
      </c>
      <c r="H991" s="163"/>
      <c r="I991" s="163" t="s">
        <v>1176</v>
      </c>
      <c r="J991" s="163" t="s">
        <v>1521</v>
      </c>
      <c r="K991" s="163"/>
      <c r="L991" s="163" t="s">
        <v>305</v>
      </c>
      <c r="M991" s="163"/>
      <c r="N991" s="163" t="s">
        <v>1178</v>
      </c>
      <c r="O991" s="163" t="s">
        <v>1521</v>
      </c>
      <c r="P991" s="163" t="s">
        <v>605</v>
      </c>
      <c r="Q991" s="163"/>
      <c r="R991" s="163" t="s">
        <v>1354</v>
      </c>
      <c r="S991" s="163" t="s">
        <v>1355</v>
      </c>
      <c r="T991" s="43">
        <f t="shared" si="27"/>
        <v>1</v>
      </c>
      <c r="U991" s="167">
        <f t="shared" si="25"/>
        <v>45667</v>
      </c>
      <c r="W991" s="43">
        <f t="shared" si="28"/>
        <v>1</v>
      </c>
      <c r="X991" s="49" t="s">
        <v>1484</v>
      </c>
      <c r="Y991" s="49" t="s">
        <v>78</v>
      </c>
    </row>
    <row r="992" spans="1:28" hidden="1">
      <c r="A992" s="163" t="s">
        <v>1174</v>
      </c>
      <c r="B992" s="164">
        <v>45667</v>
      </c>
      <c r="C992" s="163" t="s">
        <v>625</v>
      </c>
      <c r="D992" s="163" t="s">
        <v>281</v>
      </c>
      <c r="E992" s="163" t="s">
        <v>407</v>
      </c>
      <c r="F992" s="191">
        <v>4200</v>
      </c>
      <c r="G992" s="165">
        <f t="shared" si="19"/>
        <v>126202.56100000002</v>
      </c>
      <c r="H992" s="163"/>
      <c r="I992" s="163" t="s">
        <v>1176</v>
      </c>
      <c r="J992" s="163" t="s">
        <v>1365</v>
      </c>
      <c r="K992" s="163"/>
      <c r="L992" s="163" t="s">
        <v>305</v>
      </c>
      <c r="M992" s="163"/>
      <c r="N992" s="163" t="s">
        <v>1178</v>
      </c>
      <c r="O992" s="163" t="s">
        <v>1365</v>
      </c>
      <c r="P992" s="163" t="s">
        <v>57</v>
      </c>
      <c r="Q992" s="163"/>
      <c r="R992" s="163" t="s">
        <v>630</v>
      </c>
      <c r="S992" s="163" t="s">
        <v>631</v>
      </c>
      <c r="T992" s="43">
        <f t="shared" si="27"/>
        <v>1</v>
      </c>
      <c r="U992" s="167">
        <f t="shared" si="25"/>
        <v>45667</v>
      </c>
      <c r="W992" s="43">
        <f t="shared" si="28"/>
        <v>1</v>
      </c>
      <c r="X992" s="43" t="s">
        <v>1484</v>
      </c>
      <c r="Y992" s="43" t="s">
        <v>1485</v>
      </c>
    </row>
    <row r="993" spans="1:25" hidden="1">
      <c r="A993" s="163" t="s">
        <v>1174</v>
      </c>
      <c r="B993" s="164">
        <v>45663</v>
      </c>
      <c r="C993" s="163" t="s">
        <v>288</v>
      </c>
      <c r="D993" s="163" t="s">
        <v>281</v>
      </c>
      <c r="E993" s="163" t="s">
        <v>407</v>
      </c>
      <c r="F993" s="191">
        <v>4200</v>
      </c>
      <c r="G993" s="165">
        <f t="shared" si="19"/>
        <v>130402.56100000002</v>
      </c>
      <c r="H993" s="163"/>
      <c r="I993" s="163" t="s">
        <v>1176</v>
      </c>
      <c r="J993" s="163" t="s">
        <v>1522</v>
      </c>
      <c r="K993" s="163"/>
      <c r="L993" s="163" t="s">
        <v>305</v>
      </c>
      <c r="M993" s="163"/>
      <c r="N993" s="163" t="s">
        <v>1178</v>
      </c>
      <c r="O993" s="163" t="s">
        <v>1522</v>
      </c>
      <c r="P993" s="163" t="s">
        <v>1523</v>
      </c>
      <c r="Q993" s="163"/>
      <c r="R993" s="163" t="s">
        <v>291</v>
      </c>
      <c r="S993" s="163" t="s">
        <v>292</v>
      </c>
      <c r="T993" s="43">
        <f t="shared" si="27"/>
        <v>1</v>
      </c>
      <c r="U993" s="167">
        <f t="shared" si="25"/>
        <v>45667</v>
      </c>
      <c r="V993" s="261">
        <v>45667</v>
      </c>
      <c r="W993" s="43">
        <f t="shared" si="28"/>
        <v>1</v>
      </c>
      <c r="X993" s="43" t="s">
        <v>1484</v>
      </c>
      <c r="Y993" s="43" t="s">
        <v>1485</v>
      </c>
    </row>
    <row r="994" spans="1:25" hidden="1">
      <c r="A994" s="163" t="s">
        <v>1017</v>
      </c>
      <c r="B994" s="164">
        <v>45667</v>
      </c>
      <c r="C994" s="163" t="s">
        <v>23</v>
      </c>
      <c r="D994" s="163" t="s">
        <v>281</v>
      </c>
      <c r="E994" s="163" t="s">
        <v>23</v>
      </c>
      <c r="F994" s="185"/>
      <c r="G994" s="165">
        <f t="shared" si="19"/>
        <v>130402.56100000002</v>
      </c>
      <c r="H994" s="163"/>
      <c r="I994" s="163" t="s">
        <v>342</v>
      </c>
      <c r="J994" s="163"/>
      <c r="K994" s="163"/>
      <c r="L994" s="163" t="s">
        <v>1424</v>
      </c>
      <c r="M994" s="163"/>
      <c r="N994" s="163" t="s">
        <v>978</v>
      </c>
      <c r="O994" s="163"/>
      <c r="P994" s="163"/>
      <c r="Q994" s="163"/>
      <c r="R994" s="163" t="s">
        <v>1524</v>
      </c>
      <c r="S994" s="163" t="s">
        <v>1525</v>
      </c>
      <c r="T994" s="43">
        <f t="shared" si="27"/>
        <v>1</v>
      </c>
      <c r="U994" s="167">
        <f t="shared" si="25"/>
        <v>45667</v>
      </c>
      <c r="W994" s="43">
        <f t="shared" si="28"/>
        <v>1</v>
      </c>
      <c r="X994" s="49" t="s">
        <v>12</v>
      </c>
      <c r="Y994" s="49" t="s">
        <v>1443</v>
      </c>
    </row>
    <row r="995" spans="1:25" hidden="1">
      <c r="A995" s="163" t="s">
        <v>1017</v>
      </c>
      <c r="B995" s="164">
        <v>45667</v>
      </c>
      <c r="C995" s="163" t="s">
        <v>664</v>
      </c>
      <c r="D995" s="163" t="s">
        <v>281</v>
      </c>
      <c r="E995" s="163" t="s">
        <v>202</v>
      </c>
      <c r="F995" s="185">
        <v>-5500</v>
      </c>
      <c r="G995" s="165">
        <f t="shared" si="19"/>
        <v>124902.56100000002</v>
      </c>
      <c r="H995" s="163"/>
      <c r="I995" s="163" t="s">
        <v>283</v>
      </c>
      <c r="J995" s="163"/>
      <c r="K995" s="163"/>
      <c r="L995" s="163" t="s">
        <v>1062</v>
      </c>
      <c r="M995" s="163"/>
      <c r="N995" s="163" t="s">
        <v>978</v>
      </c>
      <c r="O995" s="163"/>
      <c r="P995" s="163"/>
      <c r="Q995" s="163"/>
      <c r="R995" s="163" t="s">
        <v>666</v>
      </c>
      <c r="S995" s="163" t="s">
        <v>667</v>
      </c>
      <c r="T995" s="43">
        <f t="shared" si="27"/>
        <v>1</v>
      </c>
      <c r="U995" s="167">
        <f t="shared" si="25"/>
        <v>45667</v>
      </c>
      <c r="W995" s="43">
        <f t="shared" si="28"/>
        <v>1</v>
      </c>
      <c r="X995" s="49" t="s">
        <v>1526</v>
      </c>
      <c r="Y995" s="49" t="s">
        <v>25</v>
      </c>
    </row>
    <row r="996" spans="1:25" hidden="1">
      <c r="A996" s="163" t="s">
        <v>1017</v>
      </c>
      <c r="B996" s="164">
        <v>45667</v>
      </c>
      <c r="C996" s="163" t="s">
        <v>326</v>
      </c>
      <c r="D996" s="163" t="s">
        <v>281</v>
      </c>
      <c r="E996" s="163" t="s">
        <v>202</v>
      </c>
      <c r="F996" s="185">
        <v>-6500</v>
      </c>
      <c r="G996" s="165">
        <f t="shared" si="19"/>
        <v>118402.56100000002</v>
      </c>
      <c r="H996" s="163"/>
      <c r="I996" s="163" t="s">
        <v>994</v>
      </c>
      <c r="J996" s="163"/>
      <c r="K996" s="163"/>
      <c r="L996" s="163" t="s">
        <v>1062</v>
      </c>
      <c r="M996" s="163"/>
      <c r="N996" s="163" t="s">
        <v>978</v>
      </c>
      <c r="O996" s="163"/>
      <c r="P996" s="163"/>
      <c r="Q996" s="163"/>
      <c r="R996" s="163" t="s">
        <v>328</v>
      </c>
      <c r="S996" s="163" t="s">
        <v>329</v>
      </c>
      <c r="T996" s="43">
        <f t="shared" si="27"/>
        <v>1</v>
      </c>
      <c r="U996" s="167">
        <f t="shared" si="25"/>
        <v>45667</v>
      </c>
      <c r="W996" s="43">
        <f t="shared" si="28"/>
        <v>1</v>
      </c>
      <c r="X996" s="49" t="s">
        <v>1526</v>
      </c>
      <c r="Y996" s="49" t="s">
        <v>25</v>
      </c>
    </row>
    <row r="997" spans="1:25" hidden="1">
      <c r="A997" s="163" t="s">
        <v>1017</v>
      </c>
      <c r="B997" s="164">
        <v>45667</v>
      </c>
      <c r="C997" s="163" t="s">
        <v>673</v>
      </c>
      <c r="D997" s="163" t="s">
        <v>281</v>
      </c>
      <c r="E997" s="163" t="s">
        <v>202</v>
      </c>
      <c r="F997" s="185">
        <v>-2500</v>
      </c>
      <c r="G997" s="165">
        <f t="shared" si="19"/>
        <v>115902.56100000002</v>
      </c>
      <c r="H997" s="163"/>
      <c r="I997" s="163" t="s">
        <v>283</v>
      </c>
      <c r="J997" s="163"/>
      <c r="K997" s="163"/>
      <c r="L997" s="163" t="s">
        <v>1062</v>
      </c>
      <c r="M997" s="163"/>
      <c r="N997" s="163" t="s">
        <v>978</v>
      </c>
      <c r="O997" s="163"/>
      <c r="P997" s="163"/>
      <c r="Q997" s="163"/>
      <c r="R997" s="163" t="s">
        <v>675</v>
      </c>
      <c r="S997" s="163" t="s">
        <v>676</v>
      </c>
      <c r="T997" s="43">
        <f t="shared" si="27"/>
        <v>1</v>
      </c>
      <c r="U997" s="167">
        <f t="shared" si="25"/>
        <v>45667</v>
      </c>
      <c r="W997" s="43">
        <f t="shared" si="28"/>
        <v>1</v>
      </c>
      <c r="X997" s="49" t="s">
        <v>1526</v>
      </c>
      <c r="Y997" s="49" t="s">
        <v>86</v>
      </c>
    </row>
    <row r="998" spans="1:25" hidden="1">
      <c r="A998" s="163" t="s">
        <v>1017</v>
      </c>
      <c r="B998" s="164">
        <v>45667</v>
      </c>
      <c r="C998" s="163" t="s">
        <v>677</v>
      </c>
      <c r="D998" s="163" t="s">
        <v>281</v>
      </c>
      <c r="E998" s="203" t="s">
        <v>1333</v>
      </c>
      <c r="F998" s="185">
        <v>-2333.33</v>
      </c>
      <c r="G998" s="165">
        <f t="shared" si="19"/>
        <v>113569.23100000001</v>
      </c>
      <c r="H998" s="163"/>
      <c r="I998" s="163" t="s">
        <v>283</v>
      </c>
      <c r="J998" s="163"/>
      <c r="K998" s="163"/>
      <c r="L998" s="163" t="s">
        <v>1062</v>
      </c>
      <c r="M998" s="163"/>
      <c r="N998" s="163" t="s">
        <v>978</v>
      </c>
      <c r="O998" s="163"/>
      <c r="P998" s="163"/>
      <c r="Q998" s="163"/>
      <c r="R998" s="163" t="s">
        <v>679</v>
      </c>
      <c r="S998" s="163" t="s">
        <v>680</v>
      </c>
      <c r="T998" s="43">
        <f t="shared" si="27"/>
        <v>1</v>
      </c>
      <c r="U998" s="167">
        <f t="shared" si="25"/>
        <v>45667</v>
      </c>
      <c r="W998" s="43">
        <f t="shared" si="28"/>
        <v>1</v>
      </c>
      <c r="X998" s="49" t="s">
        <v>1333</v>
      </c>
      <c r="Y998" s="49" t="s">
        <v>105</v>
      </c>
    </row>
    <row r="999" spans="1:25" hidden="1">
      <c r="A999" s="163" t="s">
        <v>1017</v>
      </c>
      <c r="B999" s="164">
        <v>45667</v>
      </c>
      <c r="C999" s="163" t="s">
        <v>840</v>
      </c>
      <c r="D999" s="163" t="s">
        <v>281</v>
      </c>
      <c r="E999" s="163" t="s">
        <v>841</v>
      </c>
      <c r="F999" s="185">
        <v>-1829</v>
      </c>
      <c r="G999" s="165">
        <f t="shared" si="19"/>
        <v>111740.23100000001</v>
      </c>
      <c r="H999" s="163"/>
      <c r="I999" s="163" t="s">
        <v>342</v>
      </c>
      <c r="J999" s="163"/>
      <c r="K999" s="163"/>
      <c r="L999" s="163" t="s">
        <v>1062</v>
      </c>
      <c r="M999" s="163"/>
      <c r="N999" s="163" t="s">
        <v>978</v>
      </c>
      <c r="O999" s="163"/>
      <c r="P999" s="163"/>
      <c r="Q999" s="163"/>
      <c r="R999" s="163" t="s">
        <v>125</v>
      </c>
      <c r="S999" s="163" t="s">
        <v>843</v>
      </c>
      <c r="T999" s="43">
        <f t="shared" si="27"/>
        <v>1</v>
      </c>
      <c r="U999" s="167">
        <f t="shared" si="25"/>
        <v>45667</v>
      </c>
      <c r="W999" s="43">
        <f t="shared" si="28"/>
        <v>1</v>
      </c>
      <c r="X999" s="49" t="s">
        <v>1483</v>
      </c>
      <c r="Y999" s="49" t="s">
        <v>1443</v>
      </c>
    </row>
    <row r="1000" spans="1:25" hidden="1">
      <c r="A1000" s="163" t="s">
        <v>1017</v>
      </c>
      <c r="B1000" s="164">
        <v>45667</v>
      </c>
      <c r="C1000" s="163" t="s">
        <v>681</v>
      </c>
      <c r="D1000" s="163" t="s">
        <v>281</v>
      </c>
      <c r="E1000" s="163" t="s">
        <v>202</v>
      </c>
      <c r="F1000" s="185">
        <v>-3600</v>
      </c>
      <c r="G1000" s="165">
        <f t="shared" si="19"/>
        <v>108140.23100000001</v>
      </c>
      <c r="H1000" s="163"/>
      <c r="I1000" s="163" t="s">
        <v>283</v>
      </c>
      <c r="J1000" s="163"/>
      <c r="K1000" s="163"/>
      <c r="L1000" s="163" t="s">
        <v>1062</v>
      </c>
      <c r="M1000" s="163"/>
      <c r="N1000" s="163" t="s">
        <v>978</v>
      </c>
      <c r="O1000" s="163"/>
      <c r="P1000" s="163"/>
      <c r="Q1000" s="163"/>
      <c r="R1000" s="163" t="s">
        <v>683</v>
      </c>
      <c r="S1000" s="163" t="s">
        <v>684</v>
      </c>
      <c r="T1000" s="43">
        <f t="shared" si="27"/>
        <v>1</v>
      </c>
      <c r="U1000" s="167">
        <f t="shared" si="25"/>
        <v>45667</v>
      </c>
      <c r="W1000" s="43">
        <f t="shared" si="28"/>
        <v>1</v>
      </c>
      <c r="X1000" s="49" t="s">
        <v>1526</v>
      </c>
      <c r="Y1000" s="49" t="s">
        <v>86</v>
      </c>
    </row>
    <row r="1001" spans="1:25" hidden="1">
      <c r="A1001" s="163" t="s">
        <v>1017</v>
      </c>
      <c r="B1001" s="164">
        <v>45667</v>
      </c>
      <c r="C1001" s="163" t="s">
        <v>685</v>
      </c>
      <c r="D1001" s="163" t="s">
        <v>281</v>
      </c>
      <c r="E1001" s="163" t="s">
        <v>202</v>
      </c>
      <c r="F1001" s="185">
        <v>-3500</v>
      </c>
      <c r="G1001" s="165">
        <f t="shared" si="19"/>
        <v>104640.23100000001</v>
      </c>
      <c r="H1001" s="163"/>
      <c r="I1001" s="163" t="s">
        <v>283</v>
      </c>
      <c r="J1001" s="163"/>
      <c r="K1001" s="163"/>
      <c r="L1001" s="163" t="s">
        <v>1030</v>
      </c>
      <c r="M1001" s="163"/>
      <c r="N1001" s="163" t="s">
        <v>978</v>
      </c>
      <c r="O1001" s="163"/>
      <c r="P1001" s="163"/>
      <c r="Q1001" s="163"/>
      <c r="R1001" s="163" t="s">
        <v>688</v>
      </c>
      <c r="S1001" s="163" t="s">
        <v>689</v>
      </c>
      <c r="T1001" s="43">
        <f t="shared" si="27"/>
        <v>1</v>
      </c>
      <c r="U1001" s="167">
        <f t="shared" si="25"/>
        <v>45667</v>
      </c>
      <c r="W1001" s="43">
        <f t="shared" si="28"/>
        <v>1</v>
      </c>
      <c r="X1001" s="49" t="s">
        <v>1526</v>
      </c>
      <c r="Y1001" s="49" t="s">
        <v>86</v>
      </c>
    </row>
    <row r="1002" spans="1:25" hidden="1">
      <c r="A1002" s="163" t="s">
        <v>1017</v>
      </c>
      <c r="B1002" s="164">
        <v>45667</v>
      </c>
      <c r="C1002" s="163" t="s">
        <v>690</v>
      </c>
      <c r="D1002" s="163" t="s">
        <v>281</v>
      </c>
      <c r="E1002" s="163" t="s">
        <v>202</v>
      </c>
      <c r="F1002" s="185">
        <v>-3000</v>
      </c>
      <c r="G1002" s="165">
        <f t="shared" si="19"/>
        <v>101640.23100000001</v>
      </c>
      <c r="H1002" s="163"/>
      <c r="I1002" s="163" t="s">
        <v>283</v>
      </c>
      <c r="J1002" s="163"/>
      <c r="K1002" s="163"/>
      <c r="L1002" s="163" t="s">
        <v>1030</v>
      </c>
      <c r="M1002" s="163"/>
      <c r="N1002" s="163" t="s">
        <v>978</v>
      </c>
      <c r="O1002" s="163"/>
      <c r="P1002" s="163"/>
      <c r="Q1002" s="163"/>
      <c r="R1002" s="163" t="s">
        <v>692</v>
      </c>
      <c r="S1002" s="163" t="s">
        <v>693</v>
      </c>
      <c r="T1002" s="43">
        <f t="shared" si="27"/>
        <v>1</v>
      </c>
      <c r="U1002" s="167">
        <f t="shared" si="25"/>
        <v>45667</v>
      </c>
      <c r="W1002" s="43">
        <f t="shared" si="28"/>
        <v>1</v>
      </c>
      <c r="X1002" s="49" t="s">
        <v>1526</v>
      </c>
      <c r="Y1002" s="49" t="s">
        <v>86</v>
      </c>
    </row>
    <row r="1003" spans="1:25" hidden="1">
      <c r="A1003" s="163" t="s">
        <v>1017</v>
      </c>
      <c r="B1003" s="164">
        <v>45667</v>
      </c>
      <c r="C1003" s="163" t="s">
        <v>183</v>
      </c>
      <c r="D1003" s="163" t="s">
        <v>281</v>
      </c>
      <c r="E1003" s="163" t="s">
        <v>760</v>
      </c>
      <c r="F1003" s="185">
        <v>-199.12</v>
      </c>
      <c r="G1003" s="165">
        <f t="shared" si="19"/>
        <v>101441.11100000002</v>
      </c>
      <c r="H1003" s="163"/>
      <c r="I1003" s="163" t="s">
        <v>283</v>
      </c>
      <c r="J1003" s="163"/>
      <c r="K1003" s="163"/>
      <c r="L1003" s="163" t="s">
        <v>1030</v>
      </c>
      <c r="M1003" s="163"/>
      <c r="N1003" s="163" t="s">
        <v>978</v>
      </c>
      <c r="O1003" s="163"/>
      <c r="P1003" s="163"/>
      <c r="Q1003" s="163"/>
      <c r="R1003" s="163" t="s">
        <v>762</v>
      </c>
      <c r="S1003" s="163" t="s">
        <v>79</v>
      </c>
      <c r="T1003" s="43">
        <f t="shared" si="27"/>
        <v>1</v>
      </c>
      <c r="U1003" s="167">
        <f t="shared" si="25"/>
        <v>45667</v>
      </c>
      <c r="W1003" s="43">
        <f t="shared" si="28"/>
        <v>1</v>
      </c>
      <c r="X1003" s="236" t="s">
        <v>1482</v>
      </c>
      <c r="Y1003" s="236" t="s">
        <v>78</v>
      </c>
    </row>
    <row r="1004" spans="1:25" hidden="1">
      <c r="A1004" s="163" t="s">
        <v>1017</v>
      </c>
      <c r="B1004" s="164">
        <v>45670</v>
      </c>
      <c r="C1004" s="163" t="s">
        <v>181</v>
      </c>
      <c r="D1004" s="163" t="s">
        <v>281</v>
      </c>
      <c r="E1004" s="163" t="s">
        <v>760</v>
      </c>
      <c r="F1004" s="185">
        <v>-7931.25</v>
      </c>
      <c r="G1004" s="165">
        <f t="shared" si="19"/>
        <v>93509.861000000019</v>
      </c>
      <c r="H1004" s="163"/>
      <c r="I1004" s="163" t="s">
        <v>283</v>
      </c>
      <c r="J1004" s="163"/>
      <c r="K1004" s="163"/>
      <c r="L1004" s="163" t="s">
        <v>1030</v>
      </c>
      <c r="M1004" s="163"/>
      <c r="N1004" s="163" t="s">
        <v>978</v>
      </c>
      <c r="O1004" s="163"/>
      <c r="P1004" s="163"/>
      <c r="Q1004" s="163"/>
      <c r="R1004" s="163" t="s">
        <v>764</v>
      </c>
      <c r="S1004" s="163" t="s">
        <v>80</v>
      </c>
      <c r="T1004" s="43">
        <f t="shared" si="27"/>
        <v>1</v>
      </c>
      <c r="U1004" s="167">
        <f t="shared" si="25"/>
        <v>45667</v>
      </c>
      <c r="V1004" s="260">
        <v>45667</v>
      </c>
      <c r="W1004" s="43">
        <f t="shared" si="28"/>
        <v>1</v>
      </c>
      <c r="X1004" s="236" t="s">
        <v>1482</v>
      </c>
      <c r="Y1004" s="236" t="s">
        <v>78</v>
      </c>
    </row>
    <row r="1005" spans="1:25" hidden="1">
      <c r="A1005" s="163" t="s">
        <v>1017</v>
      </c>
      <c r="B1005" s="164">
        <v>45667</v>
      </c>
      <c r="C1005" s="163" t="s">
        <v>751</v>
      </c>
      <c r="D1005" s="163" t="s">
        <v>281</v>
      </c>
      <c r="E1005" s="163" t="s">
        <v>202</v>
      </c>
      <c r="F1005" s="185">
        <v>-6000</v>
      </c>
      <c r="G1005" s="165">
        <f t="shared" si="19"/>
        <v>87509.861000000019</v>
      </c>
      <c r="H1005" s="163"/>
      <c r="I1005" s="163" t="s">
        <v>283</v>
      </c>
      <c r="J1005" s="163"/>
      <c r="K1005" s="163"/>
      <c r="L1005" s="163" t="s">
        <v>686</v>
      </c>
      <c r="M1005" s="163"/>
      <c r="N1005" s="163" t="s">
        <v>978</v>
      </c>
      <c r="O1005" s="163"/>
      <c r="P1005" s="163"/>
      <c r="Q1005" s="163"/>
      <c r="R1005" s="163" t="s">
        <v>753</v>
      </c>
      <c r="S1005" s="163" t="s">
        <v>754</v>
      </c>
      <c r="T1005" s="43">
        <f t="shared" si="27"/>
        <v>1</v>
      </c>
      <c r="U1005" s="167">
        <f t="shared" si="25"/>
        <v>45667</v>
      </c>
      <c r="W1005" s="43">
        <f t="shared" si="28"/>
        <v>1</v>
      </c>
      <c r="X1005" s="49" t="s">
        <v>1526</v>
      </c>
      <c r="Y1005" s="49" t="s">
        <v>26</v>
      </c>
    </row>
    <row r="1006" spans="1:25" hidden="1">
      <c r="A1006" s="163" t="s">
        <v>1017</v>
      </c>
      <c r="B1006" s="164">
        <v>45667</v>
      </c>
      <c r="C1006" s="163" t="s">
        <v>307</v>
      </c>
      <c r="D1006" s="163" t="s">
        <v>281</v>
      </c>
      <c r="E1006" s="163" t="s">
        <v>202</v>
      </c>
      <c r="F1006" s="185">
        <v>-6000</v>
      </c>
      <c r="G1006" s="165">
        <f t="shared" si="19"/>
        <v>81509.861000000019</v>
      </c>
      <c r="H1006" s="163"/>
      <c r="I1006" s="163" t="s">
        <v>283</v>
      </c>
      <c r="J1006" s="163"/>
      <c r="K1006" s="163"/>
      <c r="L1006" s="163" t="s">
        <v>686</v>
      </c>
      <c r="M1006" s="163"/>
      <c r="N1006" s="163" t="s">
        <v>978</v>
      </c>
      <c r="O1006" s="163"/>
      <c r="P1006" s="163"/>
      <c r="Q1006" s="163"/>
      <c r="R1006" s="163" t="s">
        <v>310</v>
      </c>
      <c r="S1006" s="163" t="s">
        <v>311</v>
      </c>
      <c r="T1006" s="43">
        <f t="shared" si="27"/>
        <v>1</v>
      </c>
      <c r="U1006" s="167">
        <f t="shared" si="25"/>
        <v>45667</v>
      </c>
      <c r="W1006" s="43">
        <f t="shared" si="28"/>
        <v>1</v>
      </c>
      <c r="X1006" s="49" t="s">
        <v>1526</v>
      </c>
      <c r="Y1006" s="49" t="s">
        <v>26</v>
      </c>
    </row>
    <row r="1007" spans="1:25" hidden="1">
      <c r="A1007" s="163" t="s">
        <v>1017</v>
      </c>
      <c r="B1007" s="164">
        <v>45667</v>
      </c>
      <c r="C1007" s="163" t="s">
        <v>725</v>
      </c>
      <c r="D1007" s="163" t="s">
        <v>281</v>
      </c>
      <c r="E1007" s="163" t="s">
        <v>202</v>
      </c>
      <c r="F1007" s="185">
        <v>-3500</v>
      </c>
      <c r="G1007" s="165">
        <f t="shared" si="19"/>
        <v>78009.861000000019</v>
      </c>
      <c r="H1007" s="163"/>
      <c r="I1007" s="163" t="s">
        <v>283</v>
      </c>
      <c r="J1007" s="163"/>
      <c r="K1007" s="163"/>
      <c r="L1007" s="163" t="s">
        <v>686</v>
      </c>
      <c r="M1007" s="163"/>
      <c r="N1007" s="163" t="s">
        <v>978</v>
      </c>
      <c r="O1007" s="163"/>
      <c r="P1007" s="163"/>
      <c r="Q1007" s="163"/>
      <c r="R1007" s="163" t="s">
        <v>727</v>
      </c>
      <c r="S1007" s="163" t="s">
        <v>728</v>
      </c>
      <c r="T1007" s="43">
        <f t="shared" si="27"/>
        <v>1</v>
      </c>
      <c r="U1007" s="167">
        <f t="shared" si="25"/>
        <v>45667</v>
      </c>
      <c r="W1007" s="43">
        <f t="shared" si="28"/>
        <v>1</v>
      </c>
      <c r="X1007" s="49" t="s">
        <v>1526</v>
      </c>
      <c r="Y1007" s="49" t="s">
        <v>86</v>
      </c>
    </row>
    <row r="1008" spans="1:25" hidden="1">
      <c r="A1008" s="163" t="s">
        <v>1017</v>
      </c>
      <c r="B1008" s="164">
        <v>45667</v>
      </c>
      <c r="C1008" s="163" t="s">
        <v>154</v>
      </c>
      <c r="D1008" s="163" t="s">
        <v>281</v>
      </c>
      <c r="E1008" s="163" t="s">
        <v>202</v>
      </c>
      <c r="F1008" s="185">
        <v>-3849.9</v>
      </c>
      <c r="G1008" s="165">
        <f t="shared" si="19"/>
        <v>74159.961000000025</v>
      </c>
      <c r="H1008" s="163"/>
      <c r="I1008" s="163" t="s">
        <v>283</v>
      </c>
      <c r="J1008" s="163"/>
      <c r="K1008" s="163"/>
      <c r="L1008" s="163" t="s">
        <v>686</v>
      </c>
      <c r="M1008" s="163"/>
      <c r="N1008" s="163" t="s">
        <v>978</v>
      </c>
      <c r="O1008" s="163"/>
      <c r="P1008" s="163"/>
      <c r="Q1008" s="163"/>
      <c r="R1008" s="163" t="s">
        <v>702</v>
      </c>
      <c r="S1008" s="163" t="s">
        <v>703</v>
      </c>
      <c r="T1008" s="43">
        <f t="shared" si="27"/>
        <v>1</v>
      </c>
      <c r="U1008" s="167">
        <f t="shared" si="25"/>
        <v>45667</v>
      </c>
      <c r="W1008" s="43">
        <f t="shared" si="28"/>
        <v>1</v>
      </c>
      <c r="X1008" s="49" t="s">
        <v>1526</v>
      </c>
      <c r="Y1008" s="49" t="s">
        <v>86</v>
      </c>
    </row>
    <row r="1009" spans="1:28" hidden="1">
      <c r="A1009" s="163" t="s">
        <v>1017</v>
      </c>
      <c r="B1009" s="164">
        <v>45667</v>
      </c>
      <c r="C1009" s="163" t="s">
        <v>704</v>
      </c>
      <c r="D1009" s="163" t="s">
        <v>281</v>
      </c>
      <c r="E1009" s="163" t="s">
        <v>202</v>
      </c>
      <c r="F1009" s="185">
        <v>-4000</v>
      </c>
      <c r="G1009" s="165">
        <f t="shared" si="19"/>
        <v>70159.961000000025</v>
      </c>
      <c r="H1009" s="163"/>
      <c r="I1009" s="163" t="s">
        <v>283</v>
      </c>
      <c r="J1009" s="163"/>
      <c r="K1009" s="163"/>
      <c r="L1009" s="163" t="s">
        <v>686</v>
      </c>
      <c r="M1009" s="163"/>
      <c r="N1009" s="163" t="s">
        <v>978</v>
      </c>
      <c r="O1009" s="163"/>
      <c r="P1009" s="163"/>
      <c r="Q1009" s="163"/>
      <c r="R1009" s="163" t="s">
        <v>706</v>
      </c>
      <c r="S1009" s="163" t="s">
        <v>707</v>
      </c>
      <c r="T1009" s="43">
        <f t="shared" si="27"/>
        <v>1</v>
      </c>
      <c r="U1009" s="167">
        <f t="shared" si="25"/>
        <v>45667</v>
      </c>
      <c r="W1009" s="43">
        <f t="shared" si="28"/>
        <v>1</v>
      </c>
      <c r="X1009" s="49" t="s">
        <v>1526</v>
      </c>
      <c r="Y1009" s="49" t="s">
        <v>86</v>
      </c>
    </row>
    <row r="1010" spans="1:28" hidden="1">
      <c r="A1010" s="163" t="s">
        <v>1017</v>
      </c>
      <c r="B1010" s="164">
        <v>45667</v>
      </c>
      <c r="C1010" s="163" t="s">
        <v>708</v>
      </c>
      <c r="D1010" s="163" t="s">
        <v>281</v>
      </c>
      <c r="E1010" s="163" t="s">
        <v>202</v>
      </c>
      <c r="F1010" s="185">
        <v>-8000</v>
      </c>
      <c r="G1010" s="165">
        <f t="shared" si="19"/>
        <v>62159.961000000025</v>
      </c>
      <c r="H1010" s="163"/>
      <c r="I1010" s="163" t="s">
        <v>283</v>
      </c>
      <c r="J1010" s="163"/>
      <c r="K1010" s="163"/>
      <c r="L1010" s="163" t="s">
        <v>477</v>
      </c>
      <c r="M1010" s="163"/>
      <c r="N1010" s="163" t="s">
        <v>978</v>
      </c>
      <c r="O1010" s="163"/>
      <c r="P1010" s="163"/>
      <c r="Q1010" s="163"/>
      <c r="R1010" s="163" t="s">
        <v>710</v>
      </c>
      <c r="S1010" s="163" t="s">
        <v>711</v>
      </c>
      <c r="T1010" s="43">
        <f t="shared" si="27"/>
        <v>1</v>
      </c>
      <c r="U1010" s="167">
        <f t="shared" si="25"/>
        <v>45667</v>
      </c>
      <c r="W1010" s="43">
        <f t="shared" si="28"/>
        <v>1</v>
      </c>
      <c r="X1010" s="49" t="s">
        <v>1526</v>
      </c>
      <c r="Y1010" s="49" t="s">
        <v>26</v>
      </c>
    </row>
    <row r="1011" spans="1:28" hidden="1">
      <c r="A1011" s="163" t="s">
        <v>1017</v>
      </c>
      <c r="B1011" s="164">
        <v>45667</v>
      </c>
      <c r="C1011" s="163" t="s">
        <v>1527</v>
      </c>
      <c r="D1011" s="163" t="s">
        <v>281</v>
      </c>
      <c r="E1011" s="163" t="s">
        <v>202</v>
      </c>
      <c r="F1011" s="185">
        <v>-8000</v>
      </c>
      <c r="G1011" s="165">
        <f t="shared" si="19"/>
        <v>54159.961000000025</v>
      </c>
      <c r="H1011" s="163"/>
      <c r="I1011" s="163" t="s">
        <v>283</v>
      </c>
      <c r="J1011" s="163"/>
      <c r="K1011" s="163"/>
      <c r="L1011" s="163" t="s">
        <v>485</v>
      </c>
      <c r="M1011" s="163"/>
      <c r="N1011" s="163" t="s">
        <v>978</v>
      </c>
      <c r="O1011" s="163"/>
      <c r="P1011" s="163"/>
      <c r="Q1011" s="163"/>
      <c r="R1011" s="163" t="s">
        <v>1527</v>
      </c>
      <c r="S1011" s="163"/>
      <c r="T1011" s="43">
        <f t="shared" si="27"/>
        <v>1</v>
      </c>
      <c r="U1011" s="167">
        <f t="shared" si="25"/>
        <v>45667</v>
      </c>
      <c r="W1011" s="43">
        <f t="shared" si="28"/>
        <v>1</v>
      </c>
      <c r="X1011" s="49" t="s">
        <v>1526</v>
      </c>
      <c r="Y1011" s="49" t="s">
        <v>86</v>
      </c>
    </row>
    <row r="1012" spans="1:28" hidden="1">
      <c r="A1012" s="163" t="s">
        <v>1017</v>
      </c>
      <c r="B1012" s="164">
        <v>45667</v>
      </c>
      <c r="C1012" s="163" t="s">
        <v>1527</v>
      </c>
      <c r="D1012" s="163" t="s">
        <v>281</v>
      </c>
      <c r="E1012" s="163" t="s">
        <v>202</v>
      </c>
      <c r="F1012" s="185">
        <v>-10000</v>
      </c>
      <c r="G1012" s="165">
        <f t="shared" si="19"/>
        <v>44159.961000000025</v>
      </c>
      <c r="H1012" s="163"/>
      <c r="I1012" s="163" t="s">
        <v>283</v>
      </c>
      <c r="J1012" s="163"/>
      <c r="K1012" s="163"/>
      <c r="L1012" s="163" t="s">
        <v>485</v>
      </c>
      <c r="M1012" s="163"/>
      <c r="N1012" s="163" t="s">
        <v>978</v>
      </c>
      <c r="O1012" s="163"/>
      <c r="P1012" s="163"/>
      <c r="Q1012" s="163"/>
      <c r="R1012" s="163" t="s">
        <v>1527</v>
      </c>
      <c r="S1012" s="163"/>
      <c r="T1012" s="43">
        <f t="shared" si="27"/>
        <v>1</v>
      </c>
      <c r="U1012" s="167">
        <f t="shared" si="25"/>
        <v>45667</v>
      </c>
      <c r="W1012" s="43">
        <f t="shared" si="28"/>
        <v>1</v>
      </c>
      <c r="X1012" s="49" t="s">
        <v>1526</v>
      </c>
      <c r="Y1012" s="49" t="s">
        <v>1488</v>
      </c>
    </row>
    <row r="1013" spans="1:28" ht="14.25" hidden="1" customHeight="1">
      <c r="A1013" s="232" t="s">
        <v>1017</v>
      </c>
      <c r="B1013" s="233">
        <v>45637</v>
      </c>
      <c r="C1013" s="232" t="s">
        <v>1379</v>
      </c>
      <c r="D1013" s="232" t="s">
        <v>281</v>
      </c>
      <c r="E1013" s="232" t="s">
        <v>760</v>
      </c>
      <c r="F1013" s="230"/>
      <c r="G1013" s="165">
        <f t="shared" si="19"/>
        <v>44159.961000000025</v>
      </c>
      <c r="H1013" s="232"/>
      <c r="I1013" s="232" t="s">
        <v>283</v>
      </c>
      <c r="J1013" s="232"/>
      <c r="K1013" s="232"/>
      <c r="L1013" s="232" t="s">
        <v>485</v>
      </c>
      <c r="M1013" s="232"/>
      <c r="N1013" s="232" t="s">
        <v>978</v>
      </c>
      <c r="O1013" s="232"/>
      <c r="P1013" s="232"/>
      <c r="Q1013" s="232"/>
      <c r="R1013" s="232" t="s">
        <v>1368</v>
      </c>
      <c r="S1013" s="232" t="s">
        <v>1369</v>
      </c>
      <c r="T1013" s="234">
        <f t="shared" si="27"/>
        <v>12</v>
      </c>
      <c r="U1013" s="235">
        <f t="shared" si="25"/>
        <v>45667</v>
      </c>
      <c r="V1013" s="260">
        <v>45667</v>
      </c>
      <c r="W1013" s="43">
        <f t="shared" si="28"/>
        <v>1</v>
      </c>
      <c r="X1013" s="236" t="s">
        <v>1482</v>
      </c>
      <c r="Y1013" s="236" t="s">
        <v>78</v>
      </c>
      <c r="Z1013" s="236" t="s">
        <v>1113</v>
      </c>
      <c r="AA1013" s="236" t="s">
        <v>1113</v>
      </c>
      <c r="AB1013" s="43"/>
    </row>
    <row r="1014" spans="1:28" ht="14.25" hidden="1" customHeight="1">
      <c r="A1014" s="232" t="s">
        <v>1017</v>
      </c>
      <c r="B1014" s="233">
        <v>45636</v>
      </c>
      <c r="C1014" s="232" t="s">
        <v>1528</v>
      </c>
      <c r="D1014" s="232" t="s">
        <v>281</v>
      </c>
      <c r="E1014" s="232" t="s">
        <v>925</v>
      </c>
      <c r="F1014" s="230">
        <f>-63.85</f>
        <v>-63.85</v>
      </c>
      <c r="G1014" s="165">
        <f t="shared" si="19"/>
        <v>44096.111000000026</v>
      </c>
      <c r="H1014" s="232"/>
      <c r="I1014" s="232" t="s">
        <v>283</v>
      </c>
      <c r="J1014" s="232"/>
      <c r="K1014" s="232"/>
      <c r="L1014" s="232" t="s">
        <v>305</v>
      </c>
      <c r="M1014" s="232"/>
      <c r="N1014" s="232" t="s">
        <v>978</v>
      </c>
      <c r="O1014" s="232"/>
      <c r="P1014" s="232"/>
      <c r="Q1014" s="232" t="s">
        <v>1067</v>
      </c>
      <c r="R1014" s="232" t="s">
        <v>1087</v>
      </c>
      <c r="S1014" s="232" t="s">
        <v>1089</v>
      </c>
      <c r="T1014" s="234">
        <f t="shared" si="27"/>
        <v>12</v>
      </c>
      <c r="U1014" s="235">
        <f t="shared" si="25"/>
        <v>45667</v>
      </c>
      <c r="V1014" s="260">
        <v>45667</v>
      </c>
      <c r="W1014" s="43">
        <f t="shared" si="28"/>
        <v>1</v>
      </c>
      <c r="X1014" s="236" t="s">
        <v>90</v>
      </c>
      <c r="Y1014" s="236" t="s">
        <v>26</v>
      </c>
      <c r="Z1014" s="236" t="s">
        <v>1157</v>
      </c>
      <c r="AA1014" s="236" t="s">
        <v>1157</v>
      </c>
      <c r="AB1014" s="43"/>
    </row>
    <row r="1015" spans="1:28" ht="14.25" hidden="1" customHeight="1">
      <c r="A1015" s="163" t="s">
        <v>1017</v>
      </c>
      <c r="B1015" s="164">
        <v>45667</v>
      </c>
      <c r="C1015" s="163"/>
      <c r="D1015" s="163" t="s">
        <v>281</v>
      </c>
      <c r="E1015" s="163" t="s">
        <v>1077</v>
      </c>
      <c r="F1015" s="185">
        <f>-1.99*3-10</f>
        <v>-15.969999999999999</v>
      </c>
      <c r="G1015" s="165">
        <f t="shared" si="19"/>
        <v>44080.141000000025</v>
      </c>
      <c r="H1015" s="163"/>
      <c r="I1015" s="163" t="s">
        <v>342</v>
      </c>
      <c r="J1015" s="163"/>
      <c r="K1015" s="163"/>
      <c r="L1015" s="163" t="s">
        <v>1030</v>
      </c>
      <c r="M1015" s="163"/>
      <c r="N1015" s="163" t="s">
        <v>978</v>
      </c>
      <c r="O1015" s="163"/>
      <c r="P1015" s="163"/>
      <c r="Q1015" s="163"/>
      <c r="R1015" s="163"/>
      <c r="S1015" s="163" t="s">
        <v>1076</v>
      </c>
      <c r="T1015" s="94">
        <f t="shared" si="27"/>
        <v>1</v>
      </c>
      <c r="U1015" s="212">
        <f t="shared" si="25"/>
        <v>45667</v>
      </c>
      <c r="V1015" s="43"/>
      <c r="W1015" s="43">
        <f t="shared" si="28"/>
        <v>1</v>
      </c>
      <c r="X1015" s="43" t="s">
        <v>1483</v>
      </c>
      <c r="Y1015" s="43" t="s">
        <v>1443</v>
      </c>
      <c r="Z1015" s="43" t="s">
        <v>1113</v>
      </c>
      <c r="AA1015" s="43" t="s">
        <v>1113</v>
      </c>
      <c r="AB1015" s="43"/>
    </row>
    <row r="1016" spans="1:28" hidden="1">
      <c r="A1016" s="163" t="s">
        <v>1017</v>
      </c>
      <c r="B1016" s="164">
        <v>45659</v>
      </c>
      <c r="C1016" s="163" t="s">
        <v>351</v>
      </c>
      <c r="D1016" s="163" t="s">
        <v>281</v>
      </c>
      <c r="E1016" s="163" t="s">
        <v>359</v>
      </c>
      <c r="F1016" s="185">
        <v>-600</v>
      </c>
      <c r="G1016" s="165">
        <f t="shared" si="19"/>
        <v>43480.141000000025</v>
      </c>
      <c r="H1016" s="163"/>
      <c r="I1016" s="163" t="s">
        <v>283</v>
      </c>
      <c r="J1016" s="163"/>
      <c r="K1016" s="163"/>
      <c r="L1016" s="163" t="s">
        <v>686</v>
      </c>
      <c r="M1016" s="163"/>
      <c r="N1016" s="163" t="s">
        <v>978</v>
      </c>
      <c r="O1016" s="163"/>
      <c r="P1016" s="163"/>
      <c r="Q1016" s="163"/>
      <c r="R1016" s="163" t="s">
        <v>353</v>
      </c>
      <c r="S1016" s="163" t="s">
        <v>354</v>
      </c>
      <c r="T1016" s="43">
        <f t="shared" si="27"/>
        <v>1</v>
      </c>
      <c r="U1016" s="167">
        <f t="shared" si="25"/>
        <v>45667</v>
      </c>
      <c r="V1016" s="260">
        <v>45667</v>
      </c>
      <c r="W1016" s="43">
        <f t="shared" si="28"/>
        <v>1</v>
      </c>
      <c r="X1016" s="49" t="s">
        <v>1483</v>
      </c>
      <c r="Y1016" s="49" t="s">
        <v>25</v>
      </c>
    </row>
    <row r="1017" spans="1:28" hidden="1">
      <c r="A1017" s="180" t="s">
        <v>1017</v>
      </c>
      <c r="B1017" s="181">
        <v>45667</v>
      </c>
      <c r="C1017" s="180" t="s">
        <v>1529</v>
      </c>
      <c r="D1017" s="180" t="s">
        <v>281</v>
      </c>
      <c r="E1017" s="180" t="s">
        <v>202</v>
      </c>
      <c r="F1017" s="185">
        <v>-500</v>
      </c>
      <c r="G1017" s="165">
        <f t="shared" si="19"/>
        <v>42980.141000000025</v>
      </c>
      <c r="H1017" s="180"/>
      <c r="I1017" s="180" t="s">
        <v>283</v>
      </c>
      <c r="J1017" s="180"/>
      <c r="K1017" s="180"/>
      <c r="L1017" s="180" t="s">
        <v>485</v>
      </c>
      <c r="M1017" s="180"/>
      <c r="N1017" s="180" t="s">
        <v>978</v>
      </c>
      <c r="O1017" s="180"/>
      <c r="P1017" s="180"/>
      <c r="Q1017" s="180"/>
      <c r="R1017" s="180" t="s">
        <v>1527</v>
      </c>
      <c r="S1017" s="180"/>
      <c r="T1017" s="183">
        <f t="shared" si="27"/>
        <v>1</v>
      </c>
      <c r="U1017" s="184">
        <f t="shared" si="25"/>
        <v>45667</v>
      </c>
      <c r="V1017" s="183"/>
      <c r="W1017" s="43">
        <f t="shared" si="28"/>
        <v>1</v>
      </c>
      <c r="X1017" s="49" t="s">
        <v>1526</v>
      </c>
      <c r="Y1017" s="100" t="s">
        <v>86</v>
      </c>
      <c r="Z1017" s="183"/>
      <c r="AA1017" s="183"/>
      <c r="AB1017" s="183"/>
    </row>
    <row r="1018" spans="1:28" hidden="1">
      <c r="A1018" s="180" t="s">
        <v>1017</v>
      </c>
      <c r="B1018" s="181">
        <v>45667</v>
      </c>
      <c r="C1018" s="180" t="s">
        <v>1491</v>
      </c>
      <c r="D1018" s="180" t="s">
        <v>281</v>
      </c>
      <c r="E1018" s="180" t="s">
        <v>199</v>
      </c>
      <c r="F1018" s="185">
        <v>-305.12</v>
      </c>
      <c r="G1018" s="165">
        <f t="shared" si="19"/>
        <v>42675.021000000022</v>
      </c>
      <c r="H1018" s="180"/>
      <c r="I1018" s="180" t="s">
        <v>283</v>
      </c>
      <c r="J1018" s="180"/>
      <c r="K1018" s="180"/>
      <c r="L1018" s="180" t="s">
        <v>485</v>
      </c>
      <c r="M1018" s="180"/>
      <c r="N1018" s="180" t="s">
        <v>978</v>
      </c>
      <c r="O1018" s="180"/>
      <c r="P1018" s="180"/>
      <c r="Q1018" s="180"/>
      <c r="R1018" s="180" t="s">
        <v>1527</v>
      </c>
      <c r="S1018" s="180"/>
      <c r="T1018" s="183">
        <f t="shared" si="27"/>
        <v>1</v>
      </c>
      <c r="U1018" s="184">
        <f t="shared" si="25"/>
        <v>45667</v>
      </c>
      <c r="V1018" s="183"/>
      <c r="W1018" s="43">
        <f t="shared" si="28"/>
        <v>1</v>
      </c>
      <c r="X1018" s="183" t="s">
        <v>1480</v>
      </c>
      <c r="Y1018" s="183" t="s">
        <v>1488</v>
      </c>
      <c r="Z1018" s="183"/>
      <c r="AA1018" s="183"/>
      <c r="AB1018" s="183"/>
    </row>
    <row r="1019" spans="1:28" hidden="1">
      <c r="A1019" s="180" t="s">
        <v>1017</v>
      </c>
      <c r="B1019" s="181">
        <v>45667</v>
      </c>
      <c r="C1019" s="180" t="s">
        <v>1530</v>
      </c>
      <c r="D1019" s="180" t="s">
        <v>281</v>
      </c>
      <c r="E1019" s="180" t="s">
        <v>1335</v>
      </c>
      <c r="F1019" s="185">
        <v>-311.10000000000002</v>
      </c>
      <c r="G1019" s="165">
        <f t="shared" si="19"/>
        <v>42363.921000000024</v>
      </c>
      <c r="H1019" s="180"/>
      <c r="I1019" s="180" t="s">
        <v>283</v>
      </c>
      <c r="J1019" s="180"/>
      <c r="K1019" s="180"/>
      <c r="L1019" s="180" t="s">
        <v>485</v>
      </c>
      <c r="M1019" s="180"/>
      <c r="N1019" s="180" t="s">
        <v>978</v>
      </c>
      <c r="O1019" s="180"/>
      <c r="P1019" s="180"/>
      <c r="Q1019" s="180"/>
      <c r="R1019" s="180" t="s">
        <v>1527</v>
      </c>
      <c r="S1019" s="180"/>
      <c r="T1019" s="183">
        <f t="shared" si="27"/>
        <v>1</v>
      </c>
      <c r="U1019" s="184">
        <f t="shared" si="25"/>
        <v>45667</v>
      </c>
      <c r="V1019" s="183"/>
      <c r="W1019" s="43">
        <f t="shared" si="28"/>
        <v>1</v>
      </c>
      <c r="X1019" s="183" t="s">
        <v>1381</v>
      </c>
      <c r="Y1019" s="183" t="s">
        <v>26</v>
      </c>
      <c r="Z1019" s="183"/>
      <c r="AA1019" s="183"/>
      <c r="AB1019" s="183"/>
    </row>
    <row r="1020" spans="1:28" hidden="1">
      <c r="A1020" s="180" t="s">
        <v>1017</v>
      </c>
      <c r="B1020" s="181">
        <v>45667</v>
      </c>
      <c r="C1020" s="180" t="s">
        <v>1087</v>
      </c>
      <c r="D1020" s="180" t="s">
        <v>281</v>
      </c>
      <c r="E1020" s="180" t="s">
        <v>202</v>
      </c>
      <c r="F1020" s="185">
        <v>-30000</v>
      </c>
      <c r="G1020" s="165">
        <f t="shared" si="19"/>
        <v>12363.921000000024</v>
      </c>
      <c r="H1020" s="180"/>
      <c r="I1020" s="180" t="s">
        <v>283</v>
      </c>
      <c r="J1020" s="180"/>
      <c r="K1020" s="180"/>
      <c r="L1020" s="180" t="s">
        <v>485</v>
      </c>
      <c r="M1020" s="180"/>
      <c r="N1020" s="180" t="s">
        <v>978</v>
      </c>
      <c r="O1020" s="180"/>
      <c r="P1020" s="180"/>
      <c r="Q1020" s="180"/>
      <c r="R1020" s="180" t="s">
        <v>1527</v>
      </c>
      <c r="S1020" s="180"/>
      <c r="T1020" s="183">
        <f t="shared" si="27"/>
        <v>1</v>
      </c>
      <c r="U1020" s="184">
        <f t="shared" si="25"/>
        <v>45667</v>
      </c>
      <c r="V1020" s="183"/>
      <c r="W1020" s="43">
        <f t="shared" si="28"/>
        <v>1</v>
      </c>
      <c r="X1020" s="49" t="s">
        <v>1526</v>
      </c>
      <c r="Y1020" s="49" t="s">
        <v>1479</v>
      </c>
      <c r="Z1020" s="183"/>
      <c r="AA1020" s="183"/>
      <c r="AB1020" s="183"/>
    </row>
    <row r="1021" spans="1:28" hidden="1">
      <c r="A1021" s="248" t="s">
        <v>1017</v>
      </c>
      <c r="B1021" s="249">
        <v>45667</v>
      </c>
      <c r="C1021" s="248" t="s">
        <v>101</v>
      </c>
      <c r="D1021" s="248" t="s">
        <v>281</v>
      </c>
      <c r="E1021" s="248" t="s">
        <v>925</v>
      </c>
      <c r="F1021" s="185"/>
      <c r="G1021" s="165">
        <f t="shared" si="19"/>
        <v>12363.921000000024</v>
      </c>
      <c r="H1021" s="248"/>
      <c r="I1021" s="248" t="s">
        <v>283</v>
      </c>
      <c r="J1021" s="248"/>
      <c r="K1021" s="248"/>
      <c r="L1021" s="248" t="s">
        <v>485</v>
      </c>
      <c r="M1021" s="248"/>
      <c r="N1021" s="248" t="s">
        <v>978</v>
      </c>
      <c r="O1021" s="248"/>
      <c r="P1021" s="248"/>
      <c r="Q1021" s="248"/>
      <c r="R1021" s="248" t="s">
        <v>669</v>
      </c>
      <c r="S1021" s="248" t="s">
        <v>1492</v>
      </c>
      <c r="T1021" s="251">
        <f t="shared" si="27"/>
        <v>1</v>
      </c>
      <c r="U1021" s="252">
        <f t="shared" si="25"/>
        <v>45667</v>
      </c>
      <c r="V1021" s="251"/>
      <c r="W1021" s="43">
        <f t="shared" si="28"/>
        <v>1</v>
      </c>
      <c r="X1021" s="236" t="s">
        <v>90</v>
      </c>
      <c r="Y1021" s="236" t="s">
        <v>26</v>
      </c>
      <c r="Z1021" s="251"/>
      <c r="AA1021" s="251"/>
      <c r="AB1021" s="251"/>
    </row>
    <row r="1022" spans="1:28" hidden="1">
      <c r="A1022" s="163"/>
      <c r="B1022" s="164">
        <v>45667</v>
      </c>
      <c r="C1022" s="163" t="s">
        <v>346</v>
      </c>
      <c r="D1022" s="163"/>
      <c r="E1022" s="163"/>
      <c r="F1022" s="165">
        <v>0</v>
      </c>
      <c r="G1022" s="165">
        <f t="shared" si="19"/>
        <v>12363.921000000024</v>
      </c>
      <c r="H1022" s="163"/>
      <c r="I1022" s="163"/>
      <c r="J1022" s="163"/>
      <c r="K1022" s="163"/>
      <c r="L1022" s="163"/>
      <c r="M1022" s="163"/>
      <c r="N1022" s="163"/>
      <c r="O1022" s="163"/>
      <c r="P1022" s="163"/>
      <c r="Q1022" s="163"/>
      <c r="R1022" s="163"/>
      <c r="S1022" s="163"/>
      <c r="T1022" s="43">
        <f t="shared" si="27"/>
        <v>1</v>
      </c>
      <c r="U1022" s="167">
        <f t="shared" si="25"/>
        <v>45667</v>
      </c>
      <c r="W1022" s="43">
        <f t="shared" si="28"/>
        <v>1</v>
      </c>
    </row>
    <row r="1023" spans="1:28" hidden="1">
      <c r="A1023" s="163" t="s">
        <v>1174</v>
      </c>
      <c r="B1023" s="164">
        <v>45667</v>
      </c>
      <c r="C1023" s="163" t="s">
        <v>952</v>
      </c>
      <c r="D1023" s="163" t="s">
        <v>281</v>
      </c>
      <c r="E1023" s="163" t="s">
        <v>407</v>
      </c>
      <c r="F1023" s="165">
        <v>5500</v>
      </c>
      <c r="G1023" s="165">
        <f t="shared" ref="G1023:G1277" si="29">F1023+G1022</f>
        <v>17863.921000000024</v>
      </c>
      <c r="H1023" s="163"/>
      <c r="I1023" s="163" t="s">
        <v>1176</v>
      </c>
      <c r="J1023" s="163" t="s">
        <v>1364</v>
      </c>
      <c r="K1023" s="163"/>
      <c r="L1023" s="163" t="s">
        <v>305</v>
      </c>
      <c r="M1023" s="163"/>
      <c r="N1023" s="163" t="s">
        <v>1178</v>
      </c>
      <c r="O1023" s="163" t="s">
        <v>1364</v>
      </c>
      <c r="P1023" s="163" t="s">
        <v>957</v>
      </c>
      <c r="Q1023" s="163"/>
      <c r="R1023" s="163" t="s">
        <v>958</v>
      </c>
      <c r="S1023" s="163" t="s">
        <v>959</v>
      </c>
      <c r="T1023" s="43">
        <f t="shared" si="27"/>
        <v>1</v>
      </c>
      <c r="U1023" s="167">
        <f t="shared" si="25"/>
        <v>45670</v>
      </c>
      <c r="V1023" s="166">
        <v>45670</v>
      </c>
      <c r="W1023" s="43">
        <f t="shared" si="28"/>
        <v>1</v>
      </c>
      <c r="X1023" s="43" t="s">
        <v>1484</v>
      </c>
      <c r="Y1023" s="43" t="s">
        <v>1485</v>
      </c>
    </row>
    <row r="1024" spans="1:28" hidden="1">
      <c r="A1024" s="163" t="s">
        <v>1174</v>
      </c>
      <c r="B1024" s="164">
        <v>45666</v>
      </c>
      <c r="C1024" s="163" t="s">
        <v>1531</v>
      </c>
      <c r="D1024" s="163" t="s">
        <v>281</v>
      </c>
      <c r="E1024" s="163" t="s">
        <v>407</v>
      </c>
      <c r="F1024" s="165">
        <v>4288.1899999999996</v>
      </c>
      <c r="G1024" s="165">
        <f t="shared" si="29"/>
        <v>22152.111000000023</v>
      </c>
      <c r="H1024" s="163"/>
      <c r="I1024" s="163" t="s">
        <v>1176</v>
      </c>
      <c r="J1024" s="163" t="s">
        <v>1532</v>
      </c>
      <c r="K1024" s="163"/>
      <c r="L1024" s="163" t="s">
        <v>305</v>
      </c>
      <c r="M1024" s="163"/>
      <c r="N1024" s="163" t="s">
        <v>1178</v>
      </c>
      <c r="O1024" s="163" t="s">
        <v>1532</v>
      </c>
      <c r="P1024" s="163" t="s">
        <v>57</v>
      </c>
      <c r="Q1024" s="163"/>
      <c r="R1024" s="163" t="s">
        <v>1533</v>
      </c>
      <c r="S1024" s="163" t="s">
        <v>1534</v>
      </c>
      <c r="T1024" s="43">
        <f t="shared" si="27"/>
        <v>1</v>
      </c>
      <c r="U1024" s="167">
        <f t="shared" si="25"/>
        <v>45670</v>
      </c>
      <c r="V1024" s="166">
        <v>45670</v>
      </c>
      <c r="W1024" s="43">
        <f t="shared" si="28"/>
        <v>1</v>
      </c>
      <c r="X1024" s="43" t="s">
        <v>1484</v>
      </c>
      <c r="Y1024" s="43" t="s">
        <v>1485</v>
      </c>
      <c r="AB1024" s="49" t="s">
        <v>1535</v>
      </c>
    </row>
    <row r="1025" spans="1:28" ht="14.25" hidden="1" customHeight="1">
      <c r="A1025" s="190" t="s">
        <v>1017</v>
      </c>
      <c r="B1025" s="225">
        <v>45642</v>
      </c>
      <c r="C1025" s="190" t="s">
        <v>1401</v>
      </c>
      <c r="D1025" s="190" t="s">
        <v>281</v>
      </c>
      <c r="E1025" s="190" t="s">
        <v>407</v>
      </c>
      <c r="F1025" s="230">
        <v>2800</v>
      </c>
      <c r="G1025" s="165">
        <f t="shared" si="29"/>
        <v>24952.111000000023</v>
      </c>
      <c r="H1025" s="190"/>
      <c r="I1025" s="190" t="s">
        <v>1176</v>
      </c>
      <c r="J1025" s="190" t="s">
        <v>1400</v>
      </c>
      <c r="K1025" s="190"/>
      <c r="L1025" s="190" t="s">
        <v>305</v>
      </c>
      <c r="M1025" s="190"/>
      <c r="N1025" s="190" t="s">
        <v>1178</v>
      </c>
      <c r="O1025" s="190" t="s">
        <v>1400</v>
      </c>
      <c r="P1025" s="190" t="s">
        <v>57</v>
      </c>
      <c r="Q1025" s="190"/>
      <c r="R1025" s="190"/>
      <c r="S1025" s="190" t="s">
        <v>968</v>
      </c>
      <c r="T1025" s="94">
        <f t="shared" si="27"/>
        <v>12</v>
      </c>
      <c r="U1025" s="212">
        <f t="shared" si="25"/>
        <v>45670</v>
      </c>
      <c r="V1025" s="166">
        <v>45670</v>
      </c>
      <c r="W1025" s="43">
        <f t="shared" si="28"/>
        <v>1</v>
      </c>
      <c r="X1025" s="43" t="s">
        <v>1484</v>
      </c>
      <c r="Y1025" s="43" t="s">
        <v>1485</v>
      </c>
      <c r="Z1025" s="43" t="s">
        <v>1113</v>
      </c>
      <c r="AA1025" s="43"/>
      <c r="AB1025" s="43"/>
    </row>
    <row r="1026" spans="1:28" hidden="1">
      <c r="A1026" s="163" t="s">
        <v>1017</v>
      </c>
      <c r="B1026" s="164">
        <v>45670</v>
      </c>
      <c r="C1026" s="163" t="s">
        <v>765</v>
      </c>
      <c r="D1026" s="163" t="s">
        <v>281</v>
      </c>
      <c r="E1026" s="163" t="s">
        <v>760</v>
      </c>
      <c r="F1026" s="226">
        <v>-675</v>
      </c>
      <c r="G1026" s="165">
        <f t="shared" si="29"/>
        <v>24277.111000000023</v>
      </c>
      <c r="H1026" s="163"/>
      <c r="I1026" s="163" t="s">
        <v>283</v>
      </c>
      <c r="J1026" s="163"/>
      <c r="K1026" s="163"/>
      <c r="L1026" s="163" t="s">
        <v>366</v>
      </c>
      <c r="M1026" s="163"/>
      <c r="N1026" s="163" t="s">
        <v>978</v>
      </c>
      <c r="O1026" s="163"/>
      <c r="P1026" s="163"/>
      <c r="Q1026" s="163"/>
      <c r="R1026" s="163" t="s">
        <v>765</v>
      </c>
      <c r="S1026" s="163" t="s">
        <v>768</v>
      </c>
      <c r="T1026" s="43">
        <f t="shared" si="27"/>
        <v>1</v>
      </c>
      <c r="U1026" s="167">
        <f t="shared" si="25"/>
        <v>45670</v>
      </c>
      <c r="V1026" s="166">
        <v>45670</v>
      </c>
      <c r="W1026" s="43">
        <f t="shared" si="28"/>
        <v>1</v>
      </c>
      <c r="X1026" s="236" t="s">
        <v>1482</v>
      </c>
      <c r="Y1026" s="236" t="s">
        <v>78</v>
      </c>
    </row>
    <row r="1027" spans="1:28" hidden="1">
      <c r="A1027" s="163" t="s">
        <v>1017</v>
      </c>
      <c r="B1027" s="164">
        <v>45670</v>
      </c>
      <c r="C1027" s="163" t="s">
        <v>773</v>
      </c>
      <c r="D1027" s="163" t="s">
        <v>281</v>
      </c>
      <c r="E1027" s="163" t="s">
        <v>760</v>
      </c>
      <c r="F1027" s="204"/>
      <c r="G1027" s="165">
        <f t="shared" si="29"/>
        <v>24277.111000000023</v>
      </c>
      <c r="H1027" s="163"/>
      <c r="I1027" s="163" t="s">
        <v>283</v>
      </c>
      <c r="J1027" s="163"/>
      <c r="K1027" s="163"/>
      <c r="L1027" s="163" t="s">
        <v>1062</v>
      </c>
      <c r="M1027" s="163"/>
      <c r="N1027" s="163" t="s">
        <v>978</v>
      </c>
      <c r="O1027" s="163"/>
      <c r="P1027" s="163"/>
      <c r="Q1027" s="163"/>
      <c r="R1027" s="163" t="s">
        <v>775</v>
      </c>
      <c r="S1027" s="163" t="s">
        <v>776</v>
      </c>
      <c r="T1027" s="43">
        <f t="shared" si="27"/>
        <v>1</v>
      </c>
      <c r="U1027" s="167">
        <f t="shared" si="25"/>
        <v>45670</v>
      </c>
      <c r="W1027" s="43">
        <f t="shared" si="28"/>
        <v>1</v>
      </c>
      <c r="X1027" s="236" t="s">
        <v>1482</v>
      </c>
      <c r="Y1027" s="236" t="s">
        <v>78</v>
      </c>
    </row>
    <row r="1028" spans="1:28" hidden="1">
      <c r="A1028" s="163" t="s">
        <v>1017</v>
      </c>
      <c r="B1028" s="164">
        <v>45670</v>
      </c>
      <c r="C1028" s="163" t="s">
        <v>1013</v>
      </c>
      <c r="D1028" s="163" t="s">
        <v>281</v>
      </c>
      <c r="E1028" s="163" t="s">
        <v>199</v>
      </c>
      <c r="F1028" s="226">
        <v>-100</v>
      </c>
      <c r="G1028" s="165">
        <f t="shared" si="29"/>
        <v>24177.111000000023</v>
      </c>
      <c r="H1028" s="163"/>
      <c r="I1028" s="163" t="s">
        <v>977</v>
      </c>
      <c r="J1028" s="163"/>
      <c r="K1028" s="163"/>
      <c r="L1028" s="163" t="s">
        <v>1536</v>
      </c>
      <c r="M1028" s="163"/>
      <c r="N1028" s="163" t="s">
        <v>978</v>
      </c>
      <c r="O1028" s="163"/>
      <c r="P1028" s="163"/>
      <c r="Q1028" s="163"/>
      <c r="R1028" s="163" t="s">
        <v>1015</v>
      </c>
      <c r="S1028" s="163" t="s">
        <v>1016</v>
      </c>
      <c r="T1028" s="43">
        <f t="shared" si="27"/>
        <v>1</v>
      </c>
      <c r="U1028" s="167">
        <f t="shared" si="25"/>
        <v>45670</v>
      </c>
      <c r="W1028" s="43">
        <f t="shared" si="28"/>
        <v>1</v>
      </c>
      <c r="X1028" s="49" t="s">
        <v>1480</v>
      </c>
      <c r="Y1028" s="49" t="s">
        <v>26</v>
      </c>
    </row>
    <row r="1029" spans="1:28" hidden="1">
      <c r="A1029" s="163" t="s">
        <v>1017</v>
      </c>
      <c r="B1029" s="164">
        <v>45670</v>
      </c>
      <c r="C1029" s="163" t="s">
        <v>1389</v>
      </c>
      <c r="D1029" s="163" t="s">
        <v>281</v>
      </c>
      <c r="E1029" s="163" t="s">
        <v>199</v>
      </c>
      <c r="F1029" s="226">
        <v>-22</v>
      </c>
      <c r="G1029" s="165">
        <f t="shared" si="29"/>
        <v>24155.111000000023</v>
      </c>
      <c r="H1029" s="163"/>
      <c r="I1029" s="163" t="s">
        <v>342</v>
      </c>
      <c r="J1029" s="163"/>
      <c r="K1029" s="163"/>
      <c r="L1029" s="163" t="s">
        <v>1030</v>
      </c>
      <c r="M1029" s="163"/>
      <c r="N1029" s="163" t="s">
        <v>978</v>
      </c>
      <c r="O1029" s="163"/>
      <c r="P1029" s="163"/>
      <c r="Q1029" s="163"/>
      <c r="R1029" s="163" t="s">
        <v>1390</v>
      </c>
      <c r="S1029" s="163" t="s">
        <v>1391</v>
      </c>
      <c r="T1029" s="43">
        <f t="shared" si="27"/>
        <v>1</v>
      </c>
      <c r="U1029" s="167">
        <f t="shared" si="25"/>
        <v>45670</v>
      </c>
      <c r="W1029" s="43">
        <f t="shared" si="28"/>
        <v>1</v>
      </c>
      <c r="X1029" s="49" t="s">
        <v>1480</v>
      </c>
      <c r="Y1029" s="49" t="s">
        <v>25</v>
      </c>
    </row>
    <row r="1030" spans="1:28" hidden="1">
      <c r="A1030" s="180" t="s">
        <v>1017</v>
      </c>
      <c r="B1030" s="181">
        <v>45667</v>
      </c>
      <c r="C1030" s="180" t="s">
        <v>1537</v>
      </c>
      <c r="D1030" s="180" t="s">
        <v>281</v>
      </c>
      <c r="E1030" s="180" t="s">
        <v>1538</v>
      </c>
      <c r="F1030" s="226">
        <v>-3000</v>
      </c>
      <c r="G1030" s="165">
        <f t="shared" si="29"/>
        <v>21155.111000000023</v>
      </c>
      <c r="H1030" s="180"/>
      <c r="I1030" s="180" t="s">
        <v>283</v>
      </c>
      <c r="J1030" s="180"/>
      <c r="K1030" s="180"/>
      <c r="L1030" s="180" t="s">
        <v>485</v>
      </c>
      <c r="M1030" s="180"/>
      <c r="N1030" s="180" t="s">
        <v>978</v>
      </c>
      <c r="O1030" s="180"/>
      <c r="P1030" s="180"/>
      <c r="Q1030" s="180"/>
      <c r="R1030" s="180" t="s">
        <v>1527</v>
      </c>
      <c r="S1030" s="180"/>
      <c r="T1030" s="183">
        <f t="shared" si="27"/>
        <v>1</v>
      </c>
      <c r="U1030" s="184">
        <f t="shared" si="25"/>
        <v>45670</v>
      </c>
      <c r="V1030" s="187">
        <v>45670</v>
      </c>
      <c r="W1030" s="43">
        <f t="shared" si="28"/>
        <v>1</v>
      </c>
      <c r="X1030" s="43" t="s">
        <v>196</v>
      </c>
      <c r="Y1030" s="43" t="s">
        <v>1443</v>
      </c>
      <c r="Z1030" s="183"/>
      <c r="AA1030" s="183"/>
      <c r="AB1030" s="183"/>
    </row>
    <row r="1031" spans="1:28" hidden="1">
      <c r="A1031" s="163" t="s">
        <v>1017</v>
      </c>
      <c r="B1031" s="164">
        <v>45670</v>
      </c>
      <c r="C1031" s="163" t="s">
        <v>1393</v>
      </c>
      <c r="D1031" s="163" t="s">
        <v>281</v>
      </c>
      <c r="E1031" s="163" t="s">
        <v>199</v>
      </c>
      <c r="F1031" s="226">
        <v>-120</v>
      </c>
      <c r="G1031" s="165">
        <f t="shared" si="29"/>
        <v>21035.111000000023</v>
      </c>
      <c r="H1031" s="163"/>
      <c r="I1031" s="163" t="s">
        <v>342</v>
      </c>
      <c r="J1031" s="163"/>
      <c r="K1031" s="163"/>
      <c r="L1031" s="163" t="s">
        <v>766</v>
      </c>
      <c r="M1031" s="163"/>
      <c r="N1031" s="163" t="s">
        <v>978</v>
      </c>
      <c r="O1031" s="163"/>
      <c r="P1031" s="163"/>
      <c r="Q1031" s="163"/>
      <c r="R1031" s="163" t="s">
        <v>1394</v>
      </c>
      <c r="S1031" s="163" t="s">
        <v>1395</v>
      </c>
      <c r="T1031" s="43">
        <f t="shared" si="27"/>
        <v>1</v>
      </c>
      <c r="U1031" s="167">
        <f t="shared" si="25"/>
        <v>45670</v>
      </c>
      <c r="W1031" s="43">
        <f t="shared" si="28"/>
        <v>1</v>
      </c>
      <c r="X1031" s="49" t="s">
        <v>1480</v>
      </c>
      <c r="Y1031" s="49" t="s">
        <v>105</v>
      </c>
    </row>
    <row r="1032" spans="1:28" hidden="1">
      <c r="A1032" s="163" t="s">
        <v>1017</v>
      </c>
      <c r="B1032" s="164">
        <v>45670</v>
      </c>
      <c r="C1032" s="163" t="s">
        <v>1353</v>
      </c>
      <c r="D1032" s="163" t="s">
        <v>281</v>
      </c>
      <c r="E1032" s="163" t="s">
        <v>760</v>
      </c>
      <c r="F1032" s="168"/>
      <c r="G1032" s="165">
        <f t="shared" si="29"/>
        <v>21035.111000000023</v>
      </c>
      <c r="H1032" s="163"/>
      <c r="I1032" s="163" t="s">
        <v>283</v>
      </c>
      <c r="J1032" s="163"/>
      <c r="K1032" s="163"/>
      <c r="L1032" s="163" t="s">
        <v>477</v>
      </c>
      <c r="M1032" s="163"/>
      <c r="N1032" s="163" t="s">
        <v>978</v>
      </c>
      <c r="O1032" s="163"/>
      <c r="P1032" s="163"/>
      <c r="Q1032" s="163"/>
      <c r="R1032" s="163" t="s">
        <v>1354</v>
      </c>
      <c r="S1032" s="163" t="s">
        <v>1355</v>
      </c>
      <c r="T1032" s="43">
        <f t="shared" si="27"/>
        <v>1</v>
      </c>
      <c r="U1032" s="167">
        <f t="shared" si="25"/>
        <v>45670</v>
      </c>
      <c r="W1032" s="43">
        <f t="shared" si="28"/>
        <v>1</v>
      </c>
      <c r="X1032" s="236" t="s">
        <v>1482</v>
      </c>
      <c r="Y1032" s="236" t="s">
        <v>78</v>
      </c>
    </row>
    <row r="1033" spans="1:28" hidden="1">
      <c r="A1033" s="163" t="s">
        <v>1017</v>
      </c>
      <c r="B1033" s="164">
        <v>45670</v>
      </c>
      <c r="C1033" s="163" t="s">
        <v>1379</v>
      </c>
      <c r="D1033" s="163" t="s">
        <v>281</v>
      </c>
      <c r="E1033" s="163" t="s">
        <v>760</v>
      </c>
      <c r="F1033" s="168"/>
      <c r="G1033" s="165">
        <f t="shared" si="29"/>
        <v>21035.111000000023</v>
      </c>
      <c r="H1033" s="163"/>
      <c r="I1033" s="163" t="s">
        <v>283</v>
      </c>
      <c r="J1033" s="163"/>
      <c r="K1033" s="163"/>
      <c r="L1033" s="163" t="s">
        <v>477</v>
      </c>
      <c r="M1033" s="163"/>
      <c r="N1033" s="163" t="s">
        <v>978</v>
      </c>
      <c r="O1033" s="163"/>
      <c r="P1033" s="163"/>
      <c r="Q1033" s="163"/>
      <c r="R1033" s="163" t="s">
        <v>1368</v>
      </c>
      <c r="S1033" s="163" t="s">
        <v>1369</v>
      </c>
      <c r="T1033" s="43">
        <f t="shared" si="27"/>
        <v>1</v>
      </c>
      <c r="U1033" s="167">
        <f t="shared" si="25"/>
        <v>45670</v>
      </c>
      <c r="W1033" s="43">
        <f t="shared" si="28"/>
        <v>1</v>
      </c>
      <c r="X1033" s="236" t="s">
        <v>1482</v>
      </c>
      <c r="Y1033" s="236" t="s">
        <v>78</v>
      </c>
    </row>
    <row r="1034" spans="1:28" ht="14.25" hidden="1" customHeight="1">
      <c r="A1034" s="163" t="s">
        <v>1017</v>
      </c>
      <c r="B1034" s="164">
        <v>45670</v>
      </c>
      <c r="C1034" s="163"/>
      <c r="D1034" s="163" t="s">
        <v>281</v>
      </c>
      <c r="E1034" s="163" t="s">
        <v>1077</v>
      </c>
      <c r="F1034" s="185">
        <f>-1.99*3-1.5</f>
        <v>-7.47</v>
      </c>
      <c r="G1034" s="165">
        <f t="shared" si="29"/>
        <v>21027.641000000021</v>
      </c>
      <c r="H1034" s="163"/>
      <c r="I1034" s="163" t="s">
        <v>342</v>
      </c>
      <c r="J1034" s="163"/>
      <c r="K1034" s="163"/>
      <c r="L1034" s="163" t="s">
        <v>1030</v>
      </c>
      <c r="M1034" s="163"/>
      <c r="N1034" s="163" t="s">
        <v>978</v>
      </c>
      <c r="O1034" s="163"/>
      <c r="P1034" s="163"/>
      <c r="Q1034" s="163"/>
      <c r="R1034" s="163"/>
      <c r="S1034" s="163" t="s">
        <v>1076</v>
      </c>
      <c r="T1034" s="94">
        <f t="shared" si="27"/>
        <v>1</v>
      </c>
      <c r="U1034" s="212">
        <f t="shared" si="25"/>
        <v>45670</v>
      </c>
      <c r="V1034" s="43"/>
      <c r="W1034" s="43">
        <f t="shared" si="28"/>
        <v>1</v>
      </c>
      <c r="X1034" s="43" t="s">
        <v>1483</v>
      </c>
      <c r="Y1034" s="43" t="s">
        <v>1443</v>
      </c>
      <c r="Z1034" s="43" t="s">
        <v>1113</v>
      </c>
      <c r="AA1034" s="43" t="s">
        <v>1113</v>
      </c>
      <c r="AB1034" s="43"/>
    </row>
    <row r="1035" spans="1:28" hidden="1">
      <c r="A1035" s="180" t="s">
        <v>1017</v>
      </c>
      <c r="B1035" s="181">
        <v>45670</v>
      </c>
      <c r="C1035" s="180" t="s">
        <v>1432</v>
      </c>
      <c r="D1035" s="180" t="s">
        <v>281</v>
      </c>
      <c r="E1035" s="180" t="s">
        <v>760</v>
      </c>
      <c r="F1035" s="182"/>
      <c r="G1035" s="165">
        <f t="shared" si="29"/>
        <v>21027.641000000021</v>
      </c>
      <c r="H1035" s="180"/>
      <c r="I1035" s="180" t="s">
        <v>283</v>
      </c>
      <c r="J1035" s="180"/>
      <c r="K1035" s="180"/>
      <c r="L1035" s="180" t="s">
        <v>477</v>
      </c>
      <c r="M1035" s="180"/>
      <c r="N1035" s="180" t="s">
        <v>978</v>
      </c>
      <c r="O1035" s="180"/>
      <c r="P1035" s="180"/>
      <c r="Q1035" s="180"/>
      <c r="R1035" s="180" t="s">
        <v>1368</v>
      </c>
      <c r="S1035" s="180" t="s">
        <v>1369</v>
      </c>
      <c r="T1035" s="183">
        <f t="shared" si="27"/>
        <v>1</v>
      </c>
      <c r="U1035" s="184">
        <f t="shared" si="25"/>
        <v>45670</v>
      </c>
      <c r="V1035" s="183"/>
      <c r="W1035" s="43">
        <f t="shared" si="28"/>
        <v>1</v>
      </c>
      <c r="X1035" s="236" t="s">
        <v>1482</v>
      </c>
      <c r="Y1035" s="236" t="s">
        <v>78</v>
      </c>
      <c r="Z1035" s="183"/>
      <c r="AA1035" s="183"/>
      <c r="AB1035" s="183"/>
    </row>
    <row r="1036" spans="1:28" hidden="1">
      <c r="A1036" s="248" t="s">
        <v>1017</v>
      </c>
      <c r="B1036" s="249">
        <v>45670</v>
      </c>
      <c r="C1036" s="248" t="s">
        <v>1441</v>
      </c>
      <c r="D1036" s="248" t="s">
        <v>281</v>
      </c>
      <c r="E1036" s="248" t="s">
        <v>760</v>
      </c>
      <c r="F1036" s="253"/>
      <c r="G1036" s="165">
        <f t="shared" si="29"/>
        <v>21027.641000000021</v>
      </c>
      <c r="H1036" s="248"/>
      <c r="I1036" s="248" t="s">
        <v>283</v>
      </c>
      <c r="J1036" s="248"/>
      <c r="K1036" s="248"/>
      <c r="L1036" s="248" t="s">
        <v>477</v>
      </c>
      <c r="M1036" s="248"/>
      <c r="N1036" s="248" t="s">
        <v>978</v>
      </c>
      <c r="O1036" s="248"/>
      <c r="P1036" s="248"/>
      <c r="Q1036" s="248"/>
      <c r="R1036" s="248" t="s">
        <v>1368</v>
      </c>
      <c r="S1036" s="248" t="s">
        <v>1369</v>
      </c>
      <c r="T1036" s="251">
        <f t="shared" si="27"/>
        <v>1</v>
      </c>
      <c r="U1036" s="252">
        <f t="shared" si="25"/>
        <v>45670</v>
      </c>
      <c r="V1036" s="251"/>
      <c r="W1036" s="43">
        <f t="shared" si="28"/>
        <v>1</v>
      </c>
      <c r="X1036" s="236" t="s">
        <v>1482</v>
      </c>
      <c r="Y1036" s="236" t="s">
        <v>78</v>
      </c>
      <c r="Z1036" s="251"/>
      <c r="AA1036" s="251"/>
      <c r="AB1036" s="251"/>
    </row>
    <row r="1037" spans="1:28" hidden="1">
      <c r="A1037" s="163" t="s">
        <v>1017</v>
      </c>
      <c r="B1037" s="164">
        <v>45670</v>
      </c>
      <c r="C1037" s="163" t="s">
        <v>1392</v>
      </c>
      <c r="D1037" s="163" t="s">
        <v>281</v>
      </c>
      <c r="E1037" s="163" t="s">
        <v>199</v>
      </c>
      <c r="F1037" s="226">
        <v>-175</v>
      </c>
      <c r="G1037" s="165">
        <f t="shared" si="29"/>
        <v>20852.641000000021</v>
      </c>
      <c r="H1037" s="163"/>
      <c r="I1037" s="163" t="s">
        <v>977</v>
      </c>
      <c r="J1037" s="163"/>
      <c r="K1037" s="163"/>
      <c r="L1037" s="163" t="s">
        <v>485</v>
      </c>
      <c r="M1037" s="163"/>
      <c r="N1037" s="163" t="s">
        <v>978</v>
      </c>
      <c r="O1037" s="163"/>
      <c r="P1037" s="163"/>
      <c r="Q1037" s="163"/>
      <c r="R1037" s="163" t="s">
        <v>1392</v>
      </c>
      <c r="S1037" s="163"/>
      <c r="T1037" s="43">
        <f t="shared" si="27"/>
        <v>1</v>
      </c>
      <c r="U1037" s="167">
        <f t="shared" si="25"/>
        <v>45670</v>
      </c>
      <c r="W1037" s="43">
        <f t="shared" si="28"/>
        <v>1</v>
      </c>
      <c r="X1037" s="49" t="s">
        <v>1480</v>
      </c>
      <c r="Y1037" s="49" t="s">
        <v>26</v>
      </c>
    </row>
    <row r="1038" spans="1:28" hidden="1">
      <c r="A1038" s="180" t="s">
        <v>1017</v>
      </c>
      <c r="B1038" s="181">
        <v>45670</v>
      </c>
      <c r="C1038" s="180" t="s">
        <v>1539</v>
      </c>
      <c r="D1038" s="180" t="s">
        <v>281</v>
      </c>
      <c r="E1038" s="180" t="s">
        <v>199</v>
      </c>
      <c r="F1038" s="226">
        <v>-424.59</v>
      </c>
      <c r="G1038" s="165">
        <f t="shared" si="29"/>
        <v>20428.051000000021</v>
      </c>
      <c r="H1038" s="180"/>
      <c r="I1038" s="180" t="s">
        <v>283</v>
      </c>
      <c r="J1038" s="180"/>
      <c r="K1038" s="180"/>
      <c r="L1038" s="180" t="s">
        <v>485</v>
      </c>
      <c r="M1038" s="180"/>
      <c r="N1038" s="180" t="s">
        <v>978</v>
      </c>
      <c r="O1038" s="180"/>
      <c r="P1038" s="180"/>
      <c r="Q1038" s="180"/>
      <c r="R1038" s="180" t="s">
        <v>669</v>
      </c>
      <c r="S1038" s="180" t="s">
        <v>1492</v>
      </c>
      <c r="T1038" s="183">
        <f t="shared" si="27"/>
        <v>1</v>
      </c>
      <c r="U1038" s="184">
        <f t="shared" si="25"/>
        <v>45670</v>
      </c>
      <c r="V1038" s="183"/>
      <c r="W1038" s="43">
        <f t="shared" si="28"/>
        <v>1</v>
      </c>
      <c r="X1038" s="183" t="s">
        <v>1480</v>
      </c>
      <c r="Y1038" s="206" t="s">
        <v>86</v>
      </c>
      <c r="Z1038" s="183"/>
      <c r="AA1038" s="183"/>
      <c r="AB1038" s="183"/>
    </row>
    <row r="1039" spans="1:28" hidden="1">
      <c r="A1039" s="180" t="s">
        <v>1017</v>
      </c>
      <c r="B1039" s="181">
        <v>45667</v>
      </c>
      <c r="C1039" s="180" t="s">
        <v>1540</v>
      </c>
      <c r="D1039" s="180" t="s">
        <v>281</v>
      </c>
      <c r="E1039" s="180" t="s">
        <v>202</v>
      </c>
      <c r="F1039" s="182"/>
      <c r="G1039" s="165">
        <f t="shared" si="29"/>
        <v>20428.051000000021</v>
      </c>
      <c r="H1039" s="180"/>
      <c r="I1039" s="180" t="s">
        <v>283</v>
      </c>
      <c r="J1039" s="180"/>
      <c r="K1039" s="180"/>
      <c r="L1039" s="180" t="s">
        <v>485</v>
      </c>
      <c r="M1039" s="180"/>
      <c r="N1039" s="180" t="s">
        <v>978</v>
      </c>
      <c r="O1039" s="180"/>
      <c r="P1039" s="180"/>
      <c r="Q1039" s="180"/>
      <c r="R1039" s="180" t="s">
        <v>1527</v>
      </c>
      <c r="S1039" s="180"/>
      <c r="T1039" s="183">
        <f t="shared" si="27"/>
        <v>1</v>
      </c>
      <c r="U1039" s="184">
        <f t="shared" si="25"/>
        <v>45670</v>
      </c>
      <c r="V1039" s="187">
        <v>45670</v>
      </c>
      <c r="W1039" s="43">
        <f t="shared" si="28"/>
        <v>1</v>
      </c>
      <c r="X1039" s="49" t="s">
        <v>1526</v>
      </c>
      <c r="Y1039" s="49" t="s">
        <v>1541</v>
      </c>
      <c r="Z1039" s="183"/>
      <c r="AA1039" s="183"/>
      <c r="AB1039" s="183" t="s">
        <v>1113</v>
      </c>
    </row>
    <row r="1040" spans="1:28" hidden="1">
      <c r="A1040" s="163"/>
      <c r="B1040" s="164">
        <v>45670</v>
      </c>
      <c r="C1040" s="163" t="s">
        <v>346</v>
      </c>
      <c r="D1040" s="163"/>
      <c r="E1040" s="163"/>
      <c r="F1040" s="165">
        <v>0</v>
      </c>
      <c r="G1040" s="165">
        <f t="shared" si="29"/>
        <v>20428.051000000021</v>
      </c>
      <c r="H1040" s="163"/>
      <c r="I1040" s="163"/>
      <c r="J1040" s="163"/>
      <c r="K1040" s="163"/>
      <c r="L1040" s="163"/>
      <c r="M1040" s="163"/>
      <c r="N1040" s="163"/>
      <c r="O1040" s="163"/>
      <c r="P1040" s="163"/>
      <c r="Q1040" s="163"/>
      <c r="R1040" s="163"/>
      <c r="S1040" s="163"/>
      <c r="T1040" s="43">
        <f t="shared" si="27"/>
        <v>1</v>
      </c>
      <c r="U1040" s="167">
        <f t="shared" si="25"/>
        <v>45670</v>
      </c>
      <c r="W1040" s="43">
        <f t="shared" si="28"/>
        <v>1</v>
      </c>
    </row>
    <row r="1041" spans="1:28" ht="14.25" hidden="1" customHeight="1">
      <c r="A1041" s="180" t="s">
        <v>1017</v>
      </c>
      <c r="B1041" s="181">
        <v>45671</v>
      </c>
      <c r="C1041" s="180" t="s">
        <v>1487</v>
      </c>
      <c r="D1041" s="180" t="s">
        <v>281</v>
      </c>
      <c r="E1041" s="180" t="s">
        <v>282</v>
      </c>
      <c r="F1041" s="230">
        <v>20000</v>
      </c>
      <c r="G1041" s="165">
        <f t="shared" si="29"/>
        <v>40428.051000000021</v>
      </c>
      <c r="H1041" s="180"/>
      <c r="I1041" s="180" t="s">
        <v>977</v>
      </c>
      <c r="J1041" s="180"/>
      <c r="K1041" s="180"/>
      <c r="L1041" s="180" t="s">
        <v>366</v>
      </c>
      <c r="M1041" s="180"/>
      <c r="N1041" s="180" t="s">
        <v>978</v>
      </c>
      <c r="O1041" s="180"/>
      <c r="P1041" s="180"/>
      <c r="Q1041" s="180"/>
      <c r="R1041" s="180" t="s">
        <v>990</v>
      </c>
      <c r="S1041" s="180" t="s">
        <v>991</v>
      </c>
      <c r="T1041" s="183">
        <f t="shared" si="27"/>
        <v>1</v>
      </c>
      <c r="U1041" s="184">
        <f t="shared" si="25"/>
        <v>45671</v>
      </c>
      <c r="V1041" s="256"/>
      <c r="W1041" s="43">
        <f t="shared" si="28"/>
        <v>1</v>
      </c>
      <c r="X1041" s="183" t="s">
        <v>282</v>
      </c>
      <c r="Y1041" s="183" t="s">
        <v>1443</v>
      </c>
      <c r="Z1041" s="183" t="s">
        <v>1113</v>
      </c>
      <c r="AA1041" s="183" t="s">
        <v>1113</v>
      </c>
      <c r="AB1041" s="183"/>
    </row>
    <row r="1042" spans="1:28" hidden="1">
      <c r="A1042" s="163" t="s">
        <v>1174</v>
      </c>
      <c r="B1042" s="164">
        <v>45667</v>
      </c>
      <c r="C1042" s="163" t="s">
        <v>71</v>
      </c>
      <c r="D1042" s="163" t="s">
        <v>281</v>
      </c>
      <c r="E1042" s="163" t="s">
        <v>407</v>
      </c>
      <c r="F1042" s="165">
        <v>3000</v>
      </c>
      <c r="G1042" s="165">
        <f t="shared" si="29"/>
        <v>43428.051000000021</v>
      </c>
      <c r="H1042" s="163"/>
      <c r="I1042" s="163" t="s">
        <v>1176</v>
      </c>
      <c r="J1042" s="163" t="s">
        <v>1365</v>
      </c>
      <c r="K1042" s="163"/>
      <c r="L1042" s="163" t="s">
        <v>305</v>
      </c>
      <c r="M1042" s="163"/>
      <c r="N1042" s="163" t="s">
        <v>1178</v>
      </c>
      <c r="O1042" s="163" t="s">
        <v>1365</v>
      </c>
      <c r="P1042" s="163" t="s">
        <v>57</v>
      </c>
      <c r="Q1042" s="163"/>
      <c r="R1042" s="163" t="s">
        <v>630</v>
      </c>
      <c r="S1042" s="163" t="s">
        <v>631</v>
      </c>
      <c r="T1042" s="43">
        <f t="shared" si="27"/>
        <v>1</v>
      </c>
      <c r="U1042" s="167">
        <f t="shared" si="25"/>
        <v>45671</v>
      </c>
      <c r="V1042" s="166">
        <v>45671</v>
      </c>
      <c r="W1042" s="43">
        <f t="shared" si="28"/>
        <v>1</v>
      </c>
      <c r="X1042" s="43" t="s">
        <v>1484</v>
      </c>
      <c r="Y1042" s="43" t="s">
        <v>1485</v>
      </c>
      <c r="AB1042" s="49" t="s">
        <v>1542</v>
      </c>
    </row>
    <row r="1043" spans="1:28" hidden="1">
      <c r="A1043" s="163" t="s">
        <v>1017</v>
      </c>
      <c r="B1043" s="164">
        <v>45671</v>
      </c>
      <c r="C1043" s="163" t="s">
        <v>998</v>
      </c>
      <c r="D1043" s="163" t="s">
        <v>281</v>
      </c>
      <c r="E1043" s="163" t="s">
        <v>199</v>
      </c>
      <c r="F1043" s="226">
        <v>-1295.76</v>
      </c>
      <c r="G1043" s="165">
        <f t="shared" si="29"/>
        <v>42132.291000000019</v>
      </c>
      <c r="H1043" s="163"/>
      <c r="I1043" s="163" t="s">
        <v>342</v>
      </c>
      <c r="J1043" s="163"/>
      <c r="K1043" s="163"/>
      <c r="L1043" s="163" t="s">
        <v>1062</v>
      </c>
      <c r="M1043" s="163"/>
      <c r="N1043" s="163" t="s">
        <v>978</v>
      </c>
      <c r="O1043" s="163"/>
      <c r="P1043" s="163"/>
      <c r="Q1043" s="163"/>
      <c r="R1043" s="163" t="s">
        <v>999</v>
      </c>
      <c r="S1043" s="163" t="s">
        <v>1000</v>
      </c>
      <c r="T1043" s="43">
        <f t="shared" si="27"/>
        <v>1</v>
      </c>
      <c r="U1043" s="167">
        <f t="shared" si="25"/>
        <v>45671</v>
      </c>
      <c r="W1043" s="43">
        <f t="shared" si="28"/>
        <v>1</v>
      </c>
      <c r="X1043" s="49" t="s">
        <v>1480</v>
      </c>
      <c r="Y1043" s="49" t="s">
        <v>1488</v>
      </c>
    </row>
    <row r="1044" spans="1:28" hidden="1">
      <c r="A1044" s="180" t="s">
        <v>1017</v>
      </c>
      <c r="B1044" s="181">
        <v>45671</v>
      </c>
      <c r="C1044" s="180" t="s">
        <v>1033</v>
      </c>
      <c r="D1044" s="180" t="s">
        <v>281</v>
      </c>
      <c r="E1044" s="180" t="s">
        <v>120</v>
      </c>
      <c r="F1044" s="226">
        <v>-122.15</v>
      </c>
      <c r="G1044" s="165">
        <f t="shared" si="29"/>
        <v>42010.141000000018</v>
      </c>
      <c r="H1044" s="180"/>
      <c r="I1044" s="180" t="s">
        <v>342</v>
      </c>
      <c r="J1044" s="180"/>
      <c r="K1044" s="180"/>
      <c r="L1044" s="180" t="s">
        <v>477</v>
      </c>
      <c r="M1044" s="180"/>
      <c r="N1044" s="180" t="s">
        <v>978</v>
      </c>
      <c r="O1044" s="180"/>
      <c r="P1044" s="180"/>
      <c r="Q1044" s="180"/>
      <c r="R1044" s="180" t="s">
        <v>1007</v>
      </c>
      <c r="S1044" s="180" t="s">
        <v>982</v>
      </c>
      <c r="T1044" s="183">
        <f t="shared" si="27"/>
        <v>1</v>
      </c>
      <c r="U1044" s="184">
        <f t="shared" si="25"/>
        <v>45671</v>
      </c>
      <c r="V1044" s="183"/>
      <c r="W1044" s="43">
        <f t="shared" si="28"/>
        <v>1</v>
      </c>
      <c r="X1044" s="49" t="s">
        <v>1498</v>
      </c>
      <c r="Y1044" s="183" t="s">
        <v>1336</v>
      </c>
      <c r="Z1044" s="183"/>
      <c r="AA1044" s="183"/>
      <c r="AB1044" s="183"/>
    </row>
    <row r="1045" spans="1:28" hidden="1">
      <c r="A1045" s="180" t="s">
        <v>1017</v>
      </c>
      <c r="B1045" s="181">
        <v>45671</v>
      </c>
      <c r="C1045" s="180" t="s">
        <v>1336</v>
      </c>
      <c r="D1045" s="180" t="s">
        <v>281</v>
      </c>
      <c r="E1045" s="180" t="s">
        <v>122</v>
      </c>
      <c r="F1045" s="226">
        <f>-146.4-292.8</f>
        <v>-439.20000000000005</v>
      </c>
      <c r="G1045" s="165">
        <f t="shared" si="29"/>
        <v>41570.941000000021</v>
      </c>
      <c r="H1045" s="180"/>
      <c r="I1045" s="180" t="s">
        <v>342</v>
      </c>
      <c r="J1045" s="180"/>
      <c r="K1045" s="180"/>
      <c r="L1045" s="180" t="s">
        <v>477</v>
      </c>
      <c r="M1045" s="180"/>
      <c r="N1045" s="180" t="s">
        <v>978</v>
      </c>
      <c r="O1045" s="180"/>
      <c r="P1045" s="180"/>
      <c r="Q1045" s="180"/>
      <c r="R1045" s="180" t="s">
        <v>1007</v>
      </c>
      <c r="S1045" s="180" t="s">
        <v>982</v>
      </c>
      <c r="T1045" s="183">
        <f t="shared" si="27"/>
        <v>1</v>
      </c>
      <c r="U1045" s="184">
        <f t="shared" si="25"/>
        <v>45671</v>
      </c>
      <c r="V1045" s="183"/>
      <c r="W1045" s="43">
        <f t="shared" si="28"/>
        <v>1</v>
      </c>
      <c r="X1045" s="43" t="s">
        <v>1543</v>
      </c>
      <c r="Y1045" s="43" t="s">
        <v>1336</v>
      </c>
      <c r="Z1045" s="183"/>
      <c r="AA1045" s="183"/>
      <c r="AB1045" s="183"/>
    </row>
    <row r="1046" spans="1:28" hidden="1">
      <c r="A1046" s="180" t="s">
        <v>1017</v>
      </c>
      <c r="B1046" s="181">
        <v>45671</v>
      </c>
      <c r="C1046" s="180" t="s">
        <v>441</v>
      </c>
      <c r="D1046" s="180" t="s">
        <v>281</v>
      </c>
      <c r="E1046" s="180" t="s">
        <v>1333</v>
      </c>
      <c r="F1046" s="226">
        <f t="shared" ref="F1046:F1047" si="30">-2965.7-761.73</f>
        <v>-3727.43</v>
      </c>
      <c r="G1046" s="165">
        <f t="shared" si="29"/>
        <v>37843.51100000002</v>
      </c>
      <c r="H1046" s="180"/>
      <c r="I1046" s="180" t="s">
        <v>342</v>
      </c>
      <c r="J1046" s="180"/>
      <c r="K1046" s="180"/>
      <c r="L1046" s="180" t="s">
        <v>477</v>
      </c>
      <c r="M1046" s="180"/>
      <c r="N1046" s="180" t="s">
        <v>978</v>
      </c>
      <c r="O1046" s="180"/>
      <c r="P1046" s="180"/>
      <c r="Q1046" s="180"/>
      <c r="R1046" s="180" t="s">
        <v>1007</v>
      </c>
      <c r="S1046" s="180" t="s">
        <v>982</v>
      </c>
      <c r="T1046" s="183">
        <f t="shared" si="27"/>
        <v>1</v>
      </c>
      <c r="U1046" s="184">
        <f t="shared" si="25"/>
        <v>45671</v>
      </c>
      <c r="V1046" s="183"/>
      <c r="W1046" s="43">
        <f t="shared" si="28"/>
        <v>1</v>
      </c>
      <c r="X1046" s="49" t="s">
        <v>1333</v>
      </c>
      <c r="Y1046" s="49" t="s">
        <v>25</v>
      </c>
      <c r="Z1046" s="183"/>
      <c r="AA1046" s="183"/>
      <c r="AB1046" s="183"/>
    </row>
    <row r="1047" spans="1:28" hidden="1">
      <c r="A1047" s="180" t="s">
        <v>1017</v>
      </c>
      <c r="B1047" s="181">
        <v>45671</v>
      </c>
      <c r="C1047" s="180" t="s">
        <v>444</v>
      </c>
      <c r="D1047" s="180" t="s">
        <v>281</v>
      </c>
      <c r="E1047" s="180" t="s">
        <v>1333</v>
      </c>
      <c r="F1047" s="226">
        <f t="shared" si="30"/>
        <v>-3727.43</v>
      </c>
      <c r="G1047" s="165">
        <f t="shared" si="29"/>
        <v>34116.08100000002</v>
      </c>
      <c r="H1047" s="180"/>
      <c r="I1047" s="180" t="s">
        <v>342</v>
      </c>
      <c r="J1047" s="180"/>
      <c r="K1047" s="180"/>
      <c r="L1047" s="180" t="s">
        <v>477</v>
      </c>
      <c r="M1047" s="180"/>
      <c r="N1047" s="180" t="s">
        <v>978</v>
      </c>
      <c r="O1047" s="180"/>
      <c r="P1047" s="180"/>
      <c r="Q1047" s="180"/>
      <c r="R1047" s="180" t="s">
        <v>1007</v>
      </c>
      <c r="S1047" s="180" t="s">
        <v>982</v>
      </c>
      <c r="T1047" s="183">
        <f t="shared" si="27"/>
        <v>1</v>
      </c>
      <c r="U1047" s="184">
        <f t="shared" si="25"/>
        <v>45671</v>
      </c>
      <c r="V1047" s="183"/>
      <c r="W1047" s="43">
        <f t="shared" si="28"/>
        <v>1</v>
      </c>
      <c r="X1047" s="49" t="s">
        <v>1333</v>
      </c>
      <c r="Y1047" s="49" t="s">
        <v>25</v>
      </c>
      <c r="Z1047" s="183"/>
      <c r="AA1047" s="183"/>
      <c r="AB1047" s="183"/>
    </row>
    <row r="1048" spans="1:28" hidden="1">
      <c r="A1048" s="180" t="s">
        <v>1017</v>
      </c>
      <c r="B1048" s="181">
        <v>45667</v>
      </c>
      <c r="C1048" s="180" t="s">
        <v>1544</v>
      </c>
      <c r="D1048" s="180" t="s">
        <v>281</v>
      </c>
      <c r="E1048" s="180" t="s">
        <v>202</v>
      </c>
      <c r="F1048" s="226">
        <v>-1000</v>
      </c>
      <c r="G1048" s="165">
        <f t="shared" si="29"/>
        <v>33116.08100000002</v>
      </c>
      <c r="H1048" s="180"/>
      <c r="I1048" s="180" t="s">
        <v>283</v>
      </c>
      <c r="J1048" s="180"/>
      <c r="K1048" s="180"/>
      <c r="L1048" s="180" t="s">
        <v>485</v>
      </c>
      <c r="M1048" s="180"/>
      <c r="N1048" s="180" t="s">
        <v>978</v>
      </c>
      <c r="O1048" s="180"/>
      <c r="P1048" s="180"/>
      <c r="Q1048" s="180"/>
      <c r="R1048" s="180" t="s">
        <v>1527</v>
      </c>
      <c r="S1048" s="180"/>
      <c r="T1048" s="183">
        <f t="shared" si="27"/>
        <v>1</v>
      </c>
      <c r="U1048" s="184">
        <f t="shared" si="25"/>
        <v>45671</v>
      </c>
      <c r="V1048" s="166">
        <v>45671</v>
      </c>
      <c r="W1048" s="43">
        <f t="shared" si="28"/>
        <v>1</v>
      </c>
      <c r="X1048" s="49" t="s">
        <v>1526</v>
      </c>
      <c r="Y1048" s="49" t="s">
        <v>86</v>
      </c>
      <c r="Z1048" s="183"/>
      <c r="AA1048" s="183"/>
      <c r="AB1048" s="183"/>
    </row>
    <row r="1049" spans="1:28" ht="14.25" hidden="1" customHeight="1">
      <c r="A1049" s="163" t="s">
        <v>1017</v>
      </c>
      <c r="B1049" s="164">
        <v>45671</v>
      </c>
      <c r="C1049" s="163"/>
      <c r="D1049" s="163" t="s">
        <v>281</v>
      </c>
      <c r="E1049" s="163" t="s">
        <v>1077</v>
      </c>
      <c r="F1049" s="185">
        <f>-1.99-4</f>
        <v>-5.99</v>
      </c>
      <c r="G1049" s="165">
        <f t="shared" si="29"/>
        <v>33110.091000000022</v>
      </c>
      <c r="H1049" s="163"/>
      <c r="I1049" s="163" t="s">
        <v>342</v>
      </c>
      <c r="J1049" s="163"/>
      <c r="K1049" s="163"/>
      <c r="L1049" s="163" t="s">
        <v>1030</v>
      </c>
      <c r="M1049" s="163"/>
      <c r="N1049" s="163" t="s">
        <v>978</v>
      </c>
      <c r="O1049" s="163"/>
      <c r="P1049" s="163"/>
      <c r="Q1049" s="163"/>
      <c r="R1049" s="163"/>
      <c r="S1049" s="163" t="s">
        <v>1076</v>
      </c>
      <c r="T1049" s="94">
        <f t="shared" si="27"/>
        <v>1</v>
      </c>
      <c r="U1049" s="212">
        <f t="shared" si="25"/>
        <v>45671</v>
      </c>
      <c r="V1049" s="43"/>
      <c r="W1049" s="43">
        <f t="shared" si="28"/>
        <v>1</v>
      </c>
      <c r="X1049" s="43" t="s">
        <v>1483</v>
      </c>
      <c r="Y1049" s="43" t="s">
        <v>1443</v>
      </c>
      <c r="Z1049" s="43" t="s">
        <v>1113</v>
      </c>
      <c r="AA1049" s="43" t="s">
        <v>1113</v>
      </c>
      <c r="AB1049" s="43"/>
    </row>
    <row r="1050" spans="1:28" hidden="1">
      <c r="A1050" s="180" t="s">
        <v>1017</v>
      </c>
      <c r="B1050" s="181">
        <v>45667</v>
      </c>
      <c r="C1050" s="180" t="s">
        <v>1087</v>
      </c>
      <c r="D1050" s="180" t="s">
        <v>281</v>
      </c>
      <c r="E1050" s="180" t="s">
        <v>202</v>
      </c>
      <c r="F1050" s="182">
        <v>-20000</v>
      </c>
      <c r="G1050" s="165">
        <f t="shared" si="29"/>
        <v>13110.091000000022</v>
      </c>
      <c r="H1050" s="180"/>
      <c r="I1050" s="180" t="s">
        <v>283</v>
      </c>
      <c r="J1050" s="180"/>
      <c r="K1050" s="180"/>
      <c r="L1050" s="180" t="s">
        <v>485</v>
      </c>
      <c r="M1050" s="180"/>
      <c r="N1050" s="180" t="s">
        <v>978</v>
      </c>
      <c r="O1050" s="180"/>
      <c r="P1050" s="180"/>
      <c r="Q1050" s="180"/>
      <c r="R1050" s="180" t="s">
        <v>1527</v>
      </c>
      <c r="S1050" s="180"/>
      <c r="T1050" s="183">
        <f t="shared" si="27"/>
        <v>1</v>
      </c>
      <c r="U1050" s="184">
        <f t="shared" si="25"/>
        <v>45671</v>
      </c>
      <c r="V1050" s="166">
        <v>45671</v>
      </c>
      <c r="W1050" s="43">
        <f t="shared" si="28"/>
        <v>1</v>
      </c>
      <c r="X1050" s="49" t="s">
        <v>1526</v>
      </c>
      <c r="Y1050" s="49" t="s">
        <v>1479</v>
      </c>
      <c r="Z1050" s="183"/>
      <c r="AA1050" s="183"/>
      <c r="AB1050" s="183"/>
    </row>
    <row r="1051" spans="1:28" hidden="1">
      <c r="A1051" s="163"/>
      <c r="B1051" s="164">
        <v>45671</v>
      </c>
      <c r="C1051" s="163" t="s">
        <v>346</v>
      </c>
      <c r="D1051" s="163"/>
      <c r="E1051" s="163"/>
      <c r="F1051" s="165">
        <v>0</v>
      </c>
      <c r="G1051" s="165">
        <f t="shared" si="29"/>
        <v>13110.091000000022</v>
      </c>
      <c r="H1051" s="163"/>
      <c r="I1051" s="163"/>
      <c r="J1051" s="163"/>
      <c r="K1051" s="163"/>
      <c r="L1051" s="163"/>
      <c r="M1051" s="163"/>
      <c r="N1051" s="163"/>
      <c r="O1051" s="163"/>
      <c r="P1051" s="163"/>
      <c r="Q1051" s="163"/>
      <c r="R1051" s="163"/>
      <c r="S1051" s="163"/>
      <c r="T1051" s="43">
        <f t="shared" si="27"/>
        <v>1</v>
      </c>
      <c r="U1051" s="167">
        <f t="shared" si="25"/>
        <v>45671</v>
      </c>
      <c r="W1051" s="43">
        <f t="shared" si="28"/>
        <v>1</v>
      </c>
    </row>
    <row r="1052" spans="1:28" ht="14.25" hidden="1" customHeight="1">
      <c r="A1052" s="180" t="s">
        <v>1017</v>
      </c>
      <c r="B1052" s="181">
        <v>45672</v>
      </c>
      <c r="C1052" s="180" t="s">
        <v>1487</v>
      </c>
      <c r="D1052" s="180" t="s">
        <v>281</v>
      </c>
      <c r="E1052" s="180" t="s">
        <v>282</v>
      </c>
      <c r="F1052" s="230">
        <v>20000</v>
      </c>
      <c r="G1052" s="165">
        <f t="shared" si="29"/>
        <v>33110.091000000022</v>
      </c>
      <c r="H1052" s="180"/>
      <c r="I1052" s="180" t="s">
        <v>977</v>
      </c>
      <c r="J1052" s="180"/>
      <c r="K1052" s="180"/>
      <c r="L1052" s="180" t="s">
        <v>366</v>
      </c>
      <c r="M1052" s="180"/>
      <c r="N1052" s="180" t="s">
        <v>978</v>
      </c>
      <c r="O1052" s="180"/>
      <c r="P1052" s="180"/>
      <c r="Q1052" s="180"/>
      <c r="R1052" s="180" t="s">
        <v>990</v>
      </c>
      <c r="S1052" s="180" t="s">
        <v>991</v>
      </c>
      <c r="T1052" s="183">
        <f t="shared" si="27"/>
        <v>1</v>
      </c>
      <c r="U1052" s="184">
        <f t="shared" si="25"/>
        <v>45672</v>
      </c>
      <c r="V1052" s="256"/>
      <c r="W1052" s="43">
        <f t="shared" si="28"/>
        <v>1</v>
      </c>
      <c r="X1052" s="183" t="s">
        <v>282</v>
      </c>
      <c r="Y1052" s="183" t="s">
        <v>1443</v>
      </c>
      <c r="Z1052" s="183" t="s">
        <v>1113</v>
      </c>
      <c r="AA1052" s="183" t="s">
        <v>1113</v>
      </c>
      <c r="AB1052" s="183"/>
    </row>
    <row r="1053" spans="1:28" hidden="1">
      <c r="A1053" s="163" t="s">
        <v>1174</v>
      </c>
      <c r="B1053" s="164">
        <v>45672</v>
      </c>
      <c r="C1053" s="163" t="s">
        <v>969</v>
      </c>
      <c r="D1053" s="163" t="s">
        <v>281</v>
      </c>
      <c r="E1053" s="163" t="s">
        <v>407</v>
      </c>
      <c r="F1053" s="165">
        <v>3150</v>
      </c>
      <c r="G1053" s="165">
        <f t="shared" si="29"/>
        <v>36260.091000000022</v>
      </c>
      <c r="H1053" s="163"/>
      <c r="I1053" s="163" t="s">
        <v>1176</v>
      </c>
      <c r="J1053" s="163" t="s">
        <v>1366</v>
      </c>
      <c r="K1053" s="163"/>
      <c r="L1053" s="163" t="s">
        <v>305</v>
      </c>
      <c r="M1053" s="163"/>
      <c r="N1053" s="163" t="s">
        <v>1178</v>
      </c>
      <c r="O1053" s="163" t="s">
        <v>1366</v>
      </c>
      <c r="P1053" s="163" t="s">
        <v>57</v>
      </c>
      <c r="Q1053" s="163"/>
      <c r="R1053" s="163" t="s">
        <v>974</v>
      </c>
      <c r="S1053" s="163" t="s">
        <v>975</v>
      </c>
      <c r="T1053" s="43">
        <f t="shared" si="27"/>
        <v>1</v>
      </c>
      <c r="U1053" s="167">
        <f t="shared" si="25"/>
        <v>45672</v>
      </c>
      <c r="W1053" s="43">
        <f t="shared" si="28"/>
        <v>1</v>
      </c>
      <c r="X1053" s="43" t="s">
        <v>1484</v>
      </c>
      <c r="Y1053" s="43" t="s">
        <v>1485</v>
      </c>
      <c r="AB1053" s="193" t="s">
        <v>1545</v>
      </c>
    </row>
    <row r="1054" spans="1:28" hidden="1">
      <c r="A1054" s="163" t="s">
        <v>1174</v>
      </c>
      <c r="B1054" s="164">
        <v>45672</v>
      </c>
      <c r="C1054" s="163" t="s">
        <v>1546</v>
      </c>
      <c r="D1054" s="163" t="s">
        <v>281</v>
      </c>
      <c r="E1054" s="163" t="s">
        <v>407</v>
      </c>
      <c r="F1054" s="165">
        <v>5000</v>
      </c>
      <c r="G1054" s="165">
        <f t="shared" si="29"/>
        <v>41260.091000000022</v>
      </c>
      <c r="H1054" s="163"/>
      <c r="I1054" s="163" t="s">
        <v>1176</v>
      </c>
      <c r="J1054" s="163" t="s">
        <v>1547</v>
      </c>
      <c r="K1054" s="163"/>
      <c r="L1054" s="163" t="s">
        <v>305</v>
      </c>
      <c r="M1054" s="163"/>
      <c r="N1054" s="163" t="s">
        <v>1178</v>
      </c>
      <c r="O1054" s="163" t="s">
        <v>1547</v>
      </c>
      <c r="P1054" s="163" t="s">
        <v>57</v>
      </c>
      <c r="Q1054" s="163"/>
      <c r="R1054" s="163" t="s">
        <v>1548</v>
      </c>
      <c r="S1054" s="163" t="s">
        <v>1549</v>
      </c>
      <c r="T1054" s="43">
        <f t="shared" si="27"/>
        <v>1</v>
      </c>
      <c r="U1054" s="167">
        <f t="shared" si="25"/>
        <v>45672</v>
      </c>
      <c r="W1054" s="43">
        <f t="shared" si="28"/>
        <v>1</v>
      </c>
      <c r="X1054" s="43" t="s">
        <v>1484</v>
      </c>
      <c r="Y1054" s="43" t="s">
        <v>1485</v>
      </c>
      <c r="AB1054" s="49" t="s">
        <v>1550</v>
      </c>
    </row>
    <row r="1055" spans="1:28" hidden="1">
      <c r="A1055" s="163" t="s">
        <v>1174</v>
      </c>
      <c r="B1055" s="164">
        <v>45667</v>
      </c>
      <c r="C1055" s="163" t="s">
        <v>829</v>
      </c>
      <c r="D1055" s="163" t="s">
        <v>281</v>
      </c>
      <c r="E1055" s="163" t="s">
        <v>407</v>
      </c>
      <c r="F1055" s="264">
        <v>2000</v>
      </c>
      <c r="G1055" s="165">
        <f t="shared" si="29"/>
        <v>43260.091000000022</v>
      </c>
      <c r="H1055" s="163"/>
      <c r="I1055" s="163" t="s">
        <v>1176</v>
      </c>
      <c r="J1055" s="163" t="s">
        <v>1374</v>
      </c>
      <c r="K1055" s="163"/>
      <c r="L1055" s="163" t="s">
        <v>305</v>
      </c>
      <c r="M1055" s="163"/>
      <c r="N1055" s="163" t="s">
        <v>1178</v>
      </c>
      <c r="O1055" s="163" t="s">
        <v>1374</v>
      </c>
      <c r="P1055" s="163" t="s">
        <v>351</v>
      </c>
      <c r="Q1055" s="163"/>
      <c r="R1055" s="163" t="s">
        <v>833</v>
      </c>
      <c r="S1055" s="163" t="s">
        <v>834</v>
      </c>
      <c r="T1055" s="43">
        <f t="shared" si="27"/>
        <v>1</v>
      </c>
      <c r="U1055" s="167">
        <f t="shared" si="25"/>
        <v>45672</v>
      </c>
      <c r="V1055" s="166">
        <v>45672</v>
      </c>
      <c r="W1055" s="43">
        <f t="shared" si="28"/>
        <v>1</v>
      </c>
      <c r="X1055" s="43" t="s">
        <v>1484</v>
      </c>
      <c r="Y1055" s="43" t="s">
        <v>1485</v>
      </c>
      <c r="AB1055" s="194" t="s">
        <v>1551</v>
      </c>
    </row>
    <row r="1056" spans="1:28" ht="14.25" hidden="1" customHeight="1">
      <c r="A1056" s="163" t="s">
        <v>1017</v>
      </c>
      <c r="B1056" s="164">
        <v>45672</v>
      </c>
      <c r="C1056" s="163"/>
      <c r="D1056" s="163" t="s">
        <v>281</v>
      </c>
      <c r="E1056" s="163" t="s">
        <v>1077</v>
      </c>
      <c r="F1056" s="185">
        <f>-1.99*2-6.5</f>
        <v>-10.48</v>
      </c>
      <c r="G1056" s="165">
        <f t="shared" si="29"/>
        <v>43249.611000000019</v>
      </c>
      <c r="H1056" s="163"/>
      <c r="I1056" s="163" t="s">
        <v>342</v>
      </c>
      <c r="J1056" s="163"/>
      <c r="K1056" s="163"/>
      <c r="L1056" s="163" t="s">
        <v>1030</v>
      </c>
      <c r="M1056" s="163"/>
      <c r="N1056" s="163" t="s">
        <v>978</v>
      </c>
      <c r="O1056" s="163"/>
      <c r="P1056" s="163"/>
      <c r="Q1056" s="163"/>
      <c r="R1056" s="163"/>
      <c r="S1056" s="163" t="s">
        <v>1076</v>
      </c>
      <c r="T1056" s="94">
        <f t="shared" si="27"/>
        <v>1</v>
      </c>
      <c r="U1056" s="212">
        <f t="shared" si="25"/>
        <v>45672</v>
      </c>
      <c r="V1056" s="43"/>
      <c r="W1056" s="43">
        <f t="shared" si="28"/>
        <v>1</v>
      </c>
      <c r="X1056" s="43" t="s">
        <v>1483</v>
      </c>
      <c r="Y1056" s="43" t="s">
        <v>1443</v>
      </c>
      <c r="Z1056" s="43" t="s">
        <v>1113</v>
      </c>
      <c r="AA1056" s="43" t="s">
        <v>1113</v>
      </c>
      <c r="AB1056" s="43"/>
    </row>
    <row r="1057" spans="1:28" hidden="1">
      <c r="A1057" s="180" t="s">
        <v>1017</v>
      </c>
      <c r="B1057" s="181">
        <v>45670</v>
      </c>
      <c r="C1057" s="180" t="s">
        <v>765</v>
      </c>
      <c r="D1057" s="180" t="s">
        <v>281</v>
      </c>
      <c r="E1057" s="180" t="s">
        <v>760</v>
      </c>
      <c r="F1057" s="226">
        <v>-1500</v>
      </c>
      <c r="G1057" s="165">
        <f t="shared" si="29"/>
        <v>41749.611000000019</v>
      </c>
      <c r="H1057" s="180"/>
      <c r="I1057" s="180" t="s">
        <v>283</v>
      </c>
      <c r="J1057" s="180"/>
      <c r="K1057" s="180"/>
      <c r="L1057" s="180" t="s">
        <v>477</v>
      </c>
      <c r="M1057" s="180"/>
      <c r="N1057" s="180" t="s">
        <v>978</v>
      </c>
      <c r="O1057" s="180"/>
      <c r="P1057" s="180"/>
      <c r="Q1057" s="180"/>
      <c r="R1057" s="180" t="s">
        <v>1368</v>
      </c>
      <c r="S1057" s="180" t="s">
        <v>1369</v>
      </c>
      <c r="T1057" s="183">
        <f t="shared" si="27"/>
        <v>1</v>
      </c>
      <c r="U1057" s="184">
        <f t="shared" si="25"/>
        <v>45672</v>
      </c>
      <c r="V1057" s="260">
        <v>45672</v>
      </c>
      <c r="W1057" s="43">
        <f t="shared" si="28"/>
        <v>1</v>
      </c>
      <c r="X1057" s="236" t="s">
        <v>1482</v>
      </c>
      <c r="Y1057" s="236" t="s">
        <v>78</v>
      </c>
      <c r="Z1057" s="183"/>
      <c r="AA1057" s="183"/>
      <c r="AB1057" s="183"/>
    </row>
    <row r="1058" spans="1:28" hidden="1">
      <c r="A1058" s="163" t="s">
        <v>1017</v>
      </c>
      <c r="B1058" s="164">
        <v>45673</v>
      </c>
      <c r="C1058" s="163" t="s">
        <v>1155</v>
      </c>
      <c r="D1058" s="163" t="s">
        <v>281</v>
      </c>
      <c r="E1058" s="163" t="s">
        <v>392</v>
      </c>
      <c r="F1058" s="226">
        <v>-9385</v>
      </c>
      <c r="G1058" s="165">
        <f t="shared" si="29"/>
        <v>32364.611000000019</v>
      </c>
      <c r="H1058" s="163"/>
      <c r="I1058" s="163" t="s">
        <v>283</v>
      </c>
      <c r="J1058" s="163"/>
      <c r="K1058" s="163"/>
      <c r="L1058" s="163" t="s">
        <v>477</v>
      </c>
      <c r="M1058" s="163"/>
      <c r="N1058" s="163" t="s">
        <v>978</v>
      </c>
      <c r="O1058" s="163"/>
      <c r="P1058" s="163"/>
      <c r="Q1058" s="163"/>
      <c r="R1058" s="163" t="s">
        <v>1155</v>
      </c>
      <c r="S1058" s="163" t="s">
        <v>1156</v>
      </c>
      <c r="T1058" s="43">
        <f t="shared" si="27"/>
        <v>1</v>
      </c>
      <c r="U1058" s="167">
        <f t="shared" si="25"/>
        <v>45672</v>
      </c>
      <c r="V1058" s="260">
        <v>45672</v>
      </c>
      <c r="W1058" s="43">
        <f t="shared" si="28"/>
        <v>1</v>
      </c>
      <c r="X1058" s="49" t="s">
        <v>392</v>
      </c>
      <c r="Y1058" s="49" t="s">
        <v>1443</v>
      </c>
    </row>
    <row r="1059" spans="1:28" hidden="1">
      <c r="A1059" s="163" t="s">
        <v>1017</v>
      </c>
      <c r="B1059" s="164">
        <v>45672</v>
      </c>
      <c r="C1059" s="163" t="s">
        <v>1409</v>
      </c>
      <c r="D1059" s="163" t="s">
        <v>281</v>
      </c>
      <c r="E1059" s="163" t="s">
        <v>199</v>
      </c>
      <c r="F1059" s="226">
        <v>-1990</v>
      </c>
      <c r="G1059" s="165">
        <f t="shared" si="29"/>
        <v>30374.611000000019</v>
      </c>
      <c r="H1059" s="163"/>
      <c r="I1059" s="163" t="s">
        <v>342</v>
      </c>
      <c r="J1059" s="163"/>
      <c r="K1059" s="163"/>
      <c r="L1059" s="163" t="s">
        <v>1030</v>
      </c>
      <c r="M1059" s="163"/>
      <c r="N1059" s="163" t="s">
        <v>978</v>
      </c>
      <c r="O1059" s="163"/>
      <c r="P1059" s="163"/>
      <c r="Q1059" s="163"/>
      <c r="R1059" s="163" t="s">
        <v>1153</v>
      </c>
      <c r="S1059" s="163" t="s">
        <v>1154</v>
      </c>
      <c r="T1059" s="43">
        <f t="shared" si="27"/>
        <v>1</v>
      </c>
      <c r="U1059" s="167">
        <f t="shared" si="25"/>
        <v>45672</v>
      </c>
      <c r="W1059" s="43">
        <f t="shared" si="28"/>
        <v>1</v>
      </c>
      <c r="X1059" s="49" t="s">
        <v>1480</v>
      </c>
      <c r="Y1059" s="49" t="s">
        <v>86</v>
      </c>
    </row>
    <row r="1060" spans="1:28" hidden="1">
      <c r="A1060" s="163" t="s">
        <v>1017</v>
      </c>
      <c r="B1060" s="164">
        <v>45672</v>
      </c>
      <c r="C1060" s="163" t="s">
        <v>919</v>
      </c>
      <c r="D1060" s="163" t="s">
        <v>281</v>
      </c>
      <c r="E1060" s="163" t="s">
        <v>129</v>
      </c>
      <c r="F1060" s="226">
        <v>-2362</v>
      </c>
      <c r="G1060" s="165">
        <f t="shared" si="29"/>
        <v>28012.611000000019</v>
      </c>
      <c r="H1060" s="163"/>
      <c r="I1060" s="163" t="s">
        <v>342</v>
      </c>
      <c r="J1060" s="163"/>
      <c r="K1060" s="163"/>
      <c r="L1060" s="163" t="s">
        <v>1030</v>
      </c>
      <c r="M1060" s="163"/>
      <c r="N1060" s="163" t="s">
        <v>978</v>
      </c>
      <c r="O1060" s="163"/>
      <c r="P1060" s="163"/>
      <c r="Q1060" s="163"/>
      <c r="R1060" s="163" t="s">
        <v>922</v>
      </c>
      <c r="S1060" s="163" t="s">
        <v>923</v>
      </c>
      <c r="T1060" s="43">
        <f t="shared" si="27"/>
        <v>1</v>
      </c>
      <c r="U1060" s="167">
        <f t="shared" si="25"/>
        <v>45672</v>
      </c>
      <c r="W1060" s="43">
        <f t="shared" si="28"/>
        <v>1</v>
      </c>
      <c r="X1060" s="49" t="s">
        <v>1552</v>
      </c>
      <c r="Y1060" s="49" t="s">
        <v>1443</v>
      </c>
    </row>
    <row r="1061" spans="1:28" ht="14.25" hidden="1" customHeight="1">
      <c r="A1061" s="163" t="s">
        <v>1017</v>
      </c>
      <c r="B1061" s="164">
        <v>45656</v>
      </c>
      <c r="C1061" s="163" t="s">
        <v>1006</v>
      </c>
      <c r="D1061" s="163" t="s">
        <v>281</v>
      </c>
      <c r="E1061" s="163" t="s">
        <v>193</v>
      </c>
      <c r="F1061" s="226">
        <f>-3677.02-2322.98</f>
        <v>-6000</v>
      </c>
      <c r="G1061" s="165">
        <f t="shared" si="29"/>
        <v>22012.611000000019</v>
      </c>
      <c r="H1061" s="163"/>
      <c r="I1061" s="163" t="s">
        <v>342</v>
      </c>
      <c r="J1061" s="163"/>
      <c r="K1061" s="163"/>
      <c r="L1061" s="163" t="s">
        <v>485</v>
      </c>
      <c r="M1061" s="163"/>
      <c r="N1061" s="163" t="s">
        <v>978</v>
      </c>
      <c r="O1061" s="163"/>
      <c r="P1061" s="163"/>
      <c r="Q1061" s="163"/>
      <c r="R1061" s="163" t="s">
        <v>1007</v>
      </c>
      <c r="S1061" s="163" t="s">
        <v>982</v>
      </c>
      <c r="T1061" s="94">
        <f t="shared" si="27"/>
        <v>12</v>
      </c>
      <c r="U1061" s="212">
        <f t="shared" si="25"/>
        <v>45672</v>
      </c>
      <c r="V1061" s="260">
        <v>45672</v>
      </c>
      <c r="W1061" s="43">
        <f t="shared" si="28"/>
        <v>1</v>
      </c>
      <c r="X1061" s="43" t="s">
        <v>1552</v>
      </c>
      <c r="Y1061" s="43" t="s">
        <v>26</v>
      </c>
      <c r="Z1061" s="43" t="s">
        <v>1113</v>
      </c>
      <c r="AA1061" s="43" t="s">
        <v>1113</v>
      </c>
      <c r="AB1061" s="43"/>
    </row>
    <row r="1062" spans="1:28" hidden="1">
      <c r="A1062" s="163" t="s">
        <v>1017</v>
      </c>
      <c r="B1062" s="164">
        <v>45671</v>
      </c>
      <c r="C1062" s="163" t="s">
        <v>1006</v>
      </c>
      <c r="D1062" s="163" t="s">
        <v>281</v>
      </c>
      <c r="E1062" s="163" t="s">
        <v>193</v>
      </c>
      <c r="F1062" s="226">
        <v>-3677.02</v>
      </c>
      <c r="G1062" s="165">
        <f t="shared" si="29"/>
        <v>18335.591000000019</v>
      </c>
      <c r="H1062" s="163"/>
      <c r="I1062" s="163" t="s">
        <v>342</v>
      </c>
      <c r="J1062" s="163"/>
      <c r="K1062" s="163"/>
      <c r="L1062" s="163" t="s">
        <v>477</v>
      </c>
      <c r="M1062" s="163"/>
      <c r="N1062" s="163" t="s">
        <v>978</v>
      </c>
      <c r="O1062" s="163"/>
      <c r="P1062" s="163"/>
      <c r="Q1062" s="163"/>
      <c r="R1062" s="163" t="s">
        <v>1007</v>
      </c>
      <c r="S1062" s="163" t="s">
        <v>982</v>
      </c>
      <c r="T1062" s="43">
        <f t="shared" si="27"/>
        <v>1</v>
      </c>
      <c r="U1062" s="167">
        <f t="shared" si="25"/>
        <v>45672</v>
      </c>
      <c r="V1062" s="260">
        <v>45672</v>
      </c>
      <c r="W1062" s="43">
        <f t="shared" si="28"/>
        <v>1</v>
      </c>
      <c r="X1062" s="43" t="s">
        <v>1552</v>
      </c>
      <c r="Y1062" s="43" t="s">
        <v>26</v>
      </c>
    </row>
    <row r="1063" spans="1:28" hidden="1">
      <c r="A1063" s="163" t="s">
        <v>1017</v>
      </c>
      <c r="B1063" s="164">
        <v>45671</v>
      </c>
      <c r="C1063" s="163" t="s">
        <v>1006</v>
      </c>
      <c r="D1063" s="163" t="s">
        <v>281</v>
      </c>
      <c r="E1063" s="163" t="s">
        <v>193</v>
      </c>
      <c r="F1063" s="226">
        <v>-2322.98</v>
      </c>
      <c r="G1063" s="165">
        <f t="shared" si="29"/>
        <v>16012.611000000019</v>
      </c>
      <c r="H1063" s="163"/>
      <c r="I1063" s="163" t="s">
        <v>342</v>
      </c>
      <c r="J1063" s="163"/>
      <c r="K1063" s="163"/>
      <c r="L1063" s="163" t="s">
        <v>477</v>
      </c>
      <c r="M1063" s="163"/>
      <c r="N1063" s="163" t="s">
        <v>978</v>
      </c>
      <c r="O1063" s="163"/>
      <c r="P1063" s="163"/>
      <c r="Q1063" s="163"/>
      <c r="R1063" s="163" t="s">
        <v>1007</v>
      </c>
      <c r="S1063" s="163" t="s">
        <v>982</v>
      </c>
      <c r="T1063" s="43">
        <f t="shared" si="27"/>
        <v>1</v>
      </c>
      <c r="U1063" s="167">
        <f t="shared" si="25"/>
        <v>45672</v>
      </c>
      <c r="V1063" s="260">
        <v>45672</v>
      </c>
      <c r="W1063" s="43">
        <f t="shared" si="28"/>
        <v>1</v>
      </c>
      <c r="X1063" s="43" t="s">
        <v>1552</v>
      </c>
      <c r="Y1063" s="43" t="s">
        <v>26</v>
      </c>
    </row>
    <row r="1064" spans="1:28" hidden="1">
      <c r="A1064" s="180" t="s">
        <v>1017</v>
      </c>
      <c r="B1064" s="181">
        <v>45667</v>
      </c>
      <c r="C1064" s="180" t="s">
        <v>1553</v>
      </c>
      <c r="D1064" s="180" t="s">
        <v>281</v>
      </c>
      <c r="E1064" s="163" t="s">
        <v>1514</v>
      </c>
      <c r="F1064" s="182"/>
      <c r="G1064" s="165">
        <f t="shared" si="29"/>
        <v>16012.611000000019</v>
      </c>
      <c r="H1064" s="180"/>
      <c r="I1064" s="180" t="s">
        <v>283</v>
      </c>
      <c r="J1064" s="180"/>
      <c r="K1064" s="180"/>
      <c r="L1064" s="180" t="s">
        <v>485</v>
      </c>
      <c r="M1064" s="180"/>
      <c r="N1064" s="180" t="s">
        <v>978</v>
      </c>
      <c r="O1064" s="180"/>
      <c r="P1064" s="180"/>
      <c r="Q1064" s="180"/>
      <c r="R1064" s="180" t="s">
        <v>1527</v>
      </c>
      <c r="S1064" s="180"/>
      <c r="T1064" s="183">
        <f t="shared" si="27"/>
        <v>1</v>
      </c>
      <c r="U1064" s="184">
        <f t="shared" si="25"/>
        <v>45672</v>
      </c>
      <c r="V1064" s="260">
        <v>45672</v>
      </c>
      <c r="W1064" s="43">
        <f t="shared" si="28"/>
        <v>1</v>
      </c>
      <c r="X1064" s="183" t="s">
        <v>1381</v>
      </c>
      <c r="Y1064" s="183" t="s">
        <v>1336</v>
      </c>
      <c r="Z1064" s="183"/>
      <c r="AA1064" s="183"/>
      <c r="AB1064" s="183"/>
    </row>
    <row r="1065" spans="1:28" ht="14.25" hidden="1" customHeight="1">
      <c r="A1065" s="180" t="s">
        <v>976</v>
      </c>
      <c r="B1065" s="181">
        <v>45657</v>
      </c>
      <c r="C1065" s="180" t="s">
        <v>919</v>
      </c>
      <c r="D1065" s="180" t="s">
        <v>281</v>
      </c>
      <c r="E1065" s="180" t="s">
        <v>129</v>
      </c>
      <c r="F1065" s="226">
        <v>-3068</v>
      </c>
      <c r="G1065" s="165">
        <f t="shared" si="29"/>
        <v>12944.611000000019</v>
      </c>
      <c r="H1065" s="180"/>
      <c r="I1065" s="180" t="s">
        <v>342</v>
      </c>
      <c r="J1065" s="180"/>
      <c r="K1065" s="180"/>
      <c r="L1065" s="180" t="s">
        <v>508</v>
      </c>
      <c r="M1065" s="180"/>
      <c r="N1065" s="180" t="s">
        <v>978</v>
      </c>
      <c r="O1065" s="180"/>
      <c r="P1065" s="180"/>
      <c r="Q1065" s="180"/>
      <c r="R1065" s="180" t="s">
        <v>922</v>
      </c>
      <c r="S1065" s="180" t="s">
        <v>923</v>
      </c>
      <c r="T1065" s="183">
        <f t="shared" si="27"/>
        <v>12</v>
      </c>
      <c r="U1065" s="184">
        <f t="shared" si="25"/>
        <v>45672</v>
      </c>
      <c r="V1065" s="184">
        <v>45672</v>
      </c>
      <c r="W1065" s="43">
        <f t="shared" si="28"/>
        <v>1</v>
      </c>
      <c r="X1065" s="49" t="s">
        <v>1552</v>
      </c>
      <c r="Y1065" s="49" t="s">
        <v>1443</v>
      </c>
      <c r="Z1065" s="43"/>
      <c r="AA1065" s="183"/>
      <c r="AB1065" s="183" t="s">
        <v>1554</v>
      </c>
    </row>
    <row r="1066" spans="1:28" ht="14.25" hidden="1" customHeight="1">
      <c r="A1066" s="180" t="s">
        <v>976</v>
      </c>
      <c r="B1066" s="181">
        <v>45657</v>
      </c>
      <c r="C1066" s="180" t="s">
        <v>919</v>
      </c>
      <c r="D1066" s="180" t="s">
        <v>281</v>
      </c>
      <c r="E1066" s="180" t="s">
        <v>129</v>
      </c>
      <c r="F1066" s="182"/>
      <c r="G1066" s="165">
        <f t="shared" si="29"/>
        <v>12944.611000000019</v>
      </c>
      <c r="H1066" s="180"/>
      <c r="I1066" s="180" t="s">
        <v>342</v>
      </c>
      <c r="J1066" s="180"/>
      <c r="K1066" s="180"/>
      <c r="L1066" s="180" t="s">
        <v>508</v>
      </c>
      <c r="M1066" s="180"/>
      <c r="N1066" s="180" t="s">
        <v>978</v>
      </c>
      <c r="O1066" s="180"/>
      <c r="P1066" s="180"/>
      <c r="Q1066" s="180"/>
      <c r="R1066" s="180" t="s">
        <v>922</v>
      </c>
      <c r="S1066" s="180" t="s">
        <v>923</v>
      </c>
      <c r="T1066" s="183">
        <f t="shared" si="27"/>
        <v>12</v>
      </c>
      <c r="U1066" s="184">
        <f t="shared" si="25"/>
        <v>45672</v>
      </c>
      <c r="V1066" s="184">
        <v>45672</v>
      </c>
      <c r="W1066" s="43">
        <f t="shared" si="28"/>
        <v>1</v>
      </c>
      <c r="X1066" s="49" t="s">
        <v>1552</v>
      </c>
      <c r="Y1066" s="49" t="s">
        <v>1443</v>
      </c>
      <c r="Z1066" s="43"/>
      <c r="AA1066" s="183"/>
      <c r="AB1066" s="183" t="s">
        <v>1555</v>
      </c>
    </row>
    <row r="1067" spans="1:28" ht="14.25" hidden="1" customHeight="1">
      <c r="A1067" s="180" t="s">
        <v>976</v>
      </c>
      <c r="B1067" s="181">
        <v>45657</v>
      </c>
      <c r="C1067" s="180" t="s">
        <v>919</v>
      </c>
      <c r="D1067" s="180" t="s">
        <v>281</v>
      </c>
      <c r="E1067" s="180" t="s">
        <v>129</v>
      </c>
      <c r="F1067" s="182"/>
      <c r="G1067" s="165">
        <f t="shared" si="29"/>
        <v>12944.611000000019</v>
      </c>
      <c r="H1067" s="180"/>
      <c r="I1067" s="180" t="s">
        <v>342</v>
      </c>
      <c r="J1067" s="180"/>
      <c r="K1067" s="180"/>
      <c r="L1067" s="180" t="s">
        <v>508</v>
      </c>
      <c r="M1067" s="180"/>
      <c r="N1067" s="180" t="s">
        <v>978</v>
      </c>
      <c r="O1067" s="180"/>
      <c r="P1067" s="180"/>
      <c r="Q1067" s="180"/>
      <c r="R1067" s="180" t="s">
        <v>922</v>
      </c>
      <c r="S1067" s="180" t="s">
        <v>923</v>
      </c>
      <c r="T1067" s="183">
        <f t="shared" si="27"/>
        <v>12</v>
      </c>
      <c r="U1067" s="184">
        <f t="shared" si="25"/>
        <v>45672</v>
      </c>
      <c r="V1067" s="184">
        <v>45672</v>
      </c>
      <c r="W1067" s="43">
        <f t="shared" si="28"/>
        <v>1</v>
      </c>
      <c r="X1067" s="49" t="s">
        <v>1552</v>
      </c>
      <c r="Y1067" s="49" t="s">
        <v>1443</v>
      </c>
      <c r="Z1067" s="43"/>
      <c r="AA1067" s="183"/>
      <c r="AB1067" s="183" t="s">
        <v>1556</v>
      </c>
    </row>
    <row r="1068" spans="1:28" ht="14.25" hidden="1" customHeight="1">
      <c r="A1068" s="180" t="s">
        <v>976</v>
      </c>
      <c r="B1068" s="181">
        <v>45657</v>
      </c>
      <c r="C1068" s="180" t="s">
        <v>919</v>
      </c>
      <c r="D1068" s="180" t="s">
        <v>281</v>
      </c>
      <c r="E1068" s="180" t="s">
        <v>129</v>
      </c>
      <c r="F1068" s="182"/>
      <c r="G1068" s="165">
        <f t="shared" si="29"/>
        <v>12944.611000000019</v>
      </c>
      <c r="H1068" s="180"/>
      <c r="I1068" s="180" t="s">
        <v>342</v>
      </c>
      <c r="J1068" s="180"/>
      <c r="K1068" s="180"/>
      <c r="L1068" s="180" t="s">
        <v>508</v>
      </c>
      <c r="M1068" s="180"/>
      <c r="N1068" s="180" t="s">
        <v>978</v>
      </c>
      <c r="O1068" s="180"/>
      <c r="P1068" s="180"/>
      <c r="Q1068" s="180"/>
      <c r="R1068" s="180" t="s">
        <v>922</v>
      </c>
      <c r="S1068" s="180" t="s">
        <v>923</v>
      </c>
      <c r="T1068" s="183">
        <f t="shared" si="27"/>
        <v>12</v>
      </c>
      <c r="U1068" s="184">
        <f t="shared" si="25"/>
        <v>45672</v>
      </c>
      <c r="V1068" s="184">
        <v>45672</v>
      </c>
      <c r="W1068" s="43">
        <f t="shared" si="28"/>
        <v>1</v>
      </c>
      <c r="X1068" s="49" t="s">
        <v>1552</v>
      </c>
      <c r="Y1068" s="49" t="s">
        <v>1443</v>
      </c>
      <c r="Z1068" s="43"/>
      <c r="AA1068" s="183"/>
      <c r="AB1068" s="183" t="s">
        <v>1557</v>
      </c>
    </row>
    <row r="1069" spans="1:28" ht="14.25" hidden="1" customHeight="1">
      <c r="A1069" s="180" t="s">
        <v>976</v>
      </c>
      <c r="B1069" s="181">
        <v>45657</v>
      </c>
      <c r="C1069" s="180" t="s">
        <v>919</v>
      </c>
      <c r="D1069" s="180" t="s">
        <v>281</v>
      </c>
      <c r="E1069" s="180" t="s">
        <v>129</v>
      </c>
      <c r="F1069" s="182"/>
      <c r="G1069" s="165">
        <f t="shared" si="29"/>
        <v>12944.611000000019</v>
      </c>
      <c r="H1069" s="180"/>
      <c r="I1069" s="180" t="s">
        <v>342</v>
      </c>
      <c r="J1069" s="180"/>
      <c r="K1069" s="180"/>
      <c r="L1069" s="180" t="s">
        <v>508</v>
      </c>
      <c r="M1069" s="180"/>
      <c r="N1069" s="180" t="s">
        <v>978</v>
      </c>
      <c r="O1069" s="180"/>
      <c r="P1069" s="180"/>
      <c r="Q1069" s="180"/>
      <c r="R1069" s="180" t="s">
        <v>922</v>
      </c>
      <c r="S1069" s="180" t="s">
        <v>923</v>
      </c>
      <c r="T1069" s="183">
        <f t="shared" si="27"/>
        <v>12</v>
      </c>
      <c r="U1069" s="184">
        <f t="shared" si="25"/>
        <v>45672</v>
      </c>
      <c r="V1069" s="184">
        <v>45672</v>
      </c>
      <c r="W1069" s="43">
        <f t="shared" si="28"/>
        <v>1</v>
      </c>
      <c r="X1069" s="49" t="s">
        <v>1552</v>
      </c>
      <c r="Y1069" s="49" t="s">
        <v>1443</v>
      </c>
      <c r="Z1069" s="43"/>
      <c r="AA1069" s="183"/>
      <c r="AB1069" s="183" t="s">
        <v>1558</v>
      </c>
    </row>
    <row r="1070" spans="1:28" hidden="1">
      <c r="A1070" s="163" t="s">
        <v>1017</v>
      </c>
      <c r="B1070" s="164">
        <v>45672</v>
      </c>
      <c r="C1070" s="163" t="s">
        <v>992</v>
      </c>
      <c r="D1070" s="163" t="s">
        <v>281</v>
      </c>
      <c r="E1070" s="163" t="s">
        <v>993</v>
      </c>
      <c r="F1070" s="226">
        <v>-1737.53</v>
      </c>
      <c r="G1070" s="165">
        <f t="shared" si="29"/>
        <v>11207.081000000018</v>
      </c>
      <c r="H1070" s="163"/>
      <c r="I1070" s="163" t="s">
        <v>994</v>
      </c>
      <c r="J1070" s="163"/>
      <c r="K1070" s="163"/>
      <c r="L1070" s="163" t="s">
        <v>1429</v>
      </c>
      <c r="M1070" s="163"/>
      <c r="N1070" s="163" t="s">
        <v>978</v>
      </c>
      <c r="O1070" s="163"/>
      <c r="P1070" s="163"/>
      <c r="Q1070" s="163"/>
      <c r="R1070" s="163" t="s">
        <v>996</v>
      </c>
      <c r="S1070" s="163" t="s">
        <v>997</v>
      </c>
      <c r="T1070" s="43">
        <f t="shared" si="27"/>
        <v>1</v>
      </c>
      <c r="U1070" s="167">
        <f t="shared" si="25"/>
        <v>45672</v>
      </c>
      <c r="W1070" s="43">
        <f t="shared" si="28"/>
        <v>1</v>
      </c>
      <c r="X1070" s="49" t="s">
        <v>1559</v>
      </c>
      <c r="Y1070" s="49" t="s">
        <v>78</v>
      </c>
    </row>
    <row r="1071" spans="1:28" hidden="1">
      <c r="A1071" s="163" t="s">
        <v>1017</v>
      </c>
      <c r="B1071" s="164">
        <v>45672</v>
      </c>
      <c r="C1071" s="163" t="s">
        <v>1002</v>
      </c>
      <c r="D1071" s="163" t="s">
        <v>281</v>
      </c>
      <c r="E1071" s="163" t="s">
        <v>190</v>
      </c>
      <c r="F1071" s="226">
        <v>-225</v>
      </c>
      <c r="G1071" s="165">
        <f t="shared" si="29"/>
        <v>10982.081000000018</v>
      </c>
      <c r="H1071" s="163"/>
      <c r="I1071" s="163" t="s">
        <v>342</v>
      </c>
      <c r="J1071" s="163"/>
      <c r="K1071" s="163"/>
      <c r="L1071" s="163" t="s">
        <v>800</v>
      </c>
      <c r="M1071" s="163"/>
      <c r="N1071" s="163" t="s">
        <v>978</v>
      </c>
      <c r="O1071" s="163"/>
      <c r="P1071" s="163"/>
      <c r="Q1071" s="163"/>
      <c r="R1071" s="163" t="s">
        <v>1004</v>
      </c>
      <c r="S1071" s="163" t="s">
        <v>1005</v>
      </c>
      <c r="T1071" s="43">
        <f t="shared" si="27"/>
        <v>1</v>
      </c>
      <c r="U1071" s="167">
        <f t="shared" si="25"/>
        <v>45672</v>
      </c>
      <c r="W1071" s="43">
        <f t="shared" si="28"/>
        <v>1</v>
      </c>
      <c r="X1071" s="49" t="s">
        <v>1498</v>
      </c>
      <c r="Y1071" s="49" t="s">
        <v>1336</v>
      </c>
    </row>
    <row r="1072" spans="1:28" hidden="1">
      <c r="A1072" s="163" t="s">
        <v>1017</v>
      </c>
      <c r="B1072" s="164">
        <v>45672</v>
      </c>
      <c r="C1072" s="163" t="s">
        <v>919</v>
      </c>
      <c r="D1072" s="163" t="s">
        <v>281</v>
      </c>
      <c r="E1072" s="163" t="s">
        <v>129</v>
      </c>
      <c r="F1072" s="226">
        <v>-1412</v>
      </c>
      <c r="G1072" s="165">
        <f t="shared" si="29"/>
        <v>9570.0810000000183</v>
      </c>
      <c r="H1072" s="163"/>
      <c r="I1072" s="163" t="s">
        <v>342</v>
      </c>
      <c r="J1072" s="163"/>
      <c r="K1072" s="163"/>
      <c r="L1072" s="163" t="s">
        <v>477</v>
      </c>
      <c r="M1072" s="163"/>
      <c r="N1072" s="163" t="s">
        <v>978</v>
      </c>
      <c r="O1072" s="163"/>
      <c r="P1072" s="163"/>
      <c r="Q1072" s="163"/>
      <c r="R1072" s="163" t="s">
        <v>922</v>
      </c>
      <c r="S1072" s="163" t="s">
        <v>923</v>
      </c>
      <c r="T1072" s="43">
        <f t="shared" si="27"/>
        <v>1</v>
      </c>
      <c r="U1072" s="167">
        <f t="shared" si="25"/>
        <v>45672</v>
      </c>
      <c r="W1072" s="43">
        <f t="shared" si="28"/>
        <v>1</v>
      </c>
      <c r="X1072" s="49" t="s">
        <v>1552</v>
      </c>
      <c r="Y1072" s="49" t="s">
        <v>1443</v>
      </c>
    </row>
    <row r="1073" spans="1:28" hidden="1">
      <c r="A1073" s="163" t="s">
        <v>1017</v>
      </c>
      <c r="B1073" s="164">
        <v>45672</v>
      </c>
      <c r="C1073" s="163" t="s">
        <v>1407</v>
      </c>
      <c r="D1073" s="163" t="s">
        <v>281</v>
      </c>
      <c r="E1073" s="163" t="s">
        <v>199</v>
      </c>
      <c r="F1073" s="226">
        <v>-130</v>
      </c>
      <c r="G1073" s="165">
        <f t="shared" si="29"/>
        <v>9440.0810000000183</v>
      </c>
      <c r="H1073" s="163"/>
      <c r="I1073" s="163" t="s">
        <v>977</v>
      </c>
      <c r="J1073" s="163"/>
      <c r="K1073" s="163"/>
      <c r="L1073" s="163" t="s">
        <v>485</v>
      </c>
      <c r="M1073" s="163"/>
      <c r="N1073" s="163" t="s">
        <v>978</v>
      </c>
      <c r="O1073" s="163"/>
      <c r="P1073" s="163"/>
      <c r="Q1073" s="163"/>
      <c r="R1073" s="163" t="s">
        <v>1560</v>
      </c>
      <c r="S1073" s="163"/>
      <c r="T1073" s="43">
        <f t="shared" si="27"/>
        <v>1</v>
      </c>
      <c r="U1073" s="167">
        <f t="shared" si="25"/>
        <v>45672</v>
      </c>
      <c r="W1073" s="43">
        <f t="shared" si="28"/>
        <v>1</v>
      </c>
      <c r="X1073" s="49" t="s">
        <v>1480</v>
      </c>
      <c r="Y1073" s="49" t="s">
        <v>105</v>
      </c>
    </row>
    <row r="1074" spans="1:28" hidden="1">
      <c r="A1074" s="180" t="s">
        <v>1017</v>
      </c>
      <c r="B1074" s="181">
        <v>45667</v>
      </c>
      <c r="C1074" s="180" t="s">
        <v>1561</v>
      </c>
      <c r="D1074" s="180" t="s">
        <v>281</v>
      </c>
      <c r="E1074" s="180" t="s">
        <v>202</v>
      </c>
      <c r="F1074" s="182"/>
      <c r="G1074" s="165">
        <f t="shared" si="29"/>
        <v>9440.0810000000183</v>
      </c>
      <c r="H1074" s="180"/>
      <c r="I1074" s="180" t="s">
        <v>283</v>
      </c>
      <c r="J1074" s="180"/>
      <c r="K1074" s="180"/>
      <c r="L1074" s="180" t="s">
        <v>485</v>
      </c>
      <c r="M1074" s="180"/>
      <c r="N1074" s="180" t="s">
        <v>978</v>
      </c>
      <c r="O1074" s="180"/>
      <c r="P1074" s="180"/>
      <c r="Q1074" s="180"/>
      <c r="R1074" s="180" t="s">
        <v>1527</v>
      </c>
      <c r="S1074" s="180"/>
      <c r="T1074" s="183">
        <f t="shared" si="27"/>
        <v>1</v>
      </c>
      <c r="U1074" s="184">
        <f t="shared" si="25"/>
        <v>45672</v>
      </c>
      <c r="V1074" s="260">
        <v>45672</v>
      </c>
      <c r="W1074" s="43">
        <f t="shared" si="28"/>
        <v>1</v>
      </c>
      <c r="X1074" s="49" t="s">
        <v>1526</v>
      </c>
      <c r="Y1074" s="49" t="s">
        <v>26</v>
      </c>
      <c r="Z1074" s="183"/>
      <c r="AA1074" s="183"/>
      <c r="AB1074" s="183"/>
    </row>
    <row r="1075" spans="1:28" hidden="1">
      <c r="A1075" s="180" t="s">
        <v>1017</v>
      </c>
      <c r="B1075" s="181">
        <v>45667</v>
      </c>
      <c r="C1075" s="180" t="s">
        <v>1562</v>
      </c>
      <c r="D1075" s="180" t="s">
        <v>281</v>
      </c>
      <c r="E1075" s="180" t="s">
        <v>1563</v>
      </c>
      <c r="F1075" s="226">
        <v>-355.56</v>
      </c>
      <c r="G1075" s="165">
        <f t="shared" si="29"/>
        <v>9084.5210000000188</v>
      </c>
      <c r="H1075" s="180"/>
      <c r="I1075" s="180" t="s">
        <v>283</v>
      </c>
      <c r="J1075" s="180"/>
      <c r="K1075" s="180"/>
      <c r="L1075" s="180" t="s">
        <v>485</v>
      </c>
      <c r="M1075" s="180"/>
      <c r="N1075" s="180" t="s">
        <v>978</v>
      </c>
      <c r="O1075" s="180"/>
      <c r="P1075" s="180"/>
      <c r="Q1075" s="180"/>
      <c r="R1075" s="180" t="s">
        <v>1527</v>
      </c>
      <c r="S1075" s="180"/>
      <c r="T1075" s="183">
        <f t="shared" si="27"/>
        <v>1</v>
      </c>
      <c r="U1075" s="184">
        <f t="shared" si="25"/>
        <v>45672</v>
      </c>
      <c r="V1075" s="260">
        <v>45672</v>
      </c>
      <c r="W1075" s="43">
        <f t="shared" si="28"/>
        <v>1</v>
      </c>
      <c r="X1075" s="183" t="s">
        <v>1381</v>
      </c>
      <c r="Y1075" s="183" t="s">
        <v>1336</v>
      </c>
      <c r="Z1075" s="183"/>
      <c r="AA1075" s="183"/>
      <c r="AB1075" s="183"/>
    </row>
    <row r="1076" spans="1:28" hidden="1">
      <c r="A1076" s="163"/>
      <c r="B1076" s="164">
        <v>45672</v>
      </c>
      <c r="C1076" s="163" t="s">
        <v>346</v>
      </c>
      <c r="D1076" s="163"/>
      <c r="E1076" s="163"/>
      <c r="F1076" s="165">
        <v>0</v>
      </c>
      <c r="G1076" s="165">
        <f t="shared" si="29"/>
        <v>9084.5210000000188</v>
      </c>
      <c r="H1076" s="163"/>
      <c r="I1076" s="163"/>
      <c r="J1076" s="163"/>
      <c r="K1076" s="163"/>
      <c r="L1076" s="163"/>
      <c r="M1076" s="163"/>
      <c r="N1076" s="163"/>
      <c r="O1076" s="163"/>
      <c r="P1076" s="163"/>
      <c r="Q1076" s="163"/>
      <c r="R1076" s="163"/>
      <c r="S1076" s="163"/>
      <c r="T1076" s="43">
        <f t="shared" si="27"/>
        <v>1</v>
      </c>
      <c r="U1076" s="167">
        <f t="shared" si="25"/>
        <v>45672</v>
      </c>
      <c r="W1076" s="43">
        <f t="shared" si="28"/>
        <v>1</v>
      </c>
    </row>
    <row r="1077" spans="1:28" hidden="1">
      <c r="A1077" s="163" t="s">
        <v>1017</v>
      </c>
      <c r="B1077" s="164">
        <v>45673</v>
      </c>
      <c r="C1077" s="163" t="s">
        <v>130</v>
      </c>
      <c r="D1077" s="163" t="s">
        <v>281</v>
      </c>
      <c r="E1077" s="163" t="s">
        <v>199</v>
      </c>
      <c r="F1077" s="168">
        <v>-205</v>
      </c>
      <c r="G1077" s="165">
        <f t="shared" si="29"/>
        <v>8879.5210000000188</v>
      </c>
      <c r="H1077" s="163"/>
      <c r="I1077" s="163" t="s">
        <v>977</v>
      </c>
      <c r="J1077" s="163"/>
      <c r="K1077" s="163"/>
      <c r="L1077" s="163" t="s">
        <v>1030</v>
      </c>
      <c r="M1077" s="163"/>
      <c r="N1077" s="163" t="s">
        <v>978</v>
      </c>
      <c r="O1077" s="163"/>
      <c r="P1077" s="163"/>
      <c r="Q1077" s="163"/>
      <c r="R1077" s="163" t="s">
        <v>130</v>
      </c>
      <c r="S1077" s="163"/>
      <c r="T1077" s="43">
        <f t="shared" si="27"/>
        <v>1</v>
      </c>
      <c r="U1077" s="167">
        <f t="shared" si="25"/>
        <v>45673</v>
      </c>
      <c r="W1077" s="43">
        <f t="shared" si="28"/>
        <v>1</v>
      </c>
      <c r="X1077" s="49" t="s">
        <v>1480</v>
      </c>
      <c r="Y1077" s="49" t="s">
        <v>86</v>
      </c>
    </row>
    <row r="1078" spans="1:28" hidden="1">
      <c r="A1078" s="163" t="s">
        <v>1017</v>
      </c>
      <c r="B1078" s="164">
        <v>45667</v>
      </c>
      <c r="C1078" s="163" t="s">
        <v>778</v>
      </c>
      <c r="D1078" s="163" t="s">
        <v>281</v>
      </c>
      <c r="E1078" s="163" t="s">
        <v>760</v>
      </c>
      <c r="F1078" s="204">
        <v>-2512.5</v>
      </c>
      <c r="G1078" s="165">
        <f t="shared" si="29"/>
        <v>6367.0210000000188</v>
      </c>
      <c r="H1078" s="163"/>
      <c r="I1078" s="163" t="s">
        <v>283</v>
      </c>
      <c r="J1078" s="163"/>
      <c r="K1078" s="163"/>
      <c r="L1078" s="163" t="s">
        <v>1030</v>
      </c>
      <c r="M1078" s="163"/>
      <c r="N1078" s="163" t="s">
        <v>978</v>
      </c>
      <c r="O1078" s="163"/>
      <c r="P1078" s="163"/>
      <c r="Q1078" s="163"/>
      <c r="R1078" s="163" t="s">
        <v>780</v>
      </c>
      <c r="S1078" s="163" t="s">
        <v>781</v>
      </c>
      <c r="T1078" s="43">
        <f t="shared" si="27"/>
        <v>1</v>
      </c>
      <c r="U1078" s="167">
        <f t="shared" si="25"/>
        <v>45673</v>
      </c>
      <c r="V1078" s="166">
        <v>45673</v>
      </c>
      <c r="W1078" s="43">
        <f t="shared" si="28"/>
        <v>1</v>
      </c>
      <c r="X1078" s="236" t="s">
        <v>1482</v>
      </c>
      <c r="Y1078" s="236" t="s">
        <v>78</v>
      </c>
    </row>
    <row r="1079" spans="1:28" ht="14.25" hidden="1" customHeight="1">
      <c r="A1079" s="163" t="s">
        <v>1017</v>
      </c>
      <c r="B1079" s="164">
        <v>45673</v>
      </c>
      <c r="C1079" s="163"/>
      <c r="D1079" s="163" t="s">
        <v>281</v>
      </c>
      <c r="E1079" s="163" t="s">
        <v>1077</v>
      </c>
      <c r="F1079" s="185">
        <v>-1</v>
      </c>
      <c r="G1079" s="165">
        <f t="shared" si="29"/>
        <v>6366.0210000000188</v>
      </c>
      <c r="H1079" s="163"/>
      <c r="I1079" s="163" t="s">
        <v>342</v>
      </c>
      <c r="J1079" s="163"/>
      <c r="K1079" s="163"/>
      <c r="L1079" s="163" t="s">
        <v>1030</v>
      </c>
      <c r="M1079" s="163"/>
      <c r="N1079" s="163" t="s">
        <v>978</v>
      </c>
      <c r="O1079" s="163"/>
      <c r="P1079" s="163"/>
      <c r="Q1079" s="163"/>
      <c r="R1079" s="163"/>
      <c r="S1079" s="163" t="s">
        <v>1076</v>
      </c>
      <c r="T1079" s="94">
        <f t="shared" si="27"/>
        <v>1</v>
      </c>
      <c r="U1079" s="212">
        <f t="shared" si="25"/>
        <v>45673</v>
      </c>
      <c r="V1079" s="43"/>
      <c r="W1079" s="43">
        <f t="shared" si="28"/>
        <v>1</v>
      </c>
      <c r="X1079" s="43" t="s">
        <v>1483</v>
      </c>
      <c r="Y1079" s="43" t="s">
        <v>1443</v>
      </c>
      <c r="Z1079" s="43" t="s">
        <v>1113</v>
      </c>
      <c r="AA1079" s="43" t="s">
        <v>1113</v>
      </c>
      <c r="AB1079" s="43"/>
    </row>
    <row r="1080" spans="1:28" hidden="1">
      <c r="A1080" s="180" t="s">
        <v>1017</v>
      </c>
      <c r="B1080" s="181">
        <v>45670</v>
      </c>
      <c r="C1080" s="180" t="s">
        <v>1008</v>
      </c>
      <c r="D1080" s="180" t="s">
        <v>281</v>
      </c>
      <c r="E1080" s="180" t="s">
        <v>199</v>
      </c>
      <c r="F1080" s="182"/>
      <c r="G1080" s="165">
        <f t="shared" si="29"/>
        <v>6366.0210000000188</v>
      </c>
      <c r="H1080" s="180"/>
      <c r="I1080" s="180" t="s">
        <v>283</v>
      </c>
      <c r="J1080" s="180"/>
      <c r="K1080" s="180"/>
      <c r="L1080" s="180" t="s">
        <v>485</v>
      </c>
      <c r="M1080" s="180"/>
      <c r="N1080" s="180" t="s">
        <v>978</v>
      </c>
      <c r="O1080" s="180"/>
      <c r="P1080" s="180"/>
      <c r="Q1080" s="180"/>
      <c r="R1080" s="180" t="s">
        <v>669</v>
      </c>
      <c r="S1080" s="180" t="s">
        <v>1492</v>
      </c>
      <c r="T1080" s="183">
        <f t="shared" si="27"/>
        <v>1</v>
      </c>
      <c r="U1080" s="184">
        <f t="shared" si="25"/>
        <v>45673</v>
      </c>
      <c r="V1080" s="187">
        <v>45673</v>
      </c>
      <c r="W1080" s="43">
        <f t="shared" si="28"/>
        <v>1</v>
      </c>
      <c r="X1080" s="206" t="s">
        <v>1478</v>
      </c>
      <c r="Y1080" s="206" t="s">
        <v>26</v>
      </c>
      <c r="Z1080" s="183"/>
      <c r="AA1080" s="183"/>
      <c r="AB1080" s="183"/>
    </row>
    <row r="1081" spans="1:28" hidden="1">
      <c r="A1081" s="180" t="s">
        <v>1017</v>
      </c>
      <c r="B1081" s="181">
        <v>45670</v>
      </c>
      <c r="C1081" s="180" t="s">
        <v>1010</v>
      </c>
      <c r="D1081" s="180" t="s">
        <v>281</v>
      </c>
      <c r="E1081" s="180" t="s">
        <v>199</v>
      </c>
      <c r="F1081" s="182"/>
      <c r="G1081" s="165">
        <f t="shared" si="29"/>
        <v>6366.0210000000188</v>
      </c>
      <c r="H1081" s="180"/>
      <c r="I1081" s="180" t="s">
        <v>283</v>
      </c>
      <c r="J1081" s="180"/>
      <c r="K1081" s="180"/>
      <c r="L1081" s="180" t="s">
        <v>485</v>
      </c>
      <c r="M1081" s="180"/>
      <c r="N1081" s="180" t="s">
        <v>978</v>
      </c>
      <c r="O1081" s="180"/>
      <c r="P1081" s="180"/>
      <c r="Q1081" s="180"/>
      <c r="R1081" s="180" t="s">
        <v>669</v>
      </c>
      <c r="S1081" s="180" t="s">
        <v>1492</v>
      </c>
      <c r="T1081" s="183">
        <f t="shared" si="27"/>
        <v>1</v>
      </c>
      <c r="U1081" s="184">
        <f t="shared" si="25"/>
        <v>45673</v>
      </c>
      <c r="V1081" s="187">
        <v>45673</v>
      </c>
      <c r="W1081" s="43">
        <f t="shared" si="28"/>
        <v>1</v>
      </c>
      <c r="X1081" s="206" t="s">
        <v>1478</v>
      </c>
      <c r="Y1081" s="206" t="s">
        <v>26</v>
      </c>
      <c r="Z1081" s="183"/>
      <c r="AA1081" s="183"/>
      <c r="AB1081" s="183"/>
    </row>
    <row r="1082" spans="1:28" hidden="1">
      <c r="A1082" s="163"/>
      <c r="B1082" s="164">
        <v>45673</v>
      </c>
      <c r="C1082" s="163" t="s">
        <v>346</v>
      </c>
      <c r="D1082" s="163"/>
      <c r="E1082" s="163"/>
      <c r="F1082" s="165">
        <v>0</v>
      </c>
      <c r="G1082" s="165">
        <f t="shared" si="29"/>
        <v>6366.0210000000188</v>
      </c>
      <c r="H1082" s="163"/>
      <c r="I1082" s="163"/>
      <c r="J1082" s="163"/>
      <c r="K1082" s="163"/>
      <c r="L1082" s="163"/>
      <c r="M1082" s="163"/>
      <c r="N1082" s="163"/>
      <c r="O1082" s="163"/>
      <c r="P1082" s="163"/>
      <c r="Q1082" s="163"/>
      <c r="R1082" s="163"/>
      <c r="S1082" s="163"/>
      <c r="T1082" s="43">
        <f t="shared" si="27"/>
        <v>1</v>
      </c>
      <c r="U1082" s="167">
        <f t="shared" si="25"/>
        <v>45673</v>
      </c>
      <c r="W1082" s="43">
        <f t="shared" si="28"/>
        <v>1</v>
      </c>
    </row>
    <row r="1083" spans="1:28" ht="14.25" hidden="1" customHeight="1">
      <c r="A1083" s="180" t="s">
        <v>1017</v>
      </c>
      <c r="B1083" s="181">
        <v>45674</v>
      </c>
      <c r="C1083" s="180" t="s">
        <v>1487</v>
      </c>
      <c r="D1083" s="180" t="s">
        <v>281</v>
      </c>
      <c r="E1083" s="180" t="s">
        <v>282</v>
      </c>
      <c r="F1083" s="230">
        <v>15000</v>
      </c>
      <c r="G1083" s="165">
        <f t="shared" si="29"/>
        <v>21366.021000000019</v>
      </c>
      <c r="H1083" s="180"/>
      <c r="I1083" s="180" t="s">
        <v>977</v>
      </c>
      <c r="J1083" s="180"/>
      <c r="K1083" s="180"/>
      <c r="L1083" s="180" t="s">
        <v>366</v>
      </c>
      <c r="M1083" s="180"/>
      <c r="N1083" s="180" t="s">
        <v>978</v>
      </c>
      <c r="O1083" s="180"/>
      <c r="P1083" s="180"/>
      <c r="Q1083" s="180"/>
      <c r="R1083" s="180" t="s">
        <v>990</v>
      </c>
      <c r="S1083" s="180" t="s">
        <v>991</v>
      </c>
      <c r="T1083" s="183">
        <f t="shared" si="27"/>
        <v>1</v>
      </c>
      <c r="U1083" s="184">
        <f t="shared" si="25"/>
        <v>45674</v>
      </c>
      <c r="V1083" s="256"/>
      <c r="W1083" s="43">
        <f t="shared" si="28"/>
        <v>1</v>
      </c>
      <c r="X1083" s="183" t="s">
        <v>282</v>
      </c>
      <c r="Y1083" s="183" t="s">
        <v>1443</v>
      </c>
      <c r="Z1083" s="183" t="s">
        <v>1113</v>
      </c>
      <c r="AA1083" s="183" t="s">
        <v>1113</v>
      </c>
      <c r="AB1083" s="183"/>
    </row>
    <row r="1084" spans="1:28" ht="14.25" hidden="1" customHeight="1">
      <c r="A1084" s="180" t="s">
        <v>1017</v>
      </c>
      <c r="B1084" s="181">
        <v>45674</v>
      </c>
      <c r="C1084" s="180" t="s">
        <v>1564</v>
      </c>
      <c r="D1084" s="180" t="s">
        <v>281</v>
      </c>
      <c r="E1084" s="180" t="s">
        <v>282</v>
      </c>
      <c r="F1084" s="230">
        <v>3348.52</v>
      </c>
      <c r="G1084" s="165">
        <f t="shared" si="29"/>
        <v>24714.541000000019</v>
      </c>
      <c r="H1084" s="180"/>
      <c r="I1084" s="180" t="s">
        <v>977</v>
      </c>
      <c r="J1084" s="180"/>
      <c r="K1084" s="180"/>
      <c r="L1084" s="180" t="s">
        <v>366</v>
      </c>
      <c r="M1084" s="180"/>
      <c r="N1084" s="180" t="s">
        <v>978</v>
      </c>
      <c r="O1084" s="180"/>
      <c r="P1084" s="180"/>
      <c r="Q1084" s="180"/>
      <c r="R1084" s="180" t="s">
        <v>990</v>
      </c>
      <c r="S1084" s="180" t="s">
        <v>991</v>
      </c>
      <c r="T1084" s="183">
        <f t="shared" si="27"/>
        <v>1</v>
      </c>
      <c r="U1084" s="184">
        <f t="shared" si="25"/>
        <v>45674</v>
      </c>
      <c r="V1084" s="256"/>
      <c r="W1084" s="43">
        <f t="shared" si="28"/>
        <v>1</v>
      </c>
      <c r="X1084" s="183" t="s">
        <v>282</v>
      </c>
      <c r="Y1084" s="183" t="s">
        <v>1443</v>
      </c>
      <c r="Z1084" s="183" t="s">
        <v>1113</v>
      </c>
      <c r="AA1084" s="183" t="s">
        <v>1113</v>
      </c>
      <c r="AB1084" s="183"/>
    </row>
    <row r="1085" spans="1:28" hidden="1">
      <c r="A1085" s="180" t="s">
        <v>1017</v>
      </c>
      <c r="B1085" s="181">
        <v>45674</v>
      </c>
      <c r="C1085" s="180" t="s">
        <v>362</v>
      </c>
      <c r="D1085" s="180" t="s">
        <v>281</v>
      </c>
      <c r="E1085" s="180" t="s">
        <v>1333</v>
      </c>
      <c r="F1085" s="182">
        <v>-2443.0300000000002</v>
      </c>
      <c r="G1085" s="165">
        <f t="shared" si="29"/>
        <v>22271.51100000002</v>
      </c>
      <c r="H1085" s="180"/>
      <c r="I1085" s="180" t="s">
        <v>342</v>
      </c>
      <c r="J1085" s="180"/>
      <c r="K1085" s="180"/>
      <c r="L1085" s="180" t="s">
        <v>477</v>
      </c>
      <c r="M1085" s="180"/>
      <c r="N1085" s="180" t="s">
        <v>978</v>
      </c>
      <c r="O1085" s="180"/>
      <c r="P1085" s="180"/>
      <c r="Q1085" s="180"/>
      <c r="R1085" s="180" t="s">
        <v>1007</v>
      </c>
      <c r="S1085" s="180" t="s">
        <v>982</v>
      </c>
      <c r="T1085" s="183">
        <f t="shared" si="27"/>
        <v>1</v>
      </c>
      <c r="U1085" s="184">
        <f t="shared" si="25"/>
        <v>45674</v>
      </c>
      <c r="V1085" s="183"/>
      <c r="W1085" s="43">
        <f t="shared" si="28"/>
        <v>1</v>
      </c>
      <c r="X1085" s="49" t="s">
        <v>1333</v>
      </c>
      <c r="Y1085" s="49" t="s">
        <v>86</v>
      </c>
      <c r="Z1085" s="183"/>
      <c r="AA1085" s="183"/>
      <c r="AB1085" s="183"/>
    </row>
    <row r="1086" spans="1:28" ht="14.25" hidden="1" customHeight="1">
      <c r="A1086" s="163" t="s">
        <v>1017</v>
      </c>
      <c r="B1086" s="164">
        <v>45674</v>
      </c>
      <c r="C1086" s="163"/>
      <c r="D1086" s="163" t="s">
        <v>281</v>
      </c>
      <c r="E1086" s="163" t="s">
        <v>1077</v>
      </c>
      <c r="F1086" s="185">
        <v>-3</v>
      </c>
      <c r="G1086" s="165">
        <f t="shared" si="29"/>
        <v>22268.51100000002</v>
      </c>
      <c r="H1086" s="163"/>
      <c r="I1086" s="163" t="s">
        <v>342</v>
      </c>
      <c r="J1086" s="163"/>
      <c r="K1086" s="163"/>
      <c r="L1086" s="163" t="s">
        <v>1030</v>
      </c>
      <c r="M1086" s="163"/>
      <c r="N1086" s="163" t="s">
        <v>978</v>
      </c>
      <c r="O1086" s="163"/>
      <c r="P1086" s="163"/>
      <c r="Q1086" s="163"/>
      <c r="R1086" s="163"/>
      <c r="S1086" s="163" t="s">
        <v>1076</v>
      </c>
      <c r="T1086" s="94">
        <f t="shared" si="27"/>
        <v>1</v>
      </c>
      <c r="U1086" s="212">
        <f t="shared" si="25"/>
        <v>45674</v>
      </c>
      <c r="V1086" s="43"/>
      <c r="W1086" s="43">
        <f t="shared" si="28"/>
        <v>1</v>
      </c>
      <c r="X1086" s="43" t="s">
        <v>1483</v>
      </c>
      <c r="Y1086" s="43" t="s">
        <v>1443</v>
      </c>
      <c r="Z1086" s="43" t="s">
        <v>1113</v>
      </c>
      <c r="AA1086" s="43" t="s">
        <v>1113</v>
      </c>
      <c r="AB1086" s="43"/>
    </row>
    <row r="1087" spans="1:28" hidden="1">
      <c r="A1087" s="180" t="s">
        <v>1017</v>
      </c>
      <c r="B1087" s="181">
        <v>45674</v>
      </c>
      <c r="C1087" s="180" t="s">
        <v>1562</v>
      </c>
      <c r="D1087" s="180" t="s">
        <v>281</v>
      </c>
      <c r="E1087" s="180" t="s">
        <v>1565</v>
      </c>
      <c r="F1087" s="182">
        <v>-1033.5999999999999</v>
      </c>
      <c r="G1087" s="165">
        <f t="shared" si="29"/>
        <v>21234.911000000022</v>
      </c>
      <c r="H1087" s="180"/>
      <c r="I1087" s="180" t="s">
        <v>342</v>
      </c>
      <c r="J1087" s="180"/>
      <c r="K1087" s="180"/>
      <c r="L1087" s="180" t="s">
        <v>477</v>
      </c>
      <c r="M1087" s="180"/>
      <c r="N1087" s="180" t="s">
        <v>978</v>
      </c>
      <c r="O1087" s="180"/>
      <c r="P1087" s="180"/>
      <c r="Q1087" s="180"/>
      <c r="R1087" s="180" t="s">
        <v>1007</v>
      </c>
      <c r="S1087" s="180" t="s">
        <v>982</v>
      </c>
      <c r="T1087" s="183">
        <f t="shared" si="27"/>
        <v>1</v>
      </c>
      <c r="U1087" s="184">
        <f t="shared" si="25"/>
        <v>45674</v>
      </c>
      <c r="V1087" s="183"/>
      <c r="W1087" s="43">
        <f t="shared" si="28"/>
        <v>1</v>
      </c>
      <c r="X1087" s="183" t="s">
        <v>1566</v>
      </c>
      <c r="Y1087" s="183" t="s">
        <v>25</v>
      </c>
      <c r="Z1087" s="183"/>
      <c r="AA1087" s="183"/>
      <c r="AB1087" s="183"/>
    </row>
    <row r="1088" spans="1:28" hidden="1">
      <c r="A1088" s="163"/>
      <c r="B1088" s="164">
        <v>45674</v>
      </c>
      <c r="C1088" s="163" t="s">
        <v>346</v>
      </c>
      <c r="D1088" s="163"/>
      <c r="E1088" s="163"/>
      <c r="F1088" s="165">
        <v>0</v>
      </c>
      <c r="G1088" s="165">
        <f t="shared" si="29"/>
        <v>21234.911000000022</v>
      </c>
      <c r="H1088" s="163"/>
      <c r="I1088" s="163"/>
      <c r="J1088" s="163"/>
      <c r="K1088" s="163"/>
      <c r="L1088" s="163"/>
      <c r="M1088" s="163"/>
      <c r="N1088" s="163"/>
      <c r="O1088" s="163"/>
      <c r="P1088" s="163"/>
      <c r="Q1088" s="163"/>
      <c r="R1088" s="163"/>
      <c r="S1088" s="163"/>
      <c r="T1088" s="43">
        <f t="shared" si="27"/>
        <v>1</v>
      </c>
      <c r="U1088" s="167">
        <f t="shared" si="25"/>
        <v>45674</v>
      </c>
      <c r="W1088" s="43">
        <f t="shared" si="28"/>
        <v>1</v>
      </c>
    </row>
    <row r="1089" spans="1:28" ht="14.25" hidden="1" customHeight="1">
      <c r="A1089" s="180" t="s">
        <v>1017</v>
      </c>
      <c r="B1089" s="181">
        <v>45677</v>
      </c>
      <c r="C1089" s="180" t="s">
        <v>1487</v>
      </c>
      <c r="D1089" s="180" t="s">
        <v>281</v>
      </c>
      <c r="E1089" s="180" t="s">
        <v>282</v>
      </c>
      <c r="F1089" s="230">
        <v>100000</v>
      </c>
      <c r="G1089" s="165">
        <f t="shared" si="29"/>
        <v>121234.91100000002</v>
      </c>
      <c r="H1089" s="180"/>
      <c r="I1089" s="180" t="s">
        <v>977</v>
      </c>
      <c r="J1089" s="180"/>
      <c r="K1089" s="180"/>
      <c r="L1089" s="180" t="s">
        <v>366</v>
      </c>
      <c r="M1089" s="180"/>
      <c r="N1089" s="180" t="s">
        <v>978</v>
      </c>
      <c r="O1089" s="180"/>
      <c r="P1089" s="180"/>
      <c r="Q1089" s="180"/>
      <c r="R1089" s="180" t="s">
        <v>990</v>
      </c>
      <c r="S1089" s="180" t="s">
        <v>991</v>
      </c>
      <c r="T1089" s="183">
        <f t="shared" si="27"/>
        <v>1</v>
      </c>
      <c r="U1089" s="184">
        <f t="shared" si="25"/>
        <v>45677</v>
      </c>
      <c r="V1089" s="256"/>
      <c r="W1089" s="43">
        <f t="shared" si="28"/>
        <v>1</v>
      </c>
      <c r="X1089" s="183" t="s">
        <v>282</v>
      </c>
      <c r="Y1089" s="183" t="s">
        <v>1443</v>
      </c>
      <c r="Z1089" s="183" t="s">
        <v>1113</v>
      </c>
      <c r="AA1089" s="183" t="s">
        <v>1113</v>
      </c>
      <c r="AB1089" s="183"/>
    </row>
    <row r="1090" spans="1:28" hidden="1">
      <c r="A1090" s="163" t="s">
        <v>1174</v>
      </c>
      <c r="B1090" s="164">
        <v>45677</v>
      </c>
      <c r="C1090" s="163" t="s">
        <v>72</v>
      </c>
      <c r="D1090" s="163" t="s">
        <v>281</v>
      </c>
      <c r="E1090" s="163" t="s">
        <v>407</v>
      </c>
      <c r="F1090" s="165">
        <v>2950</v>
      </c>
      <c r="G1090" s="165">
        <f t="shared" si="29"/>
        <v>124184.91100000002</v>
      </c>
      <c r="H1090" s="163"/>
      <c r="I1090" s="163" t="s">
        <v>1176</v>
      </c>
      <c r="J1090" s="163" t="s">
        <v>1422</v>
      </c>
      <c r="K1090" s="163"/>
      <c r="L1090" s="163" t="s">
        <v>305</v>
      </c>
      <c r="M1090" s="163"/>
      <c r="N1090" s="163" t="s">
        <v>1178</v>
      </c>
      <c r="O1090" s="163" t="s">
        <v>1422</v>
      </c>
      <c r="P1090" s="163" t="s">
        <v>1023</v>
      </c>
      <c r="Q1090" s="163"/>
      <c r="R1090" s="163" t="s">
        <v>1051</v>
      </c>
      <c r="S1090" s="163" t="s">
        <v>1052</v>
      </c>
      <c r="T1090" s="43">
        <f t="shared" si="27"/>
        <v>1</v>
      </c>
      <c r="U1090" s="167">
        <f t="shared" si="25"/>
        <v>45677</v>
      </c>
      <c r="W1090" s="43">
        <f t="shared" si="28"/>
        <v>1</v>
      </c>
      <c r="X1090" s="43" t="s">
        <v>1484</v>
      </c>
      <c r="Y1090" s="43" t="s">
        <v>1485</v>
      </c>
    </row>
    <row r="1091" spans="1:28" hidden="1">
      <c r="A1091" s="163" t="s">
        <v>1174</v>
      </c>
      <c r="B1091" s="164">
        <v>45677</v>
      </c>
      <c r="C1091" s="163" t="s">
        <v>1018</v>
      </c>
      <c r="D1091" s="163" t="s">
        <v>281</v>
      </c>
      <c r="E1091" s="163" t="s">
        <v>407</v>
      </c>
      <c r="F1091" s="165">
        <v>4199</v>
      </c>
      <c r="G1091" s="165">
        <f t="shared" si="29"/>
        <v>128383.91100000002</v>
      </c>
      <c r="H1091" s="163"/>
      <c r="I1091" s="163" t="s">
        <v>1176</v>
      </c>
      <c r="J1091" s="163" t="s">
        <v>1420</v>
      </c>
      <c r="K1091" s="163"/>
      <c r="L1091" s="163" t="s">
        <v>305</v>
      </c>
      <c r="M1091" s="163"/>
      <c r="N1091" s="163" t="s">
        <v>1178</v>
      </c>
      <c r="O1091" s="163" t="s">
        <v>1420</v>
      </c>
      <c r="P1091" s="163" t="s">
        <v>1023</v>
      </c>
      <c r="Q1091" s="163"/>
      <c r="R1091" s="163" t="s">
        <v>1024</v>
      </c>
      <c r="S1091" s="163" t="s">
        <v>1025</v>
      </c>
      <c r="T1091" s="43">
        <f t="shared" si="27"/>
        <v>1</v>
      </c>
      <c r="U1091" s="167">
        <f t="shared" ref="U1091:U1345" si="31">IF(V1091="",B1091,V1091)</f>
        <v>45677</v>
      </c>
      <c r="W1091" s="43">
        <f t="shared" si="28"/>
        <v>1</v>
      </c>
      <c r="X1091" s="43" t="s">
        <v>1484</v>
      </c>
      <c r="Y1091" s="43" t="s">
        <v>1485</v>
      </c>
    </row>
    <row r="1092" spans="1:28" hidden="1">
      <c r="A1092" s="180" t="s">
        <v>1017</v>
      </c>
      <c r="B1092" s="181">
        <v>45674</v>
      </c>
      <c r="C1092" s="180" t="s">
        <v>1567</v>
      </c>
      <c r="D1092" s="180" t="s">
        <v>281</v>
      </c>
      <c r="E1092" s="180" t="s">
        <v>196</v>
      </c>
      <c r="F1092" s="246">
        <v>-8000</v>
      </c>
      <c r="G1092" s="165">
        <f t="shared" si="29"/>
        <v>120383.91100000002</v>
      </c>
      <c r="H1092" s="180"/>
      <c r="I1092" s="180" t="s">
        <v>342</v>
      </c>
      <c r="J1092" s="180"/>
      <c r="K1092" s="180"/>
      <c r="L1092" s="180" t="s">
        <v>477</v>
      </c>
      <c r="M1092" s="180"/>
      <c r="N1092" s="180" t="s">
        <v>978</v>
      </c>
      <c r="O1092" s="180"/>
      <c r="P1092" s="180"/>
      <c r="Q1092" s="180"/>
      <c r="R1092" s="180" t="s">
        <v>1007</v>
      </c>
      <c r="S1092" s="180" t="s">
        <v>982</v>
      </c>
      <c r="T1092" s="183">
        <f t="shared" si="27"/>
        <v>1</v>
      </c>
      <c r="U1092" s="184">
        <f t="shared" si="31"/>
        <v>45677</v>
      </c>
      <c r="V1092" s="256">
        <v>45677</v>
      </c>
      <c r="W1092" s="43">
        <f t="shared" si="28"/>
        <v>1</v>
      </c>
      <c r="X1092" s="183" t="s">
        <v>1566</v>
      </c>
      <c r="Y1092" s="183" t="s">
        <v>25</v>
      </c>
      <c r="Z1092" s="183"/>
      <c r="AA1092" s="183"/>
      <c r="AB1092" s="183"/>
    </row>
    <row r="1093" spans="1:28" hidden="1">
      <c r="A1093" s="180" t="s">
        <v>1017</v>
      </c>
      <c r="B1093" s="181">
        <v>45678</v>
      </c>
      <c r="C1093" s="180" t="s">
        <v>1568</v>
      </c>
      <c r="D1093" s="180" t="s">
        <v>281</v>
      </c>
      <c r="E1093" s="180" t="s">
        <v>1569</v>
      </c>
      <c r="F1093" s="246">
        <f>-13133.46-300</f>
        <v>-13433.46</v>
      </c>
      <c r="G1093" s="165">
        <f t="shared" si="29"/>
        <v>106950.45100000003</v>
      </c>
      <c r="H1093" s="180"/>
      <c r="I1093" s="180" t="s">
        <v>283</v>
      </c>
      <c r="J1093" s="180"/>
      <c r="K1093" s="180"/>
      <c r="L1093" s="180" t="s">
        <v>485</v>
      </c>
      <c r="M1093" s="180"/>
      <c r="N1093" s="180" t="s">
        <v>978</v>
      </c>
      <c r="O1093" s="180"/>
      <c r="P1093" s="180"/>
      <c r="Q1093" s="180"/>
      <c r="R1093" s="180" t="s">
        <v>669</v>
      </c>
      <c r="S1093" s="180" t="s">
        <v>1492</v>
      </c>
      <c r="T1093" s="183">
        <f t="shared" si="27"/>
        <v>1</v>
      </c>
      <c r="U1093" s="184">
        <f t="shared" si="31"/>
        <v>45677</v>
      </c>
      <c r="V1093" s="256">
        <v>45677</v>
      </c>
      <c r="W1093" s="43">
        <f t="shared" si="28"/>
        <v>1</v>
      </c>
      <c r="X1093" s="183" t="s">
        <v>1483</v>
      </c>
      <c r="Y1093" s="183" t="s">
        <v>1443</v>
      </c>
      <c r="Z1093" s="183"/>
      <c r="AA1093" s="183"/>
      <c r="AB1093" s="183"/>
    </row>
    <row r="1094" spans="1:28" hidden="1">
      <c r="A1094" s="180" t="s">
        <v>1017</v>
      </c>
      <c r="B1094" s="181">
        <v>45678</v>
      </c>
      <c r="C1094" s="180" t="s">
        <v>1562</v>
      </c>
      <c r="D1094" s="180" t="s">
        <v>281</v>
      </c>
      <c r="E1094" s="180" t="s">
        <v>1570</v>
      </c>
      <c r="F1094" s="246">
        <f>-165</f>
        <v>-165</v>
      </c>
      <c r="G1094" s="165">
        <f t="shared" si="29"/>
        <v>106785.45100000003</v>
      </c>
      <c r="H1094" s="180"/>
      <c r="I1094" s="180" t="s">
        <v>283</v>
      </c>
      <c r="J1094" s="180"/>
      <c r="K1094" s="180"/>
      <c r="L1094" s="180" t="s">
        <v>485</v>
      </c>
      <c r="M1094" s="180"/>
      <c r="N1094" s="180" t="s">
        <v>978</v>
      </c>
      <c r="O1094" s="180"/>
      <c r="P1094" s="180"/>
      <c r="Q1094" s="180"/>
      <c r="R1094" s="180" t="s">
        <v>669</v>
      </c>
      <c r="S1094" s="180" t="s">
        <v>1492</v>
      </c>
      <c r="T1094" s="183">
        <f t="shared" si="27"/>
        <v>1</v>
      </c>
      <c r="U1094" s="184">
        <f t="shared" si="31"/>
        <v>45677</v>
      </c>
      <c r="V1094" s="256">
        <v>45677</v>
      </c>
      <c r="W1094" s="43">
        <f t="shared" si="28"/>
        <v>1</v>
      </c>
      <c r="X1094" s="183" t="s">
        <v>1566</v>
      </c>
      <c r="Y1094" s="183" t="s">
        <v>25</v>
      </c>
      <c r="Z1094" s="183"/>
      <c r="AA1094" s="183"/>
      <c r="AB1094" s="183"/>
    </row>
    <row r="1095" spans="1:28" hidden="1">
      <c r="A1095" s="163" t="s">
        <v>1017</v>
      </c>
      <c r="B1095" s="164">
        <v>45677</v>
      </c>
      <c r="C1095" s="163" t="s">
        <v>385</v>
      </c>
      <c r="D1095" s="163" t="s">
        <v>281</v>
      </c>
      <c r="E1095" s="163" t="s">
        <v>1061</v>
      </c>
      <c r="F1095" s="246">
        <v>-9421.48</v>
      </c>
      <c r="G1095" s="165">
        <f t="shared" si="29"/>
        <v>97363.971000000034</v>
      </c>
      <c r="H1095" s="163"/>
      <c r="I1095" s="163" t="s">
        <v>342</v>
      </c>
      <c r="J1095" s="163"/>
      <c r="K1095" s="163"/>
      <c r="L1095" s="163" t="s">
        <v>1571</v>
      </c>
      <c r="M1095" s="163"/>
      <c r="N1095" s="163" t="s">
        <v>978</v>
      </c>
      <c r="O1095" s="163"/>
      <c r="P1095" s="163"/>
      <c r="Q1095" s="163"/>
      <c r="R1095" s="163" t="s">
        <v>389</v>
      </c>
      <c r="S1095" s="163" t="s">
        <v>390</v>
      </c>
      <c r="T1095" s="43">
        <f t="shared" si="27"/>
        <v>1</v>
      </c>
      <c r="U1095" s="167">
        <f t="shared" si="31"/>
        <v>45677</v>
      </c>
      <c r="W1095" s="43">
        <f t="shared" si="28"/>
        <v>1</v>
      </c>
      <c r="X1095" s="49" t="s">
        <v>1498</v>
      </c>
      <c r="Y1095" s="49" t="s">
        <v>1336</v>
      </c>
    </row>
    <row r="1096" spans="1:28" hidden="1">
      <c r="A1096" s="163" t="s">
        <v>1017</v>
      </c>
      <c r="B1096" s="164">
        <v>45677</v>
      </c>
      <c r="C1096" s="163" t="s">
        <v>351</v>
      </c>
      <c r="D1096" s="163" t="s">
        <v>281</v>
      </c>
      <c r="E1096" s="163" t="s">
        <v>122</v>
      </c>
      <c r="F1096" s="246">
        <f>-11014.45-2684.13</f>
        <v>-13698.580000000002</v>
      </c>
      <c r="G1096" s="165">
        <f t="shared" si="29"/>
        <v>83665.391000000032</v>
      </c>
      <c r="H1096" s="163"/>
      <c r="I1096" s="163" t="s">
        <v>283</v>
      </c>
      <c r="J1096" s="163"/>
      <c r="K1096" s="163"/>
      <c r="L1096" s="163" t="s">
        <v>1424</v>
      </c>
      <c r="M1096" s="163"/>
      <c r="N1096" s="163" t="s">
        <v>978</v>
      </c>
      <c r="O1096" s="163"/>
      <c r="P1096" s="163"/>
      <c r="Q1096" s="163"/>
      <c r="R1096" s="163" t="s">
        <v>353</v>
      </c>
      <c r="S1096" s="163" t="s">
        <v>354</v>
      </c>
      <c r="T1096" s="43">
        <f t="shared" si="27"/>
        <v>1</v>
      </c>
      <c r="U1096" s="167">
        <f t="shared" si="31"/>
        <v>45677</v>
      </c>
      <c r="W1096" s="43">
        <f t="shared" si="28"/>
        <v>1</v>
      </c>
      <c r="X1096" s="43" t="s">
        <v>1543</v>
      </c>
      <c r="Y1096" s="43" t="s">
        <v>1336</v>
      </c>
    </row>
    <row r="1097" spans="1:28" hidden="1">
      <c r="A1097" s="163" t="s">
        <v>1017</v>
      </c>
      <c r="B1097" s="164">
        <v>45677</v>
      </c>
      <c r="C1097" s="163" t="s">
        <v>1073</v>
      </c>
      <c r="D1097" s="163" t="s">
        <v>281</v>
      </c>
      <c r="E1097" s="163" t="s">
        <v>1074</v>
      </c>
      <c r="F1097" s="246">
        <v>-608</v>
      </c>
      <c r="G1097" s="165">
        <f t="shared" si="29"/>
        <v>83057.391000000032</v>
      </c>
      <c r="H1097" s="163"/>
      <c r="I1097" s="163" t="s">
        <v>342</v>
      </c>
      <c r="J1097" s="163"/>
      <c r="K1097" s="163"/>
      <c r="L1097" s="163" t="s">
        <v>1424</v>
      </c>
      <c r="M1097" s="163"/>
      <c r="N1097" s="163" t="s">
        <v>978</v>
      </c>
      <c r="O1097" s="163"/>
      <c r="P1097" s="163"/>
      <c r="Q1097" s="163"/>
      <c r="R1097" s="163" t="s">
        <v>1075</v>
      </c>
      <c r="S1097" s="163" t="s">
        <v>1076</v>
      </c>
      <c r="T1097" s="43">
        <f t="shared" si="27"/>
        <v>1</v>
      </c>
      <c r="U1097" s="167">
        <f t="shared" si="31"/>
        <v>45677</v>
      </c>
      <c r="W1097" s="43">
        <f t="shared" si="28"/>
        <v>1</v>
      </c>
      <c r="X1097" s="49" t="s">
        <v>1483</v>
      </c>
      <c r="Y1097" s="49" t="s">
        <v>1443</v>
      </c>
    </row>
    <row r="1098" spans="1:28" hidden="1">
      <c r="A1098" s="163" t="s">
        <v>1017</v>
      </c>
      <c r="B1098" s="164">
        <v>45677</v>
      </c>
      <c r="C1098" s="163" t="s">
        <v>95</v>
      </c>
      <c r="D1098" s="163" t="s">
        <v>281</v>
      </c>
      <c r="E1098" s="163" t="s">
        <v>1031</v>
      </c>
      <c r="F1098" s="246">
        <v>-1157.74</v>
      </c>
      <c r="G1098" s="165">
        <f t="shared" si="29"/>
        <v>81899.651000000027</v>
      </c>
      <c r="H1098" s="163"/>
      <c r="I1098" s="163" t="s">
        <v>994</v>
      </c>
      <c r="J1098" s="163"/>
      <c r="K1098" s="163"/>
      <c r="L1098" s="163" t="s">
        <v>1424</v>
      </c>
      <c r="M1098" s="163"/>
      <c r="N1098" s="163" t="s">
        <v>978</v>
      </c>
      <c r="O1098" s="163"/>
      <c r="P1098" s="163"/>
      <c r="Q1098" s="163"/>
      <c r="R1098" s="163" t="s">
        <v>95</v>
      </c>
      <c r="S1098" s="163" t="s">
        <v>440</v>
      </c>
      <c r="T1098" s="43">
        <f t="shared" si="27"/>
        <v>1</v>
      </c>
      <c r="U1098" s="167">
        <f t="shared" si="31"/>
        <v>45677</v>
      </c>
      <c r="W1098" s="43">
        <f t="shared" si="28"/>
        <v>1</v>
      </c>
      <c r="X1098" s="49" t="s">
        <v>1499</v>
      </c>
      <c r="Y1098" s="49" t="s">
        <v>26</v>
      </c>
    </row>
    <row r="1099" spans="1:28" hidden="1">
      <c r="A1099" s="163" t="s">
        <v>1017</v>
      </c>
      <c r="B1099" s="164">
        <v>45677</v>
      </c>
      <c r="C1099" s="163" t="s">
        <v>358</v>
      </c>
      <c r="D1099" s="163" t="s">
        <v>281</v>
      </c>
      <c r="E1099" s="163" t="s">
        <v>301</v>
      </c>
      <c r="F1099" s="246">
        <v>-3639.19</v>
      </c>
      <c r="G1099" s="165">
        <f t="shared" si="29"/>
        <v>78260.461000000025</v>
      </c>
      <c r="H1099" s="163"/>
      <c r="I1099" s="163" t="s">
        <v>283</v>
      </c>
      <c r="J1099" s="163"/>
      <c r="K1099" s="163"/>
      <c r="L1099" s="163" t="s">
        <v>1424</v>
      </c>
      <c r="M1099" s="163"/>
      <c r="N1099" s="163" t="s">
        <v>978</v>
      </c>
      <c r="O1099" s="163"/>
      <c r="P1099" s="163"/>
      <c r="Q1099" s="163"/>
      <c r="R1099" s="163" t="s">
        <v>358</v>
      </c>
      <c r="S1099" s="163" t="s">
        <v>361</v>
      </c>
      <c r="T1099" s="43">
        <f t="shared" si="27"/>
        <v>1</v>
      </c>
      <c r="U1099" s="167">
        <f t="shared" si="31"/>
        <v>45677</v>
      </c>
      <c r="W1099" s="43">
        <f t="shared" si="28"/>
        <v>1</v>
      </c>
      <c r="X1099" s="49" t="s">
        <v>1333</v>
      </c>
      <c r="Y1099" s="49" t="s">
        <v>26</v>
      </c>
    </row>
    <row r="1100" spans="1:28" hidden="1">
      <c r="A1100" s="163" t="s">
        <v>1017</v>
      </c>
      <c r="B1100" s="164">
        <v>45677</v>
      </c>
      <c r="C1100" s="163" t="s">
        <v>457</v>
      </c>
      <c r="D1100" s="163" t="s">
        <v>281</v>
      </c>
      <c r="E1100" s="163" t="s">
        <v>1031</v>
      </c>
      <c r="F1100" s="246">
        <v>-1021.1</v>
      </c>
      <c r="G1100" s="165">
        <f t="shared" si="29"/>
        <v>77239.361000000019</v>
      </c>
      <c r="H1100" s="163"/>
      <c r="I1100" s="163" t="s">
        <v>283</v>
      </c>
      <c r="J1100" s="163"/>
      <c r="K1100" s="163"/>
      <c r="L1100" s="163" t="s">
        <v>1424</v>
      </c>
      <c r="M1100" s="163"/>
      <c r="N1100" s="163" t="s">
        <v>978</v>
      </c>
      <c r="O1100" s="163"/>
      <c r="P1100" s="163"/>
      <c r="Q1100" s="163"/>
      <c r="R1100" s="163" t="s">
        <v>457</v>
      </c>
      <c r="S1100" s="163" t="s">
        <v>459</v>
      </c>
      <c r="T1100" s="43">
        <f t="shared" si="27"/>
        <v>1</v>
      </c>
      <c r="U1100" s="167">
        <f t="shared" si="31"/>
        <v>45677</v>
      </c>
      <c r="W1100" s="43">
        <f t="shared" si="28"/>
        <v>1</v>
      </c>
      <c r="X1100" s="49" t="s">
        <v>1499</v>
      </c>
      <c r="Y1100" s="49" t="s">
        <v>26</v>
      </c>
    </row>
    <row r="1101" spans="1:28" hidden="1">
      <c r="A1101" s="163" t="s">
        <v>1017</v>
      </c>
      <c r="B1101" s="164">
        <v>45677</v>
      </c>
      <c r="C1101" s="163" t="s">
        <v>466</v>
      </c>
      <c r="D1101" s="163" t="s">
        <v>281</v>
      </c>
      <c r="E1101" s="163" t="s">
        <v>1031</v>
      </c>
      <c r="F1101" s="246">
        <v>-1021.1</v>
      </c>
      <c r="G1101" s="165">
        <f t="shared" si="29"/>
        <v>76218.261000000013</v>
      </c>
      <c r="H1101" s="163"/>
      <c r="I1101" s="163" t="s">
        <v>283</v>
      </c>
      <c r="J1101" s="163"/>
      <c r="K1101" s="163"/>
      <c r="L1101" s="163" t="s">
        <v>1424</v>
      </c>
      <c r="M1101" s="163"/>
      <c r="N1101" s="163" t="s">
        <v>978</v>
      </c>
      <c r="O1101" s="163"/>
      <c r="P1101" s="163"/>
      <c r="Q1101" s="163"/>
      <c r="R1101" s="163" t="s">
        <v>466</v>
      </c>
      <c r="S1101" s="163" t="s">
        <v>468</v>
      </c>
      <c r="T1101" s="43">
        <f t="shared" si="27"/>
        <v>1</v>
      </c>
      <c r="U1101" s="167">
        <f t="shared" si="31"/>
        <v>45677</v>
      </c>
      <c r="W1101" s="43">
        <f t="shared" si="28"/>
        <v>1</v>
      </c>
      <c r="X1101" s="49" t="s">
        <v>1499</v>
      </c>
      <c r="Y1101" s="49" t="s">
        <v>26</v>
      </c>
    </row>
    <row r="1102" spans="1:28" hidden="1">
      <c r="A1102" s="163" t="s">
        <v>1017</v>
      </c>
      <c r="B1102" s="164">
        <v>45677</v>
      </c>
      <c r="C1102" s="163" t="s">
        <v>1425</v>
      </c>
      <c r="D1102" s="163" t="s">
        <v>281</v>
      </c>
      <c r="E1102" s="163" t="s">
        <v>1426</v>
      </c>
      <c r="F1102" s="168"/>
      <c r="G1102" s="165">
        <f t="shared" si="29"/>
        <v>76218.261000000013</v>
      </c>
      <c r="H1102" s="163"/>
      <c r="I1102" s="163" t="s">
        <v>994</v>
      </c>
      <c r="J1102" s="163"/>
      <c r="K1102" s="163"/>
      <c r="L1102" s="163" t="s">
        <v>1424</v>
      </c>
      <c r="M1102" s="163"/>
      <c r="N1102" s="163" t="s">
        <v>978</v>
      </c>
      <c r="O1102" s="163"/>
      <c r="P1102" s="163"/>
      <c r="Q1102" s="163"/>
      <c r="R1102" s="163" t="s">
        <v>1425</v>
      </c>
      <c r="S1102" s="163"/>
      <c r="T1102" s="43">
        <f t="shared" si="27"/>
        <v>1</v>
      </c>
      <c r="U1102" s="167">
        <f t="shared" si="31"/>
        <v>45677</v>
      </c>
      <c r="W1102" s="43">
        <f t="shared" si="28"/>
        <v>1</v>
      </c>
      <c r="X1102" s="43" t="s">
        <v>1427</v>
      </c>
      <c r="Y1102" s="43" t="s">
        <v>1336</v>
      </c>
    </row>
    <row r="1103" spans="1:28" hidden="1">
      <c r="A1103" s="163" t="s">
        <v>1017</v>
      </c>
      <c r="B1103" s="164">
        <v>45677</v>
      </c>
      <c r="C1103" s="163" t="s">
        <v>1572</v>
      </c>
      <c r="D1103" s="163" t="s">
        <v>281</v>
      </c>
      <c r="E1103" s="163" t="s">
        <v>301</v>
      </c>
      <c r="F1103" s="246">
        <v>-1333.34</v>
      </c>
      <c r="G1103" s="165">
        <f t="shared" si="29"/>
        <v>74884.921000000017</v>
      </c>
      <c r="H1103" s="163"/>
      <c r="I1103" s="163" t="s">
        <v>342</v>
      </c>
      <c r="J1103" s="163"/>
      <c r="K1103" s="163"/>
      <c r="L1103" s="163" t="s">
        <v>1573</v>
      </c>
      <c r="M1103" s="163"/>
      <c r="N1103" s="163" t="s">
        <v>978</v>
      </c>
      <c r="O1103" s="163"/>
      <c r="P1103" s="163"/>
      <c r="Q1103" s="163"/>
      <c r="R1103" s="163" t="s">
        <v>298</v>
      </c>
      <c r="S1103" s="163" t="s">
        <v>299</v>
      </c>
      <c r="T1103" s="43">
        <f t="shared" si="27"/>
        <v>1</v>
      </c>
      <c r="U1103" s="167">
        <f t="shared" si="31"/>
        <v>45677</v>
      </c>
      <c r="W1103" s="43">
        <f t="shared" si="28"/>
        <v>1</v>
      </c>
      <c r="X1103" s="49" t="s">
        <v>1333</v>
      </c>
      <c r="Y1103" s="49" t="s">
        <v>86</v>
      </c>
    </row>
    <row r="1104" spans="1:28" hidden="1">
      <c r="A1104" s="163" t="s">
        <v>1017</v>
      </c>
      <c r="B1104" s="164">
        <v>45677</v>
      </c>
      <c r="C1104" s="163" t="s">
        <v>293</v>
      </c>
      <c r="D1104" s="163" t="s">
        <v>281</v>
      </c>
      <c r="E1104" s="163" t="s">
        <v>294</v>
      </c>
      <c r="F1104" s="168"/>
      <c r="G1104" s="165">
        <f t="shared" si="29"/>
        <v>74884.921000000017</v>
      </c>
      <c r="H1104" s="163"/>
      <c r="I1104" s="163" t="s">
        <v>342</v>
      </c>
      <c r="J1104" s="163"/>
      <c r="K1104" s="163"/>
      <c r="L1104" s="163" t="s">
        <v>1573</v>
      </c>
      <c r="M1104" s="163"/>
      <c r="N1104" s="163" t="s">
        <v>978</v>
      </c>
      <c r="O1104" s="163"/>
      <c r="P1104" s="163"/>
      <c r="Q1104" s="163"/>
      <c r="R1104" s="163" t="s">
        <v>298</v>
      </c>
      <c r="S1104" s="163" t="s">
        <v>299</v>
      </c>
      <c r="T1104" s="43">
        <f t="shared" si="27"/>
        <v>1</v>
      </c>
      <c r="U1104" s="167">
        <f t="shared" si="31"/>
        <v>45677</v>
      </c>
      <c r="W1104" s="43">
        <f t="shared" si="28"/>
        <v>1</v>
      </c>
      <c r="X1104" s="49" t="s">
        <v>1483</v>
      </c>
      <c r="Y1104" s="49" t="s">
        <v>1443</v>
      </c>
    </row>
    <row r="1105" spans="1:28" hidden="1">
      <c r="A1105" s="163" t="s">
        <v>1017</v>
      </c>
      <c r="B1105" s="164">
        <v>45677</v>
      </c>
      <c r="C1105" s="163" t="s">
        <v>451</v>
      </c>
      <c r="D1105" s="163" t="s">
        <v>281</v>
      </c>
      <c r="E1105" s="163" t="s">
        <v>1031</v>
      </c>
      <c r="F1105" s="246">
        <v>-1021.1</v>
      </c>
      <c r="G1105" s="165">
        <f t="shared" si="29"/>
        <v>73863.821000000011</v>
      </c>
      <c r="H1105" s="163"/>
      <c r="I1105" s="163" t="s">
        <v>283</v>
      </c>
      <c r="J1105" s="163"/>
      <c r="K1105" s="163"/>
      <c r="L1105" s="163" t="s">
        <v>686</v>
      </c>
      <c r="M1105" s="163"/>
      <c r="N1105" s="163" t="s">
        <v>978</v>
      </c>
      <c r="O1105" s="163"/>
      <c r="P1105" s="163"/>
      <c r="Q1105" s="163"/>
      <c r="R1105" s="163" t="s">
        <v>451</v>
      </c>
      <c r="S1105" s="163" t="s">
        <v>453</v>
      </c>
      <c r="T1105" s="43">
        <f t="shared" si="27"/>
        <v>1</v>
      </c>
      <c r="U1105" s="167">
        <f t="shared" si="31"/>
        <v>45677</v>
      </c>
      <c r="W1105" s="43">
        <f t="shared" si="28"/>
        <v>1</v>
      </c>
      <c r="X1105" s="49" t="s">
        <v>1499</v>
      </c>
      <c r="Y1105" s="49" t="s">
        <v>26</v>
      </c>
    </row>
    <row r="1106" spans="1:28" hidden="1">
      <c r="A1106" s="163" t="s">
        <v>1017</v>
      </c>
      <c r="B1106" s="164">
        <v>45677</v>
      </c>
      <c r="C1106" s="163" t="s">
        <v>111</v>
      </c>
      <c r="D1106" s="163" t="s">
        <v>281</v>
      </c>
      <c r="E1106" s="163" t="s">
        <v>1031</v>
      </c>
      <c r="F1106" s="246">
        <v>-1600</v>
      </c>
      <c r="G1106" s="165">
        <f t="shared" si="29"/>
        <v>72263.821000000011</v>
      </c>
      <c r="H1106" s="163"/>
      <c r="I1106" s="163" t="s">
        <v>283</v>
      </c>
      <c r="J1106" s="163"/>
      <c r="K1106" s="163"/>
      <c r="L1106" s="163" t="s">
        <v>766</v>
      </c>
      <c r="M1106" s="163"/>
      <c r="N1106" s="163" t="s">
        <v>978</v>
      </c>
      <c r="O1106" s="163"/>
      <c r="P1106" s="163"/>
      <c r="Q1106" s="163"/>
      <c r="R1106" s="163" t="s">
        <v>111</v>
      </c>
      <c r="S1106" s="163" t="s">
        <v>320</v>
      </c>
      <c r="T1106" s="43">
        <f t="shared" si="27"/>
        <v>1</v>
      </c>
      <c r="U1106" s="167">
        <f t="shared" si="31"/>
        <v>45677</v>
      </c>
      <c r="W1106" s="43">
        <f t="shared" si="28"/>
        <v>1</v>
      </c>
      <c r="X1106" s="49" t="s">
        <v>1499</v>
      </c>
      <c r="Y1106" s="49" t="s">
        <v>105</v>
      </c>
    </row>
    <row r="1107" spans="1:28" hidden="1">
      <c r="A1107" s="163" t="s">
        <v>1017</v>
      </c>
      <c r="B1107" s="164">
        <v>45677</v>
      </c>
      <c r="C1107" s="163" t="s">
        <v>93</v>
      </c>
      <c r="D1107" s="163" t="s">
        <v>281</v>
      </c>
      <c r="E1107" s="163" t="s">
        <v>1031</v>
      </c>
      <c r="F1107" s="246">
        <v>-4800</v>
      </c>
      <c r="G1107" s="165">
        <f t="shared" si="29"/>
        <v>67463.821000000011</v>
      </c>
      <c r="H1107" s="163"/>
      <c r="I1107" s="163" t="s">
        <v>283</v>
      </c>
      <c r="J1107" s="163"/>
      <c r="K1107" s="163"/>
      <c r="L1107" s="163" t="s">
        <v>477</v>
      </c>
      <c r="M1107" s="163"/>
      <c r="N1107" s="163" t="s">
        <v>978</v>
      </c>
      <c r="O1107" s="163"/>
      <c r="P1107" s="163"/>
      <c r="Q1107" s="163"/>
      <c r="R1107" s="163" t="s">
        <v>93</v>
      </c>
      <c r="S1107" s="163" t="s">
        <v>540</v>
      </c>
      <c r="T1107" s="43">
        <f t="shared" si="27"/>
        <v>1</v>
      </c>
      <c r="U1107" s="167">
        <f t="shared" si="31"/>
        <v>45677</v>
      </c>
      <c r="W1107" s="43">
        <f t="shared" si="28"/>
        <v>1</v>
      </c>
      <c r="X1107" s="49" t="s">
        <v>1499</v>
      </c>
      <c r="Y1107" s="49" t="s">
        <v>94</v>
      </c>
    </row>
    <row r="1108" spans="1:28" hidden="1">
      <c r="A1108" s="163" t="s">
        <v>1017</v>
      </c>
      <c r="B1108" s="164">
        <v>45677</v>
      </c>
      <c r="C1108" s="163" t="s">
        <v>546</v>
      </c>
      <c r="D1108" s="163" t="s">
        <v>281</v>
      </c>
      <c r="E1108" s="163" t="s">
        <v>1031</v>
      </c>
      <c r="F1108" s="246">
        <v>-1021.1</v>
      </c>
      <c r="G1108" s="165">
        <f t="shared" si="29"/>
        <v>66442.721000000005</v>
      </c>
      <c r="H1108" s="163"/>
      <c r="I1108" s="163" t="s">
        <v>283</v>
      </c>
      <c r="J1108" s="163"/>
      <c r="K1108" s="163"/>
      <c r="L1108" s="163" t="s">
        <v>477</v>
      </c>
      <c r="M1108" s="163"/>
      <c r="N1108" s="163" t="s">
        <v>978</v>
      </c>
      <c r="O1108" s="163"/>
      <c r="P1108" s="163"/>
      <c r="Q1108" s="163"/>
      <c r="R1108" s="163" t="s">
        <v>546</v>
      </c>
      <c r="S1108" s="163" t="s">
        <v>548</v>
      </c>
      <c r="T1108" s="43">
        <f t="shared" si="27"/>
        <v>1</v>
      </c>
      <c r="U1108" s="167">
        <f t="shared" si="31"/>
        <v>45677</v>
      </c>
      <c r="W1108" s="43">
        <f t="shared" si="28"/>
        <v>1</v>
      </c>
      <c r="X1108" s="49" t="s">
        <v>1499</v>
      </c>
      <c r="Y1108" s="49" t="s">
        <v>26</v>
      </c>
    </row>
    <row r="1109" spans="1:28" hidden="1">
      <c r="A1109" s="163" t="s">
        <v>1017</v>
      </c>
      <c r="B1109" s="164">
        <v>45677</v>
      </c>
      <c r="C1109" s="163" t="s">
        <v>484</v>
      </c>
      <c r="D1109" s="163" t="s">
        <v>281</v>
      </c>
      <c r="E1109" s="163" t="s">
        <v>1031</v>
      </c>
      <c r="F1109" s="246">
        <v>-400</v>
      </c>
      <c r="G1109" s="165">
        <f t="shared" si="29"/>
        <v>66042.721000000005</v>
      </c>
      <c r="H1109" s="163"/>
      <c r="I1109" s="163" t="s">
        <v>283</v>
      </c>
      <c r="J1109" s="163"/>
      <c r="K1109" s="163"/>
      <c r="L1109" s="163" t="s">
        <v>477</v>
      </c>
      <c r="M1109" s="163"/>
      <c r="N1109" s="163" t="s">
        <v>978</v>
      </c>
      <c r="O1109" s="163"/>
      <c r="P1109" s="163"/>
      <c r="Q1109" s="163"/>
      <c r="R1109" s="163" t="s">
        <v>484</v>
      </c>
      <c r="S1109" s="163" t="s">
        <v>487</v>
      </c>
      <c r="T1109" s="43">
        <f t="shared" si="27"/>
        <v>1</v>
      </c>
      <c r="U1109" s="167">
        <f t="shared" si="31"/>
        <v>45677</v>
      </c>
      <c r="W1109" s="43">
        <f t="shared" si="28"/>
        <v>1</v>
      </c>
      <c r="X1109" s="49" t="s">
        <v>1499</v>
      </c>
      <c r="Y1109" s="49" t="s">
        <v>86</v>
      </c>
    </row>
    <row r="1110" spans="1:28" hidden="1">
      <c r="A1110" s="163" t="s">
        <v>1017</v>
      </c>
      <c r="B1110" s="164">
        <v>45677</v>
      </c>
      <c r="C1110" s="163" t="s">
        <v>491</v>
      </c>
      <c r="D1110" s="163" t="s">
        <v>281</v>
      </c>
      <c r="E1110" s="163" t="s">
        <v>1031</v>
      </c>
      <c r="F1110" s="246">
        <v>-1200</v>
      </c>
      <c r="G1110" s="165">
        <f t="shared" si="29"/>
        <v>64842.721000000005</v>
      </c>
      <c r="H1110" s="163"/>
      <c r="I1110" s="163" t="s">
        <v>283</v>
      </c>
      <c r="J1110" s="163"/>
      <c r="K1110" s="163"/>
      <c r="L1110" s="163" t="s">
        <v>477</v>
      </c>
      <c r="M1110" s="163"/>
      <c r="N1110" s="163" t="s">
        <v>978</v>
      </c>
      <c r="O1110" s="163"/>
      <c r="P1110" s="163"/>
      <c r="Q1110" s="163"/>
      <c r="R1110" s="163" t="s">
        <v>491</v>
      </c>
      <c r="S1110" s="163" t="s">
        <v>493</v>
      </c>
      <c r="T1110" s="43">
        <f t="shared" si="27"/>
        <v>1</v>
      </c>
      <c r="U1110" s="167">
        <f t="shared" si="31"/>
        <v>45677</v>
      </c>
      <c r="W1110" s="43">
        <f t="shared" si="28"/>
        <v>1</v>
      </c>
      <c r="X1110" s="49" t="s">
        <v>1499</v>
      </c>
      <c r="Y1110" s="49" t="s">
        <v>86</v>
      </c>
    </row>
    <row r="1111" spans="1:28" hidden="1">
      <c r="A1111" s="163" t="s">
        <v>1017</v>
      </c>
      <c r="B1111" s="164">
        <v>45677</v>
      </c>
      <c r="C1111" s="163" t="s">
        <v>516</v>
      </c>
      <c r="D1111" s="163" t="s">
        <v>281</v>
      </c>
      <c r="E1111" s="163" t="s">
        <v>1031</v>
      </c>
      <c r="F1111" s="246">
        <v>-400</v>
      </c>
      <c r="G1111" s="165">
        <f t="shared" si="29"/>
        <v>64442.721000000005</v>
      </c>
      <c r="H1111" s="163"/>
      <c r="I1111" s="163" t="s">
        <v>283</v>
      </c>
      <c r="J1111" s="163"/>
      <c r="K1111" s="163"/>
      <c r="L1111" s="163" t="s">
        <v>477</v>
      </c>
      <c r="M1111" s="163"/>
      <c r="N1111" s="163" t="s">
        <v>978</v>
      </c>
      <c r="O1111" s="163"/>
      <c r="P1111" s="163"/>
      <c r="Q1111" s="163"/>
      <c r="R1111" s="163" t="s">
        <v>516</v>
      </c>
      <c r="S1111" s="163" t="s">
        <v>518</v>
      </c>
      <c r="T1111" s="43">
        <f t="shared" si="27"/>
        <v>1</v>
      </c>
      <c r="U1111" s="167">
        <f t="shared" si="31"/>
        <v>45677</v>
      </c>
      <c r="W1111" s="43">
        <f t="shared" si="28"/>
        <v>1</v>
      </c>
      <c r="X1111" s="49" t="s">
        <v>1499</v>
      </c>
      <c r="Y1111" s="49" t="s">
        <v>86</v>
      </c>
    </row>
    <row r="1112" spans="1:28" hidden="1">
      <c r="A1112" s="163" t="s">
        <v>1017</v>
      </c>
      <c r="B1112" s="164">
        <v>45677</v>
      </c>
      <c r="C1112" s="163" t="s">
        <v>525</v>
      </c>
      <c r="D1112" s="163" t="s">
        <v>281</v>
      </c>
      <c r="E1112" s="163" t="s">
        <v>1031</v>
      </c>
      <c r="F1112" s="246">
        <v>-700</v>
      </c>
      <c r="G1112" s="165">
        <f t="shared" si="29"/>
        <v>63742.721000000005</v>
      </c>
      <c r="H1112" s="163"/>
      <c r="I1112" s="163" t="s">
        <v>283</v>
      </c>
      <c r="J1112" s="163"/>
      <c r="K1112" s="163"/>
      <c r="L1112" s="163" t="s">
        <v>477</v>
      </c>
      <c r="M1112" s="163"/>
      <c r="N1112" s="163" t="s">
        <v>978</v>
      </c>
      <c r="O1112" s="163"/>
      <c r="P1112" s="163"/>
      <c r="Q1112" s="163"/>
      <c r="R1112" s="163" t="s">
        <v>525</v>
      </c>
      <c r="S1112" s="163" t="s">
        <v>527</v>
      </c>
      <c r="T1112" s="43">
        <f t="shared" si="27"/>
        <v>1</v>
      </c>
      <c r="U1112" s="167">
        <f t="shared" si="31"/>
        <v>45677</v>
      </c>
      <c r="W1112" s="43">
        <f t="shared" si="28"/>
        <v>1</v>
      </c>
      <c r="X1112" s="49" t="s">
        <v>1499</v>
      </c>
      <c r="Y1112" s="49" t="s">
        <v>86</v>
      </c>
    </row>
    <row r="1113" spans="1:28" hidden="1">
      <c r="A1113" s="163" t="s">
        <v>1017</v>
      </c>
      <c r="B1113" s="164">
        <v>45677</v>
      </c>
      <c r="C1113" s="163" t="s">
        <v>1102</v>
      </c>
      <c r="D1113" s="163" t="s">
        <v>281</v>
      </c>
      <c r="E1113" s="163" t="s">
        <v>1031</v>
      </c>
      <c r="F1113" s="246">
        <v>-1800</v>
      </c>
      <c r="G1113" s="165">
        <f t="shared" si="29"/>
        <v>61942.721000000005</v>
      </c>
      <c r="H1113" s="163"/>
      <c r="I1113" s="163" t="s">
        <v>283</v>
      </c>
      <c r="J1113" s="163"/>
      <c r="K1113" s="163"/>
      <c r="L1113" s="163" t="s">
        <v>477</v>
      </c>
      <c r="M1113" s="163"/>
      <c r="N1113" s="163" t="s">
        <v>978</v>
      </c>
      <c r="O1113" s="163"/>
      <c r="P1113" s="163"/>
      <c r="Q1113" s="163"/>
      <c r="R1113" s="163" t="s">
        <v>987</v>
      </c>
      <c r="S1113" s="163" t="s">
        <v>988</v>
      </c>
      <c r="T1113" s="43">
        <f t="shared" si="27"/>
        <v>1</v>
      </c>
      <c r="U1113" s="167">
        <f t="shared" si="31"/>
        <v>45677</v>
      </c>
      <c r="W1113" s="43">
        <f t="shared" si="28"/>
        <v>1</v>
      </c>
      <c r="X1113" s="49" t="s">
        <v>1499</v>
      </c>
      <c r="Y1113" s="49" t="s">
        <v>25</v>
      </c>
    </row>
    <row r="1114" spans="1:28" hidden="1">
      <c r="A1114" s="163" t="s">
        <v>1017</v>
      </c>
      <c r="B1114" s="164">
        <v>45677</v>
      </c>
      <c r="C1114" s="163" t="s">
        <v>549</v>
      </c>
      <c r="D1114" s="163" t="s">
        <v>281</v>
      </c>
      <c r="E1114" s="163" t="s">
        <v>1031</v>
      </c>
      <c r="F1114" s="246">
        <v>-2600</v>
      </c>
      <c r="G1114" s="165">
        <f t="shared" si="29"/>
        <v>59342.721000000005</v>
      </c>
      <c r="H1114" s="163"/>
      <c r="I1114" s="163" t="s">
        <v>283</v>
      </c>
      <c r="J1114" s="163"/>
      <c r="K1114" s="163"/>
      <c r="L1114" s="163" t="s">
        <v>485</v>
      </c>
      <c r="M1114" s="163"/>
      <c r="N1114" s="163" t="s">
        <v>978</v>
      </c>
      <c r="O1114" s="163"/>
      <c r="P1114" s="163"/>
      <c r="Q1114" s="163"/>
      <c r="R1114" s="163" t="s">
        <v>549</v>
      </c>
      <c r="S1114" s="163" t="s">
        <v>551</v>
      </c>
      <c r="T1114" s="43">
        <f t="shared" si="27"/>
        <v>1</v>
      </c>
      <c r="U1114" s="167">
        <f t="shared" si="31"/>
        <v>45677</v>
      </c>
      <c r="W1114" s="43">
        <f t="shared" si="28"/>
        <v>1</v>
      </c>
      <c r="X1114" s="49" t="s">
        <v>1499</v>
      </c>
      <c r="Y1114" s="49" t="s">
        <v>105</v>
      </c>
    </row>
    <row r="1115" spans="1:28" hidden="1">
      <c r="A1115" s="163" t="s">
        <v>1017</v>
      </c>
      <c r="B1115" s="164">
        <v>45677</v>
      </c>
      <c r="C1115" s="163" t="s">
        <v>543</v>
      </c>
      <c r="D1115" s="163" t="s">
        <v>281</v>
      </c>
      <c r="E1115" s="163" t="s">
        <v>1031</v>
      </c>
      <c r="F1115" s="246">
        <v>-1000</v>
      </c>
      <c r="G1115" s="165">
        <f t="shared" si="29"/>
        <v>58342.721000000005</v>
      </c>
      <c r="H1115" s="163"/>
      <c r="I1115" s="163" t="s">
        <v>283</v>
      </c>
      <c r="J1115" s="163"/>
      <c r="K1115" s="163"/>
      <c r="L1115" s="163" t="s">
        <v>485</v>
      </c>
      <c r="M1115" s="163"/>
      <c r="N1115" s="163" t="s">
        <v>978</v>
      </c>
      <c r="O1115" s="163"/>
      <c r="P1115" s="163"/>
      <c r="Q1115" s="163"/>
      <c r="R1115" s="163" t="s">
        <v>543</v>
      </c>
      <c r="S1115" s="163" t="s">
        <v>545</v>
      </c>
      <c r="T1115" s="43">
        <f t="shared" si="27"/>
        <v>1</v>
      </c>
      <c r="U1115" s="167">
        <f t="shared" si="31"/>
        <v>45677</v>
      </c>
      <c r="W1115" s="43">
        <f t="shared" si="28"/>
        <v>1</v>
      </c>
      <c r="X1115" s="49" t="s">
        <v>1499</v>
      </c>
      <c r="Y1115" s="49" t="s">
        <v>26</v>
      </c>
    </row>
    <row r="1116" spans="1:28" hidden="1">
      <c r="A1116" s="163" t="s">
        <v>1017</v>
      </c>
      <c r="B1116" s="164">
        <v>45677</v>
      </c>
      <c r="C1116" s="163" t="s">
        <v>513</v>
      </c>
      <c r="D1116" s="163" t="s">
        <v>281</v>
      </c>
      <c r="E1116" s="163" t="s">
        <v>1031</v>
      </c>
      <c r="F1116" s="246">
        <v>-500</v>
      </c>
      <c r="G1116" s="165">
        <f t="shared" si="29"/>
        <v>57842.721000000005</v>
      </c>
      <c r="H1116" s="163"/>
      <c r="I1116" s="163" t="s">
        <v>283</v>
      </c>
      <c r="J1116" s="163"/>
      <c r="K1116" s="163"/>
      <c r="L1116" s="163" t="s">
        <v>485</v>
      </c>
      <c r="M1116" s="163"/>
      <c r="N1116" s="163" t="s">
        <v>978</v>
      </c>
      <c r="O1116" s="163"/>
      <c r="P1116" s="163"/>
      <c r="Q1116" s="163"/>
      <c r="R1116" s="163" t="s">
        <v>513</v>
      </c>
      <c r="S1116" s="163" t="s">
        <v>515</v>
      </c>
      <c r="T1116" s="43">
        <f t="shared" si="27"/>
        <v>1</v>
      </c>
      <c r="U1116" s="167">
        <f t="shared" si="31"/>
        <v>45677</v>
      </c>
      <c r="W1116" s="43">
        <f t="shared" si="28"/>
        <v>1</v>
      </c>
      <c r="X1116" s="49" t="s">
        <v>1499</v>
      </c>
      <c r="Y1116" s="49" t="s">
        <v>86</v>
      </c>
    </row>
    <row r="1117" spans="1:28" hidden="1">
      <c r="A1117" s="163" t="s">
        <v>1017</v>
      </c>
      <c r="B1117" s="164">
        <v>45677</v>
      </c>
      <c r="C1117" s="163" t="s">
        <v>522</v>
      </c>
      <c r="D1117" s="163" t="s">
        <v>281</v>
      </c>
      <c r="E1117" s="163" t="s">
        <v>1031</v>
      </c>
      <c r="F1117" s="168"/>
      <c r="G1117" s="165">
        <f t="shared" si="29"/>
        <v>57842.721000000005</v>
      </c>
      <c r="H1117" s="163"/>
      <c r="I1117" s="163" t="s">
        <v>283</v>
      </c>
      <c r="J1117" s="163"/>
      <c r="K1117" s="163"/>
      <c r="L1117" s="163" t="s">
        <v>485</v>
      </c>
      <c r="M1117" s="163"/>
      <c r="N1117" s="163" t="s">
        <v>978</v>
      </c>
      <c r="O1117" s="163"/>
      <c r="P1117" s="163"/>
      <c r="Q1117" s="163"/>
      <c r="R1117" s="163" t="s">
        <v>522</v>
      </c>
      <c r="S1117" s="163" t="s">
        <v>524</v>
      </c>
      <c r="T1117" s="43">
        <f t="shared" si="27"/>
        <v>1</v>
      </c>
      <c r="U1117" s="167">
        <f t="shared" si="31"/>
        <v>45677</v>
      </c>
      <c r="W1117" s="43">
        <f t="shared" si="28"/>
        <v>1</v>
      </c>
      <c r="X1117" s="49" t="s">
        <v>1499</v>
      </c>
      <c r="Y1117" s="49" t="s">
        <v>86</v>
      </c>
    </row>
    <row r="1118" spans="1:28" hidden="1">
      <c r="A1118" s="163" t="s">
        <v>1017</v>
      </c>
      <c r="B1118" s="164">
        <v>45677</v>
      </c>
      <c r="C1118" s="163" t="s">
        <v>112</v>
      </c>
      <c r="D1118" s="163" t="s">
        <v>281</v>
      </c>
      <c r="E1118" s="163" t="s">
        <v>1031</v>
      </c>
      <c r="F1118" s="246">
        <v>-500</v>
      </c>
      <c r="G1118" s="165">
        <f t="shared" si="29"/>
        <v>57342.721000000005</v>
      </c>
      <c r="H1118" s="163"/>
      <c r="I1118" s="163" t="s">
        <v>283</v>
      </c>
      <c r="J1118" s="163"/>
      <c r="K1118" s="163"/>
      <c r="L1118" s="163" t="s">
        <v>485</v>
      </c>
      <c r="M1118" s="163"/>
      <c r="N1118" s="163" t="s">
        <v>978</v>
      </c>
      <c r="O1118" s="163"/>
      <c r="P1118" s="163"/>
      <c r="Q1118" s="163"/>
      <c r="R1118" s="163" t="s">
        <v>112</v>
      </c>
      <c r="S1118" s="163" t="s">
        <v>532</v>
      </c>
      <c r="T1118" s="43">
        <f t="shared" si="27"/>
        <v>1</v>
      </c>
      <c r="U1118" s="167">
        <f t="shared" si="31"/>
        <v>45677</v>
      </c>
      <c r="W1118" s="43">
        <f t="shared" si="28"/>
        <v>1</v>
      </c>
      <c r="X1118" s="49" t="s">
        <v>1499</v>
      </c>
      <c r="Y1118" s="49" t="s">
        <v>86</v>
      </c>
    </row>
    <row r="1119" spans="1:28" ht="14.25" hidden="1" customHeight="1">
      <c r="A1119" s="190" t="s">
        <v>1017</v>
      </c>
      <c r="B1119" s="225">
        <v>45642</v>
      </c>
      <c r="C1119" s="190" t="s">
        <v>293</v>
      </c>
      <c r="D1119" s="190" t="s">
        <v>281</v>
      </c>
      <c r="E1119" s="190" t="s">
        <v>294</v>
      </c>
      <c r="F1119" s="246">
        <f>-18137.2-514.27-36</f>
        <v>-18687.47</v>
      </c>
      <c r="G1119" s="165">
        <f t="shared" si="29"/>
        <v>38655.251000000004</v>
      </c>
      <c r="H1119" s="190"/>
      <c r="I1119" s="190" t="s">
        <v>342</v>
      </c>
      <c r="J1119" s="190"/>
      <c r="K1119" s="190"/>
      <c r="L1119" s="190" t="s">
        <v>1574</v>
      </c>
      <c r="M1119" s="190"/>
      <c r="N1119" s="190" t="s">
        <v>978</v>
      </c>
      <c r="O1119" s="190"/>
      <c r="P1119" s="190"/>
      <c r="Q1119" s="190"/>
      <c r="R1119" s="190" t="s">
        <v>298</v>
      </c>
      <c r="S1119" s="190" t="s">
        <v>299</v>
      </c>
      <c r="T1119" s="94">
        <f t="shared" si="27"/>
        <v>12</v>
      </c>
      <c r="U1119" s="212">
        <f t="shared" si="31"/>
        <v>45677</v>
      </c>
      <c r="V1119" s="213">
        <v>45677</v>
      </c>
      <c r="W1119" s="43">
        <f t="shared" si="28"/>
        <v>1</v>
      </c>
      <c r="X1119" s="49" t="s">
        <v>1483</v>
      </c>
      <c r="Y1119" s="49" t="s">
        <v>1443</v>
      </c>
      <c r="Z1119" s="43" t="s">
        <v>1113</v>
      </c>
      <c r="AA1119" s="43" t="s">
        <v>1113</v>
      </c>
      <c r="AB1119" s="43"/>
    </row>
    <row r="1120" spans="1:28" ht="14.25" hidden="1" customHeight="1">
      <c r="A1120" s="190" t="s">
        <v>1017</v>
      </c>
      <c r="B1120" s="225">
        <v>45642</v>
      </c>
      <c r="C1120" s="190" t="s">
        <v>293</v>
      </c>
      <c r="D1120" s="190" t="s">
        <v>281</v>
      </c>
      <c r="E1120" s="190" t="s">
        <v>294</v>
      </c>
      <c r="F1120" s="246">
        <v>-18405.18</v>
      </c>
      <c r="G1120" s="165">
        <f t="shared" si="29"/>
        <v>20250.071000000004</v>
      </c>
      <c r="H1120" s="190"/>
      <c r="I1120" s="190" t="s">
        <v>342</v>
      </c>
      <c r="J1120" s="190"/>
      <c r="K1120" s="190"/>
      <c r="L1120" s="190" t="s">
        <v>1574</v>
      </c>
      <c r="M1120" s="190"/>
      <c r="N1120" s="190" t="s">
        <v>978</v>
      </c>
      <c r="O1120" s="190"/>
      <c r="P1120" s="190"/>
      <c r="Q1120" s="190"/>
      <c r="R1120" s="190" t="s">
        <v>298</v>
      </c>
      <c r="S1120" s="190" t="s">
        <v>299</v>
      </c>
      <c r="T1120" s="94">
        <f t="shared" si="27"/>
        <v>12</v>
      </c>
      <c r="U1120" s="212">
        <f t="shared" si="31"/>
        <v>45677</v>
      </c>
      <c r="V1120" s="213">
        <v>45677</v>
      </c>
      <c r="W1120" s="43">
        <f t="shared" si="28"/>
        <v>1</v>
      </c>
      <c r="X1120" s="49" t="s">
        <v>1483</v>
      </c>
      <c r="Y1120" s="49" t="s">
        <v>1443</v>
      </c>
      <c r="Z1120" s="43" t="s">
        <v>1113</v>
      </c>
      <c r="AA1120" s="43" t="s">
        <v>1113</v>
      </c>
      <c r="AB1120" s="43"/>
    </row>
    <row r="1121" spans="1:28" ht="14.25" hidden="1" customHeight="1">
      <c r="A1121" s="163" t="s">
        <v>1017</v>
      </c>
      <c r="B1121" s="164">
        <v>45677</v>
      </c>
      <c r="C1121" s="163"/>
      <c r="D1121" s="163" t="s">
        <v>281</v>
      </c>
      <c r="E1121" s="163" t="s">
        <v>1077</v>
      </c>
      <c r="F1121" s="185">
        <f>-1.99-12.5</f>
        <v>-14.49</v>
      </c>
      <c r="G1121" s="165">
        <f t="shared" si="29"/>
        <v>20235.581000000002</v>
      </c>
      <c r="H1121" s="163"/>
      <c r="I1121" s="163" t="s">
        <v>342</v>
      </c>
      <c r="J1121" s="163"/>
      <c r="K1121" s="163"/>
      <c r="L1121" s="163" t="s">
        <v>1030</v>
      </c>
      <c r="M1121" s="163"/>
      <c r="N1121" s="163" t="s">
        <v>978</v>
      </c>
      <c r="O1121" s="163"/>
      <c r="P1121" s="163"/>
      <c r="Q1121" s="163"/>
      <c r="R1121" s="163"/>
      <c r="S1121" s="163" t="s">
        <v>1076</v>
      </c>
      <c r="T1121" s="94">
        <f t="shared" si="27"/>
        <v>1</v>
      </c>
      <c r="U1121" s="212">
        <f t="shared" si="31"/>
        <v>45677</v>
      </c>
      <c r="V1121" s="43"/>
      <c r="W1121" s="43">
        <f t="shared" si="28"/>
        <v>1</v>
      </c>
      <c r="X1121" s="43" t="s">
        <v>1483</v>
      </c>
      <c r="Y1121" s="43" t="s">
        <v>1443</v>
      </c>
      <c r="Z1121" s="43" t="s">
        <v>1113</v>
      </c>
      <c r="AA1121" s="43" t="s">
        <v>1113</v>
      </c>
      <c r="AB1121" s="43"/>
    </row>
    <row r="1122" spans="1:28" hidden="1">
      <c r="A1122" s="248" t="s">
        <v>1017</v>
      </c>
      <c r="B1122" s="249">
        <v>45667</v>
      </c>
      <c r="C1122" s="248" t="s">
        <v>26</v>
      </c>
      <c r="D1122" s="248" t="s">
        <v>281</v>
      </c>
      <c r="E1122" s="248" t="s">
        <v>925</v>
      </c>
      <c r="F1122" s="253"/>
      <c r="G1122" s="165">
        <f t="shared" si="29"/>
        <v>20235.581000000002</v>
      </c>
      <c r="H1122" s="248"/>
      <c r="I1122" s="248" t="s">
        <v>283</v>
      </c>
      <c r="J1122" s="248"/>
      <c r="K1122" s="248"/>
      <c r="L1122" s="248" t="s">
        <v>485</v>
      </c>
      <c r="M1122" s="248"/>
      <c r="N1122" s="248" t="s">
        <v>978</v>
      </c>
      <c r="O1122" s="248"/>
      <c r="P1122" s="248"/>
      <c r="Q1122" s="248"/>
      <c r="R1122" s="248" t="s">
        <v>669</v>
      </c>
      <c r="S1122" s="248" t="s">
        <v>1492</v>
      </c>
      <c r="T1122" s="251">
        <f t="shared" si="27"/>
        <v>1</v>
      </c>
      <c r="U1122" s="252">
        <f t="shared" si="31"/>
        <v>45677</v>
      </c>
      <c r="V1122" s="213">
        <v>45677</v>
      </c>
      <c r="W1122" s="43">
        <f t="shared" si="28"/>
        <v>1</v>
      </c>
      <c r="X1122" s="236" t="s">
        <v>90</v>
      </c>
      <c r="Y1122" s="236" t="s">
        <v>26</v>
      </c>
      <c r="Z1122" s="251"/>
      <c r="AA1122" s="251"/>
      <c r="AB1122" s="251"/>
    </row>
    <row r="1123" spans="1:28" ht="14.25" hidden="1" customHeight="1">
      <c r="A1123" s="180" t="s">
        <v>1017</v>
      </c>
      <c r="B1123" s="181">
        <v>45677</v>
      </c>
      <c r="C1123" s="180" t="s">
        <v>1428</v>
      </c>
      <c r="D1123" s="180" t="s">
        <v>281</v>
      </c>
      <c r="E1123" s="180" t="s">
        <v>196</v>
      </c>
      <c r="F1123" s="246">
        <v>-7000</v>
      </c>
      <c r="G1123" s="165">
        <f t="shared" si="29"/>
        <v>13235.581000000002</v>
      </c>
      <c r="H1123" s="180"/>
      <c r="I1123" s="180" t="s">
        <v>283</v>
      </c>
      <c r="J1123" s="180"/>
      <c r="K1123" s="180"/>
      <c r="L1123" s="180" t="s">
        <v>305</v>
      </c>
      <c r="M1123" s="180"/>
      <c r="N1123" s="180" t="s">
        <v>978</v>
      </c>
      <c r="O1123" s="180"/>
      <c r="P1123" s="180"/>
      <c r="Q1123" s="180" t="s">
        <v>1067</v>
      </c>
      <c r="R1123" s="180" t="s">
        <v>1087</v>
      </c>
      <c r="S1123" s="180" t="s">
        <v>1089</v>
      </c>
      <c r="T1123" s="189">
        <f t="shared" si="27"/>
        <v>1</v>
      </c>
      <c r="U1123" s="211">
        <f t="shared" si="31"/>
        <v>45677</v>
      </c>
      <c r="V1123" s="183"/>
      <c r="W1123" s="43">
        <f t="shared" si="28"/>
        <v>1</v>
      </c>
      <c r="X1123" s="43" t="s">
        <v>196</v>
      </c>
      <c r="Y1123" s="43" t="s">
        <v>1443</v>
      </c>
      <c r="Z1123" s="183" t="s">
        <v>1113</v>
      </c>
      <c r="AA1123" s="183" t="s">
        <v>1336</v>
      </c>
      <c r="AB1123" s="183"/>
    </row>
    <row r="1124" spans="1:28" ht="14.25" hidden="1" customHeight="1">
      <c r="A1124" s="180" t="s">
        <v>1017</v>
      </c>
      <c r="B1124" s="181">
        <v>45677</v>
      </c>
      <c r="C1124" s="180" t="s">
        <v>1575</v>
      </c>
      <c r="D1124" s="180" t="s">
        <v>281</v>
      </c>
      <c r="E1124" s="180" t="s">
        <v>196</v>
      </c>
      <c r="F1124" s="246">
        <v>-4394.3999999999996</v>
      </c>
      <c r="G1124" s="165">
        <f t="shared" si="29"/>
        <v>8841.1810000000023</v>
      </c>
      <c r="H1124" s="180"/>
      <c r="I1124" s="180" t="s">
        <v>283</v>
      </c>
      <c r="J1124" s="180"/>
      <c r="K1124" s="180"/>
      <c r="L1124" s="180" t="s">
        <v>305</v>
      </c>
      <c r="M1124" s="180"/>
      <c r="N1124" s="180" t="s">
        <v>978</v>
      </c>
      <c r="O1124" s="180"/>
      <c r="P1124" s="180"/>
      <c r="Q1124" s="180" t="s">
        <v>1067</v>
      </c>
      <c r="R1124" s="180" t="s">
        <v>1087</v>
      </c>
      <c r="S1124" s="180" t="s">
        <v>1089</v>
      </c>
      <c r="T1124" s="189">
        <f t="shared" si="27"/>
        <v>1</v>
      </c>
      <c r="U1124" s="211">
        <f t="shared" si="31"/>
        <v>45677</v>
      </c>
      <c r="V1124" s="183"/>
      <c r="W1124" s="43">
        <f t="shared" si="28"/>
        <v>1</v>
      </c>
      <c r="X1124" s="43" t="s">
        <v>196</v>
      </c>
      <c r="Y1124" s="43" t="s">
        <v>1443</v>
      </c>
      <c r="Z1124" s="183" t="s">
        <v>1113</v>
      </c>
      <c r="AA1124" s="183" t="s">
        <v>1336</v>
      </c>
      <c r="AB1124" s="183"/>
    </row>
    <row r="1125" spans="1:28" ht="14.25" hidden="1" customHeight="1">
      <c r="A1125" s="180" t="s">
        <v>1017</v>
      </c>
      <c r="B1125" s="181">
        <v>45677</v>
      </c>
      <c r="C1125" s="180" t="s">
        <v>1576</v>
      </c>
      <c r="D1125" s="180" t="s">
        <v>281</v>
      </c>
      <c r="E1125" s="180" t="s">
        <v>1577</v>
      </c>
      <c r="F1125" s="246">
        <v>-70</v>
      </c>
      <c r="G1125" s="165">
        <f t="shared" si="29"/>
        <v>8771.1810000000023</v>
      </c>
      <c r="H1125" s="180"/>
      <c r="I1125" s="180" t="s">
        <v>283</v>
      </c>
      <c r="J1125" s="180"/>
      <c r="K1125" s="180"/>
      <c r="L1125" s="180" t="s">
        <v>305</v>
      </c>
      <c r="M1125" s="180"/>
      <c r="N1125" s="180" t="s">
        <v>978</v>
      </c>
      <c r="O1125" s="180"/>
      <c r="P1125" s="180"/>
      <c r="Q1125" s="180" t="s">
        <v>1067</v>
      </c>
      <c r="R1125" s="180" t="s">
        <v>1087</v>
      </c>
      <c r="S1125" s="180" t="s">
        <v>1089</v>
      </c>
      <c r="T1125" s="189">
        <f t="shared" si="27"/>
        <v>1</v>
      </c>
      <c r="U1125" s="211">
        <f t="shared" si="31"/>
        <v>45677</v>
      </c>
      <c r="V1125" s="183"/>
      <c r="W1125" s="43">
        <f t="shared" si="28"/>
        <v>1</v>
      </c>
      <c r="X1125" s="49" t="s">
        <v>1498</v>
      </c>
      <c r="Y1125" s="49" t="s">
        <v>1336</v>
      </c>
      <c r="Z1125" s="183" t="s">
        <v>1113</v>
      </c>
      <c r="AA1125" s="183" t="s">
        <v>1336</v>
      </c>
      <c r="AB1125" s="183"/>
    </row>
    <row r="1126" spans="1:28" ht="14.25" hidden="1" customHeight="1">
      <c r="A1126" s="180" t="s">
        <v>1017</v>
      </c>
      <c r="B1126" s="181">
        <v>45677</v>
      </c>
      <c r="C1126" s="180" t="s">
        <v>12</v>
      </c>
      <c r="D1126" s="180" t="s">
        <v>281</v>
      </c>
      <c r="E1126" s="180" t="s">
        <v>1578</v>
      </c>
      <c r="F1126" s="182"/>
      <c r="G1126" s="165">
        <f t="shared" si="29"/>
        <v>8771.1810000000023</v>
      </c>
      <c r="H1126" s="180"/>
      <c r="I1126" s="180" t="s">
        <v>283</v>
      </c>
      <c r="J1126" s="180"/>
      <c r="K1126" s="180"/>
      <c r="L1126" s="180" t="s">
        <v>305</v>
      </c>
      <c r="M1126" s="180"/>
      <c r="N1126" s="180" t="s">
        <v>978</v>
      </c>
      <c r="O1126" s="180"/>
      <c r="P1126" s="180"/>
      <c r="Q1126" s="180" t="s">
        <v>1067</v>
      </c>
      <c r="R1126" s="180" t="s">
        <v>1087</v>
      </c>
      <c r="S1126" s="180" t="s">
        <v>1089</v>
      </c>
      <c r="T1126" s="183">
        <f t="shared" si="27"/>
        <v>1</v>
      </c>
      <c r="U1126" s="184">
        <f t="shared" si="31"/>
        <v>45677</v>
      </c>
      <c r="V1126" s="183"/>
      <c r="W1126" s="43">
        <f t="shared" si="28"/>
        <v>1</v>
      </c>
      <c r="X1126" s="43" t="s">
        <v>12</v>
      </c>
      <c r="Y1126" s="43" t="s">
        <v>1443</v>
      </c>
      <c r="Z1126" s="183" t="s">
        <v>1113</v>
      </c>
      <c r="AA1126" s="183" t="s">
        <v>1336</v>
      </c>
      <c r="AB1126" s="183"/>
    </row>
    <row r="1127" spans="1:28" ht="14.25" hidden="1" customHeight="1">
      <c r="A1127" s="180" t="s">
        <v>1017</v>
      </c>
      <c r="B1127" s="181">
        <v>45677</v>
      </c>
      <c r="C1127" s="180" t="s">
        <v>1087</v>
      </c>
      <c r="D1127" s="180" t="s">
        <v>281</v>
      </c>
      <c r="E1127" s="180" t="s">
        <v>1434</v>
      </c>
      <c r="F1127" s="246">
        <v>-1541.44</v>
      </c>
      <c r="G1127" s="165">
        <f t="shared" si="29"/>
        <v>7229.7410000000018</v>
      </c>
      <c r="H1127" s="180"/>
      <c r="I1127" s="180" t="s">
        <v>283</v>
      </c>
      <c r="J1127" s="180"/>
      <c r="K1127" s="180"/>
      <c r="L1127" s="180" t="s">
        <v>305</v>
      </c>
      <c r="M1127" s="180"/>
      <c r="N1127" s="180" t="s">
        <v>978</v>
      </c>
      <c r="O1127" s="180"/>
      <c r="P1127" s="180"/>
      <c r="Q1127" s="180" t="s">
        <v>1067</v>
      </c>
      <c r="R1127" s="180" t="s">
        <v>1087</v>
      </c>
      <c r="S1127" s="180" t="s">
        <v>1089</v>
      </c>
      <c r="T1127" s="183">
        <f t="shared" si="27"/>
        <v>1</v>
      </c>
      <c r="U1127" s="184">
        <f t="shared" si="31"/>
        <v>45677</v>
      </c>
      <c r="V1127" s="183"/>
      <c r="W1127" s="43">
        <f t="shared" si="28"/>
        <v>1</v>
      </c>
      <c r="X1127" s="43" t="s">
        <v>12</v>
      </c>
      <c r="Y1127" s="43" t="s">
        <v>1443</v>
      </c>
      <c r="Z1127" s="183" t="s">
        <v>1113</v>
      </c>
      <c r="AA1127" s="183" t="s">
        <v>1336</v>
      </c>
      <c r="AB1127" s="183"/>
    </row>
    <row r="1128" spans="1:28" hidden="1">
      <c r="A1128" s="180" t="s">
        <v>1017</v>
      </c>
      <c r="B1128" s="181">
        <v>45677</v>
      </c>
      <c r="C1128" s="180" t="s">
        <v>1010</v>
      </c>
      <c r="D1128" s="180" t="s">
        <v>281</v>
      </c>
      <c r="E1128" s="180" t="s">
        <v>199</v>
      </c>
      <c r="F1128" s="246">
        <f>-1184</f>
        <v>-1184</v>
      </c>
      <c r="G1128" s="165">
        <f t="shared" si="29"/>
        <v>6045.7410000000018</v>
      </c>
      <c r="H1128" s="180"/>
      <c r="I1128" s="180" t="s">
        <v>283</v>
      </c>
      <c r="J1128" s="180"/>
      <c r="K1128" s="180"/>
      <c r="L1128" s="180" t="s">
        <v>485</v>
      </c>
      <c r="M1128" s="180"/>
      <c r="N1128" s="180" t="s">
        <v>978</v>
      </c>
      <c r="O1128" s="180"/>
      <c r="P1128" s="180"/>
      <c r="Q1128" s="180"/>
      <c r="R1128" s="180" t="s">
        <v>669</v>
      </c>
      <c r="S1128" s="180" t="s">
        <v>1492</v>
      </c>
      <c r="T1128" s="183">
        <f t="shared" si="27"/>
        <v>1</v>
      </c>
      <c r="U1128" s="184">
        <f t="shared" si="31"/>
        <v>45677</v>
      </c>
      <c r="V1128" s="183"/>
      <c r="W1128" s="43">
        <f t="shared" si="28"/>
        <v>1</v>
      </c>
      <c r="X1128" s="206" t="s">
        <v>1478</v>
      </c>
      <c r="Y1128" s="206" t="s">
        <v>26</v>
      </c>
      <c r="Z1128" s="183"/>
      <c r="AA1128" s="183"/>
      <c r="AB1128" s="183"/>
    </row>
    <row r="1129" spans="1:28" hidden="1">
      <c r="A1129" s="163"/>
      <c r="B1129" s="164">
        <v>45677</v>
      </c>
      <c r="C1129" s="163" t="s">
        <v>346</v>
      </c>
      <c r="D1129" s="163"/>
      <c r="E1129" s="163"/>
      <c r="F1129" s="165">
        <v>0</v>
      </c>
      <c r="G1129" s="165">
        <f t="shared" si="29"/>
        <v>6045.7410000000018</v>
      </c>
      <c r="H1129" s="163"/>
      <c r="I1129" s="163"/>
      <c r="J1129" s="163"/>
      <c r="K1129" s="163"/>
      <c r="L1129" s="163"/>
      <c r="M1129" s="163"/>
      <c r="N1129" s="163"/>
      <c r="O1129" s="163"/>
      <c r="P1129" s="163"/>
      <c r="Q1129" s="163"/>
      <c r="R1129" s="163"/>
      <c r="S1129" s="163"/>
      <c r="T1129" s="43">
        <f t="shared" si="27"/>
        <v>1</v>
      </c>
      <c r="U1129" s="167">
        <f t="shared" si="31"/>
        <v>45677</v>
      </c>
      <c r="W1129" s="43">
        <f t="shared" si="28"/>
        <v>1</v>
      </c>
    </row>
    <row r="1130" spans="1:28" hidden="1">
      <c r="A1130" s="163" t="s">
        <v>1174</v>
      </c>
      <c r="B1130" s="164">
        <v>45677</v>
      </c>
      <c r="C1130" s="163" t="s">
        <v>1106</v>
      </c>
      <c r="D1130" s="163" t="s">
        <v>281</v>
      </c>
      <c r="E1130" s="163" t="s">
        <v>407</v>
      </c>
      <c r="F1130" s="224">
        <v>1950</v>
      </c>
      <c r="G1130" s="165">
        <f t="shared" si="29"/>
        <v>7995.7410000000018</v>
      </c>
      <c r="H1130" s="163"/>
      <c r="I1130" s="163" t="s">
        <v>1176</v>
      </c>
      <c r="J1130" s="163" t="s">
        <v>1435</v>
      </c>
      <c r="K1130" s="163"/>
      <c r="L1130" s="163" t="s">
        <v>305</v>
      </c>
      <c r="M1130" s="163"/>
      <c r="N1130" s="163" t="s">
        <v>1178</v>
      </c>
      <c r="O1130" s="163" t="s">
        <v>1435</v>
      </c>
      <c r="P1130" s="163" t="s">
        <v>57</v>
      </c>
      <c r="Q1130" s="163"/>
      <c r="R1130" s="163" t="s">
        <v>1111</v>
      </c>
      <c r="S1130" s="163" t="s">
        <v>1112</v>
      </c>
      <c r="T1130" s="43">
        <f t="shared" si="27"/>
        <v>1</v>
      </c>
      <c r="U1130" s="167">
        <f t="shared" si="31"/>
        <v>45678</v>
      </c>
      <c r="V1130" s="166">
        <v>45678</v>
      </c>
      <c r="W1130" s="43">
        <f t="shared" si="28"/>
        <v>1</v>
      </c>
      <c r="X1130" s="43" t="s">
        <v>1484</v>
      </c>
      <c r="Y1130" s="43" t="s">
        <v>1485</v>
      </c>
    </row>
    <row r="1131" spans="1:28" hidden="1">
      <c r="A1131" s="163" t="s">
        <v>1174</v>
      </c>
      <c r="B1131" s="164">
        <v>45672</v>
      </c>
      <c r="C1131" s="163" t="s">
        <v>962</v>
      </c>
      <c r="D1131" s="163" t="s">
        <v>281</v>
      </c>
      <c r="E1131" s="163" t="s">
        <v>407</v>
      </c>
      <c r="F1131" s="224">
        <v>7500</v>
      </c>
      <c r="G1131" s="165">
        <f t="shared" si="29"/>
        <v>15495.741000000002</v>
      </c>
      <c r="H1131" s="163"/>
      <c r="I1131" s="163" t="s">
        <v>1176</v>
      </c>
      <c r="J1131" s="163" t="s">
        <v>1400</v>
      </c>
      <c r="K1131" s="163"/>
      <c r="L1131" s="163" t="s">
        <v>305</v>
      </c>
      <c r="M1131" s="163"/>
      <c r="N1131" s="163" t="s">
        <v>1178</v>
      </c>
      <c r="O1131" s="163" t="s">
        <v>1400</v>
      </c>
      <c r="P1131" s="163" t="s">
        <v>57</v>
      </c>
      <c r="Q1131" s="163"/>
      <c r="R1131" s="163" t="s">
        <v>962</v>
      </c>
      <c r="S1131" s="163" t="s">
        <v>968</v>
      </c>
      <c r="T1131" s="43">
        <f t="shared" si="27"/>
        <v>1</v>
      </c>
      <c r="U1131" s="167">
        <f t="shared" si="31"/>
        <v>45678</v>
      </c>
      <c r="V1131" s="166">
        <v>45678</v>
      </c>
      <c r="W1131" s="43">
        <f t="shared" si="28"/>
        <v>1</v>
      </c>
      <c r="X1131" s="43" t="s">
        <v>1484</v>
      </c>
      <c r="Y1131" s="43" t="s">
        <v>1485</v>
      </c>
    </row>
    <row r="1132" spans="1:28" hidden="1">
      <c r="A1132" s="163" t="s">
        <v>1017</v>
      </c>
      <c r="B1132" s="164">
        <v>45677</v>
      </c>
      <c r="C1132" s="163" t="s">
        <v>1013</v>
      </c>
      <c r="D1132" s="163" t="s">
        <v>281</v>
      </c>
      <c r="E1132" s="163" t="s">
        <v>199</v>
      </c>
      <c r="F1132" s="246">
        <v>-286</v>
      </c>
      <c r="G1132" s="165">
        <f t="shared" si="29"/>
        <v>15209.741000000002</v>
      </c>
      <c r="H1132" s="163"/>
      <c r="I1132" s="163" t="s">
        <v>977</v>
      </c>
      <c r="J1132" s="163"/>
      <c r="K1132" s="163"/>
      <c r="L1132" s="163" t="s">
        <v>1579</v>
      </c>
      <c r="M1132" s="163"/>
      <c r="N1132" s="163" t="s">
        <v>978</v>
      </c>
      <c r="O1132" s="163"/>
      <c r="P1132" s="163"/>
      <c r="Q1132" s="163"/>
      <c r="R1132" s="163" t="s">
        <v>1015</v>
      </c>
      <c r="S1132" s="163" t="s">
        <v>1016</v>
      </c>
      <c r="T1132" s="43">
        <f t="shared" si="27"/>
        <v>1</v>
      </c>
      <c r="U1132" s="167">
        <f t="shared" si="31"/>
        <v>45678</v>
      </c>
      <c r="V1132" s="166">
        <v>45678</v>
      </c>
      <c r="W1132" s="43">
        <f t="shared" si="28"/>
        <v>1</v>
      </c>
      <c r="X1132" s="49" t="s">
        <v>1480</v>
      </c>
      <c r="Y1132" s="49" t="s">
        <v>26</v>
      </c>
    </row>
    <row r="1133" spans="1:28" hidden="1">
      <c r="A1133" s="163" t="s">
        <v>1017</v>
      </c>
      <c r="B1133" s="164">
        <v>45677</v>
      </c>
      <c r="C1133" s="163" t="s">
        <v>124</v>
      </c>
      <c r="D1133" s="163" t="s">
        <v>281</v>
      </c>
      <c r="E1133" s="163" t="s">
        <v>199</v>
      </c>
      <c r="F1133" s="246">
        <v>-95</v>
      </c>
      <c r="G1133" s="165">
        <f t="shared" si="29"/>
        <v>15114.741000000002</v>
      </c>
      <c r="H1133" s="163"/>
      <c r="I1133" s="163" t="s">
        <v>977</v>
      </c>
      <c r="J1133" s="163"/>
      <c r="K1133" s="163"/>
      <c r="L1133" s="163" t="s">
        <v>1030</v>
      </c>
      <c r="M1133" s="163"/>
      <c r="N1133" s="163" t="s">
        <v>978</v>
      </c>
      <c r="O1133" s="163"/>
      <c r="P1133" s="163"/>
      <c r="Q1133" s="163"/>
      <c r="R1133" s="163" t="s">
        <v>124</v>
      </c>
      <c r="S1133" s="163"/>
      <c r="T1133" s="43">
        <f t="shared" si="27"/>
        <v>1</v>
      </c>
      <c r="U1133" s="167">
        <f t="shared" si="31"/>
        <v>45678</v>
      </c>
      <c r="V1133" s="166">
        <v>45678</v>
      </c>
      <c r="W1133" s="43">
        <f t="shared" si="28"/>
        <v>1</v>
      </c>
      <c r="X1133" s="49" t="s">
        <v>1480</v>
      </c>
      <c r="Y1133" s="49" t="s">
        <v>25</v>
      </c>
    </row>
    <row r="1134" spans="1:28" hidden="1">
      <c r="A1134" s="163" t="s">
        <v>1017</v>
      </c>
      <c r="B1134" s="164">
        <v>45677</v>
      </c>
      <c r="C1134" s="163" t="s">
        <v>1142</v>
      </c>
      <c r="D1134" s="163" t="s">
        <v>281</v>
      </c>
      <c r="E1134" s="163" t="s">
        <v>199</v>
      </c>
      <c r="F1134" s="246">
        <v>-347</v>
      </c>
      <c r="G1134" s="165">
        <f t="shared" si="29"/>
        <v>14767.741000000002</v>
      </c>
      <c r="H1134" s="163"/>
      <c r="I1134" s="163" t="s">
        <v>342</v>
      </c>
      <c r="J1134" s="163"/>
      <c r="K1134" s="163"/>
      <c r="L1134" s="163" t="s">
        <v>366</v>
      </c>
      <c r="M1134" s="163"/>
      <c r="N1134" s="163" t="s">
        <v>978</v>
      </c>
      <c r="O1134" s="163"/>
      <c r="P1134" s="163"/>
      <c r="Q1134" s="163"/>
      <c r="R1134" s="163" t="s">
        <v>1143</v>
      </c>
      <c r="S1134" s="163" t="s">
        <v>1144</v>
      </c>
      <c r="T1134" s="43">
        <f t="shared" si="27"/>
        <v>1</v>
      </c>
      <c r="U1134" s="167">
        <f t="shared" si="31"/>
        <v>45678</v>
      </c>
      <c r="V1134" s="166">
        <v>45678</v>
      </c>
      <c r="W1134" s="43">
        <f t="shared" si="28"/>
        <v>1</v>
      </c>
      <c r="X1134" s="49" t="s">
        <v>1480</v>
      </c>
      <c r="Y1134" s="49" t="s">
        <v>26</v>
      </c>
    </row>
    <row r="1135" spans="1:28" hidden="1">
      <c r="A1135" s="180" t="s">
        <v>1017</v>
      </c>
      <c r="B1135" s="181">
        <v>45678</v>
      </c>
      <c r="C1135" s="180" t="s">
        <v>1580</v>
      </c>
      <c r="D1135" s="180" t="s">
        <v>281</v>
      </c>
      <c r="E1135" s="180" t="s">
        <v>1581</v>
      </c>
      <c r="F1135" s="246">
        <v>-500</v>
      </c>
      <c r="G1135" s="165">
        <f t="shared" si="29"/>
        <v>14267.741000000002</v>
      </c>
      <c r="H1135" s="180"/>
      <c r="I1135" s="180" t="s">
        <v>283</v>
      </c>
      <c r="J1135" s="180"/>
      <c r="K1135" s="180"/>
      <c r="L1135" s="180" t="s">
        <v>485</v>
      </c>
      <c r="M1135" s="180"/>
      <c r="N1135" s="180" t="s">
        <v>978</v>
      </c>
      <c r="O1135" s="180"/>
      <c r="P1135" s="180"/>
      <c r="Q1135" s="180"/>
      <c r="R1135" s="180" t="s">
        <v>669</v>
      </c>
      <c r="S1135" s="180" t="s">
        <v>1492</v>
      </c>
      <c r="T1135" s="183">
        <f t="shared" si="27"/>
        <v>1</v>
      </c>
      <c r="U1135" s="184">
        <f t="shared" si="31"/>
        <v>45678</v>
      </c>
      <c r="V1135" s="183"/>
      <c r="W1135" s="43">
        <f t="shared" si="28"/>
        <v>1</v>
      </c>
      <c r="X1135" s="183" t="s">
        <v>1566</v>
      </c>
      <c r="Y1135" s="183" t="s">
        <v>25</v>
      </c>
      <c r="Z1135" s="183"/>
      <c r="AA1135" s="183"/>
      <c r="AB1135" s="183"/>
    </row>
    <row r="1136" spans="1:28" hidden="1">
      <c r="A1136" s="180" t="s">
        <v>1017</v>
      </c>
      <c r="B1136" s="181">
        <v>45678</v>
      </c>
      <c r="C1136" s="180" t="s">
        <v>1582</v>
      </c>
      <c r="D1136" s="180" t="s">
        <v>281</v>
      </c>
      <c r="E1136" s="180" t="s">
        <v>1583</v>
      </c>
      <c r="F1136" s="246">
        <v>-1380</v>
      </c>
      <c r="G1136" s="165">
        <f t="shared" si="29"/>
        <v>12887.741000000002</v>
      </c>
      <c r="H1136" s="180"/>
      <c r="I1136" s="180" t="s">
        <v>283</v>
      </c>
      <c r="J1136" s="180"/>
      <c r="K1136" s="180"/>
      <c r="L1136" s="180" t="s">
        <v>485</v>
      </c>
      <c r="M1136" s="180"/>
      <c r="N1136" s="180" t="s">
        <v>978</v>
      </c>
      <c r="O1136" s="180"/>
      <c r="P1136" s="180"/>
      <c r="Q1136" s="180"/>
      <c r="R1136" s="180" t="s">
        <v>669</v>
      </c>
      <c r="S1136" s="180" t="s">
        <v>1492</v>
      </c>
      <c r="T1136" s="183">
        <f t="shared" ref="T1136:T1218" si="32">MONTH(B1136)</f>
        <v>1</v>
      </c>
      <c r="U1136" s="184">
        <f t="shared" si="31"/>
        <v>45678</v>
      </c>
      <c r="V1136" s="183"/>
      <c r="W1136" s="43">
        <f t="shared" si="28"/>
        <v>1</v>
      </c>
      <c r="X1136" s="183" t="s">
        <v>1566</v>
      </c>
      <c r="Y1136" s="183" t="s">
        <v>25</v>
      </c>
      <c r="Z1136" s="183"/>
      <c r="AA1136" s="183"/>
      <c r="AB1136" s="183"/>
    </row>
    <row r="1137" spans="1:28" hidden="1">
      <c r="A1137" s="163" t="s">
        <v>1017</v>
      </c>
      <c r="B1137" s="164">
        <v>45678</v>
      </c>
      <c r="C1137" s="163" t="s">
        <v>358</v>
      </c>
      <c r="D1137" s="163" t="s">
        <v>281</v>
      </c>
      <c r="E1137" s="163" t="s">
        <v>301</v>
      </c>
      <c r="F1137" s="246">
        <v>1191.28</v>
      </c>
      <c r="G1137" s="165">
        <f t="shared" si="29"/>
        <v>14079.021000000002</v>
      </c>
      <c r="H1137" s="163"/>
      <c r="I1137" s="163" t="s">
        <v>283</v>
      </c>
      <c r="J1137" s="163"/>
      <c r="K1137" s="163"/>
      <c r="L1137" s="163" t="s">
        <v>1424</v>
      </c>
      <c r="M1137" s="163"/>
      <c r="N1137" s="163" t="s">
        <v>978</v>
      </c>
      <c r="O1137" s="163"/>
      <c r="P1137" s="163"/>
      <c r="Q1137" s="163"/>
      <c r="R1137" s="163" t="s">
        <v>358</v>
      </c>
      <c r="S1137" s="163" t="s">
        <v>361</v>
      </c>
      <c r="T1137" s="43">
        <f t="shared" si="32"/>
        <v>1</v>
      </c>
      <c r="U1137" s="167">
        <f t="shared" si="31"/>
        <v>45678</v>
      </c>
      <c r="W1137" s="43">
        <f t="shared" ref="W1137:W1391" si="33">MONTH(U1137)</f>
        <v>1</v>
      </c>
      <c r="X1137" s="49" t="s">
        <v>1333</v>
      </c>
      <c r="Y1137" s="49" t="s">
        <v>26</v>
      </c>
    </row>
    <row r="1138" spans="1:28" hidden="1">
      <c r="A1138" s="163" t="s">
        <v>1017</v>
      </c>
      <c r="B1138" s="164">
        <v>45678</v>
      </c>
      <c r="C1138" s="163" t="s">
        <v>124</v>
      </c>
      <c r="D1138" s="163" t="s">
        <v>281</v>
      </c>
      <c r="E1138" s="163" t="s">
        <v>199</v>
      </c>
      <c r="F1138" s="246">
        <v>-95</v>
      </c>
      <c r="G1138" s="165">
        <f t="shared" si="29"/>
        <v>13984.021000000002</v>
      </c>
      <c r="H1138" s="163"/>
      <c r="I1138" s="163" t="s">
        <v>977</v>
      </c>
      <c r="J1138" s="163"/>
      <c r="K1138" s="163"/>
      <c r="L1138" s="163" t="s">
        <v>485</v>
      </c>
      <c r="M1138" s="163"/>
      <c r="N1138" s="163" t="s">
        <v>978</v>
      </c>
      <c r="O1138" s="163"/>
      <c r="P1138" s="163"/>
      <c r="Q1138" s="163"/>
      <c r="R1138" s="163" t="s">
        <v>124</v>
      </c>
      <c r="S1138" s="163"/>
      <c r="T1138" s="43">
        <f t="shared" si="32"/>
        <v>1</v>
      </c>
      <c r="U1138" s="167">
        <f t="shared" si="31"/>
        <v>45678</v>
      </c>
      <c r="W1138" s="43">
        <f t="shared" si="33"/>
        <v>1</v>
      </c>
      <c r="X1138" s="49" t="s">
        <v>1480</v>
      </c>
      <c r="Y1138" s="49" t="s">
        <v>25</v>
      </c>
    </row>
    <row r="1139" spans="1:28" hidden="1">
      <c r="A1139" s="163" t="s">
        <v>1017</v>
      </c>
      <c r="B1139" s="164">
        <v>45678</v>
      </c>
      <c r="C1139" s="163" t="s">
        <v>127</v>
      </c>
      <c r="D1139" s="163" t="s">
        <v>281</v>
      </c>
      <c r="E1139" s="163" t="s">
        <v>199</v>
      </c>
      <c r="F1139" s="246">
        <v>-130</v>
      </c>
      <c r="G1139" s="165">
        <f t="shared" si="29"/>
        <v>13854.021000000002</v>
      </c>
      <c r="H1139" s="163"/>
      <c r="I1139" s="163" t="s">
        <v>977</v>
      </c>
      <c r="J1139" s="163"/>
      <c r="K1139" s="163"/>
      <c r="L1139" s="163" t="s">
        <v>485</v>
      </c>
      <c r="M1139" s="163"/>
      <c r="N1139" s="163" t="s">
        <v>978</v>
      </c>
      <c r="O1139" s="163"/>
      <c r="P1139" s="163"/>
      <c r="Q1139" s="163"/>
      <c r="R1139" s="163" t="s">
        <v>127</v>
      </c>
      <c r="S1139" s="163"/>
      <c r="T1139" s="43">
        <f t="shared" si="32"/>
        <v>1</v>
      </c>
      <c r="U1139" s="167">
        <f t="shared" si="31"/>
        <v>45678</v>
      </c>
      <c r="W1139" s="43">
        <f t="shared" si="33"/>
        <v>1</v>
      </c>
      <c r="X1139" s="49" t="s">
        <v>1480</v>
      </c>
      <c r="Y1139" s="49" t="s">
        <v>86</v>
      </c>
    </row>
    <row r="1140" spans="1:28" ht="14.25" hidden="1" customHeight="1">
      <c r="A1140" s="163" t="s">
        <v>1017</v>
      </c>
      <c r="B1140" s="164">
        <v>45678</v>
      </c>
      <c r="C1140" s="163"/>
      <c r="D1140" s="163" t="s">
        <v>281</v>
      </c>
      <c r="E1140" s="163" t="s">
        <v>1077</v>
      </c>
      <c r="F1140" s="185">
        <f>-1.99*2-1.5</f>
        <v>-5.48</v>
      </c>
      <c r="G1140" s="165">
        <f t="shared" si="29"/>
        <v>13848.541000000003</v>
      </c>
      <c r="H1140" s="163"/>
      <c r="I1140" s="163" t="s">
        <v>342</v>
      </c>
      <c r="J1140" s="163"/>
      <c r="K1140" s="163"/>
      <c r="L1140" s="163" t="s">
        <v>1030</v>
      </c>
      <c r="M1140" s="163"/>
      <c r="N1140" s="163" t="s">
        <v>978</v>
      </c>
      <c r="O1140" s="163"/>
      <c r="P1140" s="163"/>
      <c r="Q1140" s="163"/>
      <c r="R1140" s="163"/>
      <c r="S1140" s="163" t="s">
        <v>1076</v>
      </c>
      <c r="T1140" s="94">
        <f t="shared" si="32"/>
        <v>1</v>
      </c>
      <c r="U1140" s="212">
        <f t="shared" si="31"/>
        <v>45678</v>
      </c>
      <c r="V1140" s="43"/>
      <c r="W1140" s="43">
        <f t="shared" si="33"/>
        <v>1</v>
      </c>
      <c r="X1140" s="43" t="s">
        <v>1483</v>
      </c>
      <c r="Y1140" s="43" t="s">
        <v>1443</v>
      </c>
      <c r="Z1140" s="43" t="s">
        <v>1113</v>
      </c>
      <c r="AA1140" s="43" t="s">
        <v>1113</v>
      </c>
      <c r="AB1140" s="43"/>
    </row>
    <row r="1141" spans="1:28" hidden="1">
      <c r="A1141" s="163"/>
      <c r="B1141" s="164">
        <v>45678</v>
      </c>
      <c r="C1141" s="163" t="s">
        <v>346</v>
      </c>
      <c r="D1141" s="163"/>
      <c r="E1141" s="163"/>
      <c r="F1141" s="165">
        <v>0</v>
      </c>
      <c r="G1141" s="165">
        <f t="shared" si="29"/>
        <v>13848.541000000003</v>
      </c>
      <c r="H1141" s="163"/>
      <c r="I1141" s="163"/>
      <c r="J1141" s="163"/>
      <c r="K1141" s="163"/>
      <c r="L1141" s="163"/>
      <c r="M1141" s="163"/>
      <c r="N1141" s="163"/>
      <c r="O1141" s="163"/>
      <c r="P1141" s="163"/>
      <c r="Q1141" s="163"/>
      <c r="R1141" s="163"/>
      <c r="S1141" s="163"/>
      <c r="T1141" s="43">
        <f t="shared" si="32"/>
        <v>1</v>
      </c>
      <c r="U1141" s="167">
        <f t="shared" si="31"/>
        <v>45678</v>
      </c>
      <c r="W1141" s="43">
        <f t="shared" si="33"/>
        <v>1</v>
      </c>
    </row>
    <row r="1142" spans="1:28" hidden="1">
      <c r="A1142" s="180" t="s">
        <v>1174</v>
      </c>
      <c r="B1142" s="181">
        <v>45679</v>
      </c>
      <c r="C1142" s="180" t="s">
        <v>1584</v>
      </c>
      <c r="D1142" s="180" t="s">
        <v>281</v>
      </c>
      <c r="E1142" s="180" t="s">
        <v>407</v>
      </c>
      <c r="F1142" s="186">
        <v>5000</v>
      </c>
      <c r="G1142" s="165">
        <f t="shared" si="29"/>
        <v>18848.541000000005</v>
      </c>
      <c r="H1142" s="180"/>
      <c r="I1142" s="180" t="s">
        <v>1176</v>
      </c>
      <c r="J1142" s="180" t="s">
        <v>1585</v>
      </c>
      <c r="K1142" s="180"/>
      <c r="L1142" s="180" t="s">
        <v>305</v>
      </c>
      <c r="M1142" s="180"/>
      <c r="N1142" s="180" t="s">
        <v>1178</v>
      </c>
      <c r="O1142" s="180" t="s">
        <v>1585</v>
      </c>
      <c r="P1142" s="180" t="s">
        <v>1586</v>
      </c>
      <c r="Q1142" s="180"/>
      <c r="R1142" s="180" t="s">
        <v>1587</v>
      </c>
      <c r="S1142" s="180" t="s">
        <v>1588</v>
      </c>
      <c r="T1142" s="183">
        <f t="shared" si="32"/>
        <v>1</v>
      </c>
      <c r="U1142" s="184">
        <f t="shared" si="31"/>
        <v>45679</v>
      </c>
      <c r="V1142" s="187"/>
      <c r="W1142" s="43">
        <f t="shared" si="33"/>
        <v>1</v>
      </c>
      <c r="X1142" s="43" t="s">
        <v>1484</v>
      </c>
      <c r="Y1142" s="43" t="s">
        <v>1485</v>
      </c>
      <c r="Z1142" s="183"/>
      <c r="AA1142" s="183"/>
      <c r="AB1142" s="183"/>
    </row>
    <row r="1143" spans="1:28" hidden="1">
      <c r="A1143" s="180" t="s">
        <v>1174</v>
      </c>
      <c r="B1143" s="181">
        <v>45679</v>
      </c>
      <c r="C1143" s="180" t="s">
        <v>1589</v>
      </c>
      <c r="D1143" s="180" t="s">
        <v>281</v>
      </c>
      <c r="E1143" s="180" t="s">
        <v>407</v>
      </c>
      <c r="F1143" s="186">
        <v>5000</v>
      </c>
      <c r="G1143" s="165">
        <f t="shared" si="29"/>
        <v>23848.541000000005</v>
      </c>
      <c r="H1143" s="180"/>
      <c r="I1143" s="180" t="s">
        <v>1176</v>
      </c>
      <c r="J1143" s="180" t="s">
        <v>1585</v>
      </c>
      <c r="K1143" s="180"/>
      <c r="L1143" s="180" t="s">
        <v>305</v>
      </c>
      <c r="M1143" s="180"/>
      <c r="N1143" s="180" t="s">
        <v>1178</v>
      </c>
      <c r="O1143" s="180" t="s">
        <v>1585</v>
      </c>
      <c r="P1143" s="180" t="s">
        <v>1586</v>
      </c>
      <c r="Q1143" s="180"/>
      <c r="R1143" s="180" t="s">
        <v>1587</v>
      </c>
      <c r="S1143" s="180" t="s">
        <v>1588</v>
      </c>
      <c r="T1143" s="183">
        <f t="shared" si="32"/>
        <v>1</v>
      </c>
      <c r="U1143" s="184">
        <f t="shared" si="31"/>
        <v>45679</v>
      </c>
      <c r="V1143" s="187"/>
      <c r="W1143" s="43">
        <f t="shared" si="33"/>
        <v>1</v>
      </c>
      <c r="X1143" s="43" t="s">
        <v>1484</v>
      </c>
      <c r="Y1143" s="43" t="s">
        <v>1485</v>
      </c>
      <c r="Z1143" s="183"/>
      <c r="AA1143" s="183"/>
      <c r="AB1143" s="183"/>
    </row>
    <row r="1144" spans="1:28" hidden="1">
      <c r="A1144" s="180" t="s">
        <v>1017</v>
      </c>
      <c r="B1144" s="181">
        <v>45677</v>
      </c>
      <c r="C1144" s="180" t="s">
        <v>1008</v>
      </c>
      <c r="D1144" s="180" t="s">
        <v>281</v>
      </c>
      <c r="E1144" s="180" t="s">
        <v>199</v>
      </c>
      <c r="F1144" s="182">
        <v>-1900</v>
      </c>
      <c r="G1144" s="165">
        <f t="shared" si="29"/>
        <v>21948.541000000005</v>
      </c>
      <c r="H1144" s="180"/>
      <c r="I1144" s="180" t="s">
        <v>283</v>
      </c>
      <c r="J1144" s="180"/>
      <c r="K1144" s="180"/>
      <c r="L1144" s="180" t="s">
        <v>485</v>
      </c>
      <c r="M1144" s="180"/>
      <c r="N1144" s="180" t="s">
        <v>978</v>
      </c>
      <c r="O1144" s="180"/>
      <c r="P1144" s="180"/>
      <c r="Q1144" s="180"/>
      <c r="R1144" s="180" t="s">
        <v>669</v>
      </c>
      <c r="S1144" s="180" t="s">
        <v>1492</v>
      </c>
      <c r="T1144" s="183">
        <f t="shared" si="32"/>
        <v>1</v>
      </c>
      <c r="U1144" s="184">
        <f t="shared" si="31"/>
        <v>45679</v>
      </c>
      <c r="V1144" s="187">
        <v>45679</v>
      </c>
      <c r="W1144" s="43">
        <f t="shared" si="33"/>
        <v>1</v>
      </c>
      <c r="X1144" s="206" t="s">
        <v>1478</v>
      </c>
      <c r="Y1144" s="206" t="s">
        <v>26</v>
      </c>
      <c r="Z1144" s="183"/>
      <c r="AA1144" s="183"/>
      <c r="AB1144" s="183"/>
    </row>
    <row r="1145" spans="1:28" hidden="1">
      <c r="A1145" s="180" t="s">
        <v>1017</v>
      </c>
      <c r="B1145" s="181">
        <v>45679</v>
      </c>
      <c r="C1145" s="180" t="s">
        <v>1033</v>
      </c>
      <c r="D1145" s="180" t="s">
        <v>281</v>
      </c>
      <c r="E1145" s="180" t="s">
        <v>120</v>
      </c>
      <c r="F1145" s="182">
        <v>-244.3</v>
      </c>
      <c r="G1145" s="165">
        <f t="shared" si="29"/>
        <v>21704.241000000005</v>
      </c>
      <c r="H1145" s="180"/>
      <c r="I1145" s="180" t="s">
        <v>283</v>
      </c>
      <c r="J1145" s="180"/>
      <c r="K1145" s="180"/>
      <c r="L1145" s="180" t="s">
        <v>485</v>
      </c>
      <c r="M1145" s="180"/>
      <c r="N1145" s="180" t="s">
        <v>978</v>
      </c>
      <c r="O1145" s="180"/>
      <c r="P1145" s="180"/>
      <c r="Q1145" s="180"/>
      <c r="R1145" s="180" t="s">
        <v>669</v>
      </c>
      <c r="S1145" s="180" t="s">
        <v>1492</v>
      </c>
      <c r="T1145" s="183">
        <f t="shared" si="32"/>
        <v>1</v>
      </c>
      <c r="U1145" s="184">
        <f t="shared" si="31"/>
        <v>45679</v>
      </c>
      <c r="V1145" s="201"/>
      <c r="W1145" s="43">
        <f t="shared" si="33"/>
        <v>1</v>
      </c>
      <c r="X1145" s="49" t="s">
        <v>1498</v>
      </c>
      <c r="Y1145" s="43" t="s">
        <v>1336</v>
      </c>
      <c r="Z1145" s="183"/>
      <c r="AA1145" s="183"/>
      <c r="AB1145" s="183"/>
    </row>
    <row r="1146" spans="1:28" hidden="1">
      <c r="A1146" s="180" t="s">
        <v>1017</v>
      </c>
      <c r="B1146" s="181">
        <v>45679</v>
      </c>
      <c r="C1146" s="180" t="s">
        <v>1087</v>
      </c>
      <c r="D1146" s="180" t="s">
        <v>281</v>
      </c>
      <c r="E1146" s="180" t="s">
        <v>1590</v>
      </c>
      <c r="F1146" s="182">
        <v>-407.4</v>
      </c>
      <c r="G1146" s="165">
        <f t="shared" si="29"/>
        <v>21296.841000000004</v>
      </c>
      <c r="H1146" s="180"/>
      <c r="I1146" s="180" t="s">
        <v>283</v>
      </c>
      <c r="J1146" s="180"/>
      <c r="K1146" s="180"/>
      <c r="L1146" s="180" t="s">
        <v>485</v>
      </c>
      <c r="M1146" s="180"/>
      <c r="N1146" s="180" t="s">
        <v>978</v>
      </c>
      <c r="O1146" s="180"/>
      <c r="P1146" s="180"/>
      <c r="Q1146" s="180"/>
      <c r="R1146" s="180" t="s">
        <v>669</v>
      </c>
      <c r="S1146" s="180" t="s">
        <v>1492</v>
      </c>
      <c r="T1146" s="183">
        <f t="shared" si="32"/>
        <v>1</v>
      </c>
      <c r="U1146" s="184">
        <f t="shared" si="31"/>
        <v>45679</v>
      </c>
      <c r="V1146" s="201"/>
      <c r="W1146" s="43">
        <f t="shared" si="33"/>
        <v>1</v>
      </c>
      <c r="X1146" s="183" t="s">
        <v>1381</v>
      </c>
      <c r="Y1146" s="183" t="s">
        <v>1479</v>
      </c>
      <c r="Z1146" s="183"/>
      <c r="AA1146" s="183"/>
      <c r="AB1146" s="183"/>
    </row>
    <row r="1147" spans="1:28" hidden="1">
      <c r="A1147" s="180" t="s">
        <v>1017</v>
      </c>
      <c r="B1147" s="181">
        <v>45679</v>
      </c>
      <c r="C1147" s="180" t="s">
        <v>1562</v>
      </c>
      <c r="D1147" s="180" t="s">
        <v>281</v>
      </c>
      <c r="E1147" s="180" t="s">
        <v>1563</v>
      </c>
      <c r="F1147" s="182">
        <f>-326.2-149.51-246.88</f>
        <v>-722.58999999999992</v>
      </c>
      <c r="G1147" s="165">
        <f t="shared" si="29"/>
        <v>20574.251000000004</v>
      </c>
      <c r="H1147" s="180"/>
      <c r="I1147" s="180" t="s">
        <v>283</v>
      </c>
      <c r="J1147" s="180"/>
      <c r="K1147" s="180"/>
      <c r="L1147" s="180" t="s">
        <v>485</v>
      </c>
      <c r="M1147" s="180"/>
      <c r="N1147" s="180" t="s">
        <v>978</v>
      </c>
      <c r="O1147" s="180"/>
      <c r="P1147" s="180"/>
      <c r="Q1147" s="180"/>
      <c r="R1147" s="180" t="s">
        <v>669</v>
      </c>
      <c r="S1147" s="180" t="s">
        <v>1492</v>
      </c>
      <c r="T1147" s="183">
        <f t="shared" si="32"/>
        <v>1</v>
      </c>
      <c r="U1147" s="184">
        <f t="shared" si="31"/>
        <v>45679</v>
      </c>
      <c r="V1147" s="201"/>
      <c r="W1147" s="43">
        <f t="shared" si="33"/>
        <v>1</v>
      </c>
      <c r="X1147" s="183" t="s">
        <v>1381</v>
      </c>
      <c r="Y1147" s="183" t="s">
        <v>1336</v>
      </c>
      <c r="Z1147" s="183"/>
      <c r="AA1147" s="183"/>
      <c r="AB1147" s="183"/>
    </row>
    <row r="1148" spans="1:28" ht="14.25" hidden="1" customHeight="1">
      <c r="A1148" s="163" t="s">
        <v>1017</v>
      </c>
      <c r="B1148" s="164">
        <v>45679</v>
      </c>
      <c r="C1148" s="163"/>
      <c r="D1148" s="163" t="s">
        <v>281</v>
      </c>
      <c r="E1148" s="163" t="s">
        <v>1077</v>
      </c>
      <c r="F1148" s="185">
        <f>-1.99*2-2</f>
        <v>-5.98</v>
      </c>
      <c r="G1148" s="165">
        <f t="shared" si="29"/>
        <v>20568.271000000004</v>
      </c>
      <c r="H1148" s="163"/>
      <c r="I1148" s="163" t="s">
        <v>342</v>
      </c>
      <c r="J1148" s="163"/>
      <c r="K1148" s="163"/>
      <c r="L1148" s="163" t="s">
        <v>1030</v>
      </c>
      <c r="M1148" s="163"/>
      <c r="N1148" s="163" t="s">
        <v>978</v>
      </c>
      <c r="O1148" s="163"/>
      <c r="P1148" s="163"/>
      <c r="Q1148" s="163"/>
      <c r="R1148" s="163"/>
      <c r="S1148" s="163" t="s">
        <v>1076</v>
      </c>
      <c r="T1148" s="94">
        <f t="shared" si="32"/>
        <v>1</v>
      </c>
      <c r="U1148" s="212">
        <f t="shared" si="31"/>
        <v>45679</v>
      </c>
      <c r="V1148" s="43"/>
      <c r="W1148" s="43">
        <f t="shared" si="33"/>
        <v>1</v>
      </c>
      <c r="X1148" s="43" t="s">
        <v>1483</v>
      </c>
      <c r="Y1148" s="43" t="s">
        <v>1443</v>
      </c>
      <c r="Z1148" s="43" t="s">
        <v>1113</v>
      </c>
      <c r="AA1148" s="43" t="s">
        <v>1113</v>
      </c>
      <c r="AB1148" s="43"/>
    </row>
    <row r="1149" spans="1:28" hidden="1">
      <c r="A1149" s="163"/>
      <c r="B1149" s="164">
        <v>45679</v>
      </c>
      <c r="C1149" s="163" t="s">
        <v>346</v>
      </c>
      <c r="D1149" s="163"/>
      <c r="E1149" s="163"/>
      <c r="F1149" s="165">
        <v>0</v>
      </c>
      <c r="G1149" s="165">
        <f t="shared" si="29"/>
        <v>20568.271000000004</v>
      </c>
      <c r="H1149" s="163"/>
      <c r="I1149" s="163"/>
      <c r="J1149" s="163"/>
      <c r="K1149" s="163"/>
      <c r="L1149" s="163"/>
      <c r="M1149" s="163"/>
      <c r="N1149" s="163"/>
      <c r="O1149" s="163"/>
      <c r="P1149" s="163"/>
      <c r="Q1149" s="163"/>
      <c r="R1149" s="163"/>
      <c r="S1149" s="163"/>
      <c r="T1149" s="43">
        <f t="shared" si="32"/>
        <v>1</v>
      </c>
      <c r="U1149" s="167">
        <f t="shared" si="31"/>
        <v>45679</v>
      </c>
      <c r="W1149" s="43">
        <f t="shared" si="33"/>
        <v>1</v>
      </c>
    </row>
    <row r="1150" spans="1:28" hidden="1">
      <c r="A1150" s="180" t="s">
        <v>1174</v>
      </c>
      <c r="B1150" s="181">
        <v>45680</v>
      </c>
      <c r="C1150" s="180" t="s">
        <v>181</v>
      </c>
      <c r="D1150" s="180" t="s">
        <v>281</v>
      </c>
      <c r="E1150" s="180" t="s">
        <v>760</v>
      </c>
      <c r="F1150" s="186">
        <v>-5000</v>
      </c>
      <c r="G1150" s="165">
        <f t="shared" si="29"/>
        <v>15568.271000000004</v>
      </c>
      <c r="H1150" s="180"/>
      <c r="I1150" s="180" t="s">
        <v>1176</v>
      </c>
      <c r="J1150" s="180" t="s">
        <v>1585</v>
      </c>
      <c r="K1150" s="180"/>
      <c r="L1150" s="180" t="s">
        <v>305</v>
      </c>
      <c r="M1150" s="180"/>
      <c r="N1150" s="180" t="s">
        <v>1178</v>
      </c>
      <c r="O1150" s="180" t="s">
        <v>1585</v>
      </c>
      <c r="P1150" s="180" t="s">
        <v>1586</v>
      </c>
      <c r="Q1150" s="180"/>
      <c r="R1150" s="180" t="s">
        <v>1587</v>
      </c>
      <c r="S1150" s="180" t="s">
        <v>1588</v>
      </c>
      <c r="T1150" s="183">
        <f t="shared" si="32"/>
        <v>1</v>
      </c>
      <c r="U1150" s="184">
        <f t="shared" si="31"/>
        <v>45680</v>
      </c>
      <c r="V1150" s="187"/>
      <c r="W1150" s="43">
        <f t="shared" si="33"/>
        <v>1</v>
      </c>
      <c r="X1150" s="236" t="s">
        <v>1482</v>
      </c>
      <c r="Y1150" s="236" t="s">
        <v>78</v>
      </c>
      <c r="Z1150" s="183"/>
      <c r="AA1150" s="183"/>
      <c r="AB1150" s="183"/>
    </row>
    <row r="1151" spans="1:28" hidden="1">
      <c r="A1151" s="163" t="s">
        <v>1017</v>
      </c>
      <c r="B1151" s="164">
        <v>45680</v>
      </c>
      <c r="C1151" s="163" t="s">
        <v>1210</v>
      </c>
      <c r="D1151" s="163" t="s">
        <v>281</v>
      </c>
      <c r="E1151" s="163" t="s">
        <v>196</v>
      </c>
      <c r="F1151" s="168"/>
      <c r="G1151" s="165">
        <f t="shared" si="29"/>
        <v>15568.271000000004</v>
      </c>
      <c r="H1151" s="163"/>
      <c r="I1151" s="163" t="s">
        <v>342</v>
      </c>
      <c r="J1151" s="163"/>
      <c r="K1151" s="163"/>
      <c r="L1151" s="163" t="s">
        <v>1424</v>
      </c>
      <c r="M1151" s="163"/>
      <c r="N1151" s="163" t="s">
        <v>978</v>
      </c>
      <c r="O1151" s="163"/>
      <c r="P1151" s="163"/>
      <c r="Q1151" s="163"/>
      <c r="R1151" s="163" t="s">
        <v>1211</v>
      </c>
      <c r="S1151" s="163" t="s">
        <v>1212</v>
      </c>
      <c r="T1151" s="43">
        <f t="shared" si="32"/>
        <v>1</v>
      </c>
      <c r="U1151" s="167">
        <f t="shared" si="31"/>
        <v>45680</v>
      </c>
      <c r="W1151" s="43">
        <f t="shared" si="33"/>
        <v>1</v>
      </c>
      <c r="X1151" s="43" t="s">
        <v>196</v>
      </c>
      <c r="Y1151" s="43" t="s">
        <v>1443</v>
      </c>
    </row>
    <row r="1152" spans="1:28" hidden="1">
      <c r="A1152" s="163" t="s">
        <v>1017</v>
      </c>
      <c r="B1152" s="164">
        <v>45680</v>
      </c>
      <c r="C1152" s="163" t="s">
        <v>1098</v>
      </c>
      <c r="D1152" s="163" t="s">
        <v>281</v>
      </c>
      <c r="E1152" s="163" t="s">
        <v>199</v>
      </c>
      <c r="F1152" s="168">
        <v>-552</v>
      </c>
      <c r="G1152" s="165">
        <f t="shared" si="29"/>
        <v>15016.271000000004</v>
      </c>
      <c r="H1152" s="163"/>
      <c r="I1152" s="163" t="s">
        <v>342</v>
      </c>
      <c r="J1152" s="163"/>
      <c r="K1152" s="163"/>
      <c r="L1152" s="163" t="s">
        <v>366</v>
      </c>
      <c r="M1152" s="163"/>
      <c r="N1152" s="163" t="s">
        <v>978</v>
      </c>
      <c r="O1152" s="163"/>
      <c r="P1152" s="163"/>
      <c r="Q1152" s="163"/>
      <c r="R1152" s="163" t="s">
        <v>1099</v>
      </c>
      <c r="S1152" s="163" t="s">
        <v>1100</v>
      </c>
      <c r="T1152" s="43">
        <f t="shared" si="32"/>
        <v>1</v>
      </c>
      <c r="U1152" s="167">
        <f t="shared" si="31"/>
        <v>45680</v>
      </c>
      <c r="W1152" s="43">
        <f t="shared" si="33"/>
        <v>1</v>
      </c>
      <c r="X1152" s="49" t="s">
        <v>1480</v>
      </c>
      <c r="Y1152" s="49" t="s">
        <v>86</v>
      </c>
    </row>
    <row r="1153" spans="1:28" hidden="1">
      <c r="A1153" s="163" t="s">
        <v>1017</v>
      </c>
      <c r="B1153" s="164">
        <v>45680</v>
      </c>
      <c r="C1153" s="163" t="s">
        <v>1326</v>
      </c>
      <c r="D1153" s="163" t="s">
        <v>281</v>
      </c>
      <c r="E1153" s="163" t="s">
        <v>199</v>
      </c>
      <c r="F1153" s="168">
        <v>-544</v>
      </c>
      <c r="G1153" s="165">
        <f t="shared" si="29"/>
        <v>14472.271000000004</v>
      </c>
      <c r="H1153" s="163"/>
      <c r="I1153" s="163" t="s">
        <v>342</v>
      </c>
      <c r="J1153" s="163"/>
      <c r="K1153" s="163"/>
      <c r="L1153" s="163" t="s">
        <v>366</v>
      </c>
      <c r="M1153" s="163"/>
      <c r="N1153" s="163" t="s">
        <v>978</v>
      </c>
      <c r="O1153" s="163"/>
      <c r="P1153" s="163"/>
      <c r="Q1153" s="163"/>
      <c r="R1153" s="163" t="s">
        <v>1327</v>
      </c>
      <c r="S1153" s="163"/>
      <c r="T1153" s="43">
        <f t="shared" si="32"/>
        <v>1</v>
      </c>
      <c r="U1153" s="167">
        <f t="shared" si="31"/>
        <v>45680</v>
      </c>
      <c r="W1153" s="43">
        <f t="shared" si="33"/>
        <v>1</v>
      </c>
      <c r="X1153" s="49" t="s">
        <v>1480</v>
      </c>
      <c r="Y1153" s="49" t="s">
        <v>1488</v>
      </c>
    </row>
    <row r="1154" spans="1:28" hidden="1">
      <c r="A1154" s="180" t="s">
        <v>1017</v>
      </c>
      <c r="B1154" s="181">
        <v>45680</v>
      </c>
      <c r="C1154" s="180" t="s">
        <v>1591</v>
      </c>
      <c r="D1154" s="180" t="s">
        <v>281</v>
      </c>
      <c r="E1154" s="180" t="s">
        <v>1566</v>
      </c>
      <c r="F1154" s="182">
        <v>-500</v>
      </c>
      <c r="G1154" s="165">
        <f t="shared" si="29"/>
        <v>13972.271000000004</v>
      </c>
      <c r="H1154" s="180"/>
      <c r="I1154" s="180" t="s">
        <v>283</v>
      </c>
      <c r="J1154" s="180"/>
      <c r="K1154" s="180"/>
      <c r="L1154" s="180" t="s">
        <v>485</v>
      </c>
      <c r="M1154" s="180"/>
      <c r="N1154" s="180" t="s">
        <v>978</v>
      </c>
      <c r="O1154" s="180"/>
      <c r="P1154" s="180"/>
      <c r="Q1154" s="180"/>
      <c r="R1154" s="180" t="s">
        <v>1527</v>
      </c>
      <c r="S1154" s="180"/>
      <c r="T1154" s="183">
        <f t="shared" si="32"/>
        <v>1</v>
      </c>
      <c r="U1154" s="184">
        <f t="shared" si="31"/>
        <v>45680</v>
      </c>
      <c r="V1154" s="183"/>
      <c r="W1154" s="43">
        <f t="shared" si="33"/>
        <v>1</v>
      </c>
      <c r="X1154" s="183" t="s">
        <v>1566</v>
      </c>
      <c r="Y1154" s="183" t="s">
        <v>25</v>
      </c>
      <c r="Z1154" s="183"/>
      <c r="AA1154" s="183"/>
      <c r="AB1154" s="183"/>
    </row>
    <row r="1155" spans="1:28" ht="14.25" hidden="1" customHeight="1">
      <c r="A1155" s="163" t="s">
        <v>1017</v>
      </c>
      <c r="B1155" s="164">
        <v>45680</v>
      </c>
      <c r="C1155" s="163"/>
      <c r="D1155" s="163" t="s">
        <v>281</v>
      </c>
      <c r="E1155" s="163" t="s">
        <v>1077</v>
      </c>
      <c r="F1155" s="185">
        <v>-1.5</v>
      </c>
      <c r="G1155" s="165">
        <f t="shared" si="29"/>
        <v>13970.771000000004</v>
      </c>
      <c r="H1155" s="163"/>
      <c r="I1155" s="163" t="s">
        <v>342</v>
      </c>
      <c r="J1155" s="163"/>
      <c r="K1155" s="163"/>
      <c r="L1155" s="163" t="s">
        <v>1030</v>
      </c>
      <c r="M1155" s="163"/>
      <c r="N1155" s="163" t="s">
        <v>978</v>
      </c>
      <c r="O1155" s="163"/>
      <c r="P1155" s="163"/>
      <c r="Q1155" s="163"/>
      <c r="R1155" s="163"/>
      <c r="S1155" s="163" t="s">
        <v>1076</v>
      </c>
      <c r="T1155" s="94">
        <f t="shared" si="32"/>
        <v>1</v>
      </c>
      <c r="U1155" s="212">
        <f t="shared" si="31"/>
        <v>45680</v>
      </c>
      <c r="V1155" s="43"/>
      <c r="W1155" s="43">
        <f t="shared" si="33"/>
        <v>1</v>
      </c>
      <c r="X1155" s="43" t="s">
        <v>1483</v>
      </c>
      <c r="Y1155" s="43" t="s">
        <v>1443</v>
      </c>
      <c r="Z1155" s="43" t="s">
        <v>1113</v>
      </c>
      <c r="AA1155" s="43" t="s">
        <v>1113</v>
      </c>
      <c r="AB1155" s="43"/>
    </row>
    <row r="1156" spans="1:28" hidden="1">
      <c r="A1156" s="163"/>
      <c r="B1156" s="164">
        <v>45680</v>
      </c>
      <c r="C1156" s="163" t="s">
        <v>346</v>
      </c>
      <c r="D1156" s="163"/>
      <c r="E1156" s="163"/>
      <c r="F1156" s="165">
        <v>0</v>
      </c>
      <c r="G1156" s="165">
        <f t="shared" si="29"/>
        <v>13970.771000000004</v>
      </c>
      <c r="H1156" s="163"/>
      <c r="I1156" s="163"/>
      <c r="J1156" s="163"/>
      <c r="K1156" s="163"/>
      <c r="L1156" s="163"/>
      <c r="M1156" s="163"/>
      <c r="N1156" s="163"/>
      <c r="O1156" s="163"/>
      <c r="P1156" s="163"/>
      <c r="Q1156" s="163"/>
      <c r="R1156" s="163"/>
      <c r="S1156" s="163"/>
      <c r="T1156" s="43">
        <f t="shared" si="32"/>
        <v>1</v>
      </c>
      <c r="U1156" s="167">
        <f t="shared" si="31"/>
        <v>45680</v>
      </c>
      <c r="W1156" s="43">
        <f t="shared" si="33"/>
        <v>1</v>
      </c>
    </row>
    <row r="1157" spans="1:28" hidden="1">
      <c r="A1157" s="163" t="s">
        <v>1174</v>
      </c>
      <c r="B1157" s="164">
        <v>45686</v>
      </c>
      <c r="C1157" s="163" t="s">
        <v>1592</v>
      </c>
      <c r="D1157" s="163" t="s">
        <v>281</v>
      </c>
      <c r="E1157" s="163" t="s">
        <v>407</v>
      </c>
      <c r="F1157" s="165">
        <v>1799</v>
      </c>
      <c r="G1157" s="165">
        <f t="shared" si="29"/>
        <v>15769.771000000004</v>
      </c>
      <c r="H1157" s="163"/>
      <c r="I1157" s="163" t="s">
        <v>1176</v>
      </c>
      <c r="J1157" s="163" t="s">
        <v>1585</v>
      </c>
      <c r="K1157" s="163"/>
      <c r="L1157" s="163" t="s">
        <v>305</v>
      </c>
      <c r="M1157" s="163"/>
      <c r="N1157" s="163" t="s">
        <v>1178</v>
      </c>
      <c r="O1157" s="163" t="s">
        <v>1585</v>
      </c>
      <c r="P1157" s="163" t="s">
        <v>1586</v>
      </c>
      <c r="Q1157" s="163"/>
      <c r="R1157" s="163" t="s">
        <v>1587</v>
      </c>
      <c r="S1157" s="163" t="s">
        <v>1588</v>
      </c>
      <c r="T1157" s="43">
        <f t="shared" si="32"/>
        <v>1</v>
      </c>
      <c r="U1157" s="167">
        <f t="shared" si="31"/>
        <v>45681</v>
      </c>
      <c r="V1157" s="166">
        <v>45681</v>
      </c>
      <c r="W1157" s="43">
        <f t="shared" si="33"/>
        <v>1</v>
      </c>
      <c r="X1157" s="43" t="s">
        <v>1484</v>
      </c>
      <c r="Y1157" s="43" t="s">
        <v>1485</v>
      </c>
    </row>
    <row r="1158" spans="1:28" hidden="1">
      <c r="A1158" s="163" t="s">
        <v>1017</v>
      </c>
      <c r="B1158" s="164">
        <v>45681</v>
      </c>
      <c r="C1158" s="163" t="s">
        <v>1444</v>
      </c>
      <c r="D1158" s="163" t="s">
        <v>281</v>
      </c>
      <c r="E1158" s="163" t="s">
        <v>1444</v>
      </c>
      <c r="F1158" s="204"/>
      <c r="G1158" s="165">
        <f t="shared" si="29"/>
        <v>15769.771000000004</v>
      </c>
      <c r="H1158" s="163"/>
      <c r="I1158" s="163" t="s">
        <v>994</v>
      </c>
      <c r="J1158" s="163"/>
      <c r="K1158" s="163"/>
      <c r="L1158" s="163" t="s">
        <v>1424</v>
      </c>
      <c r="M1158" s="163"/>
      <c r="N1158" s="163" t="s">
        <v>978</v>
      </c>
      <c r="O1158" s="163"/>
      <c r="P1158" s="163"/>
      <c r="Q1158" s="163"/>
      <c r="R1158" s="163" t="s">
        <v>1444</v>
      </c>
      <c r="S1158" s="163"/>
      <c r="T1158" s="43">
        <f t="shared" si="32"/>
        <v>1</v>
      </c>
      <c r="U1158" s="167">
        <f t="shared" si="31"/>
        <v>45681</v>
      </c>
      <c r="W1158" s="43">
        <f t="shared" si="33"/>
        <v>1</v>
      </c>
      <c r="X1158" s="43" t="s">
        <v>12</v>
      </c>
      <c r="Y1158" s="43" t="s">
        <v>1443</v>
      </c>
    </row>
    <row r="1159" spans="1:28" hidden="1">
      <c r="A1159" s="163" t="s">
        <v>1017</v>
      </c>
      <c r="B1159" s="164">
        <v>45681</v>
      </c>
      <c r="C1159" s="163" t="s">
        <v>1367</v>
      </c>
      <c r="D1159" s="163" t="s">
        <v>281</v>
      </c>
      <c r="E1159" s="163" t="s">
        <v>372</v>
      </c>
      <c r="F1159" s="168"/>
      <c r="G1159" s="165">
        <f t="shared" si="29"/>
        <v>15769.771000000004</v>
      </c>
      <c r="H1159" s="163"/>
      <c r="I1159" s="163" t="s">
        <v>994</v>
      </c>
      <c r="J1159" s="163"/>
      <c r="K1159" s="163"/>
      <c r="L1159" s="163" t="s">
        <v>1062</v>
      </c>
      <c r="M1159" s="163"/>
      <c r="N1159" s="163" t="s">
        <v>978</v>
      </c>
      <c r="O1159" s="163"/>
      <c r="P1159" s="163"/>
      <c r="Q1159" s="163"/>
      <c r="R1159" s="163" t="s">
        <v>1445</v>
      </c>
      <c r="S1159" s="163" t="s">
        <v>1446</v>
      </c>
      <c r="T1159" s="43">
        <f t="shared" si="32"/>
        <v>1</v>
      </c>
      <c r="U1159" s="167">
        <f t="shared" si="31"/>
        <v>45681</v>
      </c>
      <c r="W1159" s="43">
        <f t="shared" si="33"/>
        <v>1</v>
      </c>
      <c r="X1159" s="49" t="s">
        <v>1483</v>
      </c>
      <c r="Y1159" s="49" t="s">
        <v>1443</v>
      </c>
      <c r="AB1159" s="49" t="s">
        <v>1384</v>
      </c>
    </row>
    <row r="1160" spans="1:28" ht="14.25" hidden="1" customHeight="1">
      <c r="A1160" s="163" t="s">
        <v>1017</v>
      </c>
      <c r="B1160" s="164">
        <v>45681</v>
      </c>
      <c r="C1160" s="163"/>
      <c r="D1160" s="163" t="s">
        <v>281</v>
      </c>
      <c r="E1160" s="163" t="s">
        <v>1077</v>
      </c>
      <c r="F1160" s="185">
        <v>-0.5</v>
      </c>
      <c r="G1160" s="165">
        <f t="shared" si="29"/>
        <v>15769.271000000004</v>
      </c>
      <c r="H1160" s="163"/>
      <c r="I1160" s="163" t="s">
        <v>342</v>
      </c>
      <c r="J1160" s="163"/>
      <c r="K1160" s="163"/>
      <c r="L1160" s="163" t="s">
        <v>1030</v>
      </c>
      <c r="M1160" s="163"/>
      <c r="N1160" s="163" t="s">
        <v>978</v>
      </c>
      <c r="O1160" s="163"/>
      <c r="P1160" s="163"/>
      <c r="Q1160" s="163"/>
      <c r="R1160" s="163"/>
      <c r="S1160" s="163" t="s">
        <v>1076</v>
      </c>
      <c r="T1160" s="94">
        <f t="shared" si="32"/>
        <v>1</v>
      </c>
      <c r="U1160" s="212">
        <f t="shared" si="31"/>
        <v>45681</v>
      </c>
      <c r="V1160" s="43"/>
      <c r="W1160" s="43">
        <f t="shared" si="33"/>
        <v>1</v>
      </c>
      <c r="X1160" s="43" t="s">
        <v>1483</v>
      </c>
      <c r="Y1160" s="43" t="s">
        <v>1443</v>
      </c>
      <c r="Z1160" s="43" t="s">
        <v>1113</v>
      </c>
      <c r="AA1160" s="43" t="s">
        <v>1113</v>
      </c>
      <c r="AB1160" s="43"/>
    </row>
    <row r="1161" spans="1:28" hidden="1">
      <c r="A1161" s="180" t="s">
        <v>1017</v>
      </c>
      <c r="B1161" s="181">
        <v>45681</v>
      </c>
      <c r="C1161" s="180" t="s">
        <v>844</v>
      </c>
      <c r="D1161" s="180" t="s">
        <v>281</v>
      </c>
      <c r="E1161" s="180" t="s">
        <v>120</v>
      </c>
      <c r="F1161" s="182">
        <v>-128</v>
      </c>
      <c r="G1161" s="165">
        <f t="shared" si="29"/>
        <v>15641.271000000004</v>
      </c>
      <c r="H1161" s="180"/>
      <c r="I1161" s="180" t="s">
        <v>283</v>
      </c>
      <c r="J1161" s="180"/>
      <c r="K1161" s="180"/>
      <c r="L1161" s="180" t="s">
        <v>485</v>
      </c>
      <c r="M1161" s="180"/>
      <c r="N1161" s="180" t="s">
        <v>978</v>
      </c>
      <c r="O1161" s="180"/>
      <c r="P1161" s="180"/>
      <c r="Q1161" s="180"/>
      <c r="R1161" s="180" t="s">
        <v>1527</v>
      </c>
      <c r="S1161" s="180"/>
      <c r="T1161" s="183">
        <f t="shared" si="32"/>
        <v>1</v>
      </c>
      <c r="U1161" s="184">
        <f t="shared" si="31"/>
        <v>45681</v>
      </c>
      <c r="V1161" s="183"/>
      <c r="W1161" s="43">
        <f t="shared" si="33"/>
        <v>1</v>
      </c>
      <c r="X1161" s="49" t="s">
        <v>1498</v>
      </c>
      <c r="Y1161" s="43" t="s">
        <v>1336</v>
      </c>
      <c r="Z1161" s="183"/>
      <c r="AA1161" s="183"/>
      <c r="AB1161" s="183"/>
    </row>
    <row r="1162" spans="1:28" hidden="1">
      <c r="A1162" s="180" t="s">
        <v>1017</v>
      </c>
      <c r="B1162" s="181">
        <v>45681</v>
      </c>
      <c r="C1162" s="180" t="s">
        <v>1593</v>
      </c>
      <c r="D1162" s="180" t="s">
        <v>281</v>
      </c>
      <c r="E1162" s="180" t="s">
        <v>120</v>
      </c>
      <c r="F1162" s="182">
        <v>-195.44</v>
      </c>
      <c r="G1162" s="165">
        <f t="shared" si="29"/>
        <v>15445.831000000004</v>
      </c>
      <c r="H1162" s="180"/>
      <c r="I1162" s="180" t="s">
        <v>283</v>
      </c>
      <c r="J1162" s="180"/>
      <c r="K1162" s="180"/>
      <c r="L1162" s="180" t="s">
        <v>485</v>
      </c>
      <c r="M1162" s="180"/>
      <c r="N1162" s="180" t="s">
        <v>978</v>
      </c>
      <c r="O1162" s="180"/>
      <c r="P1162" s="180"/>
      <c r="Q1162" s="180"/>
      <c r="R1162" s="180" t="s">
        <v>1527</v>
      </c>
      <c r="S1162" s="180"/>
      <c r="T1162" s="183">
        <f t="shared" si="32"/>
        <v>1</v>
      </c>
      <c r="U1162" s="184">
        <f t="shared" si="31"/>
        <v>45681</v>
      </c>
      <c r="V1162" s="183"/>
      <c r="W1162" s="43">
        <f t="shared" si="33"/>
        <v>1</v>
      </c>
      <c r="X1162" s="49" t="s">
        <v>1498</v>
      </c>
      <c r="Y1162" s="43" t="s">
        <v>1336</v>
      </c>
      <c r="Z1162" s="183"/>
      <c r="AA1162" s="183"/>
      <c r="AB1162" s="183"/>
    </row>
    <row r="1163" spans="1:28" hidden="1">
      <c r="A1163" s="180" t="s">
        <v>1017</v>
      </c>
      <c r="B1163" s="181">
        <v>45681</v>
      </c>
      <c r="C1163" s="180" t="s">
        <v>1594</v>
      </c>
      <c r="D1163" s="180" t="s">
        <v>281</v>
      </c>
      <c r="E1163" s="163" t="s">
        <v>1514</v>
      </c>
      <c r="F1163" s="182">
        <v>-1000</v>
      </c>
      <c r="G1163" s="165">
        <f t="shared" si="29"/>
        <v>14445.831000000004</v>
      </c>
      <c r="H1163" s="180"/>
      <c r="I1163" s="180" t="s">
        <v>283</v>
      </c>
      <c r="J1163" s="180"/>
      <c r="K1163" s="180"/>
      <c r="L1163" s="180" t="s">
        <v>485</v>
      </c>
      <c r="M1163" s="180"/>
      <c r="N1163" s="180" t="s">
        <v>978</v>
      </c>
      <c r="O1163" s="180"/>
      <c r="P1163" s="180"/>
      <c r="Q1163" s="180"/>
      <c r="R1163" s="180" t="s">
        <v>1527</v>
      </c>
      <c r="S1163" s="180"/>
      <c r="T1163" s="183">
        <f t="shared" si="32"/>
        <v>1</v>
      </c>
      <c r="U1163" s="184">
        <f t="shared" si="31"/>
        <v>45681</v>
      </c>
      <c r="V1163" s="183"/>
      <c r="W1163" s="43">
        <f t="shared" si="33"/>
        <v>1</v>
      </c>
      <c r="X1163" s="43" t="s">
        <v>1381</v>
      </c>
      <c r="Y1163" s="43" t="s">
        <v>1479</v>
      </c>
      <c r="Z1163" s="183"/>
      <c r="AA1163" s="183"/>
      <c r="AB1163" s="183"/>
    </row>
    <row r="1164" spans="1:28" hidden="1">
      <c r="A1164" s="180" t="s">
        <v>1017</v>
      </c>
      <c r="B1164" s="181">
        <v>45681</v>
      </c>
      <c r="C1164" s="180" t="s">
        <v>1595</v>
      </c>
      <c r="D1164" s="180" t="s">
        <v>281</v>
      </c>
      <c r="E1164" s="180" t="s">
        <v>199</v>
      </c>
      <c r="F1164" s="182"/>
      <c r="G1164" s="165">
        <f t="shared" si="29"/>
        <v>14445.831000000004</v>
      </c>
      <c r="H1164" s="180"/>
      <c r="I1164" s="180" t="s">
        <v>283</v>
      </c>
      <c r="J1164" s="180"/>
      <c r="K1164" s="180"/>
      <c r="L1164" s="180" t="s">
        <v>485</v>
      </c>
      <c r="M1164" s="180"/>
      <c r="N1164" s="180" t="s">
        <v>978</v>
      </c>
      <c r="O1164" s="180"/>
      <c r="P1164" s="180"/>
      <c r="Q1164" s="180"/>
      <c r="R1164" s="180" t="s">
        <v>1527</v>
      </c>
      <c r="S1164" s="180"/>
      <c r="T1164" s="183">
        <f t="shared" si="32"/>
        <v>1</v>
      </c>
      <c r="U1164" s="184">
        <f t="shared" si="31"/>
        <v>45681</v>
      </c>
      <c r="V1164" s="183"/>
      <c r="W1164" s="43">
        <f t="shared" si="33"/>
        <v>1</v>
      </c>
      <c r="X1164" s="183"/>
      <c r="Y1164" s="183"/>
      <c r="Z1164" s="183"/>
      <c r="AA1164" s="183"/>
      <c r="AB1164" s="183"/>
    </row>
    <row r="1165" spans="1:28" hidden="1">
      <c r="A1165" s="180" t="s">
        <v>1017</v>
      </c>
      <c r="B1165" s="181">
        <v>45681</v>
      </c>
      <c r="C1165" s="180" t="s">
        <v>1596</v>
      </c>
      <c r="D1165" s="180" t="s">
        <v>281</v>
      </c>
      <c r="E1165" s="180" t="s">
        <v>301</v>
      </c>
      <c r="F1165" s="182"/>
      <c r="G1165" s="165">
        <f t="shared" si="29"/>
        <v>14445.831000000004</v>
      </c>
      <c r="H1165" s="180"/>
      <c r="I1165" s="180" t="s">
        <v>283</v>
      </c>
      <c r="J1165" s="180"/>
      <c r="K1165" s="180"/>
      <c r="L1165" s="180" t="s">
        <v>485</v>
      </c>
      <c r="M1165" s="180"/>
      <c r="N1165" s="180" t="s">
        <v>978</v>
      </c>
      <c r="O1165" s="180"/>
      <c r="P1165" s="180"/>
      <c r="Q1165" s="180"/>
      <c r="R1165" s="180" t="s">
        <v>1527</v>
      </c>
      <c r="S1165" s="180"/>
      <c r="T1165" s="183">
        <f t="shared" si="32"/>
        <v>1</v>
      </c>
      <c r="U1165" s="184">
        <f t="shared" si="31"/>
        <v>45681</v>
      </c>
      <c r="V1165" s="183"/>
      <c r="W1165" s="43">
        <f t="shared" si="33"/>
        <v>1</v>
      </c>
      <c r="X1165" s="49" t="s">
        <v>1333</v>
      </c>
      <c r="Y1165" s="49" t="s">
        <v>1336</v>
      </c>
      <c r="Z1165" s="183"/>
      <c r="AA1165" s="183"/>
      <c r="AB1165" s="183"/>
    </row>
    <row r="1166" spans="1:28" hidden="1">
      <c r="A1166" s="163"/>
      <c r="B1166" s="164">
        <v>45681</v>
      </c>
      <c r="C1166" s="163" t="s">
        <v>346</v>
      </c>
      <c r="D1166" s="163"/>
      <c r="E1166" s="163"/>
      <c r="F1166" s="165">
        <v>0</v>
      </c>
      <c r="G1166" s="165">
        <f t="shared" si="29"/>
        <v>14445.831000000004</v>
      </c>
      <c r="H1166" s="163"/>
      <c r="I1166" s="163"/>
      <c r="J1166" s="163"/>
      <c r="K1166" s="163"/>
      <c r="L1166" s="163"/>
      <c r="M1166" s="163"/>
      <c r="N1166" s="163"/>
      <c r="O1166" s="163"/>
      <c r="P1166" s="163"/>
      <c r="Q1166" s="163"/>
      <c r="R1166" s="163"/>
      <c r="S1166" s="163"/>
      <c r="T1166" s="43">
        <f t="shared" si="32"/>
        <v>1</v>
      </c>
      <c r="U1166" s="167">
        <f t="shared" si="31"/>
        <v>45681</v>
      </c>
      <c r="W1166" s="43">
        <f t="shared" si="33"/>
        <v>1</v>
      </c>
    </row>
    <row r="1167" spans="1:28" hidden="1">
      <c r="A1167" s="163" t="s">
        <v>1174</v>
      </c>
      <c r="B1167" s="164">
        <v>45684</v>
      </c>
      <c r="C1167" s="163" t="s">
        <v>1115</v>
      </c>
      <c r="D1167" s="163" t="s">
        <v>281</v>
      </c>
      <c r="E1167" s="163" t="s">
        <v>407</v>
      </c>
      <c r="F1167" s="195">
        <v>4390</v>
      </c>
      <c r="G1167" s="165">
        <f t="shared" si="29"/>
        <v>18835.831000000006</v>
      </c>
      <c r="H1167" s="163"/>
      <c r="I1167" s="163" t="s">
        <v>1176</v>
      </c>
      <c r="J1167" s="163" t="s">
        <v>1454</v>
      </c>
      <c r="K1167" s="163"/>
      <c r="L1167" s="163" t="s">
        <v>305</v>
      </c>
      <c r="M1167" s="163"/>
      <c r="N1167" s="163" t="s">
        <v>1178</v>
      </c>
      <c r="O1167" s="163" t="s">
        <v>1454</v>
      </c>
      <c r="P1167" s="163" t="s">
        <v>1023</v>
      </c>
      <c r="Q1167" s="163"/>
      <c r="R1167" s="163" t="s">
        <v>1120</v>
      </c>
      <c r="S1167" s="163" t="s">
        <v>1121</v>
      </c>
      <c r="T1167" s="43">
        <f t="shared" si="32"/>
        <v>1</v>
      </c>
      <c r="U1167" s="167">
        <f t="shared" si="31"/>
        <v>45684</v>
      </c>
      <c r="W1167" s="43">
        <f t="shared" si="33"/>
        <v>1</v>
      </c>
      <c r="X1167" s="43" t="s">
        <v>1484</v>
      </c>
      <c r="Y1167" s="43" t="s">
        <v>1485</v>
      </c>
    </row>
    <row r="1168" spans="1:28" hidden="1">
      <c r="A1168" s="180" t="s">
        <v>1174</v>
      </c>
      <c r="B1168" s="181">
        <v>45685</v>
      </c>
      <c r="C1168" s="180" t="s">
        <v>1597</v>
      </c>
      <c r="D1168" s="180" t="s">
        <v>281</v>
      </c>
      <c r="E1168" s="180" t="s">
        <v>407</v>
      </c>
      <c r="F1168" s="195">
        <v>1750</v>
      </c>
      <c r="G1168" s="165">
        <f t="shared" si="29"/>
        <v>20585.831000000006</v>
      </c>
      <c r="H1168" s="180"/>
      <c r="I1168" s="180" t="s">
        <v>1176</v>
      </c>
      <c r="J1168" s="180" t="s">
        <v>1598</v>
      </c>
      <c r="K1168" s="180"/>
      <c r="L1168" s="180" t="s">
        <v>305</v>
      </c>
      <c r="M1168" s="180"/>
      <c r="N1168" s="180" t="s">
        <v>1178</v>
      </c>
      <c r="O1168" s="180" t="s">
        <v>1598</v>
      </c>
      <c r="P1168" s="180" t="s">
        <v>1083</v>
      </c>
      <c r="Q1168" s="180"/>
      <c r="R1168" s="180" t="s">
        <v>1599</v>
      </c>
      <c r="S1168" s="180" t="s">
        <v>1600</v>
      </c>
      <c r="T1168" s="183">
        <f t="shared" si="32"/>
        <v>1</v>
      </c>
      <c r="U1168" s="167">
        <f t="shared" si="31"/>
        <v>45684</v>
      </c>
      <c r="V1168" s="166">
        <v>45684</v>
      </c>
      <c r="W1168" s="43">
        <f t="shared" si="33"/>
        <v>1</v>
      </c>
      <c r="X1168" s="43" t="s">
        <v>1484</v>
      </c>
      <c r="Y1168" s="43" t="s">
        <v>1485</v>
      </c>
      <c r="Z1168" s="183"/>
      <c r="AA1168" s="183"/>
      <c r="AB1168" s="183"/>
    </row>
    <row r="1169" spans="1:28" hidden="1">
      <c r="A1169" s="163" t="s">
        <v>1174</v>
      </c>
      <c r="B1169" s="164">
        <v>45684</v>
      </c>
      <c r="C1169" s="163" t="s">
        <v>1240</v>
      </c>
      <c r="D1169" s="163" t="s">
        <v>281</v>
      </c>
      <c r="E1169" s="163" t="s">
        <v>407</v>
      </c>
      <c r="F1169" s="165"/>
      <c r="G1169" s="165">
        <f t="shared" si="29"/>
        <v>20585.831000000006</v>
      </c>
      <c r="H1169" s="163"/>
      <c r="I1169" s="163" t="s">
        <v>1176</v>
      </c>
      <c r="J1169" s="163" t="s">
        <v>1459</v>
      </c>
      <c r="K1169" s="163"/>
      <c r="L1169" s="163" t="s">
        <v>305</v>
      </c>
      <c r="M1169" s="163"/>
      <c r="N1169" s="163" t="s">
        <v>1178</v>
      </c>
      <c r="O1169" s="163" t="s">
        <v>1459</v>
      </c>
      <c r="P1169" s="163" t="s">
        <v>57</v>
      </c>
      <c r="Q1169" s="163"/>
      <c r="R1169" s="163" t="s">
        <v>1245</v>
      </c>
      <c r="S1169" s="163" t="s">
        <v>1246</v>
      </c>
      <c r="T1169" s="43">
        <f t="shared" si="32"/>
        <v>1</v>
      </c>
      <c r="U1169" s="167">
        <f t="shared" si="31"/>
        <v>45684</v>
      </c>
      <c r="W1169" s="43">
        <f t="shared" si="33"/>
        <v>1</v>
      </c>
      <c r="X1169" s="43" t="s">
        <v>1484</v>
      </c>
      <c r="Y1169" s="43" t="s">
        <v>1485</v>
      </c>
    </row>
    <row r="1170" spans="1:28" hidden="1">
      <c r="A1170" s="163" t="s">
        <v>1017</v>
      </c>
      <c r="B1170" s="164">
        <v>45684</v>
      </c>
      <c r="C1170" s="163" t="s">
        <v>1002</v>
      </c>
      <c r="D1170" s="163" t="s">
        <v>281</v>
      </c>
      <c r="E1170" s="163" t="s">
        <v>190</v>
      </c>
      <c r="F1170" s="226">
        <v>-500</v>
      </c>
      <c r="G1170" s="165">
        <f t="shared" si="29"/>
        <v>20085.831000000006</v>
      </c>
      <c r="H1170" s="163"/>
      <c r="I1170" s="163" t="s">
        <v>342</v>
      </c>
      <c r="J1170" s="163"/>
      <c r="K1170" s="163"/>
      <c r="L1170" s="163" t="s">
        <v>1424</v>
      </c>
      <c r="M1170" s="163"/>
      <c r="N1170" s="163" t="s">
        <v>978</v>
      </c>
      <c r="O1170" s="163"/>
      <c r="P1170" s="163"/>
      <c r="Q1170" s="163"/>
      <c r="R1170" s="163" t="s">
        <v>1004</v>
      </c>
      <c r="S1170" s="163" t="s">
        <v>1005</v>
      </c>
      <c r="T1170" s="43">
        <f t="shared" si="32"/>
        <v>1</v>
      </c>
      <c r="U1170" s="167">
        <f t="shared" si="31"/>
        <v>45684</v>
      </c>
      <c r="W1170" s="43">
        <f t="shared" si="33"/>
        <v>1</v>
      </c>
      <c r="X1170" s="49" t="s">
        <v>1498</v>
      </c>
      <c r="Y1170" s="49" t="s">
        <v>1336</v>
      </c>
    </row>
    <row r="1171" spans="1:28" hidden="1">
      <c r="A1171" s="163" t="s">
        <v>1017</v>
      </c>
      <c r="B1171" s="164">
        <v>45684</v>
      </c>
      <c r="C1171" s="163" t="s">
        <v>844</v>
      </c>
      <c r="D1171" s="163" t="s">
        <v>281</v>
      </c>
      <c r="E1171" s="163" t="s">
        <v>120</v>
      </c>
      <c r="F1171" s="226">
        <f>-14778.4-320</f>
        <v>-15098.4</v>
      </c>
      <c r="G1171" s="165">
        <f t="shared" si="29"/>
        <v>4987.431000000006</v>
      </c>
      <c r="H1171" s="163"/>
      <c r="I1171" s="163" t="s">
        <v>342</v>
      </c>
      <c r="J1171" s="163"/>
      <c r="K1171" s="163"/>
      <c r="L1171" s="163" t="s">
        <v>1062</v>
      </c>
      <c r="M1171" s="163"/>
      <c r="N1171" s="163" t="s">
        <v>978</v>
      </c>
      <c r="O1171" s="163"/>
      <c r="P1171" s="163"/>
      <c r="Q1171" s="163"/>
      <c r="R1171" s="163" t="s">
        <v>846</v>
      </c>
      <c r="S1171" s="163" t="s">
        <v>847</v>
      </c>
      <c r="T1171" s="43">
        <f t="shared" si="32"/>
        <v>1</v>
      </c>
      <c r="U1171" s="167">
        <f t="shared" si="31"/>
        <v>45684</v>
      </c>
      <c r="W1171" s="43">
        <f t="shared" si="33"/>
        <v>1</v>
      </c>
      <c r="X1171" s="49" t="s">
        <v>1498</v>
      </c>
      <c r="Y1171" s="43" t="s">
        <v>1336</v>
      </c>
    </row>
    <row r="1172" spans="1:28" hidden="1">
      <c r="A1172" s="180" t="s">
        <v>1017</v>
      </c>
      <c r="B1172" s="181">
        <v>45684</v>
      </c>
      <c r="C1172" s="180" t="s">
        <v>1380</v>
      </c>
      <c r="D1172" s="180" t="s">
        <v>281</v>
      </c>
      <c r="E1172" s="180" t="s">
        <v>1566</v>
      </c>
      <c r="F1172" s="226">
        <v>-1800</v>
      </c>
      <c r="G1172" s="165">
        <f t="shared" si="29"/>
        <v>3187.431000000006</v>
      </c>
      <c r="H1172" s="180"/>
      <c r="I1172" s="180" t="s">
        <v>283</v>
      </c>
      <c r="J1172" s="180"/>
      <c r="K1172" s="180"/>
      <c r="L1172" s="180" t="s">
        <v>485</v>
      </c>
      <c r="M1172" s="180"/>
      <c r="N1172" s="180" t="s">
        <v>978</v>
      </c>
      <c r="O1172" s="180"/>
      <c r="P1172" s="180"/>
      <c r="Q1172" s="180"/>
      <c r="R1172" s="180" t="s">
        <v>669</v>
      </c>
      <c r="S1172" s="180" t="s">
        <v>1492</v>
      </c>
      <c r="T1172" s="183">
        <f t="shared" si="32"/>
        <v>1</v>
      </c>
      <c r="U1172" s="184">
        <f t="shared" si="31"/>
        <v>45684</v>
      </c>
      <c r="V1172" s="183"/>
      <c r="W1172" s="43">
        <f t="shared" si="33"/>
        <v>1</v>
      </c>
      <c r="X1172" s="183" t="s">
        <v>1566</v>
      </c>
      <c r="Y1172" s="183" t="s">
        <v>25</v>
      </c>
      <c r="Z1172" s="183"/>
      <c r="AA1172" s="183"/>
      <c r="AB1172" s="183"/>
    </row>
    <row r="1173" spans="1:28" hidden="1">
      <c r="A1173" s="180" t="s">
        <v>1017</v>
      </c>
      <c r="B1173" s="181">
        <v>45684</v>
      </c>
      <c r="C1173" s="180" t="s">
        <v>1010</v>
      </c>
      <c r="D1173" s="180" t="s">
        <v>281</v>
      </c>
      <c r="E1173" s="180" t="s">
        <v>199</v>
      </c>
      <c r="F1173" s="226">
        <v>-1900</v>
      </c>
      <c r="G1173" s="165">
        <f t="shared" si="29"/>
        <v>1287.431000000006</v>
      </c>
      <c r="H1173" s="180"/>
      <c r="I1173" s="180" t="s">
        <v>283</v>
      </c>
      <c r="J1173" s="180"/>
      <c r="K1173" s="180"/>
      <c r="L1173" s="180" t="s">
        <v>485</v>
      </c>
      <c r="M1173" s="180"/>
      <c r="N1173" s="180" t="s">
        <v>978</v>
      </c>
      <c r="O1173" s="180"/>
      <c r="P1173" s="180"/>
      <c r="Q1173" s="180"/>
      <c r="R1173" s="180" t="s">
        <v>669</v>
      </c>
      <c r="S1173" s="180" t="s">
        <v>1492</v>
      </c>
      <c r="T1173" s="183">
        <f t="shared" si="32"/>
        <v>1</v>
      </c>
      <c r="U1173" s="184">
        <f t="shared" si="31"/>
        <v>45684</v>
      </c>
      <c r="V1173" s="183"/>
      <c r="W1173" s="43">
        <f t="shared" si="33"/>
        <v>1</v>
      </c>
      <c r="X1173" s="206" t="s">
        <v>1478</v>
      </c>
      <c r="Y1173" s="206" t="s">
        <v>26</v>
      </c>
      <c r="Z1173" s="183"/>
      <c r="AA1173" s="183"/>
      <c r="AB1173" s="183"/>
    </row>
    <row r="1174" spans="1:28" ht="14.25" hidden="1" customHeight="1">
      <c r="A1174" s="163" t="s">
        <v>1017</v>
      </c>
      <c r="B1174" s="164">
        <v>45684</v>
      </c>
      <c r="C1174" s="163"/>
      <c r="D1174" s="163" t="s">
        <v>281</v>
      </c>
      <c r="E1174" s="163" t="s">
        <v>1077</v>
      </c>
      <c r="F1174" s="185">
        <f>-1.99-1</f>
        <v>-2.99</v>
      </c>
      <c r="G1174" s="165">
        <f t="shared" si="29"/>
        <v>1284.4410000000059</v>
      </c>
      <c r="H1174" s="163"/>
      <c r="I1174" s="163" t="s">
        <v>342</v>
      </c>
      <c r="J1174" s="163"/>
      <c r="K1174" s="163"/>
      <c r="L1174" s="163" t="s">
        <v>1030</v>
      </c>
      <c r="M1174" s="163"/>
      <c r="N1174" s="163" t="s">
        <v>978</v>
      </c>
      <c r="O1174" s="163"/>
      <c r="P1174" s="163"/>
      <c r="Q1174" s="163"/>
      <c r="R1174" s="163"/>
      <c r="S1174" s="163" t="s">
        <v>1076</v>
      </c>
      <c r="T1174" s="94">
        <f t="shared" si="32"/>
        <v>1</v>
      </c>
      <c r="U1174" s="212">
        <f t="shared" si="31"/>
        <v>45684</v>
      </c>
      <c r="V1174" s="43"/>
      <c r="W1174" s="43">
        <f t="shared" si="33"/>
        <v>1</v>
      </c>
      <c r="X1174" s="43" t="s">
        <v>1483</v>
      </c>
      <c r="Y1174" s="43" t="s">
        <v>1443</v>
      </c>
      <c r="Z1174" s="43" t="s">
        <v>1113</v>
      </c>
      <c r="AA1174" s="43" t="s">
        <v>1113</v>
      </c>
      <c r="AB1174" s="43"/>
    </row>
    <row r="1175" spans="1:28" hidden="1">
      <c r="A1175" s="163"/>
      <c r="B1175" s="164">
        <v>45684</v>
      </c>
      <c r="C1175" s="163" t="s">
        <v>346</v>
      </c>
      <c r="D1175" s="163"/>
      <c r="E1175" s="163"/>
      <c r="F1175" s="168">
        <v>0</v>
      </c>
      <c r="G1175" s="165">
        <f t="shared" si="29"/>
        <v>1284.4410000000059</v>
      </c>
      <c r="H1175" s="163"/>
      <c r="I1175" s="163"/>
      <c r="J1175" s="163"/>
      <c r="K1175" s="163"/>
      <c r="L1175" s="163"/>
      <c r="M1175" s="163"/>
      <c r="N1175" s="163"/>
      <c r="O1175" s="163"/>
      <c r="P1175" s="163"/>
      <c r="Q1175" s="163"/>
      <c r="R1175" s="163"/>
      <c r="S1175" s="163"/>
      <c r="T1175" s="43">
        <f t="shared" si="32"/>
        <v>1</v>
      </c>
      <c r="U1175" s="167">
        <f t="shared" si="31"/>
        <v>45684</v>
      </c>
      <c r="W1175" s="43">
        <f t="shared" si="33"/>
        <v>1</v>
      </c>
    </row>
    <row r="1176" spans="1:28" hidden="1">
      <c r="A1176" s="163" t="s">
        <v>1174</v>
      </c>
      <c r="B1176" s="164">
        <v>45685</v>
      </c>
      <c r="C1176" s="163" t="s">
        <v>1601</v>
      </c>
      <c r="D1176" s="163" t="s">
        <v>281</v>
      </c>
      <c r="E1176" s="163" t="s">
        <v>407</v>
      </c>
      <c r="F1176" s="165"/>
      <c r="G1176" s="165">
        <f t="shared" si="29"/>
        <v>1284.4410000000059</v>
      </c>
      <c r="H1176" s="163"/>
      <c r="I1176" s="163" t="s">
        <v>1176</v>
      </c>
      <c r="J1176" s="163" t="s">
        <v>1598</v>
      </c>
      <c r="K1176" s="163"/>
      <c r="L1176" s="163" t="s">
        <v>305</v>
      </c>
      <c r="M1176" s="163"/>
      <c r="N1176" s="163" t="s">
        <v>1178</v>
      </c>
      <c r="O1176" s="163" t="s">
        <v>1598</v>
      </c>
      <c r="P1176" s="163" t="s">
        <v>1083</v>
      </c>
      <c r="Q1176" s="163"/>
      <c r="R1176" s="163" t="s">
        <v>1599</v>
      </c>
      <c r="S1176" s="163" t="s">
        <v>1600</v>
      </c>
      <c r="T1176" s="43">
        <f t="shared" si="32"/>
        <v>1</v>
      </c>
      <c r="U1176" s="167">
        <f t="shared" si="31"/>
        <v>45685</v>
      </c>
      <c r="W1176" s="43">
        <f t="shared" si="33"/>
        <v>1</v>
      </c>
      <c r="X1176" s="43" t="s">
        <v>1484</v>
      </c>
      <c r="Y1176" s="43" t="s">
        <v>1485</v>
      </c>
    </row>
    <row r="1177" spans="1:28" hidden="1">
      <c r="A1177" s="163" t="s">
        <v>1174</v>
      </c>
      <c r="B1177" s="164">
        <v>45684</v>
      </c>
      <c r="C1177" s="163" t="s">
        <v>1166</v>
      </c>
      <c r="D1177" s="163" t="s">
        <v>281</v>
      </c>
      <c r="E1177" s="163" t="s">
        <v>407</v>
      </c>
      <c r="F1177" s="195">
        <v>4199</v>
      </c>
      <c r="G1177" s="165">
        <f t="shared" si="29"/>
        <v>5483.4410000000062</v>
      </c>
      <c r="H1177" s="163"/>
      <c r="I1177" s="163" t="s">
        <v>1176</v>
      </c>
      <c r="J1177" s="163" t="s">
        <v>1466</v>
      </c>
      <c r="K1177" s="163"/>
      <c r="L1177" s="163" t="s">
        <v>305</v>
      </c>
      <c r="M1177" s="163"/>
      <c r="N1177" s="163" t="s">
        <v>1178</v>
      </c>
      <c r="O1177" s="163" t="s">
        <v>1466</v>
      </c>
      <c r="P1177" s="163" t="s">
        <v>62</v>
      </c>
      <c r="Q1177" s="163"/>
      <c r="R1177" s="163" t="s">
        <v>1171</v>
      </c>
      <c r="S1177" s="163" t="s">
        <v>1172</v>
      </c>
      <c r="T1177" s="43">
        <f t="shared" si="32"/>
        <v>1</v>
      </c>
      <c r="U1177" s="167">
        <f t="shared" si="31"/>
        <v>45685</v>
      </c>
      <c r="V1177" s="261">
        <v>45685</v>
      </c>
      <c r="W1177" s="43">
        <f t="shared" si="33"/>
        <v>1</v>
      </c>
      <c r="X1177" s="43" t="s">
        <v>1484</v>
      </c>
      <c r="Y1177" s="43" t="s">
        <v>1485</v>
      </c>
    </row>
    <row r="1178" spans="1:28" hidden="1">
      <c r="A1178" s="163" t="s">
        <v>1174</v>
      </c>
      <c r="B1178" s="164">
        <v>45684</v>
      </c>
      <c r="C1178" s="163" t="s">
        <v>1123</v>
      </c>
      <c r="D1178" s="163" t="s">
        <v>281</v>
      </c>
      <c r="E1178" s="163" t="s">
        <v>407</v>
      </c>
      <c r="F1178" s="195">
        <v>4300</v>
      </c>
      <c r="G1178" s="165">
        <f t="shared" si="29"/>
        <v>9783.4410000000062</v>
      </c>
      <c r="H1178" s="163"/>
      <c r="I1178" s="163" t="s">
        <v>1176</v>
      </c>
      <c r="J1178" s="163" t="s">
        <v>1452</v>
      </c>
      <c r="K1178" s="163"/>
      <c r="L1178" s="163" t="s">
        <v>305</v>
      </c>
      <c r="M1178" s="163"/>
      <c r="N1178" s="163" t="s">
        <v>1178</v>
      </c>
      <c r="O1178" s="163" t="s">
        <v>1452</v>
      </c>
      <c r="P1178" s="163" t="s">
        <v>57</v>
      </c>
      <c r="Q1178" s="163"/>
      <c r="R1178" s="163" t="s">
        <v>1128</v>
      </c>
      <c r="S1178" s="163" t="s">
        <v>1129</v>
      </c>
      <c r="T1178" s="43">
        <f t="shared" si="32"/>
        <v>1</v>
      </c>
      <c r="U1178" s="167">
        <f t="shared" si="31"/>
        <v>45685</v>
      </c>
      <c r="V1178" s="261">
        <v>45685</v>
      </c>
      <c r="W1178" s="43">
        <f t="shared" si="33"/>
        <v>1</v>
      </c>
      <c r="X1178" s="43" t="s">
        <v>1484</v>
      </c>
      <c r="Y1178" s="43" t="s">
        <v>1485</v>
      </c>
    </row>
    <row r="1179" spans="1:28" hidden="1">
      <c r="A1179" s="180" t="s">
        <v>1174</v>
      </c>
      <c r="B1179" s="181">
        <v>45684</v>
      </c>
      <c r="C1179" s="180" t="s">
        <v>1602</v>
      </c>
      <c r="D1179" s="180" t="s">
        <v>281</v>
      </c>
      <c r="E1179" s="180" t="s">
        <v>407</v>
      </c>
      <c r="F1179" s="195">
        <v>3100</v>
      </c>
      <c r="G1179" s="165">
        <f t="shared" si="29"/>
        <v>12883.441000000006</v>
      </c>
      <c r="H1179" s="180"/>
      <c r="I1179" s="180" t="s">
        <v>1176</v>
      </c>
      <c r="J1179" s="180" t="s">
        <v>1457</v>
      </c>
      <c r="K1179" s="180"/>
      <c r="L1179" s="180" t="s">
        <v>305</v>
      </c>
      <c r="M1179" s="180"/>
      <c r="N1179" s="180" t="s">
        <v>1178</v>
      </c>
      <c r="O1179" s="180" t="s">
        <v>1457</v>
      </c>
      <c r="P1179" s="180" t="s">
        <v>957</v>
      </c>
      <c r="Q1179" s="180"/>
      <c r="R1179" s="180" t="s">
        <v>1182</v>
      </c>
      <c r="S1179" s="180" t="s">
        <v>1187</v>
      </c>
      <c r="T1179" s="183">
        <f t="shared" si="32"/>
        <v>1</v>
      </c>
      <c r="U1179" s="184">
        <f t="shared" si="31"/>
        <v>45685</v>
      </c>
      <c r="V1179" s="261">
        <v>45685</v>
      </c>
      <c r="W1179" s="43">
        <f t="shared" si="33"/>
        <v>1</v>
      </c>
      <c r="X1179" s="43" t="s">
        <v>1484</v>
      </c>
      <c r="Y1179" s="43" t="s">
        <v>1485</v>
      </c>
      <c r="Z1179" s="183"/>
      <c r="AA1179" s="183"/>
      <c r="AB1179" s="183"/>
    </row>
    <row r="1180" spans="1:28" hidden="1">
      <c r="A1180" s="163" t="s">
        <v>1174</v>
      </c>
      <c r="B1180" s="164">
        <v>45684</v>
      </c>
      <c r="C1180" s="163" t="s">
        <v>1175</v>
      </c>
      <c r="D1180" s="163" t="s">
        <v>281</v>
      </c>
      <c r="E1180" s="163" t="s">
        <v>407</v>
      </c>
      <c r="F1180" s="195">
        <v>2550.83</v>
      </c>
      <c r="G1180" s="165">
        <f t="shared" si="29"/>
        <v>15434.271000000006</v>
      </c>
      <c r="H1180" s="163"/>
      <c r="I1180" s="163" t="s">
        <v>1176</v>
      </c>
      <c r="J1180" s="163" t="s">
        <v>1177</v>
      </c>
      <c r="K1180" s="163"/>
      <c r="L1180" s="163" t="s">
        <v>305</v>
      </c>
      <c r="M1180" s="163"/>
      <c r="N1180" s="163" t="s">
        <v>1178</v>
      </c>
      <c r="O1180" s="163" t="s">
        <v>1177</v>
      </c>
      <c r="P1180" s="163" t="s">
        <v>57</v>
      </c>
      <c r="Q1180" s="163"/>
      <c r="R1180" s="163" t="s">
        <v>1179</v>
      </c>
      <c r="S1180" s="163" t="s">
        <v>1180</v>
      </c>
      <c r="T1180" s="43">
        <f t="shared" si="32"/>
        <v>1</v>
      </c>
      <c r="U1180" s="167">
        <f t="shared" si="31"/>
        <v>45685</v>
      </c>
      <c r="V1180" s="261">
        <v>45685</v>
      </c>
      <c r="W1180" s="43">
        <f t="shared" si="33"/>
        <v>1</v>
      </c>
      <c r="X1180" s="43" t="s">
        <v>1484</v>
      </c>
      <c r="Y1180" s="43" t="s">
        <v>1485</v>
      </c>
    </row>
    <row r="1181" spans="1:28" hidden="1">
      <c r="A1181" s="163" t="s">
        <v>1174</v>
      </c>
      <c r="B1181" s="164">
        <v>45684</v>
      </c>
      <c r="C1181" s="163" t="s">
        <v>1223</v>
      </c>
      <c r="D1181" s="163" t="s">
        <v>281</v>
      </c>
      <c r="E1181" s="163" t="s">
        <v>407</v>
      </c>
      <c r="F1181" s="195">
        <v>3200</v>
      </c>
      <c r="G1181" s="165">
        <f t="shared" si="29"/>
        <v>18634.271000000008</v>
      </c>
      <c r="H1181" s="163"/>
      <c r="I1181" s="163" t="s">
        <v>1176</v>
      </c>
      <c r="J1181" s="163" t="s">
        <v>1449</v>
      </c>
      <c r="K1181" s="163"/>
      <c r="L1181" s="163" t="s">
        <v>305</v>
      </c>
      <c r="M1181" s="163"/>
      <c r="N1181" s="163" t="s">
        <v>1178</v>
      </c>
      <c r="O1181" s="163" t="s">
        <v>1449</v>
      </c>
      <c r="P1181" s="163" t="s">
        <v>57</v>
      </c>
      <c r="Q1181" s="163"/>
      <c r="R1181" s="163" t="s">
        <v>1228</v>
      </c>
      <c r="S1181" s="163" t="s">
        <v>1229</v>
      </c>
      <c r="T1181" s="43">
        <f t="shared" si="32"/>
        <v>1</v>
      </c>
      <c r="U1181" s="167">
        <f t="shared" si="31"/>
        <v>45685</v>
      </c>
      <c r="V1181" s="261">
        <v>45685</v>
      </c>
      <c r="W1181" s="43">
        <f t="shared" si="33"/>
        <v>1</v>
      </c>
      <c r="X1181" s="43" t="s">
        <v>1484</v>
      </c>
      <c r="Y1181" s="43" t="s">
        <v>1485</v>
      </c>
    </row>
    <row r="1182" spans="1:28" hidden="1">
      <c r="A1182" s="163" t="s">
        <v>1174</v>
      </c>
      <c r="B1182" s="164">
        <v>45684</v>
      </c>
      <c r="C1182" s="163" t="s">
        <v>1279</v>
      </c>
      <c r="D1182" s="163" t="s">
        <v>281</v>
      </c>
      <c r="E1182" s="163" t="s">
        <v>407</v>
      </c>
      <c r="F1182" s="195">
        <v>3500</v>
      </c>
      <c r="G1182" s="165">
        <f t="shared" si="29"/>
        <v>22134.271000000008</v>
      </c>
      <c r="H1182" s="163"/>
      <c r="I1182" s="163" t="s">
        <v>1176</v>
      </c>
      <c r="J1182" s="163" t="s">
        <v>1469</v>
      </c>
      <c r="K1182" s="163"/>
      <c r="L1182" s="163" t="s">
        <v>305</v>
      </c>
      <c r="M1182" s="163"/>
      <c r="N1182" s="163" t="s">
        <v>1178</v>
      </c>
      <c r="O1182" s="163" t="s">
        <v>1469</v>
      </c>
      <c r="P1182" s="163" t="s">
        <v>57</v>
      </c>
      <c r="Q1182" s="163"/>
      <c r="R1182" s="163" t="s">
        <v>1284</v>
      </c>
      <c r="S1182" s="163" t="s">
        <v>1285</v>
      </c>
      <c r="T1182" s="43">
        <f t="shared" si="32"/>
        <v>1</v>
      </c>
      <c r="U1182" s="167">
        <f t="shared" si="31"/>
        <v>45685</v>
      </c>
      <c r="V1182" s="261">
        <v>45685</v>
      </c>
      <c r="W1182" s="43">
        <f t="shared" si="33"/>
        <v>1</v>
      </c>
      <c r="X1182" s="43" t="s">
        <v>1484</v>
      </c>
      <c r="Y1182" s="43" t="s">
        <v>1485</v>
      </c>
    </row>
    <row r="1183" spans="1:28" ht="14.25" hidden="1" customHeight="1">
      <c r="A1183" s="180" t="s">
        <v>1017</v>
      </c>
      <c r="B1183" s="181">
        <v>45684</v>
      </c>
      <c r="C1183" s="180" t="s">
        <v>1603</v>
      </c>
      <c r="D1183" s="180" t="s">
        <v>281</v>
      </c>
      <c r="E1183" s="180" t="s">
        <v>193</v>
      </c>
      <c r="F1183" s="246">
        <v>-6000</v>
      </c>
      <c r="G1183" s="165">
        <f t="shared" si="29"/>
        <v>16134.271000000008</v>
      </c>
      <c r="H1183" s="180"/>
      <c r="I1183" s="180" t="s">
        <v>283</v>
      </c>
      <c r="J1183" s="180"/>
      <c r="K1183" s="180"/>
      <c r="L1183" s="180" t="s">
        <v>305</v>
      </c>
      <c r="M1183" s="180"/>
      <c r="N1183" s="180" t="s">
        <v>978</v>
      </c>
      <c r="O1183" s="180"/>
      <c r="P1183" s="180"/>
      <c r="Q1183" s="180" t="s">
        <v>1067</v>
      </c>
      <c r="R1183" s="180" t="s">
        <v>1087</v>
      </c>
      <c r="S1183" s="180" t="s">
        <v>1089</v>
      </c>
      <c r="T1183" s="189">
        <f t="shared" si="32"/>
        <v>1</v>
      </c>
      <c r="U1183" s="211">
        <f t="shared" si="31"/>
        <v>45685</v>
      </c>
      <c r="V1183" s="261">
        <v>45685</v>
      </c>
      <c r="W1183" s="43">
        <f t="shared" si="33"/>
        <v>1</v>
      </c>
      <c r="X1183" s="43" t="s">
        <v>1552</v>
      </c>
      <c r="Y1183" s="43" t="s">
        <v>26</v>
      </c>
      <c r="Z1183" s="183" t="s">
        <v>1113</v>
      </c>
      <c r="AA1183" s="183" t="s">
        <v>1336</v>
      </c>
      <c r="AB1183" s="183"/>
    </row>
    <row r="1184" spans="1:28" hidden="1">
      <c r="A1184" s="163" t="s">
        <v>1017</v>
      </c>
      <c r="B1184" s="164">
        <v>45685</v>
      </c>
      <c r="C1184" s="163" t="s">
        <v>1323</v>
      </c>
      <c r="D1184" s="163" t="s">
        <v>281</v>
      </c>
      <c r="E1184" s="163" t="s">
        <v>199</v>
      </c>
      <c r="F1184" s="246">
        <v>-2190.4699999999998</v>
      </c>
      <c r="G1184" s="165">
        <f t="shared" si="29"/>
        <v>13943.801000000009</v>
      </c>
      <c r="H1184" s="163"/>
      <c r="I1184" s="163" t="s">
        <v>342</v>
      </c>
      <c r="J1184" s="163"/>
      <c r="K1184" s="163"/>
      <c r="L1184" s="163" t="s">
        <v>1062</v>
      </c>
      <c r="M1184" s="163"/>
      <c r="N1184" s="163" t="s">
        <v>978</v>
      </c>
      <c r="O1184" s="163"/>
      <c r="P1184" s="163"/>
      <c r="Q1184" s="163"/>
      <c r="R1184" s="163" t="s">
        <v>1324</v>
      </c>
      <c r="S1184" s="163" t="s">
        <v>1325</v>
      </c>
      <c r="T1184" s="43">
        <f t="shared" si="32"/>
        <v>1</v>
      </c>
      <c r="U1184" s="167">
        <f t="shared" si="31"/>
        <v>45685</v>
      </c>
      <c r="W1184" s="43">
        <f t="shared" si="33"/>
        <v>1</v>
      </c>
      <c r="X1184" s="49" t="s">
        <v>1480</v>
      </c>
      <c r="Y1184" s="49" t="s">
        <v>86</v>
      </c>
    </row>
    <row r="1185" spans="1:28" hidden="1">
      <c r="A1185" s="163" t="s">
        <v>1017</v>
      </c>
      <c r="B1185" s="164">
        <v>45685</v>
      </c>
      <c r="C1185" s="163" t="s">
        <v>1033</v>
      </c>
      <c r="D1185" s="163" t="s">
        <v>281</v>
      </c>
      <c r="E1185" s="163" t="s">
        <v>120</v>
      </c>
      <c r="F1185" s="246">
        <v>-7329</v>
      </c>
      <c r="G1185" s="165">
        <f t="shared" si="29"/>
        <v>6614.8010000000086</v>
      </c>
      <c r="H1185" s="163"/>
      <c r="I1185" s="163" t="s">
        <v>342</v>
      </c>
      <c r="J1185" s="163"/>
      <c r="K1185" s="163"/>
      <c r="L1185" s="163" t="s">
        <v>1604</v>
      </c>
      <c r="M1185" s="163"/>
      <c r="N1185" s="163" t="s">
        <v>978</v>
      </c>
      <c r="O1185" s="163"/>
      <c r="P1185" s="163"/>
      <c r="Q1185" s="163"/>
      <c r="R1185" s="163" t="s">
        <v>1035</v>
      </c>
      <c r="S1185" s="163" t="s">
        <v>1036</v>
      </c>
      <c r="T1185" s="43">
        <f t="shared" si="32"/>
        <v>1</v>
      </c>
      <c r="U1185" s="167">
        <f t="shared" si="31"/>
        <v>45685</v>
      </c>
      <c r="W1185" s="43">
        <f t="shared" si="33"/>
        <v>1</v>
      </c>
      <c r="X1185" s="49" t="s">
        <v>1498</v>
      </c>
      <c r="Y1185" s="43" t="s">
        <v>1336</v>
      </c>
    </row>
    <row r="1186" spans="1:28" hidden="1">
      <c r="A1186" s="180" t="s">
        <v>1017</v>
      </c>
      <c r="B1186" s="181">
        <v>45685</v>
      </c>
      <c r="C1186" s="180" t="s">
        <v>1594</v>
      </c>
      <c r="D1186" s="180" t="s">
        <v>281</v>
      </c>
      <c r="E1186" s="180" t="s">
        <v>1337</v>
      </c>
      <c r="F1186" s="246">
        <v>-613.03</v>
      </c>
      <c r="G1186" s="165">
        <f t="shared" si="29"/>
        <v>6001.7710000000088</v>
      </c>
      <c r="H1186" s="180"/>
      <c r="I1186" s="180" t="s">
        <v>342</v>
      </c>
      <c r="J1186" s="180"/>
      <c r="K1186" s="180"/>
      <c r="L1186" s="180" t="s">
        <v>1604</v>
      </c>
      <c r="M1186" s="180"/>
      <c r="N1186" s="180" t="s">
        <v>978</v>
      </c>
      <c r="O1186" s="180"/>
      <c r="P1186" s="180"/>
      <c r="Q1186" s="180"/>
      <c r="R1186" s="180" t="s">
        <v>1035</v>
      </c>
      <c r="S1186" s="180" t="s">
        <v>1036</v>
      </c>
      <c r="T1186" s="183">
        <f t="shared" si="32"/>
        <v>1</v>
      </c>
      <c r="U1186" s="184">
        <f t="shared" si="31"/>
        <v>45685</v>
      </c>
      <c r="V1186" s="183"/>
      <c r="W1186" s="43">
        <f t="shared" si="33"/>
        <v>1</v>
      </c>
      <c r="X1186" s="183" t="s">
        <v>1381</v>
      </c>
      <c r="Y1186" s="183" t="s">
        <v>1479</v>
      </c>
      <c r="Z1186" s="183"/>
      <c r="AA1186" s="183"/>
      <c r="AB1186" s="183"/>
    </row>
    <row r="1187" spans="1:28" ht="14.25" hidden="1" customHeight="1">
      <c r="A1187" s="163" t="s">
        <v>1017</v>
      </c>
      <c r="B1187" s="164">
        <v>45685</v>
      </c>
      <c r="C1187" s="163"/>
      <c r="D1187" s="163" t="s">
        <v>281</v>
      </c>
      <c r="E1187" s="163" t="s">
        <v>1077</v>
      </c>
      <c r="F1187" s="185">
        <f>-1.99*6-0.5</f>
        <v>-12.44</v>
      </c>
      <c r="G1187" s="165">
        <f t="shared" si="29"/>
        <v>5989.3310000000092</v>
      </c>
      <c r="H1187" s="163"/>
      <c r="I1187" s="163" t="s">
        <v>342</v>
      </c>
      <c r="J1187" s="163"/>
      <c r="K1187" s="163"/>
      <c r="L1187" s="163" t="s">
        <v>1030</v>
      </c>
      <c r="M1187" s="163"/>
      <c r="N1187" s="163" t="s">
        <v>978</v>
      </c>
      <c r="O1187" s="163"/>
      <c r="P1187" s="163"/>
      <c r="Q1187" s="163"/>
      <c r="R1187" s="163"/>
      <c r="S1187" s="163" t="s">
        <v>1076</v>
      </c>
      <c r="T1187" s="94">
        <f t="shared" si="32"/>
        <v>1</v>
      </c>
      <c r="U1187" s="212">
        <f t="shared" si="31"/>
        <v>45685</v>
      </c>
      <c r="V1187" s="43"/>
      <c r="W1187" s="43">
        <f t="shared" si="33"/>
        <v>1</v>
      </c>
      <c r="X1187" s="43" t="s">
        <v>1483</v>
      </c>
      <c r="Y1187" s="43" t="s">
        <v>1443</v>
      </c>
      <c r="Z1187" s="43" t="s">
        <v>1113</v>
      </c>
      <c r="AA1187" s="43" t="s">
        <v>1113</v>
      </c>
      <c r="AB1187" s="43"/>
    </row>
    <row r="1188" spans="1:28" hidden="1">
      <c r="A1188" s="163"/>
      <c r="B1188" s="164">
        <v>45685</v>
      </c>
      <c r="C1188" s="163" t="s">
        <v>346</v>
      </c>
      <c r="D1188" s="163"/>
      <c r="E1188" s="163"/>
      <c r="F1188" s="165">
        <v>0</v>
      </c>
      <c r="G1188" s="165">
        <f t="shared" si="29"/>
        <v>5989.3310000000092</v>
      </c>
      <c r="H1188" s="163"/>
      <c r="I1188" s="163"/>
      <c r="J1188" s="163"/>
      <c r="K1188" s="163"/>
      <c r="L1188" s="163"/>
      <c r="M1188" s="163"/>
      <c r="N1188" s="163"/>
      <c r="O1188" s="163"/>
      <c r="P1188" s="163"/>
      <c r="Q1188" s="163"/>
      <c r="R1188" s="163"/>
      <c r="S1188" s="163"/>
      <c r="T1188" s="43">
        <f t="shared" si="32"/>
        <v>1</v>
      </c>
      <c r="U1188" s="167">
        <f t="shared" si="31"/>
        <v>45685</v>
      </c>
      <c r="W1188" s="43">
        <f t="shared" si="33"/>
        <v>1</v>
      </c>
    </row>
    <row r="1189" spans="1:28" hidden="1">
      <c r="A1189" s="163" t="s">
        <v>1174</v>
      </c>
      <c r="B1189" s="164">
        <v>45663</v>
      </c>
      <c r="C1189" s="163" t="s">
        <v>406</v>
      </c>
      <c r="D1189" s="163" t="s">
        <v>281</v>
      </c>
      <c r="E1189" s="163" t="s">
        <v>407</v>
      </c>
      <c r="F1189" s="195">
        <v>4313.3999999999996</v>
      </c>
      <c r="G1189" s="165">
        <f t="shared" si="29"/>
        <v>10302.731000000009</v>
      </c>
      <c r="H1189" s="163"/>
      <c r="I1189" s="163" t="s">
        <v>1176</v>
      </c>
      <c r="J1189" s="163" t="s">
        <v>1340</v>
      </c>
      <c r="K1189" s="163"/>
      <c r="L1189" s="163" t="s">
        <v>305</v>
      </c>
      <c r="M1189" s="163"/>
      <c r="N1189" s="163" t="s">
        <v>1178</v>
      </c>
      <c r="O1189" s="163" t="s">
        <v>1340</v>
      </c>
      <c r="P1189" s="163" t="s">
        <v>57</v>
      </c>
      <c r="Q1189" s="163"/>
      <c r="R1189" s="163" t="s">
        <v>406</v>
      </c>
      <c r="S1189" s="163" t="s">
        <v>413</v>
      </c>
      <c r="T1189" s="43">
        <f t="shared" si="32"/>
        <v>1</v>
      </c>
      <c r="U1189" s="167">
        <f t="shared" si="31"/>
        <v>45686</v>
      </c>
      <c r="V1189" s="199">
        <v>45686</v>
      </c>
      <c r="W1189" s="43">
        <f t="shared" si="33"/>
        <v>1</v>
      </c>
      <c r="X1189" s="43" t="s">
        <v>1484</v>
      </c>
      <c r="Y1189" s="43" t="s">
        <v>1485</v>
      </c>
      <c r="AB1189" s="49" t="s">
        <v>1605</v>
      </c>
    </row>
    <row r="1190" spans="1:28" hidden="1">
      <c r="A1190" s="163" t="s">
        <v>1174</v>
      </c>
      <c r="B1190" s="164">
        <v>45684</v>
      </c>
      <c r="C1190" s="163" t="s">
        <v>1158</v>
      </c>
      <c r="D1190" s="163" t="s">
        <v>281</v>
      </c>
      <c r="E1190" s="163" t="s">
        <v>407</v>
      </c>
      <c r="F1190" s="195">
        <v>3265.06</v>
      </c>
      <c r="G1190" s="165">
        <f t="shared" si="29"/>
        <v>13567.791000000008</v>
      </c>
      <c r="H1190" s="163"/>
      <c r="I1190" s="163" t="s">
        <v>1176</v>
      </c>
      <c r="J1190" s="163" t="s">
        <v>1493</v>
      </c>
      <c r="K1190" s="163"/>
      <c r="L1190" s="163" t="s">
        <v>305</v>
      </c>
      <c r="M1190" s="163"/>
      <c r="N1190" s="163" t="s">
        <v>1178</v>
      </c>
      <c r="O1190" s="163" t="s">
        <v>1493</v>
      </c>
      <c r="P1190" s="163" t="s">
        <v>57</v>
      </c>
      <c r="Q1190" s="163"/>
      <c r="R1190" s="163" t="s">
        <v>1163</v>
      </c>
      <c r="S1190" s="163" t="s">
        <v>1164</v>
      </c>
      <c r="T1190" s="43">
        <f t="shared" si="32"/>
        <v>1</v>
      </c>
      <c r="U1190" s="167">
        <f t="shared" si="31"/>
        <v>45686</v>
      </c>
      <c r="V1190" s="199">
        <v>45686</v>
      </c>
      <c r="W1190" s="43">
        <f t="shared" si="33"/>
        <v>1</v>
      </c>
      <c r="X1190" s="43" t="s">
        <v>1484</v>
      </c>
      <c r="Y1190" s="43" t="s">
        <v>1485</v>
      </c>
    </row>
    <row r="1191" spans="1:28" hidden="1">
      <c r="A1191" s="163" t="s">
        <v>1174</v>
      </c>
      <c r="B1191" s="164">
        <v>45684</v>
      </c>
      <c r="C1191" s="163" t="s">
        <v>1205</v>
      </c>
      <c r="D1191" s="163" t="s">
        <v>281</v>
      </c>
      <c r="E1191" s="163" t="s">
        <v>407</v>
      </c>
      <c r="F1191" s="195">
        <v>1224.8</v>
      </c>
      <c r="G1191" s="165">
        <f t="shared" si="29"/>
        <v>14792.591000000008</v>
      </c>
      <c r="H1191" s="163"/>
      <c r="I1191" s="163" t="s">
        <v>1176</v>
      </c>
      <c r="J1191" s="163" t="s">
        <v>1206</v>
      </c>
      <c r="K1191" s="163"/>
      <c r="L1191" s="163" t="s">
        <v>305</v>
      </c>
      <c r="M1191" s="163"/>
      <c r="N1191" s="163" t="s">
        <v>1178</v>
      </c>
      <c r="O1191" s="163" t="s">
        <v>1206</v>
      </c>
      <c r="P1191" s="163" t="s">
        <v>351</v>
      </c>
      <c r="Q1191" s="163"/>
      <c r="R1191" s="163" t="s">
        <v>1207</v>
      </c>
      <c r="S1191" s="163" t="s">
        <v>1208</v>
      </c>
      <c r="T1191" s="43">
        <f t="shared" si="32"/>
        <v>1</v>
      </c>
      <c r="U1191" s="167">
        <f t="shared" si="31"/>
        <v>45686</v>
      </c>
      <c r="V1191" s="199">
        <v>45686</v>
      </c>
      <c r="W1191" s="43">
        <f t="shared" si="33"/>
        <v>1</v>
      </c>
      <c r="X1191" s="43" t="s">
        <v>1484</v>
      </c>
      <c r="Y1191" s="43" t="s">
        <v>1485</v>
      </c>
    </row>
    <row r="1192" spans="1:28" hidden="1">
      <c r="A1192" s="163" t="s">
        <v>1017</v>
      </c>
      <c r="B1192" s="164">
        <v>45681</v>
      </c>
      <c r="C1192" s="163" t="s">
        <v>127</v>
      </c>
      <c r="D1192" s="163" t="s">
        <v>281</v>
      </c>
      <c r="E1192" s="163" t="s">
        <v>199</v>
      </c>
      <c r="F1192" s="169">
        <v>-130</v>
      </c>
      <c r="G1192" s="165">
        <f t="shared" si="29"/>
        <v>14662.591000000008</v>
      </c>
      <c r="H1192" s="163"/>
      <c r="I1192" s="163" t="s">
        <v>977</v>
      </c>
      <c r="J1192" s="163"/>
      <c r="K1192" s="163"/>
      <c r="L1192" s="163" t="s">
        <v>485</v>
      </c>
      <c r="M1192" s="163"/>
      <c r="N1192" s="163" t="s">
        <v>978</v>
      </c>
      <c r="O1192" s="163"/>
      <c r="P1192" s="163"/>
      <c r="Q1192" s="163"/>
      <c r="R1192" s="163" t="s">
        <v>127</v>
      </c>
      <c r="S1192" s="163"/>
      <c r="T1192" s="43">
        <f t="shared" si="32"/>
        <v>1</v>
      </c>
      <c r="U1192" s="167">
        <f t="shared" si="31"/>
        <v>45686</v>
      </c>
      <c r="V1192" s="199">
        <v>45686</v>
      </c>
      <c r="W1192" s="43">
        <f t="shared" si="33"/>
        <v>1</v>
      </c>
      <c r="X1192" s="49" t="s">
        <v>1480</v>
      </c>
      <c r="Y1192" s="49" t="s">
        <v>25</v>
      </c>
    </row>
    <row r="1193" spans="1:28" hidden="1">
      <c r="A1193" s="163" t="s">
        <v>1017</v>
      </c>
      <c r="B1193" s="164">
        <v>45681</v>
      </c>
      <c r="C1193" s="163" t="s">
        <v>1606</v>
      </c>
      <c r="D1193" s="163" t="s">
        <v>281</v>
      </c>
      <c r="E1193" s="163" t="s">
        <v>199</v>
      </c>
      <c r="F1193" s="169">
        <v>-935</v>
      </c>
      <c r="G1193" s="165">
        <f t="shared" si="29"/>
        <v>13727.591000000008</v>
      </c>
      <c r="H1193" s="163"/>
      <c r="I1193" s="163" t="s">
        <v>977</v>
      </c>
      <c r="J1193" s="163"/>
      <c r="K1193" s="163"/>
      <c r="L1193" s="163" t="s">
        <v>485</v>
      </c>
      <c r="M1193" s="163"/>
      <c r="N1193" s="163" t="s">
        <v>978</v>
      </c>
      <c r="O1193" s="163"/>
      <c r="P1193" s="163"/>
      <c r="Q1193" s="163"/>
      <c r="R1193" s="163" t="s">
        <v>1606</v>
      </c>
      <c r="S1193" s="163"/>
      <c r="T1193" s="43">
        <f t="shared" si="32"/>
        <v>1</v>
      </c>
      <c r="U1193" s="167">
        <f t="shared" si="31"/>
        <v>45686</v>
      </c>
      <c r="V1193" s="199">
        <v>45686</v>
      </c>
      <c r="W1193" s="43">
        <f t="shared" si="33"/>
        <v>1</v>
      </c>
      <c r="X1193" s="49" t="s">
        <v>1480</v>
      </c>
      <c r="Y1193" s="49" t="s">
        <v>86</v>
      </c>
      <c r="Z1193" s="49" t="s">
        <v>1607</v>
      </c>
    </row>
    <row r="1194" spans="1:28" hidden="1">
      <c r="A1194" s="163" t="s">
        <v>1017</v>
      </c>
      <c r="B1194" s="164">
        <v>45684</v>
      </c>
      <c r="C1194" s="163" t="s">
        <v>1273</v>
      </c>
      <c r="D1194" s="163" t="s">
        <v>281</v>
      </c>
      <c r="E1194" s="163" t="s">
        <v>199</v>
      </c>
      <c r="F1194" s="169">
        <v>-1225</v>
      </c>
      <c r="G1194" s="165">
        <f t="shared" si="29"/>
        <v>12502.591000000008</v>
      </c>
      <c r="H1194" s="163"/>
      <c r="I1194" s="163" t="s">
        <v>342</v>
      </c>
      <c r="J1194" s="163"/>
      <c r="K1194" s="163"/>
      <c r="L1194" s="163" t="s">
        <v>485</v>
      </c>
      <c r="M1194" s="163"/>
      <c r="N1194" s="163" t="s">
        <v>978</v>
      </c>
      <c r="O1194" s="163"/>
      <c r="P1194" s="163"/>
      <c r="Q1194" s="163"/>
      <c r="R1194" s="163" t="s">
        <v>1274</v>
      </c>
      <c r="S1194" s="163" t="s">
        <v>1275</v>
      </c>
      <c r="T1194" s="43">
        <f t="shared" si="32"/>
        <v>1</v>
      </c>
      <c r="U1194" s="167">
        <f t="shared" si="31"/>
        <v>45686</v>
      </c>
      <c r="V1194" s="199">
        <v>45686</v>
      </c>
      <c r="W1194" s="43">
        <f t="shared" si="33"/>
        <v>1</v>
      </c>
      <c r="X1194" s="49" t="s">
        <v>1480</v>
      </c>
      <c r="Y1194" s="49" t="s">
        <v>25</v>
      </c>
      <c r="Z1194" s="49" t="s">
        <v>1608</v>
      </c>
    </row>
    <row r="1195" spans="1:28" hidden="1">
      <c r="A1195" s="163" t="s">
        <v>1017</v>
      </c>
      <c r="B1195" s="164">
        <v>45684</v>
      </c>
      <c r="C1195" s="163" t="s">
        <v>1013</v>
      </c>
      <c r="D1195" s="163" t="s">
        <v>281</v>
      </c>
      <c r="E1195" s="163" t="s">
        <v>199</v>
      </c>
      <c r="F1195" s="169">
        <v>-200</v>
      </c>
      <c r="G1195" s="165">
        <f t="shared" si="29"/>
        <v>12302.591000000008</v>
      </c>
      <c r="H1195" s="163"/>
      <c r="I1195" s="163" t="s">
        <v>977</v>
      </c>
      <c r="J1195" s="163"/>
      <c r="K1195" s="163"/>
      <c r="L1195" s="163" t="s">
        <v>1609</v>
      </c>
      <c r="M1195" s="163"/>
      <c r="N1195" s="163" t="s">
        <v>978</v>
      </c>
      <c r="O1195" s="163"/>
      <c r="P1195" s="163"/>
      <c r="Q1195" s="163"/>
      <c r="R1195" s="163" t="s">
        <v>1015</v>
      </c>
      <c r="S1195" s="163" t="s">
        <v>1016</v>
      </c>
      <c r="T1195" s="43">
        <f t="shared" si="32"/>
        <v>1</v>
      </c>
      <c r="U1195" s="167">
        <f t="shared" si="31"/>
        <v>45686</v>
      </c>
      <c r="V1195" s="199">
        <v>45686</v>
      </c>
      <c r="W1195" s="43">
        <f t="shared" si="33"/>
        <v>1</v>
      </c>
      <c r="X1195" s="49" t="s">
        <v>1480</v>
      </c>
      <c r="Y1195" s="49" t="s">
        <v>26</v>
      </c>
    </row>
    <row r="1196" spans="1:28" hidden="1">
      <c r="A1196" s="180" t="s">
        <v>1017</v>
      </c>
      <c r="B1196" s="181">
        <v>45685</v>
      </c>
      <c r="C1196" s="180" t="s">
        <v>1610</v>
      </c>
      <c r="D1196" s="180" t="s">
        <v>281</v>
      </c>
      <c r="E1196" s="180" t="s">
        <v>760</v>
      </c>
      <c r="F1196" s="169">
        <v>-1190</v>
      </c>
      <c r="G1196" s="165">
        <f t="shared" si="29"/>
        <v>11112.591000000008</v>
      </c>
      <c r="H1196" s="180"/>
      <c r="I1196" s="180" t="s">
        <v>342</v>
      </c>
      <c r="J1196" s="180"/>
      <c r="K1196" s="180"/>
      <c r="L1196" s="180" t="s">
        <v>1604</v>
      </c>
      <c r="M1196" s="180"/>
      <c r="N1196" s="180" t="s">
        <v>978</v>
      </c>
      <c r="O1196" s="180"/>
      <c r="P1196" s="180"/>
      <c r="Q1196" s="180"/>
      <c r="R1196" s="180" t="s">
        <v>1035</v>
      </c>
      <c r="S1196" s="180" t="s">
        <v>1036</v>
      </c>
      <c r="T1196" s="183">
        <f t="shared" si="32"/>
        <v>1</v>
      </c>
      <c r="U1196" s="184">
        <f t="shared" si="31"/>
        <v>45686</v>
      </c>
      <c r="V1196" s="199">
        <v>45686</v>
      </c>
      <c r="W1196" s="43">
        <f t="shared" si="33"/>
        <v>1</v>
      </c>
      <c r="X1196" s="236" t="s">
        <v>1482</v>
      </c>
      <c r="Y1196" s="236" t="s">
        <v>78</v>
      </c>
      <c r="Z1196" s="183"/>
      <c r="AA1196" s="183"/>
      <c r="AB1196" s="183"/>
    </row>
    <row r="1197" spans="1:28" hidden="1">
      <c r="A1197" s="180" t="s">
        <v>1017</v>
      </c>
      <c r="B1197" s="164">
        <v>45686</v>
      </c>
      <c r="C1197" s="180" t="s">
        <v>1594</v>
      </c>
      <c r="D1197" s="180" t="s">
        <v>281</v>
      </c>
      <c r="E1197" s="163" t="s">
        <v>1514</v>
      </c>
      <c r="F1197" s="169">
        <f>-500-600</f>
        <v>-1100</v>
      </c>
      <c r="G1197" s="165">
        <f t="shared" si="29"/>
        <v>10012.591000000008</v>
      </c>
      <c r="H1197" s="180"/>
      <c r="I1197" s="180" t="s">
        <v>342</v>
      </c>
      <c r="J1197" s="180"/>
      <c r="K1197" s="180"/>
      <c r="L1197" s="180" t="s">
        <v>1604</v>
      </c>
      <c r="M1197" s="180"/>
      <c r="N1197" s="180" t="s">
        <v>978</v>
      </c>
      <c r="O1197" s="180"/>
      <c r="P1197" s="180"/>
      <c r="Q1197" s="180"/>
      <c r="R1197" s="180" t="s">
        <v>1035</v>
      </c>
      <c r="S1197" s="180" t="s">
        <v>1036</v>
      </c>
      <c r="T1197" s="183">
        <f t="shared" si="32"/>
        <v>1</v>
      </c>
      <c r="U1197" s="184">
        <f t="shared" si="31"/>
        <v>45686</v>
      </c>
      <c r="V1197" s="183"/>
      <c r="W1197" s="43">
        <f t="shared" si="33"/>
        <v>1</v>
      </c>
      <c r="X1197" s="43" t="s">
        <v>1381</v>
      </c>
      <c r="Y1197" s="43" t="s">
        <v>1479</v>
      </c>
      <c r="Z1197" s="183"/>
      <c r="AA1197" s="183"/>
      <c r="AB1197" s="183"/>
    </row>
    <row r="1198" spans="1:28" hidden="1">
      <c r="A1198" s="180" t="s">
        <v>1017</v>
      </c>
      <c r="B1198" s="164">
        <v>45686</v>
      </c>
      <c r="C1198" s="180" t="s">
        <v>1611</v>
      </c>
      <c r="D1198" s="180" t="s">
        <v>281</v>
      </c>
      <c r="E1198" s="180" t="s">
        <v>1566</v>
      </c>
      <c r="F1198" s="169">
        <v>-760</v>
      </c>
      <c r="G1198" s="165">
        <f t="shared" si="29"/>
        <v>9252.5910000000076</v>
      </c>
      <c r="H1198" s="180"/>
      <c r="I1198" s="180" t="s">
        <v>342</v>
      </c>
      <c r="J1198" s="180"/>
      <c r="K1198" s="180"/>
      <c r="L1198" s="180" t="s">
        <v>1604</v>
      </c>
      <c r="M1198" s="180"/>
      <c r="N1198" s="180" t="s">
        <v>978</v>
      </c>
      <c r="O1198" s="180"/>
      <c r="P1198" s="180"/>
      <c r="Q1198" s="180"/>
      <c r="R1198" s="180" t="s">
        <v>1035</v>
      </c>
      <c r="S1198" s="180" t="s">
        <v>1036</v>
      </c>
      <c r="T1198" s="183">
        <f t="shared" si="32"/>
        <v>1</v>
      </c>
      <c r="U1198" s="184">
        <f t="shared" si="31"/>
        <v>45686</v>
      </c>
      <c r="V1198" s="183"/>
      <c r="W1198" s="43">
        <f t="shared" si="33"/>
        <v>1</v>
      </c>
      <c r="X1198" s="183" t="s">
        <v>1566</v>
      </c>
      <c r="Y1198" s="183" t="s">
        <v>25</v>
      </c>
      <c r="Z1198" s="183"/>
      <c r="AA1198" s="183"/>
      <c r="AB1198" s="183"/>
    </row>
    <row r="1199" spans="1:28" ht="14.25" hidden="1" customHeight="1">
      <c r="A1199" s="163" t="s">
        <v>1017</v>
      </c>
      <c r="B1199" s="164">
        <v>45686</v>
      </c>
      <c r="C1199" s="163"/>
      <c r="D1199" s="163" t="s">
        <v>281</v>
      </c>
      <c r="E1199" s="163" t="s">
        <v>1077</v>
      </c>
      <c r="F1199" s="185">
        <f>-3.99-1.99*2-3</f>
        <v>-10.97</v>
      </c>
      <c r="G1199" s="165">
        <f t="shared" si="29"/>
        <v>9241.6210000000083</v>
      </c>
      <c r="H1199" s="163"/>
      <c r="I1199" s="163" t="s">
        <v>342</v>
      </c>
      <c r="J1199" s="163"/>
      <c r="K1199" s="163"/>
      <c r="L1199" s="163" t="s">
        <v>1030</v>
      </c>
      <c r="M1199" s="163"/>
      <c r="N1199" s="163" t="s">
        <v>978</v>
      </c>
      <c r="O1199" s="163"/>
      <c r="P1199" s="163"/>
      <c r="Q1199" s="163"/>
      <c r="R1199" s="163"/>
      <c r="S1199" s="163" t="s">
        <v>1076</v>
      </c>
      <c r="T1199" s="94">
        <f t="shared" si="32"/>
        <v>1</v>
      </c>
      <c r="U1199" s="212">
        <f t="shared" si="31"/>
        <v>45686</v>
      </c>
      <c r="V1199" s="43"/>
      <c r="W1199" s="43">
        <f t="shared" si="33"/>
        <v>1</v>
      </c>
      <c r="X1199" s="43" t="s">
        <v>1483</v>
      </c>
      <c r="Y1199" s="43" t="s">
        <v>1443</v>
      </c>
      <c r="Z1199" s="43" t="s">
        <v>1113</v>
      </c>
      <c r="AA1199" s="43" t="s">
        <v>1113</v>
      </c>
      <c r="AB1199" s="43"/>
    </row>
    <row r="1200" spans="1:28" hidden="1">
      <c r="A1200" s="180" t="s">
        <v>1017</v>
      </c>
      <c r="B1200" s="181">
        <v>45684</v>
      </c>
      <c r="C1200" s="180" t="s">
        <v>1008</v>
      </c>
      <c r="D1200" s="180" t="s">
        <v>281</v>
      </c>
      <c r="E1200" s="180" t="s">
        <v>199</v>
      </c>
      <c r="F1200" s="169"/>
      <c r="G1200" s="165">
        <f t="shared" si="29"/>
        <v>9241.6210000000083</v>
      </c>
      <c r="H1200" s="180"/>
      <c r="I1200" s="180" t="s">
        <v>283</v>
      </c>
      <c r="J1200" s="180"/>
      <c r="K1200" s="180"/>
      <c r="L1200" s="180" t="s">
        <v>485</v>
      </c>
      <c r="M1200" s="180"/>
      <c r="N1200" s="180" t="s">
        <v>978</v>
      </c>
      <c r="O1200" s="180"/>
      <c r="P1200" s="180"/>
      <c r="Q1200" s="180"/>
      <c r="R1200" s="180" t="s">
        <v>669</v>
      </c>
      <c r="S1200" s="180" t="s">
        <v>1492</v>
      </c>
      <c r="T1200" s="183">
        <f t="shared" si="32"/>
        <v>1</v>
      </c>
      <c r="U1200" s="184">
        <f t="shared" si="31"/>
        <v>45686</v>
      </c>
      <c r="V1200" s="265">
        <v>45686</v>
      </c>
      <c r="W1200" s="43">
        <f t="shared" si="33"/>
        <v>1</v>
      </c>
      <c r="X1200" s="206" t="s">
        <v>1478</v>
      </c>
      <c r="Y1200" s="206" t="s">
        <v>26</v>
      </c>
      <c r="Z1200" s="183"/>
      <c r="AA1200" s="183"/>
      <c r="AB1200" s="183"/>
    </row>
    <row r="1201" spans="1:28" hidden="1">
      <c r="A1201" s="180" t="s">
        <v>1017</v>
      </c>
      <c r="B1201" s="181">
        <v>45686</v>
      </c>
      <c r="C1201" s="180" t="s">
        <v>1612</v>
      </c>
      <c r="D1201" s="180" t="s">
        <v>281</v>
      </c>
      <c r="E1201" s="180" t="s">
        <v>1613</v>
      </c>
      <c r="F1201" s="169">
        <v>-720</v>
      </c>
      <c r="G1201" s="165">
        <f t="shared" si="29"/>
        <v>8521.6210000000083</v>
      </c>
      <c r="H1201" s="180"/>
      <c r="I1201" s="180" t="s">
        <v>283</v>
      </c>
      <c r="J1201" s="180"/>
      <c r="K1201" s="180"/>
      <c r="L1201" s="180" t="s">
        <v>485</v>
      </c>
      <c r="M1201" s="180"/>
      <c r="N1201" s="180" t="s">
        <v>978</v>
      </c>
      <c r="O1201" s="180"/>
      <c r="P1201" s="180"/>
      <c r="Q1201" s="180"/>
      <c r="R1201" s="180" t="s">
        <v>669</v>
      </c>
      <c r="S1201" s="180" t="s">
        <v>1492</v>
      </c>
      <c r="T1201" s="183">
        <f t="shared" si="32"/>
        <v>1</v>
      </c>
      <c r="U1201" s="184">
        <f t="shared" si="31"/>
        <v>45686</v>
      </c>
      <c r="V1201" s="265">
        <v>45686</v>
      </c>
      <c r="W1201" s="43">
        <f t="shared" si="33"/>
        <v>1</v>
      </c>
      <c r="X1201" s="183" t="s">
        <v>1566</v>
      </c>
      <c r="Y1201" s="183" t="s">
        <v>25</v>
      </c>
      <c r="Z1201" s="183"/>
      <c r="AA1201" s="183"/>
      <c r="AB1201" s="183"/>
    </row>
    <row r="1202" spans="1:28" hidden="1">
      <c r="A1202" s="248" t="s">
        <v>1174</v>
      </c>
      <c r="B1202" s="249">
        <v>45686</v>
      </c>
      <c r="C1202" s="248" t="s">
        <v>1614</v>
      </c>
      <c r="D1202" s="248" t="s">
        <v>281</v>
      </c>
      <c r="E1202" s="248" t="s">
        <v>407</v>
      </c>
      <c r="F1202" s="266"/>
      <c r="G1202" s="165">
        <f t="shared" si="29"/>
        <v>8521.6210000000083</v>
      </c>
      <c r="H1202" s="248"/>
      <c r="I1202" s="248" t="s">
        <v>1176</v>
      </c>
      <c r="J1202" s="248" t="s">
        <v>1585</v>
      </c>
      <c r="K1202" s="248"/>
      <c r="L1202" s="248" t="s">
        <v>305</v>
      </c>
      <c r="M1202" s="248"/>
      <c r="N1202" s="248" t="s">
        <v>1178</v>
      </c>
      <c r="O1202" s="248" t="s">
        <v>1585</v>
      </c>
      <c r="P1202" s="248" t="s">
        <v>1586</v>
      </c>
      <c r="Q1202" s="248"/>
      <c r="R1202" s="248" t="s">
        <v>1587</v>
      </c>
      <c r="S1202" s="248" t="s">
        <v>1588</v>
      </c>
      <c r="T1202" s="251">
        <f t="shared" si="32"/>
        <v>1</v>
      </c>
      <c r="U1202" s="252">
        <f t="shared" si="31"/>
        <v>45686</v>
      </c>
      <c r="V1202" s="251"/>
      <c r="W1202" s="43">
        <f t="shared" si="33"/>
        <v>1</v>
      </c>
      <c r="X1202" s="43" t="s">
        <v>1484</v>
      </c>
      <c r="Y1202" s="43" t="s">
        <v>1485</v>
      </c>
      <c r="Z1202" s="251"/>
      <c r="AA1202" s="251"/>
      <c r="AB1202" s="251"/>
    </row>
    <row r="1203" spans="1:28" hidden="1">
      <c r="A1203" s="163" t="s">
        <v>1017</v>
      </c>
      <c r="B1203" s="164">
        <v>45686</v>
      </c>
      <c r="C1203" s="163" t="s">
        <v>1287</v>
      </c>
      <c r="D1203" s="163" t="s">
        <v>281</v>
      </c>
      <c r="E1203" s="163" t="s">
        <v>1288</v>
      </c>
      <c r="F1203" s="169">
        <v>-6500</v>
      </c>
      <c r="G1203" s="165">
        <f t="shared" si="29"/>
        <v>2021.6210000000083</v>
      </c>
      <c r="H1203" s="163"/>
      <c r="I1203" s="163" t="s">
        <v>283</v>
      </c>
      <c r="J1203" s="163"/>
      <c r="K1203" s="163"/>
      <c r="L1203" s="163" t="s">
        <v>343</v>
      </c>
      <c r="M1203" s="163"/>
      <c r="N1203" s="163" t="s">
        <v>978</v>
      </c>
      <c r="O1203" s="163"/>
      <c r="P1203" s="163"/>
      <c r="Q1203" s="163"/>
      <c r="R1203" s="163" t="s">
        <v>1290</v>
      </c>
      <c r="S1203" s="163" t="s">
        <v>1291</v>
      </c>
      <c r="T1203" s="43">
        <f t="shared" si="32"/>
        <v>1</v>
      </c>
      <c r="U1203" s="167">
        <f t="shared" si="31"/>
        <v>45686</v>
      </c>
      <c r="W1203" s="43">
        <f t="shared" si="33"/>
        <v>1</v>
      </c>
      <c r="X1203" s="49" t="s">
        <v>1552</v>
      </c>
      <c r="Y1203" s="49" t="s">
        <v>25</v>
      </c>
    </row>
    <row r="1204" spans="1:28" hidden="1">
      <c r="A1204" s="163"/>
      <c r="B1204" s="164">
        <v>45686</v>
      </c>
      <c r="C1204" s="163" t="s">
        <v>346</v>
      </c>
      <c r="D1204" s="163"/>
      <c r="E1204" s="163"/>
      <c r="F1204" s="165">
        <v>0</v>
      </c>
      <c r="G1204" s="165">
        <f t="shared" si="29"/>
        <v>2021.6210000000083</v>
      </c>
      <c r="H1204" s="163"/>
      <c r="I1204" s="163"/>
      <c r="J1204" s="163"/>
      <c r="K1204" s="163"/>
      <c r="L1204" s="163"/>
      <c r="M1204" s="163"/>
      <c r="N1204" s="163"/>
      <c r="O1204" s="163"/>
      <c r="P1204" s="163"/>
      <c r="Q1204" s="163"/>
      <c r="R1204" s="163"/>
      <c r="S1204" s="163"/>
      <c r="T1204" s="43">
        <f t="shared" si="32"/>
        <v>1</v>
      </c>
      <c r="U1204" s="167">
        <f t="shared" si="31"/>
        <v>45686</v>
      </c>
      <c r="W1204" s="43">
        <f t="shared" si="33"/>
        <v>1</v>
      </c>
    </row>
    <row r="1205" spans="1:28" hidden="1">
      <c r="A1205" s="163" t="s">
        <v>1174</v>
      </c>
      <c r="B1205" s="164">
        <v>45684</v>
      </c>
      <c r="C1205" s="163" t="s">
        <v>615</v>
      </c>
      <c r="D1205" s="163" t="s">
        <v>281</v>
      </c>
      <c r="E1205" s="163" t="s">
        <v>407</v>
      </c>
      <c r="F1205" s="165"/>
      <c r="G1205" s="165">
        <f t="shared" si="29"/>
        <v>2021.6210000000083</v>
      </c>
      <c r="H1205" s="163"/>
      <c r="I1205" s="163" t="s">
        <v>1176</v>
      </c>
      <c r="J1205" s="163" t="s">
        <v>1615</v>
      </c>
      <c r="K1205" s="163"/>
      <c r="L1205" s="163" t="s">
        <v>305</v>
      </c>
      <c r="M1205" s="163"/>
      <c r="N1205" s="163" t="s">
        <v>1178</v>
      </c>
      <c r="O1205" s="163" t="s">
        <v>1615</v>
      </c>
      <c r="P1205" s="163" t="s">
        <v>418</v>
      </c>
      <c r="Q1205" s="163"/>
      <c r="R1205" s="163" t="s">
        <v>620</v>
      </c>
      <c r="S1205" s="163" t="s">
        <v>621</v>
      </c>
      <c r="T1205" s="43">
        <f t="shared" si="32"/>
        <v>1</v>
      </c>
      <c r="U1205" s="167">
        <f t="shared" si="31"/>
        <v>45687</v>
      </c>
      <c r="V1205" s="260">
        <v>45687</v>
      </c>
      <c r="W1205" s="43">
        <f t="shared" si="33"/>
        <v>1</v>
      </c>
      <c r="X1205" s="43" t="s">
        <v>1484</v>
      </c>
      <c r="Y1205" s="43" t="s">
        <v>1485</v>
      </c>
    </row>
    <row r="1206" spans="1:28" hidden="1">
      <c r="A1206" s="163" t="s">
        <v>1174</v>
      </c>
      <c r="B1206" s="164">
        <v>45687</v>
      </c>
      <c r="C1206" s="163" t="s">
        <v>1616</v>
      </c>
      <c r="D1206" s="163" t="s">
        <v>281</v>
      </c>
      <c r="E1206" s="163" t="s">
        <v>289</v>
      </c>
      <c r="F1206" s="247"/>
      <c r="G1206" s="165">
        <f t="shared" si="29"/>
        <v>2021.6210000000083</v>
      </c>
      <c r="H1206" s="163"/>
      <c r="I1206" s="163" t="s">
        <v>1176</v>
      </c>
      <c r="J1206" s="163" t="s">
        <v>1617</v>
      </c>
      <c r="K1206" s="163"/>
      <c r="L1206" s="163" t="s">
        <v>305</v>
      </c>
      <c r="M1206" s="163"/>
      <c r="N1206" s="163" t="s">
        <v>1178</v>
      </c>
      <c r="O1206" s="163" t="s">
        <v>1617</v>
      </c>
      <c r="P1206" s="163" t="s">
        <v>1618</v>
      </c>
      <c r="Q1206" s="163"/>
      <c r="R1206" s="163" t="s">
        <v>1619</v>
      </c>
      <c r="S1206" s="163" t="s">
        <v>1620</v>
      </c>
      <c r="T1206" s="43">
        <f t="shared" si="32"/>
        <v>1</v>
      </c>
      <c r="U1206" s="167">
        <f t="shared" si="31"/>
        <v>45687</v>
      </c>
      <c r="V1206" s="260">
        <v>45687</v>
      </c>
      <c r="W1206" s="43">
        <f t="shared" si="33"/>
        <v>1</v>
      </c>
      <c r="X1206" s="49" t="s">
        <v>1484</v>
      </c>
      <c r="Y1206" s="49" t="s">
        <v>78</v>
      </c>
    </row>
    <row r="1207" spans="1:28" hidden="1">
      <c r="A1207" s="163" t="s">
        <v>1174</v>
      </c>
      <c r="B1207" s="164">
        <v>45684</v>
      </c>
      <c r="C1207" s="163" t="s">
        <v>1182</v>
      </c>
      <c r="D1207" s="163" t="s">
        <v>281</v>
      </c>
      <c r="E1207" s="163" t="s">
        <v>407</v>
      </c>
      <c r="F1207" s="195">
        <v>4365</v>
      </c>
      <c r="G1207" s="165">
        <f t="shared" si="29"/>
        <v>6386.6210000000083</v>
      </c>
      <c r="H1207" s="163"/>
      <c r="I1207" s="163" t="s">
        <v>1176</v>
      </c>
      <c r="J1207" s="163" t="s">
        <v>1457</v>
      </c>
      <c r="K1207" s="163"/>
      <c r="L1207" s="163" t="s">
        <v>305</v>
      </c>
      <c r="M1207" s="163"/>
      <c r="N1207" s="163" t="s">
        <v>1178</v>
      </c>
      <c r="O1207" s="163" t="s">
        <v>1457</v>
      </c>
      <c r="P1207" s="163" t="s">
        <v>957</v>
      </c>
      <c r="Q1207" s="163"/>
      <c r="R1207" s="163" t="s">
        <v>1182</v>
      </c>
      <c r="S1207" s="163" t="s">
        <v>1187</v>
      </c>
      <c r="T1207" s="43">
        <f t="shared" si="32"/>
        <v>1</v>
      </c>
      <c r="U1207" s="167">
        <f t="shared" si="31"/>
        <v>45687</v>
      </c>
      <c r="V1207" s="260">
        <v>45687</v>
      </c>
      <c r="W1207" s="43">
        <f t="shared" si="33"/>
        <v>1</v>
      </c>
      <c r="X1207" s="43" t="s">
        <v>1484</v>
      </c>
      <c r="Y1207" s="43" t="s">
        <v>1485</v>
      </c>
    </row>
    <row r="1208" spans="1:28" hidden="1">
      <c r="A1208" s="180" t="s">
        <v>1174</v>
      </c>
      <c r="B1208" s="181">
        <v>45680</v>
      </c>
      <c r="C1208" s="180" t="s">
        <v>1412</v>
      </c>
      <c r="D1208" s="180" t="s">
        <v>281</v>
      </c>
      <c r="E1208" s="180" t="s">
        <v>407</v>
      </c>
      <c r="F1208" s="195">
        <v>3000</v>
      </c>
      <c r="G1208" s="165">
        <f t="shared" si="29"/>
        <v>9386.6210000000083</v>
      </c>
      <c r="H1208" s="180"/>
      <c r="I1208" s="180" t="s">
        <v>1176</v>
      </c>
      <c r="J1208" s="180" t="s">
        <v>1585</v>
      </c>
      <c r="K1208" s="180"/>
      <c r="L1208" s="180" t="s">
        <v>305</v>
      </c>
      <c r="M1208" s="180"/>
      <c r="N1208" s="180" t="s">
        <v>1178</v>
      </c>
      <c r="O1208" s="180" t="s">
        <v>1585</v>
      </c>
      <c r="P1208" s="180" t="s">
        <v>1586</v>
      </c>
      <c r="Q1208" s="180"/>
      <c r="R1208" s="180" t="s">
        <v>1587</v>
      </c>
      <c r="S1208" s="180" t="s">
        <v>1588</v>
      </c>
      <c r="T1208" s="183">
        <f t="shared" si="32"/>
        <v>1</v>
      </c>
      <c r="U1208" s="184">
        <f t="shared" si="31"/>
        <v>45687</v>
      </c>
      <c r="V1208" s="260">
        <v>45687</v>
      </c>
      <c r="W1208" s="43">
        <f t="shared" si="33"/>
        <v>1</v>
      </c>
      <c r="X1208" s="43" t="s">
        <v>1484</v>
      </c>
      <c r="Y1208" s="43" t="s">
        <v>1485</v>
      </c>
      <c r="Z1208" s="183"/>
      <c r="AA1208" s="183"/>
      <c r="AB1208" s="183"/>
    </row>
    <row r="1209" spans="1:28" hidden="1">
      <c r="A1209" s="180" t="s">
        <v>1174</v>
      </c>
      <c r="B1209" s="181">
        <v>45686</v>
      </c>
      <c r="C1209" s="180" t="s">
        <v>1621</v>
      </c>
      <c r="D1209" s="180" t="s">
        <v>281</v>
      </c>
      <c r="E1209" s="180" t="s">
        <v>407</v>
      </c>
      <c r="F1209" s="195">
        <v>4500</v>
      </c>
      <c r="G1209" s="165">
        <f t="shared" si="29"/>
        <v>13886.621000000008</v>
      </c>
      <c r="H1209" s="180"/>
      <c r="I1209" s="180" t="s">
        <v>1176</v>
      </c>
      <c r="J1209" s="180" t="s">
        <v>1585</v>
      </c>
      <c r="K1209" s="180"/>
      <c r="L1209" s="180" t="s">
        <v>305</v>
      </c>
      <c r="M1209" s="180"/>
      <c r="N1209" s="180" t="s">
        <v>1178</v>
      </c>
      <c r="O1209" s="180" t="s">
        <v>1585</v>
      </c>
      <c r="P1209" s="180" t="s">
        <v>1586</v>
      </c>
      <c r="Q1209" s="180"/>
      <c r="R1209" s="180" t="s">
        <v>1587</v>
      </c>
      <c r="S1209" s="180" t="s">
        <v>1588</v>
      </c>
      <c r="T1209" s="183">
        <f t="shared" si="32"/>
        <v>1</v>
      </c>
      <c r="U1209" s="184">
        <f t="shared" si="31"/>
        <v>45687</v>
      </c>
      <c r="V1209" s="260">
        <v>45687</v>
      </c>
      <c r="W1209" s="43">
        <f t="shared" si="33"/>
        <v>1</v>
      </c>
      <c r="X1209" s="43" t="s">
        <v>1484</v>
      </c>
      <c r="Y1209" s="43" t="s">
        <v>1485</v>
      </c>
      <c r="Z1209" s="183"/>
      <c r="AA1209" s="183"/>
      <c r="AB1209" s="183"/>
    </row>
    <row r="1210" spans="1:28" ht="14.25" hidden="1" customHeight="1">
      <c r="A1210" s="180" t="s">
        <v>1017</v>
      </c>
      <c r="B1210" s="181">
        <v>45687</v>
      </c>
      <c r="C1210" s="180" t="s">
        <v>1487</v>
      </c>
      <c r="D1210" s="180" t="s">
        <v>281</v>
      </c>
      <c r="E1210" s="180" t="s">
        <v>282</v>
      </c>
      <c r="F1210" s="230">
        <v>25000</v>
      </c>
      <c r="G1210" s="165">
        <f t="shared" si="29"/>
        <v>38886.621000000006</v>
      </c>
      <c r="H1210" s="180"/>
      <c r="I1210" s="180" t="s">
        <v>977</v>
      </c>
      <c r="J1210" s="180"/>
      <c r="K1210" s="180"/>
      <c r="L1210" s="180" t="s">
        <v>366</v>
      </c>
      <c r="M1210" s="180"/>
      <c r="N1210" s="180" t="s">
        <v>978</v>
      </c>
      <c r="O1210" s="180"/>
      <c r="P1210" s="180"/>
      <c r="Q1210" s="180"/>
      <c r="R1210" s="180" t="s">
        <v>990</v>
      </c>
      <c r="S1210" s="180" t="s">
        <v>991</v>
      </c>
      <c r="T1210" s="183">
        <f t="shared" si="32"/>
        <v>1</v>
      </c>
      <c r="U1210" s="184">
        <f t="shared" si="31"/>
        <v>45687</v>
      </c>
      <c r="V1210" s="256"/>
      <c r="W1210" s="43">
        <f t="shared" si="33"/>
        <v>1</v>
      </c>
      <c r="X1210" s="183" t="s">
        <v>282</v>
      </c>
      <c r="Y1210" s="183" t="s">
        <v>1443</v>
      </c>
      <c r="Z1210" s="183" t="s">
        <v>1113</v>
      </c>
      <c r="AA1210" s="183" t="s">
        <v>1113</v>
      </c>
      <c r="AB1210" s="183"/>
    </row>
    <row r="1211" spans="1:28" hidden="1">
      <c r="A1211" s="180" t="s">
        <v>1017</v>
      </c>
      <c r="B1211" s="181">
        <v>45688</v>
      </c>
      <c r="C1211" s="180" t="s">
        <v>1622</v>
      </c>
      <c r="D1211" s="180" t="s">
        <v>281</v>
      </c>
      <c r="E1211" s="180" t="s">
        <v>993</v>
      </c>
      <c r="F1211" s="226">
        <v>-1500</v>
      </c>
      <c r="G1211" s="165">
        <f t="shared" si="29"/>
        <v>37386.621000000006</v>
      </c>
      <c r="H1211" s="180"/>
      <c r="I1211" s="180" t="s">
        <v>342</v>
      </c>
      <c r="J1211" s="180"/>
      <c r="K1211" s="180"/>
      <c r="L1211" s="180" t="s">
        <v>805</v>
      </c>
      <c r="M1211" s="180"/>
      <c r="N1211" s="180" t="s">
        <v>978</v>
      </c>
      <c r="O1211" s="180"/>
      <c r="P1211" s="180"/>
      <c r="Q1211" s="180"/>
      <c r="R1211" s="180" t="s">
        <v>1292</v>
      </c>
      <c r="S1211" s="180" t="s">
        <v>1417</v>
      </c>
      <c r="T1211" s="183">
        <f t="shared" si="32"/>
        <v>1</v>
      </c>
      <c r="U1211" s="184">
        <f t="shared" si="31"/>
        <v>45687</v>
      </c>
      <c r="V1211" s="260">
        <v>45687</v>
      </c>
      <c r="W1211" s="43">
        <f t="shared" si="33"/>
        <v>1</v>
      </c>
      <c r="X1211" s="49" t="s">
        <v>1559</v>
      </c>
      <c r="Y1211" s="49" t="s">
        <v>78</v>
      </c>
      <c r="Z1211" s="183"/>
      <c r="AA1211" s="183"/>
      <c r="AB1211" s="183"/>
    </row>
    <row r="1212" spans="1:28" hidden="1">
      <c r="A1212" s="163" t="s">
        <v>1017</v>
      </c>
      <c r="B1212" s="164">
        <v>45688</v>
      </c>
      <c r="C1212" s="163" t="s">
        <v>1292</v>
      </c>
      <c r="D1212" s="163" t="s">
        <v>281</v>
      </c>
      <c r="E1212" s="163" t="s">
        <v>993</v>
      </c>
      <c r="F1212" s="226">
        <v>-10458.75</v>
      </c>
      <c r="G1212" s="165">
        <f t="shared" si="29"/>
        <v>26927.871000000006</v>
      </c>
      <c r="H1212" s="163"/>
      <c r="I1212" s="163" t="s">
        <v>342</v>
      </c>
      <c r="J1212" s="163"/>
      <c r="K1212" s="163"/>
      <c r="L1212" s="163" t="s">
        <v>805</v>
      </c>
      <c r="M1212" s="163"/>
      <c r="N1212" s="163" t="s">
        <v>978</v>
      </c>
      <c r="O1212" s="163"/>
      <c r="P1212" s="163"/>
      <c r="Q1212" s="163"/>
      <c r="R1212" s="163" t="s">
        <v>1292</v>
      </c>
      <c r="S1212" s="163" t="s">
        <v>1417</v>
      </c>
      <c r="T1212" s="43">
        <f t="shared" si="32"/>
        <v>1</v>
      </c>
      <c r="U1212" s="167">
        <f t="shared" si="31"/>
        <v>45687</v>
      </c>
      <c r="V1212" s="260">
        <v>45687</v>
      </c>
      <c r="W1212" s="43">
        <f t="shared" si="33"/>
        <v>1</v>
      </c>
      <c r="X1212" s="49" t="s">
        <v>1559</v>
      </c>
      <c r="Y1212" s="49" t="s">
        <v>78</v>
      </c>
    </row>
    <row r="1213" spans="1:28" hidden="1">
      <c r="A1213" s="180" t="s">
        <v>1017</v>
      </c>
      <c r="B1213" s="164">
        <v>45686</v>
      </c>
      <c r="C1213" s="180" t="s">
        <v>1594</v>
      </c>
      <c r="D1213" s="180" t="s">
        <v>281</v>
      </c>
      <c r="E1213" s="163" t="s">
        <v>1514</v>
      </c>
      <c r="F1213" s="226">
        <v>-500</v>
      </c>
      <c r="G1213" s="165">
        <f t="shared" si="29"/>
        <v>26427.871000000006</v>
      </c>
      <c r="H1213" s="180"/>
      <c r="I1213" s="180" t="s">
        <v>342</v>
      </c>
      <c r="J1213" s="180"/>
      <c r="K1213" s="180"/>
      <c r="L1213" s="180" t="s">
        <v>1604</v>
      </c>
      <c r="M1213" s="180"/>
      <c r="N1213" s="180" t="s">
        <v>978</v>
      </c>
      <c r="O1213" s="180"/>
      <c r="P1213" s="180"/>
      <c r="Q1213" s="180"/>
      <c r="R1213" s="180" t="s">
        <v>1035</v>
      </c>
      <c r="S1213" s="180" t="s">
        <v>1036</v>
      </c>
      <c r="T1213" s="183">
        <f t="shared" si="32"/>
        <v>1</v>
      </c>
      <c r="U1213" s="184">
        <f t="shared" si="31"/>
        <v>45686</v>
      </c>
      <c r="V1213" s="183"/>
      <c r="W1213" s="43">
        <f t="shared" si="33"/>
        <v>1</v>
      </c>
      <c r="X1213" s="43" t="s">
        <v>1381</v>
      </c>
      <c r="Y1213" s="43" t="s">
        <v>1479</v>
      </c>
      <c r="Z1213" s="183"/>
      <c r="AA1213" s="183"/>
      <c r="AB1213" s="183"/>
    </row>
    <row r="1214" spans="1:28" hidden="1">
      <c r="A1214" s="180" t="s">
        <v>1017</v>
      </c>
      <c r="B1214" s="181">
        <v>45686</v>
      </c>
      <c r="C1214" s="180" t="s">
        <v>1591</v>
      </c>
      <c r="D1214" s="180" t="s">
        <v>281</v>
      </c>
      <c r="E1214" s="180" t="s">
        <v>1566</v>
      </c>
      <c r="F1214" s="226">
        <v>-1500</v>
      </c>
      <c r="G1214" s="165">
        <f t="shared" si="29"/>
        <v>24927.871000000006</v>
      </c>
      <c r="H1214" s="180"/>
      <c r="I1214" s="180" t="s">
        <v>283</v>
      </c>
      <c r="J1214" s="180"/>
      <c r="K1214" s="180"/>
      <c r="L1214" s="180" t="s">
        <v>485</v>
      </c>
      <c r="M1214" s="180"/>
      <c r="N1214" s="180" t="s">
        <v>978</v>
      </c>
      <c r="O1214" s="180"/>
      <c r="P1214" s="180"/>
      <c r="Q1214" s="180"/>
      <c r="R1214" s="180" t="s">
        <v>1527</v>
      </c>
      <c r="S1214" s="180"/>
      <c r="T1214" s="183">
        <f t="shared" si="32"/>
        <v>1</v>
      </c>
      <c r="U1214" s="184">
        <f t="shared" si="31"/>
        <v>45687</v>
      </c>
      <c r="V1214" s="260">
        <v>45687</v>
      </c>
      <c r="W1214" s="43">
        <f t="shared" si="33"/>
        <v>1</v>
      </c>
      <c r="X1214" s="183" t="s">
        <v>1566</v>
      </c>
      <c r="Y1214" s="183" t="s">
        <v>25</v>
      </c>
      <c r="Z1214" s="183"/>
      <c r="AA1214" s="183"/>
      <c r="AB1214" s="183"/>
    </row>
    <row r="1215" spans="1:28" hidden="1">
      <c r="A1215" s="248" t="s">
        <v>1174</v>
      </c>
      <c r="B1215" s="249">
        <v>45687</v>
      </c>
      <c r="C1215" s="248" t="s">
        <v>1623</v>
      </c>
      <c r="D1215" s="248" t="s">
        <v>281</v>
      </c>
      <c r="E1215" s="248" t="s">
        <v>289</v>
      </c>
      <c r="F1215" s="266"/>
      <c r="G1215" s="165">
        <f t="shared" si="29"/>
        <v>24927.871000000006</v>
      </c>
      <c r="H1215" s="248"/>
      <c r="I1215" s="248" t="s">
        <v>1176</v>
      </c>
      <c r="J1215" s="248" t="s">
        <v>1617</v>
      </c>
      <c r="K1215" s="248"/>
      <c r="L1215" s="248" t="s">
        <v>305</v>
      </c>
      <c r="M1215" s="248"/>
      <c r="N1215" s="248" t="s">
        <v>1178</v>
      </c>
      <c r="O1215" s="248" t="s">
        <v>1617</v>
      </c>
      <c r="P1215" s="248" t="s">
        <v>1618</v>
      </c>
      <c r="Q1215" s="248"/>
      <c r="R1215" s="248" t="s">
        <v>1619</v>
      </c>
      <c r="S1215" s="248" t="s">
        <v>1620</v>
      </c>
      <c r="T1215" s="251">
        <f t="shared" si="32"/>
        <v>1</v>
      </c>
      <c r="U1215" s="252">
        <f t="shared" si="31"/>
        <v>45687</v>
      </c>
      <c r="V1215" s="251"/>
      <c r="W1215" s="43">
        <f t="shared" si="33"/>
        <v>1</v>
      </c>
      <c r="X1215" s="49" t="s">
        <v>1484</v>
      </c>
      <c r="Y1215" s="49" t="s">
        <v>78</v>
      </c>
      <c r="Z1215" s="251"/>
      <c r="AA1215" s="251"/>
      <c r="AB1215" s="251"/>
    </row>
    <row r="1216" spans="1:28" hidden="1">
      <c r="A1216" s="163" t="s">
        <v>1174</v>
      </c>
      <c r="B1216" s="164">
        <v>45677</v>
      </c>
      <c r="C1216" s="163" t="s">
        <v>1624</v>
      </c>
      <c r="D1216" s="163" t="s">
        <v>281</v>
      </c>
      <c r="E1216" s="163" t="s">
        <v>407</v>
      </c>
      <c r="F1216" s="165"/>
      <c r="G1216" s="165">
        <f t="shared" si="29"/>
        <v>24927.871000000006</v>
      </c>
      <c r="H1216" s="163"/>
      <c r="I1216" s="163" t="s">
        <v>1176</v>
      </c>
      <c r="J1216" s="163" t="s">
        <v>1625</v>
      </c>
      <c r="K1216" s="163"/>
      <c r="L1216" s="163" t="s">
        <v>305</v>
      </c>
      <c r="M1216" s="163"/>
      <c r="N1216" s="163" t="s">
        <v>1178</v>
      </c>
      <c r="O1216" s="163" t="s">
        <v>1625</v>
      </c>
      <c r="P1216" s="163" t="s">
        <v>351</v>
      </c>
      <c r="Q1216" s="163"/>
      <c r="R1216" s="163" t="s">
        <v>1626</v>
      </c>
      <c r="S1216" s="163" t="s">
        <v>1627</v>
      </c>
      <c r="T1216" s="43">
        <f t="shared" si="32"/>
        <v>1</v>
      </c>
      <c r="U1216" s="167">
        <f t="shared" si="31"/>
        <v>45687</v>
      </c>
      <c r="V1216" s="260">
        <v>45687</v>
      </c>
      <c r="W1216" s="43">
        <f t="shared" si="33"/>
        <v>1</v>
      </c>
      <c r="X1216" s="43" t="s">
        <v>1484</v>
      </c>
      <c r="Y1216" s="43" t="s">
        <v>1485</v>
      </c>
    </row>
    <row r="1217" spans="1:28" hidden="1">
      <c r="A1217" s="163" t="s">
        <v>1017</v>
      </c>
      <c r="B1217" s="164">
        <v>45687</v>
      </c>
      <c r="C1217" s="163" t="s">
        <v>1628</v>
      </c>
      <c r="D1217" s="163" t="s">
        <v>281</v>
      </c>
      <c r="E1217" s="163" t="s">
        <v>1628</v>
      </c>
      <c r="F1217" s="168"/>
      <c r="G1217" s="165">
        <f t="shared" si="29"/>
        <v>24927.871000000006</v>
      </c>
      <c r="H1217" s="163"/>
      <c r="I1217" s="163" t="s">
        <v>342</v>
      </c>
      <c r="J1217" s="163"/>
      <c r="K1217" s="163"/>
      <c r="L1217" s="163" t="s">
        <v>1629</v>
      </c>
      <c r="M1217" s="163"/>
      <c r="N1217" s="163" t="s">
        <v>978</v>
      </c>
      <c r="O1217" s="163"/>
      <c r="P1217" s="163"/>
      <c r="Q1217" s="163"/>
      <c r="R1217" s="163" t="s">
        <v>1628</v>
      </c>
      <c r="S1217" s="163"/>
      <c r="T1217" s="43">
        <f t="shared" si="32"/>
        <v>1</v>
      </c>
      <c r="U1217" s="167">
        <f t="shared" si="31"/>
        <v>45687</v>
      </c>
      <c r="W1217" s="43">
        <f t="shared" si="33"/>
        <v>1</v>
      </c>
      <c r="X1217" s="49" t="s">
        <v>12</v>
      </c>
      <c r="Y1217" s="49" t="s">
        <v>1443</v>
      </c>
    </row>
    <row r="1218" spans="1:28" hidden="1">
      <c r="A1218" s="163" t="s">
        <v>1017</v>
      </c>
      <c r="B1218" s="164">
        <v>45687</v>
      </c>
      <c r="C1218" s="163" t="s">
        <v>1630</v>
      </c>
      <c r="D1218" s="163" t="s">
        <v>281</v>
      </c>
      <c r="E1218" s="163" t="s">
        <v>1631</v>
      </c>
      <c r="F1218" s="168"/>
      <c r="G1218" s="165">
        <f t="shared" si="29"/>
        <v>24927.871000000006</v>
      </c>
      <c r="H1218" s="163"/>
      <c r="I1218" s="163" t="s">
        <v>994</v>
      </c>
      <c r="J1218" s="163"/>
      <c r="K1218" s="163"/>
      <c r="L1218" s="163" t="s">
        <v>1629</v>
      </c>
      <c r="M1218" s="163"/>
      <c r="N1218" s="163" t="s">
        <v>978</v>
      </c>
      <c r="O1218" s="163"/>
      <c r="P1218" s="163"/>
      <c r="Q1218" s="163"/>
      <c r="R1218" s="163" t="s">
        <v>1630</v>
      </c>
      <c r="S1218" s="163"/>
      <c r="T1218" s="43">
        <f t="shared" si="32"/>
        <v>1</v>
      </c>
      <c r="U1218" s="167">
        <f t="shared" si="31"/>
        <v>45687</v>
      </c>
      <c r="W1218" s="43">
        <f t="shared" si="33"/>
        <v>1</v>
      </c>
      <c r="X1218" s="49" t="s">
        <v>12</v>
      </c>
      <c r="Y1218" s="49" t="s">
        <v>1443</v>
      </c>
    </row>
    <row r="1219" spans="1:28" ht="14.25" hidden="1" customHeight="1">
      <c r="A1219" s="180" t="s">
        <v>1017</v>
      </c>
      <c r="B1219" s="181">
        <v>45659</v>
      </c>
      <c r="C1219" s="180" t="s">
        <v>1562</v>
      </c>
      <c r="D1219" s="180" t="s">
        <v>281</v>
      </c>
      <c r="E1219" s="180" t="s">
        <v>1563</v>
      </c>
      <c r="F1219" s="226">
        <f>-56.56-196.54-123.69</f>
        <v>-376.78999999999996</v>
      </c>
      <c r="G1219" s="165">
        <f t="shared" si="29"/>
        <v>24551.081000000006</v>
      </c>
      <c r="H1219" s="180"/>
      <c r="I1219" s="180" t="s">
        <v>342</v>
      </c>
      <c r="J1219" s="180"/>
      <c r="K1219" s="180"/>
      <c r="L1219" s="180" t="s">
        <v>1301</v>
      </c>
      <c r="M1219" s="180"/>
      <c r="N1219" s="180" t="s">
        <v>978</v>
      </c>
      <c r="O1219" s="180"/>
      <c r="P1219" s="180"/>
      <c r="Q1219" s="180"/>
      <c r="R1219" s="180" t="s">
        <v>1463</v>
      </c>
      <c r="S1219" s="180" t="s">
        <v>345</v>
      </c>
      <c r="T1219" s="183">
        <f>MONTH(U1219)</f>
        <v>1</v>
      </c>
      <c r="U1219" s="187">
        <f t="shared" si="31"/>
        <v>45687</v>
      </c>
      <c r="V1219" s="260">
        <v>45687</v>
      </c>
      <c r="W1219" s="43">
        <f t="shared" si="33"/>
        <v>1</v>
      </c>
      <c r="X1219" s="183" t="s">
        <v>1381</v>
      </c>
      <c r="Y1219" s="183" t="s">
        <v>1336</v>
      </c>
      <c r="Z1219" s="183"/>
      <c r="AA1219" s="183"/>
      <c r="AB1219" s="183"/>
    </row>
    <row r="1220" spans="1:28" hidden="1">
      <c r="A1220" s="163" t="s">
        <v>1017</v>
      </c>
      <c r="B1220" s="164">
        <v>45687</v>
      </c>
      <c r="C1220" s="163" t="s">
        <v>769</v>
      </c>
      <c r="D1220" s="163" t="s">
        <v>281</v>
      </c>
      <c r="E1220" s="163" t="s">
        <v>993</v>
      </c>
      <c r="F1220" s="226">
        <v>-11253.38</v>
      </c>
      <c r="G1220" s="165">
        <f t="shared" si="29"/>
        <v>13297.701000000006</v>
      </c>
      <c r="H1220" s="163"/>
      <c r="I1220" s="163" t="s">
        <v>283</v>
      </c>
      <c r="J1220" s="163"/>
      <c r="K1220" s="163"/>
      <c r="L1220" s="163" t="s">
        <v>302</v>
      </c>
      <c r="M1220" s="163"/>
      <c r="N1220" s="163" t="s">
        <v>978</v>
      </c>
      <c r="O1220" s="163"/>
      <c r="P1220" s="163"/>
      <c r="Q1220" s="163"/>
      <c r="R1220" s="163" t="s">
        <v>771</v>
      </c>
      <c r="S1220" s="163" t="s">
        <v>772</v>
      </c>
      <c r="T1220" s="43">
        <f t="shared" ref="T1220:T1386" si="34">MONTH(B1220)</f>
        <v>1</v>
      </c>
      <c r="U1220" s="167">
        <f t="shared" si="31"/>
        <v>45687</v>
      </c>
      <c r="W1220" s="43">
        <f t="shared" si="33"/>
        <v>1</v>
      </c>
      <c r="X1220" s="49" t="s">
        <v>1559</v>
      </c>
      <c r="Y1220" s="49" t="s">
        <v>78</v>
      </c>
    </row>
    <row r="1221" spans="1:28" hidden="1">
      <c r="A1221" s="163" t="s">
        <v>1017</v>
      </c>
      <c r="B1221" s="164">
        <v>45687</v>
      </c>
      <c r="C1221" s="163" t="s">
        <v>1632</v>
      </c>
      <c r="D1221" s="163" t="s">
        <v>281</v>
      </c>
      <c r="E1221" s="163" t="s">
        <v>993</v>
      </c>
      <c r="F1221" s="226">
        <v>-2478.06</v>
      </c>
      <c r="G1221" s="165">
        <f t="shared" si="29"/>
        <v>10819.641000000007</v>
      </c>
      <c r="H1221" s="163"/>
      <c r="I1221" s="163" t="s">
        <v>342</v>
      </c>
      <c r="J1221" s="163"/>
      <c r="K1221" s="163"/>
      <c r="L1221" s="163" t="s">
        <v>302</v>
      </c>
      <c r="M1221" s="163"/>
      <c r="N1221" s="163" t="s">
        <v>978</v>
      </c>
      <c r="O1221" s="163"/>
      <c r="P1221" s="163"/>
      <c r="Q1221" s="163"/>
      <c r="R1221" s="163" t="s">
        <v>1633</v>
      </c>
      <c r="S1221" s="163" t="s">
        <v>1634</v>
      </c>
      <c r="T1221" s="43">
        <f t="shared" si="34"/>
        <v>1</v>
      </c>
      <c r="U1221" s="167">
        <f t="shared" si="31"/>
        <v>45687</v>
      </c>
      <c r="W1221" s="43">
        <f t="shared" si="33"/>
        <v>1</v>
      </c>
      <c r="X1221" s="49" t="s">
        <v>1559</v>
      </c>
      <c r="Y1221" s="49" t="s">
        <v>78</v>
      </c>
    </row>
    <row r="1222" spans="1:28" ht="14.25" hidden="1" customHeight="1">
      <c r="A1222" s="180" t="s">
        <v>1017</v>
      </c>
      <c r="B1222" s="181">
        <v>45684</v>
      </c>
      <c r="C1222" s="163" t="s">
        <v>1635</v>
      </c>
      <c r="D1222" s="180" t="s">
        <v>281</v>
      </c>
      <c r="E1222" s="180" t="s">
        <v>193</v>
      </c>
      <c r="F1222" s="226">
        <v>-9800</v>
      </c>
      <c r="G1222" s="165">
        <f t="shared" si="29"/>
        <v>1019.6410000000069</v>
      </c>
      <c r="H1222" s="180"/>
      <c r="I1222" s="180" t="s">
        <v>283</v>
      </c>
      <c r="J1222" s="180"/>
      <c r="K1222" s="180"/>
      <c r="L1222" s="180" t="s">
        <v>305</v>
      </c>
      <c r="M1222" s="180"/>
      <c r="N1222" s="180" t="s">
        <v>978</v>
      </c>
      <c r="O1222" s="180"/>
      <c r="P1222" s="180"/>
      <c r="Q1222" s="180" t="s">
        <v>1067</v>
      </c>
      <c r="R1222" s="180" t="s">
        <v>1087</v>
      </c>
      <c r="S1222" s="180" t="s">
        <v>1089</v>
      </c>
      <c r="T1222" s="189">
        <f t="shared" si="34"/>
        <v>1</v>
      </c>
      <c r="U1222" s="211">
        <f t="shared" si="31"/>
        <v>45687</v>
      </c>
      <c r="V1222" s="260">
        <v>45687</v>
      </c>
      <c r="W1222" s="43">
        <f t="shared" si="33"/>
        <v>1</v>
      </c>
      <c r="X1222" s="43" t="s">
        <v>1552</v>
      </c>
      <c r="Y1222" s="43" t="s">
        <v>86</v>
      </c>
      <c r="Z1222" s="183" t="s">
        <v>1113</v>
      </c>
      <c r="AA1222" s="183" t="s">
        <v>1336</v>
      </c>
      <c r="AB1222" s="183"/>
    </row>
    <row r="1223" spans="1:28" ht="14.25" hidden="1" customHeight="1">
      <c r="A1223" s="163" t="s">
        <v>1017</v>
      </c>
      <c r="B1223" s="164">
        <v>45687</v>
      </c>
      <c r="C1223" s="163"/>
      <c r="D1223" s="163" t="s">
        <v>281</v>
      </c>
      <c r="E1223" s="163" t="s">
        <v>1077</v>
      </c>
      <c r="F1223" s="185">
        <f>-4.5-1.99*3</f>
        <v>-10.469999999999999</v>
      </c>
      <c r="G1223" s="165">
        <f t="shared" si="29"/>
        <v>1009.1710000000069</v>
      </c>
      <c r="H1223" s="163"/>
      <c r="I1223" s="163" t="s">
        <v>342</v>
      </c>
      <c r="J1223" s="163"/>
      <c r="K1223" s="163"/>
      <c r="L1223" s="163" t="s">
        <v>1030</v>
      </c>
      <c r="M1223" s="163"/>
      <c r="N1223" s="163" t="s">
        <v>978</v>
      </c>
      <c r="O1223" s="163"/>
      <c r="P1223" s="163"/>
      <c r="Q1223" s="163"/>
      <c r="R1223" s="163"/>
      <c r="S1223" s="163" t="s">
        <v>1076</v>
      </c>
      <c r="T1223" s="94">
        <f t="shared" si="34"/>
        <v>1</v>
      </c>
      <c r="U1223" s="212">
        <f t="shared" si="31"/>
        <v>45687</v>
      </c>
      <c r="V1223" s="43"/>
      <c r="W1223" s="43">
        <f t="shared" si="33"/>
        <v>1</v>
      </c>
      <c r="X1223" s="43" t="s">
        <v>1483</v>
      </c>
      <c r="Y1223" s="43" t="s">
        <v>1443</v>
      </c>
      <c r="Z1223" s="43" t="s">
        <v>1113</v>
      </c>
      <c r="AA1223" s="43" t="s">
        <v>1113</v>
      </c>
      <c r="AB1223" s="43"/>
    </row>
    <row r="1224" spans="1:28" hidden="1">
      <c r="A1224" s="163"/>
      <c r="B1224" s="164">
        <v>45687</v>
      </c>
      <c r="C1224" s="163" t="s">
        <v>346</v>
      </c>
      <c r="D1224" s="163"/>
      <c r="E1224" s="163"/>
      <c r="F1224" s="165">
        <v>0</v>
      </c>
      <c r="G1224" s="165">
        <f t="shared" si="29"/>
        <v>1009.1710000000069</v>
      </c>
      <c r="H1224" s="163"/>
      <c r="I1224" s="163"/>
      <c r="J1224" s="163"/>
      <c r="K1224" s="163"/>
      <c r="L1224" s="163"/>
      <c r="M1224" s="163"/>
      <c r="N1224" s="163"/>
      <c r="O1224" s="163"/>
      <c r="P1224" s="163"/>
      <c r="Q1224" s="163"/>
      <c r="R1224" s="163"/>
      <c r="S1224" s="163"/>
      <c r="T1224" s="43">
        <f t="shared" si="34"/>
        <v>1</v>
      </c>
      <c r="U1224" s="167">
        <f t="shared" si="31"/>
        <v>45687</v>
      </c>
      <c r="W1224" s="43">
        <f t="shared" si="33"/>
        <v>1</v>
      </c>
    </row>
    <row r="1225" spans="1:28" hidden="1">
      <c r="A1225" s="163" t="s">
        <v>1017</v>
      </c>
      <c r="B1225" s="164">
        <v>45688</v>
      </c>
      <c r="C1225" s="163" t="s">
        <v>1628</v>
      </c>
      <c r="D1225" s="163" t="s">
        <v>281</v>
      </c>
      <c r="E1225" s="163" t="s">
        <v>1628</v>
      </c>
      <c r="F1225" s="204"/>
      <c r="G1225" s="165">
        <f t="shared" si="29"/>
        <v>1009.1710000000069</v>
      </c>
      <c r="H1225" s="163"/>
      <c r="I1225" s="163" t="s">
        <v>342</v>
      </c>
      <c r="J1225" s="163"/>
      <c r="K1225" s="163"/>
      <c r="L1225" s="163" t="s">
        <v>387</v>
      </c>
      <c r="M1225" s="163"/>
      <c r="N1225" s="163" t="s">
        <v>978</v>
      </c>
      <c r="O1225" s="163"/>
      <c r="P1225" s="163"/>
      <c r="Q1225" s="163"/>
      <c r="R1225" s="163" t="s">
        <v>1628</v>
      </c>
      <c r="S1225" s="163"/>
      <c r="T1225" s="43">
        <f t="shared" si="34"/>
        <v>1</v>
      </c>
      <c r="U1225" s="167">
        <f t="shared" si="31"/>
        <v>45688</v>
      </c>
      <c r="W1225" s="43">
        <f t="shared" si="33"/>
        <v>1</v>
      </c>
      <c r="X1225" s="49" t="s">
        <v>12</v>
      </c>
      <c r="Y1225" s="49" t="s">
        <v>1443</v>
      </c>
    </row>
    <row r="1226" spans="1:28" hidden="1">
      <c r="A1226" s="163" t="s">
        <v>1017</v>
      </c>
      <c r="B1226" s="164">
        <v>45688</v>
      </c>
      <c r="C1226" s="163" t="s">
        <v>1628</v>
      </c>
      <c r="D1226" s="163" t="s">
        <v>281</v>
      </c>
      <c r="E1226" s="163" t="s">
        <v>1628</v>
      </c>
      <c r="F1226" s="204"/>
      <c r="G1226" s="165">
        <f t="shared" si="29"/>
        <v>1009.1710000000069</v>
      </c>
      <c r="H1226" s="163"/>
      <c r="I1226" s="163" t="s">
        <v>342</v>
      </c>
      <c r="J1226" s="163"/>
      <c r="K1226" s="163"/>
      <c r="L1226" s="163" t="s">
        <v>1510</v>
      </c>
      <c r="M1226" s="163"/>
      <c r="N1226" s="163" t="s">
        <v>978</v>
      </c>
      <c r="O1226" s="163"/>
      <c r="P1226" s="163"/>
      <c r="Q1226" s="163"/>
      <c r="R1226" s="163" t="s">
        <v>1628</v>
      </c>
      <c r="S1226" s="163"/>
      <c r="T1226" s="43">
        <f t="shared" si="34"/>
        <v>1</v>
      </c>
      <c r="U1226" s="167">
        <f t="shared" si="31"/>
        <v>45688</v>
      </c>
      <c r="W1226" s="43">
        <f t="shared" si="33"/>
        <v>1</v>
      </c>
      <c r="X1226" s="49" t="s">
        <v>12</v>
      </c>
      <c r="Y1226" s="49" t="s">
        <v>1443</v>
      </c>
    </row>
    <row r="1227" spans="1:28" hidden="1">
      <c r="A1227" s="163" t="s">
        <v>1017</v>
      </c>
      <c r="B1227" s="164">
        <v>45688</v>
      </c>
      <c r="C1227" s="163" t="s">
        <v>1628</v>
      </c>
      <c r="D1227" s="163" t="s">
        <v>281</v>
      </c>
      <c r="E1227" s="163" t="s">
        <v>1628</v>
      </c>
      <c r="F1227" s="204"/>
      <c r="G1227" s="165">
        <f t="shared" si="29"/>
        <v>1009.1710000000069</v>
      </c>
      <c r="H1227" s="163"/>
      <c r="I1227" s="163" t="s">
        <v>342</v>
      </c>
      <c r="J1227" s="163"/>
      <c r="K1227" s="163"/>
      <c r="L1227" s="163" t="s">
        <v>473</v>
      </c>
      <c r="M1227" s="163"/>
      <c r="N1227" s="163" t="s">
        <v>978</v>
      </c>
      <c r="O1227" s="163"/>
      <c r="P1227" s="163"/>
      <c r="Q1227" s="163"/>
      <c r="R1227" s="163" t="s">
        <v>1628</v>
      </c>
      <c r="S1227" s="163"/>
      <c r="T1227" s="43">
        <f t="shared" si="34"/>
        <v>1</v>
      </c>
      <c r="U1227" s="167">
        <f t="shared" si="31"/>
        <v>45688</v>
      </c>
      <c r="W1227" s="43">
        <f t="shared" si="33"/>
        <v>1</v>
      </c>
      <c r="X1227" s="49" t="s">
        <v>12</v>
      </c>
      <c r="Y1227" s="49" t="s">
        <v>1443</v>
      </c>
    </row>
    <row r="1228" spans="1:28" hidden="1">
      <c r="A1228" s="163" t="s">
        <v>1017</v>
      </c>
      <c r="B1228" s="164">
        <v>45688</v>
      </c>
      <c r="C1228" s="163" t="s">
        <v>23</v>
      </c>
      <c r="D1228" s="163" t="s">
        <v>281</v>
      </c>
      <c r="E1228" s="163" t="s">
        <v>23</v>
      </c>
      <c r="F1228" s="204"/>
      <c r="G1228" s="165">
        <f t="shared" si="29"/>
        <v>1009.1710000000069</v>
      </c>
      <c r="H1228" s="163"/>
      <c r="I1228" s="163" t="s">
        <v>342</v>
      </c>
      <c r="J1228" s="163"/>
      <c r="K1228" s="163"/>
      <c r="L1228" s="163" t="s">
        <v>508</v>
      </c>
      <c r="M1228" s="163"/>
      <c r="N1228" s="163" t="s">
        <v>978</v>
      </c>
      <c r="O1228" s="163"/>
      <c r="P1228" s="163"/>
      <c r="Q1228" s="163"/>
      <c r="R1228" s="163" t="s">
        <v>1524</v>
      </c>
      <c r="S1228" s="163" t="s">
        <v>1525</v>
      </c>
      <c r="T1228" s="43">
        <f t="shared" si="34"/>
        <v>1</v>
      </c>
      <c r="U1228" s="167">
        <f t="shared" si="31"/>
        <v>45688</v>
      </c>
      <c r="W1228" s="43">
        <f t="shared" si="33"/>
        <v>1</v>
      </c>
      <c r="X1228" s="49" t="s">
        <v>12</v>
      </c>
      <c r="Y1228" s="49" t="s">
        <v>1443</v>
      </c>
    </row>
    <row r="1229" spans="1:28" hidden="1">
      <c r="A1229" s="163" t="s">
        <v>1017</v>
      </c>
      <c r="B1229" s="164">
        <v>45688</v>
      </c>
      <c r="C1229" s="163" t="s">
        <v>23</v>
      </c>
      <c r="D1229" s="163" t="s">
        <v>281</v>
      </c>
      <c r="E1229" s="163" t="s">
        <v>23</v>
      </c>
      <c r="F1229" s="204"/>
      <c r="G1229" s="165">
        <f t="shared" si="29"/>
        <v>1009.1710000000069</v>
      </c>
      <c r="H1229" s="163"/>
      <c r="I1229" s="163" t="s">
        <v>342</v>
      </c>
      <c r="J1229" s="163"/>
      <c r="K1229" s="163"/>
      <c r="L1229" s="163" t="s">
        <v>485</v>
      </c>
      <c r="M1229" s="163"/>
      <c r="N1229" s="163" t="s">
        <v>978</v>
      </c>
      <c r="O1229" s="163"/>
      <c r="P1229" s="163"/>
      <c r="Q1229" s="163"/>
      <c r="R1229" s="163" t="s">
        <v>1524</v>
      </c>
      <c r="S1229" s="163" t="s">
        <v>1525</v>
      </c>
      <c r="T1229" s="43">
        <f t="shared" si="34"/>
        <v>1</v>
      </c>
      <c r="U1229" s="167">
        <f t="shared" si="31"/>
        <v>45688</v>
      </c>
      <c r="W1229" s="43">
        <f t="shared" si="33"/>
        <v>1</v>
      </c>
      <c r="X1229" s="49" t="s">
        <v>12</v>
      </c>
      <c r="Y1229" s="49" t="s">
        <v>1443</v>
      </c>
    </row>
    <row r="1230" spans="1:28" hidden="1">
      <c r="A1230" s="163" t="s">
        <v>1017</v>
      </c>
      <c r="B1230" s="164">
        <v>45688</v>
      </c>
      <c r="C1230" s="163" t="s">
        <v>23</v>
      </c>
      <c r="D1230" s="163" t="s">
        <v>281</v>
      </c>
      <c r="E1230" s="163" t="s">
        <v>23</v>
      </c>
      <c r="F1230" s="204"/>
      <c r="G1230" s="165">
        <f t="shared" si="29"/>
        <v>1009.1710000000069</v>
      </c>
      <c r="H1230" s="163"/>
      <c r="I1230" s="163" t="s">
        <v>342</v>
      </c>
      <c r="J1230" s="163"/>
      <c r="K1230" s="163"/>
      <c r="L1230" s="163" t="s">
        <v>477</v>
      </c>
      <c r="M1230" s="163"/>
      <c r="N1230" s="163" t="s">
        <v>978</v>
      </c>
      <c r="O1230" s="163"/>
      <c r="P1230" s="163"/>
      <c r="Q1230" s="163"/>
      <c r="R1230" s="163" t="s">
        <v>1524</v>
      </c>
      <c r="S1230" s="163" t="s">
        <v>1525</v>
      </c>
      <c r="T1230" s="43">
        <f t="shared" si="34"/>
        <v>1</v>
      </c>
      <c r="U1230" s="167">
        <f t="shared" si="31"/>
        <v>45688</v>
      </c>
      <c r="W1230" s="43">
        <f t="shared" si="33"/>
        <v>1</v>
      </c>
      <c r="X1230" s="49" t="s">
        <v>12</v>
      </c>
      <c r="Y1230" s="49" t="s">
        <v>1443</v>
      </c>
    </row>
    <row r="1231" spans="1:28" hidden="1">
      <c r="A1231" s="163" t="s">
        <v>1017</v>
      </c>
      <c r="B1231" s="164">
        <v>45688</v>
      </c>
      <c r="C1231" s="163" t="s">
        <v>23</v>
      </c>
      <c r="D1231" s="163" t="s">
        <v>281</v>
      </c>
      <c r="E1231" s="163" t="s">
        <v>23</v>
      </c>
      <c r="F1231" s="204"/>
      <c r="G1231" s="165">
        <f t="shared" si="29"/>
        <v>1009.1710000000069</v>
      </c>
      <c r="H1231" s="163"/>
      <c r="I1231" s="163" t="s">
        <v>342</v>
      </c>
      <c r="J1231" s="163"/>
      <c r="K1231" s="163"/>
      <c r="L1231" s="163" t="s">
        <v>766</v>
      </c>
      <c r="M1231" s="163"/>
      <c r="N1231" s="163" t="s">
        <v>978</v>
      </c>
      <c r="O1231" s="163"/>
      <c r="P1231" s="163"/>
      <c r="Q1231" s="163"/>
      <c r="R1231" s="163" t="s">
        <v>1524</v>
      </c>
      <c r="S1231" s="163" t="s">
        <v>1525</v>
      </c>
      <c r="T1231" s="43">
        <f t="shared" si="34"/>
        <v>1</v>
      </c>
      <c r="U1231" s="167">
        <f t="shared" si="31"/>
        <v>45688</v>
      </c>
      <c r="W1231" s="43">
        <f t="shared" si="33"/>
        <v>1</v>
      </c>
      <c r="X1231" s="49" t="s">
        <v>12</v>
      </c>
      <c r="Y1231" s="49" t="s">
        <v>1443</v>
      </c>
    </row>
    <row r="1232" spans="1:28" hidden="1">
      <c r="A1232" s="163" t="s">
        <v>1017</v>
      </c>
      <c r="B1232" s="164">
        <v>45688</v>
      </c>
      <c r="C1232" s="163" t="s">
        <v>23</v>
      </c>
      <c r="D1232" s="163" t="s">
        <v>281</v>
      </c>
      <c r="E1232" s="163" t="s">
        <v>23</v>
      </c>
      <c r="F1232" s="204"/>
      <c r="G1232" s="165">
        <f t="shared" si="29"/>
        <v>1009.1710000000069</v>
      </c>
      <c r="H1232" s="163"/>
      <c r="I1232" s="163" t="s">
        <v>342</v>
      </c>
      <c r="J1232" s="163"/>
      <c r="K1232" s="163"/>
      <c r="L1232" s="163" t="s">
        <v>686</v>
      </c>
      <c r="M1232" s="163"/>
      <c r="N1232" s="163" t="s">
        <v>978</v>
      </c>
      <c r="O1232" s="163"/>
      <c r="P1232" s="163"/>
      <c r="Q1232" s="163"/>
      <c r="R1232" s="163" t="s">
        <v>1524</v>
      </c>
      <c r="S1232" s="163" t="s">
        <v>1525</v>
      </c>
      <c r="T1232" s="43">
        <f t="shared" si="34"/>
        <v>1</v>
      </c>
      <c r="U1232" s="167">
        <f t="shared" si="31"/>
        <v>45688</v>
      </c>
      <c r="W1232" s="43">
        <f t="shared" si="33"/>
        <v>1</v>
      </c>
      <c r="X1232" s="49" t="s">
        <v>12</v>
      </c>
      <c r="Y1232" s="49" t="s">
        <v>1443</v>
      </c>
    </row>
    <row r="1233" spans="1:25" hidden="1">
      <c r="A1233" s="163" t="s">
        <v>1017</v>
      </c>
      <c r="B1233" s="164">
        <v>45688</v>
      </c>
      <c r="C1233" s="163" t="s">
        <v>23</v>
      </c>
      <c r="D1233" s="163" t="s">
        <v>281</v>
      </c>
      <c r="E1233" s="163" t="s">
        <v>23</v>
      </c>
      <c r="F1233" s="204"/>
      <c r="G1233" s="165">
        <f t="shared" si="29"/>
        <v>1009.1710000000069</v>
      </c>
      <c r="H1233" s="163"/>
      <c r="I1233" s="163" t="s">
        <v>342</v>
      </c>
      <c r="J1233" s="163"/>
      <c r="K1233" s="163"/>
      <c r="L1233" s="163" t="s">
        <v>366</v>
      </c>
      <c r="M1233" s="163"/>
      <c r="N1233" s="163" t="s">
        <v>978</v>
      </c>
      <c r="O1233" s="163"/>
      <c r="P1233" s="163"/>
      <c r="Q1233" s="163"/>
      <c r="R1233" s="163" t="s">
        <v>1524</v>
      </c>
      <c r="S1233" s="163" t="s">
        <v>1525</v>
      </c>
      <c r="T1233" s="43">
        <f t="shared" si="34"/>
        <v>1</v>
      </c>
      <c r="U1233" s="167">
        <f t="shared" si="31"/>
        <v>45688</v>
      </c>
      <c r="W1233" s="43">
        <f t="shared" si="33"/>
        <v>1</v>
      </c>
      <c r="X1233" s="49" t="s">
        <v>12</v>
      </c>
      <c r="Y1233" s="49" t="s">
        <v>1443</v>
      </c>
    </row>
    <row r="1234" spans="1:25" hidden="1">
      <c r="A1234" s="163" t="s">
        <v>1017</v>
      </c>
      <c r="B1234" s="164">
        <v>45688</v>
      </c>
      <c r="C1234" s="163" t="s">
        <v>23</v>
      </c>
      <c r="D1234" s="163" t="s">
        <v>281</v>
      </c>
      <c r="E1234" s="163" t="s">
        <v>23</v>
      </c>
      <c r="F1234" s="204"/>
      <c r="G1234" s="165">
        <f t="shared" si="29"/>
        <v>1009.1710000000069</v>
      </c>
      <c r="H1234" s="163"/>
      <c r="I1234" s="163" t="s">
        <v>342</v>
      </c>
      <c r="J1234" s="163"/>
      <c r="K1234" s="163"/>
      <c r="L1234" s="163" t="s">
        <v>1030</v>
      </c>
      <c r="M1234" s="163"/>
      <c r="N1234" s="163" t="s">
        <v>978</v>
      </c>
      <c r="O1234" s="163"/>
      <c r="P1234" s="163"/>
      <c r="Q1234" s="163"/>
      <c r="R1234" s="163" t="s">
        <v>1524</v>
      </c>
      <c r="S1234" s="163" t="s">
        <v>1525</v>
      </c>
      <c r="T1234" s="43">
        <f t="shared" si="34"/>
        <v>1</v>
      </c>
      <c r="U1234" s="167">
        <f t="shared" si="31"/>
        <v>45688</v>
      </c>
      <c r="W1234" s="43">
        <f t="shared" si="33"/>
        <v>1</v>
      </c>
      <c r="X1234" s="49" t="s">
        <v>12</v>
      </c>
      <c r="Y1234" s="49" t="s">
        <v>1443</v>
      </c>
    </row>
    <row r="1235" spans="1:25" hidden="1">
      <c r="A1235" s="163" t="s">
        <v>1017</v>
      </c>
      <c r="B1235" s="164">
        <v>45688</v>
      </c>
      <c r="C1235" s="163" t="s">
        <v>23</v>
      </c>
      <c r="D1235" s="163" t="s">
        <v>281</v>
      </c>
      <c r="E1235" s="163" t="s">
        <v>23</v>
      </c>
      <c r="F1235" s="204"/>
      <c r="G1235" s="165">
        <f t="shared" si="29"/>
        <v>1009.1710000000069</v>
      </c>
      <c r="H1235" s="163"/>
      <c r="I1235" s="163" t="s">
        <v>342</v>
      </c>
      <c r="J1235" s="163"/>
      <c r="K1235" s="163"/>
      <c r="L1235" s="163" t="s">
        <v>1062</v>
      </c>
      <c r="M1235" s="163"/>
      <c r="N1235" s="163" t="s">
        <v>978</v>
      </c>
      <c r="O1235" s="163"/>
      <c r="P1235" s="163"/>
      <c r="Q1235" s="163"/>
      <c r="R1235" s="163" t="s">
        <v>1524</v>
      </c>
      <c r="S1235" s="163" t="s">
        <v>1525</v>
      </c>
      <c r="T1235" s="43">
        <f t="shared" si="34"/>
        <v>1</v>
      </c>
      <c r="U1235" s="167">
        <f t="shared" si="31"/>
        <v>45688</v>
      </c>
      <c r="W1235" s="43">
        <f t="shared" si="33"/>
        <v>1</v>
      </c>
      <c r="X1235" s="49" t="s">
        <v>12</v>
      </c>
      <c r="Y1235" s="49" t="s">
        <v>1443</v>
      </c>
    </row>
    <row r="1236" spans="1:25" hidden="1">
      <c r="A1236" s="163" t="s">
        <v>1017</v>
      </c>
      <c r="B1236" s="164">
        <v>45688</v>
      </c>
      <c r="C1236" s="163" t="s">
        <v>1630</v>
      </c>
      <c r="D1236" s="163" t="s">
        <v>281</v>
      </c>
      <c r="E1236" s="163" t="s">
        <v>1631</v>
      </c>
      <c r="F1236" s="204"/>
      <c r="G1236" s="165">
        <f t="shared" si="29"/>
        <v>1009.1710000000069</v>
      </c>
      <c r="H1236" s="163"/>
      <c r="I1236" s="163" t="s">
        <v>994</v>
      </c>
      <c r="J1236" s="163"/>
      <c r="K1236" s="163"/>
      <c r="L1236" s="163" t="s">
        <v>387</v>
      </c>
      <c r="M1236" s="163"/>
      <c r="N1236" s="163" t="s">
        <v>978</v>
      </c>
      <c r="O1236" s="163"/>
      <c r="P1236" s="163"/>
      <c r="Q1236" s="163"/>
      <c r="R1236" s="163" t="s">
        <v>1630</v>
      </c>
      <c r="S1236" s="163"/>
      <c r="T1236" s="43">
        <f t="shared" si="34"/>
        <v>1</v>
      </c>
      <c r="U1236" s="167">
        <f t="shared" si="31"/>
        <v>45688</v>
      </c>
      <c r="W1236" s="43">
        <f t="shared" si="33"/>
        <v>1</v>
      </c>
    </row>
    <row r="1237" spans="1:25" hidden="1">
      <c r="A1237" s="163" t="s">
        <v>1017</v>
      </c>
      <c r="B1237" s="164">
        <v>45688</v>
      </c>
      <c r="C1237" s="163" t="s">
        <v>1630</v>
      </c>
      <c r="D1237" s="163" t="s">
        <v>281</v>
      </c>
      <c r="E1237" s="163" t="s">
        <v>1631</v>
      </c>
      <c r="F1237" s="204"/>
      <c r="G1237" s="165">
        <f t="shared" si="29"/>
        <v>1009.1710000000069</v>
      </c>
      <c r="H1237" s="163"/>
      <c r="I1237" s="163" t="s">
        <v>994</v>
      </c>
      <c r="J1237" s="163"/>
      <c r="K1237" s="163"/>
      <c r="L1237" s="163" t="s">
        <v>1510</v>
      </c>
      <c r="M1237" s="163"/>
      <c r="N1237" s="163" t="s">
        <v>978</v>
      </c>
      <c r="O1237" s="163"/>
      <c r="P1237" s="163"/>
      <c r="Q1237" s="163"/>
      <c r="R1237" s="163" t="s">
        <v>1630</v>
      </c>
      <c r="S1237" s="163"/>
      <c r="T1237" s="43">
        <f t="shared" si="34"/>
        <v>1</v>
      </c>
      <c r="U1237" s="167">
        <f t="shared" si="31"/>
        <v>45688</v>
      </c>
      <c r="W1237" s="43">
        <f t="shared" si="33"/>
        <v>1</v>
      </c>
    </row>
    <row r="1238" spans="1:25" hidden="1">
      <c r="A1238" s="163" t="s">
        <v>1017</v>
      </c>
      <c r="B1238" s="164">
        <v>45688</v>
      </c>
      <c r="C1238" s="163" t="s">
        <v>1630</v>
      </c>
      <c r="D1238" s="163" t="s">
        <v>281</v>
      </c>
      <c r="E1238" s="163" t="s">
        <v>1631</v>
      </c>
      <c r="F1238" s="204"/>
      <c r="G1238" s="165">
        <f t="shared" si="29"/>
        <v>1009.1710000000069</v>
      </c>
      <c r="H1238" s="163"/>
      <c r="I1238" s="163" t="s">
        <v>994</v>
      </c>
      <c r="J1238" s="163"/>
      <c r="K1238" s="163"/>
      <c r="L1238" s="163" t="s">
        <v>473</v>
      </c>
      <c r="M1238" s="163"/>
      <c r="N1238" s="163" t="s">
        <v>978</v>
      </c>
      <c r="O1238" s="163"/>
      <c r="P1238" s="163"/>
      <c r="Q1238" s="163"/>
      <c r="R1238" s="163" t="s">
        <v>1630</v>
      </c>
      <c r="S1238" s="163"/>
      <c r="T1238" s="43">
        <f t="shared" si="34"/>
        <v>1</v>
      </c>
      <c r="U1238" s="167">
        <f t="shared" si="31"/>
        <v>45688</v>
      </c>
      <c r="W1238" s="43">
        <f t="shared" si="33"/>
        <v>1</v>
      </c>
    </row>
    <row r="1239" spans="1:25" hidden="1">
      <c r="A1239" s="163" t="s">
        <v>1017</v>
      </c>
      <c r="B1239" s="164">
        <v>45688</v>
      </c>
      <c r="C1239" s="163" t="s">
        <v>1425</v>
      </c>
      <c r="D1239" s="163" t="s">
        <v>281</v>
      </c>
      <c r="E1239" s="163" t="s">
        <v>1426</v>
      </c>
      <c r="F1239" s="204"/>
      <c r="G1239" s="165">
        <f t="shared" si="29"/>
        <v>1009.1710000000069</v>
      </c>
      <c r="H1239" s="163"/>
      <c r="I1239" s="163" t="s">
        <v>994</v>
      </c>
      <c r="J1239" s="163"/>
      <c r="K1239" s="163"/>
      <c r="L1239" s="163" t="s">
        <v>508</v>
      </c>
      <c r="M1239" s="163"/>
      <c r="N1239" s="163" t="s">
        <v>978</v>
      </c>
      <c r="O1239" s="163"/>
      <c r="P1239" s="163"/>
      <c r="Q1239" s="163"/>
      <c r="R1239" s="163" t="s">
        <v>1425</v>
      </c>
      <c r="S1239" s="163"/>
      <c r="T1239" s="43">
        <f t="shared" si="34"/>
        <v>1</v>
      </c>
      <c r="U1239" s="167">
        <f t="shared" si="31"/>
        <v>45688</v>
      </c>
      <c r="W1239" s="43">
        <f t="shared" si="33"/>
        <v>1</v>
      </c>
      <c r="X1239" s="43" t="s">
        <v>1427</v>
      </c>
      <c r="Y1239" s="43" t="s">
        <v>1336</v>
      </c>
    </row>
    <row r="1240" spans="1:25" hidden="1">
      <c r="A1240" s="163" t="s">
        <v>1017</v>
      </c>
      <c r="B1240" s="164">
        <v>45688</v>
      </c>
      <c r="C1240" s="163" t="s">
        <v>1425</v>
      </c>
      <c r="D1240" s="163" t="s">
        <v>281</v>
      </c>
      <c r="E1240" s="163" t="s">
        <v>1426</v>
      </c>
      <c r="F1240" s="204"/>
      <c r="G1240" s="165">
        <f t="shared" si="29"/>
        <v>1009.1710000000069</v>
      </c>
      <c r="H1240" s="163"/>
      <c r="I1240" s="163" t="s">
        <v>994</v>
      </c>
      <c r="J1240" s="163"/>
      <c r="K1240" s="163"/>
      <c r="L1240" s="163" t="s">
        <v>485</v>
      </c>
      <c r="M1240" s="163"/>
      <c r="N1240" s="163" t="s">
        <v>978</v>
      </c>
      <c r="O1240" s="163"/>
      <c r="P1240" s="163"/>
      <c r="Q1240" s="163"/>
      <c r="R1240" s="163" t="s">
        <v>1425</v>
      </c>
      <c r="S1240" s="163"/>
      <c r="T1240" s="43">
        <f t="shared" si="34"/>
        <v>1</v>
      </c>
      <c r="U1240" s="167">
        <f t="shared" si="31"/>
        <v>45688</v>
      </c>
      <c r="W1240" s="43">
        <f t="shared" si="33"/>
        <v>1</v>
      </c>
      <c r="X1240" s="43" t="s">
        <v>1427</v>
      </c>
      <c r="Y1240" s="43" t="s">
        <v>1336</v>
      </c>
    </row>
    <row r="1241" spans="1:25" hidden="1">
      <c r="A1241" s="163" t="s">
        <v>1017</v>
      </c>
      <c r="B1241" s="164">
        <v>45688</v>
      </c>
      <c r="C1241" s="163" t="s">
        <v>1425</v>
      </c>
      <c r="D1241" s="163" t="s">
        <v>281</v>
      </c>
      <c r="E1241" s="163" t="s">
        <v>1426</v>
      </c>
      <c r="F1241" s="204"/>
      <c r="G1241" s="165">
        <f t="shared" si="29"/>
        <v>1009.1710000000069</v>
      </c>
      <c r="H1241" s="163"/>
      <c r="I1241" s="163" t="s">
        <v>994</v>
      </c>
      <c r="J1241" s="163"/>
      <c r="K1241" s="163"/>
      <c r="L1241" s="163" t="s">
        <v>477</v>
      </c>
      <c r="M1241" s="163"/>
      <c r="N1241" s="163" t="s">
        <v>978</v>
      </c>
      <c r="O1241" s="163"/>
      <c r="P1241" s="163"/>
      <c r="Q1241" s="163"/>
      <c r="R1241" s="163" t="s">
        <v>1425</v>
      </c>
      <c r="S1241" s="163"/>
      <c r="T1241" s="43">
        <f t="shared" si="34"/>
        <v>1</v>
      </c>
      <c r="U1241" s="167">
        <f t="shared" si="31"/>
        <v>45688</v>
      </c>
      <c r="W1241" s="43">
        <f t="shared" si="33"/>
        <v>1</v>
      </c>
      <c r="X1241" s="43" t="s">
        <v>1427</v>
      </c>
      <c r="Y1241" s="43" t="s">
        <v>1336</v>
      </c>
    </row>
    <row r="1242" spans="1:25" hidden="1">
      <c r="A1242" s="163" t="s">
        <v>1017</v>
      </c>
      <c r="B1242" s="164">
        <v>45688</v>
      </c>
      <c r="C1242" s="163" t="s">
        <v>1425</v>
      </c>
      <c r="D1242" s="163" t="s">
        <v>281</v>
      </c>
      <c r="E1242" s="163" t="s">
        <v>1426</v>
      </c>
      <c r="F1242" s="204"/>
      <c r="G1242" s="165">
        <f t="shared" si="29"/>
        <v>1009.1710000000069</v>
      </c>
      <c r="H1242" s="163"/>
      <c r="I1242" s="163" t="s">
        <v>994</v>
      </c>
      <c r="J1242" s="163"/>
      <c r="K1242" s="163"/>
      <c r="L1242" s="163" t="s">
        <v>766</v>
      </c>
      <c r="M1242" s="163"/>
      <c r="N1242" s="163" t="s">
        <v>978</v>
      </c>
      <c r="O1242" s="163"/>
      <c r="P1242" s="163"/>
      <c r="Q1242" s="163"/>
      <c r="R1242" s="163" t="s">
        <v>1425</v>
      </c>
      <c r="S1242" s="163"/>
      <c r="T1242" s="43">
        <f t="shared" si="34"/>
        <v>1</v>
      </c>
      <c r="U1242" s="167">
        <f t="shared" si="31"/>
        <v>45688</v>
      </c>
      <c r="W1242" s="43">
        <f t="shared" si="33"/>
        <v>1</v>
      </c>
      <c r="X1242" s="43" t="s">
        <v>1427</v>
      </c>
      <c r="Y1242" s="43" t="s">
        <v>1336</v>
      </c>
    </row>
    <row r="1243" spans="1:25" hidden="1">
      <c r="A1243" s="163" t="s">
        <v>1017</v>
      </c>
      <c r="B1243" s="164">
        <v>45688</v>
      </c>
      <c r="C1243" s="163" t="s">
        <v>1425</v>
      </c>
      <c r="D1243" s="163" t="s">
        <v>281</v>
      </c>
      <c r="E1243" s="163" t="s">
        <v>1426</v>
      </c>
      <c r="F1243" s="204"/>
      <c r="G1243" s="165">
        <f t="shared" si="29"/>
        <v>1009.1710000000069</v>
      </c>
      <c r="H1243" s="163"/>
      <c r="I1243" s="163" t="s">
        <v>994</v>
      </c>
      <c r="J1243" s="163"/>
      <c r="K1243" s="163"/>
      <c r="L1243" s="163" t="s">
        <v>686</v>
      </c>
      <c r="M1243" s="163"/>
      <c r="N1243" s="163" t="s">
        <v>978</v>
      </c>
      <c r="O1243" s="163"/>
      <c r="P1243" s="163"/>
      <c r="Q1243" s="163"/>
      <c r="R1243" s="163" t="s">
        <v>1425</v>
      </c>
      <c r="S1243" s="163"/>
      <c r="T1243" s="43">
        <f t="shared" si="34"/>
        <v>1</v>
      </c>
      <c r="U1243" s="167">
        <f t="shared" si="31"/>
        <v>45688</v>
      </c>
      <c r="W1243" s="43">
        <f t="shared" si="33"/>
        <v>1</v>
      </c>
      <c r="X1243" s="43" t="s">
        <v>1427</v>
      </c>
      <c r="Y1243" s="43" t="s">
        <v>1336</v>
      </c>
    </row>
    <row r="1244" spans="1:25" hidden="1">
      <c r="A1244" s="163" t="s">
        <v>1017</v>
      </c>
      <c r="B1244" s="164">
        <v>45688</v>
      </c>
      <c r="C1244" s="163" t="s">
        <v>1425</v>
      </c>
      <c r="D1244" s="163" t="s">
        <v>281</v>
      </c>
      <c r="E1244" s="163" t="s">
        <v>1426</v>
      </c>
      <c r="F1244" s="204"/>
      <c r="G1244" s="165">
        <f t="shared" si="29"/>
        <v>1009.1710000000069</v>
      </c>
      <c r="H1244" s="163"/>
      <c r="I1244" s="163" t="s">
        <v>994</v>
      </c>
      <c r="J1244" s="163"/>
      <c r="K1244" s="163"/>
      <c r="L1244" s="163" t="s">
        <v>366</v>
      </c>
      <c r="M1244" s="163"/>
      <c r="N1244" s="163" t="s">
        <v>978</v>
      </c>
      <c r="O1244" s="163"/>
      <c r="P1244" s="163"/>
      <c r="Q1244" s="163"/>
      <c r="R1244" s="163" t="s">
        <v>1425</v>
      </c>
      <c r="S1244" s="163"/>
      <c r="T1244" s="43">
        <f t="shared" si="34"/>
        <v>1</v>
      </c>
      <c r="U1244" s="167">
        <f t="shared" si="31"/>
        <v>45688</v>
      </c>
      <c r="W1244" s="43">
        <f t="shared" si="33"/>
        <v>1</v>
      </c>
      <c r="X1244" s="43" t="s">
        <v>1427</v>
      </c>
      <c r="Y1244" s="43" t="s">
        <v>1336</v>
      </c>
    </row>
    <row r="1245" spans="1:25" hidden="1">
      <c r="A1245" s="163" t="s">
        <v>1017</v>
      </c>
      <c r="B1245" s="164">
        <v>45688</v>
      </c>
      <c r="C1245" s="163" t="s">
        <v>1425</v>
      </c>
      <c r="D1245" s="163" t="s">
        <v>281</v>
      </c>
      <c r="E1245" s="163" t="s">
        <v>1426</v>
      </c>
      <c r="F1245" s="204"/>
      <c r="G1245" s="165">
        <f t="shared" si="29"/>
        <v>1009.1710000000069</v>
      </c>
      <c r="H1245" s="163"/>
      <c r="I1245" s="163" t="s">
        <v>994</v>
      </c>
      <c r="J1245" s="163"/>
      <c r="K1245" s="163"/>
      <c r="L1245" s="163" t="s">
        <v>1030</v>
      </c>
      <c r="M1245" s="163"/>
      <c r="N1245" s="163" t="s">
        <v>978</v>
      </c>
      <c r="O1245" s="163"/>
      <c r="P1245" s="163"/>
      <c r="Q1245" s="163"/>
      <c r="R1245" s="163" t="s">
        <v>1425</v>
      </c>
      <c r="S1245" s="163"/>
      <c r="T1245" s="43">
        <f t="shared" si="34"/>
        <v>1</v>
      </c>
      <c r="U1245" s="167">
        <f t="shared" si="31"/>
        <v>45688</v>
      </c>
      <c r="W1245" s="43">
        <f t="shared" si="33"/>
        <v>1</v>
      </c>
      <c r="X1245" s="43" t="s">
        <v>1427</v>
      </c>
      <c r="Y1245" s="43" t="s">
        <v>1336</v>
      </c>
    </row>
    <row r="1246" spans="1:25" hidden="1">
      <c r="A1246" s="163" t="s">
        <v>1017</v>
      </c>
      <c r="B1246" s="164">
        <v>45688</v>
      </c>
      <c r="C1246" s="163" t="s">
        <v>1442</v>
      </c>
      <c r="D1246" s="163" t="s">
        <v>281</v>
      </c>
      <c r="E1246" s="163" t="s">
        <v>1442</v>
      </c>
      <c r="F1246" s="204"/>
      <c r="G1246" s="165">
        <f t="shared" si="29"/>
        <v>1009.1710000000069</v>
      </c>
      <c r="H1246" s="163"/>
      <c r="I1246" s="163" t="s">
        <v>994</v>
      </c>
      <c r="J1246" s="163"/>
      <c r="K1246" s="163"/>
      <c r="L1246" s="163" t="s">
        <v>508</v>
      </c>
      <c r="M1246" s="163"/>
      <c r="N1246" s="163" t="s">
        <v>978</v>
      </c>
      <c r="O1246" s="163"/>
      <c r="P1246" s="163"/>
      <c r="Q1246" s="163"/>
      <c r="R1246" s="163" t="s">
        <v>1442</v>
      </c>
      <c r="S1246" s="163"/>
      <c r="T1246" s="43">
        <f t="shared" si="34"/>
        <v>1</v>
      </c>
      <c r="U1246" s="167">
        <f t="shared" si="31"/>
        <v>45688</v>
      </c>
      <c r="W1246" s="43">
        <f t="shared" si="33"/>
        <v>1</v>
      </c>
      <c r="X1246" s="43" t="s">
        <v>12</v>
      </c>
      <c r="Y1246" s="43" t="s">
        <v>1443</v>
      </c>
    </row>
    <row r="1247" spans="1:25" hidden="1">
      <c r="A1247" s="163" t="s">
        <v>1017</v>
      </c>
      <c r="B1247" s="164">
        <v>45688</v>
      </c>
      <c r="C1247" s="163" t="s">
        <v>1442</v>
      </c>
      <c r="D1247" s="163" t="s">
        <v>281</v>
      </c>
      <c r="E1247" s="163" t="s">
        <v>1442</v>
      </c>
      <c r="F1247" s="204"/>
      <c r="G1247" s="165">
        <f t="shared" si="29"/>
        <v>1009.1710000000069</v>
      </c>
      <c r="H1247" s="163"/>
      <c r="I1247" s="163" t="s">
        <v>994</v>
      </c>
      <c r="J1247" s="163"/>
      <c r="K1247" s="163"/>
      <c r="L1247" s="163" t="s">
        <v>485</v>
      </c>
      <c r="M1247" s="163"/>
      <c r="N1247" s="163" t="s">
        <v>978</v>
      </c>
      <c r="O1247" s="163"/>
      <c r="P1247" s="163"/>
      <c r="Q1247" s="163"/>
      <c r="R1247" s="163" t="s">
        <v>1442</v>
      </c>
      <c r="S1247" s="163"/>
      <c r="T1247" s="43">
        <f t="shared" si="34"/>
        <v>1</v>
      </c>
      <c r="U1247" s="167">
        <f t="shared" si="31"/>
        <v>45688</v>
      </c>
      <c r="W1247" s="43">
        <f t="shared" si="33"/>
        <v>1</v>
      </c>
      <c r="X1247" s="43" t="s">
        <v>12</v>
      </c>
      <c r="Y1247" s="43" t="s">
        <v>1443</v>
      </c>
    </row>
    <row r="1248" spans="1:25" hidden="1">
      <c r="A1248" s="163" t="s">
        <v>1017</v>
      </c>
      <c r="B1248" s="164">
        <v>45688</v>
      </c>
      <c r="C1248" s="163" t="s">
        <v>1442</v>
      </c>
      <c r="D1248" s="163" t="s">
        <v>281</v>
      </c>
      <c r="E1248" s="163" t="s">
        <v>1442</v>
      </c>
      <c r="F1248" s="204"/>
      <c r="G1248" s="165">
        <f t="shared" si="29"/>
        <v>1009.1710000000069</v>
      </c>
      <c r="H1248" s="163"/>
      <c r="I1248" s="163" t="s">
        <v>994</v>
      </c>
      <c r="J1248" s="163"/>
      <c r="K1248" s="163"/>
      <c r="L1248" s="163" t="s">
        <v>477</v>
      </c>
      <c r="M1248" s="163"/>
      <c r="N1248" s="163" t="s">
        <v>978</v>
      </c>
      <c r="O1248" s="163"/>
      <c r="P1248" s="163"/>
      <c r="Q1248" s="163"/>
      <c r="R1248" s="163" t="s">
        <v>1442</v>
      </c>
      <c r="S1248" s="163"/>
      <c r="T1248" s="43">
        <f t="shared" si="34"/>
        <v>1</v>
      </c>
      <c r="U1248" s="167">
        <f t="shared" si="31"/>
        <v>45688</v>
      </c>
      <c r="W1248" s="43">
        <f t="shared" si="33"/>
        <v>1</v>
      </c>
      <c r="X1248" s="43" t="s">
        <v>12</v>
      </c>
      <c r="Y1248" s="43" t="s">
        <v>1443</v>
      </c>
    </row>
    <row r="1249" spans="1:28" hidden="1">
      <c r="A1249" s="163" t="s">
        <v>1017</v>
      </c>
      <c r="B1249" s="164">
        <v>45688</v>
      </c>
      <c r="C1249" s="163" t="s">
        <v>1442</v>
      </c>
      <c r="D1249" s="163" t="s">
        <v>281</v>
      </c>
      <c r="E1249" s="163" t="s">
        <v>1442</v>
      </c>
      <c r="F1249" s="204"/>
      <c r="G1249" s="165">
        <f t="shared" si="29"/>
        <v>1009.1710000000069</v>
      </c>
      <c r="H1249" s="163"/>
      <c r="I1249" s="163" t="s">
        <v>994</v>
      </c>
      <c r="J1249" s="163"/>
      <c r="K1249" s="163"/>
      <c r="L1249" s="163" t="s">
        <v>766</v>
      </c>
      <c r="M1249" s="163"/>
      <c r="N1249" s="163" t="s">
        <v>978</v>
      </c>
      <c r="O1249" s="163"/>
      <c r="P1249" s="163"/>
      <c r="Q1249" s="163"/>
      <c r="R1249" s="163" t="s">
        <v>1442</v>
      </c>
      <c r="S1249" s="163"/>
      <c r="T1249" s="43">
        <f t="shared" si="34"/>
        <v>1</v>
      </c>
      <c r="U1249" s="167">
        <f t="shared" si="31"/>
        <v>45688</v>
      </c>
      <c r="W1249" s="43">
        <f t="shared" si="33"/>
        <v>1</v>
      </c>
      <c r="X1249" s="43" t="s">
        <v>12</v>
      </c>
      <c r="Y1249" s="43" t="s">
        <v>1443</v>
      </c>
    </row>
    <row r="1250" spans="1:28" hidden="1">
      <c r="A1250" s="163" t="s">
        <v>1017</v>
      </c>
      <c r="B1250" s="164">
        <v>45688</v>
      </c>
      <c r="C1250" s="163" t="s">
        <v>1442</v>
      </c>
      <c r="D1250" s="163" t="s">
        <v>281</v>
      </c>
      <c r="E1250" s="163" t="s">
        <v>1442</v>
      </c>
      <c r="F1250" s="204"/>
      <c r="G1250" s="165">
        <f t="shared" si="29"/>
        <v>1009.1710000000069</v>
      </c>
      <c r="H1250" s="163"/>
      <c r="I1250" s="163" t="s">
        <v>994</v>
      </c>
      <c r="J1250" s="163"/>
      <c r="K1250" s="163"/>
      <c r="L1250" s="163" t="s">
        <v>686</v>
      </c>
      <c r="M1250" s="163"/>
      <c r="N1250" s="163" t="s">
        <v>978</v>
      </c>
      <c r="O1250" s="163"/>
      <c r="P1250" s="163"/>
      <c r="Q1250" s="163"/>
      <c r="R1250" s="163" t="s">
        <v>1442</v>
      </c>
      <c r="S1250" s="163"/>
      <c r="T1250" s="43">
        <f t="shared" si="34"/>
        <v>1</v>
      </c>
      <c r="U1250" s="167">
        <f t="shared" si="31"/>
        <v>45688</v>
      </c>
      <c r="W1250" s="43">
        <f t="shared" si="33"/>
        <v>1</v>
      </c>
      <c r="X1250" s="43" t="s">
        <v>12</v>
      </c>
      <c r="Y1250" s="43" t="s">
        <v>1443</v>
      </c>
    </row>
    <row r="1251" spans="1:28" hidden="1">
      <c r="A1251" s="163" t="s">
        <v>1017</v>
      </c>
      <c r="B1251" s="164">
        <v>45688</v>
      </c>
      <c r="C1251" s="163" t="s">
        <v>1442</v>
      </c>
      <c r="D1251" s="163" t="s">
        <v>281</v>
      </c>
      <c r="E1251" s="163" t="s">
        <v>1442</v>
      </c>
      <c r="F1251" s="204"/>
      <c r="G1251" s="165">
        <f t="shared" si="29"/>
        <v>1009.1710000000069</v>
      </c>
      <c r="H1251" s="163"/>
      <c r="I1251" s="163" t="s">
        <v>994</v>
      </c>
      <c r="J1251" s="163"/>
      <c r="K1251" s="163"/>
      <c r="L1251" s="163" t="s">
        <v>366</v>
      </c>
      <c r="M1251" s="163"/>
      <c r="N1251" s="163" t="s">
        <v>978</v>
      </c>
      <c r="O1251" s="163"/>
      <c r="P1251" s="163"/>
      <c r="Q1251" s="163"/>
      <c r="R1251" s="163" t="s">
        <v>1442</v>
      </c>
      <c r="S1251" s="163"/>
      <c r="T1251" s="43">
        <f t="shared" si="34"/>
        <v>1</v>
      </c>
      <c r="U1251" s="167">
        <f t="shared" si="31"/>
        <v>45688</v>
      </c>
      <c r="W1251" s="43">
        <f t="shared" si="33"/>
        <v>1</v>
      </c>
      <c r="X1251" s="43" t="s">
        <v>12</v>
      </c>
      <c r="Y1251" s="43" t="s">
        <v>1443</v>
      </c>
    </row>
    <row r="1252" spans="1:28" hidden="1">
      <c r="A1252" s="163" t="s">
        <v>1017</v>
      </c>
      <c r="B1252" s="164">
        <v>45688</v>
      </c>
      <c r="C1252" s="163" t="s">
        <v>1442</v>
      </c>
      <c r="D1252" s="163" t="s">
        <v>281</v>
      </c>
      <c r="E1252" s="163" t="s">
        <v>1442</v>
      </c>
      <c r="F1252" s="204"/>
      <c r="G1252" s="165">
        <f t="shared" si="29"/>
        <v>1009.1710000000069</v>
      </c>
      <c r="H1252" s="163"/>
      <c r="I1252" s="163" t="s">
        <v>994</v>
      </c>
      <c r="J1252" s="163"/>
      <c r="K1252" s="163"/>
      <c r="L1252" s="163" t="s">
        <v>1030</v>
      </c>
      <c r="M1252" s="163"/>
      <c r="N1252" s="163" t="s">
        <v>978</v>
      </c>
      <c r="O1252" s="163"/>
      <c r="P1252" s="163"/>
      <c r="Q1252" s="163"/>
      <c r="R1252" s="163" t="s">
        <v>1442</v>
      </c>
      <c r="S1252" s="163"/>
      <c r="T1252" s="43">
        <f t="shared" si="34"/>
        <v>1</v>
      </c>
      <c r="U1252" s="167">
        <f t="shared" si="31"/>
        <v>45688</v>
      </c>
      <c r="W1252" s="43">
        <f t="shared" si="33"/>
        <v>1</v>
      </c>
      <c r="X1252" s="43" t="s">
        <v>12</v>
      </c>
      <c r="Y1252" s="43" t="s">
        <v>1443</v>
      </c>
    </row>
    <row r="1253" spans="1:28" hidden="1">
      <c r="A1253" s="163" t="s">
        <v>1017</v>
      </c>
      <c r="B1253" s="164">
        <v>45688</v>
      </c>
      <c r="C1253" s="163" t="s">
        <v>1442</v>
      </c>
      <c r="D1253" s="163" t="s">
        <v>281</v>
      </c>
      <c r="E1253" s="163" t="s">
        <v>1442</v>
      </c>
      <c r="F1253" s="204"/>
      <c r="G1253" s="165">
        <f t="shared" si="29"/>
        <v>1009.1710000000069</v>
      </c>
      <c r="H1253" s="163"/>
      <c r="I1253" s="163" t="s">
        <v>994</v>
      </c>
      <c r="J1253" s="163"/>
      <c r="K1253" s="163"/>
      <c r="L1253" s="163" t="s">
        <v>1062</v>
      </c>
      <c r="M1253" s="163"/>
      <c r="N1253" s="163" t="s">
        <v>978</v>
      </c>
      <c r="O1253" s="163"/>
      <c r="P1253" s="163"/>
      <c r="Q1253" s="163"/>
      <c r="R1253" s="163" t="s">
        <v>1442</v>
      </c>
      <c r="S1253" s="163"/>
      <c r="T1253" s="43">
        <f t="shared" si="34"/>
        <v>1</v>
      </c>
      <c r="U1253" s="167">
        <f t="shared" si="31"/>
        <v>45688</v>
      </c>
      <c r="W1253" s="43">
        <f t="shared" si="33"/>
        <v>1</v>
      </c>
      <c r="X1253" s="43" t="s">
        <v>12</v>
      </c>
      <c r="Y1253" s="43" t="s">
        <v>1443</v>
      </c>
    </row>
    <row r="1254" spans="1:28" hidden="1">
      <c r="A1254" s="163" t="s">
        <v>1017</v>
      </c>
      <c r="B1254" s="164">
        <v>45688</v>
      </c>
      <c r="C1254" s="163" t="s">
        <v>1442</v>
      </c>
      <c r="D1254" s="163" t="s">
        <v>281</v>
      </c>
      <c r="E1254" s="163" t="s">
        <v>1442</v>
      </c>
      <c r="F1254" s="204"/>
      <c r="G1254" s="165">
        <f t="shared" si="29"/>
        <v>1009.1710000000069</v>
      </c>
      <c r="H1254" s="163"/>
      <c r="I1254" s="163" t="s">
        <v>994</v>
      </c>
      <c r="J1254" s="163"/>
      <c r="K1254" s="163"/>
      <c r="L1254" s="163" t="s">
        <v>1424</v>
      </c>
      <c r="M1254" s="163"/>
      <c r="N1254" s="163" t="s">
        <v>978</v>
      </c>
      <c r="O1254" s="163"/>
      <c r="P1254" s="163"/>
      <c r="Q1254" s="163"/>
      <c r="R1254" s="163" t="s">
        <v>1442</v>
      </c>
      <c r="S1254" s="163"/>
      <c r="T1254" s="43">
        <f t="shared" si="34"/>
        <v>1</v>
      </c>
      <c r="U1254" s="167">
        <f t="shared" si="31"/>
        <v>45688</v>
      </c>
      <c r="W1254" s="43">
        <f t="shared" si="33"/>
        <v>1</v>
      </c>
      <c r="X1254" s="43" t="s">
        <v>12</v>
      </c>
      <c r="Y1254" s="43" t="s">
        <v>1443</v>
      </c>
    </row>
    <row r="1255" spans="1:28" hidden="1">
      <c r="A1255" s="163" t="s">
        <v>1017</v>
      </c>
      <c r="B1255" s="164">
        <v>45688</v>
      </c>
      <c r="C1255" s="163" t="s">
        <v>1444</v>
      </c>
      <c r="D1255" s="163" t="s">
        <v>281</v>
      </c>
      <c r="E1255" s="163" t="s">
        <v>1444</v>
      </c>
      <c r="F1255" s="204"/>
      <c r="G1255" s="165">
        <f t="shared" si="29"/>
        <v>1009.1710000000069</v>
      </c>
      <c r="H1255" s="163"/>
      <c r="I1255" s="163" t="s">
        <v>994</v>
      </c>
      <c r="J1255" s="163"/>
      <c r="K1255" s="163"/>
      <c r="L1255" s="163" t="s">
        <v>508</v>
      </c>
      <c r="M1255" s="163"/>
      <c r="N1255" s="163" t="s">
        <v>978</v>
      </c>
      <c r="O1255" s="163"/>
      <c r="P1255" s="163"/>
      <c r="Q1255" s="163"/>
      <c r="R1255" s="163" t="s">
        <v>1444</v>
      </c>
      <c r="S1255" s="163"/>
      <c r="T1255" s="43">
        <f t="shared" si="34"/>
        <v>1</v>
      </c>
      <c r="U1255" s="167">
        <f t="shared" si="31"/>
        <v>45688</v>
      </c>
      <c r="W1255" s="43">
        <f t="shared" si="33"/>
        <v>1</v>
      </c>
      <c r="X1255" s="43" t="s">
        <v>12</v>
      </c>
      <c r="Y1255" s="43" t="s">
        <v>1443</v>
      </c>
    </row>
    <row r="1256" spans="1:28" hidden="1">
      <c r="A1256" s="163" t="s">
        <v>1017</v>
      </c>
      <c r="B1256" s="164">
        <v>45688</v>
      </c>
      <c r="C1256" s="163" t="s">
        <v>1444</v>
      </c>
      <c r="D1256" s="163" t="s">
        <v>281</v>
      </c>
      <c r="E1256" s="163" t="s">
        <v>1444</v>
      </c>
      <c r="F1256" s="204"/>
      <c r="G1256" s="165">
        <f t="shared" si="29"/>
        <v>1009.1710000000069</v>
      </c>
      <c r="H1256" s="163"/>
      <c r="I1256" s="163" t="s">
        <v>994</v>
      </c>
      <c r="J1256" s="163"/>
      <c r="K1256" s="163"/>
      <c r="L1256" s="163" t="s">
        <v>485</v>
      </c>
      <c r="M1256" s="163"/>
      <c r="N1256" s="163" t="s">
        <v>978</v>
      </c>
      <c r="O1256" s="163"/>
      <c r="P1256" s="163"/>
      <c r="Q1256" s="163"/>
      <c r="R1256" s="163" t="s">
        <v>1444</v>
      </c>
      <c r="S1256" s="163"/>
      <c r="T1256" s="43">
        <f t="shared" si="34"/>
        <v>1</v>
      </c>
      <c r="U1256" s="167">
        <f t="shared" si="31"/>
        <v>45688</v>
      </c>
      <c r="W1256" s="43">
        <f t="shared" si="33"/>
        <v>1</v>
      </c>
      <c r="X1256" s="43" t="s">
        <v>12</v>
      </c>
      <c r="Y1256" s="43" t="s">
        <v>1443</v>
      </c>
    </row>
    <row r="1257" spans="1:28" hidden="1">
      <c r="A1257" s="163" t="s">
        <v>1017</v>
      </c>
      <c r="B1257" s="164">
        <v>45688</v>
      </c>
      <c r="C1257" s="163" t="s">
        <v>1444</v>
      </c>
      <c r="D1257" s="163" t="s">
        <v>281</v>
      </c>
      <c r="E1257" s="163" t="s">
        <v>1444</v>
      </c>
      <c r="F1257" s="204"/>
      <c r="G1257" s="165">
        <f t="shared" si="29"/>
        <v>1009.1710000000069</v>
      </c>
      <c r="H1257" s="163"/>
      <c r="I1257" s="163" t="s">
        <v>994</v>
      </c>
      <c r="J1257" s="163"/>
      <c r="K1257" s="163"/>
      <c r="L1257" s="163" t="s">
        <v>477</v>
      </c>
      <c r="M1257" s="163"/>
      <c r="N1257" s="163" t="s">
        <v>978</v>
      </c>
      <c r="O1257" s="163"/>
      <c r="P1257" s="163"/>
      <c r="Q1257" s="163"/>
      <c r="R1257" s="163" t="s">
        <v>1444</v>
      </c>
      <c r="S1257" s="163"/>
      <c r="T1257" s="43">
        <f t="shared" si="34"/>
        <v>1</v>
      </c>
      <c r="U1257" s="167">
        <f t="shared" si="31"/>
        <v>45688</v>
      </c>
      <c r="W1257" s="43">
        <f t="shared" si="33"/>
        <v>1</v>
      </c>
      <c r="X1257" s="43" t="s">
        <v>12</v>
      </c>
      <c r="Y1257" s="43" t="s">
        <v>1443</v>
      </c>
    </row>
    <row r="1258" spans="1:28" hidden="1">
      <c r="A1258" s="163" t="s">
        <v>1017</v>
      </c>
      <c r="B1258" s="164">
        <v>45688</v>
      </c>
      <c r="C1258" s="163" t="s">
        <v>1444</v>
      </c>
      <c r="D1258" s="163" t="s">
        <v>281</v>
      </c>
      <c r="E1258" s="163" t="s">
        <v>1444</v>
      </c>
      <c r="F1258" s="204"/>
      <c r="G1258" s="165">
        <f t="shared" si="29"/>
        <v>1009.1710000000069</v>
      </c>
      <c r="H1258" s="163"/>
      <c r="I1258" s="163" t="s">
        <v>994</v>
      </c>
      <c r="J1258" s="163"/>
      <c r="K1258" s="163"/>
      <c r="L1258" s="163" t="s">
        <v>766</v>
      </c>
      <c r="M1258" s="163"/>
      <c r="N1258" s="163" t="s">
        <v>978</v>
      </c>
      <c r="O1258" s="163"/>
      <c r="P1258" s="163"/>
      <c r="Q1258" s="163"/>
      <c r="R1258" s="163" t="s">
        <v>1444</v>
      </c>
      <c r="S1258" s="163"/>
      <c r="T1258" s="43">
        <f t="shared" si="34"/>
        <v>1</v>
      </c>
      <c r="U1258" s="167">
        <f t="shared" si="31"/>
        <v>45688</v>
      </c>
      <c r="W1258" s="43">
        <f t="shared" si="33"/>
        <v>1</v>
      </c>
      <c r="X1258" s="43" t="s">
        <v>12</v>
      </c>
      <c r="Y1258" s="43" t="s">
        <v>1443</v>
      </c>
    </row>
    <row r="1259" spans="1:28" hidden="1">
      <c r="A1259" s="163" t="s">
        <v>1017</v>
      </c>
      <c r="B1259" s="164">
        <v>45688</v>
      </c>
      <c r="C1259" s="163" t="s">
        <v>1444</v>
      </c>
      <c r="D1259" s="163" t="s">
        <v>281</v>
      </c>
      <c r="E1259" s="163" t="s">
        <v>1444</v>
      </c>
      <c r="F1259" s="204"/>
      <c r="G1259" s="165">
        <f t="shared" si="29"/>
        <v>1009.1710000000069</v>
      </c>
      <c r="H1259" s="163"/>
      <c r="I1259" s="163" t="s">
        <v>994</v>
      </c>
      <c r="J1259" s="163"/>
      <c r="K1259" s="163"/>
      <c r="L1259" s="163" t="s">
        <v>686</v>
      </c>
      <c r="M1259" s="163"/>
      <c r="N1259" s="163" t="s">
        <v>978</v>
      </c>
      <c r="O1259" s="163"/>
      <c r="P1259" s="163"/>
      <c r="Q1259" s="163"/>
      <c r="R1259" s="163" t="s">
        <v>1444</v>
      </c>
      <c r="S1259" s="163"/>
      <c r="T1259" s="43">
        <f t="shared" si="34"/>
        <v>1</v>
      </c>
      <c r="U1259" s="167">
        <f t="shared" si="31"/>
        <v>45688</v>
      </c>
      <c r="W1259" s="43">
        <f t="shared" si="33"/>
        <v>1</v>
      </c>
      <c r="X1259" s="43" t="s">
        <v>12</v>
      </c>
      <c r="Y1259" s="43" t="s">
        <v>1443</v>
      </c>
    </row>
    <row r="1260" spans="1:28" hidden="1">
      <c r="A1260" s="163" t="s">
        <v>1017</v>
      </c>
      <c r="B1260" s="164">
        <v>45688</v>
      </c>
      <c r="C1260" s="163" t="s">
        <v>1444</v>
      </c>
      <c r="D1260" s="163" t="s">
        <v>281</v>
      </c>
      <c r="E1260" s="163" t="s">
        <v>1444</v>
      </c>
      <c r="F1260" s="204"/>
      <c r="G1260" s="165">
        <f t="shared" si="29"/>
        <v>1009.1710000000069</v>
      </c>
      <c r="H1260" s="163"/>
      <c r="I1260" s="163" t="s">
        <v>994</v>
      </c>
      <c r="J1260" s="163"/>
      <c r="K1260" s="163"/>
      <c r="L1260" s="163" t="s">
        <v>366</v>
      </c>
      <c r="M1260" s="163"/>
      <c r="N1260" s="163" t="s">
        <v>978</v>
      </c>
      <c r="O1260" s="163"/>
      <c r="P1260" s="163"/>
      <c r="Q1260" s="163"/>
      <c r="R1260" s="163" t="s">
        <v>1444</v>
      </c>
      <c r="S1260" s="163"/>
      <c r="T1260" s="43">
        <f t="shared" si="34"/>
        <v>1</v>
      </c>
      <c r="U1260" s="167">
        <f t="shared" si="31"/>
        <v>45688</v>
      </c>
      <c r="W1260" s="43">
        <f t="shared" si="33"/>
        <v>1</v>
      </c>
      <c r="X1260" s="43" t="s">
        <v>12</v>
      </c>
      <c r="Y1260" s="43" t="s">
        <v>1443</v>
      </c>
    </row>
    <row r="1261" spans="1:28" hidden="1">
      <c r="A1261" s="163" t="s">
        <v>1017</v>
      </c>
      <c r="B1261" s="164">
        <v>45688</v>
      </c>
      <c r="C1261" s="163" t="s">
        <v>1444</v>
      </c>
      <c r="D1261" s="163" t="s">
        <v>281</v>
      </c>
      <c r="E1261" s="163" t="s">
        <v>1444</v>
      </c>
      <c r="F1261" s="204"/>
      <c r="G1261" s="165">
        <f t="shared" si="29"/>
        <v>1009.1710000000069</v>
      </c>
      <c r="H1261" s="163"/>
      <c r="I1261" s="163" t="s">
        <v>994</v>
      </c>
      <c r="J1261" s="163"/>
      <c r="K1261" s="163"/>
      <c r="L1261" s="163" t="s">
        <v>1030</v>
      </c>
      <c r="M1261" s="163"/>
      <c r="N1261" s="163" t="s">
        <v>978</v>
      </c>
      <c r="O1261" s="163"/>
      <c r="P1261" s="163"/>
      <c r="Q1261" s="163"/>
      <c r="R1261" s="163" t="s">
        <v>1444</v>
      </c>
      <c r="S1261" s="163"/>
      <c r="T1261" s="43">
        <f t="shared" si="34"/>
        <v>1</v>
      </c>
      <c r="U1261" s="167">
        <f t="shared" si="31"/>
        <v>45688</v>
      </c>
      <c r="W1261" s="43">
        <f t="shared" si="33"/>
        <v>1</v>
      </c>
      <c r="X1261" s="43" t="s">
        <v>12</v>
      </c>
      <c r="Y1261" s="43" t="s">
        <v>1443</v>
      </c>
    </row>
    <row r="1262" spans="1:28" hidden="1">
      <c r="A1262" s="163" t="s">
        <v>1017</v>
      </c>
      <c r="B1262" s="164">
        <v>45688</v>
      </c>
      <c r="C1262" s="163" t="s">
        <v>1444</v>
      </c>
      <c r="D1262" s="163" t="s">
        <v>281</v>
      </c>
      <c r="E1262" s="163" t="s">
        <v>1444</v>
      </c>
      <c r="F1262" s="204"/>
      <c r="G1262" s="165">
        <f t="shared" si="29"/>
        <v>1009.1710000000069</v>
      </c>
      <c r="H1262" s="163"/>
      <c r="I1262" s="163" t="s">
        <v>994</v>
      </c>
      <c r="J1262" s="163"/>
      <c r="K1262" s="163"/>
      <c r="L1262" s="163" t="s">
        <v>1062</v>
      </c>
      <c r="M1262" s="163"/>
      <c r="N1262" s="163" t="s">
        <v>978</v>
      </c>
      <c r="O1262" s="163"/>
      <c r="P1262" s="163"/>
      <c r="Q1262" s="163"/>
      <c r="R1262" s="163" t="s">
        <v>1444</v>
      </c>
      <c r="S1262" s="163"/>
      <c r="T1262" s="43">
        <f t="shared" si="34"/>
        <v>1</v>
      </c>
      <c r="U1262" s="167">
        <f t="shared" si="31"/>
        <v>45688</v>
      </c>
      <c r="W1262" s="43">
        <f t="shared" si="33"/>
        <v>1</v>
      </c>
      <c r="X1262" s="43" t="s">
        <v>12</v>
      </c>
      <c r="Y1262" s="43" t="s">
        <v>1443</v>
      </c>
    </row>
    <row r="1263" spans="1:28" hidden="1">
      <c r="A1263" s="180" t="s">
        <v>1174</v>
      </c>
      <c r="B1263" s="164">
        <v>45687</v>
      </c>
      <c r="C1263" s="180" t="s">
        <v>1636</v>
      </c>
      <c r="D1263" s="180" t="s">
        <v>281</v>
      </c>
      <c r="E1263" s="180" t="s">
        <v>407</v>
      </c>
      <c r="F1263" s="195">
        <v>1900</v>
      </c>
      <c r="G1263" s="165">
        <f t="shared" si="29"/>
        <v>2909.1710000000066</v>
      </c>
      <c r="H1263" s="180"/>
      <c r="I1263" s="180" t="s">
        <v>1176</v>
      </c>
      <c r="J1263" s="180" t="s">
        <v>1585</v>
      </c>
      <c r="K1263" s="180"/>
      <c r="L1263" s="180" t="s">
        <v>305</v>
      </c>
      <c r="M1263" s="180"/>
      <c r="N1263" s="180" t="s">
        <v>1178</v>
      </c>
      <c r="O1263" s="180" t="s">
        <v>1585</v>
      </c>
      <c r="P1263" s="180" t="s">
        <v>1586</v>
      </c>
      <c r="Q1263" s="180"/>
      <c r="R1263" s="180" t="s">
        <v>1587</v>
      </c>
      <c r="S1263" s="180" t="s">
        <v>1588</v>
      </c>
      <c r="T1263" s="183">
        <f t="shared" si="34"/>
        <v>1</v>
      </c>
      <c r="U1263" s="184">
        <f t="shared" si="31"/>
        <v>45688</v>
      </c>
      <c r="V1263" s="261">
        <v>45688</v>
      </c>
      <c r="W1263" s="43">
        <f t="shared" si="33"/>
        <v>1</v>
      </c>
      <c r="X1263" s="43" t="s">
        <v>1484</v>
      </c>
      <c r="Y1263" s="43" t="s">
        <v>1485</v>
      </c>
      <c r="Z1263" s="183"/>
      <c r="AA1263" s="183"/>
      <c r="AB1263" s="183"/>
    </row>
    <row r="1264" spans="1:28" ht="14.25" hidden="1" customHeight="1">
      <c r="A1264" s="180" t="s">
        <v>1017</v>
      </c>
      <c r="B1264" s="181">
        <v>45688</v>
      </c>
      <c r="C1264" s="180" t="s">
        <v>1487</v>
      </c>
      <c r="D1264" s="180" t="s">
        <v>281</v>
      </c>
      <c r="E1264" s="180" t="s">
        <v>282</v>
      </c>
      <c r="F1264" s="230">
        <v>70000</v>
      </c>
      <c r="G1264" s="165">
        <f t="shared" si="29"/>
        <v>72909.171000000002</v>
      </c>
      <c r="H1264" s="180"/>
      <c r="I1264" s="180" t="s">
        <v>977</v>
      </c>
      <c r="J1264" s="180"/>
      <c r="K1264" s="180"/>
      <c r="L1264" s="180" t="s">
        <v>366</v>
      </c>
      <c r="M1264" s="180"/>
      <c r="N1264" s="180" t="s">
        <v>978</v>
      </c>
      <c r="O1264" s="180"/>
      <c r="P1264" s="180"/>
      <c r="Q1264" s="180"/>
      <c r="R1264" s="180" t="s">
        <v>990</v>
      </c>
      <c r="S1264" s="180" t="s">
        <v>991</v>
      </c>
      <c r="T1264" s="183">
        <f t="shared" si="34"/>
        <v>1</v>
      </c>
      <c r="U1264" s="184">
        <f t="shared" si="31"/>
        <v>45688</v>
      </c>
      <c r="V1264" s="256"/>
      <c r="W1264" s="43">
        <f t="shared" si="33"/>
        <v>1</v>
      </c>
      <c r="X1264" s="183" t="s">
        <v>282</v>
      </c>
      <c r="Y1264" s="183" t="s">
        <v>1443</v>
      </c>
      <c r="Z1264" s="183" t="s">
        <v>1113</v>
      </c>
      <c r="AA1264" s="183" t="s">
        <v>1113</v>
      </c>
      <c r="AB1264" s="183"/>
    </row>
    <row r="1265" spans="1:28" hidden="1">
      <c r="A1265" s="163" t="s">
        <v>1017</v>
      </c>
      <c r="B1265" s="164">
        <v>45685</v>
      </c>
      <c r="C1265" s="163" t="s">
        <v>989</v>
      </c>
      <c r="D1265" s="163" t="s">
        <v>281</v>
      </c>
      <c r="E1265" s="163" t="s">
        <v>199</v>
      </c>
      <c r="F1265" s="226">
        <v>-1119</v>
      </c>
      <c r="G1265" s="165">
        <f t="shared" si="29"/>
        <v>71790.171000000002</v>
      </c>
      <c r="H1265" s="163"/>
      <c r="I1265" s="163" t="s">
        <v>977</v>
      </c>
      <c r="J1265" s="163"/>
      <c r="K1265" s="163"/>
      <c r="L1265" s="163" t="s">
        <v>1062</v>
      </c>
      <c r="M1265" s="163"/>
      <c r="N1265" s="163" t="s">
        <v>978</v>
      </c>
      <c r="O1265" s="163"/>
      <c r="P1265" s="163"/>
      <c r="Q1265" s="163"/>
      <c r="R1265" s="163" t="s">
        <v>990</v>
      </c>
      <c r="S1265" s="163" t="s">
        <v>991</v>
      </c>
      <c r="T1265" s="43">
        <f t="shared" si="34"/>
        <v>1</v>
      </c>
      <c r="U1265" s="167">
        <f t="shared" si="31"/>
        <v>45688</v>
      </c>
      <c r="V1265" s="261">
        <v>45688</v>
      </c>
      <c r="W1265" s="43">
        <f t="shared" si="33"/>
        <v>1</v>
      </c>
      <c r="X1265" s="43" t="s">
        <v>1480</v>
      </c>
      <c r="Y1265" s="43" t="s">
        <v>86</v>
      </c>
    </row>
    <row r="1266" spans="1:28" hidden="1">
      <c r="A1266" s="163" t="s">
        <v>1017</v>
      </c>
      <c r="B1266" s="164">
        <v>45663</v>
      </c>
      <c r="C1266" s="163" t="s">
        <v>1637</v>
      </c>
      <c r="D1266" s="163" t="s">
        <v>281</v>
      </c>
      <c r="E1266" s="163" t="s">
        <v>399</v>
      </c>
      <c r="F1266" s="226">
        <v>-4283.4799999999996</v>
      </c>
      <c r="G1266" s="165">
        <f t="shared" si="29"/>
        <v>67506.691000000006</v>
      </c>
      <c r="H1266" s="163"/>
      <c r="I1266" s="163" t="s">
        <v>342</v>
      </c>
      <c r="J1266" s="163"/>
      <c r="K1266" s="163"/>
      <c r="L1266" s="163" t="s">
        <v>1062</v>
      </c>
      <c r="M1266" s="163"/>
      <c r="N1266" s="163" t="s">
        <v>978</v>
      </c>
      <c r="O1266" s="163"/>
      <c r="P1266" s="163"/>
      <c r="Q1266" s="163"/>
      <c r="R1266" s="163" t="s">
        <v>396</v>
      </c>
      <c r="S1266" s="163" t="s">
        <v>398</v>
      </c>
      <c r="T1266" s="43">
        <f t="shared" si="34"/>
        <v>1</v>
      </c>
      <c r="U1266" s="167">
        <f t="shared" si="31"/>
        <v>45688</v>
      </c>
      <c r="V1266" s="261">
        <v>45688</v>
      </c>
      <c r="W1266" s="43">
        <f t="shared" si="33"/>
        <v>1</v>
      </c>
      <c r="X1266" s="43" t="s">
        <v>196</v>
      </c>
      <c r="Y1266" s="43" t="s">
        <v>1443</v>
      </c>
    </row>
    <row r="1267" spans="1:28" ht="14.25" hidden="1" customHeight="1">
      <c r="A1267" s="163" t="s">
        <v>1017</v>
      </c>
      <c r="B1267" s="164">
        <v>45631</v>
      </c>
      <c r="C1267" s="163" t="s">
        <v>1638</v>
      </c>
      <c r="D1267" s="163" t="s">
        <v>281</v>
      </c>
      <c r="E1267" s="163" t="s">
        <v>399</v>
      </c>
      <c r="F1267" s="226">
        <v>-4738.78</v>
      </c>
      <c r="G1267" s="165">
        <f t="shared" si="29"/>
        <v>62767.911000000007</v>
      </c>
      <c r="H1267" s="163"/>
      <c r="I1267" s="163" t="s">
        <v>342</v>
      </c>
      <c r="J1267" s="163"/>
      <c r="K1267" s="163"/>
      <c r="L1267" s="163" t="s">
        <v>1030</v>
      </c>
      <c r="M1267" s="163"/>
      <c r="N1267" s="163" t="s">
        <v>978</v>
      </c>
      <c r="O1267" s="163"/>
      <c r="P1267" s="163"/>
      <c r="Q1267" s="163"/>
      <c r="R1267" s="163" t="s">
        <v>396</v>
      </c>
      <c r="S1267" s="163" t="s">
        <v>398</v>
      </c>
      <c r="T1267" s="43">
        <f t="shared" si="34"/>
        <v>12</v>
      </c>
      <c r="U1267" s="167">
        <f t="shared" si="31"/>
        <v>45688</v>
      </c>
      <c r="V1267" s="166">
        <v>45688</v>
      </c>
      <c r="W1267" s="43">
        <f t="shared" si="33"/>
        <v>1</v>
      </c>
      <c r="X1267" s="43" t="s">
        <v>196</v>
      </c>
      <c r="Y1267" s="43" t="s">
        <v>1443</v>
      </c>
      <c r="Z1267" s="43" t="s">
        <v>1113</v>
      </c>
      <c r="AA1267" s="43" t="s">
        <v>1113</v>
      </c>
      <c r="AB1267" s="43"/>
    </row>
    <row r="1268" spans="1:28" hidden="1">
      <c r="A1268" s="180" t="s">
        <v>1017</v>
      </c>
      <c r="B1268" s="181">
        <v>45688</v>
      </c>
      <c r="C1268" s="180" t="s">
        <v>1008</v>
      </c>
      <c r="D1268" s="180" t="s">
        <v>281</v>
      </c>
      <c r="E1268" s="180" t="s">
        <v>199</v>
      </c>
      <c r="F1268" s="226">
        <v>-1601</v>
      </c>
      <c r="G1268" s="165">
        <f t="shared" si="29"/>
        <v>61166.911000000007</v>
      </c>
      <c r="H1268" s="180"/>
      <c r="I1268" s="180" t="s">
        <v>283</v>
      </c>
      <c r="J1268" s="180"/>
      <c r="K1268" s="180"/>
      <c r="L1268" s="180" t="s">
        <v>485</v>
      </c>
      <c r="M1268" s="180"/>
      <c r="N1268" s="180" t="s">
        <v>978</v>
      </c>
      <c r="O1268" s="180"/>
      <c r="P1268" s="180"/>
      <c r="Q1268" s="180"/>
      <c r="R1268" s="180" t="s">
        <v>1527</v>
      </c>
      <c r="S1268" s="180"/>
      <c r="T1268" s="183">
        <f t="shared" si="34"/>
        <v>1</v>
      </c>
      <c r="U1268" s="184">
        <f t="shared" si="31"/>
        <v>45688</v>
      </c>
      <c r="V1268" s="183"/>
      <c r="W1268" s="43">
        <f t="shared" si="33"/>
        <v>1</v>
      </c>
      <c r="X1268" s="206" t="s">
        <v>1478</v>
      </c>
      <c r="Y1268" s="206" t="s">
        <v>26</v>
      </c>
      <c r="Z1268" s="183"/>
      <c r="AA1268" s="183"/>
      <c r="AB1268" s="183"/>
    </row>
    <row r="1269" spans="1:28" hidden="1">
      <c r="A1269" s="163" t="s">
        <v>1017</v>
      </c>
      <c r="B1269" s="164">
        <v>45688</v>
      </c>
      <c r="C1269" s="163" t="s">
        <v>436</v>
      </c>
      <c r="D1269" s="163" t="s">
        <v>281</v>
      </c>
      <c r="E1269" s="163" t="s">
        <v>121</v>
      </c>
      <c r="F1269" s="226">
        <v>-84</v>
      </c>
      <c r="G1269" s="165">
        <f t="shared" si="29"/>
        <v>61082.911000000007</v>
      </c>
      <c r="H1269" s="163"/>
      <c r="I1269" s="163" t="s">
        <v>283</v>
      </c>
      <c r="J1269" s="163"/>
      <c r="K1269" s="163"/>
      <c r="L1269" s="163" t="s">
        <v>1030</v>
      </c>
      <c r="M1269" s="163"/>
      <c r="N1269" s="163" t="s">
        <v>978</v>
      </c>
      <c r="O1269" s="163"/>
      <c r="P1269" s="163"/>
      <c r="Q1269" s="163"/>
      <c r="R1269" s="163" t="s">
        <v>436</v>
      </c>
      <c r="S1269" s="163" t="s">
        <v>438</v>
      </c>
      <c r="T1269" s="43">
        <f t="shared" si="34"/>
        <v>1</v>
      </c>
      <c r="U1269" s="167">
        <f t="shared" si="31"/>
        <v>45688</v>
      </c>
      <c r="W1269" s="43">
        <f t="shared" si="33"/>
        <v>1</v>
      </c>
      <c r="X1269" s="49" t="s">
        <v>1498</v>
      </c>
      <c r="Y1269" s="43" t="s">
        <v>1488</v>
      </c>
    </row>
    <row r="1270" spans="1:28" hidden="1">
      <c r="A1270" s="163" t="s">
        <v>1017</v>
      </c>
      <c r="B1270" s="164">
        <v>45687</v>
      </c>
      <c r="C1270" s="163" t="s">
        <v>321</v>
      </c>
      <c r="D1270" s="163" t="s">
        <v>281</v>
      </c>
      <c r="E1270" s="163" t="s">
        <v>121</v>
      </c>
      <c r="F1270" s="226">
        <v>-108.8</v>
      </c>
      <c r="G1270" s="165">
        <f t="shared" si="29"/>
        <v>60974.111000000004</v>
      </c>
      <c r="H1270" s="163"/>
      <c r="I1270" s="163" t="s">
        <v>283</v>
      </c>
      <c r="J1270" s="163"/>
      <c r="K1270" s="163"/>
      <c r="L1270" s="163" t="s">
        <v>1424</v>
      </c>
      <c r="M1270" s="163"/>
      <c r="N1270" s="163" t="s">
        <v>978</v>
      </c>
      <c r="O1270" s="163"/>
      <c r="P1270" s="163"/>
      <c r="Q1270" s="163"/>
      <c r="R1270" s="163" t="s">
        <v>321</v>
      </c>
      <c r="S1270" s="163" t="s">
        <v>323</v>
      </c>
      <c r="T1270" s="43">
        <f t="shared" si="34"/>
        <v>1</v>
      </c>
      <c r="U1270" s="167">
        <f t="shared" si="31"/>
        <v>45688</v>
      </c>
      <c r="V1270" s="261">
        <v>45688</v>
      </c>
      <c r="W1270" s="43">
        <f t="shared" si="33"/>
        <v>1</v>
      </c>
      <c r="X1270" s="49" t="s">
        <v>1498</v>
      </c>
      <c r="Y1270" s="43" t="s">
        <v>26</v>
      </c>
    </row>
    <row r="1271" spans="1:28" hidden="1">
      <c r="A1271" s="163" t="s">
        <v>1017</v>
      </c>
      <c r="B1271" s="164">
        <v>45687</v>
      </c>
      <c r="C1271" s="163" t="s">
        <v>447</v>
      </c>
      <c r="D1271" s="163" t="s">
        <v>281</v>
      </c>
      <c r="E1271" s="163" t="s">
        <v>121</v>
      </c>
      <c r="F1271" s="226">
        <v>-218.5</v>
      </c>
      <c r="G1271" s="165">
        <f t="shared" si="29"/>
        <v>60755.611000000004</v>
      </c>
      <c r="H1271" s="163"/>
      <c r="I1271" s="163" t="s">
        <v>283</v>
      </c>
      <c r="J1271" s="163"/>
      <c r="K1271" s="163"/>
      <c r="L1271" s="163" t="s">
        <v>1424</v>
      </c>
      <c r="M1271" s="163"/>
      <c r="N1271" s="163" t="s">
        <v>978</v>
      </c>
      <c r="O1271" s="163"/>
      <c r="P1271" s="163"/>
      <c r="Q1271" s="163"/>
      <c r="R1271" s="163" t="s">
        <v>447</v>
      </c>
      <c r="S1271" s="163" t="s">
        <v>449</v>
      </c>
      <c r="T1271" s="43">
        <f t="shared" si="34"/>
        <v>1</v>
      </c>
      <c r="U1271" s="167">
        <f t="shared" si="31"/>
        <v>45688</v>
      </c>
      <c r="V1271" s="261">
        <v>45688</v>
      </c>
      <c r="W1271" s="43">
        <f t="shared" si="33"/>
        <v>1</v>
      </c>
      <c r="X1271" s="49" t="s">
        <v>1498</v>
      </c>
      <c r="Y1271" s="43" t="s">
        <v>1488</v>
      </c>
    </row>
    <row r="1272" spans="1:28" hidden="1">
      <c r="A1272" s="163" t="s">
        <v>1017</v>
      </c>
      <c r="B1272" s="164">
        <v>45687</v>
      </c>
      <c r="C1272" s="163" t="s">
        <v>451</v>
      </c>
      <c r="D1272" s="163" t="s">
        <v>281</v>
      </c>
      <c r="E1272" s="203" t="s">
        <v>301</v>
      </c>
      <c r="F1272" s="226">
        <v>-2712.16</v>
      </c>
      <c r="G1272" s="165">
        <f t="shared" si="29"/>
        <v>58043.451000000001</v>
      </c>
      <c r="H1272" s="163"/>
      <c r="I1272" s="163" t="s">
        <v>283</v>
      </c>
      <c r="J1272" s="163"/>
      <c r="K1272" s="163"/>
      <c r="L1272" s="163" t="s">
        <v>1424</v>
      </c>
      <c r="M1272" s="163"/>
      <c r="N1272" s="163" t="s">
        <v>978</v>
      </c>
      <c r="O1272" s="163"/>
      <c r="P1272" s="163"/>
      <c r="Q1272" s="163"/>
      <c r="R1272" s="163" t="s">
        <v>451</v>
      </c>
      <c r="S1272" s="163" t="s">
        <v>453</v>
      </c>
      <c r="T1272" s="43">
        <f t="shared" si="34"/>
        <v>1</v>
      </c>
      <c r="U1272" s="167">
        <f t="shared" si="31"/>
        <v>45688</v>
      </c>
      <c r="V1272" s="261">
        <v>45688</v>
      </c>
      <c r="W1272" s="43">
        <f t="shared" si="33"/>
        <v>1</v>
      </c>
      <c r="X1272" s="49" t="s">
        <v>1333</v>
      </c>
      <c r="Y1272" s="49" t="s">
        <v>26</v>
      </c>
    </row>
    <row r="1273" spans="1:28" hidden="1">
      <c r="A1273" s="163" t="s">
        <v>1017</v>
      </c>
      <c r="B1273" s="164">
        <v>45687</v>
      </c>
      <c r="C1273" s="163" t="s">
        <v>463</v>
      </c>
      <c r="D1273" s="163" t="s">
        <v>281</v>
      </c>
      <c r="E1273" s="163" t="s">
        <v>121</v>
      </c>
      <c r="F1273" s="267">
        <v>-126</v>
      </c>
      <c r="G1273" s="165">
        <f t="shared" si="29"/>
        <v>57917.451000000001</v>
      </c>
      <c r="H1273" s="163"/>
      <c r="I1273" s="163" t="s">
        <v>283</v>
      </c>
      <c r="J1273" s="163"/>
      <c r="K1273" s="163"/>
      <c r="L1273" s="163" t="s">
        <v>1424</v>
      </c>
      <c r="M1273" s="163"/>
      <c r="N1273" s="163" t="s">
        <v>978</v>
      </c>
      <c r="O1273" s="163"/>
      <c r="P1273" s="163"/>
      <c r="Q1273" s="163"/>
      <c r="R1273" s="163" t="s">
        <v>463</v>
      </c>
      <c r="S1273" s="163" t="s">
        <v>465</v>
      </c>
      <c r="T1273" s="43">
        <f t="shared" si="34"/>
        <v>1</v>
      </c>
      <c r="U1273" s="167">
        <f t="shared" si="31"/>
        <v>45688</v>
      </c>
      <c r="V1273" s="261">
        <v>45688</v>
      </c>
      <c r="W1273" s="43">
        <f t="shared" si="33"/>
        <v>1</v>
      </c>
      <c r="X1273" s="49" t="s">
        <v>1498</v>
      </c>
      <c r="Y1273" s="43" t="s">
        <v>1488</v>
      </c>
    </row>
    <row r="1274" spans="1:28" hidden="1">
      <c r="A1274" s="163" t="s">
        <v>1017</v>
      </c>
      <c r="B1274" s="164">
        <v>45687</v>
      </c>
      <c r="C1274" s="163" t="s">
        <v>469</v>
      </c>
      <c r="D1274" s="163" t="s">
        <v>281</v>
      </c>
      <c r="E1274" s="163" t="s">
        <v>121</v>
      </c>
      <c r="F1274" s="226">
        <v>-260</v>
      </c>
      <c r="G1274" s="165">
        <f t="shared" si="29"/>
        <v>57657.451000000001</v>
      </c>
      <c r="H1274" s="163"/>
      <c r="I1274" s="163" t="s">
        <v>283</v>
      </c>
      <c r="J1274" s="163"/>
      <c r="K1274" s="163"/>
      <c r="L1274" s="163" t="s">
        <v>1424</v>
      </c>
      <c r="M1274" s="163"/>
      <c r="N1274" s="163" t="s">
        <v>978</v>
      </c>
      <c r="O1274" s="163"/>
      <c r="P1274" s="163"/>
      <c r="Q1274" s="163"/>
      <c r="R1274" s="163" t="s">
        <v>469</v>
      </c>
      <c r="S1274" s="163" t="s">
        <v>471</v>
      </c>
      <c r="T1274" s="43">
        <f t="shared" si="34"/>
        <v>1</v>
      </c>
      <c r="U1274" s="167">
        <f t="shared" si="31"/>
        <v>45688</v>
      </c>
      <c r="V1274" s="261">
        <v>45688</v>
      </c>
      <c r="W1274" s="43">
        <f t="shared" si="33"/>
        <v>1</v>
      </c>
      <c r="X1274" s="49" t="s">
        <v>1498</v>
      </c>
      <c r="Y1274" s="43" t="s">
        <v>26</v>
      </c>
    </row>
    <row r="1275" spans="1:28" hidden="1">
      <c r="A1275" s="163" t="s">
        <v>1017</v>
      </c>
      <c r="B1275" s="164">
        <v>45687</v>
      </c>
      <c r="C1275" s="163" t="s">
        <v>358</v>
      </c>
      <c r="D1275" s="163" t="s">
        <v>281</v>
      </c>
      <c r="E1275" s="163" t="s">
        <v>121</v>
      </c>
      <c r="F1275" s="168"/>
      <c r="G1275" s="165">
        <f t="shared" si="29"/>
        <v>57657.451000000001</v>
      </c>
      <c r="H1275" s="163"/>
      <c r="I1275" s="163" t="s">
        <v>283</v>
      </c>
      <c r="J1275" s="163"/>
      <c r="K1275" s="163"/>
      <c r="L1275" s="163" t="s">
        <v>1062</v>
      </c>
      <c r="M1275" s="163"/>
      <c r="N1275" s="163" t="s">
        <v>978</v>
      </c>
      <c r="O1275" s="163"/>
      <c r="P1275" s="163"/>
      <c r="Q1275" s="163"/>
      <c r="R1275" s="163" t="s">
        <v>358</v>
      </c>
      <c r="S1275" s="163" t="s">
        <v>361</v>
      </c>
      <c r="T1275" s="43">
        <f t="shared" si="34"/>
        <v>1</v>
      </c>
      <c r="U1275" s="167">
        <f t="shared" si="31"/>
        <v>45688</v>
      </c>
      <c r="V1275" s="261">
        <v>45688</v>
      </c>
      <c r="W1275" s="43">
        <f t="shared" si="33"/>
        <v>1</v>
      </c>
      <c r="X1275" s="49" t="s">
        <v>1498</v>
      </c>
      <c r="Y1275" s="43" t="s">
        <v>26</v>
      </c>
    </row>
    <row r="1276" spans="1:28" hidden="1">
      <c r="A1276" s="163" t="s">
        <v>1017</v>
      </c>
      <c r="B1276" s="164">
        <v>45688</v>
      </c>
      <c r="C1276" s="163" t="s">
        <v>1287</v>
      </c>
      <c r="D1276" s="163" t="s">
        <v>281</v>
      </c>
      <c r="E1276" s="163" t="s">
        <v>1288</v>
      </c>
      <c r="F1276" s="204"/>
      <c r="G1276" s="165">
        <f t="shared" si="29"/>
        <v>57657.451000000001</v>
      </c>
      <c r="H1276" s="163"/>
      <c r="I1276" s="163" t="s">
        <v>283</v>
      </c>
      <c r="J1276" s="163"/>
      <c r="K1276" s="163"/>
      <c r="L1276" s="163" t="s">
        <v>1301</v>
      </c>
      <c r="M1276" s="163"/>
      <c r="N1276" s="163" t="s">
        <v>978</v>
      </c>
      <c r="O1276" s="163"/>
      <c r="P1276" s="163"/>
      <c r="Q1276" s="163"/>
      <c r="R1276" s="163" t="s">
        <v>1290</v>
      </c>
      <c r="S1276" s="163" t="s">
        <v>1291</v>
      </c>
      <c r="T1276" s="43">
        <f t="shared" si="34"/>
        <v>1</v>
      </c>
      <c r="U1276" s="167">
        <f t="shared" si="31"/>
        <v>45688</v>
      </c>
      <c r="W1276" s="43">
        <f t="shared" si="33"/>
        <v>1</v>
      </c>
      <c r="X1276" s="49" t="s">
        <v>1552</v>
      </c>
      <c r="Y1276" s="49" t="s">
        <v>25</v>
      </c>
    </row>
    <row r="1277" spans="1:28" hidden="1">
      <c r="A1277" s="163" t="s">
        <v>1017</v>
      </c>
      <c r="B1277" s="164">
        <v>45688</v>
      </c>
      <c r="C1277" s="163" t="s">
        <v>466</v>
      </c>
      <c r="D1277" s="163" t="s">
        <v>281</v>
      </c>
      <c r="E1277" s="163" t="s">
        <v>121</v>
      </c>
      <c r="F1277" s="226">
        <v>-210</v>
      </c>
      <c r="G1277" s="165">
        <f t="shared" si="29"/>
        <v>57447.451000000001</v>
      </c>
      <c r="H1277" s="163"/>
      <c r="I1277" s="163" t="s">
        <v>283</v>
      </c>
      <c r="J1277" s="163"/>
      <c r="K1277" s="163"/>
      <c r="L1277" s="163" t="s">
        <v>686</v>
      </c>
      <c r="M1277" s="163"/>
      <c r="N1277" s="163" t="s">
        <v>978</v>
      </c>
      <c r="O1277" s="163"/>
      <c r="P1277" s="163"/>
      <c r="Q1277" s="163"/>
      <c r="R1277" s="163" t="s">
        <v>466</v>
      </c>
      <c r="S1277" s="163" t="s">
        <v>468</v>
      </c>
      <c r="T1277" s="43">
        <f t="shared" si="34"/>
        <v>1</v>
      </c>
      <c r="U1277" s="167">
        <f t="shared" si="31"/>
        <v>45688</v>
      </c>
      <c r="W1277" s="43">
        <f t="shared" si="33"/>
        <v>1</v>
      </c>
      <c r="X1277" s="49" t="s">
        <v>1498</v>
      </c>
      <c r="Y1277" s="43" t="s">
        <v>26</v>
      </c>
    </row>
    <row r="1278" spans="1:28" hidden="1">
      <c r="A1278" s="163" t="s">
        <v>1017</v>
      </c>
      <c r="B1278" s="164">
        <v>45688</v>
      </c>
      <c r="C1278" s="163" t="s">
        <v>505</v>
      </c>
      <c r="D1278" s="163" t="s">
        <v>281</v>
      </c>
      <c r="E1278" s="163" t="s">
        <v>121</v>
      </c>
      <c r="F1278" s="185"/>
      <c r="G1278" s="165">
        <f t="shared" ref="G1278:G1532" si="35">F1278+G1277</f>
        <v>57447.451000000001</v>
      </c>
      <c r="H1278" s="163"/>
      <c r="I1278" s="163" t="s">
        <v>283</v>
      </c>
      <c r="J1278" s="163"/>
      <c r="K1278" s="163"/>
      <c r="L1278" s="163" t="s">
        <v>686</v>
      </c>
      <c r="M1278" s="163"/>
      <c r="N1278" s="163" t="s">
        <v>978</v>
      </c>
      <c r="O1278" s="163"/>
      <c r="P1278" s="163"/>
      <c r="Q1278" s="163"/>
      <c r="R1278" s="163" t="s">
        <v>505</v>
      </c>
      <c r="S1278" s="163" t="s">
        <v>507</v>
      </c>
      <c r="T1278" s="43">
        <f t="shared" si="34"/>
        <v>1</v>
      </c>
      <c r="U1278" s="167">
        <f t="shared" si="31"/>
        <v>45688</v>
      </c>
      <c r="W1278" s="43">
        <f t="shared" si="33"/>
        <v>1</v>
      </c>
      <c r="X1278" s="49" t="s">
        <v>1498</v>
      </c>
      <c r="Y1278" s="43" t="s">
        <v>105</v>
      </c>
    </row>
    <row r="1279" spans="1:28" hidden="1">
      <c r="A1279" s="163" t="s">
        <v>1017</v>
      </c>
      <c r="B1279" s="164">
        <v>45688</v>
      </c>
      <c r="C1279" s="163" t="s">
        <v>484</v>
      </c>
      <c r="D1279" s="163" t="s">
        <v>281</v>
      </c>
      <c r="E1279" s="163" t="s">
        <v>121</v>
      </c>
      <c r="F1279" s="226">
        <v>-99.6</v>
      </c>
      <c r="G1279" s="165">
        <f t="shared" si="35"/>
        <v>57347.851000000002</v>
      </c>
      <c r="H1279" s="163"/>
      <c r="I1279" s="163" t="s">
        <v>283</v>
      </c>
      <c r="J1279" s="163"/>
      <c r="K1279" s="163"/>
      <c r="L1279" s="163" t="s">
        <v>766</v>
      </c>
      <c r="M1279" s="163"/>
      <c r="N1279" s="163" t="s">
        <v>978</v>
      </c>
      <c r="O1279" s="163"/>
      <c r="P1279" s="163"/>
      <c r="Q1279" s="163"/>
      <c r="R1279" s="163" t="s">
        <v>484</v>
      </c>
      <c r="S1279" s="163" t="s">
        <v>487</v>
      </c>
      <c r="T1279" s="43">
        <f t="shared" si="34"/>
        <v>1</v>
      </c>
      <c r="U1279" s="167">
        <f t="shared" si="31"/>
        <v>45688</v>
      </c>
      <c r="W1279" s="43">
        <f t="shared" si="33"/>
        <v>1</v>
      </c>
      <c r="X1279" s="49" t="s">
        <v>1498</v>
      </c>
      <c r="Y1279" s="43" t="s">
        <v>86</v>
      </c>
    </row>
    <row r="1280" spans="1:28" hidden="1">
      <c r="A1280" s="163" t="s">
        <v>1017</v>
      </c>
      <c r="B1280" s="164">
        <v>45685</v>
      </c>
      <c r="C1280" s="163" t="s">
        <v>133</v>
      </c>
      <c r="D1280" s="163" t="s">
        <v>281</v>
      </c>
      <c r="E1280" s="163" t="s">
        <v>199</v>
      </c>
      <c r="F1280" s="226">
        <v>-870</v>
      </c>
      <c r="G1280" s="165">
        <f t="shared" si="35"/>
        <v>56477.851000000002</v>
      </c>
      <c r="H1280" s="163"/>
      <c r="I1280" s="163" t="s">
        <v>977</v>
      </c>
      <c r="J1280" s="163"/>
      <c r="K1280" s="163"/>
      <c r="L1280" s="163" t="s">
        <v>1062</v>
      </c>
      <c r="M1280" s="163"/>
      <c r="N1280" s="163" t="s">
        <v>978</v>
      </c>
      <c r="O1280" s="163"/>
      <c r="P1280" s="163"/>
      <c r="Q1280" s="163"/>
      <c r="R1280" s="163" t="s">
        <v>133</v>
      </c>
      <c r="S1280" s="163"/>
      <c r="T1280" s="43">
        <f t="shared" si="34"/>
        <v>1</v>
      </c>
      <c r="U1280" s="167">
        <f t="shared" si="31"/>
        <v>45688</v>
      </c>
      <c r="V1280" s="260">
        <v>45688</v>
      </c>
      <c r="W1280" s="43">
        <f t="shared" si="33"/>
        <v>1</v>
      </c>
      <c r="X1280" s="49" t="s">
        <v>1480</v>
      </c>
      <c r="Y1280" s="49" t="s">
        <v>94</v>
      </c>
    </row>
    <row r="1281" spans="1:28" hidden="1">
      <c r="A1281" s="163" t="s">
        <v>1017</v>
      </c>
      <c r="B1281" s="164">
        <v>45688</v>
      </c>
      <c r="C1281" s="163" t="s">
        <v>1155</v>
      </c>
      <c r="D1281" s="163" t="s">
        <v>281</v>
      </c>
      <c r="E1281" s="163" t="s">
        <v>392</v>
      </c>
      <c r="F1281" s="226">
        <v>-8606.89</v>
      </c>
      <c r="G1281" s="165">
        <f t="shared" si="35"/>
        <v>47870.961000000003</v>
      </c>
      <c r="H1281" s="163"/>
      <c r="I1281" s="163" t="s">
        <v>283</v>
      </c>
      <c r="J1281" s="163"/>
      <c r="K1281" s="163"/>
      <c r="L1281" s="163" t="s">
        <v>387</v>
      </c>
      <c r="M1281" s="163"/>
      <c r="N1281" s="163" t="s">
        <v>978</v>
      </c>
      <c r="O1281" s="163"/>
      <c r="P1281" s="163"/>
      <c r="Q1281" s="163"/>
      <c r="R1281" s="163" t="s">
        <v>1155</v>
      </c>
      <c r="S1281" s="163" t="s">
        <v>1156</v>
      </c>
      <c r="T1281" s="43">
        <f t="shared" si="34"/>
        <v>1</v>
      </c>
      <c r="U1281" s="167">
        <f t="shared" si="31"/>
        <v>45688</v>
      </c>
      <c r="W1281" s="43">
        <f t="shared" si="33"/>
        <v>1</v>
      </c>
      <c r="X1281" s="49" t="s">
        <v>392</v>
      </c>
      <c r="Y1281" s="49" t="s">
        <v>1443</v>
      </c>
    </row>
    <row r="1282" spans="1:28" hidden="1">
      <c r="A1282" s="163" t="s">
        <v>1017</v>
      </c>
      <c r="B1282" s="164">
        <v>45688</v>
      </c>
      <c r="C1282" s="163" t="s">
        <v>1287</v>
      </c>
      <c r="D1282" s="163" t="s">
        <v>281</v>
      </c>
      <c r="E1282" s="163" t="s">
        <v>1288</v>
      </c>
      <c r="F1282" s="226">
        <f>-5958.33</f>
        <v>-5958.33</v>
      </c>
      <c r="G1282" s="165">
        <f t="shared" si="35"/>
        <v>41912.631000000001</v>
      </c>
      <c r="H1282" s="163"/>
      <c r="I1282" s="163" t="s">
        <v>283</v>
      </c>
      <c r="J1282" s="163"/>
      <c r="K1282" s="163"/>
      <c r="L1282" s="163" t="s">
        <v>1639</v>
      </c>
      <c r="M1282" s="163"/>
      <c r="N1282" s="163" t="s">
        <v>978</v>
      </c>
      <c r="O1282" s="163"/>
      <c r="P1282" s="163"/>
      <c r="Q1282" s="163"/>
      <c r="R1282" s="163" t="s">
        <v>1290</v>
      </c>
      <c r="S1282" s="163" t="s">
        <v>1291</v>
      </c>
      <c r="T1282" s="43">
        <f t="shared" si="34"/>
        <v>1</v>
      </c>
      <c r="U1282" s="167">
        <f t="shared" si="31"/>
        <v>45688</v>
      </c>
      <c r="W1282" s="43">
        <f t="shared" si="33"/>
        <v>1</v>
      </c>
      <c r="X1282" s="49" t="s">
        <v>1552</v>
      </c>
      <c r="Y1282" s="49" t="s">
        <v>25</v>
      </c>
    </row>
    <row r="1283" spans="1:28" hidden="1">
      <c r="A1283" s="180" t="s">
        <v>1017</v>
      </c>
      <c r="B1283" s="181">
        <v>45688</v>
      </c>
      <c r="C1283" s="180" t="s">
        <v>1610</v>
      </c>
      <c r="D1283" s="180" t="s">
        <v>281</v>
      </c>
      <c r="E1283" s="180" t="s">
        <v>760</v>
      </c>
      <c r="F1283" s="226">
        <v>-2250</v>
      </c>
      <c r="G1283" s="165">
        <f t="shared" si="35"/>
        <v>39662.631000000001</v>
      </c>
      <c r="H1283" s="180"/>
      <c r="I1283" s="180" t="s">
        <v>342</v>
      </c>
      <c r="J1283" s="180"/>
      <c r="K1283" s="180"/>
      <c r="L1283" s="180" t="s">
        <v>1604</v>
      </c>
      <c r="M1283" s="180"/>
      <c r="N1283" s="180" t="s">
        <v>978</v>
      </c>
      <c r="O1283" s="180"/>
      <c r="P1283" s="180"/>
      <c r="Q1283" s="180"/>
      <c r="R1283" s="180" t="s">
        <v>1035</v>
      </c>
      <c r="S1283" s="180" t="s">
        <v>1036</v>
      </c>
      <c r="T1283" s="183">
        <f t="shared" si="34"/>
        <v>1</v>
      </c>
      <c r="U1283" s="184">
        <f t="shared" si="31"/>
        <v>45688</v>
      </c>
      <c r="V1283" s="199"/>
      <c r="W1283" s="43">
        <f t="shared" si="33"/>
        <v>1</v>
      </c>
      <c r="X1283" s="236" t="s">
        <v>1482</v>
      </c>
      <c r="Y1283" s="236" t="s">
        <v>78</v>
      </c>
      <c r="Z1283" s="183"/>
      <c r="AA1283" s="183"/>
      <c r="AB1283" s="183"/>
    </row>
    <row r="1284" spans="1:28" hidden="1">
      <c r="A1284" s="180" t="s">
        <v>1017</v>
      </c>
      <c r="B1284" s="181">
        <v>45688</v>
      </c>
      <c r="C1284" s="180" t="s">
        <v>1640</v>
      </c>
      <c r="D1284" s="180" t="s">
        <v>281</v>
      </c>
      <c r="E1284" s="180" t="s">
        <v>202</v>
      </c>
      <c r="F1284" s="226">
        <v>-1250</v>
      </c>
      <c r="G1284" s="165">
        <f t="shared" si="35"/>
        <v>38412.631000000001</v>
      </c>
      <c r="H1284" s="180"/>
      <c r="I1284" s="180" t="s">
        <v>342</v>
      </c>
      <c r="J1284" s="180"/>
      <c r="K1284" s="180"/>
      <c r="L1284" s="180" t="s">
        <v>805</v>
      </c>
      <c r="M1284" s="180"/>
      <c r="N1284" s="180" t="s">
        <v>978</v>
      </c>
      <c r="O1284" s="180"/>
      <c r="P1284" s="180"/>
      <c r="Q1284" s="180"/>
      <c r="R1284" s="180" t="s">
        <v>1292</v>
      </c>
      <c r="S1284" s="180" t="s">
        <v>1417</v>
      </c>
      <c r="T1284" s="183">
        <f t="shared" si="34"/>
        <v>1</v>
      </c>
      <c r="U1284" s="184">
        <f t="shared" si="31"/>
        <v>45688</v>
      </c>
      <c r="V1284" s="183"/>
      <c r="W1284" s="43">
        <f t="shared" si="33"/>
        <v>1</v>
      </c>
      <c r="X1284" s="49" t="s">
        <v>1526</v>
      </c>
      <c r="Y1284" s="49" t="s">
        <v>86</v>
      </c>
      <c r="Z1284" s="183"/>
      <c r="AA1284" s="183"/>
      <c r="AB1284" s="183"/>
    </row>
    <row r="1285" spans="1:28" hidden="1">
      <c r="A1285" s="180" t="s">
        <v>1017</v>
      </c>
      <c r="B1285" s="181">
        <v>45688</v>
      </c>
      <c r="C1285" s="180" t="s">
        <v>543</v>
      </c>
      <c r="D1285" s="180" t="s">
        <v>281</v>
      </c>
      <c r="E1285" s="180" t="s">
        <v>301</v>
      </c>
      <c r="F1285" s="226">
        <f>-218.65-156.66</f>
        <v>-375.31</v>
      </c>
      <c r="G1285" s="165">
        <f t="shared" si="35"/>
        <v>38037.321000000004</v>
      </c>
      <c r="H1285" s="180"/>
      <c r="I1285" s="180" t="s">
        <v>342</v>
      </c>
      <c r="J1285" s="180"/>
      <c r="K1285" s="180"/>
      <c r="L1285" s="180" t="s">
        <v>805</v>
      </c>
      <c r="M1285" s="180"/>
      <c r="N1285" s="180" t="s">
        <v>978</v>
      </c>
      <c r="O1285" s="180"/>
      <c r="P1285" s="180"/>
      <c r="Q1285" s="180"/>
      <c r="R1285" s="180" t="s">
        <v>1292</v>
      </c>
      <c r="S1285" s="180" t="s">
        <v>1417</v>
      </c>
      <c r="T1285" s="183">
        <f t="shared" si="34"/>
        <v>1</v>
      </c>
      <c r="U1285" s="184">
        <f t="shared" si="31"/>
        <v>45688</v>
      </c>
      <c r="V1285" s="183"/>
      <c r="W1285" s="43">
        <f t="shared" si="33"/>
        <v>1</v>
      </c>
      <c r="X1285" s="49" t="s">
        <v>1333</v>
      </c>
      <c r="Y1285" s="49" t="s">
        <v>26</v>
      </c>
      <c r="Z1285" s="183"/>
      <c r="AA1285" s="183"/>
      <c r="AB1285" s="183"/>
    </row>
    <row r="1286" spans="1:28" hidden="1">
      <c r="A1286" s="180" t="s">
        <v>1017</v>
      </c>
      <c r="B1286" s="181">
        <v>45688</v>
      </c>
      <c r="C1286" s="180" t="s">
        <v>1641</v>
      </c>
      <c r="D1286" s="180" t="s">
        <v>281</v>
      </c>
      <c r="E1286" s="180" t="s">
        <v>993</v>
      </c>
      <c r="F1286" s="226">
        <f>-25992.33</f>
        <v>-25992.33</v>
      </c>
      <c r="G1286" s="165">
        <f t="shared" si="35"/>
        <v>12044.991000000002</v>
      </c>
      <c r="H1286" s="180"/>
      <c r="I1286" s="180" t="s">
        <v>342</v>
      </c>
      <c r="J1286" s="180"/>
      <c r="K1286" s="180"/>
      <c r="L1286" s="180" t="s">
        <v>805</v>
      </c>
      <c r="M1286" s="180"/>
      <c r="N1286" s="180" t="s">
        <v>978</v>
      </c>
      <c r="O1286" s="180"/>
      <c r="P1286" s="180"/>
      <c r="Q1286" s="180"/>
      <c r="R1286" s="180" t="s">
        <v>1292</v>
      </c>
      <c r="S1286" s="180" t="s">
        <v>1417</v>
      </c>
      <c r="T1286" s="183">
        <f t="shared" si="34"/>
        <v>1</v>
      </c>
      <c r="U1286" s="184">
        <f t="shared" si="31"/>
        <v>45688</v>
      </c>
      <c r="V1286" s="183"/>
      <c r="W1286" s="43">
        <f t="shared" si="33"/>
        <v>1</v>
      </c>
      <c r="X1286" s="49" t="s">
        <v>1559</v>
      </c>
      <c r="Y1286" s="49" t="s">
        <v>78</v>
      </c>
      <c r="Z1286" s="183"/>
      <c r="AA1286" s="183"/>
      <c r="AB1286" s="183" t="s">
        <v>1642</v>
      </c>
    </row>
    <row r="1287" spans="1:28" hidden="1">
      <c r="A1287" s="163" t="s">
        <v>1017</v>
      </c>
      <c r="B1287" s="164">
        <v>45688</v>
      </c>
      <c r="C1287" s="163" t="s">
        <v>1305</v>
      </c>
      <c r="D1287" s="163" t="s">
        <v>281</v>
      </c>
      <c r="E1287" s="163" t="s">
        <v>199</v>
      </c>
      <c r="F1287" s="226">
        <v>-3000</v>
      </c>
      <c r="G1287" s="165">
        <f t="shared" si="35"/>
        <v>9044.9910000000018</v>
      </c>
      <c r="H1287" s="163"/>
      <c r="I1287" s="163" t="s">
        <v>342</v>
      </c>
      <c r="J1287" s="163"/>
      <c r="K1287" s="163"/>
      <c r="L1287" s="163" t="s">
        <v>1643</v>
      </c>
      <c r="M1287" s="163"/>
      <c r="N1287" s="163" t="s">
        <v>978</v>
      </c>
      <c r="O1287" s="163"/>
      <c r="P1287" s="163"/>
      <c r="Q1287" s="163"/>
      <c r="R1287" s="163" t="s">
        <v>1305</v>
      </c>
      <c r="S1287" s="163" t="s">
        <v>1306</v>
      </c>
      <c r="T1287" s="43">
        <f t="shared" si="34"/>
        <v>1</v>
      </c>
      <c r="U1287" s="167">
        <f t="shared" si="31"/>
        <v>45688</v>
      </c>
      <c r="V1287" s="166">
        <v>45688</v>
      </c>
      <c r="W1287" s="43">
        <f t="shared" si="33"/>
        <v>1</v>
      </c>
      <c r="X1287" s="49" t="s">
        <v>1480</v>
      </c>
      <c r="Y1287" s="49" t="s">
        <v>26</v>
      </c>
    </row>
    <row r="1288" spans="1:28" hidden="1">
      <c r="A1288" s="180" t="s">
        <v>1017</v>
      </c>
      <c r="B1288" s="181">
        <v>45688</v>
      </c>
      <c r="C1288" s="180" t="s">
        <v>1644</v>
      </c>
      <c r="D1288" s="180" t="s">
        <v>281</v>
      </c>
      <c r="E1288" s="180" t="s">
        <v>1288</v>
      </c>
      <c r="F1288" s="226">
        <v>-5000</v>
      </c>
      <c r="G1288" s="165">
        <f t="shared" si="35"/>
        <v>4044.9910000000018</v>
      </c>
      <c r="H1288" s="180"/>
      <c r="I1288" s="180" t="s">
        <v>283</v>
      </c>
      <c r="J1288" s="180"/>
      <c r="K1288" s="180"/>
      <c r="L1288" s="180" t="s">
        <v>1639</v>
      </c>
      <c r="M1288" s="180"/>
      <c r="N1288" s="180" t="s">
        <v>978</v>
      </c>
      <c r="O1288" s="180"/>
      <c r="P1288" s="180"/>
      <c r="Q1288" s="180"/>
      <c r="R1288" s="180" t="s">
        <v>1290</v>
      </c>
      <c r="S1288" s="180" t="s">
        <v>1291</v>
      </c>
      <c r="T1288" s="183">
        <f t="shared" si="34"/>
        <v>1</v>
      </c>
      <c r="U1288" s="184">
        <f t="shared" si="31"/>
        <v>45688</v>
      </c>
      <c r="V1288" s="183"/>
      <c r="W1288" s="43">
        <f t="shared" si="33"/>
        <v>1</v>
      </c>
      <c r="X1288" s="49" t="s">
        <v>1552</v>
      </c>
      <c r="Y1288" s="49" t="s">
        <v>26</v>
      </c>
      <c r="Z1288" s="183"/>
      <c r="AA1288" s="183"/>
      <c r="AB1288" s="183"/>
    </row>
    <row r="1289" spans="1:28" hidden="1">
      <c r="A1289" s="163" t="s">
        <v>1017</v>
      </c>
      <c r="B1289" s="164">
        <v>45659</v>
      </c>
      <c r="C1289" s="163" t="s">
        <v>1276</v>
      </c>
      <c r="D1289" s="163" t="s">
        <v>281</v>
      </c>
      <c r="E1289" s="163" t="s">
        <v>25</v>
      </c>
      <c r="F1289" s="226">
        <v>-1323.88</v>
      </c>
      <c r="G1289" s="165">
        <f t="shared" si="35"/>
        <v>2721.1110000000017</v>
      </c>
      <c r="H1289" s="163"/>
      <c r="I1289" s="163" t="s">
        <v>342</v>
      </c>
      <c r="J1289" s="163"/>
      <c r="K1289" s="163"/>
      <c r="L1289" s="163" t="s">
        <v>305</v>
      </c>
      <c r="M1289" s="163"/>
      <c r="N1289" s="163" t="s">
        <v>978</v>
      </c>
      <c r="O1289" s="163"/>
      <c r="P1289" s="163"/>
      <c r="Q1289" s="163"/>
      <c r="R1289" s="163" t="s">
        <v>1277</v>
      </c>
      <c r="S1289" s="163" t="s">
        <v>1278</v>
      </c>
      <c r="T1289" s="43">
        <f t="shared" si="34"/>
        <v>1</v>
      </c>
      <c r="U1289" s="167">
        <f t="shared" si="31"/>
        <v>45688</v>
      </c>
      <c r="V1289" s="166">
        <v>45688</v>
      </c>
      <c r="W1289" s="43">
        <f t="shared" si="33"/>
        <v>1</v>
      </c>
      <c r="X1289" s="49" t="s">
        <v>1566</v>
      </c>
      <c r="Y1289" s="49" t="s">
        <v>25</v>
      </c>
    </row>
    <row r="1290" spans="1:28" hidden="1">
      <c r="A1290" s="180" t="s">
        <v>1017</v>
      </c>
      <c r="B1290" s="164">
        <v>45688</v>
      </c>
      <c r="C1290" s="180" t="s">
        <v>1594</v>
      </c>
      <c r="D1290" s="180" t="s">
        <v>281</v>
      </c>
      <c r="E1290" s="163" t="s">
        <v>1514</v>
      </c>
      <c r="F1290" s="226">
        <v>-500</v>
      </c>
      <c r="G1290" s="165">
        <f t="shared" si="35"/>
        <v>2221.1110000000017</v>
      </c>
      <c r="H1290" s="180"/>
      <c r="I1290" s="180" t="s">
        <v>342</v>
      </c>
      <c r="J1290" s="180"/>
      <c r="K1290" s="180"/>
      <c r="L1290" s="180" t="s">
        <v>1604</v>
      </c>
      <c r="M1290" s="180"/>
      <c r="N1290" s="180" t="s">
        <v>978</v>
      </c>
      <c r="O1290" s="180"/>
      <c r="P1290" s="180"/>
      <c r="Q1290" s="180"/>
      <c r="R1290" s="180" t="s">
        <v>1035</v>
      </c>
      <c r="S1290" s="180" t="s">
        <v>1036</v>
      </c>
      <c r="T1290" s="183">
        <f t="shared" si="34"/>
        <v>1</v>
      </c>
      <c r="U1290" s="184">
        <f t="shared" si="31"/>
        <v>45688</v>
      </c>
      <c r="V1290" s="183"/>
      <c r="W1290" s="43">
        <f t="shared" si="33"/>
        <v>1</v>
      </c>
      <c r="X1290" s="43" t="s">
        <v>1381</v>
      </c>
      <c r="Y1290" s="43" t="s">
        <v>1479</v>
      </c>
      <c r="Z1290" s="183"/>
      <c r="AA1290" s="183"/>
      <c r="AB1290" s="183"/>
    </row>
    <row r="1291" spans="1:28" hidden="1">
      <c r="A1291" s="190" t="s">
        <v>1017</v>
      </c>
      <c r="B1291" s="225">
        <v>45688</v>
      </c>
      <c r="C1291" s="190" t="s">
        <v>330</v>
      </c>
      <c r="D1291" s="190" t="s">
        <v>281</v>
      </c>
      <c r="E1291" s="190" t="s">
        <v>330</v>
      </c>
      <c r="F1291" s="185">
        <f>-1.99-9</f>
        <v>-10.99</v>
      </c>
      <c r="G1291" s="165">
        <f t="shared" si="35"/>
        <v>2210.1210000000019</v>
      </c>
      <c r="H1291" s="190"/>
      <c r="I1291" s="190" t="s">
        <v>342</v>
      </c>
      <c r="J1291" s="190"/>
      <c r="K1291" s="190"/>
      <c r="L1291" s="190" t="s">
        <v>805</v>
      </c>
      <c r="M1291" s="190"/>
      <c r="N1291" s="190" t="s">
        <v>978</v>
      </c>
      <c r="O1291" s="190"/>
      <c r="P1291" s="190"/>
      <c r="Q1291" s="190"/>
      <c r="R1291" s="190" t="s">
        <v>1292</v>
      </c>
      <c r="S1291" s="190" t="s">
        <v>1417</v>
      </c>
      <c r="T1291" s="43">
        <f t="shared" si="34"/>
        <v>1</v>
      </c>
      <c r="U1291" s="167">
        <f t="shared" si="31"/>
        <v>45688</v>
      </c>
      <c r="V1291" s="43"/>
      <c r="W1291" s="43">
        <f t="shared" si="33"/>
        <v>1</v>
      </c>
      <c r="X1291" s="43" t="s">
        <v>1483</v>
      </c>
      <c r="Y1291" s="43" t="s">
        <v>1443</v>
      </c>
      <c r="Z1291" s="43"/>
      <c r="AA1291" s="43"/>
      <c r="AB1291" s="43"/>
    </row>
    <row r="1292" spans="1:28" hidden="1">
      <c r="A1292" s="163"/>
      <c r="B1292" s="164">
        <v>45688</v>
      </c>
      <c r="C1292" s="163" t="s">
        <v>346</v>
      </c>
      <c r="D1292" s="163"/>
      <c r="E1292" s="163"/>
      <c r="F1292" s="165">
        <v>0</v>
      </c>
      <c r="G1292" s="165">
        <f t="shared" si="35"/>
        <v>2210.1210000000019</v>
      </c>
      <c r="H1292" s="163"/>
      <c r="I1292" s="163"/>
      <c r="J1292" s="163"/>
      <c r="K1292" s="163"/>
      <c r="L1292" s="163"/>
      <c r="M1292" s="163"/>
      <c r="N1292" s="163"/>
      <c r="O1292" s="163"/>
      <c r="P1292" s="163"/>
      <c r="Q1292" s="163"/>
      <c r="R1292" s="163"/>
      <c r="S1292" s="163"/>
      <c r="T1292" s="43">
        <f t="shared" si="34"/>
        <v>1</v>
      </c>
      <c r="U1292" s="167">
        <f t="shared" si="31"/>
        <v>45688</v>
      </c>
      <c r="W1292" s="43">
        <f t="shared" si="33"/>
        <v>1</v>
      </c>
    </row>
    <row r="1293" spans="1:28" hidden="1">
      <c r="A1293" s="180" t="s">
        <v>1174</v>
      </c>
      <c r="B1293" s="164">
        <v>45687</v>
      </c>
      <c r="C1293" s="180" t="s">
        <v>1645</v>
      </c>
      <c r="D1293" s="180" t="s">
        <v>281</v>
      </c>
      <c r="E1293" s="180" t="s">
        <v>407</v>
      </c>
      <c r="F1293" s="197">
        <v>3416.67</v>
      </c>
      <c r="G1293" s="165">
        <f t="shared" si="35"/>
        <v>5626.791000000002</v>
      </c>
      <c r="H1293" s="180"/>
      <c r="I1293" s="180" t="s">
        <v>1176</v>
      </c>
      <c r="J1293" s="180" t="s">
        <v>1585</v>
      </c>
      <c r="K1293" s="180"/>
      <c r="L1293" s="180" t="s">
        <v>305</v>
      </c>
      <c r="M1293" s="180"/>
      <c r="N1293" s="180" t="s">
        <v>1178</v>
      </c>
      <c r="O1293" s="180" t="s">
        <v>1585</v>
      </c>
      <c r="P1293" s="180" t="s">
        <v>1586</v>
      </c>
      <c r="Q1293" s="180"/>
      <c r="R1293" s="180" t="s">
        <v>1587</v>
      </c>
      <c r="S1293" s="180" t="s">
        <v>1588</v>
      </c>
      <c r="T1293" s="183">
        <f t="shared" si="34"/>
        <v>1</v>
      </c>
      <c r="U1293" s="184">
        <f t="shared" si="31"/>
        <v>45691</v>
      </c>
      <c r="V1293" s="166">
        <v>45691</v>
      </c>
      <c r="W1293" s="43">
        <f t="shared" si="33"/>
        <v>2</v>
      </c>
      <c r="X1293" s="43" t="s">
        <v>1484</v>
      </c>
      <c r="Y1293" s="43" t="s">
        <v>1485</v>
      </c>
      <c r="Z1293" s="183"/>
      <c r="AA1293" s="183"/>
      <c r="AB1293" s="183"/>
    </row>
    <row r="1294" spans="1:28" ht="14.25" hidden="1" customHeight="1">
      <c r="A1294" s="180" t="s">
        <v>1017</v>
      </c>
      <c r="B1294" s="181">
        <v>45691</v>
      </c>
      <c r="C1294" s="180" t="s">
        <v>1487</v>
      </c>
      <c r="D1294" s="180" t="s">
        <v>281</v>
      </c>
      <c r="E1294" s="180" t="s">
        <v>282</v>
      </c>
      <c r="F1294" s="230">
        <v>17500</v>
      </c>
      <c r="G1294" s="165">
        <f t="shared" si="35"/>
        <v>23126.791000000001</v>
      </c>
      <c r="H1294" s="180"/>
      <c r="I1294" s="180" t="s">
        <v>977</v>
      </c>
      <c r="J1294" s="180"/>
      <c r="K1294" s="180"/>
      <c r="L1294" s="180" t="s">
        <v>366</v>
      </c>
      <c r="M1294" s="180"/>
      <c r="N1294" s="180" t="s">
        <v>978</v>
      </c>
      <c r="O1294" s="180"/>
      <c r="P1294" s="180"/>
      <c r="Q1294" s="180"/>
      <c r="R1294" s="180" t="s">
        <v>990</v>
      </c>
      <c r="S1294" s="180" t="s">
        <v>991</v>
      </c>
      <c r="T1294" s="183">
        <f t="shared" si="34"/>
        <v>2</v>
      </c>
      <c r="U1294" s="184">
        <f t="shared" si="31"/>
        <v>45691</v>
      </c>
      <c r="V1294" s="256"/>
      <c r="W1294" s="43">
        <f t="shared" si="33"/>
        <v>2</v>
      </c>
      <c r="X1294" s="183" t="s">
        <v>282</v>
      </c>
      <c r="Y1294" s="183" t="s">
        <v>1443</v>
      </c>
      <c r="Z1294" s="183" t="s">
        <v>1113</v>
      </c>
      <c r="AA1294" s="183" t="s">
        <v>1113</v>
      </c>
      <c r="AB1294" s="183"/>
    </row>
    <row r="1295" spans="1:28" hidden="1">
      <c r="A1295" s="163" t="s">
        <v>1017</v>
      </c>
      <c r="B1295" s="164">
        <v>45688</v>
      </c>
      <c r="C1295" s="163" t="s">
        <v>131</v>
      </c>
      <c r="D1295" s="163" t="s">
        <v>281</v>
      </c>
      <c r="E1295" s="163" t="s">
        <v>199</v>
      </c>
      <c r="F1295" s="169">
        <v>-5110</v>
      </c>
      <c r="G1295" s="165">
        <f t="shared" si="35"/>
        <v>18016.791000000001</v>
      </c>
      <c r="H1295" s="163"/>
      <c r="I1295" s="163" t="s">
        <v>977</v>
      </c>
      <c r="J1295" s="163"/>
      <c r="K1295" s="163"/>
      <c r="L1295" s="163" t="s">
        <v>1062</v>
      </c>
      <c r="M1295" s="163"/>
      <c r="N1295" s="163" t="s">
        <v>978</v>
      </c>
      <c r="O1295" s="163"/>
      <c r="P1295" s="163"/>
      <c r="Q1295" s="163"/>
      <c r="R1295" s="163" t="s">
        <v>131</v>
      </c>
      <c r="S1295" s="163"/>
      <c r="T1295" s="43">
        <f t="shared" si="34"/>
        <v>1</v>
      </c>
      <c r="U1295" s="167">
        <f t="shared" si="31"/>
        <v>45691</v>
      </c>
      <c r="V1295" s="145">
        <v>45691</v>
      </c>
      <c r="W1295" s="43">
        <f t="shared" si="33"/>
        <v>2</v>
      </c>
      <c r="X1295" s="49" t="s">
        <v>1480</v>
      </c>
      <c r="Y1295" s="49" t="s">
        <v>105</v>
      </c>
    </row>
    <row r="1296" spans="1:28" hidden="1">
      <c r="A1296" s="180" t="s">
        <v>1017</v>
      </c>
      <c r="B1296" s="181">
        <v>45688</v>
      </c>
      <c r="C1296" s="240" t="s">
        <v>1610</v>
      </c>
      <c r="D1296" s="180" t="s">
        <v>281</v>
      </c>
      <c r="E1296" s="180" t="s">
        <v>760</v>
      </c>
      <c r="F1296" s="169">
        <f>-1900/2</f>
        <v>-950</v>
      </c>
      <c r="G1296" s="165">
        <f t="shared" si="35"/>
        <v>17066.791000000001</v>
      </c>
      <c r="H1296" s="180"/>
      <c r="I1296" s="180" t="s">
        <v>342</v>
      </c>
      <c r="J1296" s="180"/>
      <c r="K1296" s="180"/>
      <c r="L1296" s="180" t="s">
        <v>1604</v>
      </c>
      <c r="M1296" s="180"/>
      <c r="N1296" s="180" t="s">
        <v>978</v>
      </c>
      <c r="O1296" s="180"/>
      <c r="P1296" s="180"/>
      <c r="Q1296" s="180"/>
      <c r="R1296" s="180" t="s">
        <v>1035</v>
      </c>
      <c r="S1296" s="180" t="s">
        <v>1036</v>
      </c>
      <c r="T1296" s="183">
        <f t="shared" si="34"/>
        <v>1</v>
      </c>
      <c r="U1296" s="184">
        <f t="shared" si="31"/>
        <v>45691</v>
      </c>
      <c r="V1296" s="166">
        <v>45691</v>
      </c>
      <c r="W1296" s="43">
        <f t="shared" si="33"/>
        <v>2</v>
      </c>
      <c r="X1296" s="236" t="s">
        <v>1482</v>
      </c>
      <c r="Y1296" s="236" t="s">
        <v>78</v>
      </c>
      <c r="Z1296" s="183"/>
      <c r="AA1296" s="183"/>
      <c r="AB1296" s="183"/>
    </row>
    <row r="1297" spans="1:28" hidden="1">
      <c r="A1297" s="163" t="s">
        <v>1174</v>
      </c>
      <c r="B1297" s="164">
        <v>45663</v>
      </c>
      <c r="C1297" s="163" t="s">
        <v>1646</v>
      </c>
      <c r="D1297" s="163" t="s">
        <v>281</v>
      </c>
      <c r="E1297" s="163" t="s">
        <v>407</v>
      </c>
      <c r="F1297" s="264"/>
      <c r="G1297" s="165">
        <f t="shared" si="35"/>
        <v>17066.791000000001</v>
      </c>
      <c r="H1297" s="163"/>
      <c r="I1297" s="163" t="s">
        <v>1176</v>
      </c>
      <c r="J1297" s="163" t="s">
        <v>1522</v>
      </c>
      <c r="K1297" s="163"/>
      <c r="L1297" s="163" t="s">
        <v>305</v>
      </c>
      <c r="M1297" s="163"/>
      <c r="N1297" s="163" t="s">
        <v>1178</v>
      </c>
      <c r="O1297" s="163" t="s">
        <v>1522</v>
      </c>
      <c r="P1297" s="163" t="s">
        <v>1523</v>
      </c>
      <c r="Q1297" s="163"/>
      <c r="R1297" s="163" t="s">
        <v>291</v>
      </c>
      <c r="S1297" s="163" t="s">
        <v>292</v>
      </c>
      <c r="T1297" s="43">
        <f t="shared" si="34"/>
        <v>1</v>
      </c>
      <c r="U1297" s="167">
        <f t="shared" si="31"/>
        <v>45691</v>
      </c>
      <c r="V1297" s="166">
        <v>45691</v>
      </c>
      <c r="W1297" s="43">
        <f t="shared" si="33"/>
        <v>2</v>
      </c>
      <c r="X1297" s="43" t="s">
        <v>1484</v>
      </c>
      <c r="Y1297" s="43" t="s">
        <v>1485</v>
      </c>
      <c r="AB1297" s="49" t="s">
        <v>1647</v>
      </c>
    </row>
    <row r="1298" spans="1:28" hidden="1">
      <c r="A1298" s="163" t="s">
        <v>1174</v>
      </c>
      <c r="B1298" s="164">
        <v>45677</v>
      </c>
      <c r="C1298" s="163" t="s">
        <v>1624</v>
      </c>
      <c r="D1298" s="163" t="s">
        <v>281</v>
      </c>
      <c r="E1298" s="163" t="s">
        <v>407</v>
      </c>
      <c r="F1298" s="165"/>
      <c r="G1298" s="165">
        <f t="shared" si="35"/>
        <v>17066.791000000001</v>
      </c>
      <c r="H1298" s="163"/>
      <c r="I1298" s="163" t="s">
        <v>1176</v>
      </c>
      <c r="J1298" s="163" t="s">
        <v>1625</v>
      </c>
      <c r="K1298" s="163"/>
      <c r="L1298" s="163" t="s">
        <v>305</v>
      </c>
      <c r="M1298" s="163"/>
      <c r="N1298" s="163" t="s">
        <v>1178</v>
      </c>
      <c r="O1298" s="163" t="s">
        <v>1625</v>
      </c>
      <c r="P1298" s="163" t="s">
        <v>351</v>
      </c>
      <c r="Q1298" s="163"/>
      <c r="R1298" s="163" t="s">
        <v>1626</v>
      </c>
      <c r="S1298" s="163" t="s">
        <v>1627</v>
      </c>
      <c r="T1298" s="43">
        <f t="shared" si="34"/>
        <v>1</v>
      </c>
      <c r="U1298" s="167">
        <f t="shared" si="31"/>
        <v>45691</v>
      </c>
      <c r="V1298" s="166">
        <v>45691</v>
      </c>
      <c r="W1298" s="43">
        <f t="shared" si="33"/>
        <v>2</v>
      </c>
      <c r="X1298" s="43" t="s">
        <v>1484</v>
      </c>
      <c r="Y1298" s="43" t="s">
        <v>1485</v>
      </c>
    </row>
    <row r="1299" spans="1:28" hidden="1">
      <c r="A1299" s="163" t="s">
        <v>1174</v>
      </c>
      <c r="B1299" s="164">
        <v>45667</v>
      </c>
      <c r="C1299" s="163" t="s">
        <v>1648</v>
      </c>
      <c r="D1299" s="163" t="s">
        <v>281</v>
      </c>
      <c r="E1299" s="163" t="s">
        <v>289</v>
      </c>
      <c r="F1299" s="165"/>
      <c r="G1299" s="165">
        <f t="shared" si="35"/>
        <v>17066.791000000001</v>
      </c>
      <c r="H1299" s="163"/>
      <c r="I1299" s="163" t="s">
        <v>1176</v>
      </c>
      <c r="J1299" s="163" t="s">
        <v>1357</v>
      </c>
      <c r="K1299" s="163"/>
      <c r="L1299" s="163" t="s">
        <v>305</v>
      </c>
      <c r="M1299" s="163"/>
      <c r="N1299" s="163" t="s">
        <v>1178</v>
      </c>
      <c r="O1299" s="163" t="s">
        <v>1357</v>
      </c>
      <c r="P1299" s="163" t="s">
        <v>1358</v>
      </c>
      <c r="Q1299" s="163"/>
      <c r="R1299" s="163" t="s">
        <v>1359</v>
      </c>
      <c r="S1299" s="163" t="s">
        <v>1360</v>
      </c>
      <c r="T1299" s="43">
        <f t="shared" si="34"/>
        <v>1</v>
      </c>
      <c r="U1299" s="167">
        <f t="shared" si="31"/>
        <v>45691</v>
      </c>
      <c r="V1299" s="166">
        <v>45691</v>
      </c>
      <c r="W1299" s="43">
        <f t="shared" si="33"/>
        <v>2</v>
      </c>
      <c r="X1299" s="49" t="s">
        <v>1484</v>
      </c>
      <c r="Y1299" s="49" t="s">
        <v>78</v>
      </c>
    </row>
    <row r="1300" spans="1:28" hidden="1">
      <c r="A1300" s="163" t="s">
        <v>1174</v>
      </c>
      <c r="B1300" s="164">
        <v>45667</v>
      </c>
      <c r="C1300" s="163" t="s">
        <v>1616</v>
      </c>
      <c r="D1300" s="163" t="s">
        <v>281</v>
      </c>
      <c r="E1300" s="163" t="s">
        <v>289</v>
      </c>
      <c r="F1300" s="165"/>
      <c r="G1300" s="165">
        <f t="shared" si="35"/>
        <v>17066.791000000001</v>
      </c>
      <c r="H1300" s="163"/>
      <c r="I1300" s="163" t="s">
        <v>1176</v>
      </c>
      <c r="J1300" s="163" t="s">
        <v>1357</v>
      </c>
      <c r="K1300" s="163"/>
      <c r="L1300" s="163" t="s">
        <v>305</v>
      </c>
      <c r="M1300" s="163"/>
      <c r="N1300" s="163" t="s">
        <v>1178</v>
      </c>
      <c r="O1300" s="163" t="s">
        <v>1357</v>
      </c>
      <c r="P1300" s="163" t="s">
        <v>1358</v>
      </c>
      <c r="Q1300" s="163"/>
      <c r="R1300" s="163" t="s">
        <v>1359</v>
      </c>
      <c r="S1300" s="163" t="s">
        <v>1360</v>
      </c>
      <c r="T1300" s="43">
        <f t="shared" si="34"/>
        <v>1</v>
      </c>
      <c r="U1300" s="167">
        <f t="shared" si="31"/>
        <v>45691</v>
      </c>
      <c r="V1300" s="166">
        <v>45691</v>
      </c>
      <c r="W1300" s="43">
        <f t="shared" si="33"/>
        <v>2</v>
      </c>
      <c r="X1300" s="49" t="s">
        <v>1484</v>
      </c>
      <c r="Y1300" s="49" t="s">
        <v>78</v>
      </c>
    </row>
    <row r="1301" spans="1:28" hidden="1">
      <c r="A1301" s="163" t="s">
        <v>1174</v>
      </c>
      <c r="B1301" s="164">
        <v>45667</v>
      </c>
      <c r="C1301" s="163" t="s">
        <v>1356</v>
      </c>
      <c r="D1301" s="163" t="s">
        <v>281</v>
      </c>
      <c r="E1301" s="163" t="s">
        <v>289</v>
      </c>
      <c r="F1301" s="165"/>
      <c r="G1301" s="165">
        <f t="shared" si="35"/>
        <v>17066.791000000001</v>
      </c>
      <c r="H1301" s="163"/>
      <c r="I1301" s="163" t="s">
        <v>1176</v>
      </c>
      <c r="J1301" s="163" t="s">
        <v>1357</v>
      </c>
      <c r="K1301" s="163"/>
      <c r="L1301" s="163" t="s">
        <v>305</v>
      </c>
      <c r="M1301" s="163"/>
      <c r="N1301" s="163" t="s">
        <v>1178</v>
      </c>
      <c r="O1301" s="163" t="s">
        <v>1357</v>
      </c>
      <c r="P1301" s="163" t="s">
        <v>1358</v>
      </c>
      <c r="Q1301" s="163"/>
      <c r="R1301" s="163" t="s">
        <v>1359</v>
      </c>
      <c r="S1301" s="163" t="s">
        <v>1360</v>
      </c>
      <c r="T1301" s="43">
        <f t="shared" si="34"/>
        <v>1</v>
      </c>
      <c r="U1301" s="167">
        <f t="shared" si="31"/>
        <v>45691</v>
      </c>
      <c r="V1301" s="166">
        <v>45691</v>
      </c>
      <c r="W1301" s="43">
        <f t="shared" si="33"/>
        <v>2</v>
      </c>
      <c r="X1301" s="49" t="s">
        <v>1484</v>
      </c>
      <c r="Y1301" s="49" t="s">
        <v>78</v>
      </c>
    </row>
    <row r="1302" spans="1:28" hidden="1">
      <c r="A1302" s="163" t="s">
        <v>1174</v>
      </c>
      <c r="B1302" s="164">
        <v>45691</v>
      </c>
      <c r="C1302" s="163" t="s">
        <v>1505</v>
      </c>
      <c r="D1302" s="163" t="s">
        <v>281</v>
      </c>
      <c r="E1302" s="163" t="s">
        <v>289</v>
      </c>
      <c r="F1302" s="197">
        <v>2953.91</v>
      </c>
      <c r="G1302" s="165">
        <f t="shared" si="35"/>
        <v>20020.701000000001</v>
      </c>
      <c r="H1302" s="163"/>
      <c r="I1302" s="163" t="s">
        <v>1176</v>
      </c>
      <c r="J1302" s="163" t="s">
        <v>1506</v>
      </c>
      <c r="K1302" s="163"/>
      <c r="L1302" s="163" t="s">
        <v>305</v>
      </c>
      <c r="M1302" s="163"/>
      <c r="N1302" s="163" t="s">
        <v>1178</v>
      </c>
      <c r="O1302" s="163" t="s">
        <v>1506</v>
      </c>
      <c r="P1302" s="163"/>
      <c r="Q1302" s="163"/>
      <c r="R1302" s="163" t="s">
        <v>1507</v>
      </c>
      <c r="S1302" s="163" t="s">
        <v>1508</v>
      </c>
      <c r="T1302" s="43">
        <f t="shared" si="34"/>
        <v>2</v>
      </c>
      <c r="U1302" s="167">
        <f t="shared" si="31"/>
        <v>45691</v>
      </c>
      <c r="V1302" s="166">
        <v>45691</v>
      </c>
      <c r="W1302" s="43">
        <f t="shared" si="33"/>
        <v>2</v>
      </c>
      <c r="X1302" s="49" t="s">
        <v>1484</v>
      </c>
      <c r="Y1302" s="49" t="s">
        <v>78</v>
      </c>
    </row>
    <row r="1303" spans="1:28" hidden="1">
      <c r="A1303" s="163" t="s">
        <v>1017</v>
      </c>
      <c r="B1303" s="164">
        <v>45691</v>
      </c>
      <c r="C1303" s="163" t="s">
        <v>1649</v>
      </c>
      <c r="D1303" s="163" t="s">
        <v>281</v>
      </c>
      <c r="E1303" s="163" t="s">
        <v>1514</v>
      </c>
      <c r="F1303" s="169">
        <v>-399</v>
      </c>
      <c r="G1303" s="165">
        <f t="shared" si="35"/>
        <v>19621.701000000001</v>
      </c>
      <c r="H1303" s="163"/>
      <c r="I1303" s="163" t="s">
        <v>977</v>
      </c>
      <c r="J1303" s="163"/>
      <c r="K1303" s="163"/>
      <c r="L1303" s="163" t="s">
        <v>1650</v>
      </c>
      <c r="M1303" s="163"/>
      <c r="N1303" s="163" t="s">
        <v>978</v>
      </c>
      <c r="O1303" s="163"/>
      <c r="P1303" s="163"/>
      <c r="Q1303" s="163"/>
      <c r="R1303" s="163" t="s">
        <v>1015</v>
      </c>
      <c r="S1303" s="163" t="s">
        <v>1016</v>
      </c>
      <c r="T1303" s="43">
        <f t="shared" si="34"/>
        <v>2</v>
      </c>
      <c r="U1303" s="167">
        <f t="shared" si="31"/>
        <v>45691</v>
      </c>
      <c r="V1303" s="261"/>
      <c r="W1303" s="43">
        <f t="shared" si="33"/>
        <v>2</v>
      </c>
      <c r="X1303" s="49" t="s">
        <v>1480</v>
      </c>
      <c r="Y1303" s="49" t="s">
        <v>26</v>
      </c>
    </row>
    <row r="1304" spans="1:28" hidden="1">
      <c r="A1304" s="190" t="s">
        <v>1017</v>
      </c>
      <c r="B1304" s="164">
        <v>45691</v>
      </c>
      <c r="C1304" s="190" t="s">
        <v>330</v>
      </c>
      <c r="D1304" s="190" t="s">
        <v>281</v>
      </c>
      <c r="E1304" s="190" t="s">
        <v>330</v>
      </c>
      <c r="F1304" s="185">
        <f>-1.99*2-1.5</f>
        <v>-5.48</v>
      </c>
      <c r="G1304" s="165">
        <f t="shared" si="35"/>
        <v>19616.221000000001</v>
      </c>
      <c r="H1304" s="190"/>
      <c r="I1304" s="190" t="s">
        <v>342</v>
      </c>
      <c r="J1304" s="190"/>
      <c r="K1304" s="190"/>
      <c r="L1304" s="190" t="s">
        <v>805</v>
      </c>
      <c r="M1304" s="190"/>
      <c r="N1304" s="190" t="s">
        <v>978</v>
      </c>
      <c r="O1304" s="190"/>
      <c r="P1304" s="190"/>
      <c r="Q1304" s="190"/>
      <c r="R1304" s="190" t="s">
        <v>1292</v>
      </c>
      <c r="S1304" s="190" t="s">
        <v>1417</v>
      </c>
      <c r="T1304" s="43">
        <f t="shared" si="34"/>
        <v>2</v>
      </c>
      <c r="U1304" s="167">
        <f t="shared" si="31"/>
        <v>45691</v>
      </c>
      <c r="V1304" s="43"/>
      <c r="W1304" s="43">
        <f t="shared" si="33"/>
        <v>2</v>
      </c>
      <c r="X1304" s="43" t="s">
        <v>1483</v>
      </c>
      <c r="Y1304" s="43" t="s">
        <v>1443</v>
      </c>
      <c r="Z1304" s="43"/>
      <c r="AA1304" s="43"/>
      <c r="AB1304" s="43"/>
    </row>
    <row r="1305" spans="1:28" hidden="1">
      <c r="A1305" s="163" t="s">
        <v>1017</v>
      </c>
      <c r="B1305" s="164">
        <v>45691</v>
      </c>
      <c r="C1305" s="163" t="s">
        <v>1001</v>
      </c>
      <c r="D1305" s="163" t="s">
        <v>281</v>
      </c>
      <c r="E1305" s="163" t="s">
        <v>199</v>
      </c>
      <c r="F1305" s="169">
        <v>-13000</v>
      </c>
      <c r="G1305" s="165">
        <f t="shared" si="35"/>
        <v>6616.2210000000014</v>
      </c>
      <c r="H1305" s="163"/>
      <c r="I1305" s="163" t="s">
        <v>977</v>
      </c>
      <c r="J1305" s="163"/>
      <c r="K1305" s="163"/>
      <c r="L1305" s="163" t="s">
        <v>485</v>
      </c>
      <c r="M1305" s="163"/>
      <c r="N1305" s="163" t="s">
        <v>978</v>
      </c>
      <c r="O1305" s="163"/>
      <c r="P1305" s="163"/>
      <c r="Q1305" s="163"/>
      <c r="R1305" s="163" t="s">
        <v>1001</v>
      </c>
      <c r="S1305" s="163"/>
      <c r="T1305" s="43">
        <f t="shared" si="34"/>
        <v>2</v>
      </c>
      <c r="U1305" s="167">
        <f t="shared" si="31"/>
        <v>45691</v>
      </c>
      <c r="W1305" s="43">
        <f t="shared" si="33"/>
        <v>2</v>
      </c>
      <c r="X1305" s="49" t="s">
        <v>1480</v>
      </c>
      <c r="Y1305" s="49" t="s">
        <v>26</v>
      </c>
    </row>
    <row r="1306" spans="1:28" hidden="1">
      <c r="A1306" s="163" t="s">
        <v>1017</v>
      </c>
      <c r="B1306" s="164">
        <v>45691</v>
      </c>
      <c r="C1306" s="163" t="s">
        <v>132</v>
      </c>
      <c r="D1306" s="163" t="s">
        <v>281</v>
      </c>
      <c r="E1306" s="163" t="s">
        <v>199</v>
      </c>
      <c r="F1306" s="169">
        <v>-105</v>
      </c>
      <c r="G1306" s="165">
        <f t="shared" si="35"/>
        <v>6511.2210000000014</v>
      </c>
      <c r="H1306" s="163"/>
      <c r="I1306" s="163" t="s">
        <v>977</v>
      </c>
      <c r="J1306" s="163"/>
      <c r="K1306" s="163"/>
      <c r="L1306" s="163" t="s">
        <v>477</v>
      </c>
      <c r="M1306" s="163"/>
      <c r="N1306" s="163" t="s">
        <v>978</v>
      </c>
      <c r="O1306" s="163"/>
      <c r="P1306" s="163"/>
      <c r="Q1306" s="163"/>
      <c r="R1306" s="163" t="s">
        <v>132</v>
      </c>
      <c r="S1306" s="163"/>
      <c r="T1306" s="43">
        <f t="shared" si="34"/>
        <v>2</v>
      </c>
      <c r="U1306" s="167">
        <f t="shared" si="31"/>
        <v>45691</v>
      </c>
      <c r="W1306" s="43">
        <f t="shared" si="33"/>
        <v>2</v>
      </c>
      <c r="X1306" s="49" t="s">
        <v>1480</v>
      </c>
      <c r="Y1306" s="49" t="s">
        <v>105</v>
      </c>
    </row>
    <row r="1307" spans="1:28" hidden="1">
      <c r="A1307" s="180" t="s">
        <v>1017</v>
      </c>
      <c r="B1307" s="181">
        <v>45691</v>
      </c>
      <c r="C1307" s="180" t="s">
        <v>1087</v>
      </c>
      <c r="D1307" s="180" t="s">
        <v>281</v>
      </c>
      <c r="E1307" s="180" t="s">
        <v>1337</v>
      </c>
      <c r="F1307" s="182"/>
      <c r="G1307" s="165">
        <f t="shared" si="35"/>
        <v>6511.2210000000014</v>
      </c>
      <c r="H1307" s="180"/>
      <c r="I1307" s="180" t="s">
        <v>283</v>
      </c>
      <c r="J1307" s="180"/>
      <c r="K1307" s="180"/>
      <c r="L1307" s="180" t="s">
        <v>485</v>
      </c>
      <c r="M1307" s="180"/>
      <c r="N1307" s="180" t="s">
        <v>978</v>
      </c>
      <c r="O1307" s="180"/>
      <c r="P1307" s="180"/>
      <c r="Q1307" s="180"/>
      <c r="R1307" s="180" t="s">
        <v>669</v>
      </c>
      <c r="S1307" s="180" t="s">
        <v>1492</v>
      </c>
      <c r="T1307" s="183">
        <f t="shared" si="34"/>
        <v>2</v>
      </c>
      <c r="U1307" s="184">
        <f t="shared" si="31"/>
        <v>45691</v>
      </c>
      <c r="V1307" s="183"/>
      <c r="W1307" s="43">
        <f t="shared" si="33"/>
        <v>2</v>
      </c>
      <c r="X1307" s="183" t="s">
        <v>1381</v>
      </c>
      <c r="Y1307" s="183" t="s">
        <v>1479</v>
      </c>
      <c r="Z1307" s="183"/>
      <c r="AA1307" s="183"/>
      <c r="AB1307" s="183"/>
    </row>
    <row r="1308" spans="1:28" hidden="1">
      <c r="A1308" s="180" t="s">
        <v>1017</v>
      </c>
      <c r="B1308" s="181">
        <v>45691</v>
      </c>
      <c r="C1308" s="180" t="s">
        <v>1010</v>
      </c>
      <c r="D1308" s="180" t="s">
        <v>281</v>
      </c>
      <c r="E1308" s="180" t="s">
        <v>199</v>
      </c>
      <c r="F1308" s="169">
        <v>-1200</v>
      </c>
      <c r="G1308" s="165">
        <f t="shared" si="35"/>
        <v>5311.2210000000014</v>
      </c>
      <c r="H1308" s="180"/>
      <c r="I1308" s="180" t="s">
        <v>283</v>
      </c>
      <c r="J1308" s="180"/>
      <c r="K1308" s="180"/>
      <c r="L1308" s="180" t="s">
        <v>485</v>
      </c>
      <c r="M1308" s="180"/>
      <c r="N1308" s="180" t="s">
        <v>978</v>
      </c>
      <c r="O1308" s="180"/>
      <c r="P1308" s="180"/>
      <c r="Q1308" s="180"/>
      <c r="R1308" s="180" t="s">
        <v>669</v>
      </c>
      <c r="S1308" s="180" t="s">
        <v>1492</v>
      </c>
      <c r="T1308" s="183">
        <f t="shared" si="34"/>
        <v>2</v>
      </c>
      <c r="U1308" s="184">
        <f t="shared" si="31"/>
        <v>45691</v>
      </c>
      <c r="V1308" s="183"/>
      <c r="W1308" s="43">
        <f t="shared" si="33"/>
        <v>2</v>
      </c>
      <c r="X1308" s="206" t="s">
        <v>1478</v>
      </c>
      <c r="Y1308" s="206" t="s">
        <v>26</v>
      </c>
      <c r="Z1308" s="183"/>
      <c r="AA1308" s="183"/>
      <c r="AB1308" s="183"/>
    </row>
    <row r="1309" spans="1:28" hidden="1">
      <c r="A1309" s="163"/>
      <c r="B1309" s="164">
        <v>45691</v>
      </c>
      <c r="C1309" s="163" t="s">
        <v>346</v>
      </c>
      <c r="D1309" s="163"/>
      <c r="E1309" s="163"/>
      <c r="F1309" s="165">
        <v>0</v>
      </c>
      <c r="G1309" s="165">
        <f t="shared" si="35"/>
        <v>5311.2210000000014</v>
      </c>
      <c r="H1309" s="163"/>
      <c r="I1309" s="163"/>
      <c r="J1309" s="163"/>
      <c r="K1309" s="163"/>
      <c r="L1309" s="163"/>
      <c r="M1309" s="163"/>
      <c r="N1309" s="163"/>
      <c r="O1309" s="163"/>
      <c r="P1309" s="163"/>
      <c r="Q1309" s="163"/>
      <c r="R1309" s="163"/>
      <c r="S1309" s="163"/>
      <c r="T1309" s="43">
        <f t="shared" si="34"/>
        <v>2</v>
      </c>
      <c r="U1309" s="167">
        <f t="shared" si="31"/>
        <v>45691</v>
      </c>
      <c r="W1309" s="43">
        <f t="shared" si="33"/>
        <v>2</v>
      </c>
    </row>
    <row r="1310" spans="1:28" hidden="1">
      <c r="A1310" s="163" t="s">
        <v>1174</v>
      </c>
      <c r="B1310" s="164">
        <v>45693</v>
      </c>
      <c r="C1310" s="163" t="s">
        <v>67</v>
      </c>
      <c r="D1310" s="163" t="s">
        <v>281</v>
      </c>
      <c r="E1310" s="163" t="s">
        <v>407</v>
      </c>
      <c r="F1310" s="197">
        <v>2950</v>
      </c>
      <c r="G1310" s="165">
        <f t="shared" si="35"/>
        <v>8261.2210000000014</v>
      </c>
      <c r="H1310" s="163"/>
      <c r="I1310" s="163" t="s">
        <v>1176</v>
      </c>
      <c r="J1310" s="163" t="s">
        <v>1321</v>
      </c>
      <c r="K1310" s="163"/>
      <c r="L1310" s="163" t="s">
        <v>305</v>
      </c>
      <c r="M1310" s="163"/>
      <c r="N1310" s="163" t="s">
        <v>1178</v>
      </c>
      <c r="O1310" s="163" t="s">
        <v>1321</v>
      </c>
      <c r="P1310" s="163" t="s">
        <v>418</v>
      </c>
      <c r="Q1310" s="163"/>
      <c r="R1310" s="163" t="s">
        <v>419</v>
      </c>
      <c r="S1310" s="163" t="s">
        <v>420</v>
      </c>
      <c r="T1310" s="43">
        <f t="shared" si="34"/>
        <v>2</v>
      </c>
      <c r="U1310" s="167">
        <f t="shared" si="31"/>
        <v>45692</v>
      </c>
      <c r="V1310" s="261">
        <v>45692</v>
      </c>
      <c r="W1310" s="43">
        <f t="shared" si="33"/>
        <v>2</v>
      </c>
      <c r="X1310" s="43" t="s">
        <v>1484</v>
      </c>
      <c r="Y1310" s="43" t="s">
        <v>1485</v>
      </c>
    </row>
    <row r="1311" spans="1:28" hidden="1">
      <c r="A1311" s="163" t="s">
        <v>1017</v>
      </c>
      <c r="B1311" s="164">
        <v>45692</v>
      </c>
      <c r="C1311" s="163" t="s">
        <v>1295</v>
      </c>
      <c r="D1311" s="163" t="s">
        <v>281</v>
      </c>
      <c r="E1311" s="163" t="s">
        <v>199</v>
      </c>
      <c r="F1311" s="169">
        <v>-880</v>
      </c>
      <c r="G1311" s="165">
        <f t="shared" si="35"/>
        <v>7381.2210000000014</v>
      </c>
      <c r="H1311" s="163"/>
      <c r="I1311" s="163" t="s">
        <v>342</v>
      </c>
      <c r="J1311" s="163"/>
      <c r="K1311" s="163"/>
      <c r="L1311" s="163" t="s">
        <v>477</v>
      </c>
      <c r="M1311" s="163"/>
      <c r="N1311" s="163" t="s">
        <v>978</v>
      </c>
      <c r="O1311" s="163"/>
      <c r="P1311" s="163"/>
      <c r="Q1311" s="163"/>
      <c r="R1311" s="163" t="s">
        <v>1295</v>
      </c>
      <c r="S1311" s="163"/>
      <c r="T1311" s="43">
        <f t="shared" si="34"/>
        <v>2</v>
      </c>
      <c r="U1311" s="167">
        <f t="shared" si="31"/>
        <v>45692</v>
      </c>
      <c r="W1311" s="43">
        <f t="shared" si="33"/>
        <v>2</v>
      </c>
      <c r="X1311" s="43" t="s">
        <v>1480</v>
      </c>
      <c r="Y1311" s="43" t="s">
        <v>86</v>
      </c>
    </row>
    <row r="1312" spans="1:28" hidden="1">
      <c r="A1312" s="163" t="s">
        <v>1017</v>
      </c>
      <c r="B1312" s="164">
        <v>45692</v>
      </c>
      <c r="C1312" s="163" t="s">
        <v>126</v>
      </c>
      <c r="D1312" s="163" t="s">
        <v>281</v>
      </c>
      <c r="E1312" s="163" t="s">
        <v>199</v>
      </c>
      <c r="F1312" s="169">
        <v>-120</v>
      </c>
      <c r="G1312" s="165">
        <f t="shared" si="35"/>
        <v>7261.2210000000014</v>
      </c>
      <c r="H1312" s="163"/>
      <c r="I1312" s="163" t="s">
        <v>977</v>
      </c>
      <c r="J1312" s="163"/>
      <c r="K1312" s="163"/>
      <c r="L1312" s="163" t="s">
        <v>1062</v>
      </c>
      <c r="M1312" s="163"/>
      <c r="N1312" s="163" t="s">
        <v>978</v>
      </c>
      <c r="O1312" s="163"/>
      <c r="P1312" s="163"/>
      <c r="Q1312" s="163"/>
      <c r="R1312" s="163" t="s">
        <v>126</v>
      </c>
      <c r="S1312" s="163"/>
      <c r="T1312" s="43">
        <f t="shared" si="34"/>
        <v>2</v>
      </c>
      <c r="U1312" s="167">
        <f t="shared" si="31"/>
        <v>45692</v>
      </c>
      <c r="W1312" s="43">
        <f t="shared" si="33"/>
        <v>2</v>
      </c>
      <c r="X1312" s="49" t="s">
        <v>1480</v>
      </c>
      <c r="Y1312" s="49" t="s">
        <v>25</v>
      </c>
    </row>
    <row r="1313" spans="1:28" hidden="1">
      <c r="A1313" s="163" t="s">
        <v>1017</v>
      </c>
      <c r="B1313" s="164">
        <v>45692</v>
      </c>
      <c r="C1313" s="163" t="s">
        <v>989</v>
      </c>
      <c r="D1313" s="163" t="s">
        <v>281</v>
      </c>
      <c r="E1313" s="163" t="s">
        <v>199</v>
      </c>
      <c r="F1313" s="169">
        <v>-1900</v>
      </c>
      <c r="G1313" s="165">
        <f t="shared" si="35"/>
        <v>5361.2210000000014</v>
      </c>
      <c r="H1313" s="163"/>
      <c r="I1313" s="163" t="s">
        <v>977</v>
      </c>
      <c r="J1313" s="163"/>
      <c r="K1313" s="163"/>
      <c r="L1313" s="163" t="s">
        <v>477</v>
      </c>
      <c r="M1313" s="163"/>
      <c r="N1313" s="163" t="s">
        <v>978</v>
      </c>
      <c r="O1313" s="163"/>
      <c r="P1313" s="163"/>
      <c r="Q1313" s="163"/>
      <c r="R1313" s="163" t="s">
        <v>990</v>
      </c>
      <c r="S1313" s="163" t="s">
        <v>991</v>
      </c>
      <c r="T1313" s="43">
        <f t="shared" si="34"/>
        <v>2</v>
      </c>
      <c r="U1313" s="167">
        <f t="shared" si="31"/>
        <v>45692</v>
      </c>
      <c r="W1313" s="43">
        <f t="shared" si="33"/>
        <v>2</v>
      </c>
      <c r="X1313" s="43" t="s">
        <v>1480</v>
      </c>
      <c r="Y1313" s="43" t="s">
        <v>86</v>
      </c>
    </row>
    <row r="1314" spans="1:28" hidden="1">
      <c r="A1314" s="190" t="s">
        <v>1017</v>
      </c>
      <c r="B1314" s="164">
        <v>45692</v>
      </c>
      <c r="C1314" s="190" t="s">
        <v>330</v>
      </c>
      <c r="D1314" s="190" t="s">
        <v>281</v>
      </c>
      <c r="E1314" s="190" t="s">
        <v>330</v>
      </c>
      <c r="F1314" s="185">
        <f>-1.99-0.5</f>
        <v>-2.4900000000000002</v>
      </c>
      <c r="G1314" s="165">
        <f t="shared" si="35"/>
        <v>5358.7310000000016</v>
      </c>
      <c r="H1314" s="190"/>
      <c r="I1314" s="190" t="s">
        <v>342</v>
      </c>
      <c r="J1314" s="190"/>
      <c r="K1314" s="190"/>
      <c r="L1314" s="190" t="s">
        <v>805</v>
      </c>
      <c r="M1314" s="190"/>
      <c r="N1314" s="190" t="s">
        <v>978</v>
      </c>
      <c r="O1314" s="190"/>
      <c r="P1314" s="190"/>
      <c r="Q1314" s="190"/>
      <c r="R1314" s="190" t="s">
        <v>1292</v>
      </c>
      <c r="S1314" s="190" t="s">
        <v>1417</v>
      </c>
      <c r="T1314" s="43">
        <f t="shared" si="34"/>
        <v>2</v>
      </c>
      <c r="U1314" s="167">
        <f t="shared" si="31"/>
        <v>45692</v>
      </c>
      <c r="V1314" s="43"/>
      <c r="W1314" s="43">
        <f t="shared" si="33"/>
        <v>2</v>
      </c>
      <c r="X1314" s="43" t="s">
        <v>1483</v>
      </c>
      <c r="Y1314" s="43" t="s">
        <v>1443</v>
      </c>
      <c r="Z1314" s="43"/>
      <c r="AA1314" s="43"/>
      <c r="AB1314" s="43"/>
    </row>
    <row r="1315" spans="1:28" hidden="1">
      <c r="A1315" s="163"/>
      <c r="B1315" s="164">
        <v>45692</v>
      </c>
      <c r="C1315" s="163" t="s">
        <v>346</v>
      </c>
      <c r="D1315" s="163"/>
      <c r="E1315" s="163"/>
      <c r="F1315" s="165">
        <v>0</v>
      </c>
      <c r="G1315" s="165">
        <f t="shared" si="35"/>
        <v>5358.7310000000016</v>
      </c>
      <c r="H1315" s="163"/>
      <c r="I1315" s="163"/>
      <c r="J1315" s="163"/>
      <c r="K1315" s="163"/>
      <c r="L1315" s="163"/>
      <c r="M1315" s="163"/>
      <c r="N1315" s="163"/>
      <c r="O1315" s="163"/>
      <c r="P1315" s="163"/>
      <c r="Q1315" s="163"/>
      <c r="R1315" s="163"/>
      <c r="S1315" s="163"/>
      <c r="T1315" s="43">
        <f t="shared" si="34"/>
        <v>2</v>
      </c>
      <c r="U1315" s="167">
        <f t="shared" si="31"/>
        <v>45692</v>
      </c>
      <c r="W1315" s="43">
        <f t="shared" si="33"/>
        <v>2</v>
      </c>
    </row>
    <row r="1316" spans="1:28" ht="14.25" hidden="1" customHeight="1">
      <c r="A1316" s="180" t="s">
        <v>1017</v>
      </c>
      <c r="B1316" s="181">
        <v>45693</v>
      </c>
      <c r="C1316" s="180" t="s">
        <v>1487</v>
      </c>
      <c r="D1316" s="180" t="s">
        <v>281</v>
      </c>
      <c r="E1316" s="180" t="s">
        <v>282</v>
      </c>
      <c r="F1316" s="230">
        <v>20000</v>
      </c>
      <c r="G1316" s="165">
        <f t="shared" si="35"/>
        <v>25358.731</v>
      </c>
      <c r="H1316" s="180"/>
      <c r="I1316" s="180" t="s">
        <v>977</v>
      </c>
      <c r="J1316" s="180"/>
      <c r="K1316" s="180"/>
      <c r="L1316" s="180" t="s">
        <v>366</v>
      </c>
      <c r="M1316" s="180"/>
      <c r="N1316" s="180" t="s">
        <v>978</v>
      </c>
      <c r="O1316" s="180"/>
      <c r="P1316" s="180"/>
      <c r="Q1316" s="180"/>
      <c r="R1316" s="180" t="s">
        <v>990</v>
      </c>
      <c r="S1316" s="180" t="s">
        <v>991</v>
      </c>
      <c r="T1316" s="183">
        <f t="shared" si="34"/>
        <v>2</v>
      </c>
      <c r="U1316" s="184">
        <f t="shared" si="31"/>
        <v>45693</v>
      </c>
      <c r="V1316" s="256"/>
      <c r="W1316" s="43">
        <f t="shared" si="33"/>
        <v>2</v>
      </c>
      <c r="X1316" s="183" t="s">
        <v>282</v>
      </c>
      <c r="Y1316" s="183" t="s">
        <v>1443</v>
      </c>
      <c r="Z1316" s="183" t="s">
        <v>1113</v>
      </c>
      <c r="AA1316" s="183" t="s">
        <v>1113</v>
      </c>
      <c r="AB1316" s="183"/>
    </row>
    <row r="1317" spans="1:28" hidden="1">
      <c r="A1317" s="163" t="s">
        <v>1174</v>
      </c>
      <c r="B1317" s="164">
        <v>45693</v>
      </c>
      <c r="C1317" s="163" t="s">
        <v>68</v>
      </c>
      <c r="D1317" s="163" t="s">
        <v>281</v>
      </c>
      <c r="E1317" s="163" t="s">
        <v>407</v>
      </c>
      <c r="F1317" s="197">
        <v>2500</v>
      </c>
      <c r="G1317" s="165">
        <f t="shared" si="35"/>
        <v>27858.731</v>
      </c>
      <c r="H1317" s="163"/>
      <c r="I1317" s="163" t="s">
        <v>1176</v>
      </c>
      <c r="J1317" s="163" t="s">
        <v>1329</v>
      </c>
      <c r="K1317" s="163"/>
      <c r="L1317" s="163" t="s">
        <v>305</v>
      </c>
      <c r="M1317" s="163"/>
      <c r="N1317" s="163" t="s">
        <v>1178</v>
      </c>
      <c r="O1317" s="163" t="s">
        <v>1329</v>
      </c>
      <c r="P1317" s="163" t="s">
        <v>62</v>
      </c>
      <c r="Q1317" s="163"/>
      <c r="R1317" s="163" t="s">
        <v>655</v>
      </c>
      <c r="S1317" s="163" t="s">
        <v>656</v>
      </c>
      <c r="T1317" s="43">
        <f t="shared" si="34"/>
        <v>2</v>
      </c>
      <c r="U1317" s="167">
        <f t="shared" si="31"/>
        <v>45693</v>
      </c>
      <c r="W1317" s="43">
        <f t="shared" si="33"/>
        <v>2</v>
      </c>
      <c r="X1317" s="43" t="s">
        <v>1484</v>
      </c>
      <c r="Y1317" s="43" t="s">
        <v>1485</v>
      </c>
    </row>
    <row r="1318" spans="1:28" hidden="1">
      <c r="A1318" s="163" t="s">
        <v>1174</v>
      </c>
      <c r="B1318" s="164">
        <v>45693</v>
      </c>
      <c r="C1318" s="163" t="s">
        <v>421</v>
      </c>
      <c r="D1318" s="163" t="s">
        <v>281</v>
      </c>
      <c r="E1318" s="163" t="s">
        <v>407</v>
      </c>
      <c r="F1318" s="165"/>
      <c r="G1318" s="165">
        <f t="shared" si="35"/>
        <v>27858.731</v>
      </c>
      <c r="H1318" s="163"/>
      <c r="I1318" s="163" t="s">
        <v>1176</v>
      </c>
      <c r="J1318" s="163" t="s">
        <v>1315</v>
      </c>
      <c r="K1318" s="163"/>
      <c r="L1318" s="163" t="s">
        <v>305</v>
      </c>
      <c r="M1318" s="163"/>
      <c r="N1318" s="163" t="s">
        <v>1178</v>
      </c>
      <c r="O1318" s="163" t="s">
        <v>1315</v>
      </c>
      <c r="P1318" s="163" t="s">
        <v>57</v>
      </c>
      <c r="Q1318" s="163"/>
      <c r="R1318" s="163" t="s">
        <v>426</v>
      </c>
      <c r="S1318" s="163" t="s">
        <v>427</v>
      </c>
      <c r="T1318" s="43">
        <f t="shared" si="34"/>
        <v>2</v>
      </c>
      <c r="U1318" s="167">
        <f t="shared" si="31"/>
        <v>45693</v>
      </c>
      <c r="W1318" s="43">
        <f t="shared" si="33"/>
        <v>2</v>
      </c>
      <c r="X1318" s="43" t="s">
        <v>1484</v>
      </c>
      <c r="Y1318" s="43" t="s">
        <v>1485</v>
      </c>
    </row>
    <row r="1319" spans="1:28" hidden="1">
      <c r="A1319" s="163" t="s">
        <v>1017</v>
      </c>
      <c r="B1319" s="164">
        <v>45693</v>
      </c>
      <c r="C1319" s="163" t="s">
        <v>396</v>
      </c>
      <c r="D1319" s="163" t="s">
        <v>281</v>
      </c>
      <c r="E1319" s="163" t="s">
        <v>196</v>
      </c>
      <c r="F1319" s="226">
        <v>-9084.9599999999991</v>
      </c>
      <c r="G1319" s="165">
        <f t="shared" si="35"/>
        <v>18773.771000000001</v>
      </c>
      <c r="H1319" s="163"/>
      <c r="I1319" s="163" t="s">
        <v>342</v>
      </c>
      <c r="J1319" s="163"/>
      <c r="K1319" s="163"/>
      <c r="L1319" s="163" t="s">
        <v>1424</v>
      </c>
      <c r="M1319" s="163"/>
      <c r="N1319" s="163" t="s">
        <v>978</v>
      </c>
      <c r="O1319" s="163"/>
      <c r="P1319" s="163"/>
      <c r="Q1319" s="163"/>
      <c r="R1319" s="163" t="s">
        <v>396</v>
      </c>
      <c r="S1319" s="163" t="s">
        <v>398</v>
      </c>
      <c r="T1319" s="43">
        <f t="shared" si="34"/>
        <v>2</v>
      </c>
      <c r="U1319" s="167">
        <f t="shared" si="31"/>
        <v>45693</v>
      </c>
      <c r="W1319" s="43">
        <f t="shared" si="33"/>
        <v>2</v>
      </c>
      <c r="X1319" s="43" t="s">
        <v>196</v>
      </c>
      <c r="Y1319" s="43" t="s">
        <v>1443</v>
      </c>
    </row>
    <row r="1320" spans="1:28" hidden="1">
      <c r="A1320" s="163" t="s">
        <v>1017</v>
      </c>
      <c r="B1320" s="164">
        <v>45693</v>
      </c>
      <c r="C1320" s="163" t="s">
        <v>396</v>
      </c>
      <c r="D1320" s="163" t="s">
        <v>281</v>
      </c>
      <c r="E1320" s="163" t="s">
        <v>399</v>
      </c>
      <c r="F1320" s="226">
        <f>-3950.37</f>
        <v>-3950.37</v>
      </c>
      <c r="G1320" s="165">
        <f t="shared" si="35"/>
        <v>14823.401000000002</v>
      </c>
      <c r="H1320" s="163"/>
      <c r="I1320" s="163" t="s">
        <v>342</v>
      </c>
      <c r="J1320" s="163"/>
      <c r="K1320" s="163"/>
      <c r="L1320" s="163" t="s">
        <v>1424</v>
      </c>
      <c r="M1320" s="163"/>
      <c r="N1320" s="163" t="s">
        <v>978</v>
      </c>
      <c r="O1320" s="163"/>
      <c r="P1320" s="163"/>
      <c r="Q1320" s="163"/>
      <c r="R1320" s="163" t="s">
        <v>396</v>
      </c>
      <c r="S1320" s="163" t="s">
        <v>398</v>
      </c>
      <c r="T1320" s="43">
        <f t="shared" si="34"/>
        <v>2</v>
      </c>
      <c r="U1320" s="167">
        <f t="shared" si="31"/>
        <v>45693</v>
      </c>
      <c r="W1320" s="43">
        <f t="shared" si="33"/>
        <v>2</v>
      </c>
      <c r="X1320" s="43" t="s">
        <v>196</v>
      </c>
      <c r="Y1320" s="43" t="s">
        <v>1443</v>
      </c>
    </row>
    <row r="1321" spans="1:28" hidden="1">
      <c r="A1321" s="163" t="s">
        <v>1017</v>
      </c>
      <c r="B1321" s="164">
        <v>45693</v>
      </c>
      <c r="C1321" s="163" t="s">
        <v>391</v>
      </c>
      <c r="D1321" s="163" t="s">
        <v>281</v>
      </c>
      <c r="E1321" s="163" t="s">
        <v>392</v>
      </c>
      <c r="F1321" s="226">
        <v>-5000</v>
      </c>
      <c r="G1321" s="165">
        <f t="shared" si="35"/>
        <v>9823.4010000000017</v>
      </c>
      <c r="H1321" s="163"/>
      <c r="I1321" s="163" t="s">
        <v>994</v>
      </c>
      <c r="J1321" s="163"/>
      <c r="K1321" s="163"/>
      <c r="L1321" s="163" t="s">
        <v>1424</v>
      </c>
      <c r="M1321" s="163"/>
      <c r="N1321" s="163" t="s">
        <v>978</v>
      </c>
      <c r="O1321" s="163"/>
      <c r="P1321" s="163"/>
      <c r="Q1321" s="163"/>
      <c r="R1321" s="163" t="s">
        <v>394</v>
      </c>
      <c r="S1321" s="163" t="s">
        <v>395</v>
      </c>
      <c r="T1321" s="43">
        <f t="shared" si="34"/>
        <v>2</v>
      </c>
      <c r="U1321" s="167">
        <f t="shared" si="31"/>
        <v>45693</v>
      </c>
      <c r="W1321" s="43">
        <f t="shared" si="33"/>
        <v>2</v>
      </c>
      <c r="X1321" s="49" t="s">
        <v>392</v>
      </c>
      <c r="Y1321" s="49" t="s">
        <v>1443</v>
      </c>
    </row>
    <row r="1322" spans="1:28" hidden="1">
      <c r="A1322" s="180" t="s">
        <v>1017</v>
      </c>
      <c r="B1322" s="181">
        <v>45693</v>
      </c>
      <c r="C1322" s="180" t="s">
        <v>209</v>
      </c>
      <c r="D1322" s="180" t="s">
        <v>281</v>
      </c>
      <c r="E1322" s="180" t="s">
        <v>209</v>
      </c>
      <c r="F1322" s="226">
        <v>-860.29</v>
      </c>
      <c r="G1322" s="165">
        <f t="shared" si="35"/>
        <v>8963.1110000000008</v>
      </c>
      <c r="H1322" s="180"/>
      <c r="I1322" s="180" t="s">
        <v>977</v>
      </c>
      <c r="J1322" s="180"/>
      <c r="K1322" s="180"/>
      <c r="L1322" s="180" t="s">
        <v>1062</v>
      </c>
      <c r="M1322" s="180"/>
      <c r="N1322" s="180" t="s">
        <v>978</v>
      </c>
      <c r="O1322" s="180"/>
      <c r="P1322" s="180"/>
      <c r="Q1322" s="180"/>
      <c r="R1322" s="180" t="s">
        <v>1370</v>
      </c>
      <c r="S1322" s="180"/>
      <c r="T1322" s="183">
        <f t="shared" si="34"/>
        <v>2</v>
      </c>
      <c r="U1322" s="184">
        <f t="shared" si="31"/>
        <v>45693</v>
      </c>
      <c r="V1322" s="183"/>
      <c r="W1322" s="43">
        <f t="shared" si="33"/>
        <v>2</v>
      </c>
      <c r="X1322" s="183" t="s">
        <v>196</v>
      </c>
      <c r="Y1322" s="183" t="s">
        <v>1443</v>
      </c>
      <c r="Z1322" s="183"/>
      <c r="AA1322" s="183"/>
      <c r="AB1322" s="183"/>
    </row>
    <row r="1323" spans="1:28" hidden="1">
      <c r="A1323" s="163" t="s">
        <v>1017</v>
      </c>
      <c r="B1323" s="164">
        <v>45693</v>
      </c>
      <c r="C1323" s="163" t="s">
        <v>365</v>
      </c>
      <c r="D1323" s="163" t="s">
        <v>281</v>
      </c>
      <c r="E1323" s="163" t="s">
        <v>199</v>
      </c>
      <c r="F1323" s="226">
        <f>-302.02</f>
        <v>-302.02</v>
      </c>
      <c r="G1323" s="165">
        <f t="shared" si="35"/>
        <v>8661.0910000000003</v>
      </c>
      <c r="H1323" s="163"/>
      <c r="I1323" s="163" t="s">
        <v>342</v>
      </c>
      <c r="J1323" s="163"/>
      <c r="K1323" s="163"/>
      <c r="L1323" s="163" t="s">
        <v>1424</v>
      </c>
      <c r="M1323" s="163"/>
      <c r="N1323" s="163" t="s">
        <v>978</v>
      </c>
      <c r="O1323" s="163"/>
      <c r="P1323" s="163"/>
      <c r="Q1323" s="163"/>
      <c r="R1323" s="163" t="s">
        <v>368</v>
      </c>
      <c r="S1323" s="163" t="s">
        <v>369</v>
      </c>
      <c r="T1323" s="43">
        <f t="shared" si="34"/>
        <v>2</v>
      </c>
      <c r="U1323" s="167">
        <f t="shared" si="31"/>
        <v>45693</v>
      </c>
      <c r="V1323" s="166">
        <v>45693</v>
      </c>
      <c r="W1323" s="43">
        <f t="shared" si="33"/>
        <v>2</v>
      </c>
      <c r="X1323" s="49" t="s">
        <v>1480</v>
      </c>
      <c r="Y1323" s="49" t="s">
        <v>1488</v>
      </c>
    </row>
    <row r="1324" spans="1:28" hidden="1">
      <c r="A1324" s="180" t="s">
        <v>1017</v>
      </c>
      <c r="B1324" s="181">
        <v>45693</v>
      </c>
      <c r="C1324" s="180" t="s">
        <v>1562</v>
      </c>
      <c r="D1324" s="180" t="s">
        <v>281</v>
      </c>
      <c r="E1324" s="180" t="s">
        <v>1563</v>
      </c>
      <c r="F1324" s="226">
        <f>-269.21-316.21</f>
        <v>-585.41999999999996</v>
      </c>
      <c r="G1324" s="165">
        <f t="shared" si="35"/>
        <v>8075.6710000000003</v>
      </c>
      <c r="H1324" s="180"/>
      <c r="I1324" s="180" t="s">
        <v>283</v>
      </c>
      <c r="J1324" s="180"/>
      <c r="K1324" s="180"/>
      <c r="L1324" s="180" t="s">
        <v>485</v>
      </c>
      <c r="M1324" s="180"/>
      <c r="N1324" s="180" t="s">
        <v>978</v>
      </c>
      <c r="O1324" s="180"/>
      <c r="P1324" s="180"/>
      <c r="Q1324" s="180"/>
      <c r="R1324" s="180" t="s">
        <v>669</v>
      </c>
      <c r="S1324" s="180" t="s">
        <v>1492</v>
      </c>
      <c r="T1324" s="183">
        <f t="shared" si="34"/>
        <v>2</v>
      </c>
      <c r="U1324" s="184">
        <f t="shared" si="31"/>
        <v>45693</v>
      </c>
      <c r="V1324" s="183"/>
      <c r="W1324" s="43">
        <f t="shared" si="33"/>
        <v>2</v>
      </c>
      <c r="X1324" s="245" t="s">
        <v>1566</v>
      </c>
      <c r="Y1324" s="245" t="s">
        <v>25</v>
      </c>
      <c r="Z1324" s="183"/>
      <c r="AA1324" s="183"/>
      <c r="AB1324" s="183"/>
    </row>
    <row r="1325" spans="1:28" hidden="1">
      <c r="A1325" s="180" t="s">
        <v>1017</v>
      </c>
      <c r="B1325" s="181">
        <v>45693</v>
      </c>
      <c r="C1325" s="180" t="s">
        <v>1008</v>
      </c>
      <c r="D1325" s="180" t="s">
        <v>281</v>
      </c>
      <c r="E1325" s="180" t="s">
        <v>199</v>
      </c>
      <c r="F1325" s="169"/>
      <c r="G1325" s="165">
        <f t="shared" si="35"/>
        <v>8075.6710000000003</v>
      </c>
      <c r="H1325" s="180"/>
      <c r="I1325" s="180" t="s">
        <v>283</v>
      </c>
      <c r="J1325" s="180"/>
      <c r="K1325" s="180"/>
      <c r="L1325" s="180" t="s">
        <v>485</v>
      </c>
      <c r="M1325" s="180"/>
      <c r="N1325" s="180" t="s">
        <v>978</v>
      </c>
      <c r="O1325" s="180"/>
      <c r="P1325" s="180"/>
      <c r="Q1325" s="180"/>
      <c r="R1325" s="180" t="s">
        <v>669</v>
      </c>
      <c r="S1325" s="180" t="s">
        <v>1492</v>
      </c>
      <c r="T1325" s="183">
        <f t="shared" si="34"/>
        <v>2</v>
      </c>
      <c r="U1325" s="184">
        <f t="shared" si="31"/>
        <v>45693</v>
      </c>
      <c r="V1325" s="183"/>
      <c r="W1325" s="43">
        <f t="shared" si="33"/>
        <v>2</v>
      </c>
      <c r="X1325" s="206" t="s">
        <v>1478</v>
      </c>
      <c r="Y1325" s="206" t="s">
        <v>26</v>
      </c>
      <c r="Z1325" s="183"/>
      <c r="AA1325" s="183"/>
      <c r="AB1325" s="183"/>
    </row>
    <row r="1326" spans="1:28" hidden="1">
      <c r="A1326" s="190" t="s">
        <v>1017</v>
      </c>
      <c r="B1326" s="164">
        <v>45693</v>
      </c>
      <c r="C1326" s="190" t="s">
        <v>330</v>
      </c>
      <c r="D1326" s="190" t="s">
        <v>281</v>
      </c>
      <c r="E1326" s="190" t="s">
        <v>330</v>
      </c>
      <c r="F1326" s="185">
        <v>-1.5</v>
      </c>
      <c r="G1326" s="165">
        <f t="shared" si="35"/>
        <v>8074.1710000000003</v>
      </c>
      <c r="H1326" s="190"/>
      <c r="I1326" s="190" t="s">
        <v>342</v>
      </c>
      <c r="J1326" s="190"/>
      <c r="K1326" s="190"/>
      <c r="L1326" s="190" t="s">
        <v>805</v>
      </c>
      <c r="M1326" s="190"/>
      <c r="N1326" s="190" t="s">
        <v>978</v>
      </c>
      <c r="O1326" s="190"/>
      <c r="P1326" s="190"/>
      <c r="Q1326" s="190"/>
      <c r="R1326" s="190" t="s">
        <v>1292</v>
      </c>
      <c r="S1326" s="190" t="s">
        <v>1417</v>
      </c>
      <c r="T1326" s="43">
        <f t="shared" si="34"/>
        <v>2</v>
      </c>
      <c r="U1326" s="167">
        <f t="shared" si="31"/>
        <v>45693</v>
      </c>
      <c r="V1326" s="43"/>
      <c r="W1326" s="43">
        <f t="shared" si="33"/>
        <v>2</v>
      </c>
      <c r="X1326" s="43" t="s">
        <v>1483</v>
      </c>
      <c r="Y1326" s="43" t="s">
        <v>1443</v>
      </c>
      <c r="Z1326" s="43"/>
      <c r="AA1326" s="43"/>
      <c r="AB1326" s="43"/>
    </row>
    <row r="1327" spans="1:28" hidden="1">
      <c r="A1327" s="163"/>
      <c r="B1327" s="164">
        <v>45693</v>
      </c>
      <c r="C1327" s="163" t="s">
        <v>346</v>
      </c>
      <c r="D1327" s="163"/>
      <c r="E1327" s="163"/>
      <c r="F1327" s="165">
        <v>0</v>
      </c>
      <c r="G1327" s="165">
        <f t="shared" si="35"/>
        <v>8074.1710000000003</v>
      </c>
      <c r="H1327" s="163"/>
      <c r="I1327" s="163"/>
      <c r="J1327" s="163"/>
      <c r="K1327" s="163"/>
      <c r="L1327" s="163"/>
      <c r="M1327" s="163"/>
      <c r="N1327" s="163"/>
      <c r="O1327" s="163"/>
      <c r="P1327" s="163"/>
      <c r="Q1327" s="163"/>
      <c r="R1327" s="163"/>
      <c r="S1327" s="163"/>
      <c r="T1327" s="43">
        <f t="shared" si="34"/>
        <v>2</v>
      </c>
      <c r="U1327" s="167">
        <f t="shared" si="31"/>
        <v>45693</v>
      </c>
      <c r="W1327" s="43">
        <f t="shared" si="33"/>
        <v>2</v>
      </c>
    </row>
    <row r="1328" spans="1:28" ht="14.25" hidden="1" customHeight="1">
      <c r="A1328" s="180" t="s">
        <v>1017</v>
      </c>
      <c r="B1328" s="181">
        <v>45694</v>
      </c>
      <c r="C1328" s="180" t="s">
        <v>1487</v>
      </c>
      <c r="D1328" s="180" t="s">
        <v>281</v>
      </c>
      <c r="E1328" s="180" t="s">
        <v>282</v>
      </c>
      <c r="F1328" s="230">
        <f>65000+35000</f>
        <v>100000</v>
      </c>
      <c r="G1328" s="165">
        <f t="shared" si="35"/>
        <v>108074.171</v>
      </c>
      <c r="H1328" s="180"/>
      <c r="I1328" s="180" t="s">
        <v>977</v>
      </c>
      <c r="J1328" s="180"/>
      <c r="K1328" s="180"/>
      <c r="L1328" s="180" t="s">
        <v>366</v>
      </c>
      <c r="M1328" s="180"/>
      <c r="N1328" s="180" t="s">
        <v>978</v>
      </c>
      <c r="O1328" s="180"/>
      <c r="P1328" s="180"/>
      <c r="Q1328" s="180"/>
      <c r="R1328" s="180" t="s">
        <v>990</v>
      </c>
      <c r="S1328" s="180" t="s">
        <v>991</v>
      </c>
      <c r="T1328" s="183">
        <f t="shared" si="34"/>
        <v>2</v>
      </c>
      <c r="U1328" s="184">
        <f t="shared" si="31"/>
        <v>45694</v>
      </c>
      <c r="V1328" s="256"/>
      <c r="W1328" s="43">
        <f t="shared" si="33"/>
        <v>2</v>
      </c>
      <c r="X1328" s="183" t="s">
        <v>282</v>
      </c>
      <c r="Y1328" s="183" t="s">
        <v>1443</v>
      </c>
      <c r="Z1328" s="183" t="s">
        <v>1113</v>
      </c>
      <c r="AA1328" s="183" t="s">
        <v>1113</v>
      </c>
      <c r="AB1328" s="183"/>
    </row>
    <row r="1329" spans="1:28" hidden="1">
      <c r="A1329" s="163" t="s">
        <v>1174</v>
      </c>
      <c r="B1329" s="164">
        <v>45693</v>
      </c>
      <c r="C1329" s="163" t="s">
        <v>1501</v>
      </c>
      <c r="D1329" s="163" t="s">
        <v>281</v>
      </c>
      <c r="E1329" s="163" t="s">
        <v>407</v>
      </c>
      <c r="F1329" s="195">
        <v>1799</v>
      </c>
      <c r="G1329" s="165">
        <f t="shared" si="35"/>
        <v>109873.171</v>
      </c>
      <c r="H1329" s="163"/>
      <c r="I1329" s="163" t="s">
        <v>1176</v>
      </c>
      <c r="J1329" s="163" t="s">
        <v>1502</v>
      </c>
      <c r="K1329" s="163"/>
      <c r="L1329" s="163" t="s">
        <v>305</v>
      </c>
      <c r="M1329" s="163"/>
      <c r="N1329" s="163" t="s">
        <v>1178</v>
      </c>
      <c r="O1329" s="163" t="s">
        <v>1502</v>
      </c>
      <c r="P1329" s="163" t="s">
        <v>57</v>
      </c>
      <c r="Q1329" s="163"/>
      <c r="R1329" s="163" t="s">
        <v>1503</v>
      </c>
      <c r="S1329" s="163" t="s">
        <v>1504</v>
      </c>
      <c r="T1329" s="43">
        <f t="shared" si="34"/>
        <v>2</v>
      </c>
      <c r="U1329" s="167">
        <f t="shared" si="31"/>
        <v>45694</v>
      </c>
      <c r="V1329" s="166">
        <v>45694</v>
      </c>
      <c r="W1329" s="43">
        <f t="shared" si="33"/>
        <v>2</v>
      </c>
      <c r="X1329" s="43" t="s">
        <v>1484</v>
      </c>
      <c r="Y1329" s="43" t="s">
        <v>1485</v>
      </c>
    </row>
    <row r="1330" spans="1:28" hidden="1">
      <c r="A1330" s="180" t="s">
        <v>1017</v>
      </c>
      <c r="B1330" s="181">
        <v>45692</v>
      </c>
      <c r="C1330" s="240" t="s">
        <v>184</v>
      </c>
      <c r="D1330" s="180" t="s">
        <v>281</v>
      </c>
      <c r="E1330" s="180" t="s">
        <v>760</v>
      </c>
      <c r="F1330" s="169">
        <v>-1358.33</v>
      </c>
      <c r="G1330" s="165">
        <f t="shared" si="35"/>
        <v>108514.841</v>
      </c>
      <c r="H1330" s="180"/>
      <c r="I1330" s="180" t="s">
        <v>342</v>
      </c>
      <c r="J1330" s="180"/>
      <c r="K1330" s="180"/>
      <c r="L1330" s="180" t="s">
        <v>1604</v>
      </c>
      <c r="M1330" s="180"/>
      <c r="N1330" s="180" t="s">
        <v>978</v>
      </c>
      <c r="O1330" s="180"/>
      <c r="P1330" s="180"/>
      <c r="Q1330" s="180"/>
      <c r="R1330" s="180" t="s">
        <v>1035</v>
      </c>
      <c r="S1330" s="180" t="s">
        <v>1036</v>
      </c>
      <c r="T1330" s="183">
        <f t="shared" si="34"/>
        <v>2</v>
      </c>
      <c r="U1330" s="184">
        <f t="shared" si="31"/>
        <v>45694</v>
      </c>
      <c r="V1330" s="166">
        <v>45694</v>
      </c>
      <c r="W1330" s="43">
        <f t="shared" si="33"/>
        <v>2</v>
      </c>
      <c r="X1330" s="236" t="s">
        <v>1482</v>
      </c>
      <c r="Y1330" s="236" t="s">
        <v>78</v>
      </c>
      <c r="Z1330" s="183"/>
      <c r="AA1330" s="183"/>
      <c r="AB1330" s="183"/>
    </row>
    <row r="1331" spans="1:28" hidden="1">
      <c r="A1331" s="163" t="s">
        <v>1017</v>
      </c>
      <c r="B1331" s="164">
        <v>45694</v>
      </c>
      <c r="C1331" s="163" t="s">
        <v>87</v>
      </c>
      <c r="D1331" s="163" t="s">
        <v>281</v>
      </c>
      <c r="E1331" s="163" t="s">
        <v>18</v>
      </c>
      <c r="F1331" s="169">
        <v>-5711.83</v>
      </c>
      <c r="G1331" s="165">
        <f t="shared" si="35"/>
        <v>102803.011</v>
      </c>
      <c r="H1331" s="163"/>
      <c r="I1331" s="163" t="s">
        <v>283</v>
      </c>
      <c r="J1331" s="163"/>
      <c r="K1331" s="163"/>
      <c r="L1331" s="163" t="s">
        <v>1424</v>
      </c>
      <c r="M1331" s="163"/>
      <c r="N1331" s="163" t="s">
        <v>978</v>
      </c>
      <c r="O1331" s="163"/>
      <c r="P1331" s="163"/>
      <c r="Q1331" s="163"/>
      <c r="R1331" s="163" t="s">
        <v>87</v>
      </c>
      <c r="S1331" s="163" t="s">
        <v>325</v>
      </c>
      <c r="T1331" s="43">
        <f t="shared" si="34"/>
        <v>2</v>
      </c>
      <c r="U1331" s="167">
        <f t="shared" si="31"/>
        <v>45694</v>
      </c>
      <c r="W1331" s="43">
        <f t="shared" si="33"/>
        <v>2</v>
      </c>
      <c r="X1331" s="49" t="s">
        <v>1499</v>
      </c>
      <c r="Y1331" s="49" t="s">
        <v>25</v>
      </c>
    </row>
    <row r="1332" spans="1:28" hidden="1">
      <c r="A1332" s="163" t="s">
        <v>1017</v>
      </c>
      <c r="B1332" s="164">
        <v>45694</v>
      </c>
      <c r="C1332" s="163" t="s">
        <v>433</v>
      </c>
      <c r="D1332" s="163" t="s">
        <v>281</v>
      </c>
      <c r="E1332" s="163" t="s">
        <v>18</v>
      </c>
      <c r="F1332" s="169">
        <v>-3957.12</v>
      </c>
      <c r="G1332" s="165">
        <f t="shared" si="35"/>
        <v>98845.891000000003</v>
      </c>
      <c r="H1332" s="163"/>
      <c r="I1332" s="163" t="s">
        <v>283</v>
      </c>
      <c r="J1332" s="163"/>
      <c r="K1332" s="163"/>
      <c r="L1332" s="163" t="s">
        <v>1424</v>
      </c>
      <c r="M1332" s="163"/>
      <c r="N1332" s="163" t="s">
        <v>978</v>
      </c>
      <c r="O1332" s="163"/>
      <c r="P1332" s="163"/>
      <c r="Q1332" s="163"/>
      <c r="R1332" s="163" t="s">
        <v>433</v>
      </c>
      <c r="S1332" s="163" t="s">
        <v>435</v>
      </c>
      <c r="T1332" s="43">
        <f t="shared" si="34"/>
        <v>2</v>
      </c>
      <c r="U1332" s="167">
        <f t="shared" si="31"/>
        <v>45694</v>
      </c>
      <c r="W1332" s="43">
        <f t="shared" si="33"/>
        <v>2</v>
      </c>
      <c r="X1332" s="49" t="s">
        <v>1499</v>
      </c>
      <c r="Y1332" s="49" t="s">
        <v>94</v>
      </c>
    </row>
    <row r="1333" spans="1:28" hidden="1">
      <c r="A1333" s="163" t="s">
        <v>1017</v>
      </c>
      <c r="B1333" s="164">
        <v>45694</v>
      </c>
      <c r="C1333" s="163" t="s">
        <v>436</v>
      </c>
      <c r="D1333" s="163" t="s">
        <v>281</v>
      </c>
      <c r="E1333" s="163" t="s">
        <v>18</v>
      </c>
      <c r="F1333" s="169">
        <v>-4279.41</v>
      </c>
      <c r="G1333" s="165">
        <f t="shared" si="35"/>
        <v>94566.481</v>
      </c>
      <c r="H1333" s="163"/>
      <c r="I1333" s="163" t="s">
        <v>283</v>
      </c>
      <c r="J1333" s="163"/>
      <c r="K1333" s="163"/>
      <c r="L1333" s="163" t="s">
        <v>1424</v>
      </c>
      <c r="M1333" s="163"/>
      <c r="N1333" s="163" t="s">
        <v>978</v>
      </c>
      <c r="O1333" s="163"/>
      <c r="P1333" s="163"/>
      <c r="Q1333" s="163"/>
      <c r="R1333" s="163" t="s">
        <v>436</v>
      </c>
      <c r="S1333" s="163" t="s">
        <v>438</v>
      </c>
      <c r="T1333" s="43">
        <f t="shared" si="34"/>
        <v>2</v>
      </c>
      <c r="U1333" s="167">
        <f t="shared" si="31"/>
        <v>45694</v>
      </c>
      <c r="W1333" s="43">
        <f t="shared" si="33"/>
        <v>2</v>
      </c>
      <c r="X1333" s="49" t="s">
        <v>1499</v>
      </c>
      <c r="Y1333" s="49" t="s">
        <v>1488</v>
      </c>
    </row>
    <row r="1334" spans="1:28" hidden="1">
      <c r="A1334" s="163" t="s">
        <v>1017</v>
      </c>
      <c r="B1334" s="164">
        <v>45694</v>
      </c>
      <c r="C1334" s="163" t="s">
        <v>95</v>
      </c>
      <c r="D1334" s="163" t="s">
        <v>281</v>
      </c>
      <c r="E1334" s="163" t="s">
        <v>18</v>
      </c>
      <c r="F1334" s="169">
        <f>-1679.25</f>
        <v>-1679.25</v>
      </c>
      <c r="G1334" s="165">
        <f t="shared" si="35"/>
        <v>92887.231</v>
      </c>
      <c r="H1334" s="163"/>
      <c r="I1334" s="163" t="s">
        <v>283</v>
      </c>
      <c r="J1334" s="163"/>
      <c r="K1334" s="163"/>
      <c r="L1334" s="163" t="s">
        <v>1424</v>
      </c>
      <c r="M1334" s="163"/>
      <c r="N1334" s="163" t="s">
        <v>978</v>
      </c>
      <c r="O1334" s="163"/>
      <c r="P1334" s="163"/>
      <c r="Q1334" s="163"/>
      <c r="R1334" s="163" t="s">
        <v>95</v>
      </c>
      <c r="S1334" s="163" t="s">
        <v>440</v>
      </c>
      <c r="T1334" s="43">
        <f t="shared" si="34"/>
        <v>2</v>
      </c>
      <c r="U1334" s="167">
        <f t="shared" si="31"/>
        <v>45694</v>
      </c>
      <c r="W1334" s="43">
        <f t="shared" si="33"/>
        <v>2</v>
      </c>
      <c r="X1334" s="49" t="s">
        <v>1499</v>
      </c>
      <c r="Y1334" s="49" t="s">
        <v>26</v>
      </c>
    </row>
    <row r="1335" spans="1:28" hidden="1">
      <c r="A1335" s="163" t="s">
        <v>1017</v>
      </c>
      <c r="B1335" s="164">
        <v>45694</v>
      </c>
      <c r="C1335" s="163" t="s">
        <v>472</v>
      </c>
      <c r="D1335" s="163" t="s">
        <v>281</v>
      </c>
      <c r="E1335" s="163" t="s">
        <v>18</v>
      </c>
      <c r="F1335" s="169">
        <f>-1992.22</f>
        <v>-1992.22</v>
      </c>
      <c r="G1335" s="165">
        <f t="shared" si="35"/>
        <v>90895.010999999999</v>
      </c>
      <c r="H1335" s="163"/>
      <c r="I1335" s="163" t="s">
        <v>283</v>
      </c>
      <c r="J1335" s="163"/>
      <c r="K1335" s="163"/>
      <c r="L1335" s="163" t="s">
        <v>1629</v>
      </c>
      <c r="M1335" s="163"/>
      <c r="N1335" s="163" t="s">
        <v>978</v>
      </c>
      <c r="O1335" s="163"/>
      <c r="P1335" s="163"/>
      <c r="Q1335" s="163"/>
      <c r="R1335" s="163" t="s">
        <v>472</v>
      </c>
      <c r="S1335" s="163" t="s">
        <v>475</v>
      </c>
      <c r="T1335" s="43">
        <f t="shared" si="34"/>
        <v>2</v>
      </c>
      <c r="U1335" s="167">
        <f t="shared" si="31"/>
        <v>45694</v>
      </c>
      <c r="W1335" s="43">
        <f t="shared" si="33"/>
        <v>2</v>
      </c>
      <c r="X1335" s="49" t="s">
        <v>1499</v>
      </c>
      <c r="Y1335" s="49" t="s">
        <v>26</v>
      </c>
    </row>
    <row r="1336" spans="1:28" hidden="1">
      <c r="A1336" s="163" t="s">
        <v>1017</v>
      </c>
      <c r="B1336" s="164">
        <v>45694</v>
      </c>
      <c r="C1336" s="163"/>
      <c r="D1336" s="163" t="s">
        <v>281</v>
      </c>
      <c r="E1336" s="163" t="s">
        <v>18</v>
      </c>
      <c r="F1336" s="168"/>
      <c r="G1336" s="165">
        <f t="shared" si="35"/>
        <v>90895.010999999999</v>
      </c>
      <c r="H1336" s="163"/>
      <c r="I1336" s="163" t="s">
        <v>283</v>
      </c>
      <c r="J1336" s="163"/>
      <c r="K1336" s="163"/>
      <c r="L1336" s="163" t="s">
        <v>1424</v>
      </c>
      <c r="M1336" s="163"/>
      <c r="N1336" s="163" t="s">
        <v>978</v>
      </c>
      <c r="O1336" s="163"/>
      <c r="P1336" s="163"/>
      <c r="Q1336" s="163"/>
      <c r="R1336" s="163" t="s">
        <v>441</v>
      </c>
      <c r="S1336" s="163" t="s">
        <v>443</v>
      </c>
      <c r="T1336" s="43">
        <f t="shared" si="34"/>
        <v>2</v>
      </c>
      <c r="U1336" s="167">
        <f t="shared" si="31"/>
        <v>45694</v>
      </c>
      <c r="W1336" s="43">
        <f t="shared" si="33"/>
        <v>2</v>
      </c>
      <c r="X1336" s="49" t="s">
        <v>1499</v>
      </c>
      <c r="Y1336" s="49" t="s">
        <v>1336</v>
      </c>
    </row>
    <row r="1337" spans="1:28" hidden="1">
      <c r="A1337" s="163" t="s">
        <v>1017</v>
      </c>
      <c r="B1337" s="164">
        <v>45694</v>
      </c>
      <c r="C1337" s="163"/>
      <c r="D1337" s="163" t="s">
        <v>281</v>
      </c>
      <c r="E1337" s="163" t="s">
        <v>18</v>
      </c>
      <c r="F1337" s="168"/>
      <c r="G1337" s="165">
        <f t="shared" si="35"/>
        <v>90895.010999999999</v>
      </c>
      <c r="H1337" s="163"/>
      <c r="I1337" s="163" t="s">
        <v>283</v>
      </c>
      <c r="J1337" s="163"/>
      <c r="K1337" s="163"/>
      <c r="L1337" s="163" t="s">
        <v>1424</v>
      </c>
      <c r="M1337" s="163"/>
      <c r="N1337" s="163" t="s">
        <v>978</v>
      </c>
      <c r="O1337" s="163"/>
      <c r="P1337" s="163"/>
      <c r="Q1337" s="163"/>
      <c r="R1337" s="163" t="s">
        <v>444</v>
      </c>
      <c r="S1337" s="163" t="s">
        <v>446</v>
      </c>
      <c r="T1337" s="43">
        <f t="shared" si="34"/>
        <v>2</v>
      </c>
      <c r="U1337" s="167">
        <f t="shared" si="31"/>
        <v>45694</v>
      </c>
      <c r="W1337" s="43">
        <f t="shared" si="33"/>
        <v>2</v>
      </c>
      <c r="X1337" s="49" t="s">
        <v>1499</v>
      </c>
      <c r="Y1337" s="49" t="s">
        <v>1336</v>
      </c>
    </row>
    <row r="1338" spans="1:28" hidden="1">
      <c r="A1338" s="163" t="s">
        <v>1017</v>
      </c>
      <c r="B1338" s="164">
        <v>45694</v>
      </c>
      <c r="C1338" s="163" t="s">
        <v>447</v>
      </c>
      <c r="D1338" s="163" t="s">
        <v>281</v>
      </c>
      <c r="E1338" s="163" t="s">
        <v>18</v>
      </c>
      <c r="F1338" s="169">
        <v>-1642.32</v>
      </c>
      <c r="G1338" s="165">
        <f t="shared" si="35"/>
        <v>89252.690999999992</v>
      </c>
      <c r="H1338" s="163"/>
      <c r="I1338" s="163" t="s">
        <v>283</v>
      </c>
      <c r="J1338" s="163"/>
      <c r="K1338" s="163"/>
      <c r="L1338" s="163" t="s">
        <v>1424</v>
      </c>
      <c r="M1338" s="163"/>
      <c r="N1338" s="163" t="s">
        <v>978</v>
      </c>
      <c r="O1338" s="163"/>
      <c r="P1338" s="163"/>
      <c r="Q1338" s="163"/>
      <c r="R1338" s="163" t="s">
        <v>447</v>
      </c>
      <c r="S1338" s="163" t="s">
        <v>449</v>
      </c>
      <c r="T1338" s="43">
        <f t="shared" si="34"/>
        <v>2</v>
      </c>
      <c r="U1338" s="167">
        <f t="shared" si="31"/>
        <v>45694</v>
      </c>
      <c r="W1338" s="43">
        <f t="shared" si="33"/>
        <v>2</v>
      </c>
      <c r="X1338" s="49" t="s">
        <v>1499</v>
      </c>
      <c r="Y1338" s="49" t="s">
        <v>1488</v>
      </c>
    </row>
    <row r="1339" spans="1:28" hidden="1">
      <c r="A1339" s="163" t="s">
        <v>1017</v>
      </c>
      <c r="B1339" s="164">
        <v>45694</v>
      </c>
      <c r="C1339" s="163" t="s">
        <v>321</v>
      </c>
      <c r="D1339" s="163" t="s">
        <v>281</v>
      </c>
      <c r="E1339" s="163" t="s">
        <v>18</v>
      </c>
      <c r="F1339" s="169">
        <v>-2397.4699999999998</v>
      </c>
      <c r="G1339" s="165">
        <f t="shared" si="35"/>
        <v>86855.22099999999</v>
      </c>
      <c r="H1339" s="163"/>
      <c r="I1339" s="163" t="s">
        <v>283</v>
      </c>
      <c r="J1339" s="163"/>
      <c r="K1339" s="163"/>
      <c r="L1339" s="163" t="s">
        <v>1424</v>
      </c>
      <c r="M1339" s="163"/>
      <c r="N1339" s="163" t="s">
        <v>978</v>
      </c>
      <c r="O1339" s="163"/>
      <c r="P1339" s="163"/>
      <c r="Q1339" s="163"/>
      <c r="R1339" s="163" t="s">
        <v>321</v>
      </c>
      <c r="S1339" s="163" t="s">
        <v>323</v>
      </c>
      <c r="T1339" s="43">
        <f t="shared" si="34"/>
        <v>2</v>
      </c>
      <c r="U1339" s="167">
        <f t="shared" si="31"/>
        <v>45694</v>
      </c>
      <c r="W1339" s="43">
        <f t="shared" si="33"/>
        <v>2</v>
      </c>
      <c r="X1339" s="49" t="s">
        <v>1499</v>
      </c>
      <c r="Y1339" s="49" t="s">
        <v>26</v>
      </c>
    </row>
    <row r="1340" spans="1:28" hidden="1">
      <c r="A1340" s="163" t="s">
        <v>1017</v>
      </c>
      <c r="B1340" s="164">
        <v>45694</v>
      </c>
      <c r="C1340" s="163" t="s">
        <v>451</v>
      </c>
      <c r="D1340" s="163" t="s">
        <v>281</v>
      </c>
      <c r="E1340" s="163" t="s">
        <v>18</v>
      </c>
      <c r="F1340" s="168"/>
      <c r="G1340" s="165">
        <f t="shared" si="35"/>
        <v>86855.22099999999</v>
      </c>
      <c r="H1340" s="163"/>
      <c r="I1340" s="163" t="s">
        <v>283</v>
      </c>
      <c r="J1340" s="163"/>
      <c r="K1340" s="163"/>
      <c r="L1340" s="163" t="s">
        <v>1424</v>
      </c>
      <c r="M1340" s="163"/>
      <c r="N1340" s="163" t="s">
        <v>978</v>
      </c>
      <c r="O1340" s="163"/>
      <c r="P1340" s="163"/>
      <c r="Q1340" s="163"/>
      <c r="R1340" s="163" t="s">
        <v>451</v>
      </c>
      <c r="S1340" s="163" t="s">
        <v>453</v>
      </c>
      <c r="T1340" s="43">
        <f t="shared" si="34"/>
        <v>2</v>
      </c>
      <c r="U1340" s="167">
        <f t="shared" si="31"/>
        <v>45694</v>
      </c>
      <c r="W1340" s="43">
        <f t="shared" si="33"/>
        <v>2</v>
      </c>
      <c r="X1340" s="49" t="s">
        <v>1499</v>
      </c>
      <c r="Y1340" s="49" t="s">
        <v>26</v>
      </c>
    </row>
    <row r="1341" spans="1:28" hidden="1">
      <c r="A1341" s="163" t="s">
        <v>1017</v>
      </c>
      <c r="B1341" s="164">
        <v>45694</v>
      </c>
      <c r="C1341" s="163" t="s">
        <v>358</v>
      </c>
      <c r="D1341" s="163" t="s">
        <v>281</v>
      </c>
      <c r="E1341" s="163" t="s">
        <v>18</v>
      </c>
      <c r="F1341" s="168"/>
      <c r="G1341" s="165">
        <f t="shared" si="35"/>
        <v>86855.22099999999</v>
      </c>
      <c r="H1341" s="163"/>
      <c r="I1341" s="163" t="s">
        <v>283</v>
      </c>
      <c r="J1341" s="163"/>
      <c r="K1341" s="163"/>
      <c r="L1341" s="163" t="s">
        <v>1424</v>
      </c>
      <c r="M1341" s="163"/>
      <c r="N1341" s="163" t="s">
        <v>978</v>
      </c>
      <c r="O1341" s="163"/>
      <c r="P1341" s="163"/>
      <c r="Q1341" s="163"/>
      <c r="R1341" s="163" t="s">
        <v>358</v>
      </c>
      <c r="S1341" s="163" t="s">
        <v>361</v>
      </c>
      <c r="T1341" s="43">
        <f t="shared" si="34"/>
        <v>2</v>
      </c>
      <c r="U1341" s="167">
        <f t="shared" si="31"/>
        <v>45694</v>
      </c>
      <c r="W1341" s="43">
        <f t="shared" si="33"/>
        <v>2</v>
      </c>
      <c r="X1341" s="49" t="s">
        <v>1499</v>
      </c>
      <c r="Y1341" s="49" t="s">
        <v>26</v>
      </c>
    </row>
    <row r="1342" spans="1:28" hidden="1">
      <c r="A1342" s="163" t="s">
        <v>1017</v>
      </c>
      <c r="B1342" s="164">
        <v>45694</v>
      </c>
      <c r="C1342" s="163" t="s">
        <v>99</v>
      </c>
      <c r="D1342" s="163" t="s">
        <v>281</v>
      </c>
      <c r="E1342" s="163" t="s">
        <v>18</v>
      </c>
      <c r="F1342" s="169">
        <v>-4318.84</v>
      </c>
      <c r="G1342" s="165">
        <f t="shared" si="35"/>
        <v>82536.380999999994</v>
      </c>
      <c r="H1342" s="163"/>
      <c r="I1342" s="163" t="s">
        <v>283</v>
      </c>
      <c r="J1342" s="163"/>
      <c r="K1342" s="163"/>
      <c r="L1342" s="163" t="s">
        <v>1424</v>
      </c>
      <c r="M1342" s="163"/>
      <c r="N1342" s="163" t="s">
        <v>978</v>
      </c>
      <c r="O1342" s="163"/>
      <c r="P1342" s="163"/>
      <c r="Q1342" s="163"/>
      <c r="R1342" s="163" t="s">
        <v>99</v>
      </c>
      <c r="S1342" s="163" t="s">
        <v>456</v>
      </c>
      <c r="T1342" s="43">
        <f t="shared" si="34"/>
        <v>2</v>
      </c>
      <c r="U1342" s="167">
        <f t="shared" si="31"/>
        <v>45694</v>
      </c>
      <c r="W1342" s="43">
        <f t="shared" si="33"/>
        <v>2</v>
      </c>
      <c r="X1342" s="49" t="s">
        <v>1499</v>
      </c>
      <c r="Y1342" s="49" t="s">
        <v>26</v>
      </c>
    </row>
    <row r="1343" spans="1:28" hidden="1">
      <c r="A1343" s="163" t="s">
        <v>1017</v>
      </c>
      <c r="B1343" s="164">
        <v>45694</v>
      </c>
      <c r="C1343" s="163" t="s">
        <v>457</v>
      </c>
      <c r="D1343" s="163" t="s">
        <v>281</v>
      </c>
      <c r="E1343" s="163" t="s">
        <v>18</v>
      </c>
      <c r="F1343" s="169">
        <v>-1638.16</v>
      </c>
      <c r="G1343" s="165">
        <f t="shared" si="35"/>
        <v>80898.22099999999</v>
      </c>
      <c r="H1343" s="163"/>
      <c r="I1343" s="163" t="s">
        <v>283</v>
      </c>
      <c r="J1343" s="163"/>
      <c r="K1343" s="163"/>
      <c r="L1343" s="163" t="s">
        <v>1424</v>
      </c>
      <c r="M1343" s="163"/>
      <c r="N1343" s="163" t="s">
        <v>978</v>
      </c>
      <c r="O1343" s="163"/>
      <c r="P1343" s="163"/>
      <c r="Q1343" s="163"/>
      <c r="R1343" s="163" t="s">
        <v>457</v>
      </c>
      <c r="S1343" s="163" t="s">
        <v>459</v>
      </c>
      <c r="T1343" s="43">
        <f t="shared" si="34"/>
        <v>2</v>
      </c>
      <c r="U1343" s="167">
        <f t="shared" si="31"/>
        <v>45694</v>
      </c>
      <c r="W1343" s="43">
        <f t="shared" si="33"/>
        <v>2</v>
      </c>
      <c r="X1343" s="49" t="s">
        <v>1499</v>
      </c>
      <c r="Y1343" s="49" t="s">
        <v>26</v>
      </c>
    </row>
    <row r="1344" spans="1:28" hidden="1">
      <c r="A1344" s="163" t="s">
        <v>1017</v>
      </c>
      <c r="B1344" s="164">
        <v>45694</v>
      </c>
      <c r="C1344" s="163" t="s">
        <v>460</v>
      </c>
      <c r="D1344" s="163" t="s">
        <v>281</v>
      </c>
      <c r="E1344" s="163" t="s">
        <v>18</v>
      </c>
      <c r="F1344" s="169">
        <v>-2521.3000000000002</v>
      </c>
      <c r="G1344" s="165">
        <f t="shared" si="35"/>
        <v>78376.920999999988</v>
      </c>
      <c r="H1344" s="163"/>
      <c r="I1344" s="163" t="s">
        <v>283</v>
      </c>
      <c r="J1344" s="163"/>
      <c r="K1344" s="163"/>
      <c r="L1344" s="163" t="s">
        <v>1424</v>
      </c>
      <c r="M1344" s="163"/>
      <c r="N1344" s="163" t="s">
        <v>978</v>
      </c>
      <c r="O1344" s="163"/>
      <c r="P1344" s="163"/>
      <c r="Q1344" s="163"/>
      <c r="R1344" s="163" t="s">
        <v>460</v>
      </c>
      <c r="S1344" s="163" t="s">
        <v>462</v>
      </c>
      <c r="T1344" s="43">
        <f t="shared" si="34"/>
        <v>2</v>
      </c>
      <c r="U1344" s="167">
        <f t="shared" si="31"/>
        <v>45694</v>
      </c>
      <c r="W1344" s="43">
        <f t="shared" si="33"/>
        <v>2</v>
      </c>
      <c r="X1344" s="49" t="s">
        <v>1499</v>
      </c>
      <c r="Y1344" s="49" t="s">
        <v>26</v>
      </c>
    </row>
    <row r="1345" spans="1:28" hidden="1">
      <c r="A1345" s="163" t="s">
        <v>1017</v>
      </c>
      <c r="B1345" s="164">
        <v>45694</v>
      </c>
      <c r="C1345" s="163" t="s">
        <v>463</v>
      </c>
      <c r="D1345" s="163" t="s">
        <v>281</v>
      </c>
      <c r="E1345" s="163" t="s">
        <v>18</v>
      </c>
      <c r="F1345" s="169">
        <v>-1642.79</v>
      </c>
      <c r="G1345" s="165">
        <f t="shared" si="35"/>
        <v>76734.130999999994</v>
      </c>
      <c r="H1345" s="163"/>
      <c r="I1345" s="163" t="s">
        <v>283</v>
      </c>
      <c r="J1345" s="163"/>
      <c r="K1345" s="163"/>
      <c r="L1345" s="163" t="s">
        <v>1424</v>
      </c>
      <c r="M1345" s="163"/>
      <c r="N1345" s="163" t="s">
        <v>978</v>
      </c>
      <c r="O1345" s="163"/>
      <c r="P1345" s="163"/>
      <c r="Q1345" s="163"/>
      <c r="R1345" s="163" t="s">
        <v>463</v>
      </c>
      <c r="S1345" s="163" t="s">
        <v>465</v>
      </c>
      <c r="T1345" s="43">
        <f t="shared" si="34"/>
        <v>2</v>
      </c>
      <c r="U1345" s="167">
        <f t="shared" si="31"/>
        <v>45694</v>
      </c>
      <c r="W1345" s="43">
        <f t="shared" si="33"/>
        <v>2</v>
      </c>
      <c r="X1345" s="49" t="s">
        <v>1499</v>
      </c>
      <c r="Y1345" s="49" t="s">
        <v>1488</v>
      </c>
    </row>
    <row r="1346" spans="1:28" hidden="1">
      <c r="A1346" s="163" t="s">
        <v>1017</v>
      </c>
      <c r="B1346" s="164">
        <v>45694</v>
      </c>
      <c r="C1346" s="163" t="s">
        <v>469</v>
      </c>
      <c r="D1346" s="163" t="s">
        <v>281</v>
      </c>
      <c r="E1346" s="163" t="s">
        <v>18</v>
      </c>
      <c r="F1346" s="169">
        <v>-2160.4899999999998</v>
      </c>
      <c r="G1346" s="165">
        <f t="shared" si="35"/>
        <v>74573.640999999989</v>
      </c>
      <c r="H1346" s="163"/>
      <c r="I1346" s="163" t="s">
        <v>283</v>
      </c>
      <c r="J1346" s="163"/>
      <c r="K1346" s="163"/>
      <c r="L1346" s="163" t="s">
        <v>1424</v>
      </c>
      <c r="M1346" s="163"/>
      <c r="N1346" s="163" t="s">
        <v>978</v>
      </c>
      <c r="O1346" s="163"/>
      <c r="P1346" s="163"/>
      <c r="Q1346" s="163"/>
      <c r="R1346" s="163" t="s">
        <v>469</v>
      </c>
      <c r="S1346" s="163" t="s">
        <v>471</v>
      </c>
      <c r="T1346" s="43">
        <f t="shared" si="34"/>
        <v>2</v>
      </c>
      <c r="U1346" s="167">
        <f t="shared" ref="U1346:U1600" si="36">IF(V1346="",B1346,V1346)</f>
        <v>45694</v>
      </c>
      <c r="W1346" s="43">
        <f t="shared" si="33"/>
        <v>2</v>
      </c>
      <c r="X1346" s="49" t="s">
        <v>1499</v>
      </c>
      <c r="Y1346" s="49" t="s">
        <v>26</v>
      </c>
    </row>
    <row r="1347" spans="1:28" hidden="1">
      <c r="A1347" s="163" t="s">
        <v>1017</v>
      </c>
      <c r="B1347" s="164">
        <v>45694</v>
      </c>
      <c r="C1347" s="163" t="s">
        <v>466</v>
      </c>
      <c r="D1347" s="163" t="s">
        <v>281</v>
      </c>
      <c r="E1347" s="163" t="s">
        <v>18</v>
      </c>
      <c r="F1347" s="169">
        <v>-1237.67</v>
      </c>
      <c r="G1347" s="165">
        <f t="shared" si="35"/>
        <v>73335.97099999999</v>
      </c>
      <c r="H1347" s="163"/>
      <c r="I1347" s="163" t="s">
        <v>283</v>
      </c>
      <c r="J1347" s="163"/>
      <c r="K1347" s="163"/>
      <c r="L1347" s="163" t="s">
        <v>1424</v>
      </c>
      <c r="M1347" s="163"/>
      <c r="N1347" s="163" t="s">
        <v>978</v>
      </c>
      <c r="O1347" s="163"/>
      <c r="P1347" s="163"/>
      <c r="Q1347" s="163"/>
      <c r="R1347" s="163" t="s">
        <v>466</v>
      </c>
      <c r="S1347" s="163" t="s">
        <v>468</v>
      </c>
      <c r="T1347" s="43">
        <f t="shared" si="34"/>
        <v>2</v>
      </c>
      <c r="U1347" s="167">
        <f t="shared" si="36"/>
        <v>45694</v>
      </c>
      <c r="W1347" s="43">
        <f t="shared" si="33"/>
        <v>2</v>
      </c>
      <c r="X1347" s="49" t="s">
        <v>1499</v>
      </c>
      <c r="Y1347" s="49" t="s">
        <v>26</v>
      </c>
    </row>
    <row r="1348" spans="1:28" hidden="1">
      <c r="A1348" s="163" t="s">
        <v>1017</v>
      </c>
      <c r="B1348" s="164">
        <v>45694</v>
      </c>
      <c r="C1348" s="163" t="s">
        <v>552</v>
      </c>
      <c r="D1348" s="163" t="s">
        <v>281</v>
      </c>
      <c r="E1348" s="163" t="s">
        <v>199</v>
      </c>
      <c r="F1348" s="169">
        <v>-251.1</v>
      </c>
      <c r="G1348" s="165">
        <f t="shared" si="35"/>
        <v>73084.870999999985</v>
      </c>
      <c r="H1348" s="163"/>
      <c r="I1348" s="163" t="s">
        <v>342</v>
      </c>
      <c r="J1348" s="163"/>
      <c r="K1348" s="163"/>
      <c r="L1348" s="163" t="s">
        <v>1424</v>
      </c>
      <c r="M1348" s="163"/>
      <c r="N1348" s="163" t="s">
        <v>978</v>
      </c>
      <c r="O1348" s="163"/>
      <c r="P1348" s="163"/>
      <c r="Q1348" s="163"/>
      <c r="R1348" s="163" t="s">
        <v>128</v>
      </c>
      <c r="S1348" s="163" t="s">
        <v>554</v>
      </c>
      <c r="T1348" s="43">
        <f t="shared" si="34"/>
        <v>2</v>
      </c>
      <c r="U1348" s="167">
        <f t="shared" si="36"/>
        <v>45694</v>
      </c>
      <c r="W1348" s="43">
        <f t="shared" si="33"/>
        <v>2</v>
      </c>
      <c r="X1348" s="49" t="s">
        <v>1480</v>
      </c>
      <c r="Y1348" s="49" t="s">
        <v>1443</v>
      </c>
    </row>
    <row r="1349" spans="1:28" hidden="1">
      <c r="A1349" s="163" t="s">
        <v>1017</v>
      </c>
      <c r="B1349" s="164">
        <v>45694</v>
      </c>
      <c r="C1349" s="163" t="s">
        <v>476</v>
      </c>
      <c r="D1349" s="163" t="s">
        <v>281</v>
      </c>
      <c r="E1349" s="163" t="s">
        <v>196</v>
      </c>
      <c r="F1349" s="204"/>
      <c r="G1349" s="165">
        <f t="shared" si="35"/>
        <v>73084.870999999985</v>
      </c>
      <c r="H1349" s="163"/>
      <c r="I1349" s="163" t="s">
        <v>283</v>
      </c>
      <c r="J1349" s="163"/>
      <c r="K1349" s="163"/>
      <c r="L1349" s="163" t="s">
        <v>366</v>
      </c>
      <c r="M1349" s="163"/>
      <c r="N1349" s="163" t="s">
        <v>978</v>
      </c>
      <c r="O1349" s="163"/>
      <c r="P1349" s="163"/>
      <c r="Q1349" s="163"/>
      <c r="R1349" s="163" t="s">
        <v>479</v>
      </c>
      <c r="S1349" s="163" t="s">
        <v>480</v>
      </c>
      <c r="T1349" s="43">
        <f t="shared" si="34"/>
        <v>2</v>
      </c>
      <c r="U1349" s="167">
        <f t="shared" si="36"/>
        <v>45694</v>
      </c>
      <c r="W1349" s="43">
        <f t="shared" si="33"/>
        <v>2</v>
      </c>
      <c r="X1349" s="43" t="s">
        <v>196</v>
      </c>
      <c r="Y1349" s="43" t="s">
        <v>1443</v>
      </c>
    </row>
    <row r="1350" spans="1:28" hidden="1">
      <c r="A1350" s="163" t="s">
        <v>1017</v>
      </c>
      <c r="B1350" s="164">
        <v>45694</v>
      </c>
      <c r="C1350" s="163" t="s">
        <v>481</v>
      </c>
      <c r="D1350" s="163" t="s">
        <v>281</v>
      </c>
      <c r="E1350" s="163" t="s">
        <v>18</v>
      </c>
      <c r="F1350" s="169">
        <v>-3492.76</v>
      </c>
      <c r="G1350" s="165">
        <f t="shared" si="35"/>
        <v>69592.11099999999</v>
      </c>
      <c r="H1350" s="163"/>
      <c r="I1350" s="163" t="s">
        <v>283</v>
      </c>
      <c r="J1350" s="163"/>
      <c r="K1350" s="163"/>
      <c r="L1350" s="163" t="s">
        <v>366</v>
      </c>
      <c r="M1350" s="163"/>
      <c r="N1350" s="163" t="s">
        <v>978</v>
      </c>
      <c r="O1350" s="163"/>
      <c r="P1350" s="163"/>
      <c r="Q1350" s="163"/>
      <c r="R1350" s="163" t="s">
        <v>481</v>
      </c>
      <c r="S1350" s="163" t="s">
        <v>483</v>
      </c>
      <c r="T1350" s="43">
        <f t="shared" si="34"/>
        <v>2</v>
      </c>
      <c r="U1350" s="167">
        <f t="shared" si="36"/>
        <v>45694</v>
      </c>
      <c r="W1350" s="43">
        <f t="shared" si="33"/>
        <v>2</v>
      </c>
      <c r="X1350" s="49" t="s">
        <v>1499</v>
      </c>
      <c r="Y1350" s="49" t="s">
        <v>86</v>
      </c>
    </row>
    <row r="1351" spans="1:28" hidden="1">
      <c r="A1351" s="163" t="s">
        <v>1017</v>
      </c>
      <c r="B1351" s="164">
        <v>45694</v>
      </c>
      <c r="C1351" s="163" t="s">
        <v>484</v>
      </c>
      <c r="D1351" s="163" t="s">
        <v>281</v>
      </c>
      <c r="E1351" s="163" t="s">
        <v>18</v>
      </c>
      <c r="F1351" s="169">
        <v>-1376.37</v>
      </c>
      <c r="G1351" s="165">
        <f t="shared" si="35"/>
        <v>68215.740999999995</v>
      </c>
      <c r="H1351" s="163"/>
      <c r="I1351" s="163" t="s">
        <v>283</v>
      </c>
      <c r="J1351" s="163"/>
      <c r="K1351" s="163"/>
      <c r="L1351" s="163" t="s">
        <v>686</v>
      </c>
      <c r="M1351" s="163"/>
      <c r="N1351" s="163" t="s">
        <v>978</v>
      </c>
      <c r="O1351" s="163"/>
      <c r="P1351" s="163"/>
      <c r="Q1351" s="163"/>
      <c r="R1351" s="163" t="s">
        <v>484</v>
      </c>
      <c r="S1351" s="163" t="s">
        <v>487</v>
      </c>
      <c r="T1351" s="43">
        <f t="shared" si="34"/>
        <v>2</v>
      </c>
      <c r="U1351" s="167">
        <f t="shared" si="36"/>
        <v>45694</v>
      </c>
      <c r="W1351" s="43">
        <f t="shared" si="33"/>
        <v>2</v>
      </c>
      <c r="X1351" s="49" t="s">
        <v>1499</v>
      </c>
      <c r="Y1351" s="49" t="s">
        <v>86</v>
      </c>
    </row>
    <row r="1352" spans="1:28" hidden="1">
      <c r="A1352" s="163" t="s">
        <v>1017</v>
      </c>
      <c r="B1352" s="164">
        <v>45694</v>
      </c>
      <c r="C1352" s="163" t="s">
        <v>491</v>
      </c>
      <c r="D1352" s="163" t="s">
        <v>281</v>
      </c>
      <c r="E1352" s="163" t="s">
        <v>18</v>
      </c>
      <c r="F1352" s="169">
        <v>-3575.05</v>
      </c>
      <c r="G1352" s="165">
        <f t="shared" si="35"/>
        <v>64640.690999999992</v>
      </c>
      <c r="H1352" s="163"/>
      <c r="I1352" s="163" t="s">
        <v>283</v>
      </c>
      <c r="J1352" s="163"/>
      <c r="K1352" s="163"/>
      <c r="L1352" s="163" t="s">
        <v>686</v>
      </c>
      <c r="M1352" s="163"/>
      <c r="N1352" s="163" t="s">
        <v>978</v>
      </c>
      <c r="O1352" s="163"/>
      <c r="P1352" s="163"/>
      <c r="Q1352" s="163"/>
      <c r="R1352" s="163" t="s">
        <v>491</v>
      </c>
      <c r="S1352" s="163" t="s">
        <v>493</v>
      </c>
      <c r="T1352" s="43">
        <f t="shared" si="34"/>
        <v>2</v>
      </c>
      <c r="U1352" s="167">
        <f t="shared" si="36"/>
        <v>45694</v>
      </c>
      <c r="W1352" s="43">
        <f t="shared" si="33"/>
        <v>2</v>
      </c>
      <c r="X1352" s="49" t="s">
        <v>1499</v>
      </c>
      <c r="Y1352" s="49" t="s">
        <v>86</v>
      </c>
    </row>
    <row r="1353" spans="1:28" hidden="1">
      <c r="A1353" s="163" t="s">
        <v>1017</v>
      </c>
      <c r="B1353" s="164">
        <v>45694</v>
      </c>
      <c r="C1353" s="163" t="s">
        <v>494</v>
      </c>
      <c r="D1353" s="163" t="s">
        <v>281</v>
      </c>
      <c r="E1353" s="163" t="s">
        <v>18</v>
      </c>
      <c r="F1353" s="169">
        <v>-1842.77</v>
      </c>
      <c r="G1353" s="165">
        <f t="shared" si="35"/>
        <v>62797.920999999995</v>
      </c>
      <c r="H1353" s="163"/>
      <c r="I1353" s="163" t="s">
        <v>283</v>
      </c>
      <c r="J1353" s="163"/>
      <c r="K1353" s="163"/>
      <c r="L1353" s="163" t="s">
        <v>686</v>
      </c>
      <c r="M1353" s="163"/>
      <c r="N1353" s="163" t="s">
        <v>978</v>
      </c>
      <c r="O1353" s="163"/>
      <c r="P1353" s="163"/>
      <c r="Q1353" s="163"/>
      <c r="R1353" s="163" t="s">
        <v>494</v>
      </c>
      <c r="S1353" s="163" t="s">
        <v>496</v>
      </c>
      <c r="T1353" s="43">
        <f t="shared" si="34"/>
        <v>2</v>
      </c>
      <c r="U1353" s="167">
        <f t="shared" si="36"/>
        <v>45694</v>
      </c>
      <c r="W1353" s="43">
        <f t="shared" si="33"/>
        <v>2</v>
      </c>
      <c r="X1353" s="49" t="s">
        <v>1499</v>
      </c>
      <c r="Y1353" s="49" t="s">
        <v>86</v>
      </c>
    </row>
    <row r="1354" spans="1:28" hidden="1">
      <c r="A1354" s="163" t="s">
        <v>1017</v>
      </c>
      <c r="B1354" s="164">
        <v>45694</v>
      </c>
      <c r="C1354" s="163" t="s">
        <v>1651</v>
      </c>
      <c r="D1354" s="163" t="s">
        <v>281</v>
      </c>
      <c r="E1354" s="163" t="s">
        <v>18</v>
      </c>
      <c r="F1354" s="168"/>
      <c r="G1354" s="165">
        <f t="shared" si="35"/>
        <v>62797.920999999995</v>
      </c>
      <c r="H1354" s="163"/>
      <c r="I1354" s="163" t="s">
        <v>283</v>
      </c>
      <c r="J1354" s="163"/>
      <c r="K1354" s="163"/>
      <c r="L1354" s="163" t="s">
        <v>686</v>
      </c>
      <c r="M1354" s="163"/>
      <c r="N1354" s="163" t="s">
        <v>978</v>
      </c>
      <c r="O1354" s="163"/>
      <c r="P1354" s="163"/>
      <c r="Q1354" s="163"/>
      <c r="R1354" s="163" t="s">
        <v>362</v>
      </c>
      <c r="S1354" s="163" t="s">
        <v>364</v>
      </c>
      <c r="T1354" s="43">
        <f t="shared" si="34"/>
        <v>2</v>
      </c>
      <c r="U1354" s="167">
        <f t="shared" si="36"/>
        <v>45694</v>
      </c>
      <c r="W1354" s="43">
        <f t="shared" si="33"/>
        <v>2</v>
      </c>
      <c r="X1354" s="49" t="s">
        <v>1499</v>
      </c>
      <c r="Y1354" s="49" t="s">
        <v>1336</v>
      </c>
    </row>
    <row r="1355" spans="1:28" hidden="1">
      <c r="A1355" s="180" t="s">
        <v>1017</v>
      </c>
      <c r="B1355" s="181">
        <v>45694</v>
      </c>
      <c r="C1355" s="180" t="s">
        <v>1652</v>
      </c>
      <c r="D1355" s="180" t="s">
        <v>281</v>
      </c>
      <c r="E1355" s="180" t="s">
        <v>18</v>
      </c>
      <c r="F1355" s="169">
        <v>-1110</v>
      </c>
      <c r="G1355" s="165">
        <f t="shared" si="35"/>
        <v>61687.920999999995</v>
      </c>
      <c r="H1355" s="180"/>
      <c r="I1355" s="180" t="s">
        <v>283</v>
      </c>
      <c r="J1355" s="180"/>
      <c r="K1355" s="180"/>
      <c r="L1355" s="180" t="s">
        <v>686</v>
      </c>
      <c r="M1355" s="180"/>
      <c r="N1355" s="180" t="s">
        <v>978</v>
      </c>
      <c r="O1355" s="180"/>
      <c r="P1355" s="180"/>
      <c r="Q1355" s="180"/>
      <c r="R1355" s="180" t="s">
        <v>362</v>
      </c>
      <c r="S1355" s="180" t="s">
        <v>364</v>
      </c>
      <c r="T1355" s="183">
        <f t="shared" si="34"/>
        <v>2</v>
      </c>
      <c r="U1355" s="184">
        <f t="shared" si="36"/>
        <v>45694</v>
      </c>
      <c r="V1355" s="183"/>
      <c r="W1355" s="43">
        <f t="shared" si="33"/>
        <v>2</v>
      </c>
      <c r="X1355" s="49" t="s">
        <v>1499</v>
      </c>
      <c r="Y1355" s="49" t="s">
        <v>86</v>
      </c>
      <c r="Z1355" s="183"/>
      <c r="AA1355" s="183"/>
      <c r="AB1355" s="183"/>
    </row>
    <row r="1356" spans="1:28" hidden="1">
      <c r="A1356" s="163" t="s">
        <v>1017</v>
      </c>
      <c r="B1356" s="164">
        <v>45694</v>
      </c>
      <c r="C1356" s="163" t="s">
        <v>505</v>
      </c>
      <c r="D1356" s="163" t="s">
        <v>281</v>
      </c>
      <c r="E1356" s="163" t="s">
        <v>18</v>
      </c>
      <c r="F1356" s="169">
        <f>-2500.6</f>
        <v>-2500.6</v>
      </c>
      <c r="G1356" s="165">
        <f t="shared" si="35"/>
        <v>59187.320999999996</v>
      </c>
      <c r="H1356" s="163"/>
      <c r="I1356" s="163" t="s">
        <v>283</v>
      </c>
      <c r="J1356" s="163"/>
      <c r="K1356" s="163"/>
      <c r="L1356" s="163" t="s">
        <v>686</v>
      </c>
      <c r="M1356" s="163"/>
      <c r="N1356" s="163" t="s">
        <v>978</v>
      </c>
      <c r="O1356" s="163"/>
      <c r="P1356" s="163"/>
      <c r="Q1356" s="163"/>
      <c r="R1356" s="163" t="s">
        <v>505</v>
      </c>
      <c r="S1356" s="163" t="s">
        <v>507</v>
      </c>
      <c r="T1356" s="43">
        <f t="shared" si="34"/>
        <v>2</v>
      </c>
      <c r="U1356" s="167">
        <f t="shared" si="36"/>
        <v>45694</v>
      </c>
      <c r="W1356" s="43">
        <f t="shared" si="33"/>
        <v>2</v>
      </c>
      <c r="X1356" s="49" t="s">
        <v>1499</v>
      </c>
      <c r="Y1356" s="49" t="s">
        <v>105</v>
      </c>
    </row>
    <row r="1357" spans="1:28" hidden="1">
      <c r="A1357" s="163" t="s">
        <v>1017</v>
      </c>
      <c r="B1357" s="164">
        <v>45694</v>
      </c>
      <c r="C1357" s="163" t="s">
        <v>111</v>
      </c>
      <c r="D1357" s="163" t="s">
        <v>281</v>
      </c>
      <c r="E1357" s="163" t="s">
        <v>18</v>
      </c>
      <c r="F1357" s="169">
        <v>-1892.76</v>
      </c>
      <c r="G1357" s="165">
        <f t="shared" si="35"/>
        <v>57294.560999999994</v>
      </c>
      <c r="H1357" s="163"/>
      <c r="I1357" s="163" t="s">
        <v>283</v>
      </c>
      <c r="J1357" s="163"/>
      <c r="K1357" s="163"/>
      <c r="L1357" s="163" t="s">
        <v>766</v>
      </c>
      <c r="M1357" s="163"/>
      <c r="N1357" s="163" t="s">
        <v>978</v>
      </c>
      <c r="O1357" s="163"/>
      <c r="P1357" s="163"/>
      <c r="Q1357" s="163"/>
      <c r="R1357" s="163" t="s">
        <v>111</v>
      </c>
      <c r="S1357" s="163" t="s">
        <v>320</v>
      </c>
      <c r="T1357" s="43">
        <f t="shared" si="34"/>
        <v>2</v>
      </c>
      <c r="U1357" s="167">
        <f t="shared" si="36"/>
        <v>45694</v>
      </c>
      <c r="W1357" s="43">
        <f t="shared" si="33"/>
        <v>2</v>
      </c>
      <c r="X1357" s="49" t="s">
        <v>1499</v>
      </c>
      <c r="Y1357" s="49" t="s">
        <v>105</v>
      </c>
    </row>
    <row r="1358" spans="1:28" hidden="1">
      <c r="A1358" s="163" t="s">
        <v>1017</v>
      </c>
      <c r="B1358" s="164">
        <v>45694</v>
      </c>
      <c r="C1358" s="163" t="s">
        <v>510</v>
      </c>
      <c r="D1358" s="163" t="s">
        <v>281</v>
      </c>
      <c r="E1358" s="163" t="s">
        <v>18</v>
      </c>
      <c r="F1358" s="169">
        <v>-2676.09</v>
      </c>
      <c r="G1358" s="165">
        <f t="shared" si="35"/>
        <v>54618.47099999999</v>
      </c>
      <c r="H1358" s="163"/>
      <c r="I1358" s="163" t="s">
        <v>283</v>
      </c>
      <c r="J1358" s="163"/>
      <c r="K1358" s="163"/>
      <c r="L1358" s="163" t="s">
        <v>766</v>
      </c>
      <c r="M1358" s="163"/>
      <c r="N1358" s="163" t="s">
        <v>978</v>
      </c>
      <c r="O1358" s="163"/>
      <c r="P1358" s="163"/>
      <c r="Q1358" s="163"/>
      <c r="R1358" s="163" t="s">
        <v>510</v>
      </c>
      <c r="S1358" s="163" t="s">
        <v>512</v>
      </c>
      <c r="T1358" s="43">
        <f t="shared" si="34"/>
        <v>2</v>
      </c>
      <c r="U1358" s="167">
        <f t="shared" si="36"/>
        <v>45694</v>
      </c>
      <c r="W1358" s="43">
        <f t="shared" si="33"/>
        <v>2</v>
      </c>
      <c r="X1358" s="49" t="s">
        <v>1499</v>
      </c>
      <c r="Y1358" s="49" t="s">
        <v>86</v>
      </c>
    </row>
    <row r="1359" spans="1:28" hidden="1">
      <c r="A1359" s="163" t="s">
        <v>1017</v>
      </c>
      <c r="B1359" s="164">
        <v>45694</v>
      </c>
      <c r="C1359" s="163" t="s">
        <v>513</v>
      </c>
      <c r="D1359" s="163" t="s">
        <v>281</v>
      </c>
      <c r="E1359" s="163" t="s">
        <v>18</v>
      </c>
      <c r="F1359" s="169">
        <v>-1797.77</v>
      </c>
      <c r="G1359" s="165">
        <f t="shared" si="35"/>
        <v>52820.700999999994</v>
      </c>
      <c r="H1359" s="163"/>
      <c r="I1359" s="163" t="s">
        <v>283</v>
      </c>
      <c r="J1359" s="163"/>
      <c r="K1359" s="163"/>
      <c r="L1359" s="163" t="s">
        <v>766</v>
      </c>
      <c r="M1359" s="163"/>
      <c r="N1359" s="163" t="s">
        <v>978</v>
      </c>
      <c r="O1359" s="163"/>
      <c r="P1359" s="163"/>
      <c r="Q1359" s="163"/>
      <c r="R1359" s="163" t="s">
        <v>513</v>
      </c>
      <c r="S1359" s="163" t="s">
        <v>515</v>
      </c>
      <c r="T1359" s="43">
        <f t="shared" si="34"/>
        <v>2</v>
      </c>
      <c r="U1359" s="167">
        <f t="shared" si="36"/>
        <v>45694</v>
      </c>
      <c r="W1359" s="43">
        <f t="shared" si="33"/>
        <v>2</v>
      </c>
      <c r="X1359" s="49" t="s">
        <v>1499</v>
      </c>
      <c r="Y1359" s="49" t="s">
        <v>86</v>
      </c>
    </row>
    <row r="1360" spans="1:28" hidden="1">
      <c r="A1360" s="163" t="s">
        <v>1017</v>
      </c>
      <c r="B1360" s="164">
        <v>45694</v>
      </c>
      <c r="C1360" s="163" t="s">
        <v>528</v>
      </c>
      <c r="D1360" s="163" t="s">
        <v>281</v>
      </c>
      <c r="E1360" s="163" t="s">
        <v>18</v>
      </c>
      <c r="F1360" s="169">
        <v>-2297.77</v>
      </c>
      <c r="G1360" s="165">
        <f t="shared" si="35"/>
        <v>50522.930999999997</v>
      </c>
      <c r="H1360" s="163"/>
      <c r="I1360" s="163" t="s">
        <v>283</v>
      </c>
      <c r="J1360" s="163"/>
      <c r="K1360" s="163"/>
      <c r="L1360" s="163" t="s">
        <v>766</v>
      </c>
      <c r="M1360" s="163"/>
      <c r="N1360" s="163" t="s">
        <v>978</v>
      </c>
      <c r="O1360" s="163"/>
      <c r="P1360" s="163"/>
      <c r="Q1360" s="163"/>
      <c r="R1360" s="163" t="s">
        <v>528</v>
      </c>
      <c r="S1360" s="163" t="s">
        <v>530</v>
      </c>
      <c r="T1360" s="43">
        <f t="shared" si="34"/>
        <v>2</v>
      </c>
      <c r="U1360" s="167">
        <f t="shared" si="36"/>
        <v>45694</v>
      </c>
      <c r="W1360" s="43">
        <f t="shared" si="33"/>
        <v>2</v>
      </c>
      <c r="X1360" s="49" t="s">
        <v>1499</v>
      </c>
      <c r="Y1360" s="49" t="s">
        <v>86</v>
      </c>
    </row>
    <row r="1361" spans="1:28" hidden="1">
      <c r="A1361" s="163" t="s">
        <v>1017</v>
      </c>
      <c r="B1361" s="164">
        <v>45694</v>
      </c>
      <c r="C1361" s="163" t="s">
        <v>516</v>
      </c>
      <c r="D1361" s="163" t="s">
        <v>281</v>
      </c>
      <c r="E1361" s="163" t="s">
        <v>18</v>
      </c>
      <c r="F1361" s="169">
        <v>-1442.77</v>
      </c>
      <c r="G1361" s="165">
        <f t="shared" si="35"/>
        <v>49080.161</v>
      </c>
      <c r="H1361" s="163"/>
      <c r="I1361" s="163" t="s">
        <v>283</v>
      </c>
      <c r="J1361" s="163"/>
      <c r="K1361" s="163"/>
      <c r="L1361" s="163" t="s">
        <v>766</v>
      </c>
      <c r="M1361" s="163"/>
      <c r="N1361" s="163" t="s">
        <v>978</v>
      </c>
      <c r="O1361" s="163"/>
      <c r="P1361" s="163"/>
      <c r="Q1361" s="163"/>
      <c r="R1361" s="163" t="s">
        <v>516</v>
      </c>
      <c r="S1361" s="163" t="s">
        <v>518</v>
      </c>
      <c r="T1361" s="43">
        <f t="shared" si="34"/>
        <v>2</v>
      </c>
      <c r="U1361" s="167">
        <f t="shared" si="36"/>
        <v>45694</v>
      </c>
      <c r="W1361" s="43">
        <f t="shared" si="33"/>
        <v>2</v>
      </c>
      <c r="X1361" s="49" t="s">
        <v>1499</v>
      </c>
      <c r="Y1361" s="49" t="s">
        <v>86</v>
      </c>
    </row>
    <row r="1362" spans="1:28" hidden="1">
      <c r="A1362" s="163" t="s">
        <v>1017</v>
      </c>
      <c r="B1362" s="164">
        <v>45694</v>
      </c>
      <c r="C1362" s="163" t="s">
        <v>1653</v>
      </c>
      <c r="D1362" s="163" t="s">
        <v>281</v>
      </c>
      <c r="E1362" s="163" t="s">
        <v>18</v>
      </c>
      <c r="F1362" s="168"/>
      <c r="G1362" s="165">
        <f t="shared" si="35"/>
        <v>49080.161</v>
      </c>
      <c r="H1362" s="163"/>
      <c r="I1362" s="163" t="s">
        <v>283</v>
      </c>
      <c r="J1362" s="163"/>
      <c r="K1362" s="163"/>
      <c r="L1362" s="163" t="s">
        <v>766</v>
      </c>
      <c r="M1362" s="163"/>
      <c r="N1362" s="163" t="s">
        <v>978</v>
      </c>
      <c r="O1362" s="163"/>
      <c r="P1362" s="163"/>
      <c r="Q1362" s="163"/>
      <c r="R1362" s="163" t="s">
        <v>519</v>
      </c>
      <c r="S1362" s="163" t="s">
        <v>521</v>
      </c>
      <c r="T1362" s="43">
        <f t="shared" si="34"/>
        <v>2</v>
      </c>
      <c r="U1362" s="167">
        <f t="shared" si="36"/>
        <v>45694</v>
      </c>
      <c r="W1362" s="43">
        <f t="shared" si="33"/>
        <v>2</v>
      </c>
      <c r="X1362" s="49" t="s">
        <v>1499</v>
      </c>
      <c r="Y1362" s="49" t="s">
        <v>86</v>
      </c>
    </row>
    <row r="1363" spans="1:28" hidden="1">
      <c r="A1363" s="163" t="s">
        <v>1017</v>
      </c>
      <c r="B1363" s="164">
        <v>45694</v>
      </c>
      <c r="C1363" s="163" t="s">
        <v>522</v>
      </c>
      <c r="D1363" s="163" t="s">
        <v>281</v>
      </c>
      <c r="E1363" s="163" t="s">
        <v>18</v>
      </c>
      <c r="F1363" s="169">
        <v>-3127.76</v>
      </c>
      <c r="G1363" s="165">
        <f t="shared" si="35"/>
        <v>45952.400999999998</v>
      </c>
      <c r="H1363" s="163"/>
      <c r="I1363" s="163" t="s">
        <v>283</v>
      </c>
      <c r="J1363" s="163"/>
      <c r="K1363" s="163"/>
      <c r="L1363" s="163" t="s">
        <v>766</v>
      </c>
      <c r="M1363" s="163"/>
      <c r="N1363" s="163" t="s">
        <v>978</v>
      </c>
      <c r="O1363" s="163"/>
      <c r="P1363" s="163"/>
      <c r="Q1363" s="163"/>
      <c r="R1363" s="163" t="s">
        <v>522</v>
      </c>
      <c r="S1363" s="163" t="s">
        <v>524</v>
      </c>
      <c r="T1363" s="43">
        <f t="shared" si="34"/>
        <v>2</v>
      </c>
      <c r="U1363" s="167">
        <f t="shared" si="36"/>
        <v>45694</v>
      </c>
      <c r="W1363" s="43">
        <f t="shared" si="33"/>
        <v>2</v>
      </c>
      <c r="X1363" s="49" t="s">
        <v>1499</v>
      </c>
      <c r="Y1363" s="49" t="s">
        <v>86</v>
      </c>
    </row>
    <row r="1364" spans="1:28" hidden="1">
      <c r="A1364" s="163" t="s">
        <v>1017</v>
      </c>
      <c r="B1364" s="164">
        <v>45694</v>
      </c>
      <c r="C1364" s="163" t="s">
        <v>525</v>
      </c>
      <c r="D1364" s="163" t="s">
        <v>281</v>
      </c>
      <c r="E1364" s="163" t="s">
        <v>18</v>
      </c>
      <c r="F1364" s="169">
        <v>-2427.7600000000002</v>
      </c>
      <c r="G1364" s="165">
        <f t="shared" si="35"/>
        <v>43524.640999999996</v>
      </c>
      <c r="H1364" s="163"/>
      <c r="I1364" s="163" t="s">
        <v>283</v>
      </c>
      <c r="J1364" s="163"/>
      <c r="K1364" s="163"/>
      <c r="L1364" s="163" t="s">
        <v>766</v>
      </c>
      <c r="M1364" s="163"/>
      <c r="N1364" s="163" t="s">
        <v>978</v>
      </c>
      <c r="O1364" s="163"/>
      <c r="P1364" s="163"/>
      <c r="Q1364" s="163"/>
      <c r="R1364" s="163" t="s">
        <v>525</v>
      </c>
      <c r="S1364" s="163" t="s">
        <v>527</v>
      </c>
      <c r="T1364" s="43">
        <f t="shared" si="34"/>
        <v>2</v>
      </c>
      <c r="U1364" s="167">
        <f t="shared" si="36"/>
        <v>45694</v>
      </c>
      <c r="W1364" s="43">
        <f t="shared" si="33"/>
        <v>2</v>
      </c>
      <c r="X1364" s="49" t="s">
        <v>1499</v>
      </c>
      <c r="Y1364" s="49" t="s">
        <v>86</v>
      </c>
    </row>
    <row r="1365" spans="1:28" hidden="1">
      <c r="A1365" s="163" t="s">
        <v>1017</v>
      </c>
      <c r="B1365" s="164">
        <v>45694</v>
      </c>
      <c r="C1365" s="163" t="s">
        <v>112</v>
      </c>
      <c r="D1365" s="163" t="s">
        <v>281</v>
      </c>
      <c r="E1365" s="163" t="s">
        <v>18</v>
      </c>
      <c r="F1365" s="169">
        <v>-1797.77</v>
      </c>
      <c r="G1365" s="165">
        <f t="shared" si="35"/>
        <v>41726.870999999999</v>
      </c>
      <c r="H1365" s="163"/>
      <c r="I1365" s="163" t="s">
        <v>283</v>
      </c>
      <c r="J1365" s="163"/>
      <c r="K1365" s="163"/>
      <c r="L1365" s="163" t="s">
        <v>766</v>
      </c>
      <c r="M1365" s="163"/>
      <c r="N1365" s="163" t="s">
        <v>978</v>
      </c>
      <c r="O1365" s="163"/>
      <c r="P1365" s="163"/>
      <c r="Q1365" s="163"/>
      <c r="R1365" s="163" t="s">
        <v>112</v>
      </c>
      <c r="S1365" s="163" t="s">
        <v>532</v>
      </c>
      <c r="T1365" s="43">
        <f t="shared" si="34"/>
        <v>2</v>
      </c>
      <c r="U1365" s="167">
        <f t="shared" si="36"/>
        <v>45694</v>
      </c>
      <c r="W1365" s="43">
        <f t="shared" si="33"/>
        <v>2</v>
      </c>
      <c r="X1365" s="49" t="s">
        <v>1499</v>
      </c>
      <c r="Y1365" s="49" t="s">
        <v>86</v>
      </c>
    </row>
    <row r="1366" spans="1:28" hidden="1">
      <c r="A1366" s="163" t="s">
        <v>1017</v>
      </c>
      <c r="B1366" s="164">
        <v>45694</v>
      </c>
      <c r="C1366" s="163" t="s">
        <v>533</v>
      </c>
      <c r="D1366" s="163" t="s">
        <v>281</v>
      </c>
      <c r="E1366" s="163" t="s">
        <v>18</v>
      </c>
      <c r="F1366" s="169">
        <v>-1842.77</v>
      </c>
      <c r="G1366" s="165">
        <f t="shared" si="35"/>
        <v>39884.101000000002</v>
      </c>
      <c r="H1366" s="163"/>
      <c r="I1366" s="163" t="s">
        <v>283</v>
      </c>
      <c r="J1366" s="163"/>
      <c r="K1366" s="163"/>
      <c r="L1366" s="163" t="s">
        <v>766</v>
      </c>
      <c r="M1366" s="163"/>
      <c r="N1366" s="163" t="s">
        <v>978</v>
      </c>
      <c r="O1366" s="163"/>
      <c r="P1366" s="163"/>
      <c r="Q1366" s="163"/>
      <c r="R1366" s="163" t="s">
        <v>533</v>
      </c>
      <c r="S1366" s="163" t="s">
        <v>535</v>
      </c>
      <c r="T1366" s="43">
        <f t="shared" si="34"/>
        <v>2</v>
      </c>
      <c r="U1366" s="167">
        <f t="shared" si="36"/>
        <v>45694</v>
      </c>
      <c r="W1366" s="43">
        <f t="shared" si="33"/>
        <v>2</v>
      </c>
      <c r="X1366" s="49" t="s">
        <v>1499</v>
      </c>
      <c r="Y1366" s="49" t="s">
        <v>86</v>
      </c>
    </row>
    <row r="1367" spans="1:28" hidden="1">
      <c r="A1367" s="163" t="s">
        <v>1017</v>
      </c>
      <c r="B1367" s="164">
        <v>45694</v>
      </c>
      <c r="C1367" s="163" t="s">
        <v>536</v>
      </c>
      <c r="D1367" s="163" t="s">
        <v>281</v>
      </c>
      <c r="E1367" s="163" t="s">
        <v>18</v>
      </c>
      <c r="F1367" s="169">
        <v>-1842.77</v>
      </c>
      <c r="G1367" s="165">
        <f t="shared" si="35"/>
        <v>38041.331000000006</v>
      </c>
      <c r="H1367" s="163"/>
      <c r="I1367" s="163" t="s">
        <v>283</v>
      </c>
      <c r="J1367" s="163"/>
      <c r="K1367" s="163"/>
      <c r="L1367" s="163" t="s">
        <v>766</v>
      </c>
      <c r="M1367" s="163"/>
      <c r="N1367" s="163" t="s">
        <v>978</v>
      </c>
      <c r="O1367" s="163"/>
      <c r="P1367" s="163"/>
      <c r="Q1367" s="163"/>
      <c r="R1367" s="163" t="s">
        <v>536</v>
      </c>
      <c r="S1367" s="163" t="s">
        <v>538</v>
      </c>
      <c r="T1367" s="43">
        <f t="shared" si="34"/>
        <v>2</v>
      </c>
      <c r="U1367" s="167">
        <f t="shared" si="36"/>
        <v>45694</v>
      </c>
      <c r="W1367" s="43">
        <f t="shared" si="33"/>
        <v>2</v>
      </c>
      <c r="X1367" s="49" t="s">
        <v>1499</v>
      </c>
      <c r="Y1367" s="49" t="s">
        <v>86</v>
      </c>
    </row>
    <row r="1368" spans="1:28" hidden="1">
      <c r="A1368" s="163" t="s">
        <v>1017</v>
      </c>
      <c r="B1368" s="164">
        <v>45694</v>
      </c>
      <c r="C1368" s="163" t="s">
        <v>93</v>
      </c>
      <c r="D1368" s="163" t="s">
        <v>281</v>
      </c>
      <c r="E1368" s="163" t="s">
        <v>18</v>
      </c>
      <c r="F1368" s="169">
        <v>-4106.08</v>
      </c>
      <c r="G1368" s="165">
        <f t="shared" si="35"/>
        <v>33935.251000000004</v>
      </c>
      <c r="H1368" s="163"/>
      <c r="I1368" s="163" t="s">
        <v>283</v>
      </c>
      <c r="J1368" s="163"/>
      <c r="K1368" s="163"/>
      <c r="L1368" s="163" t="s">
        <v>766</v>
      </c>
      <c r="M1368" s="163"/>
      <c r="N1368" s="163" t="s">
        <v>978</v>
      </c>
      <c r="O1368" s="163"/>
      <c r="P1368" s="163"/>
      <c r="Q1368" s="163"/>
      <c r="R1368" s="163" t="s">
        <v>93</v>
      </c>
      <c r="S1368" s="163" t="s">
        <v>540</v>
      </c>
      <c r="T1368" s="43">
        <f t="shared" si="34"/>
        <v>2</v>
      </c>
      <c r="U1368" s="167">
        <f t="shared" si="36"/>
        <v>45694</v>
      </c>
      <c r="W1368" s="43">
        <f t="shared" si="33"/>
        <v>2</v>
      </c>
      <c r="X1368" s="49" t="s">
        <v>1499</v>
      </c>
      <c r="Y1368" s="49" t="s">
        <v>94</v>
      </c>
    </row>
    <row r="1369" spans="1:28" hidden="1">
      <c r="A1369" s="163" t="s">
        <v>1017</v>
      </c>
      <c r="B1369" s="164">
        <v>45694</v>
      </c>
      <c r="C1369" s="163" t="s">
        <v>88</v>
      </c>
      <c r="D1369" s="163" t="s">
        <v>281</v>
      </c>
      <c r="E1369" s="163" t="s">
        <v>18</v>
      </c>
      <c r="F1369" s="169">
        <v>-3837.77</v>
      </c>
      <c r="G1369" s="165">
        <f t="shared" si="35"/>
        <v>30097.481000000003</v>
      </c>
      <c r="H1369" s="163"/>
      <c r="I1369" s="163" t="s">
        <v>283</v>
      </c>
      <c r="J1369" s="163"/>
      <c r="K1369" s="163"/>
      <c r="L1369" s="163" t="s">
        <v>766</v>
      </c>
      <c r="M1369" s="163"/>
      <c r="N1369" s="163" t="s">
        <v>978</v>
      </c>
      <c r="O1369" s="163"/>
      <c r="P1369" s="163"/>
      <c r="Q1369" s="163"/>
      <c r="R1369" s="163" t="s">
        <v>88</v>
      </c>
      <c r="S1369" s="163" t="s">
        <v>542</v>
      </c>
      <c r="T1369" s="43">
        <f t="shared" si="34"/>
        <v>2</v>
      </c>
      <c r="U1369" s="167">
        <f t="shared" si="36"/>
        <v>45694</v>
      </c>
      <c r="W1369" s="43">
        <f t="shared" si="33"/>
        <v>2</v>
      </c>
      <c r="X1369" s="49" t="s">
        <v>1499</v>
      </c>
      <c r="Y1369" s="49" t="s">
        <v>25</v>
      </c>
    </row>
    <row r="1370" spans="1:28" hidden="1">
      <c r="A1370" s="163" t="s">
        <v>1017</v>
      </c>
      <c r="B1370" s="164">
        <v>45694</v>
      </c>
      <c r="C1370" s="163" t="s">
        <v>543</v>
      </c>
      <c r="D1370" s="163" t="s">
        <v>281</v>
      </c>
      <c r="E1370" s="163" t="s">
        <v>18</v>
      </c>
      <c r="F1370" s="168"/>
      <c r="G1370" s="165">
        <f t="shared" si="35"/>
        <v>30097.481000000003</v>
      </c>
      <c r="H1370" s="163"/>
      <c r="I1370" s="163" t="s">
        <v>283</v>
      </c>
      <c r="J1370" s="163"/>
      <c r="K1370" s="163"/>
      <c r="L1370" s="163" t="s">
        <v>766</v>
      </c>
      <c r="M1370" s="163"/>
      <c r="N1370" s="163" t="s">
        <v>978</v>
      </c>
      <c r="O1370" s="163"/>
      <c r="P1370" s="163"/>
      <c r="Q1370" s="163"/>
      <c r="R1370" s="163" t="s">
        <v>543</v>
      </c>
      <c r="S1370" s="163" t="s">
        <v>545</v>
      </c>
      <c r="T1370" s="43">
        <f t="shared" si="34"/>
        <v>2</v>
      </c>
      <c r="U1370" s="167">
        <f t="shared" si="36"/>
        <v>45694</v>
      </c>
      <c r="W1370" s="43">
        <f t="shared" si="33"/>
        <v>2</v>
      </c>
      <c r="X1370" s="49" t="s">
        <v>1499</v>
      </c>
      <c r="Y1370" s="49" t="s">
        <v>26</v>
      </c>
    </row>
    <row r="1371" spans="1:28" hidden="1">
      <c r="A1371" s="163" t="s">
        <v>1017</v>
      </c>
      <c r="B1371" s="164">
        <v>45694</v>
      </c>
      <c r="C1371" s="163" t="s">
        <v>546</v>
      </c>
      <c r="D1371" s="163" t="s">
        <v>281</v>
      </c>
      <c r="E1371" s="163" t="s">
        <v>18</v>
      </c>
      <c r="F1371" s="169">
        <v>-1324.68</v>
      </c>
      <c r="G1371" s="165">
        <f t="shared" si="35"/>
        <v>28772.801000000003</v>
      </c>
      <c r="H1371" s="163"/>
      <c r="I1371" s="163" t="s">
        <v>283</v>
      </c>
      <c r="J1371" s="163"/>
      <c r="K1371" s="163"/>
      <c r="L1371" s="163" t="s">
        <v>766</v>
      </c>
      <c r="M1371" s="163"/>
      <c r="N1371" s="163" t="s">
        <v>978</v>
      </c>
      <c r="O1371" s="163"/>
      <c r="P1371" s="163"/>
      <c r="Q1371" s="163"/>
      <c r="R1371" s="163" t="s">
        <v>546</v>
      </c>
      <c r="S1371" s="163" t="s">
        <v>548</v>
      </c>
      <c r="T1371" s="43">
        <f t="shared" si="34"/>
        <v>2</v>
      </c>
      <c r="U1371" s="167">
        <f t="shared" si="36"/>
        <v>45694</v>
      </c>
      <c r="W1371" s="43">
        <f t="shared" si="33"/>
        <v>2</v>
      </c>
      <c r="X1371" s="49" t="s">
        <v>1499</v>
      </c>
      <c r="Y1371" s="49" t="s">
        <v>26</v>
      </c>
    </row>
    <row r="1372" spans="1:28" hidden="1">
      <c r="A1372" s="163" t="s">
        <v>1017</v>
      </c>
      <c r="B1372" s="164">
        <v>45694</v>
      </c>
      <c r="C1372" s="163" t="s">
        <v>549</v>
      </c>
      <c r="D1372" s="163" t="s">
        <v>281</v>
      </c>
      <c r="E1372" s="163" t="s">
        <v>18</v>
      </c>
      <c r="F1372" s="169">
        <v>-2486.8000000000002</v>
      </c>
      <c r="G1372" s="165">
        <f t="shared" si="35"/>
        <v>26286.001000000004</v>
      </c>
      <c r="H1372" s="163"/>
      <c r="I1372" s="163" t="s">
        <v>283</v>
      </c>
      <c r="J1372" s="163"/>
      <c r="K1372" s="163"/>
      <c r="L1372" s="163" t="s">
        <v>766</v>
      </c>
      <c r="M1372" s="163"/>
      <c r="N1372" s="163" t="s">
        <v>978</v>
      </c>
      <c r="O1372" s="163"/>
      <c r="P1372" s="163"/>
      <c r="Q1372" s="163"/>
      <c r="R1372" s="163" t="s">
        <v>549</v>
      </c>
      <c r="S1372" s="163" t="s">
        <v>551</v>
      </c>
      <c r="T1372" s="43">
        <f t="shared" si="34"/>
        <v>2</v>
      </c>
      <c r="U1372" s="167">
        <f t="shared" si="36"/>
        <v>45694</v>
      </c>
      <c r="W1372" s="43">
        <f t="shared" si="33"/>
        <v>2</v>
      </c>
      <c r="X1372" s="49" t="s">
        <v>1499</v>
      </c>
      <c r="Y1372" s="49" t="s">
        <v>105</v>
      </c>
    </row>
    <row r="1373" spans="1:28" hidden="1">
      <c r="A1373" s="163" t="s">
        <v>1017</v>
      </c>
      <c r="B1373" s="164">
        <v>45694</v>
      </c>
      <c r="C1373" s="163" t="s">
        <v>1266</v>
      </c>
      <c r="D1373" s="163" t="s">
        <v>281</v>
      </c>
      <c r="E1373" s="163" t="s">
        <v>18</v>
      </c>
      <c r="F1373" s="169">
        <v>-2024.77</v>
      </c>
      <c r="G1373" s="165">
        <f t="shared" si="35"/>
        <v>24261.231000000003</v>
      </c>
      <c r="H1373" s="163"/>
      <c r="I1373" s="163" t="s">
        <v>283</v>
      </c>
      <c r="J1373" s="163"/>
      <c r="K1373" s="163"/>
      <c r="L1373" s="163" t="s">
        <v>477</v>
      </c>
      <c r="M1373" s="163"/>
      <c r="N1373" s="163" t="s">
        <v>978</v>
      </c>
      <c r="O1373" s="163"/>
      <c r="P1373" s="163"/>
      <c r="Q1373" s="163"/>
      <c r="R1373" s="163" t="s">
        <v>1266</v>
      </c>
      <c r="S1373" s="163" t="s">
        <v>1267</v>
      </c>
      <c r="T1373" s="43">
        <f t="shared" si="34"/>
        <v>2</v>
      </c>
      <c r="U1373" s="167">
        <f t="shared" si="36"/>
        <v>45694</v>
      </c>
      <c r="W1373" s="43">
        <f t="shared" si="33"/>
        <v>2</v>
      </c>
      <c r="X1373" s="49" t="s">
        <v>1499</v>
      </c>
      <c r="Y1373" s="49" t="s">
        <v>86</v>
      </c>
    </row>
    <row r="1374" spans="1:28" hidden="1">
      <c r="A1374" s="163" t="s">
        <v>1017</v>
      </c>
      <c r="B1374" s="164">
        <v>45694</v>
      </c>
      <c r="C1374" s="163" t="s">
        <v>669</v>
      </c>
      <c r="D1374" s="163" t="s">
        <v>281</v>
      </c>
      <c r="E1374" s="163" t="s">
        <v>18</v>
      </c>
      <c r="F1374" s="169">
        <v>-2037.77</v>
      </c>
      <c r="G1374" s="165">
        <f t="shared" si="35"/>
        <v>22223.461000000003</v>
      </c>
      <c r="H1374" s="163"/>
      <c r="I1374" s="163" t="s">
        <v>283</v>
      </c>
      <c r="J1374" s="163"/>
      <c r="K1374" s="163"/>
      <c r="L1374" s="163" t="s">
        <v>477</v>
      </c>
      <c r="M1374" s="163"/>
      <c r="N1374" s="163" t="s">
        <v>978</v>
      </c>
      <c r="O1374" s="163"/>
      <c r="P1374" s="163"/>
      <c r="Q1374" s="163"/>
      <c r="R1374" s="163" t="s">
        <v>669</v>
      </c>
      <c r="S1374" s="163" t="s">
        <v>1492</v>
      </c>
      <c r="T1374" s="43">
        <f t="shared" si="34"/>
        <v>2</v>
      </c>
      <c r="U1374" s="167">
        <f t="shared" si="36"/>
        <v>45694</v>
      </c>
      <c r="W1374" s="43">
        <f t="shared" si="33"/>
        <v>2</v>
      </c>
      <c r="X1374" s="49" t="s">
        <v>1499</v>
      </c>
      <c r="Y1374" s="49" t="s">
        <v>25</v>
      </c>
    </row>
    <row r="1375" spans="1:28" hidden="1">
      <c r="A1375" s="180" t="s">
        <v>1017</v>
      </c>
      <c r="B1375" s="181">
        <v>45694</v>
      </c>
      <c r="C1375" s="180" t="s">
        <v>1654</v>
      </c>
      <c r="D1375" s="180" t="s">
        <v>281</v>
      </c>
      <c r="E1375" s="180" t="s">
        <v>18</v>
      </c>
      <c r="F1375" s="169">
        <v>-3670.37</v>
      </c>
      <c r="G1375" s="165">
        <f t="shared" si="35"/>
        <v>18553.091000000004</v>
      </c>
      <c r="H1375" s="180"/>
      <c r="I1375" s="180" t="s">
        <v>283</v>
      </c>
      <c r="J1375" s="180"/>
      <c r="K1375" s="180"/>
      <c r="L1375" s="180" t="s">
        <v>1424</v>
      </c>
      <c r="M1375" s="180"/>
      <c r="N1375" s="180" t="s">
        <v>978</v>
      </c>
      <c r="O1375" s="180"/>
      <c r="P1375" s="180"/>
      <c r="Q1375" s="180"/>
      <c r="R1375" s="180" t="s">
        <v>466</v>
      </c>
      <c r="S1375" s="180" t="s">
        <v>468</v>
      </c>
      <c r="T1375" s="183">
        <f t="shared" si="34"/>
        <v>2</v>
      </c>
      <c r="U1375" s="184">
        <f t="shared" si="36"/>
        <v>45694</v>
      </c>
      <c r="V1375" s="183"/>
      <c r="W1375" s="43">
        <f t="shared" si="33"/>
        <v>2</v>
      </c>
      <c r="X1375" s="49" t="s">
        <v>1499</v>
      </c>
      <c r="Y1375" s="49" t="s">
        <v>26</v>
      </c>
      <c r="Z1375" s="183"/>
      <c r="AA1375" s="183"/>
      <c r="AB1375" s="183"/>
    </row>
    <row r="1376" spans="1:28" hidden="1">
      <c r="A1376" s="180" t="s">
        <v>1017</v>
      </c>
      <c r="B1376" s="181">
        <v>45694</v>
      </c>
      <c r="C1376" s="180" t="s">
        <v>1655</v>
      </c>
      <c r="D1376" s="180" t="s">
        <v>281</v>
      </c>
      <c r="E1376" s="180" t="s">
        <v>18</v>
      </c>
      <c r="F1376" s="169">
        <v>-1524.27</v>
      </c>
      <c r="G1376" s="165">
        <f t="shared" si="35"/>
        <v>17028.821000000004</v>
      </c>
      <c r="H1376" s="180"/>
      <c r="I1376" s="180" t="s">
        <v>283</v>
      </c>
      <c r="J1376" s="180"/>
      <c r="K1376" s="180"/>
      <c r="L1376" s="180" t="s">
        <v>477</v>
      </c>
      <c r="M1376" s="180"/>
      <c r="N1376" s="180" t="s">
        <v>978</v>
      </c>
      <c r="O1376" s="180"/>
      <c r="P1376" s="180"/>
      <c r="Q1376" s="180"/>
      <c r="R1376" s="180" t="s">
        <v>669</v>
      </c>
      <c r="S1376" s="180" t="s">
        <v>1492</v>
      </c>
      <c r="T1376" s="183">
        <f t="shared" si="34"/>
        <v>2</v>
      </c>
      <c r="U1376" s="184">
        <f t="shared" si="36"/>
        <v>45694</v>
      </c>
      <c r="V1376" s="183"/>
      <c r="W1376" s="43">
        <f t="shared" si="33"/>
        <v>2</v>
      </c>
      <c r="X1376" s="49" t="s">
        <v>1499</v>
      </c>
      <c r="Y1376" s="49" t="s">
        <v>86</v>
      </c>
      <c r="Z1376" s="183"/>
      <c r="AA1376" s="183"/>
      <c r="AB1376" s="183"/>
    </row>
    <row r="1377" spans="1:28" hidden="1">
      <c r="A1377" s="180" t="s">
        <v>1017</v>
      </c>
      <c r="B1377" s="181">
        <v>45694</v>
      </c>
      <c r="C1377" s="180" t="s">
        <v>1656</v>
      </c>
      <c r="D1377" s="180" t="s">
        <v>281</v>
      </c>
      <c r="E1377" s="180" t="s">
        <v>18</v>
      </c>
      <c r="F1377" s="169">
        <v>-1660.77</v>
      </c>
      <c r="G1377" s="165">
        <f t="shared" si="35"/>
        <v>15368.051000000003</v>
      </c>
      <c r="H1377" s="180"/>
      <c r="I1377" s="180" t="s">
        <v>283</v>
      </c>
      <c r="J1377" s="180"/>
      <c r="K1377" s="180"/>
      <c r="L1377" s="180" t="s">
        <v>477</v>
      </c>
      <c r="M1377" s="180"/>
      <c r="N1377" s="180" t="s">
        <v>978</v>
      </c>
      <c r="O1377" s="180"/>
      <c r="P1377" s="180"/>
      <c r="Q1377" s="180"/>
      <c r="R1377" s="180" t="s">
        <v>669</v>
      </c>
      <c r="S1377" s="180" t="s">
        <v>1492</v>
      </c>
      <c r="T1377" s="183">
        <f t="shared" si="34"/>
        <v>2</v>
      </c>
      <c r="U1377" s="184">
        <f t="shared" si="36"/>
        <v>45694</v>
      </c>
      <c r="V1377" s="183"/>
      <c r="W1377" s="43">
        <f t="shared" si="33"/>
        <v>2</v>
      </c>
      <c r="X1377" s="49" t="s">
        <v>1499</v>
      </c>
      <c r="Y1377" s="49" t="s">
        <v>86</v>
      </c>
      <c r="Z1377" s="183"/>
      <c r="AA1377" s="183"/>
      <c r="AB1377" s="183"/>
    </row>
    <row r="1378" spans="1:28" hidden="1">
      <c r="A1378" s="190" t="s">
        <v>1017</v>
      </c>
      <c r="B1378" s="164">
        <v>45694</v>
      </c>
      <c r="C1378" s="190" t="s">
        <v>330</v>
      </c>
      <c r="D1378" s="190" t="s">
        <v>281</v>
      </c>
      <c r="E1378" s="190" t="s">
        <v>330</v>
      </c>
      <c r="F1378" s="185">
        <f>-1.99-19.5</f>
        <v>-21.49</v>
      </c>
      <c r="G1378" s="165">
        <f t="shared" si="35"/>
        <v>15346.561000000003</v>
      </c>
      <c r="H1378" s="190"/>
      <c r="I1378" s="190" t="s">
        <v>342</v>
      </c>
      <c r="J1378" s="190"/>
      <c r="K1378" s="190"/>
      <c r="L1378" s="190" t="s">
        <v>805</v>
      </c>
      <c r="M1378" s="190"/>
      <c r="N1378" s="190" t="s">
        <v>978</v>
      </c>
      <c r="O1378" s="190"/>
      <c r="P1378" s="190"/>
      <c r="Q1378" s="190"/>
      <c r="R1378" s="190" t="s">
        <v>1292</v>
      </c>
      <c r="S1378" s="190" t="s">
        <v>1417</v>
      </c>
      <c r="T1378" s="43">
        <f t="shared" si="34"/>
        <v>2</v>
      </c>
      <c r="U1378" s="167">
        <f t="shared" si="36"/>
        <v>45694</v>
      </c>
      <c r="V1378" s="43"/>
      <c r="W1378" s="43">
        <f t="shared" si="33"/>
        <v>2</v>
      </c>
      <c r="X1378" s="43" t="s">
        <v>1483</v>
      </c>
      <c r="Y1378" s="43" t="s">
        <v>1443</v>
      </c>
      <c r="Z1378" s="43"/>
      <c r="AA1378" s="43"/>
      <c r="AB1378" s="43"/>
    </row>
    <row r="1379" spans="1:28" hidden="1">
      <c r="A1379" s="163"/>
      <c r="B1379" s="164">
        <v>45694</v>
      </c>
      <c r="C1379" s="163" t="s">
        <v>346</v>
      </c>
      <c r="D1379" s="163"/>
      <c r="E1379" s="163"/>
      <c r="F1379" s="165">
        <v>0</v>
      </c>
      <c r="G1379" s="165">
        <f t="shared" si="35"/>
        <v>15346.561000000003</v>
      </c>
      <c r="H1379" s="163"/>
      <c r="I1379" s="163"/>
      <c r="J1379" s="163"/>
      <c r="K1379" s="163"/>
      <c r="L1379" s="163"/>
      <c r="M1379" s="163"/>
      <c r="N1379" s="163"/>
      <c r="O1379" s="163"/>
      <c r="P1379" s="163"/>
      <c r="Q1379" s="163"/>
      <c r="R1379" s="163"/>
      <c r="S1379" s="163"/>
      <c r="T1379" s="43">
        <f t="shared" si="34"/>
        <v>2</v>
      </c>
      <c r="U1379" s="167">
        <f t="shared" si="36"/>
        <v>45694</v>
      </c>
      <c r="W1379" s="43">
        <f t="shared" si="33"/>
        <v>2</v>
      </c>
    </row>
    <row r="1380" spans="1:28" hidden="1">
      <c r="A1380" s="190" t="s">
        <v>1017</v>
      </c>
      <c r="B1380" s="164">
        <v>45698</v>
      </c>
      <c r="C1380" s="190" t="s">
        <v>330</v>
      </c>
      <c r="D1380" s="190" t="s">
        <v>281</v>
      </c>
      <c r="E1380" s="190" t="s">
        <v>330</v>
      </c>
      <c r="F1380" s="185">
        <v>-2</v>
      </c>
      <c r="G1380" s="165">
        <f t="shared" si="35"/>
        <v>15344.561000000003</v>
      </c>
      <c r="H1380" s="190"/>
      <c r="I1380" s="190" t="s">
        <v>342</v>
      </c>
      <c r="J1380" s="190"/>
      <c r="K1380" s="190"/>
      <c r="L1380" s="190" t="s">
        <v>805</v>
      </c>
      <c r="M1380" s="190"/>
      <c r="N1380" s="190" t="s">
        <v>978</v>
      </c>
      <c r="O1380" s="190"/>
      <c r="P1380" s="190"/>
      <c r="Q1380" s="190"/>
      <c r="R1380" s="190" t="s">
        <v>1292</v>
      </c>
      <c r="S1380" s="190" t="s">
        <v>1417</v>
      </c>
      <c r="T1380" s="43">
        <f t="shared" si="34"/>
        <v>2</v>
      </c>
      <c r="U1380" s="167">
        <f t="shared" si="36"/>
        <v>45695</v>
      </c>
      <c r="V1380" s="261">
        <v>45695</v>
      </c>
      <c r="W1380" s="43">
        <f t="shared" si="33"/>
        <v>2</v>
      </c>
      <c r="X1380" s="43" t="s">
        <v>1483</v>
      </c>
      <c r="Y1380" s="43" t="s">
        <v>1443</v>
      </c>
      <c r="Z1380" s="43"/>
      <c r="AA1380" s="43"/>
      <c r="AB1380" s="43"/>
    </row>
    <row r="1381" spans="1:28" hidden="1">
      <c r="A1381" s="180" t="s">
        <v>1017</v>
      </c>
      <c r="B1381" s="181">
        <v>45694</v>
      </c>
      <c r="C1381" s="180" t="s">
        <v>1657</v>
      </c>
      <c r="D1381" s="180" t="s">
        <v>281</v>
      </c>
      <c r="E1381" s="163" t="s">
        <v>289</v>
      </c>
      <c r="F1381" s="165">
        <v>34999.99</v>
      </c>
      <c r="G1381" s="165">
        <f t="shared" si="35"/>
        <v>50344.550999999999</v>
      </c>
      <c r="H1381" s="180"/>
      <c r="I1381" s="180" t="s">
        <v>283</v>
      </c>
      <c r="J1381" s="180"/>
      <c r="K1381" s="180"/>
      <c r="L1381" s="180" t="s">
        <v>485</v>
      </c>
      <c r="M1381" s="180"/>
      <c r="N1381" s="180" t="s">
        <v>978</v>
      </c>
      <c r="O1381" s="180"/>
      <c r="P1381" s="180"/>
      <c r="Q1381" s="180"/>
      <c r="R1381" s="180" t="s">
        <v>669</v>
      </c>
      <c r="S1381" s="180" t="s">
        <v>1492</v>
      </c>
      <c r="T1381" s="183">
        <f t="shared" si="34"/>
        <v>2</v>
      </c>
      <c r="U1381" s="184">
        <f t="shared" si="36"/>
        <v>45695</v>
      </c>
      <c r="V1381" s="261">
        <v>45695</v>
      </c>
      <c r="W1381" s="43">
        <f t="shared" si="33"/>
        <v>2</v>
      </c>
      <c r="X1381" s="49" t="s">
        <v>1484</v>
      </c>
      <c r="Y1381" s="49" t="s">
        <v>78</v>
      </c>
      <c r="Z1381" s="183"/>
      <c r="AA1381" s="183"/>
      <c r="AB1381" s="183"/>
    </row>
    <row r="1382" spans="1:28" hidden="1">
      <c r="A1382" s="163" t="s">
        <v>1017</v>
      </c>
      <c r="B1382" s="164">
        <v>45695</v>
      </c>
      <c r="C1382" s="163" t="s">
        <v>385</v>
      </c>
      <c r="D1382" s="163" t="s">
        <v>281</v>
      </c>
      <c r="E1382" s="163" t="s">
        <v>622</v>
      </c>
      <c r="F1382" s="226">
        <v>-486.68</v>
      </c>
      <c r="G1382" s="165">
        <f t="shared" si="35"/>
        <v>49857.870999999999</v>
      </c>
      <c r="H1382" s="163"/>
      <c r="I1382" s="163" t="s">
        <v>342</v>
      </c>
      <c r="J1382" s="163"/>
      <c r="K1382" s="163"/>
      <c r="L1382" s="163" t="s">
        <v>1424</v>
      </c>
      <c r="M1382" s="163"/>
      <c r="N1382" s="163" t="s">
        <v>978</v>
      </c>
      <c r="O1382" s="163"/>
      <c r="P1382" s="163"/>
      <c r="Q1382" s="163"/>
      <c r="R1382" s="163" t="s">
        <v>389</v>
      </c>
      <c r="S1382" s="163" t="s">
        <v>390</v>
      </c>
      <c r="T1382" s="43">
        <f t="shared" si="34"/>
        <v>2</v>
      </c>
      <c r="U1382" s="167">
        <f t="shared" si="36"/>
        <v>45695</v>
      </c>
      <c r="W1382" s="43">
        <f t="shared" si="33"/>
        <v>2</v>
      </c>
      <c r="X1382" s="49" t="s">
        <v>1498</v>
      </c>
      <c r="Y1382" s="49" t="s">
        <v>1336</v>
      </c>
    </row>
    <row r="1383" spans="1:28" hidden="1">
      <c r="A1383" s="163" t="s">
        <v>1017</v>
      </c>
      <c r="B1383" s="164">
        <v>45695</v>
      </c>
      <c r="C1383" s="163" t="s">
        <v>385</v>
      </c>
      <c r="D1383" s="163" t="s">
        <v>281</v>
      </c>
      <c r="E1383" s="163" t="s">
        <v>622</v>
      </c>
      <c r="F1383" s="226">
        <v>-195.41</v>
      </c>
      <c r="G1383" s="165">
        <f t="shared" si="35"/>
        <v>49662.460999999996</v>
      </c>
      <c r="H1383" s="163"/>
      <c r="I1383" s="163" t="s">
        <v>342</v>
      </c>
      <c r="J1383" s="163"/>
      <c r="K1383" s="163"/>
      <c r="L1383" s="163" t="s">
        <v>766</v>
      </c>
      <c r="M1383" s="163"/>
      <c r="N1383" s="163" t="s">
        <v>978</v>
      </c>
      <c r="O1383" s="163"/>
      <c r="P1383" s="163"/>
      <c r="Q1383" s="163"/>
      <c r="R1383" s="163" t="s">
        <v>389</v>
      </c>
      <c r="S1383" s="163" t="s">
        <v>390</v>
      </c>
      <c r="T1383" s="43">
        <f t="shared" si="34"/>
        <v>2</v>
      </c>
      <c r="U1383" s="167">
        <f t="shared" si="36"/>
        <v>45695</v>
      </c>
      <c r="W1383" s="43">
        <f t="shared" si="33"/>
        <v>2</v>
      </c>
      <c r="X1383" s="49" t="s">
        <v>1498</v>
      </c>
      <c r="Y1383" s="49" t="s">
        <v>1336</v>
      </c>
    </row>
    <row r="1384" spans="1:28" hidden="1">
      <c r="A1384" s="163" t="s">
        <v>1017</v>
      </c>
      <c r="B1384" s="164">
        <v>45693</v>
      </c>
      <c r="C1384" s="163" t="s">
        <v>1370</v>
      </c>
      <c r="D1384" s="163" t="s">
        <v>281</v>
      </c>
      <c r="E1384" s="163" t="s">
        <v>199</v>
      </c>
      <c r="F1384" s="226">
        <v>-111</v>
      </c>
      <c r="G1384" s="165">
        <f t="shared" si="35"/>
        <v>49551.460999999996</v>
      </c>
      <c r="H1384" s="163"/>
      <c r="I1384" s="163" t="s">
        <v>977</v>
      </c>
      <c r="J1384" s="163"/>
      <c r="K1384" s="163"/>
      <c r="L1384" s="163" t="s">
        <v>1062</v>
      </c>
      <c r="M1384" s="163"/>
      <c r="N1384" s="163" t="s">
        <v>978</v>
      </c>
      <c r="O1384" s="163"/>
      <c r="P1384" s="163"/>
      <c r="Q1384" s="163"/>
      <c r="R1384" s="163" t="s">
        <v>1370</v>
      </c>
      <c r="S1384" s="163"/>
      <c r="T1384" s="43">
        <f t="shared" si="34"/>
        <v>2</v>
      </c>
      <c r="U1384" s="167">
        <f t="shared" si="36"/>
        <v>45695</v>
      </c>
      <c r="V1384" s="261">
        <v>45695</v>
      </c>
      <c r="W1384" s="43">
        <f t="shared" si="33"/>
        <v>2</v>
      </c>
      <c r="X1384" s="49" t="s">
        <v>1480</v>
      </c>
      <c r="Y1384" s="49" t="s">
        <v>26</v>
      </c>
    </row>
    <row r="1385" spans="1:28" hidden="1">
      <c r="A1385" s="163" t="s">
        <v>1017</v>
      </c>
      <c r="B1385" s="164">
        <v>45691</v>
      </c>
      <c r="C1385" s="163" t="s">
        <v>351</v>
      </c>
      <c r="D1385" s="163" t="s">
        <v>281</v>
      </c>
      <c r="E1385" s="163" t="s">
        <v>359</v>
      </c>
      <c r="F1385" s="226">
        <v>-600</v>
      </c>
      <c r="G1385" s="165">
        <f t="shared" si="35"/>
        <v>48951.460999999996</v>
      </c>
      <c r="H1385" s="163"/>
      <c r="I1385" s="163" t="s">
        <v>283</v>
      </c>
      <c r="J1385" s="163"/>
      <c r="K1385" s="163"/>
      <c r="L1385" s="163" t="s">
        <v>366</v>
      </c>
      <c r="M1385" s="163"/>
      <c r="N1385" s="163" t="s">
        <v>978</v>
      </c>
      <c r="O1385" s="163"/>
      <c r="P1385" s="163"/>
      <c r="Q1385" s="163"/>
      <c r="R1385" s="163" t="s">
        <v>353</v>
      </c>
      <c r="S1385" s="163" t="s">
        <v>354</v>
      </c>
      <c r="T1385" s="43">
        <f t="shared" si="34"/>
        <v>2</v>
      </c>
      <c r="U1385" s="167">
        <f t="shared" si="36"/>
        <v>45695</v>
      </c>
      <c r="V1385" s="261">
        <v>45695</v>
      </c>
      <c r="W1385" s="43">
        <f t="shared" si="33"/>
        <v>2</v>
      </c>
      <c r="X1385" s="49" t="s">
        <v>1483</v>
      </c>
      <c r="Y1385" s="49" t="s">
        <v>25</v>
      </c>
    </row>
    <row r="1386" spans="1:28" hidden="1">
      <c r="A1386" s="180" t="s">
        <v>1017</v>
      </c>
      <c r="B1386" s="181">
        <v>45695</v>
      </c>
      <c r="C1386" s="180" t="s">
        <v>1010</v>
      </c>
      <c r="D1386" s="180" t="s">
        <v>281</v>
      </c>
      <c r="E1386" s="180" t="s">
        <v>199</v>
      </c>
      <c r="F1386" s="268">
        <v>-307</v>
      </c>
      <c r="G1386" s="165">
        <f t="shared" si="35"/>
        <v>48644.460999999996</v>
      </c>
      <c r="H1386" s="180"/>
      <c r="I1386" s="180" t="s">
        <v>283</v>
      </c>
      <c r="J1386" s="180"/>
      <c r="K1386" s="180"/>
      <c r="L1386" s="180" t="s">
        <v>485</v>
      </c>
      <c r="M1386" s="180"/>
      <c r="N1386" s="180" t="s">
        <v>978</v>
      </c>
      <c r="O1386" s="180"/>
      <c r="P1386" s="180"/>
      <c r="Q1386" s="180"/>
      <c r="R1386" s="180" t="s">
        <v>669</v>
      </c>
      <c r="S1386" s="180" t="s">
        <v>1492</v>
      </c>
      <c r="T1386" s="183">
        <f t="shared" si="34"/>
        <v>2</v>
      </c>
      <c r="U1386" s="184">
        <f t="shared" si="36"/>
        <v>45695</v>
      </c>
      <c r="V1386" s="183"/>
      <c r="W1386" s="43">
        <f t="shared" si="33"/>
        <v>2</v>
      </c>
      <c r="X1386" s="206" t="s">
        <v>1478</v>
      </c>
      <c r="Y1386" s="206" t="s">
        <v>26</v>
      </c>
      <c r="Z1386" s="183"/>
      <c r="AA1386" s="183"/>
      <c r="AB1386" s="183"/>
    </row>
    <row r="1387" spans="1:28" ht="14.25" hidden="1" customHeight="1">
      <c r="A1387" s="180" t="s">
        <v>1017</v>
      </c>
      <c r="B1387" s="181">
        <v>45695</v>
      </c>
      <c r="C1387" s="180" t="s">
        <v>1658</v>
      </c>
      <c r="D1387" s="180" t="s">
        <v>281</v>
      </c>
      <c r="E1387" s="180" t="s">
        <v>1659</v>
      </c>
      <c r="F1387" s="254">
        <f>-1193</f>
        <v>-1193</v>
      </c>
      <c r="G1387" s="165">
        <f t="shared" si="35"/>
        <v>47451.460999999996</v>
      </c>
      <c r="H1387" s="180"/>
      <c r="I1387" s="180" t="s">
        <v>342</v>
      </c>
      <c r="J1387" s="180"/>
      <c r="K1387" s="180"/>
      <c r="L1387" s="180" t="s">
        <v>1301</v>
      </c>
      <c r="M1387" s="180"/>
      <c r="N1387" s="180" t="s">
        <v>978</v>
      </c>
      <c r="O1387" s="180"/>
      <c r="P1387" s="180"/>
      <c r="Q1387" s="180"/>
      <c r="R1387" s="180" t="s">
        <v>1463</v>
      </c>
      <c r="S1387" s="180" t="s">
        <v>345</v>
      </c>
      <c r="T1387" s="183">
        <f>MONTH(U1387)</f>
        <v>2</v>
      </c>
      <c r="U1387" s="187">
        <f t="shared" si="36"/>
        <v>45695</v>
      </c>
      <c r="V1387" s="261"/>
      <c r="W1387" s="43">
        <f t="shared" si="33"/>
        <v>2</v>
      </c>
      <c r="X1387" s="43" t="s">
        <v>1483</v>
      </c>
      <c r="Y1387" s="43" t="s">
        <v>25</v>
      </c>
      <c r="Z1387" s="183"/>
      <c r="AA1387" s="183"/>
      <c r="AB1387" s="183"/>
    </row>
    <row r="1388" spans="1:28" hidden="1">
      <c r="A1388" s="180" t="s">
        <v>1017</v>
      </c>
      <c r="B1388" s="181">
        <v>45695</v>
      </c>
      <c r="C1388" s="180" t="s">
        <v>1428</v>
      </c>
      <c r="D1388" s="180" t="s">
        <v>281</v>
      </c>
      <c r="E1388" s="180" t="s">
        <v>196</v>
      </c>
      <c r="F1388" s="226">
        <v>-1870</v>
      </c>
      <c r="G1388" s="165">
        <f t="shared" si="35"/>
        <v>45581.460999999996</v>
      </c>
      <c r="H1388" s="180"/>
      <c r="I1388" s="180" t="s">
        <v>283</v>
      </c>
      <c r="J1388" s="180"/>
      <c r="K1388" s="180"/>
      <c r="L1388" s="180" t="s">
        <v>477</v>
      </c>
      <c r="M1388" s="180"/>
      <c r="N1388" s="180" t="s">
        <v>978</v>
      </c>
      <c r="O1388" s="180"/>
      <c r="P1388" s="180"/>
      <c r="Q1388" s="180"/>
      <c r="R1388" s="180" t="s">
        <v>669</v>
      </c>
      <c r="S1388" s="180" t="s">
        <v>1492</v>
      </c>
      <c r="T1388" s="183">
        <f t="shared" ref="T1388:T1466" si="37">MONTH(B1388)</f>
        <v>2</v>
      </c>
      <c r="U1388" s="184">
        <f t="shared" si="36"/>
        <v>45695</v>
      </c>
      <c r="V1388" s="183"/>
      <c r="W1388" s="43">
        <f t="shared" si="33"/>
        <v>2</v>
      </c>
      <c r="X1388" s="43" t="s">
        <v>196</v>
      </c>
      <c r="Y1388" s="43" t="s">
        <v>1443</v>
      </c>
      <c r="Z1388" s="183"/>
      <c r="AA1388" s="183"/>
      <c r="AB1388" s="183"/>
    </row>
    <row r="1389" spans="1:28" hidden="1">
      <c r="A1389" s="163" t="s">
        <v>1017</v>
      </c>
      <c r="B1389" s="164">
        <v>45691</v>
      </c>
      <c r="C1389" s="163" t="s">
        <v>1490</v>
      </c>
      <c r="D1389" s="163" t="s">
        <v>281</v>
      </c>
      <c r="E1389" s="163" t="s">
        <v>199</v>
      </c>
      <c r="F1389" s="226">
        <v>-540</v>
      </c>
      <c r="G1389" s="165">
        <f t="shared" si="35"/>
        <v>45041.460999999996</v>
      </c>
      <c r="H1389" s="163"/>
      <c r="I1389" s="163" t="s">
        <v>977</v>
      </c>
      <c r="J1389" s="163"/>
      <c r="K1389" s="163"/>
      <c r="L1389" s="163" t="s">
        <v>477</v>
      </c>
      <c r="M1389" s="163"/>
      <c r="N1389" s="163" t="s">
        <v>978</v>
      </c>
      <c r="O1389" s="163"/>
      <c r="P1389" s="163"/>
      <c r="Q1389" s="163"/>
      <c r="R1389" s="163" t="s">
        <v>1490</v>
      </c>
      <c r="S1389" s="163"/>
      <c r="T1389" s="43">
        <f t="shared" si="37"/>
        <v>2</v>
      </c>
      <c r="U1389" s="167">
        <f t="shared" si="36"/>
        <v>45695</v>
      </c>
      <c r="V1389" s="261">
        <v>45695</v>
      </c>
      <c r="W1389" s="43">
        <f t="shared" si="33"/>
        <v>2</v>
      </c>
      <c r="X1389" s="49" t="s">
        <v>1480</v>
      </c>
      <c r="Y1389" s="49" t="s">
        <v>105</v>
      </c>
    </row>
    <row r="1390" spans="1:28" hidden="1">
      <c r="A1390" s="180" t="s">
        <v>1017</v>
      </c>
      <c r="B1390" s="181">
        <v>45703</v>
      </c>
      <c r="C1390" s="180" t="s">
        <v>186</v>
      </c>
      <c r="D1390" s="180" t="s">
        <v>281</v>
      </c>
      <c r="E1390" s="180" t="s">
        <v>1335</v>
      </c>
      <c r="F1390" s="226">
        <v>-275</v>
      </c>
      <c r="G1390" s="165">
        <f t="shared" si="35"/>
        <v>44766.460999999996</v>
      </c>
      <c r="H1390" s="180"/>
      <c r="I1390" s="180" t="s">
        <v>283</v>
      </c>
      <c r="J1390" s="180"/>
      <c r="K1390" s="180"/>
      <c r="L1390" s="180" t="s">
        <v>477</v>
      </c>
      <c r="M1390" s="180"/>
      <c r="N1390" s="180" t="s">
        <v>978</v>
      </c>
      <c r="O1390" s="180"/>
      <c r="P1390" s="180"/>
      <c r="Q1390" s="180"/>
      <c r="R1390" s="180" t="s">
        <v>669</v>
      </c>
      <c r="S1390" s="180" t="s">
        <v>1492</v>
      </c>
      <c r="T1390" s="183">
        <f t="shared" si="37"/>
        <v>2</v>
      </c>
      <c r="U1390" s="184">
        <f t="shared" si="36"/>
        <v>45695</v>
      </c>
      <c r="V1390" s="261">
        <v>45695</v>
      </c>
      <c r="W1390" s="43">
        <f t="shared" si="33"/>
        <v>2</v>
      </c>
      <c r="X1390" s="183" t="s">
        <v>1381</v>
      </c>
      <c r="Y1390" s="183" t="s">
        <v>26</v>
      </c>
      <c r="Z1390" s="183"/>
      <c r="AA1390" s="183"/>
      <c r="AB1390" s="183"/>
    </row>
    <row r="1391" spans="1:28" hidden="1">
      <c r="A1391" s="163"/>
      <c r="B1391" s="164">
        <v>45695</v>
      </c>
      <c r="C1391" s="163" t="s">
        <v>346</v>
      </c>
      <c r="D1391" s="163"/>
      <c r="E1391" s="163"/>
      <c r="F1391" s="165">
        <v>0</v>
      </c>
      <c r="G1391" s="165">
        <f t="shared" si="35"/>
        <v>44766.460999999996</v>
      </c>
      <c r="H1391" s="163"/>
      <c r="I1391" s="163"/>
      <c r="J1391" s="163"/>
      <c r="K1391" s="163"/>
      <c r="L1391" s="163"/>
      <c r="M1391" s="163"/>
      <c r="N1391" s="163"/>
      <c r="O1391" s="163"/>
      <c r="P1391" s="163"/>
      <c r="Q1391" s="163"/>
      <c r="R1391" s="163"/>
      <c r="S1391" s="163"/>
      <c r="T1391" s="43">
        <f t="shared" si="37"/>
        <v>2</v>
      </c>
      <c r="U1391" s="167">
        <f t="shared" si="36"/>
        <v>45695</v>
      </c>
      <c r="W1391" s="43">
        <f t="shared" si="33"/>
        <v>2</v>
      </c>
    </row>
    <row r="1392" spans="1:28" ht="14.25" hidden="1" customHeight="1">
      <c r="A1392" s="180" t="s">
        <v>1017</v>
      </c>
      <c r="B1392" s="181">
        <v>45698</v>
      </c>
      <c r="C1392" s="180" t="s">
        <v>1487</v>
      </c>
      <c r="D1392" s="180" t="s">
        <v>281</v>
      </c>
      <c r="E1392" s="180" t="s">
        <v>282</v>
      </c>
      <c r="F1392" s="230">
        <v>70000</v>
      </c>
      <c r="G1392" s="165">
        <f t="shared" si="35"/>
        <v>114766.461</v>
      </c>
      <c r="H1392" s="180"/>
      <c r="I1392" s="180" t="s">
        <v>977</v>
      </c>
      <c r="J1392" s="180"/>
      <c r="K1392" s="180"/>
      <c r="L1392" s="180" t="s">
        <v>366</v>
      </c>
      <c r="M1392" s="180"/>
      <c r="N1392" s="180" t="s">
        <v>978</v>
      </c>
      <c r="O1392" s="180"/>
      <c r="P1392" s="180"/>
      <c r="Q1392" s="180"/>
      <c r="R1392" s="180" t="s">
        <v>990</v>
      </c>
      <c r="S1392" s="180" t="s">
        <v>991</v>
      </c>
      <c r="T1392" s="183">
        <f t="shared" si="37"/>
        <v>2</v>
      </c>
      <c r="U1392" s="184">
        <f t="shared" si="36"/>
        <v>45698</v>
      </c>
      <c r="V1392" s="256"/>
      <c r="W1392" s="43">
        <f t="shared" ref="W1392:W1646" si="38">MONTH(U1392)</f>
        <v>2</v>
      </c>
      <c r="X1392" s="183" t="s">
        <v>282</v>
      </c>
      <c r="Y1392" s="183" t="s">
        <v>1443</v>
      </c>
      <c r="Z1392" s="183" t="s">
        <v>1113</v>
      </c>
      <c r="AA1392" s="183" t="s">
        <v>1113</v>
      </c>
      <c r="AB1392" s="183"/>
    </row>
    <row r="1393" spans="1:28" hidden="1">
      <c r="A1393" s="180" t="s">
        <v>1174</v>
      </c>
      <c r="B1393" s="181">
        <v>45698</v>
      </c>
      <c r="C1393" s="180" t="s">
        <v>1660</v>
      </c>
      <c r="D1393" s="180" t="s">
        <v>281</v>
      </c>
      <c r="E1393" s="180" t="s">
        <v>289</v>
      </c>
      <c r="F1393" s="186">
        <v>10000</v>
      </c>
      <c r="G1393" s="165">
        <f t="shared" si="35"/>
        <v>124766.461</v>
      </c>
      <c r="H1393" s="180"/>
      <c r="I1393" s="180" t="s">
        <v>1176</v>
      </c>
      <c r="J1393" s="180" t="s">
        <v>1357</v>
      </c>
      <c r="K1393" s="180"/>
      <c r="L1393" s="180" t="s">
        <v>305</v>
      </c>
      <c r="M1393" s="180"/>
      <c r="N1393" s="180" t="s">
        <v>1178</v>
      </c>
      <c r="O1393" s="180" t="s">
        <v>1357</v>
      </c>
      <c r="P1393" s="180" t="s">
        <v>1358</v>
      </c>
      <c r="Q1393" s="180"/>
      <c r="R1393" s="180" t="s">
        <v>1359</v>
      </c>
      <c r="S1393" s="180" t="s">
        <v>1360</v>
      </c>
      <c r="T1393" s="183">
        <f t="shared" si="37"/>
        <v>2</v>
      </c>
      <c r="U1393" s="184">
        <f t="shared" si="36"/>
        <v>45698</v>
      </c>
      <c r="V1393" s="183"/>
      <c r="W1393" s="183">
        <f t="shared" si="38"/>
        <v>2</v>
      </c>
      <c r="X1393" s="183" t="s">
        <v>1484</v>
      </c>
      <c r="Y1393" s="183" t="s">
        <v>78</v>
      </c>
      <c r="Z1393" s="183"/>
      <c r="AA1393" s="183"/>
      <c r="AB1393" s="183"/>
    </row>
    <row r="1394" spans="1:28" hidden="1">
      <c r="A1394" s="163" t="s">
        <v>1174</v>
      </c>
      <c r="B1394" s="164">
        <v>45698</v>
      </c>
      <c r="C1394" s="163" t="s">
        <v>1356</v>
      </c>
      <c r="D1394" s="163" t="s">
        <v>281</v>
      </c>
      <c r="E1394" s="163" t="s">
        <v>289</v>
      </c>
      <c r="F1394" s="165"/>
      <c r="G1394" s="165">
        <f t="shared" si="35"/>
        <v>124766.461</v>
      </c>
      <c r="H1394" s="163"/>
      <c r="I1394" s="163" t="s">
        <v>1176</v>
      </c>
      <c r="J1394" s="163" t="s">
        <v>1357</v>
      </c>
      <c r="K1394" s="163"/>
      <c r="L1394" s="163" t="s">
        <v>305</v>
      </c>
      <c r="M1394" s="163"/>
      <c r="N1394" s="163" t="s">
        <v>1178</v>
      </c>
      <c r="O1394" s="163" t="s">
        <v>1357</v>
      </c>
      <c r="P1394" s="163" t="s">
        <v>1358</v>
      </c>
      <c r="Q1394" s="163"/>
      <c r="R1394" s="163" t="s">
        <v>1359</v>
      </c>
      <c r="S1394" s="163" t="s">
        <v>1360</v>
      </c>
      <c r="T1394" s="43">
        <f t="shared" si="37"/>
        <v>2</v>
      </c>
      <c r="U1394" s="167">
        <f t="shared" si="36"/>
        <v>45698</v>
      </c>
      <c r="W1394" s="43">
        <f t="shared" si="38"/>
        <v>2</v>
      </c>
      <c r="X1394" s="49" t="s">
        <v>1484</v>
      </c>
      <c r="Y1394" s="49" t="s">
        <v>78</v>
      </c>
    </row>
    <row r="1395" spans="1:28" hidden="1">
      <c r="A1395" s="163" t="s">
        <v>1174</v>
      </c>
      <c r="B1395" s="164">
        <v>45698</v>
      </c>
      <c r="C1395" s="163" t="s">
        <v>288</v>
      </c>
      <c r="D1395" s="163" t="s">
        <v>281</v>
      </c>
      <c r="E1395" s="163" t="s">
        <v>407</v>
      </c>
      <c r="F1395" s="195">
        <v>4200</v>
      </c>
      <c r="G1395" s="165">
        <f t="shared" si="35"/>
        <v>128966.461</v>
      </c>
      <c r="H1395" s="163"/>
      <c r="I1395" s="163" t="s">
        <v>1176</v>
      </c>
      <c r="J1395" s="163" t="s">
        <v>1522</v>
      </c>
      <c r="K1395" s="163"/>
      <c r="L1395" s="163" t="s">
        <v>305</v>
      </c>
      <c r="M1395" s="163"/>
      <c r="N1395" s="163" t="s">
        <v>1178</v>
      </c>
      <c r="O1395" s="163" t="s">
        <v>1522</v>
      </c>
      <c r="P1395" s="163" t="s">
        <v>1523</v>
      </c>
      <c r="Q1395" s="163"/>
      <c r="R1395" s="163" t="s">
        <v>291</v>
      </c>
      <c r="S1395" s="163" t="s">
        <v>292</v>
      </c>
      <c r="T1395" s="43">
        <f t="shared" si="37"/>
        <v>2</v>
      </c>
      <c r="U1395" s="167">
        <f t="shared" si="36"/>
        <v>45698</v>
      </c>
      <c r="W1395" s="43">
        <f t="shared" si="38"/>
        <v>2</v>
      </c>
      <c r="X1395" s="43" t="s">
        <v>1484</v>
      </c>
      <c r="Y1395" s="43" t="s">
        <v>1485</v>
      </c>
    </row>
    <row r="1396" spans="1:28" hidden="1">
      <c r="A1396" s="163" t="s">
        <v>1174</v>
      </c>
      <c r="B1396" s="164">
        <v>45698</v>
      </c>
      <c r="C1396" s="163" t="s">
        <v>1516</v>
      </c>
      <c r="D1396" s="163" t="s">
        <v>281</v>
      </c>
      <c r="E1396" s="163" t="s">
        <v>407</v>
      </c>
      <c r="F1396" s="165"/>
      <c r="G1396" s="165">
        <f t="shared" si="35"/>
        <v>128966.461</v>
      </c>
      <c r="H1396" s="163"/>
      <c r="I1396" s="163" t="s">
        <v>1176</v>
      </c>
      <c r="J1396" s="163" t="s">
        <v>1517</v>
      </c>
      <c r="K1396" s="163"/>
      <c r="L1396" s="163" t="s">
        <v>305</v>
      </c>
      <c r="M1396" s="163"/>
      <c r="N1396" s="163" t="s">
        <v>1178</v>
      </c>
      <c r="O1396" s="163" t="s">
        <v>1517</v>
      </c>
      <c r="P1396" s="163" t="s">
        <v>1518</v>
      </c>
      <c r="Q1396" s="163"/>
      <c r="R1396" s="163" t="s">
        <v>1516</v>
      </c>
      <c r="S1396" s="163" t="s">
        <v>1519</v>
      </c>
      <c r="T1396" s="43">
        <f t="shared" si="37"/>
        <v>2</v>
      </c>
      <c r="U1396" s="167">
        <f t="shared" si="36"/>
        <v>45698</v>
      </c>
      <c r="W1396" s="43">
        <f t="shared" si="38"/>
        <v>2</v>
      </c>
      <c r="X1396" s="43" t="s">
        <v>1484</v>
      </c>
      <c r="Y1396" s="43" t="s">
        <v>1485</v>
      </c>
    </row>
    <row r="1397" spans="1:28" hidden="1">
      <c r="A1397" s="163" t="s">
        <v>1174</v>
      </c>
      <c r="B1397" s="164">
        <v>45698</v>
      </c>
      <c r="C1397" s="163" t="s">
        <v>821</v>
      </c>
      <c r="D1397" s="163" t="s">
        <v>281</v>
      </c>
      <c r="E1397" s="163" t="s">
        <v>407</v>
      </c>
      <c r="F1397" s="165"/>
      <c r="G1397" s="165">
        <f t="shared" si="35"/>
        <v>128966.461</v>
      </c>
      <c r="H1397" s="163"/>
      <c r="I1397" s="163" t="s">
        <v>1176</v>
      </c>
      <c r="J1397" s="163" t="s">
        <v>1361</v>
      </c>
      <c r="K1397" s="163"/>
      <c r="L1397" s="163" t="s">
        <v>305</v>
      </c>
      <c r="M1397" s="163"/>
      <c r="N1397" s="163" t="s">
        <v>1178</v>
      </c>
      <c r="O1397" s="163" t="s">
        <v>1361</v>
      </c>
      <c r="P1397" s="163" t="s">
        <v>57</v>
      </c>
      <c r="Q1397" s="163"/>
      <c r="R1397" s="163" t="s">
        <v>826</v>
      </c>
      <c r="S1397" s="163" t="s">
        <v>827</v>
      </c>
      <c r="T1397" s="43">
        <f t="shared" si="37"/>
        <v>2</v>
      </c>
      <c r="U1397" s="167">
        <f t="shared" si="36"/>
        <v>45698</v>
      </c>
      <c r="W1397" s="43">
        <f t="shared" si="38"/>
        <v>2</v>
      </c>
      <c r="X1397" s="43" t="s">
        <v>1484</v>
      </c>
      <c r="Y1397" s="43" t="s">
        <v>1485</v>
      </c>
    </row>
    <row r="1398" spans="1:28" hidden="1">
      <c r="A1398" s="163" t="s">
        <v>1174</v>
      </c>
      <c r="B1398" s="164">
        <v>45698</v>
      </c>
      <c r="C1398" s="163" t="s">
        <v>829</v>
      </c>
      <c r="D1398" s="163" t="s">
        <v>281</v>
      </c>
      <c r="E1398" s="163" t="s">
        <v>407</v>
      </c>
      <c r="F1398" s="165"/>
      <c r="G1398" s="165">
        <f t="shared" si="35"/>
        <v>128966.461</v>
      </c>
      <c r="H1398" s="163"/>
      <c r="I1398" s="163" t="s">
        <v>1176</v>
      </c>
      <c r="J1398" s="163" t="s">
        <v>1374</v>
      </c>
      <c r="K1398" s="163"/>
      <c r="L1398" s="163" t="s">
        <v>305</v>
      </c>
      <c r="M1398" s="163"/>
      <c r="N1398" s="163" t="s">
        <v>1178</v>
      </c>
      <c r="O1398" s="163" t="s">
        <v>1374</v>
      </c>
      <c r="P1398" s="163" t="s">
        <v>351</v>
      </c>
      <c r="Q1398" s="163"/>
      <c r="R1398" s="163" t="s">
        <v>833</v>
      </c>
      <c r="S1398" s="163" t="s">
        <v>834</v>
      </c>
      <c r="T1398" s="43">
        <f t="shared" si="37"/>
        <v>2</v>
      </c>
      <c r="U1398" s="167">
        <f t="shared" si="36"/>
        <v>45698</v>
      </c>
      <c r="W1398" s="43">
        <f t="shared" si="38"/>
        <v>2</v>
      </c>
      <c r="X1398" s="43" t="s">
        <v>1484</v>
      </c>
      <c r="Y1398" s="43" t="s">
        <v>1485</v>
      </c>
    </row>
    <row r="1399" spans="1:28" hidden="1">
      <c r="A1399" s="163" t="s">
        <v>1174</v>
      </c>
      <c r="B1399" s="164">
        <v>45698</v>
      </c>
      <c r="C1399" s="163" t="s">
        <v>1090</v>
      </c>
      <c r="D1399" s="163" t="s">
        <v>281</v>
      </c>
      <c r="E1399" s="163" t="s">
        <v>407</v>
      </c>
      <c r="F1399" s="165"/>
      <c r="G1399" s="165">
        <f t="shared" si="35"/>
        <v>128966.461</v>
      </c>
      <c r="H1399" s="163"/>
      <c r="I1399" s="163" t="s">
        <v>1176</v>
      </c>
      <c r="J1399" s="163" t="s">
        <v>1414</v>
      </c>
      <c r="K1399" s="163"/>
      <c r="L1399" s="163" t="s">
        <v>305</v>
      </c>
      <c r="M1399" s="163"/>
      <c r="N1399" s="163" t="s">
        <v>1178</v>
      </c>
      <c r="O1399" s="163" t="s">
        <v>1414</v>
      </c>
      <c r="P1399" s="163" t="s">
        <v>1083</v>
      </c>
      <c r="Q1399" s="163"/>
      <c r="R1399" s="163" t="s">
        <v>1095</v>
      </c>
      <c r="S1399" s="163" t="s">
        <v>1096</v>
      </c>
      <c r="T1399" s="43">
        <f t="shared" si="37"/>
        <v>2</v>
      </c>
      <c r="U1399" s="167">
        <f t="shared" si="36"/>
        <v>45698</v>
      </c>
      <c r="W1399" s="43">
        <f t="shared" si="38"/>
        <v>2</v>
      </c>
      <c r="X1399" s="43" t="s">
        <v>1484</v>
      </c>
      <c r="Y1399" s="43" t="s">
        <v>1485</v>
      </c>
    </row>
    <row r="1400" spans="1:28" hidden="1">
      <c r="A1400" s="163" t="s">
        <v>1174</v>
      </c>
      <c r="B1400" s="164">
        <v>45698</v>
      </c>
      <c r="C1400" s="163" t="s">
        <v>736</v>
      </c>
      <c r="D1400" s="163" t="s">
        <v>281</v>
      </c>
      <c r="E1400" s="163" t="s">
        <v>407</v>
      </c>
      <c r="F1400" s="165"/>
      <c r="G1400" s="165">
        <f t="shared" si="35"/>
        <v>128966.461</v>
      </c>
      <c r="H1400" s="163"/>
      <c r="I1400" s="163" t="s">
        <v>1176</v>
      </c>
      <c r="J1400" s="163" t="s">
        <v>1383</v>
      </c>
      <c r="K1400" s="163"/>
      <c r="L1400" s="163" t="s">
        <v>305</v>
      </c>
      <c r="M1400" s="163"/>
      <c r="N1400" s="163" t="s">
        <v>1178</v>
      </c>
      <c r="O1400" s="163" t="s">
        <v>1383</v>
      </c>
      <c r="P1400" s="163" t="s">
        <v>57</v>
      </c>
      <c r="Q1400" s="163"/>
      <c r="R1400" s="163" t="s">
        <v>741</v>
      </c>
      <c r="S1400" s="163" t="s">
        <v>742</v>
      </c>
      <c r="T1400" s="43">
        <f t="shared" si="37"/>
        <v>2</v>
      </c>
      <c r="U1400" s="167">
        <f t="shared" si="36"/>
        <v>45698</v>
      </c>
      <c r="W1400" s="43">
        <f t="shared" si="38"/>
        <v>2</v>
      </c>
      <c r="X1400" s="43" t="s">
        <v>1484</v>
      </c>
      <c r="Y1400" s="43" t="s">
        <v>1485</v>
      </c>
    </row>
    <row r="1401" spans="1:28" hidden="1">
      <c r="A1401" s="180" t="s">
        <v>1174</v>
      </c>
      <c r="B1401" s="181">
        <v>45698</v>
      </c>
      <c r="C1401" s="180" t="s">
        <v>1661</v>
      </c>
      <c r="D1401" s="180" t="s">
        <v>281</v>
      </c>
      <c r="E1401" s="180" t="s">
        <v>407</v>
      </c>
      <c r="F1401" s="195">
        <v>2997</v>
      </c>
      <c r="G1401" s="165">
        <f t="shared" si="35"/>
        <v>131963.46100000001</v>
      </c>
      <c r="H1401" s="180"/>
      <c r="I1401" s="180" t="s">
        <v>1176</v>
      </c>
      <c r="J1401" s="180" t="s">
        <v>1362</v>
      </c>
      <c r="K1401" s="180"/>
      <c r="L1401" s="180" t="s">
        <v>305</v>
      </c>
      <c r="M1401" s="180"/>
      <c r="N1401" s="180" t="s">
        <v>1178</v>
      </c>
      <c r="O1401" s="180" t="s">
        <v>1362</v>
      </c>
      <c r="P1401" s="180" t="s">
        <v>418</v>
      </c>
      <c r="Q1401" s="180"/>
      <c r="R1401" s="180" t="s">
        <v>649</v>
      </c>
      <c r="S1401" s="180" t="s">
        <v>650</v>
      </c>
      <c r="T1401" s="183">
        <f t="shared" si="37"/>
        <v>2</v>
      </c>
      <c r="U1401" s="184">
        <f t="shared" si="36"/>
        <v>45698</v>
      </c>
      <c r="V1401" s="183"/>
      <c r="W1401" s="183">
        <f t="shared" si="38"/>
        <v>2</v>
      </c>
      <c r="X1401" s="183" t="s">
        <v>1484</v>
      </c>
      <c r="Y1401" s="183" t="s">
        <v>1485</v>
      </c>
      <c r="Z1401" s="183"/>
      <c r="AA1401" s="183"/>
      <c r="AB1401" s="183"/>
    </row>
    <row r="1402" spans="1:28" hidden="1">
      <c r="A1402" s="163" t="s">
        <v>1174</v>
      </c>
      <c r="B1402" s="164">
        <v>45698</v>
      </c>
      <c r="C1402" s="163" t="s">
        <v>644</v>
      </c>
      <c r="D1402" s="163" t="s">
        <v>281</v>
      </c>
      <c r="E1402" s="163" t="s">
        <v>407</v>
      </c>
      <c r="F1402" s="197"/>
      <c r="G1402" s="165">
        <f t="shared" si="35"/>
        <v>131963.46100000001</v>
      </c>
      <c r="H1402" s="163"/>
      <c r="I1402" s="163" t="s">
        <v>1176</v>
      </c>
      <c r="J1402" s="163" t="s">
        <v>1362</v>
      </c>
      <c r="K1402" s="163"/>
      <c r="L1402" s="163" t="s">
        <v>305</v>
      </c>
      <c r="M1402" s="163"/>
      <c r="N1402" s="163" t="s">
        <v>1178</v>
      </c>
      <c r="O1402" s="163" t="s">
        <v>1362</v>
      </c>
      <c r="P1402" s="163" t="s">
        <v>418</v>
      </c>
      <c r="Q1402" s="163"/>
      <c r="R1402" s="163" t="s">
        <v>649</v>
      </c>
      <c r="S1402" s="163" t="s">
        <v>650</v>
      </c>
      <c r="T1402" s="43">
        <f t="shared" si="37"/>
        <v>2</v>
      </c>
      <c r="U1402" s="167">
        <f t="shared" si="36"/>
        <v>45698</v>
      </c>
      <c r="W1402" s="43">
        <f t="shared" si="38"/>
        <v>2</v>
      </c>
      <c r="X1402" s="43" t="s">
        <v>1484</v>
      </c>
      <c r="Y1402" s="43" t="s">
        <v>1485</v>
      </c>
    </row>
    <row r="1403" spans="1:28" hidden="1">
      <c r="A1403" s="163" t="s">
        <v>1174</v>
      </c>
      <c r="B1403" s="164">
        <v>45698</v>
      </c>
      <c r="C1403" s="163" t="s">
        <v>1353</v>
      </c>
      <c r="D1403" s="163" t="s">
        <v>281</v>
      </c>
      <c r="E1403" s="163" t="s">
        <v>289</v>
      </c>
      <c r="F1403" s="247"/>
      <c r="G1403" s="165">
        <f t="shared" si="35"/>
        <v>131963.46100000001</v>
      </c>
      <c r="H1403" s="163"/>
      <c r="I1403" s="163" t="s">
        <v>1176</v>
      </c>
      <c r="J1403" s="163" t="s">
        <v>1521</v>
      </c>
      <c r="K1403" s="163"/>
      <c r="L1403" s="163" t="s">
        <v>305</v>
      </c>
      <c r="M1403" s="163"/>
      <c r="N1403" s="163" t="s">
        <v>1178</v>
      </c>
      <c r="O1403" s="163" t="s">
        <v>1521</v>
      </c>
      <c r="P1403" s="163" t="s">
        <v>605</v>
      </c>
      <c r="Q1403" s="163"/>
      <c r="R1403" s="163" t="s">
        <v>1354</v>
      </c>
      <c r="S1403" s="163" t="s">
        <v>1355</v>
      </c>
      <c r="T1403" s="43">
        <f t="shared" si="37"/>
        <v>2</v>
      </c>
      <c r="U1403" s="167">
        <f t="shared" si="36"/>
        <v>45698</v>
      </c>
      <c r="W1403" s="43">
        <f t="shared" si="38"/>
        <v>2</v>
      </c>
      <c r="X1403" s="49" t="s">
        <v>1484</v>
      </c>
      <c r="Y1403" s="49" t="s">
        <v>78</v>
      </c>
    </row>
    <row r="1404" spans="1:28" hidden="1">
      <c r="A1404" s="163" t="s">
        <v>1174</v>
      </c>
      <c r="B1404" s="164">
        <v>45698</v>
      </c>
      <c r="C1404" s="163" t="s">
        <v>625</v>
      </c>
      <c r="D1404" s="163" t="s">
        <v>281</v>
      </c>
      <c r="E1404" s="163" t="s">
        <v>407</v>
      </c>
      <c r="F1404" s="195">
        <v>4200</v>
      </c>
      <c r="G1404" s="165">
        <f t="shared" si="35"/>
        <v>136163.46100000001</v>
      </c>
      <c r="H1404" s="163"/>
      <c r="I1404" s="163" t="s">
        <v>1176</v>
      </c>
      <c r="J1404" s="163" t="s">
        <v>1365</v>
      </c>
      <c r="K1404" s="163"/>
      <c r="L1404" s="163" t="s">
        <v>305</v>
      </c>
      <c r="M1404" s="163"/>
      <c r="N1404" s="163" t="s">
        <v>1178</v>
      </c>
      <c r="O1404" s="163" t="s">
        <v>1365</v>
      </c>
      <c r="P1404" s="163" t="s">
        <v>57</v>
      </c>
      <c r="Q1404" s="163"/>
      <c r="R1404" s="163" t="s">
        <v>630</v>
      </c>
      <c r="S1404" s="163" t="s">
        <v>631</v>
      </c>
      <c r="T1404" s="43">
        <f t="shared" si="37"/>
        <v>2</v>
      </c>
      <c r="U1404" s="167">
        <f t="shared" si="36"/>
        <v>45698</v>
      </c>
      <c r="W1404" s="43">
        <f t="shared" si="38"/>
        <v>2</v>
      </c>
      <c r="X1404" s="43" t="s">
        <v>1484</v>
      </c>
      <c r="Y1404" s="43" t="s">
        <v>1485</v>
      </c>
    </row>
    <row r="1405" spans="1:28" hidden="1">
      <c r="A1405" s="163" t="s">
        <v>1017</v>
      </c>
      <c r="B1405" s="164">
        <v>45698</v>
      </c>
      <c r="C1405" s="163" t="s">
        <v>664</v>
      </c>
      <c r="D1405" s="163" t="s">
        <v>281</v>
      </c>
      <c r="E1405" s="163" t="s">
        <v>202</v>
      </c>
      <c r="F1405" s="246">
        <v>-5500</v>
      </c>
      <c r="G1405" s="165">
        <f t="shared" si="35"/>
        <v>130663.46100000001</v>
      </c>
      <c r="H1405" s="163"/>
      <c r="I1405" s="163" t="s">
        <v>283</v>
      </c>
      <c r="J1405" s="163"/>
      <c r="K1405" s="163"/>
      <c r="L1405" s="163" t="s">
        <v>1424</v>
      </c>
      <c r="M1405" s="163"/>
      <c r="N1405" s="163" t="s">
        <v>978</v>
      </c>
      <c r="O1405" s="163"/>
      <c r="P1405" s="163"/>
      <c r="Q1405" s="163"/>
      <c r="R1405" s="163" t="s">
        <v>666</v>
      </c>
      <c r="S1405" s="163" t="s">
        <v>667</v>
      </c>
      <c r="T1405" s="43">
        <f t="shared" si="37"/>
        <v>2</v>
      </c>
      <c r="U1405" s="167">
        <f t="shared" si="36"/>
        <v>45698</v>
      </c>
      <c r="W1405" s="43">
        <f t="shared" si="38"/>
        <v>2</v>
      </c>
      <c r="X1405" s="49" t="s">
        <v>1526</v>
      </c>
      <c r="Y1405" s="49" t="s">
        <v>25</v>
      </c>
    </row>
    <row r="1406" spans="1:28" hidden="1">
      <c r="A1406" s="163" t="s">
        <v>1017</v>
      </c>
      <c r="B1406" s="164">
        <v>45698</v>
      </c>
      <c r="C1406" s="163" t="s">
        <v>326</v>
      </c>
      <c r="D1406" s="163" t="s">
        <v>281</v>
      </c>
      <c r="E1406" s="163" t="s">
        <v>1662</v>
      </c>
      <c r="F1406" s="246">
        <v>-7800</v>
      </c>
      <c r="G1406" s="165">
        <f t="shared" si="35"/>
        <v>122863.46100000001</v>
      </c>
      <c r="H1406" s="163"/>
      <c r="I1406" s="163" t="s">
        <v>994</v>
      </c>
      <c r="J1406" s="163"/>
      <c r="K1406" s="163"/>
      <c r="L1406" s="163" t="s">
        <v>1424</v>
      </c>
      <c r="M1406" s="163"/>
      <c r="N1406" s="163" t="s">
        <v>978</v>
      </c>
      <c r="O1406" s="163"/>
      <c r="P1406" s="163"/>
      <c r="Q1406" s="163"/>
      <c r="R1406" s="163" t="s">
        <v>328</v>
      </c>
      <c r="S1406" s="163" t="s">
        <v>329</v>
      </c>
      <c r="T1406" s="43">
        <f t="shared" si="37"/>
        <v>2</v>
      </c>
      <c r="U1406" s="167">
        <f t="shared" si="36"/>
        <v>45698</v>
      </c>
      <c r="W1406" s="43">
        <f t="shared" si="38"/>
        <v>2</v>
      </c>
      <c r="X1406" s="49" t="s">
        <v>1333</v>
      </c>
      <c r="Y1406" s="49" t="s">
        <v>25</v>
      </c>
    </row>
    <row r="1407" spans="1:28" hidden="1">
      <c r="A1407" s="163" t="s">
        <v>1017</v>
      </c>
      <c r="B1407" s="164">
        <v>45698</v>
      </c>
      <c r="C1407" s="163" t="s">
        <v>673</v>
      </c>
      <c r="D1407" s="163" t="s">
        <v>281</v>
      </c>
      <c r="E1407" s="163" t="s">
        <v>202</v>
      </c>
      <c r="F1407" s="246">
        <v>-2500</v>
      </c>
      <c r="G1407" s="165">
        <f t="shared" si="35"/>
        <v>120363.46100000001</v>
      </c>
      <c r="H1407" s="163"/>
      <c r="I1407" s="163" t="s">
        <v>283</v>
      </c>
      <c r="J1407" s="163"/>
      <c r="K1407" s="163"/>
      <c r="L1407" s="163" t="s">
        <v>1424</v>
      </c>
      <c r="M1407" s="163"/>
      <c r="N1407" s="163" t="s">
        <v>978</v>
      </c>
      <c r="O1407" s="163"/>
      <c r="P1407" s="163"/>
      <c r="Q1407" s="163"/>
      <c r="R1407" s="163" t="s">
        <v>675</v>
      </c>
      <c r="S1407" s="163" t="s">
        <v>676</v>
      </c>
      <c r="T1407" s="43">
        <f t="shared" si="37"/>
        <v>2</v>
      </c>
      <c r="U1407" s="167">
        <f t="shared" si="36"/>
        <v>45698</v>
      </c>
      <c r="W1407" s="43">
        <f t="shared" si="38"/>
        <v>2</v>
      </c>
      <c r="X1407" s="49" t="s">
        <v>1526</v>
      </c>
      <c r="Y1407" s="49" t="s">
        <v>86</v>
      </c>
    </row>
    <row r="1408" spans="1:28" hidden="1">
      <c r="A1408" s="163" t="s">
        <v>1017</v>
      </c>
      <c r="B1408" s="164">
        <v>45698</v>
      </c>
      <c r="C1408" s="190" t="s">
        <v>330</v>
      </c>
      <c r="D1408" s="190" t="s">
        <v>281</v>
      </c>
      <c r="E1408" s="190" t="s">
        <v>330</v>
      </c>
      <c r="F1408" s="185">
        <f>-1.99*3-7</f>
        <v>-12.969999999999999</v>
      </c>
      <c r="G1408" s="165">
        <f t="shared" si="35"/>
        <v>120350.49100000001</v>
      </c>
      <c r="H1408" s="190"/>
      <c r="I1408" s="190" t="s">
        <v>342</v>
      </c>
      <c r="J1408" s="190"/>
      <c r="K1408" s="190"/>
      <c r="L1408" s="190" t="s">
        <v>805</v>
      </c>
      <c r="M1408" s="190"/>
      <c r="N1408" s="190" t="s">
        <v>978</v>
      </c>
      <c r="O1408" s="190"/>
      <c r="P1408" s="190"/>
      <c r="Q1408" s="190"/>
      <c r="R1408" s="190" t="s">
        <v>1292</v>
      </c>
      <c r="S1408" s="190" t="s">
        <v>1417</v>
      </c>
      <c r="T1408" s="43">
        <f t="shared" si="37"/>
        <v>2</v>
      </c>
      <c r="U1408" s="167">
        <f t="shared" si="36"/>
        <v>45698</v>
      </c>
      <c r="V1408" s="43"/>
      <c r="W1408" s="43">
        <f t="shared" si="38"/>
        <v>2</v>
      </c>
      <c r="X1408" s="43" t="s">
        <v>1483</v>
      </c>
      <c r="Y1408" s="43" t="s">
        <v>1443</v>
      </c>
      <c r="Z1408" s="43"/>
      <c r="AA1408" s="43"/>
      <c r="AB1408" s="43"/>
    </row>
    <row r="1409" spans="1:28" hidden="1">
      <c r="A1409" s="163" t="s">
        <v>1017</v>
      </c>
      <c r="B1409" s="164">
        <v>45698</v>
      </c>
      <c r="C1409" s="163" t="s">
        <v>698</v>
      </c>
      <c r="D1409" s="163" t="s">
        <v>281</v>
      </c>
      <c r="E1409" s="163" t="s">
        <v>199</v>
      </c>
      <c r="F1409" s="246">
        <v>-879</v>
      </c>
      <c r="G1409" s="165">
        <f t="shared" si="35"/>
        <v>119471.49100000001</v>
      </c>
      <c r="H1409" s="163"/>
      <c r="I1409" s="163" t="s">
        <v>342</v>
      </c>
      <c r="J1409" s="163"/>
      <c r="K1409" s="163"/>
      <c r="L1409" s="163" t="s">
        <v>1424</v>
      </c>
      <c r="M1409" s="163"/>
      <c r="N1409" s="163" t="s">
        <v>978</v>
      </c>
      <c r="O1409" s="163"/>
      <c r="P1409" s="163"/>
      <c r="Q1409" s="163"/>
      <c r="R1409" s="163" t="s">
        <v>135</v>
      </c>
      <c r="S1409" s="163" t="s">
        <v>700</v>
      </c>
      <c r="T1409" s="43">
        <f t="shared" si="37"/>
        <v>2</v>
      </c>
      <c r="U1409" s="167">
        <f t="shared" si="36"/>
        <v>45698</v>
      </c>
      <c r="W1409" s="43">
        <f t="shared" si="38"/>
        <v>2</v>
      </c>
      <c r="X1409" s="49" t="s">
        <v>1480</v>
      </c>
      <c r="Y1409" s="49" t="s">
        <v>94</v>
      </c>
    </row>
    <row r="1410" spans="1:28" hidden="1">
      <c r="A1410" s="163" t="s">
        <v>1017</v>
      </c>
      <c r="B1410" s="164">
        <v>45698</v>
      </c>
      <c r="C1410" s="163" t="s">
        <v>840</v>
      </c>
      <c r="D1410" s="163" t="s">
        <v>281</v>
      </c>
      <c r="E1410" s="163" t="s">
        <v>841</v>
      </c>
      <c r="F1410" s="246">
        <v>-1829</v>
      </c>
      <c r="G1410" s="165">
        <f t="shared" si="35"/>
        <v>117642.49100000001</v>
      </c>
      <c r="H1410" s="163"/>
      <c r="I1410" s="163" t="s">
        <v>342</v>
      </c>
      <c r="J1410" s="163"/>
      <c r="K1410" s="163"/>
      <c r="L1410" s="163" t="s">
        <v>1424</v>
      </c>
      <c r="M1410" s="163"/>
      <c r="N1410" s="163" t="s">
        <v>978</v>
      </c>
      <c r="O1410" s="163"/>
      <c r="P1410" s="163"/>
      <c r="Q1410" s="163"/>
      <c r="R1410" s="163" t="s">
        <v>125</v>
      </c>
      <c r="S1410" s="163" t="s">
        <v>843</v>
      </c>
      <c r="T1410" s="43">
        <f t="shared" si="37"/>
        <v>2</v>
      </c>
      <c r="U1410" s="167">
        <f t="shared" si="36"/>
        <v>45698</v>
      </c>
      <c r="W1410" s="43">
        <f t="shared" si="38"/>
        <v>2</v>
      </c>
      <c r="X1410" s="49" t="s">
        <v>1483</v>
      </c>
      <c r="Y1410" s="49" t="s">
        <v>1443</v>
      </c>
    </row>
    <row r="1411" spans="1:28" hidden="1">
      <c r="A1411" s="163" t="s">
        <v>1017</v>
      </c>
      <c r="B1411" s="164">
        <v>45698</v>
      </c>
      <c r="C1411" s="163" t="s">
        <v>681</v>
      </c>
      <c r="D1411" s="163" t="s">
        <v>281</v>
      </c>
      <c r="E1411" s="163" t="s">
        <v>791</v>
      </c>
      <c r="F1411" s="246">
        <v>-3600</v>
      </c>
      <c r="G1411" s="165">
        <f t="shared" si="35"/>
        <v>114042.49100000001</v>
      </c>
      <c r="H1411" s="163"/>
      <c r="I1411" s="163" t="s">
        <v>283</v>
      </c>
      <c r="J1411" s="163"/>
      <c r="K1411" s="163"/>
      <c r="L1411" s="163" t="s">
        <v>1424</v>
      </c>
      <c r="M1411" s="163"/>
      <c r="N1411" s="163" t="s">
        <v>978</v>
      </c>
      <c r="O1411" s="163"/>
      <c r="P1411" s="163"/>
      <c r="Q1411" s="163"/>
      <c r="R1411" s="163" t="s">
        <v>683</v>
      </c>
      <c r="S1411" s="163" t="s">
        <v>684</v>
      </c>
      <c r="T1411" s="43">
        <f t="shared" si="37"/>
        <v>2</v>
      </c>
      <c r="U1411" s="167">
        <f t="shared" si="36"/>
        <v>45698</v>
      </c>
      <c r="W1411" s="43">
        <f t="shared" si="38"/>
        <v>2</v>
      </c>
      <c r="X1411" s="49" t="s">
        <v>1333</v>
      </c>
      <c r="Y1411" s="49" t="s">
        <v>86</v>
      </c>
    </row>
    <row r="1412" spans="1:28" hidden="1">
      <c r="A1412" s="163" t="s">
        <v>1017</v>
      </c>
      <c r="B1412" s="164">
        <v>45698</v>
      </c>
      <c r="C1412" s="163" t="s">
        <v>685</v>
      </c>
      <c r="D1412" s="163" t="s">
        <v>281</v>
      </c>
      <c r="E1412" s="163" t="s">
        <v>202</v>
      </c>
      <c r="F1412" s="246">
        <v>-3500</v>
      </c>
      <c r="G1412" s="165">
        <f t="shared" si="35"/>
        <v>110542.49100000001</v>
      </c>
      <c r="H1412" s="163"/>
      <c r="I1412" s="163" t="s">
        <v>283</v>
      </c>
      <c r="J1412" s="163"/>
      <c r="K1412" s="163"/>
      <c r="L1412" s="163" t="s">
        <v>1062</v>
      </c>
      <c r="M1412" s="163"/>
      <c r="N1412" s="163" t="s">
        <v>978</v>
      </c>
      <c r="O1412" s="163"/>
      <c r="P1412" s="163"/>
      <c r="Q1412" s="163"/>
      <c r="R1412" s="163" t="s">
        <v>688</v>
      </c>
      <c r="S1412" s="163" t="s">
        <v>689</v>
      </c>
      <c r="T1412" s="43">
        <f t="shared" si="37"/>
        <v>2</v>
      </c>
      <c r="U1412" s="167">
        <f t="shared" si="36"/>
        <v>45698</v>
      </c>
      <c r="W1412" s="43">
        <f t="shared" si="38"/>
        <v>2</v>
      </c>
      <c r="X1412" s="49" t="s">
        <v>1526</v>
      </c>
      <c r="Y1412" s="49" t="s">
        <v>86</v>
      </c>
    </row>
    <row r="1413" spans="1:28" hidden="1">
      <c r="A1413" s="163" t="s">
        <v>1017</v>
      </c>
      <c r="B1413" s="164">
        <v>45698</v>
      </c>
      <c r="C1413" s="163" t="s">
        <v>690</v>
      </c>
      <c r="D1413" s="163" t="s">
        <v>281</v>
      </c>
      <c r="E1413" s="163" t="s">
        <v>202</v>
      </c>
      <c r="F1413" s="246">
        <v>-3000</v>
      </c>
      <c r="G1413" s="165">
        <f t="shared" si="35"/>
        <v>107542.49100000001</v>
      </c>
      <c r="H1413" s="163"/>
      <c r="I1413" s="163" t="s">
        <v>283</v>
      </c>
      <c r="J1413" s="163"/>
      <c r="K1413" s="163"/>
      <c r="L1413" s="163" t="s">
        <v>1062</v>
      </c>
      <c r="M1413" s="163"/>
      <c r="N1413" s="163" t="s">
        <v>978</v>
      </c>
      <c r="O1413" s="163"/>
      <c r="P1413" s="163"/>
      <c r="Q1413" s="163"/>
      <c r="R1413" s="163" t="s">
        <v>692</v>
      </c>
      <c r="S1413" s="163" t="s">
        <v>693</v>
      </c>
      <c r="T1413" s="43">
        <f t="shared" si="37"/>
        <v>2</v>
      </c>
      <c r="U1413" s="167">
        <f t="shared" si="36"/>
        <v>45698</v>
      </c>
      <c r="W1413" s="43">
        <f t="shared" si="38"/>
        <v>2</v>
      </c>
      <c r="X1413" s="49" t="s">
        <v>1526</v>
      </c>
      <c r="Y1413" s="49" t="s">
        <v>86</v>
      </c>
    </row>
    <row r="1414" spans="1:28" hidden="1">
      <c r="A1414" s="163" t="s">
        <v>1017</v>
      </c>
      <c r="B1414" s="164">
        <v>45698</v>
      </c>
      <c r="C1414" s="163" t="s">
        <v>751</v>
      </c>
      <c r="D1414" s="163" t="s">
        <v>281</v>
      </c>
      <c r="E1414" s="163" t="s">
        <v>202</v>
      </c>
      <c r="F1414" s="246">
        <v>-6000</v>
      </c>
      <c r="G1414" s="165">
        <f t="shared" si="35"/>
        <v>101542.49100000001</v>
      </c>
      <c r="H1414" s="163"/>
      <c r="I1414" s="163" t="s">
        <v>283</v>
      </c>
      <c r="J1414" s="163"/>
      <c r="K1414" s="163"/>
      <c r="L1414" s="163" t="s">
        <v>366</v>
      </c>
      <c r="M1414" s="163"/>
      <c r="N1414" s="163" t="s">
        <v>978</v>
      </c>
      <c r="O1414" s="163"/>
      <c r="P1414" s="163"/>
      <c r="Q1414" s="163"/>
      <c r="R1414" s="163" t="s">
        <v>753</v>
      </c>
      <c r="S1414" s="163" t="s">
        <v>754</v>
      </c>
      <c r="T1414" s="43">
        <f t="shared" si="37"/>
        <v>2</v>
      </c>
      <c r="U1414" s="167">
        <f t="shared" si="36"/>
        <v>45698</v>
      </c>
      <c r="W1414" s="43">
        <f t="shared" si="38"/>
        <v>2</v>
      </c>
      <c r="X1414" s="49" t="s">
        <v>1526</v>
      </c>
      <c r="Y1414" s="49" t="s">
        <v>26</v>
      </c>
    </row>
    <row r="1415" spans="1:28" hidden="1">
      <c r="A1415" s="163" t="s">
        <v>1017</v>
      </c>
      <c r="B1415" s="164">
        <v>45698</v>
      </c>
      <c r="C1415" s="163" t="s">
        <v>725</v>
      </c>
      <c r="D1415" s="163" t="s">
        <v>281</v>
      </c>
      <c r="E1415" s="163" t="s">
        <v>202</v>
      </c>
      <c r="F1415" s="246">
        <v>-3500</v>
      </c>
      <c r="G1415" s="165">
        <f t="shared" si="35"/>
        <v>98042.491000000009</v>
      </c>
      <c r="H1415" s="163"/>
      <c r="I1415" s="163" t="s">
        <v>283</v>
      </c>
      <c r="J1415" s="163"/>
      <c r="K1415" s="163"/>
      <c r="L1415" s="163" t="s">
        <v>366</v>
      </c>
      <c r="M1415" s="163"/>
      <c r="N1415" s="163" t="s">
        <v>978</v>
      </c>
      <c r="O1415" s="163"/>
      <c r="P1415" s="163"/>
      <c r="Q1415" s="163"/>
      <c r="R1415" s="163" t="s">
        <v>727</v>
      </c>
      <c r="S1415" s="163" t="s">
        <v>728</v>
      </c>
      <c r="T1415" s="43">
        <f t="shared" si="37"/>
        <v>2</v>
      </c>
      <c r="U1415" s="167">
        <f t="shared" si="36"/>
        <v>45698</v>
      </c>
      <c r="W1415" s="43">
        <f t="shared" si="38"/>
        <v>2</v>
      </c>
      <c r="X1415" s="49" t="s">
        <v>1526</v>
      </c>
      <c r="Y1415" s="49" t="s">
        <v>86</v>
      </c>
    </row>
    <row r="1416" spans="1:28" hidden="1">
      <c r="A1416" s="163" t="s">
        <v>1017</v>
      </c>
      <c r="B1416" s="164">
        <v>45698</v>
      </c>
      <c r="C1416" s="163" t="s">
        <v>154</v>
      </c>
      <c r="D1416" s="163" t="s">
        <v>281</v>
      </c>
      <c r="E1416" s="163" t="s">
        <v>202</v>
      </c>
      <c r="F1416" s="246">
        <v>-3500</v>
      </c>
      <c r="G1416" s="165">
        <f t="shared" si="35"/>
        <v>94542.491000000009</v>
      </c>
      <c r="H1416" s="163"/>
      <c r="I1416" s="163" t="s">
        <v>283</v>
      </c>
      <c r="J1416" s="163"/>
      <c r="K1416" s="163"/>
      <c r="L1416" s="163" t="s">
        <v>366</v>
      </c>
      <c r="M1416" s="163"/>
      <c r="N1416" s="163" t="s">
        <v>978</v>
      </c>
      <c r="O1416" s="163"/>
      <c r="P1416" s="163"/>
      <c r="Q1416" s="163"/>
      <c r="R1416" s="163" t="s">
        <v>702</v>
      </c>
      <c r="S1416" s="163" t="s">
        <v>703</v>
      </c>
      <c r="T1416" s="43">
        <f t="shared" si="37"/>
        <v>2</v>
      </c>
      <c r="U1416" s="167">
        <f t="shared" si="36"/>
        <v>45698</v>
      </c>
      <c r="W1416" s="43">
        <f t="shared" si="38"/>
        <v>2</v>
      </c>
      <c r="X1416" s="49" t="s">
        <v>1526</v>
      </c>
      <c r="Y1416" s="49" t="s">
        <v>86</v>
      </c>
    </row>
    <row r="1417" spans="1:28" hidden="1">
      <c r="A1417" s="163" t="s">
        <v>1017</v>
      </c>
      <c r="B1417" s="164">
        <v>45698</v>
      </c>
      <c r="C1417" s="163" t="s">
        <v>704</v>
      </c>
      <c r="D1417" s="163" t="s">
        <v>281</v>
      </c>
      <c r="E1417" s="163" t="s">
        <v>202</v>
      </c>
      <c r="F1417" s="246">
        <v>-4000</v>
      </c>
      <c r="G1417" s="165">
        <f t="shared" si="35"/>
        <v>90542.491000000009</v>
      </c>
      <c r="H1417" s="163"/>
      <c r="I1417" s="163" t="s">
        <v>283</v>
      </c>
      <c r="J1417" s="163"/>
      <c r="K1417" s="163"/>
      <c r="L1417" s="163" t="s">
        <v>366</v>
      </c>
      <c r="M1417" s="163"/>
      <c r="N1417" s="163" t="s">
        <v>978</v>
      </c>
      <c r="O1417" s="163"/>
      <c r="P1417" s="163"/>
      <c r="Q1417" s="163"/>
      <c r="R1417" s="163" t="s">
        <v>706</v>
      </c>
      <c r="S1417" s="163" t="s">
        <v>707</v>
      </c>
      <c r="T1417" s="43">
        <f t="shared" si="37"/>
        <v>2</v>
      </c>
      <c r="U1417" s="167">
        <f t="shared" si="36"/>
        <v>45698</v>
      </c>
      <c r="W1417" s="43">
        <f t="shared" si="38"/>
        <v>2</v>
      </c>
      <c r="X1417" s="49" t="s">
        <v>1526</v>
      </c>
      <c r="Y1417" s="49" t="s">
        <v>86</v>
      </c>
    </row>
    <row r="1418" spans="1:28" hidden="1">
      <c r="A1418" s="163" t="s">
        <v>1017</v>
      </c>
      <c r="B1418" s="164">
        <v>45698</v>
      </c>
      <c r="C1418" s="163" t="s">
        <v>385</v>
      </c>
      <c r="D1418" s="163" t="s">
        <v>281</v>
      </c>
      <c r="E1418" s="163" t="s">
        <v>386</v>
      </c>
      <c r="F1418" s="226"/>
      <c r="G1418" s="165">
        <f t="shared" si="35"/>
        <v>90542.491000000009</v>
      </c>
      <c r="H1418" s="163"/>
      <c r="I1418" s="163" t="s">
        <v>342</v>
      </c>
      <c r="J1418" s="163"/>
      <c r="K1418" s="163"/>
      <c r="L1418" s="163" t="s">
        <v>1663</v>
      </c>
      <c r="M1418" s="163"/>
      <c r="N1418" s="163" t="s">
        <v>978</v>
      </c>
      <c r="O1418" s="163"/>
      <c r="P1418" s="163"/>
      <c r="Q1418" s="163"/>
      <c r="R1418" s="163" t="s">
        <v>389</v>
      </c>
      <c r="S1418" s="163" t="s">
        <v>390</v>
      </c>
      <c r="T1418" s="43">
        <f t="shared" si="37"/>
        <v>2</v>
      </c>
      <c r="U1418" s="167">
        <f t="shared" si="36"/>
        <v>45698</v>
      </c>
      <c r="W1418" s="43">
        <f t="shared" si="38"/>
        <v>2</v>
      </c>
      <c r="X1418" s="49" t="s">
        <v>196</v>
      </c>
      <c r="Y1418" s="49" t="s">
        <v>1443</v>
      </c>
    </row>
    <row r="1419" spans="1:28" hidden="1">
      <c r="A1419" s="163" t="s">
        <v>1017</v>
      </c>
      <c r="B1419" s="164">
        <v>45698</v>
      </c>
      <c r="C1419" s="163" t="s">
        <v>1527</v>
      </c>
      <c r="D1419" s="163" t="s">
        <v>281</v>
      </c>
      <c r="E1419" s="163" t="s">
        <v>202</v>
      </c>
      <c r="F1419" s="246">
        <v>-10000</v>
      </c>
      <c r="G1419" s="165">
        <f t="shared" si="35"/>
        <v>80542.491000000009</v>
      </c>
      <c r="H1419" s="163"/>
      <c r="I1419" s="163" t="s">
        <v>283</v>
      </c>
      <c r="J1419" s="163"/>
      <c r="K1419" s="163"/>
      <c r="L1419" s="163" t="s">
        <v>477</v>
      </c>
      <c r="M1419" s="163"/>
      <c r="N1419" s="163" t="s">
        <v>978</v>
      </c>
      <c r="O1419" s="163"/>
      <c r="P1419" s="163"/>
      <c r="Q1419" s="163"/>
      <c r="R1419" s="163" t="s">
        <v>1527</v>
      </c>
      <c r="S1419" s="163"/>
      <c r="T1419" s="43">
        <f t="shared" si="37"/>
        <v>2</v>
      </c>
      <c r="U1419" s="167">
        <f t="shared" si="36"/>
        <v>45698</v>
      </c>
      <c r="W1419" s="43">
        <f t="shared" si="38"/>
        <v>2</v>
      </c>
      <c r="X1419" s="49" t="s">
        <v>1526</v>
      </c>
      <c r="Y1419" s="49" t="s">
        <v>86</v>
      </c>
    </row>
    <row r="1420" spans="1:28" hidden="1">
      <c r="A1420" s="163" t="s">
        <v>1017</v>
      </c>
      <c r="B1420" s="164">
        <v>45698</v>
      </c>
      <c r="C1420" s="163" t="s">
        <v>1527</v>
      </c>
      <c r="D1420" s="163" t="s">
        <v>281</v>
      </c>
      <c r="E1420" s="163" t="s">
        <v>202</v>
      </c>
      <c r="F1420" s="246">
        <v>-10000</v>
      </c>
      <c r="G1420" s="165">
        <f t="shared" si="35"/>
        <v>70542.491000000009</v>
      </c>
      <c r="H1420" s="163"/>
      <c r="I1420" s="163" t="s">
        <v>283</v>
      </c>
      <c r="J1420" s="163"/>
      <c r="K1420" s="163"/>
      <c r="L1420" s="163" t="s">
        <v>477</v>
      </c>
      <c r="M1420" s="163"/>
      <c r="N1420" s="163" t="s">
        <v>978</v>
      </c>
      <c r="O1420" s="163"/>
      <c r="P1420" s="163"/>
      <c r="Q1420" s="163"/>
      <c r="R1420" s="163" t="s">
        <v>1527</v>
      </c>
      <c r="S1420" s="163"/>
      <c r="T1420" s="43">
        <f t="shared" si="37"/>
        <v>2</v>
      </c>
      <c r="U1420" s="167">
        <f t="shared" si="36"/>
        <v>45698</v>
      </c>
      <c r="W1420" s="43">
        <f t="shared" si="38"/>
        <v>2</v>
      </c>
      <c r="X1420" s="49" t="s">
        <v>1526</v>
      </c>
      <c r="Y1420" s="49" t="s">
        <v>1488</v>
      </c>
    </row>
    <row r="1421" spans="1:28" hidden="1">
      <c r="A1421" s="180" t="s">
        <v>1017</v>
      </c>
      <c r="B1421" s="181">
        <v>45698</v>
      </c>
      <c r="C1421" s="180" t="s">
        <v>1561</v>
      </c>
      <c r="D1421" s="180" t="s">
        <v>281</v>
      </c>
      <c r="E1421" s="180" t="s">
        <v>202</v>
      </c>
      <c r="F1421" s="246">
        <v>-15000</v>
      </c>
      <c r="G1421" s="165">
        <f t="shared" si="35"/>
        <v>55542.491000000009</v>
      </c>
      <c r="H1421" s="180"/>
      <c r="I1421" s="180" t="s">
        <v>283</v>
      </c>
      <c r="J1421" s="180"/>
      <c r="K1421" s="180"/>
      <c r="L1421" s="180" t="s">
        <v>1424</v>
      </c>
      <c r="M1421" s="180"/>
      <c r="N1421" s="180" t="s">
        <v>978</v>
      </c>
      <c r="O1421" s="180"/>
      <c r="P1421" s="180"/>
      <c r="Q1421" s="180"/>
      <c r="R1421" s="180" t="s">
        <v>466</v>
      </c>
      <c r="S1421" s="180" t="s">
        <v>468</v>
      </c>
      <c r="T1421" s="183">
        <f t="shared" si="37"/>
        <v>2</v>
      </c>
      <c r="U1421" s="184">
        <f t="shared" si="36"/>
        <v>45698</v>
      </c>
      <c r="V1421" s="183"/>
      <c r="W1421" s="43">
        <f t="shared" si="38"/>
        <v>2</v>
      </c>
      <c r="X1421" s="49" t="s">
        <v>1526</v>
      </c>
      <c r="Y1421" s="49" t="s">
        <v>26</v>
      </c>
      <c r="Z1421" s="183"/>
      <c r="AA1421" s="183"/>
      <c r="AB1421" s="183"/>
    </row>
    <row r="1422" spans="1:28" hidden="1">
      <c r="A1422" s="180" t="s">
        <v>1017</v>
      </c>
      <c r="B1422" s="181">
        <v>45698</v>
      </c>
      <c r="C1422" s="180" t="s">
        <v>1491</v>
      </c>
      <c r="D1422" s="180" t="s">
        <v>281</v>
      </c>
      <c r="E1422" s="180" t="s">
        <v>199</v>
      </c>
      <c r="F1422" s="246">
        <v>-305.12</v>
      </c>
      <c r="G1422" s="165">
        <f t="shared" si="35"/>
        <v>55237.371000000006</v>
      </c>
      <c r="H1422" s="180"/>
      <c r="I1422" s="180" t="s">
        <v>977</v>
      </c>
      <c r="J1422" s="180"/>
      <c r="K1422" s="180"/>
      <c r="L1422" s="180" t="s">
        <v>1062</v>
      </c>
      <c r="M1422" s="180"/>
      <c r="N1422" s="180" t="s">
        <v>978</v>
      </c>
      <c r="O1422" s="180"/>
      <c r="P1422" s="180"/>
      <c r="Q1422" s="180"/>
      <c r="R1422" s="180" t="s">
        <v>1370</v>
      </c>
      <c r="S1422" s="180"/>
      <c r="T1422" s="183">
        <f t="shared" si="37"/>
        <v>2</v>
      </c>
      <c r="U1422" s="184">
        <f t="shared" si="36"/>
        <v>45698</v>
      </c>
      <c r="V1422" s="183"/>
      <c r="W1422" s="43">
        <f t="shared" si="38"/>
        <v>2</v>
      </c>
      <c r="X1422" s="183" t="s">
        <v>1480</v>
      </c>
      <c r="Y1422" s="183" t="s">
        <v>1488</v>
      </c>
      <c r="Z1422" s="183"/>
      <c r="AA1422" s="183"/>
      <c r="AB1422" s="183"/>
    </row>
    <row r="1423" spans="1:28" hidden="1">
      <c r="A1423" s="180" t="s">
        <v>1017</v>
      </c>
      <c r="B1423" s="181">
        <v>45698</v>
      </c>
      <c r="C1423" s="180" t="s">
        <v>1664</v>
      </c>
      <c r="D1423" s="180" t="s">
        <v>281</v>
      </c>
      <c r="E1423" s="180" t="s">
        <v>202</v>
      </c>
      <c r="F1423" s="246">
        <v>-5000</v>
      </c>
      <c r="G1423" s="165">
        <f t="shared" si="35"/>
        <v>50237.371000000006</v>
      </c>
      <c r="H1423" s="180"/>
      <c r="I1423" s="180" t="s">
        <v>283</v>
      </c>
      <c r="J1423" s="180"/>
      <c r="K1423" s="180"/>
      <c r="L1423" s="180" t="s">
        <v>1424</v>
      </c>
      <c r="M1423" s="180"/>
      <c r="N1423" s="180" t="s">
        <v>978</v>
      </c>
      <c r="O1423" s="180"/>
      <c r="P1423" s="180"/>
      <c r="Q1423" s="180"/>
      <c r="R1423" s="180" t="s">
        <v>466</v>
      </c>
      <c r="S1423" s="180" t="s">
        <v>468</v>
      </c>
      <c r="T1423" s="183">
        <f t="shared" si="37"/>
        <v>2</v>
      </c>
      <c r="U1423" s="184">
        <f t="shared" si="36"/>
        <v>45698</v>
      </c>
      <c r="V1423" s="183"/>
      <c r="W1423" s="43">
        <f t="shared" si="38"/>
        <v>2</v>
      </c>
      <c r="X1423" s="49" t="s">
        <v>1526</v>
      </c>
      <c r="Y1423" s="49" t="s">
        <v>86</v>
      </c>
      <c r="Z1423" s="183"/>
      <c r="AA1423" s="183"/>
      <c r="AB1423" s="183"/>
    </row>
    <row r="1424" spans="1:28" hidden="1">
      <c r="A1424" s="180" t="s">
        <v>1017</v>
      </c>
      <c r="B1424" s="181">
        <v>45698</v>
      </c>
      <c r="C1424" s="180" t="s">
        <v>1537</v>
      </c>
      <c r="D1424" s="180" t="s">
        <v>281</v>
      </c>
      <c r="E1424" s="180" t="s">
        <v>1538</v>
      </c>
      <c r="F1424" s="246">
        <v>-2700</v>
      </c>
      <c r="G1424" s="165">
        <f t="shared" si="35"/>
        <v>47537.371000000006</v>
      </c>
      <c r="H1424" s="180"/>
      <c r="I1424" s="180" t="s">
        <v>283</v>
      </c>
      <c r="J1424" s="180"/>
      <c r="K1424" s="180"/>
      <c r="L1424" s="180" t="s">
        <v>485</v>
      </c>
      <c r="M1424" s="180"/>
      <c r="N1424" s="180" t="s">
        <v>978</v>
      </c>
      <c r="O1424" s="180"/>
      <c r="P1424" s="180"/>
      <c r="Q1424" s="180"/>
      <c r="R1424" s="180" t="s">
        <v>669</v>
      </c>
      <c r="S1424" s="180" t="s">
        <v>1492</v>
      </c>
      <c r="T1424" s="183">
        <f t="shared" si="37"/>
        <v>2</v>
      </c>
      <c r="U1424" s="184">
        <f t="shared" si="36"/>
        <v>45698</v>
      </c>
      <c r="V1424" s="183"/>
      <c r="W1424" s="43">
        <f t="shared" si="38"/>
        <v>2</v>
      </c>
      <c r="X1424" s="43" t="s">
        <v>196</v>
      </c>
      <c r="Y1424" s="43" t="s">
        <v>1443</v>
      </c>
      <c r="Z1424" s="183"/>
      <c r="AA1424" s="183"/>
      <c r="AB1424" s="183"/>
    </row>
    <row r="1425" spans="1:28" hidden="1">
      <c r="A1425" s="180" t="s">
        <v>1017</v>
      </c>
      <c r="B1425" s="181">
        <v>45698</v>
      </c>
      <c r="C1425" s="180" t="s">
        <v>1544</v>
      </c>
      <c r="D1425" s="180" t="s">
        <v>281</v>
      </c>
      <c r="E1425" s="180" t="s">
        <v>202</v>
      </c>
      <c r="F1425" s="182"/>
      <c r="G1425" s="165">
        <f t="shared" si="35"/>
        <v>47537.371000000006</v>
      </c>
      <c r="H1425" s="180"/>
      <c r="I1425" s="180" t="s">
        <v>283</v>
      </c>
      <c r="J1425" s="180"/>
      <c r="K1425" s="180"/>
      <c r="L1425" s="180" t="s">
        <v>485</v>
      </c>
      <c r="M1425" s="180"/>
      <c r="N1425" s="180" t="s">
        <v>978</v>
      </c>
      <c r="O1425" s="180"/>
      <c r="P1425" s="180"/>
      <c r="Q1425" s="180"/>
      <c r="R1425" s="180" t="s">
        <v>1527</v>
      </c>
      <c r="S1425" s="180"/>
      <c r="T1425" s="183">
        <f t="shared" si="37"/>
        <v>2</v>
      </c>
      <c r="U1425" s="184">
        <f t="shared" si="36"/>
        <v>45698</v>
      </c>
      <c r="V1425" s="183"/>
      <c r="W1425" s="43">
        <f t="shared" si="38"/>
        <v>2</v>
      </c>
      <c r="X1425" s="49" t="s">
        <v>1526</v>
      </c>
      <c r="Y1425" s="49" t="s">
        <v>86</v>
      </c>
      <c r="Z1425" s="183"/>
      <c r="AA1425" s="183"/>
      <c r="AB1425" s="183"/>
    </row>
    <row r="1426" spans="1:28" hidden="1">
      <c r="A1426" s="180" t="s">
        <v>1017</v>
      </c>
      <c r="B1426" s="181">
        <v>45698</v>
      </c>
      <c r="C1426" s="180" t="s">
        <v>1010</v>
      </c>
      <c r="D1426" s="180" t="s">
        <v>281</v>
      </c>
      <c r="E1426" s="180" t="s">
        <v>199</v>
      </c>
      <c r="F1426" s="246">
        <f>-1200+320</f>
        <v>-880</v>
      </c>
      <c r="G1426" s="165">
        <f t="shared" si="35"/>
        <v>46657.371000000006</v>
      </c>
      <c r="H1426" s="180"/>
      <c r="I1426" s="180" t="s">
        <v>283</v>
      </c>
      <c r="J1426" s="180"/>
      <c r="K1426" s="180"/>
      <c r="L1426" s="180" t="s">
        <v>485</v>
      </c>
      <c r="M1426" s="180"/>
      <c r="N1426" s="180" t="s">
        <v>978</v>
      </c>
      <c r="O1426" s="180"/>
      <c r="P1426" s="180"/>
      <c r="Q1426" s="180"/>
      <c r="R1426" s="180" t="s">
        <v>669</v>
      </c>
      <c r="S1426" s="180" t="s">
        <v>1492</v>
      </c>
      <c r="T1426" s="183">
        <f t="shared" si="37"/>
        <v>2</v>
      </c>
      <c r="U1426" s="184">
        <f t="shared" si="36"/>
        <v>45698</v>
      </c>
      <c r="V1426" s="183"/>
      <c r="W1426" s="43">
        <f t="shared" si="38"/>
        <v>2</v>
      </c>
      <c r="X1426" s="206" t="s">
        <v>1478</v>
      </c>
      <c r="Y1426" s="206" t="s">
        <v>26</v>
      </c>
      <c r="Z1426" s="183"/>
      <c r="AA1426" s="183"/>
      <c r="AB1426" s="183"/>
    </row>
    <row r="1427" spans="1:28" hidden="1">
      <c r="A1427" s="180" t="s">
        <v>1017</v>
      </c>
      <c r="B1427" s="181">
        <v>45698</v>
      </c>
      <c r="C1427" s="180" t="s">
        <v>1540</v>
      </c>
      <c r="D1427" s="180" t="s">
        <v>281</v>
      </c>
      <c r="E1427" s="180" t="s">
        <v>202</v>
      </c>
      <c r="F1427" s="169"/>
      <c r="G1427" s="165">
        <f t="shared" si="35"/>
        <v>46657.371000000006</v>
      </c>
      <c r="H1427" s="180"/>
      <c r="I1427" s="180" t="s">
        <v>283</v>
      </c>
      <c r="J1427" s="180"/>
      <c r="K1427" s="180"/>
      <c r="L1427" s="180" t="s">
        <v>485</v>
      </c>
      <c r="M1427" s="180"/>
      <c r="N1427" s="180" t="s">
        <v>978</v>
      </c>
      <c r="O1427" s="180"/>
      <c r="P1427" s="180"/>
      <c r="Q1427" s="180"/>
      <c r="R1427" s="180" t="s">
        <v>1527</v>
      </c>
      <c r="S1427" s="180"/>
      <c r="T1427" s="183">
        <f t="shared" si="37"/>
        <v>2</v>
      </c>
      <c r="U1427" s="184">
        <f t="shared" si="36"/>
        <v>45698</v>
      </c>
      <c r="V1427" s="183"/>
      <c r="W1427" s="43">
        <f t="shared" si="38"/>
        <v>2</v>
      </c>
      <c r="X1427" s="49" t="s">
        <v>1526</v>
      </c>
      <c r="Y1427" s="49" t="s">
        <v>1541</v>
      </c>
      <c r="Z1427" s="183"/>
      <c r="AA1427" s="183"/>
      <c r="AB1427" s="183"/>
    </row>
    <row r="1428" spans="1:28" hidden="1">
      <c r="A1428" s="180" t="s">
        <v>1017</v>
      </c>
      <c r="B1428" s="181">
        <v>45698</v>
      </c>
      <c r="C1428" s="180" t="s">
        <v>1087</v>
      </c>
      <c r="D1428" s="180" t="s">
        <v>281</v>
      </c>
      <c r="E1428" s="180" t="s">
        <v>202</v>
      </c>
      <c r="F1428" s="246">
        <v>-35000</v>
      </c>
      <c r="G1428" s="165">
        <f t="shared" si="35"/>
        <v>11657.371000000006</v>
      </c>
      <c r="H1428" s="180"/>
      <c r="I1428" s="180" t="s">
        <v>283</v>
      </c>
      <c r="J1428" s="180"/>
      <c r="K1428" s="180"/>
      <c r="L1428" s="180" t="s">
        <v>485</v>
      </c>
      <c r="M1428" s="180"/>
      <c r="N1428" s="180" t="s">
        <v>978</v>
      </c>
      <c r="O1428" s="180"/>
      <c r="P1428" s="180"/>
      <c r="Q1428" s="180"/>
      <c r="R1428" s="180" t="s">
        <v>1527</v>
      </c>
      <c r="S1428" s="180"/>
      <c r="T1428" s="183">
        <f t="shared" si="37"/>
        <v>2</v>
      </c>
      <c r="U1428" s="184">
        <f t="shared" si="36"/>
        <v>45698</v>
      </c>
      <c r="V1428" s="183"/>
      <c r="W1428" s="43">
        <f t="shared" si="38"/>
        <v>2</v>
      </c>
      <c r="X1428" s="49" t="s">
        <v>1526</v>
      </c>
      <c r="Y1428" s="49" t="s">
        <v>1479</v>
      </c>
      <c r="Z1428" s="183"/>
      <c r="AA1428" s="183"/>
      <c r="AB1428" s="183"/>
    </row>
    <row r="1429" spans="1:28" hidden="1">
      <c r="A1429" s="248" t="s">
        <v>1017</v>
      </c>
      <c r="B1429" s="249">
        <v>45698</v>
      </c>
      <c r="C1429" s="248" t="s">
        <v>101</v>
      </c>
      <c r="D1429" s="248" t="s">
        <v>281</v>
      </c>
      <c r="E1429" s="248" t="s">
        <v>925</v>
      </c>
      <c r="F1429" s="169">
        <v>0</v>
      </c>
      <c r="G1429" s="165">
        <f t="shared" si="35"/>
        <v>11657.371000000006</v>
      </c>
      <c r="H1429" s="248"/>
      <c r="I1429" s="248" t="s">
        <v>283</v>
      </c>
      <c r="J1429" s="248"/>
      <c r="K1429" s="248"/>
      <c r="L1429" s="248" t="s">
        <v>485</v>
      </c>
      <c r="M1429" s="248"/>
      <c r="N1429" s="248" t="s">
        <v>978</v>
      </c>
      <c r="O1429" s="248"/>
      <c r="P1429" s="248"/>
      <c r="Q1429" s="248"/>
      <c r="R1429" s="248" t="s">
        <v>669</v>
      </c>
      <c r="S1429" s="248" t="s">
        <v>1492</v>
      </c>
      <c r="T1429" s="251">
        <f t="shared" si="37"/>
        <v>2</v>
      </c>
      <c r="U1429" s="252">
        <f t="shared" si="36"/>
        <v>45698</v>
      </c>
      <c r="V1429" s="251"/>
      <c r="W1429" s="43">
        <f t="shared" si="38"/>
        <v>2</v>
      </c>
      <c r="X1429" s="236" t="s">
        <v>90</v>
      </c>
      <c r="Y1429" s="236" t="s">
        <v>26</v>
      </c>
      <c r="Z1429" s="251"/>
      <c r="AA1429" s="251"/>
      <c r="AB1429" s="251"/>
    </row>
    <row r="1430" spans="1:28" hidden="1">
      <c r="A1430" s="248" t="s">
        <v>1017</v>
      </c>
      <c r="B1430" s="249">
        <v>45691</v>
      </c>
      <c r="C1430" s="248" t="s">
        <v>1087</v>
      </c>
      <c r="D1430" s="248" t="s">
        <v>281</v>
      </c>
      <c r="E1430" s="248" t="s">
        <v>925</v>
      </c>
      <c r="F1430" s="253">
        <v>0</v>
      </c>
      <c r="G1430" s="165">
        <f t="shared" si="35"/>
        <v>11657.371000000006</v>
      </c>
      <c r="H1430" s="248"/>
      <c r="I1430" s="248" t="s">
        <v>283</v>
      </c>
      <c r="J1430" s="248"/>
      <c r="K1430" s="248"/>
      <c r="L1430" s="248" t="s">
        <v>485</v>
      </c>
      <c r="M1430" s="248"/>
      <c r="N1430" s="248" t="s">
        <v>978</v>
      </c>
      <c r="O1430" s="248"/>
      <c r="P1430" s="248"/>
      <c r="Q1430" s="248"/>
      <c r="R1430" s="248" t="s">
        <v>669</v>
      </c>
      <c r="S1430" s="248" t="s">
        <v>1492</v>
      </c>
      <c r="T1430" s="251">
        <f t="shared" si="37"/>
        <v>2</v>
      </c>
      <c r="U1430" s="252">
        <f t="shared" si="36"/>
        <v>45698</v>
      </c>
      <c r="V1430" s="145">
        <v>45698</v>
      </c>
      <c r="W1430" s="43">
        <f t="shared" si="38"/>
        <v>2</v>
      </c>
      <c r="X1430" s="43" t="s">
        <v>90</v>
      </c>
      <c r="Y1430" s="43" t="s">
        <v>1479</v>
      </c>
      <c r="Z1430" s="251"/>
      <c r="AA1430" s="251"/>
      <c r="AB1430" s="251"/>
    </row>
    <row r="1431" spans="1:28" hidden="1">
      <c r="A1431" s="163"/>
      <c r="B1431" s="164">
        <v>45698</v>
      </c>
      <c r="C1431" s="163" t="s">
        <v>346</v>
      </c>
      <c r="D1431" s="163"/>
      <c r="E1431" s="163"/>
      <c r="F1431" s="165">
        <v>0</v>
      </c>
      <c r="G1431" s="165">
        <f t="shared" si="35"/>
        <v>11657.371000000006</v>
      </c>
      <c r="H1431" s="163"/>
      <c r="I1431" s="163"/>
      <c r="J1431" s="163"/>
      <c r="K1431" s="163"/>
      <c r="L1431" s="163"/>
      <c r="M1431" s="163"/>
      <c r="N1431" s="163"/>
      <c r="O1431" s="163"/>
      <c r="P1431" s="163"/>
      <c r="Q1431" s="163"/>
      <c r="R1431" s="163"/>
      <c r="S1431" s="163"/>
      <c r="T1431" s="43">
        <f t="shared" si="37"/>
        <v>2</v>
      </c>
      <c r="U1431" s="167">
        <f t="shared" si="36"/>
        <v>45698</v>
      </c>
      <c r="W1431" s="43">
        <f t="shared" si="38"/>
        <v>2</v>
      </c>
    </row>
    <row r="1432" spans="1:28" hidden="1">
      <c r="A1432" s="163" t="s">
        <v>1017</v>
      </c>
      <c r="B1432" s="164">
        <v>45699</v>
      </c>
      <c r="C1432" s="163" t="s">
        <v>773</v>
      </c>
      <c r="D1432" s="163" t="s">
        <v>281</v>
      </c>
      <c r="E1432" s="163" t="s">
        <v>760</v>
      </c>
      <c r="F1432" s="204"/>
      <c r="G1432" s="165">
        <f t="shared" si="35"/>
        <v>11657.371000000006</v>
      </c>
      <c r="H1432" s="163"/>
      <c r="I1432" s="163" t="s">
        <v>283</v>
      </c>
      <c r="J1432" s="163"/>
      <c r="K1432" s="163"/>
      <c r="L1432" s="163" t="s">
        <v>1424</v>
      </c>
      <c r="M1432" s="163"/>
      <c r="N1432" s="163" t="s">
        <v>978</v>
      </c>
      <c r="O1432" s="163"/>
      <c r="P1432" s="163"/>
      <c r="Q1432" s="163"/>
      <c r="R1432" s="163" t="s">
        <v>775</v>
      </c>
      <c r="S1432" s="163" t="s">
        <v>776</v>
      </c>
      <c r="T1432" s="43">
        <f t="shared" si="37"/>
        <v>2</v>
      </c>
      <c r="U1432" s="167">
        <f t="shared" si="36"/>
        <v>45699</v>
      </c>
      <c r="W1432" s="43">
        <f t="shared" si="38"/>
        <v>2</v>
      </c>
      <c r="X1432" s="236" t="s">
        <v>1482</v>
      </c>
      <c r="Y1432" s="236" t="s">
        <v>78</v>
      </c>
    </row>
    <row r="1433" spans="1:28" hidden="1">
      <c r="A1433" s="163" t="s">
        <v>1017</v>
      </c>
      <c r="B1433" s="164">
        <v>45699</v>
      </c>
      <c r="C1433" s="163" t="s">
        <v>1353</v>
      </c>
      <c r="D1433" s="163" t="s">
        <v>281</v>
      </c>
      <c r="E1433" s="163" t="s">
        <v>760</v>
      </c>
      <c r="F1433" s="204"/>
      <c r="G1433" s="165">
        <f t="shared" si="35"/>
        <v>11657.371000000006</v>
      </c>
      <c r="H1433" s="163"/>
      <c r="I1433" s="163" t="s">
        <v>283</v>
      </c>
      <c r="J1433" s="163"/>
      <c r="K1433" s="163"/>
      <c r="L1433" s="163" t="s">
        <v>766</v>
      </c>
      <c r="M1433" s="163"/>
      <c r="N1433" s="163" t="s">
        <v>978</v>
      </c>
      <c r="O1433" s="163"/>
      <c r="P1433" s="163"/>
      <c r="Q1433" s="163"/>
      <c r="R1433" s="163" t="s">
        <v>1354</v>
      </c>
      <c r="S1433" s="163" t="s">
        <v>1355</v>
      </c>
      <c r="T1433" s="43">
        <f t="shared" si="37"/>
        <v>2</v>
      </c>
      <c r="U1433" s="167">
        <f t="shared" si="36"/>
        <v>45699</v>
      </c>
      <c r="W1433" s="43">
        <f t="shared" si="38"/>
        <v>2</v>
      </c>
      <c r="X1433" s="236" t="s">
        <v>1482</v>
      </c>
      <c r="Y1433" s="236" t="s">
        <v>78</v>
      </c>
    </row>
    <row r="1434" spans="1:28" hidden="1">
      <c r="A1434" s="163" t="s">
        <v>1017</v>
      </c>
      <c r="B1434" s="164">
        <v>45699</v>
      </c>
      <c r="C1434" s="190" t="s">
        <v>330</v>
      </c>
      <c r="D1434" s="190" t="s">
        <v>281</v>
      </c>
      <c r="E1434" s="190" t="s">
        <v>330</v>
      </c>
      <c r="F1434" s="185">
        <f>-1.99*2-0.5</f>
        <v>-4.4800000000000004</v>
      </c>
      <c r="G1434" s="165">
        <f t="shared" si="35"/>
        <v>11652.891000000007</v>
      </c>
      <c r="H1434" s="190"/>
      <c r="I1434" s="190" t="s">
        <v>342</v>
      </c>
      <c r="J1434" s="190"/>
      <c r="K1434" s="190"/>
      <c r="L1434" s="190" t="s">
        <v>805</v>
      </c>
      <c r="M1434" s="190"/>
      <c r="N1434" s="190" t="s">
        <v>978</v>
      </c>
      <c r="O1434" s="190"/>
      <c r="P1434" s="190"/>
      <c r="Q1434" s="190"/>
      <c r="R1434" s="190" t="s">
        <v>1292</v>
      </c>
      <c r="S1434" s="190" t="s">
        <v>1417</v>
      </c>
      <c r="T1434" s="43">
        <f t="shared" si="37"/>
        <v>2</v>
      </c>
      <c r="U1434" s="167">
        <f t="shared" si="36"/>
        <v>45699</v>
      </c>
      <c r="V1434" s="43"/>
      <c r="W1434" s="43">
        <f t="shared" si="38"/>
        <v>2</v>
      </c>
      <c r="X1434" s="43" t="s">
        <v>1483</v>
      </c>
      <c r="Y1434" s="43" t="s">
        <v>1443</v>
      </c>
      <c r="Z1434" s="43"/>
      <c r="AA1434" s="43"/>
      <c r="AB1434" s="43"/>
    </row>
    <row r="1435" spans="1:28" hidden="1">
      <c r="A1435" s="163" t="s">
        <v>1174</v>
      </c>
      <c r="B1435" s="164">
        <v>45698</v>
      </c>
      <c r="C1435" s="163" t="s">
        <v>1531</v>
      </c>
      <c r="D1435" s="163" t="s">
        <v>281</v>
      </c>
      <c r="E1435" s="163" t="s">
        <v>407</v>
      </c>
      <c r="F1435" s="195">
        <v>4200</v>
      </c>
      <c r="G1435" s="165">
        <f t="shared" si="35"/>
        <v>15852.891000000007</v>
      </c>
      <c r="H1435" s="163"/>
      <c r="I1435" s="163" t="s">
        <v>1176</v>
      </c>
      <c r="J1435" s="163" t="s">
        <v>1532</v>
      </c>
      <c r="K1435" s="163"/>
      <c r="L1435" s="163" t="s">
        <v>305</v>
      </c>
      <c r="M1435" s="163"/>
      <c r="N1435" s="163" t="s">
        <v>1178</v>
      </c>
      <c r="O1435" s="163" t="s">
        <v>1532</v>
      </c>
      <c r="P1435" s="163" t="s">
        <v>57</v>
      </c>
      <c r="Q1435" s="163"/>
      <c r="R1435" s="163" t="s">
        <v>1533</v>
      </c>
      <c r="S1435" s="163" t="s">
        <v>1534</v>
      </c>
      <c r="T1435" s="43">
        <f t="shared" si="37"/>
        <v>2</v>
      </c>
      <c r="U1435" s="167">
        <f t="shared" si="36"/>
        <v>45699</v>
      </c>
      <c r="V1435" s="261">
        <v>45699</v>
      </c>
      <c r="W1435" s="43">
        <f t="shared" si="38"/>
        <v>2</v>
      </c>
      <c r="X1435" s="43" t="s">
        <v>1484</v>
      </c>
      <c r="Y1435" s="43" t="s">
        <v>1485</v>
      </c>
    </row>
    <row r="1436" spans="1:28" hidden="1">
      <c r="A1436" s="163" t="s">
        <v>1174</v>
      </c>
      <c r="B1436" s="164">
        <v>45698</v>
      </c>
      <c r="C1436" s="163" t="s">
        <v>952</v>
      </c>
      <c r="D1436" s="163" t="s">
        <v>281</v>
      </c>
      <c r="E1436" s="163" t="s">
        <v>407</v>
      </c>
      <c r="F1436" s="195">
        <v>5500</v>
      </c>
      <c r="G1436" s="165">
        <f t="shared" si="35"/>
        <v>21352.891000000007</v>
      </c>
      <c r="H1436" s="163"/>
      <c r="I1436" s="163" t="s">
        <v>1176</v>
      </c>
      <c r="J1436" s="163" t="s">
        <v>1364</v>
      </c>
      <c r="K1436" s="163"/>
      <c r="L1436" s="163" t="s">
        <v>305</v>
      </c>
      <c r="M1436" s="163"/>
      <c r="N1436" s="163" t="s">
        <v>1178</v>
      </c>
      <c r="O1436" s="163" t="s">
        <v>1364</v>
      </c>
      <c r="P1436" s="163" t="s">
        <v>957</v>
      </c>
      <c r="Q1436" s="163"/>
      <c r="R1436" s="163" t="s">
        <v>958</v>
      </c>
      <c r="S1436" s="163" t="s">
        <v>959</v>
      </c>
      <c r="T1436" s="43">
        <f t="shared" si="37"/>
        <v>2</v>
      </c>
      <c r="U1436" s="167">
        <f t="shared" si="36"/>
        <v>45699</v>
      </c>
      <c r="V1436" s="261">
        <v>45699</v>
      </c>
      <c r="W1436" s="43">
        <f t="shared" si="38"/>
        <v>2</v>
      </c>
      <c r="X1436" s="43" t="s">
        <v>1484</v>
      </c>
      <c r="Y1436" s="43" t="s">
        <v>1485</v>
      </c>
    </row>
    <row r="1437" spans="1:28" hidden="1">
      <c r="A1437" s="163" t="s">
        <v>1017</v>
      </c>
      <c r="B1437" s="164">
        <v>45698</v>
      </c>
      <c r="C1437" s="163" t="s">
        <v>1371</v>
      </c>
      <c r="D1437" s="163" t="s">
        <v>281</v>
      </c>
      <c r="E1437" s="163" t="s">
        <v>199</v>
      </c>
      <c r="F1437" s="197"/>
      <c r="G1437" s="165">
        <f t="shared" si="35"/>
        <v>21352.891000000007</v>
      </c>
      <c r="H1437" s="163"/>
      <c r="I1437" s="163" t="s">
        <v>977</v>
      </c>
      <c r="J1437" s="163"/>
      <c r="K1437" s="163"/>
      <c r="L1437" s="163" t="s">
        <v>477</v>
      </c>
      <c r="M1437" s="163"/>
      <c r="N1437" s="163" t="s">
        <v>978</v>
      </c>
      <c r="O1437" s="163"/>
      <c r="P1437" s="163"/>
      <c r="Q1437" s="163"/>
      <c r="R1437" s="163" t="s">
        <v>1371</v>
      </c>
      <c r="S1437" s="163"/>
      <c r="T1437" s="43">
        <f t="shared" si="37"/>
        <v>2</v>
      </c>
      <c r="U1437" s="167">
        <f t="shared" si="36"/>
        <v>45699</v>
      </c>
      <c r="V1437" s="261">
        <v>45699</v>
      </c>
      <c r="W1437" s="43">
        <f t="shared" si="38"/>
        <v>2</v>
      </c>
      <c r="X1437" s="49" t="s">
        <v>1480</v>
      </c>
      <c r="Y1437" s="49" t="s">
        <v>25</v>
      </c>
    </row>
    <row r="1438" spans="1:28" hidden="1">
      <c r="A1438" s="163" t="s">
        <v>1017</v>
      </c>
      <c r="B1438" s="164">
        <v>45698</v>
      </c>
      <c r="C1438" s="163" t="s">
        <v>1013</v>
      </c>
      <c r="D1438" s="163" t="s">
        <v>281</v>
      </c>
      <c r="E1438" s="163" t="s">
        <v>199</v>
      </c>
      <c r="F1438" s="197"/>
      <c r="G1438" s="165">
        <f t="shared" si="35"/>
        <v>21352.891000000007</v>
      </c>
      <c r="H1438" s="163"/>
      <c r="I1438" s="163" t="s">
        <v>977</v>
      </c>
      <c r="J1438" s="163"/>
      <c r="K1438" s="163"/>
      <c r="L1438" s="163" t="s">
        <v>1665</v>
      </c>
      <c r="M1438" s="163"/>
      <c r="N1438" s="163" t="s">
        <v>978</v>
      </c>
      <c r="O1438" s="163"/>
      <c r="P1438" s="163"/>
      <c r="Q1438" s="163"/>
      <c r="R1438" s="163" t="s">
        <v>1015</v>
      </c>
      <c r="S1438" s="163" t="s">
        <v>1016</v>
      </c>
      <c r="T1438" s="43">
        <f t="shared" si="37"/>
        <v>2</v>
      </c>
      <c r="U1438" s="167">
        <f t="shared" si="36"/>
        <v>45699</v>
      </c>
      <c r="V1438" s="261">
        <v>45699</v>
      </c>
      <c r="W1438" s="43">
        <f t="shared" si="38"/>
        <v>2</v>
      </c>
      <c r="X1438" s="49" t="s">
        <v>1480</v>
      </c>
      <c r="Y1438" s="49" t="s">
        <v>26</v>
      </c>
    </row>
    <row r="1439" spans="1:28" hidden="1">
      <c r="A1439" s="180" t="s">
        <v>1017</v>
      </c>
      <c r="B1439" s="181">
        <v>45699</v>
      </c>
      <c r="C1439" s="180" t="s">
        <v>844</v>
      </c>
      <c r="D1439" s="180" t="s">
        <v>281</v>
      </c>
      <c r="E1439" s="180" t="s">
        <v>120</v>
      </c>
      <c r="F1439" s="182">
        <v>-448</v>
      </c>
      <c r="G1439" s="165">
        <f t="shared" si="35"/>
        <v>20904.891000000007</v>
      </c>
      <c r="H1439" s="180"/>
      <c r="I1439" s="180" t="s">
        <v>342</v>
      </c>
      <c r="J1439" s="180"/>
      <c r="K1439" s="180"/>
      <c r="L1439" s="180" t="s">
        <v>1424</v>
      </c>
      <c r="M1439" s="180"/>
      <c r="N1439" s="180" t="s">
        <v>978</v>
      </c>
      <c r="O1439" s="180"/>
      <c r="P1439" s="180"/>
      <c r="Q1439" s="180"/>
      <c r="R1439" s="180" t="s">
        <v>846</v>
      </c>
      <c r="S1439" s="180" t="s">
        <v>847</v>
      </c>
      <c r="T1439" s="183">
        <f t="shared" si="37"/>
        <v>2</v>
      </c>
      <c r="U1439" s="184">
        <f t="shared" si="36"/>
        <v>45699</v>
      </c>
      <c r="V1439" s="183"/>
      <c r="W1439" s="183">
        <f t="shared" si="38"/>
        <v>2</v>
      </c>
      <c r="X1439" s="183" t="s">
        <v>1498</v>
      </c>
      <c r="Y1439" s="183" t="s">
        <v>1336</v>
      </c>
      <c r="Z1439" s="183"/>
      <c r="AA1439" s="183"/>
      <c r="AB1439" s="183"/>
    </row>
    <row r="1440" spans="1:28" hidden="1">
      <c r="A1440" s="180" t="s">
        <v>1017</v>
      </c>
      <c r="B1440" s="181">
        <v>45699</v>
      </c>
      <c r="C1440" s="180" t="s">
        <v>1666</v>
      </c>
      <c r="D1440" s="180" t="s">
        <v>281</v>
      </c>
      <c r="E1440" s="180" t="s">
        <v>202</v>
      </c>
      <c r="F1440" s="197">
        <v>-26.8</v>
      </c>
      <c r="G1440" s="165">
        <f t="shared" si="35"/>
        <v>20878.091000000008</v>
      </c>
      <c r="H1440" s="180"/>
      <c r="I1440" s="180" t="s">
        <v>283</v>
      </c>
      <c r="J1440" s="180"/>
      <c r="K1440" s="180"/>
      <c r="L1440" s="180" t="s">
        <v>485</v>
      </c>
      <c r="M1440" s="180"/>
      <c r="N1440" s="180" t="s">
        <v>978</v>
      </c>
      <c r="O1440" s="180"/>
      <c r="P1440" s="180"/>
      <c r="Q1440" s="180"/>
      <c r="R1440" s="180" t="s">
        <v>1527</v>
      </c>
      <c r="S1440" s="180"/>
      <c r="T1440" s="183">
        <f t="shared" si="37"/>
        <v>2</v>
      </c>
      <c r="U1440" s="184">
        <f t="shared" si="36"/>
        <v>45699</v>
      </c>
      <c r="V1440" s="183"/>
      <c r="W1440" s="43">
        <f t="shared" si="38"/>
        <v>2</v>
      </c>
      <c r="X1440" s="49" t="s">
        <v>1526</v>
      </c>
      <c r="Y1440" s="49" t="s">
        <v>1479</v>
      </c>
      <c r="Z1440" s="183"/>
      <c r="AA1440" s="183"/>
      <c r="AB1440" s="183"/>
    </row>
    <row r="1441" spans="1:28" hidden="1">
      <c r="A1441" s="180" t="s">
        <v>1017</v>
      </c>
      <c r="B1441" s="181">
        <v>45699</v>
      </c>
      <c r="C1441" s="180" t="s">
        <v>1087</v>
      </c>
      <c r="D1441" s="180" t="s">
        <v>281</v>
      </c>
      <c r="E1441" s="180" t="s">
        <v>202</v>
      </c>
      <c r="F1441" s="197">
        <f>-15000+1026.8</f>
        <v>-13973.2</v>
      </c>
      <c r="G1441" s="165">
        <f t="shared" si="35"/>
        <v>6904.8910000000069</v>
      </c>
      <c r="H1441" s="180"/>
      <c r="I1441" s="180" t="s">
        <v>283</v>
      </c>
      <c r="J1441" s="180"/>
      <c r="K1441" s="180"/>
      <c r="L1441" s="180" t="s">
        <v>485</v>
      </c>
      <c r="M1441" s="180"/>
      <c r="N1441" s="180" t="s">
        <v>978</v>
      </c>
      <c r="O1441" s="180"/>
      <c r="P1441" s="180"/>
      <c r="Q1441" s="180"/>
      <c r="R1441" s="180" t="s">
        <v>1527</v>
      </c>
      <c r="S1441" s="180"/>
      <c r="T1441" s="183">
        <f t="shared" si="37"/>
        <v>2</v>
      </c>
      <c r="U1441" s="184">
        <f t="shared" si="36"/>
        <v>45699</v>
      </c>
      <c r="V1441" s="183"/>
      <c r="W1441" s="43">
        <f t="shared" si="38"/>
        <v>2</v>
      </c>
      <c r="X1441" s="49" t="s">
        <v>1526</v>
      </c>
      <c r="Y1441" s="49" t="s">
        <v>1479</v>
      </c>
      <c r="Z1441" s="183"/>
      <c r="AA1441" s="183"/>
      <c r="AB1441" s="183"/>
    </row>
    <row r="1442" spans="1:28" hidden="1">
      <c r="A1442" s="163"/>
      <c r="B1442" s="164">
        <v>45699</v>
      </c>
      <c r="C1442" s="163" t="s">
        <v>346</v>
      </c>
      <c r="D1442" s="163"/>
      <c r="E1442" s="163"/>
      <c r="F1442" s="165">
        <v>0</v>
      </c>
      <c r="G1442" s="165">
        <f t="shared" si="35"/>
        <v>6904.8910000000069</v>
      </c>
      <c r="H1442" s="163"/>
      <c r="I1442" s="163"/>
      <c r="J1442" s="163"/>
      <c r="K1442" s="163"/>
      <c r="L1442" s="163"/>
      <c r="M1442" s="163"/>
      <c r="N1442" s="163"/>
      <c r="O1442" s="163"/>
      <c r="P1442" s="163"/>
      <c r="Q1442" s="163"/>
      <c r="R1442" s="163"/>
      <c r="S1442" s="163"/>
      <c r="T1442" s="43">
        <f t="shared" si="37"/>
        <v>2</v>
      </c>
      <c r="U1442" s="167">
        <f t="shared" si="36"/>
        <v>45699</v>
      </c>
      <c r="W1442" s="43">
        <f t="shared" si="38"/>
        <v>2</v>
      </c>
    </row>
    <row r="1443" spans="1:28" ht="14.25" hidden="1" customHeight="1">
      <c r="A1443" s="180" t="s">
        <v>1017</v>
      </c>
      <c r="B1443" s="181">
        <v>45700</v>
      </c>
      <c r="C1443" s="180" t="s">
        <v>1487</v>
      </c>
      <c r="D1443" s="180" t="s">
        <v>281</v>
      </c>
      <c r="E1443" s="180" t="s">
        <v>282</v>
      </c>
      <c r="F1443" s="230">
        <v>3500</v>
      </c>
      <c r="G1443" s="165">
        <f t="shared" si="35"/>
        <v>10404.891000000007</v>
      </c>
      <c r="H1443" s="180"/>
      <c r="I1443" s="180" t="s">
        <v>977</v>
      </c>
      <c r="J1443" s="180"/>
      <c r="K1443" s="180"/>
      <c r="L1443" s="180" t="s">
        <v>366</v>
      </c>
      <c r="M1443" s="180"/>
      <c r="N1443" s="180" t="s">
        <v>978</v>
      </c>
      <c r="O1443" s="180"/>
      <c r="P1443" s="180"/>
      <c r="Q1443" s="180"/>
      <c r="R1443" s="180" t="s">
        <v>990</v>
      </c>
      <c r="S1443" s="180" t="s">
        <v>991</v>
      </c>
      <c r="T1443" s="183">
        <f t="shared" si="37"/>
        <v>2</v>
      </c>
      <c r="U1443" s="184">
        <f t="shared" si="36"/>
        <v>45700</v>
      </c>
      <c r="V1443" s="256"/>
      <c r="W1443" s="43">
        <f t="shared" si="38"/>
        <v>2</v>
      </c>
      <c r="X1443" s="183" t="s">
        <v>282</v>
      </c>
      <c r="Y1443" s="183" t="s">
        <v>1443</v>
      </c>
      <c r="Z1443" s="183" t="s">
        <v>1113</v>
      </c>
      <c r="AA1443" s="183" t="s">
        <v>1113</v>
      </c>
      <c r="AB1443" s="183"/>
    </row>
    <row r="1444" spans="1:28" hidden="1">
      <c r="A1444" s="163" t="s">
        <v>1017</v>
      </c>
      <c r="B1444" s="164">
        <v>45698</v>
      </c>
      <c r="C1444" s="163" t="s">
        <v>708</v>
      </c>
      <c r="D1444" s="163" t="s">
        <v>281</v>
      </c>
      <c r="E1444" s="163" t="s">
        <v>202</v>
      </c>
      <c r="F1444" s="169">
        <v>-8133</v>
      </c>
      <c r="G1444" s="165">
        <f t="shared" si="35"/>
        <v>2271.8910000000069</v>
      </c>
      <c r="H1444" s="163"/>
      <c r="I1444" s="163" t="s">
        <v>283</v>
      </c>
      <c r="J1444" s="163"/>
      <c r="K1444" s="163"/>
      <c r="L1444" s="163" t="s">
        <v>766</v>
      </c>
      <c r="M1444" s="163"/>
      <c r="N1444" s="163" t="s">
        <v>978</v>
      </c>
      <c r="O1444" s="163"/>
      <c r="P1444" s="163"/>
      <c r="Q1444" s="163"/>
      <c r="R1444" s="163" t="s">
        <v>710</v>
      </c>
      <c r="S1444" s="163" t="s">
        <v>711</v>
      </c>
      <c r="T1444" s="43">
        <f t="shared" si="37"/>
        <v>2</v>
      </c>
      <c r="U1444" s="167">
        <f t="shared" si="36"/>
        <v>45700</v>
      </c>
      <c r="V1444" s="261">
        <v>45700</v>
      </c>
      <c r="W1444" s="43">
        <f t="shared" si="38"/>
        <v>2</v>
      </c>
      <c r="X1444" s="49" t="s">
        <v>1526</v>
      </c>
      <c r="Y1444" s="49" t="s">
        <v>26</v>
      </c>
    </row>
    <row r="1445" spans="1:28" hidden="1">
      <c r="A1445" s="163" t="s">
        <v>1017</v>
      </c>
      <c r="B1445" s="164">
        <v>45700</v>
      </c>
      <c r="C1445" s="163" t="s">
        <v>1392</v>
      </c>
      <c r="D1445" s="163" t="s">
        <v>281</v>
      </c>
      <c r="E1445" s="163" t="s">
        <v>199</v>
      </c>
      <c r="F1445" s="169">
        <v>-175</v>
      </c>
      <c r="G1445" s="165">
        <f t="shared" si="35"/>
        <v>2096.8910000000069</v>
      </c>
      <c r="H1445" s="163"/>
      <c r="I1445" s="163" t="s">
        <v>977</v>
      </c>
      <c r="J1445" s="163"/>
      <c r="K1445" s="163"/>
      <c r="L1445" s="163" t="s">
        <v>477</v>
      </c>
      <c r="M1445" s="163"/>
      <c r="N1445" s="163" t="s">
        <v>978</v>
      </c>
      <c r="O1445" s="163"/>
      <c r="P1445" s="163"/>
      <c r="Q1445" s="163"/>
      <c r="R1445" s="163" t="s">
        <v>1392</v>
      </c>
      <c r="S1445" s="163"/>
      <c r="T1445" s="43">
        <f t="shared" si="37"/>
        <v>2</v>
      </c>
      <c r="U1445" s="167">
        <f t="shared" si="36"/>
        <v>45700</v>
      </c>
      <c r="W1445" s="43">
        <f t="shared" si="38"/>
        <v>2</v>
      </c>
      <c r="X1445" s="49" t="s">
        <v>1480</v>
      </c>
      <c r="Y1445" s="49" t="s">
        <v>26</v>
      </c>
    </row>
    <row r="1446" spans="1:28" hidden="1">
      <c r="A1446" s="180" t="s">
        <v>1017</v>
      </c>
      <c r="B1446" s="181">
        <v>45700</v>
      </c>
      <c r="C1446" s="180" t="s">
        <v>1667</v>
      </c>
      <c r="D1446" s="180" t="s">
        <v>281</v>
      </c>
      <c r="E1446" s="180" t="s">
        <v>199</v>
      </c>
      <c r="F1446" s="169">
        <f>-1900+641.09</f>
        <v>-1258.9099999999999</v>
      </c>
      <c r="G1446" s="165">
        <f t="shared" si="35"/>
        <v>837.98100000000704</v>
      </c>
      <c r="H1446" s="180"/>
      <c r="I1446" s="180" t="s">
        <v>283</v>
      </c>
      <c r="J1446" s="180"/>
      <c r="K1446" s="180"/>
      <c r="L1446" s="180" t="s">
        <v>485</v>
      </c>
      <c r="M1446" s="180"/>
      <c r="N1446" s="180" t="s">
        <v>978</v>
      </c>
      <c r="O1446" s="180"/>
      <c r="P1446" s="180"/>
      <c r="Q1446" s="180"/>
      <c r="R1446" s="180" t="s">
        <v>669</v>
      </c>
      <c r="S1446" s="180" t="s">
        <v>1492</v>
      </c>
      <c r="T1446" s="183">
        <f t="shared" si="37"/>
        <v>2</v>
      </c>
      <c r="U1446" s="184">
        <f t="shared" si="36"/>
        <v>45700</v>
      </c>
      <c r="V1446" s="183"/>
      <c r="W1446" s="43">
        <f t="shared" si="38"/>
        <v>2</v>
      </c>
      <c r="X1446" s="206" t="s">
        <v>1478</v>
      </c>
      <c r="Y1446" s="206" t="s">
        <v>26</v>
      </c>
      <c r="Z1446" s="183"/>
      <c r="AA1446" s="183"/>
      <c r="AB1446" s="183"/>
    </row>
    <row r="1447" spans="1:28" hidden="1">
      <c r="A1447" s="180" t="s">
        <v>1017</v>
      </c>
      <c r="B1447" s="181">
        <v>45701</v>
      </c>
      <c r="C1447" s="180" t="s">
        <v>1668</v>
      </c>
      <c r="D1447" s="180" t="s">
        <v>281</v>
      </c>
      <c r="E1447" s="180" t="s">
        <v>199</v>
      </c>
      <c r="F1447" s="226">
        <v>-74.5</v>
      </c>
      <c r="G1447" s="165">
        <f t="shared" si="35"/>
        <v>763.48100000000704</v>
      </c>
      <c r="H1447" s="180"/>
      <c r="I1447" s="180" t="s">
        <v>283</v>
      </c>
      <c r="J1447" s="180"/>
      <c r="K1447" s="180"/>
      <c r="L1447" s="180" t="s">
        <v>477</v>
      </c>
      <c r="M1447" s="180"/>
      <c r="N1447" s="180" t="s">
        <v>978</v>
      </c>
      <c r="O1447" s="180"/>
      <c r="P1447" s="180"/>
      <c r="Q1447" s="180"/>
      <c r="R1447" s="180" t="s">
        <v>1368</v>
      </c>
      <c r="S1447" s="180" t="s">
        <v>1369</v>
      </c>
      <c r="T1447" s="183">
        <f t="shared" si="37"/>
        <v>2</v>
      </c>
      <c r="U1447" s="184">
        <f t="shared" si="36"/>
        <v>45700</v>
      </c>
      <c r="V1447" s="261">
        <v>45700</v>
      </c>
      <c r="W1447" s="43">
        <f t="shared" si="38"/>
        <v>2</v>
      </c>
      <c r="X1447" s="183" t="s">
        <v>1480</v>
      </c>
      <c r="Y1447" s="206" t="s">
        <v>86</v>
      </c>
      <c r="Z1447" s="183"/>
      <c r="AA1447" s="183"/>
      <c r="AB1447" s="183"/>
    </row>
    <row r="1448" spans="1:28" hidden="1">
      <c r="A1448" s="163" t="s">
        <v>1017</v>
      </c>
      <c r="B1448" s="164">
        <v>45701</v>
      </c>
      <c r="C1448" s="163" t="s">
        <v>1389</v>
      </c>
      <c r="D1448" s="163" t="s">
        <v>281</v>
      </c>
      <c r="E1448" s="163" t="s">
        <v>199</v>
      </c>
      <c r="F1448" s="226">
        <v>-22</v>
      </c>
      <c r="G1448" s="165">
        <f t="shared" si="35"/>
        <v>741.48100000000704</v>
      </c>
      <c r="H1448" s="163"/>
      <c r="I1448" s="163" t="s">
        <v>342</v>
      </c>
      <c r="J1448" s="163"/>
      <c r="K1448" s="163"/>
      <c r="L1448" s="163" t="s">
        <v>1062</v>
      </c>
      <c r="M1448" s="163"/>
      <c r="N1448" s="163" t="s">
        <v>978</v>
      </c>
      <c r="O1448" s="163"/>
      <c r="P1448" s="163"/>
      <c r="Q1448" s="163"/>
      <c r="R1448" s="163" t="s">
        <v>1390</v>
      </c>
      <c r="S1448" s="163" t="s">
        <v>1391</v>
      </c>
      <c r="T1448" s="43">
        <f t="shared" si="37"/>
        <v>2</v>
      </c>
      <c r="U1448" s="167">
        <f t="shared" si="36"/>
        <v>45700</v>
      </c>
      <c r="V1448" s="261">
        <v>45700</v>
      </c>
      <c r="W1448" s="43">
        <f t="shared" si="38"/>
        <v>2</v>
      </c>
      <c r="X1448" s="49" t="s">
        <v>1480</v>
      </c>
      <c r="Y1448" s="49" t="s">
        <v>25</v>
      </c>
    </row>
    <row r="1449" spans="1:28" hidden="1">
      <c r="A1449" s="180" t="s">
        <v>1017</v>
      </c>
      <c r="B1449" s="181">
        <v>45701</v>
      </c>
      <c r="C1449" s="180" t="s">
        <v>1432</v>
      </c>
      <c r="D1449" s="180" t="s">
        <v>281</v>
      </c>
      <c r="E1449" s="180" t="s">
        <v>760</v>
      </c>
      <c r="F1449" s="169"/>
      <c r="G1449" s="165">
        <f t="shared" si="35"/>
        <v>741.48100000000704</v>
      </c>
      <c r="H1449" s="180"/>
      <c r="I1449" s="180" t="s">
        <v>283</v>
      </c>
      <c r="J1449" s="180"/>
      <c r="K1449" s="180"/>
      <c r="L1449" s="180" t="s">
        <v>477</v>
      </c>
      <c r="M1449" s="180"/>
      <c r="N1449" s="180" t="s">
        <v>978</v>
      </c>
      <c r="O1449" s="180"/>
      <c r="P1449" s="180"/>
      <c r="Q1449" s="180"/>
      <c r="R1449" s="180" t="s">
        <v>1368</v>
      </c>
      <c r="S1449" s="180" t="s">
        <v>1369</v>
      </c>
      <c r="T1449" s="183">
        <f t="shared" si="37"/>
        <v>2</v>
      </c>
      <c r="U1449" s="184">
        <f t="shared" si="36"/>
        <v>45700</v>
      </c>
      <c r="V1449" s="261">
        <v>45700</v>
      </c>
      <c r="W1449" s="43">
        <f t="shared" si="38"/>
        <v>2</v>
      </c>
      <c r="X1449" s="236" t="s">
        <v>1482</v>
      </c>
      <c r="Y1449" s="236" t="s">
        <v>78</v>
      </c>
      <c r="Z1449" s="183"/>
      <c r="AA1449" s="183"/>
      <c r="AB1449" s="183"/>
    </row>
    <row r="1450" spans="1:28" hidden="1">
      <c r="A1450" s="163" t="s">
        <v>1017</v>
      </c>
      <c r="B1450" s="164">
        <v>45701</v>
      </c>
      <c r="C1450" s="163" t="s">
        <v>1393</v>
      </c>
      <c r="D1450" s="163" t="s">
        <v>281</v>
      </c>
      <c r="E1450" s="163" t="s">
        <v>199</v>
      </c>
      <c r="F1450" s="226">
        <v>-120</v>
      </c>
      <c r="G1450" s="165">
        <f t="shared" si="35"/>
        <v>621.48100000000704</v>
      </c>
      <c r="H1450" s="163"/>
      <c r="I1450" s="163" t="s">
        <v>342</v>
      </c>
      <c r="J1450" s="163"/>
      <c r="K1450" s="163"/>
      <c r="L1450" s="163" t="s">
        <v>686</v>
      </c>
      <c r="M1450" s="163"/>
      <c r="N1450" s="163" t="s">
        <v>978</v>
      </c>
      <c r="O1450" s="163"/>
      <c r="P1450" s="163"/>
      <c r="Q1450" s="163"/>
      <c r="R1450" s="163" t="s">
        <v>1394</v>
      </c>
      <c r="S1450" s="163" t="s">
        <v>1395</v>
      </c>
      <c r="T1450" s="43">
        <f t="shared" si="37"/>
        <v>2</v>
      </c>
      <c r="U1450" s="167">
        <f t="shared" si="36"/>
        <v>45700</v>
      </c>
      <c r="V1450" s="261">
        <v>45700</v>
      </c>
      <c r="W1450" s="43">
        <f t="shared" si="38"/>
        <v>2</v>
      </c>
      <c r="X1450" s="49" t="s">
        <v>1480</v>
      </c>
      <c r="Y1450" s="49" t="s">
        <v>105</v>
      </c>
    </row>
    <row r="1451" spans="1:28" hidden="1">
      <c r="A1451" s="180" t="s">
        <v>1017</v>
      </c>
      <c r="B1451" s="181">
        <v>45701</v>
      </c>
      <c r="C1451" s="180" t="s">
        <v>1539</v>
      </c>
      <c r="D1451" s="180" t="s">
        <v>281</v>
      </c>
      <c r="E1451" s="180" t="s">
        <v>199</v>
      </c>
      <c r="F1451" s="226">
        <v>-424.59</v>
      </c>
      <c r="G1451" s="165">
        <f t="shared" si="35"/>
        <v>196.89100000000707</v>
      </c>
      <c r="H1451" s="180"/>
      <c r="I1451" s="180" t="s">
        <v>283</v>
      </c>
      <c r="J1451" s="180"/>
      <c r="K1451" s="180"/>
      <c r="L1451" s="180" t="s">
        <v>477</v>
      </c>
      <c r="M1451" s="180"/>
      <c r="N1451" s="180" t="s">
        <v>978</v>
      </c>
      <c r="O1451" s="180"/>
      <c r="P1451" s="180"/>
      <c r="Q1451" s="180"/>
      <c r="R1451" s="180" t="s">
        <v>1368</v>
      </c>
      <c r="S1451" s="180" t="s">
        <v>1369</v>
      </c>
      <c r="T1451" s="183">
        <f t="shared" si="37"/>
        <v>2</v>
      </c>
      <c r="U1451" s="184">
        <f t="shared" si="36"/>
        <v>45700</v>
      </c>
      <c r="V1451" s="261">
        <v>45700</v>
      </c>
      <c r="W1451" s="43">
        <f t="shared" si="38"/>
        <v>2</v>
      </c>
      <c r="X1451" s="183" t="s">
        <v>1480</v>
      </c>
      <c r="Y1451" s="206" t="s">
        <v>86</v>
      </c>
      <c r="Z1451" s="183"/>
      <c r="AA1451" s="183"/>
      <c r="AB1451" s="183"/>
    </row>
    <row r="1452" spans="1:28" hidden="1">
      <c r="A1452" s="163" t="s">
        <v>1017</v>
      </c>
      <c r="B1452" s="164">
        <v>45700</v>
      </c>
      <c r="C1452" s="190" t="s">
        <v>330</v>
      </c>
      <c r="D1452" s="190" t="s">
        <v>281</v>
      </c>
      <c r="E1452" s="190" t="s">
        <v>330</v>
      </c>
      <c r="F1452" s="185">
        <v>-1</v>
      </c>
      <c r="G1452" s="165">
        <f t="shared" si="35"/>
        <v>195.89100000000707</v>
      </c>
      <c r="H1452" s="190"/>
      <c r="I1452" s="190" t="s">
        <v>342</v>
      </c>
      <c r="J1452" s="190"/>
      <c r="K1452" s="190"/>
      <c r="L1452" s="190" t="s">
        <v>805</v>
      </c>
      <c r="M1452" s="190"/>
      <c r="N1452" s="190" t="s">
        <v>978</v>
      </c>
      <c r="O1452" s="190"/>
      <c r="P1452" s="190"/>
      <c r="Q1452" s="190"/>
      <c r="R1452" s="190" t="s">
        <v>1292</v>
      </c>
      <c r="S1452" s="190" t="s">
        <v>1417</v>
      </c>
      <c r="T1452" s="43">
        <f t="shared" si="37"/>
        <v>2</v>
      </c>
      <c r="U1452" s="167">
        <f t="shared" si="36"/>
        <v>45700</v>
      </c>
      <c r="V1452" s="43"/>
      <c r="W1452" s="43">
        <f t="shared" si="38"/>
        <v>2</v>
      </c>
      <c r="X1452" s="43" t="s">
        <v>1483</v>
      </c>
      <c r="Y1452" s="43" t="s">
        <v>1443</v>
      </c>
      <c r="Z1452" s="43"/>
      <c r="AA1452" s="43"/>
      <c r="AB1452" s="43"/>
    </row>
    <row r="1453" spans="1:28" hidden="1">
      <c r="A1453" s="163"/>
      <c r="B1453" s="164">
        <v>45700</v>
      </c>
      <c r="C1453" s="163" t="s">
        <v>346</v>
      </c>
      <c r="D1453" s="163"/>
      <c r="E1453" s="163"/>
      <c r="F1453" s="165">
        <v>0</v>
      </c>
      <c r="G1453" s="165">
        <f t="shared" si="35"/>
        <v>195.89100000000707</v>
      </c>
      <c r="H1453" s="163"/>
      <c r="I1453" s="163"/>
      <c r="J1453" s="163"/>
      <c r="K1453" s="163"/>
      <c r="L1453" s="163"/>
      <c r="M1453" s="163"/>
      <c r="N1453" s="163"/>
      <c r="O1453" s="163"/>
      <c r="P1453" s="163"/>
      <c r="Q1453" s="163"/>
      <c r="R1453" s="163"/>
      <c r="S1453" s="163"/>
      <c r="T1453" s="43">
        <f t="shared" si="37"/>
        <v>2</v>
      </c>
      <c r="U1453" s="167">
        <f t="shared" si="36"/>
        <v>45700</v>
      </c>
      <c r="W1453" s="43">
        <f t="shared" si="38"/>
        <v>2</v>
      </c>
    </row>
    <row r="1454" spans="1:28" ht="14.25" hidden="1" customHeight="1">
      <c r="A1454" s="180" t="s">
        <v>1017</v>
      </c>
      <c r="B1454" s="181">
        <v>45701</v>
      </c>
      <c r="C1454" s="180" t="s">
        <v>1487</v>
      </c>
      <c r="D1454" s="180" t="s">
        <v>281</v>
      </c>
      <c r="E1454" s="180" t="s">
        <v>282</v>
      </c>
      <c r="F1454" s="230"/>
      <c r="G1454" s="165">
        <f t="shared" si="35"/>
        <v>195.89100000000707</v>
      </c>
      <c r="H1454" s="180"/>
      <c r="I1454" s="180" t="s">
        <v>977</v>
      </c>
      <c r="J1454" s="180"/>
      <c r="K1454" s="180"/>
      <c r="L1454" s="180" t="s">
        <v>366</v>
      </c>
      <c r="M1454" s="180"/>
      <c r="N1454" s="180" t="s">
        <v>978</v>
      </c>
      <c r="O1454" s="180"/>
      <c r="P1454" s="180"/>
      <c r="Q1454" s="180"/>
      <c r="R1454" s="180" t="s">
        <v>990</v>
      </c>
      <c r="S1454" s="180" t="s">
        <v>991</v>
      </c>
      <c r="T1454" s="183">
        <f t="shared" si="37"/>
        <v>2</v>
      </c>
      <c r="U1454" s="184">
        <f t="shared" si="36"/>
        <v>45701</v>
      </c>
      <c r="V1454" s="256"/>
      <c r="W1454" s="43">
        <f t="shared" si="38"/>
        <v>2</v>
      </c>
      <c r="X1454" s="183" t="s">
        <v>282</v>
      </c>
      <c r="Y1454" s="183" t="s">
        <v>1443</v>
      </c>
      <c r="Z1454" s="183" t="s">
        <v>1113</v>
      </c>
      <c r="AA1454" s="183" t="s">
        <v>1113</v>
      </c>
      <c r="AB1454" s="183"/>
    </row>
    <row r="1455" spans="1:28" hidden="1">
      <c r="A1455" s="163" t="s">
        <v>1017</v>
      </c>
      <c r="B1455" s="164">
        <v>45700</v>
      </c>
      <c r="C1455" s="163" t="s">
        <v>778</v>
      </c>
      <c r="D1455" s="163" t="s">
        <v>281</v>
      </c>
      <c r="E1455" s="163" t="s">
        <v>760</v>
      </c>
      <c r="F1455" s="168"/>
      <c r="G1455" s="165">
        <f t="shared" si="35"/>
        <v>195.89100000000707</v>
      </c>
      <c r="H1455" s="163"/>
      <c r="I1455" s="163" t="s">
        <v>283</v>
      </c>
      <c r="J1455" s="163"/>
      <c r="K1455" s="163"/>
      <c r="L1455" s="163" t="s">
        <v>1062</v>
      </c>
      <c r="M1455" s="163"/>
      <c r="N1455" s="163" t="s">
        <v>978</v>
      </c>
      <c r="O1455" s="163"/>
      <c r="P1455" s="163"/>
      <c r="Q1455" s="163"/>
      <c r="R1455" s="163" t="s">
        <v>780</v>
      </c>
      <c r="S1455" s="163" t="s">
        <v>781</v>
      </c>
      <c r="T1455" s="43">
        <f t="shared" si="37"/>
        <v>2</v>
      </c>
      <c r="U1455" s="167">
        <f t="shared" si="36"/>
        <v>45701</v>
      </c>
      <c r="V1455" s="261">
        <v>45701</v>
      </c>
      <c r="W1455" s="43">
        <f t="shared" si="38"/>
        <v>2</v>
      </c>
      <c r="X1455" s="236" t="s">
        <v>1482</v>
      </c>
      <c r="Y1455" s="236" t="s">
        <v>78</v>
      </c>
    </row>
    <row r="1456" spans="1:28" hidden="1">
      <c r="A1456" s="180" t="s">
        <v>1017</v>
      </c>
      <c r="B1456" s="181">
        <v>45701</v>
      </c>
      <c r="C1456" s="180" t="s">
        <v>1669</v>
      </c>
      <c r="D1456" s="180" t="s">
        <v>281</v>
      </c>
      <c r="E1456" s="180" t="s">
        <v>196</v>
      </c>
      <c r="F1456" s="169">
        <v>-195.2</v>
      </c>
      <c r="G1456" s="165">
        <f t="shared" si="35"/>
        <v>0.69100000000707951</v>
      </c>
      <c r="H1456" s="180"/>
      <c r="I1456" s="180" t="s">
        <v>283</v>
      </c>
      <c r="J1456" s="180"/>
      <c r="K1456" s="180"/>
      <c r="L1456" s="180" t="s">
        <v>477</v>
      </c>
      <c r="M1456" s="180"/>
      <c r="N1456" s="180" t="s">
        <v>978</v>
      </c>
      <c r="O1456" s="180"/>
      <c r="P1456" s="180"/>
      <c r="Q1456" s="180"/>
      <c r="R1456" s="180" t="s">
        <v>1368</v>
      </c>
      <c r="S1456" s="180" t="s">
        <v>1369</v>
      </c>
      <c r="T1456" s="183">
        <f t="shared" si="37"/>
        <v>2</v>
      </c>
      <c r="U1456" s="184">
        <f t="shared" si="36"/>
        <v>45701</v>
      </c>
      <c r="V1456" s="183"/>
      <c r="W1456" s="43">
        <f t="shared" si="38"/>
        <v>2</v>
      </c>
      <c r="X1456" s="43" t="s">
        <v>1483</v>
      </c>
      <c r="Y1456" s="43" t="s">
        <v>1443</v>
      </c>
      <c r="Z1456" s="183"/>
      <c r="AA1456" s="183"/>
      <c r="AB1456" s="183"/>
    </row>
    <row r="1457" spans="1:28" hidden="1">
      <c r="A1457" s="163" t="s">
        <v>1017</v>
      </c>
      <c r="B1457" s="164">
        <v>45701</v>
      </c>
      <c r="C1457" s="190" t="s">
        <v>330</v>
      </c>
      <c r="D1457" s="190" t="s">
        <v>281</v>
      </c>
      <c r="E1457" s="190" t="s">
        <v>330</v>
      </c>
      <c r="F1457" s="185">
        <v>-0.5</v>
      </c>
      <c r="G1457" s="165">
        <f t="shared" si="35"/>
        <v>0.19100000000707951</v>
      </c>
      <c r="H1457" s="190"/>
      <c r="I1457" s="190" t="s">
        <v>342</v>
      </c>
      <c r="J1457" s="190"/>
      <c r="K1457" s="190"/>
      <c r="L1457" s="190" t="s">
        <v>805</v>
      </c>
      <c r="M1457" s="190"/>
      <c r="N1457" s="190" t="s">
        <v>978</v>
      </c>
      <c r="O1457" s="190"/>
      <c r="P1457" s="190"/>
      <c r="Q1457" s="190"/>
      <c r="R1457" s="190" t="s">
        <v>1292</v>
      </c>
      <c r="S1457" s="190" t="s">
        <v>1417</v>
      </c>
      <c r="T1457" s="43">
        <f t="shared" si="37"/>
        <v>2</v>
      </c>
      <c r="U1457" s="167">
        <f t="shared" si="36"/>
        <v>45701</v>
      </c>
      <c r="V1457" s="43"/>
      <c r="W1457" s="43">
        <f t="shared" si="38"/>
        <v>2</v>
      </c>
      <c r="X1457" s="43" t="s">
        <v>1483</v>
      </c>
      <c r="Y1457" s="43" t="s">
        <v>1443</v>
      </c>
      <c r="Z1457" s="43"/>
      <c r="AA1457" s="43"/>
      <c r="AB1457" s="43"/>
    </row>
    <row r="1458" spans="1:28" hidden="1">
      <c r="A1458" s="163"/>
      <c r="B1458" s="164">
        <v>45701</v>
      </c>
      <c r="C1458" s="163" t="s">
        <v>346</v>
      </c>
      <c r="D1458" s="163"/>
      <c r="E1458" s="163"/>
      <c r="F1458" s="165">
        <v>0</v>
      </c>
      <c r="G1458" s="165">
        <f t="shared" si="35"/>
        <v>0.19100000000707951</v>
      </c>
      <c r="H1458" s="163"/>
      <c r="I1458" s="163"/>
      <c r="J1458" s="163"/>
      <c r="K1458" s="163"/>
      <c r="L1458" s="163"/>
      <c r="M1458" s="163"/>
      <c r="N1458" s="163"/>
      <c r="O1458" s="163"/>
      <c r="P1458" s="163"/>
      <c r="Q1458" s="163"/>
      <c r="R1458" s="163"/>
      <c r="S1458" s="163"/>
      <c r="T1458" s="43">
        <f t="shared" si="37"/>
        <v>2</v>
      </c>
      <c r="U1458" s="167">
        <f t="shared" si="36"/>
        <v>45701</v>
      </c>
      <c r="W1458" s="43">
        <f t="shared" si="38"/>
        <v>2</v>
      </c>
    </row>
    <row r="1459" spans="1:28" hidden="1">
      <c r="A1459" s="163" t="s">
        <v>1174</v>
      </c>
      <c r="B1459" s="164">
        <v>45693</v>
      </c>
      <c r="C1459" s="163" t="s">
        <v>406</v>
      </c>
      <c r="D1459" s="163" t="s">
        <v>281</v>
      </c>
      <c r="E1459" s="163" t="s">
        <v>407</v>
      </c>
      <c r="F1459" s="224">
        <v>4288.2</v>
      </c>
      <c r="G1459" s="165">
        <f t="shared" si="35"/>
        <v>4288.3910000000069</v>
      </c>
      <c r="H1459" s="163"/>
      <c r="I1459" s="163" t="s">
        <v>1176</v>
      </c>
      <c r="J1459" s="163" t="s">
        <v>1340</v>
      </c>
      <c r="K1459" s="163"/>
      <c r="L1459" s="163" t="s">
        <v>305</v>
      </c>
      <c r="M1459" s="163"/>
      <c r="N1459" s="163" t="s">
        <v>1178</v>
      </c>
      <c r="O1459" s="163" t="s">
        <v>1340</v>
      </c>
      <c r="P1459" s="163" t="s">
        <v>57</v>
      </c>
      <c r="Q1459" s="163"/>
      <c r="R1459" s="163" t="s">
        <v>406</v>
      </c>
      <c r="S1459" s="163" t="s">
        <v>413</v>
      </c>
      <c r="T1459" s="43">
        <f t="shared" si="37"/>
        <v>2</v>
      </c>
      <c r="U1459" s="167">
        <f t="shared" si="36"/>
        <v>45702</v>
      </c>
      <c r="V1459" s="261">
        <v>45702</v>
      </c>
      <c r="W1459" s="43">
        <f t="shared" si="38"/>
        <v>2</v>
      </c>
      <c r="X1459" s="43" t="s">
        <v>1484</v>
      </c>
      <c r="Y1459" s="43" t="s">
        <v>1485</v>
      </c>
    </row>
    <row r="1460" spans="1:28" hidden="1">
      <c r="A1460" s="180" t="s">
        <v>1174</v>
      </c>
      <c r="B1460" s="181">
        <v>45702</v>
      </c>
      <c r="C1460" s="180" t="s">
        <v>1670</v>
      </c>
      <c r="D1460" s="180" t="s">
        <v>281</v>
      </c>
      <c r="E1460" s="180" t="s">
        <v>407</v>
      </c>
      <c r="F1460" s="224">
        <v>4466.67</v>
      </c>
      <c r="G1460" s="165">
        <f t="shared" si="35"/>
        <v>8755.061000000007</v>
      </c>
      <c r="H1460" s="180"/>
      <c r="I1460" s="180" t="s">
        <v>1176</v>
      </c>
      <c r="J1460" s="180" t="s">
        <v>1364</v>
      </c>
      <c r="K1460" s="180"/>
      <c r="L1460" s="180" t="s">
        <v>305</v>
      </c>
      <c r="M1460" s="180"/>
      <c r="N1460" s="180" t="s">
        <v>1178</v>
      </c>
      <c r="O1460" s="180" t="s">
        <v>1364</v>
      </c>
      <c r="P1460" s="180" t="s">
        <v>957</v>
      </c>
      <c r="Q1460" s="180"/>
      <c r="R1460" s="180" t="s">
        <v>958</v>
      </c>
      <c r="S1460" s="180" t="s">
        <v>959</v>
      </c>
      <c r="T1460" s="183">
        <f t="shared" si="37"/>
        <v>2</v>
      </c>
      <c r="U1460" s="184">
        <f t="shared" si="36"/>
        <v>45702</v>
      </c>
      <c r="V1460" s="183"/>
      <c r="W1460" s="43">
        <f t="shared" si="38"/>
        <v>2</v>
      </c>
      <c r="X1460" s="43" t="s">
        <v>1484</v>
      </c>
      <c r="Y1460" s="43" t="s">
        <v>1485</v>
      </c>
      <c r="Z1460" s="183"/>
      <c r="AA1460" s="183"/>
      <c r="AB1460" s="183"/>
    </row>
    <row r="1461" spans="1:28" ht="14.25" hidden="1" customHeight="1">
      <c r="A1461" s="180" t="s">
        <v>1017</v>
      </c>
      <c r="B1461" s="181">
        <v>45702</v>
      </c>
      <c r="C1461" s="180" t="s">
        <v>1487</v>
      </c>
      <c r="D1461" s="180" t="s">
        <v>281</v>
      </c>
      <c r="E1461" s="180" t="s">
        <v>282</v>
      </c>
      <c r="F1461" s="269">
        <v>17000</v>
      </c>
      <c r="G1461" s="165">
        <f t="shared" si="35"/>
        <v>25755.061000000009</v>
      </c>
      <c r="H1461" s="180"/>
      <c r="I1461" s="180" t="s">
        <v>977</v>
      </c>
      <c r="J1461" s="180"/>
      <c r="K1461" s="180"/>
      <c r="L1461" s="180" t="s">
        <v>366</v>
      </c>
      <c r="M1461" s="180"/>
      <c r="N1461" s="180" t="s">
        <v>978</v>
      </c>
      <c r="O1461" s="180"/>
      <c r="P1461" s="180"/>
      <c r="Q1461" s="180"/>
      <c r="R1461" s="180" t="s">
        <v>990</v>
      </c>
      <c r="S1461" s="180" t="s">
        <v>991</v>
      </c>
      <c r="T1461" s="183">
        <f t="shared" si="37"/>
        <v>2</v>
      </c>
      <c r="U1461" s="184">
        <f t="shared" si="36"/>
        <v>45702</v>
      </c>
      <c r="V1461" s="256"/>
      <c r="W1461" s="43">
        <f t="shared" si="38"/>
        <v>2</v>
      </c>
      <c r="X1461" s="183" t="s">
        <v>282</v>
      </c>
      <c r="Y1461" s="183" t="s">
        <v>1443</v>
      </c>
      <c r="Z1461" s="183" t="s">
        <v>1113</v>
      </c>
      <c r="AA1461" s="183" t="s">
        <v>1113</v>
      </c>
      <c r="AB1461" s="183"/>
    </row>
    <row r="1462" spans="1:28" hidden="1">
      <c r="A1462" s="163" t="s">
        <v>1017</v>
      </c>
      <c r="B1462" s="164">
        <v>45700</v>
      </c>
      <c r="C1462" s="163" t="s">
        <v>183</v>
      </c>
      <c r="D1462" s="163" t="s">
        <v>281</v>
      </c>
      <c r="E1462" s="163" t="s">
        <v>760</v>
      </c>
      <c r="F1462" s="246">
        <v>-669.9</v>
      </c>
      <c r="G1462" s="165">
        <f t="shared" si="35"/>
        <v>25085.161000000007</v>
      </c>
      <c r="H1462" s="163"/>
      <c r="I1462" s="163" t="s">
        <v>283</v>
      </c>
      <c r="J1462" s="163"/>
      <c r="K1462" s="163"/>
      <c r="L1462" s="163" t="s">
        <v>1062</v>
      </c>
      <c r="M1462" s="163"/>
      <c r="N1462" s="163" t="s">
        <v>978</v>
      </c>
      <c r="O1462" s="163"/>
      <c r="P1462" s="163"/>
      <c r="Q1462" s="163"/>
      <c r="R1462" s="163" t="s">
        <v>762</v>
      </c>
      <c r="S1462" s="163" t="s">
        <v>79</v>
      </c>
      <c r="T1462" s="43">
        <f t="shared" si="37"/>
        <v>2</v>
      </c>
      <c r="U1462" s="167">
        <f t="shared" si="36"/>
        <v>45702</v>
      </c>
      <c r="V1462" s="261">
        <v>45702</v>
      </c>
      <c r="W1462" s="43">
        <f t="shared" si="38"/>
        <v>2</v>
      </c>
      <c r="X1462" s="236" t="s">
        <v>1482</v>
      </c>
      <c r="Y1462" s="236" t="s">
        <v>78</v>
      </c>
    </row>
    <row r="1463" spans="1:28" hidden="1">
      <c r="A1463" s="163" t="s">
        <v>1017</v>
      </c>
      <c r="B1463" s="164">
        <v>45700</v>
      </c>
      <c r="C1463" s="163" t="s">
        <v>765</v>
      </c>
      <c r="D1463" s="163" t="s">
        <v>281</v>
      </c>
      <c r="E1463" s="163" t="s">
        <v>760</v>
      </c>
      <c r="F1463" s="246">
        <v>-675</v>
      </c>
      <c r="G1463" s="165">
        <f t="shared" si="35"/>
        <v>24410.161000000007</v>
      </c>
      <c r="H1463" s="163"/>
      <c r="I1463" s="163" t="s">
        <v>283</v>
      </c>
      <c r="J1463" s="163"/>
      <c r="K1463" s="163"/>
      <c r="L1463" s="163" t="s">
        <v>1030</v>
      </c>
      <c r="M1463" s="163"/>
      <c r="N1463" s="163" t="s">
        <v>978</v>
      </c>
      <c r="O1463" s="163"/>
      <c r="P1463" s="163"/>
      <c r="Q1463" s="163"/>
      <c r="R1463" s="163" t="s">
        <v>765</v>
      </c>
      <c r="S1463" s="163" t="s">
        <v>768</v>
      </c>
      <c r="T1463" s="43">
        <f t="shared" si="37"/>
        <v>2</v>
      </c>
      <c r="U1463" s="167">
        <f t="shared" si="36"/>
        <v>45702</v>
      </c>
      <c r="V1463" s="261">
        <v>45702</v>
      </c>
      <c r="W1463" s="43">
        <f t="shared" si="38"/>
        <v>2</v>
      </c>
      <c r="X1463" s="236" t="s">
        <v>1482</v>
      </c>
      <c r="Y1463" s="236" t="s">
        <v>78</v>
      </c>
    </row>
    <row r="1464" spans="1:28" hidden="1">
      <c r="A1464" s="163" t="s">
        <v>1017</v>
      </c>
      <c r="B1464" s="164">
        <v>45700</v>
      </c>
      <c r="C1464" s="163" t="s">
        <v>1307</v>
      </c>
      <c r="D1464" s="163" t="s">
        <v>281</v>
      </c>
      <c r="E1464" s="163" t="s">
        <v>760</v>
      </c>
      <c r="F1464" s="169"/>
      <c r="G1464" s="165">
        <f t="shared" si="35"/>
        <v>24410.161000000007</v>
      </c>
      <c r="H1464" s="163"/>
      <c r="I1464" s="163" t="s">
        <v>283</v>
      </c>
      <c r="J1464" s="163"/>
      <c r="K1464" s="163"/>
      <c r="L1464" s="163" t="s">
        <v>1030</v>
      </c>
      <c r="M1464" s="163"/>
      <c r="N1464" s="163" t="s">
        <v>978</v>
      </c>
      <c r="O1464" s="163"/>
      <c r="P1464" s="163"/>
      <c r="Q1464" s="163"/>
      <c r="R1464" s="163" t="s">
        <v>765</v>
      </c>
      <c r="S1464" s="163" t="s">
        <v>768</v>
      </c>
      <c r="T1464" s="43">
        <f t="shared" si="37"/>
        <v>2</v>
      </c>
      <c r="U1464" s="167">
        <f t="shared" si="36"/>
        <v>45702</v>
      </c>
      <c r="V1464" s="261">
        <v>45702</v>
      </c>
      <c r="W1464" s="43">
        <f t="shared" si="38"/>
        <v>2</v>
      </c>
      <c r="X1464" s="236" t="s">
        <v>1482</v>
      </c>
      <c r="Y1464" s="236" t="s">
        <v>78</v>
      </c>
    </row>
    <row r="1465" spans="1:28" hidden="1">
      <c r="A1465" s="163" t="s">
        <v>1017</v>
      </c>
      <c r="B1465" s="164">
        <v>45701</v>
      </c>
      <c r="C1465" s="163" t="s">
        <v>181</v>
      </c>
      <c r="D1465" s="163" t="s">
        <v>281</v>
      </c>
      <c r="E1465" s="163" t="s">
        <v>760</v>
      </c>
      <c r="F1465" s="246">
        <v>-8347.5</v>
      </c>
      <c r="G1465" s="165">
        <f t="shared" si="35"/>
        <v>16062.661000000007</v>
      </c>
      <c r="H1465" s="163"/>
      <c r="I1465" s="163" t="s">
        <v>283</v>
      </c>
      <c r="J1465" s="163"/>
      <c r="K1465" s="163"/>
      <c r="L1465" s="163" t="s">
        <v>1062</v>
      </c>
      <c r="M1465" s="163"/>
      <c r="N1465" s="163" t="s">
        <v>978</v>
      </c>
      <c r="O1465" s="163"/>
      <c r="P1465" s="163"/>
      <c r="Q1465" s="163"/>
      <c r="R1465" s="163" t="s">
        <v>764</v>
      </c>
      <c r="S1465" s="163" t="s">
        <v>80</v>
      </c>
      <c r="T1465" s="43">
        <f t="shared" si="37"/>
        <v>2</v>
      </c>
      <c r="U1465" s="167">
        <f t="shared" si="36"/>
        <v>45702</v>
      </c>
      <c r="V1465" s="261">
        <v>45702</v>
      </c>
      <c r="W1465" s="43">
        <f t="shared" si="38"/>
        <v>2</v>
      </c>
      <c r="X1465" s="236" t="s">
        <v>1482</v>
      </c>
      <c r="Y1465" s="236" t="s">
        <v>78</v>
      </c>
    </row>
    <row r="1466" spans="1:28" hidden="1">
      <c r="A1466" s="163" t="s">
        <v>1017</v>
      </c>
      <c r="B1466" s="164">
        <v>45702</v>
      </c>
      <c r="C1466" s="163" t="s">
        <v>998</v>
      </c>
      <c r="D1466" s="163" t="s">
        <v>281</v>
      </c>
      <c r="E1466" s="163" t="s">
        <v>199</v>
      </c>
      <c r="F1466" s="246">
        <v>-1295.76</v>
      </c>
      <c r="G1466" s="165">
        <f t="shared" si="35"/>
        <v>14766.901000000007</v>
      </c>
      <c r="H1466" s="163"/>
      <c r="I1466" s="163" t="s">
        <v>342</v>
      </c>
      <c r="J1466" s="163"/>
      <c r="K1466" s="163"/>
      <c r="L1466" s="163" t="s">
        <v>1424</v>
      </c>
      <c r="M1466" s="163"/>
      <c r="N1466" s="163" t="s">
        <v>978</v>
      </c>
      <c r="O1466" s="163"/>
      <c r="P1466" s="163"/>
      <c r="Q1466" s="163"/>
      <c r="R1466" s="163" t="s">
        <v>999</v>
      </c>
      <c r="S1466" s="163" t="s">
        <v>1000</v>
      </c>
      <c r="T1466" s="43">
        <f t="shared" si="37"/>
        <v>2</v>
      </c>
      <c r="U1466" s="167">
        <f t="shared" si="36"/>
        <v>45702</v>
      </c>
      <c r="W1466" s="43">
        <f t="shared" si="38"/>
        <v>2</v>
      </c>
      <c r="X1466" s="49" t="s">
        <v>1480</v>
      </c>
      <c r="Y1466" s="49" t="s">
        <v>1488</v>
      </c>
    </row>
    <row r="1467" spans="1:28" ht="14.25" hidden="1" customHeight="1">
      <c r="A1467" s="180" t="s">
        <v>1017</v>
      </c>
      <c r="B1467" s="181">
        <v>45702</v>
      </c>
      <c r="C1467" s="180" t="s">
        <v>1658</v>
      </c>
      <c r="D1467" s="180" t="s">
        <v>281</v>
      </c>
      <c r="E1467" s="180" t="s">
        <v>1659</v>
      </c>
      <c r="F1467" s="246">
        <f>-9500+1200</f>
        <v>-8300</v>
      </c>
      <c r="G1467" s="165">
        <f t="shared" si="35"/>
        <v>6466.9010000000071</v>
      </c>
      <c r="H1467" s="180"/>
      <c r="I1467" s="180" t="s">
        <v>342</v>
      </c>
      <c r="J1467" s="180"/>
      <c r="K1467" s="180"/>
      <c r="L1467" s="180" t="s">
        <v>1301</v>
      </c>
      <c r="M1467" s="180"/>
      <c r="N1467" s="180" t="s">
        <v>978</v>
      </c>
      <c r="O1467" s="180"/>
      <c r="P1467" s="180"/>
      <c r="Q1467" s="180"/>
      <c r="R1467" s="180" t="s">
        <v>1463</v>
      </c>
      <c r="S1467" s="180" t="s">
        <v>345</v>
      </c>
      <c r="T1467" s="183">
        <f>MONTH(U1467)</f>
        <v>2</v>
      </c>
      <c r="U1467" s="187">
        <f t="shared" si="36"/>
        <v>45702</v>
      </c>
      <c r="V1467" s="145"/>
      <c r="W1467" s="43">
        <f t="shared" si="38"/>
        <v>2</v>
      </c>
      <c r="X1467" s="43" t="s">
        <v>1483</v>
      </c>
      <c r="Y1467" s="43" t="s">
        <v>25</v>
      </c>
      <c r="Z1467" s="183"/>
      <c r="AA1467" s="183"/>
      <c r="AB1467" s="183"/>
    </row>
    <row r="1468" spans="1:28" hidden="1">
      <c r="A1468" s="180" t="s">
        <v>1017</v>
      </c>
      <c r="B1468" s="181">
        <v>45702</v>
      </c>
      <c r="C1468" s="180" t="s">
        <v>1010</v>
      </c>
      <c r="D1468" s="180" t="s">
        <v>281</v>
      </c>
      <c r="E1468" s="180" t="s">
        <v>199</v>
      </c>
      <c r="F1468" s="226"/>
      <c r="G1468" s="165">
        <f t="shared" si="35"/>
        <v>6466.9010000000071</v>
      </c>
      <c r="H1468" s="180"/>
      <c r="I1468" s="180" t="s">
        <v>283</v>
      </c>
      <c r="J1468" s="180"/>
      <c r="K1468" s="180"/>
      <c r="L1468" s="180" t="s">
        <v>485</v>
      </c>
      <c r="M1468" s="180"/>
      <c r="N1468" s="180" t="s">
        <v>978</v>
      </c>
      <c r="O1468" s="180"/>
      <c r="P1468" s="180"/>
      <c r="Q1468" s="180"/>
      <c r="R1468" s="180" t="s">
        <v>669</v>
      </c>
      <c r="S1468" s="180" t="s">
        <v>1492</v>
      </c>
      <c r="T1468" s="183">
        <f t="shared" ref="T1468:T1600" si="39">MONTH(B1468)</f>
        <v>2</v>
      </c>
      <c r="U1468" s="184">
        <f t="shared" si="36"/>
        <v>45702</v>
      </c>
      <c r="V1468" s="183"/>
      <c r="W1468" s="43">
        <f t="shared" si="38"/>
        <v>2</v>
      </c>
      <c r="X1468" s="206" t="s">
        <v>1478</v>
      </c>
      <c r="Y1468" s="206" t="s">
        <v>26</v>
      </c>
      <c r="Z1468" s="183"/>
      <c r="AA1468" s="183"/>
      <c r="AB1468" s="183"/>
    </row>
    <row r="1469" spans="1:28" ht="14.25" hidden="1" customHeight="1">
      <c r="A1469" s="180" t="s">
        <v>1017</v>
      </c>
      <c r="B1469" s="181">
        <v>45702</v>
      </c>
      <c r="C1469" s="180" t="s">
        <v>1671</v>
      </c>
      <c r="D1469" s="180" t="s">
        <v>281</v>
      </c>
      <c r="E1469" s="180" t="s">
        <v>1672</v>
      </c>
      <c r="F1469" s="246">
        <v>-1866.54</v>
      </c>
      <c r="G1469" s="165">
        <f t="shared" si="35"/>
        <v>4600.3610000000072</v>
      </c>
      <c r="H1469" s="180"/>
      <c r="I1469" s="180" t="s">
        <v>283</v>
      </c>
      <c r="J1469" s="180"/>
      <c r="K1469" s="180"/>
      <c r="L1469" s="180" t="s">
        <v>305</v>
      </c>
      <c r="M1469" s="180"/>
      <c r="N1469" s="180" t="s">
        <v>978</v>
      </c>
      <c r="O1469" s="180"/>
      <c r="P1469" s="180"/>
      <c r="Q1469" s="180" t="s">
        <v>1067</v>
      </c>
      <c r="R1469" s="180" t="s">
        <v>1087</v>
      </c>
      <c r="S1469" s="180" t="s">
        <v>1089</v>
      </c>
      <c r="T1469" s="189">
        <f t="shared" si="39"/>
        <v>2</v>
      </c>
      <c r="U1469" s="211">
        <f t="shared" si="36"/>
        <v>45702</v>
      </c>
      <c r="V1469" s="183"/>
      <c r="W1469" s="43">
        <f t="shared" si="38"/>
        <v>2</v>
      </c>
      <c r="X1469" s="49" t="s">
        <v>1483</v>
      </c>
      <c r="Y1469" s="49" t="s">
        <v>1443</v>
      </c>
      <c r="Z1469" s="183" t="s">
        <v>1113</v>
      </c>
      <c r="AA1469" s="183" t="s">
        <v>1336</v>
      </c>
      <c r="AB1469" s="183"/>
    </row>
    <row r="1470" spans="1:28" ht="14.25" hidden="1" customHeight="1">
      <c r="A1470" s="180" t="s">
        <v>1017</v>
      </c>
      <c r="B1470" s="181">
        <v>45702</v>
      </c>
      <c r="C1470" s="180" t="s">
        <v>1673</v>
      </c>
      <c r="D1470" s="180" t="s">
        <v>281</v>
      </c>
      <c r="E1470" s="180" t="s">
        <v>1674</v>
      </c>
      <c r="F1470" s="246">
        <v>-140</v>
      </c>
      <c r="G1470" s="165">
        <f t="shared" si="35"/>
        <v>4460.3610000000072</v>
      </c>
      <c r="H1470" s="180"/>
      <c r="I1470" s="180" t="s">
        <v>283</v>
      </c>
      <c r="J1470" s="180"/>
      <c r="K1470" s="180"/>
      <c r="L1470" s="180" t="s">
        <v>305</v>
      </c>
      <c r="M1470" s="180"/>
      <c r="N1470" s="180" t="s">
        <v>978</v>
      </c>
      <c r="O1470" s="180"/>
      <c r="P1470" s="180"/>
      <c r="Q1470" s="180" t="s">
        <v>1067</v>
      </c>
      <c r="R1470" s="180" t="s">
        <v>1087</v>
      </c>
      <c r="S1470" s="180" t="s">
        <v>1089</v>
      </c>
      <c r="T1470" s="189">
        <f t="shared" si="39"/>
        <v>2</v>
      </c>
      <c r="U1470" s="211">
        <f t="shared" si="36"/>
        <v>45702</v>
      </c>
      <c r="V1470" s="183"/>
      <c r="W1470" s="43">
        <f t="shared" si="38"/>
        <v>2</v>
      </c>
      <c r="X1470" s="49" t="s">
        <v>1483</v>
      </c>
      <c r="Y1470" s="49" t="s">
        <v>1443</v>
      </c>
      <c r="Z1470" s="183" t="s">
        <v>1113</v>
      </c>
      <c r="AA1470" s="183" t="s">
        <v>1336</v>
      </c>
      <c r="AB1470" s="183"/>
    </row>
    <row r="1471" spans="1:28" hidden="1">
      <c r="A1471" s="180" t="s">
        <v>1017</v>
      </c>
      <c r="B1471" s="181">
        <v>45702</v>
      </c>
      <c r="C1471" s="180" t="s">
        <v>1033</v>
      </c>
      <c r="D1471" s="180" t="s">
        <v>281</v>
      </c>
      <c r="E1471" s="180" t="s">
        <v>120</v>
      </c>
      <c r="F1471" s="246">
        <f>-781.76-684.04</f>
        <v>-1465.8</v>
      </c>
      <c r="G1471" s="165">
        <f t="shared" si="35"/>
        <v>2994.561000000007</v>
      </c>
      <c r="H1471" s="180"/>
      <c r="I1471" s="180" t="s">
        <v>342</v>
      </c>
      <c r="J1471" s="180"/>
      <c r="K1471" s="180"/>
      <c r="L1471" s="180" t="s">
        <v>1424</v>
      </c>
      <c r="M1471" s="180"/>
      <c r="N1471" s="180" t="s">
        <v>978</v>
      </c>
      <c r="O1471" s="180"/>
      <c r="P1471" s="180"/>
      <c r="Q1471" s="180"/>
      <c r="R1471" s="180" t="s">
        <v>846</v>
      </c>
      <c r="S1471" s="180" t="s">
        <v>847</v>
      </c>
      <c r="T1471" s="183">
        <f t="shared" si="39"/>
        <v>2</v>
      </c>
      <c r="U1471" s="184">
        <f t="shared" si="36"/>
        <v>45702</v>
      </c>
      <c r="V1471" s="183"/>
      <c r="W1471" s="183">
        <f t="shared" si="38"/>
        <v>2</v>
      </c>
      <c r="X1471" s="183" t="s">
        <v>1498</v>
      </c>
      <c r="Y1471" s="183" t="s">
        <v>1336</v>
      </c>
      <c r="Z1471" s="183"/>
      <c r="AA1471" s="183"/>
      <c r="AB1471" s="183"/>
    </row>
    <row r="1472" spans="1:28" hidden="1">
      <c r="A1472" s="163" t="s">
        <v>1017</v>
      </c>
      <c r="B1472" s="164">
        <v>45702</v>
      </c>
      <c r="C1472" s="190" t="s">
        <v>330</v>
      </c>
      <c r="D1472" s="190" t="s">
        <v>281</v>
      </c>
      <c r="E1472" s="190" t="s">
        <v>330</v>
      </c>
      <c r="F1472" s="185">
        <f>-1.99*2-4</f>
        <v>-7.98</v>
      </c>
      <c r="G1472" s="165">
        <f t="shared" si="35"/>
        <v>2986.581000000007</v>
      </c>
      <c r="H1472" s="190"/>
      <c r="I1472" s="190" t="s">
        <v>342</v>
      </c>
      <c r="J1472" s="190"/>
      <c r="K1472" s="190"/>
      <c r="L1472" s="190" t="s">
        <v>805</v>
      </c>
      <c r="M1472" s="190"/>
      <c r="N1472" s="190" t="s">
        <v>978</v>
      </c>
      <c r="O1472" s="190"/>
      <c r="P1472" s="190"/>
      <c r="Q1472" s="190"/>
      <c r="R1472" s="190" t="s">
        <v>1292</v>
      </c>
      <c r="S1472" s="190" t="s">
        <v>1417</v>
      </c>
      <c r="T1472" s="43">
        <f t="shared" si="39"/>
        <v>2</v>
      </c>
      <c r="U1472" s="167">
        <f t="shared" si="36"/>
        <v>45702</v>
      </c>
      <c r="V1472" s="43"/>
      <c r="W1472" s="43">
        <f t="shared" si="38"/>
        <v>2</v>
      </c>
      <c r="X1472" s="43" t="s">
        <v>1483</v>
      </c>
      <c r="Y1472" s="43" t="s">
        <v>1443</v>
      </c>
      <c r="Z1472" s="43"/>
      <c r="AA1472" s="43"/>
      <c r="AB1472" s="43"/>
    </row>
    <row r="1473" spans="1:28" hidden="1">
      <c r="A1473" s="180" t="s">
        <v>1017</v>
      </c>
      <c r="B1473" s="181">
        <v>45702</v>
      </c>
      <c r="C1473" s="180" t="s">
        <v>1675</v>
      </c>
      <c r="D1473" s="180" t="s">
        <v>281</v>
      </c>
      <c r="E1473" s="163" t="s">
        <v>1514</v>
      </c>
      <c r="F1473" s="246">
        <f>-(13*100+3*100)-959.06</f>
        <v>-2559.06</v>
      </c>
      <c r="G1473" s="165">
        <f t="shared" si="35"/>
        <v>427.52100000000701</v>
      </c>
      <c r="H1473" s="180"/>
      <c r="I1473" s="180" t="s">
        <v>283</v>
      </c>
      <c r="J1473" s="180"/>
      <c r="K1473" s="180"/>
      <c r="L1473" s="180" t="s">
        <v>485</v>
      </c>
      <c r="M1473" s="180"/>
      <c r="N1473" s="180" t="s">
        <v>978</v>
      </c>
      <c r="O1473" s="180"/>
      <c r="P1473" s="180"/>
      <c r="Q1473" s="180"/>
      <c r="R1473" s="180" t="s">
        <v>669</v>
      </c>
      <c r="S1473" s="180" t="s">
        <v>1492</v>
      </c>
      <c r="T1473" s="183">
        <f t="shared" si="39"/>
        <v>2</v>
      </c>
      <c r="U1473" s="184">
        <f t="shared" si="36"/>
        <v>45702</v>
      </c>
      <c r="V1473" s="183"/>
      <c r="W1473" s="43">
        <f t="shared" si="38"/>
        <v>2</v>
      </c>
      <c r="X1473" s="183" t="s">
        <v>1381</v>
      </c>
      <c r="Y1473" s="183" t="s">
        <v>1336</v>
      </c>
      <c r="Z1473" s="183"/>
      <c r="AA1473" s="183"/>
      <c r="AB1473" s="183"/>
    </row>
    <row r="1474" spans="1:28" hidden="1">
      <c r="A1474" s="163"/>
      <c r="B1474" s="164">
        <v>45702</v>
      </c>
      <c r="C1474" s="163" t="s">
        <v>346</v>
      </c>
      <c r="D1474" s="163"/>
      <c r="E1474" s="163"/>
      <c r="F1474" s="165">
        <v>0</v>
      </c>
      <c r="G1474" s="165">
        <f t="shared" si="35"/>
        <v>427.52100000000701</v>
      </c>
      <c r="H1474" s="163"/>
      <c r="I1474" s="163"/>
      <c r="J1474" s="163"/>
      <c r="K1474" s="163"/>
      <c r="L1474" s="163"/>
      <c r="M1474" s="163"/>
      <c r="N1474" s="163"/>
      <c r="O1474" s="163"/>
      <c r="P1474" s="163"/>
      <c r="Q1474" s="163"/>
      <c r="R1474" s="163"/>
      <c r="S1474" s="163"/>
      <c r="T1474" s="43">
        <f t="shared" si="39"/>
        <v>2</v>
      </c>
      <c r="U1474" s="167">
        <f t="shared" si="36"/>
        <v>45702</v>
      </c>
      <c r="W1474" s="43">
        <f t="shared" si="38"/>
        <v>2</v>
      </c>
    </row>
    <row r="1475" spans="1:28" ht="14.25" hidden="1" customHeight="1">
      <c r="A1475" s="180" t="s">
        <v>1017</v>
      </c>
      <c r="B1475" s="181">
        <v>45705</v>
      </c>
      <c r="C1475" s="180" t="s">
        <v>1487</v>
      </c>
      <c r="D1475" s="180" t="s">
        <v>281</v>
      </c>
      <c r="E1475" s="180" t="s">
        <v>282</v>
      </c>
      <c r="F1475" s="269">
        <v>12000</v>
      </c>
      <c r="G1475" s="165">
        <f t="shared" si="35"/>
        <v>12427.521000000008</v>
      </c>
      <c r="H1475" s="180"/>
      <c r="I1475" s="180" t="s">
        <v>977</v>
      </c>
      <c r="J1475" s="180"/>
      <c r="K1475" s="180"/>
      <c r="L1475" s="180" t="s">
        <v>366</v>
      </c>
      <c r="M1475" s="180"/>
      <c r="N1475" s="180" t="s">
        <v>978</v>
      </c>
      <c r="O1475" s="180"/>
      <c r="P1475" s="180"/>
      <c r="Q1475" s="180"/>
      <c r="R1475" s="180" t="s">
        <v>990</v>
      </c>
      <c r="S1475" s="180" t="s">
        <v>991</v>
      </c>
      <c r="T1475" s="183">
        <f t="shared" si="39"/>
        <v>2</v>
      </c>
      <c r="U1475" s="184">
        <f t="shared" si="36"/>
        <v>45705</v>
      </c>
      <c r="V1475" s="256"/>
      <c r="W1475" s="43">
        <f t="shared" si="38"/>
        <v>2</v>
      </c>
      <c r="X1475" s="183" t="s">
        <v>282</v>
      </c>
      <c r="Y1475" s="183" t="s">
        <v>1443</v>
      </c>
      <c r="Z1475" s="183" t="s">
        <v>1113</v>
      </c>
      <c r="AA1475" s="183" t="s">
        <v>1113</v>
      </c>
      <c r="AB1475" s="183"/>
    </row>
    <row r="1476" spans="1:28" hidden="1">
      <c r="A1476" s="203" t="s">
        <v>1174</v>
      </c>
      <c r="B1476" s="217">
        <v>45705</v>
      </c>
      <c r="C1476" s="203" t="s">
        <v>1401</v>
      </c>
      <c r="D1476" s="203" t="s">
        <v>281</v>
      </c>
      <c r="E1476" s="203" t="s">
        <v>407</v>
      </c>
      <c r="F1476" s="224">
        <v>2800</v>
      </c>
      <c r="G1476" s="165">
        <f t="shared" si="35"/>
        <v>15227.521000000008</v>
      </c>
      <c r="H1476" s="203"/>
      <c r="I1476" s="203" t="s">
        <v>1176</v>
      </c>
      <c r="J1476" s="203" t="s">
        <v>1366</v>
      </c>
      <c r="K1476" s="203"/>
      <c r="L1476" s="203" t="s">
        <v>305</v>
      </c>
      <c r="M1476" s="203"/>
      <c r="N1476" s="203" t="s">
        <v>1178</v>
      </c>
      <c r="O1476" s="203" t="s">
        <v>1366</v>
      </c>
      <c r="P1476" s="203" t="s">
        <v>57</v>
      </c>
      <c r="Q1476" s="203"/>
      <c r="R1476" s="203" t="s">
        <v>974</v>
      </c>
      <c r="S1476" s="203" t="s">
        <v>975</v>
      </c>
      <c r="T1476" s="270">
        <f t="shared" si="39"/>
        <v>2</v>
      </c>
      <c r="U1476" s="271">
        <f t="shared" si="36"/>
        <v>45705</v>
      </c>
      <c r="V1476" s="270"/>
      <c r="W1476" s="43">
        <f t="shared" si="38"/>
        <v>2</v>
      </c>
      <c r="X1476" s="43" t="s">
        <v>1484</v>
      </c>
      <c r="Y1476" s="43" t="s">
        <v>1485</v>
      </c>
      <c r="Z1476" s="270"/>
      <c r="AA1476" s="270"/>
      <c r="AB1476" s="270"/>
    </row>
    <row r="1477" spans="1:28" hidden="1">
      <c r="A1477" s="163" t="s">
        <v>1174</v>
      </c>
      <c r="B1477" s="164">
        <v>45705</v>
      </c>
      <c r="C1477" s="163" t="s">
        <v>962</v>
      </c>
      <c r="D1477" s="163" t="s">
        <v>281</v>
      </c>
      <c r="E1477" s="163" t="s">
        <v>407</v>
      </c>
      <c r="F1477" s="224">
        <v>10000</v>
      </c>
      <c r="G1477" s="165">
        <f t="shared" si="35"/>
        <v>25227.521000000008</v>
      </c>
      <c r="H1477" s="163"/>
      <c r="I1477" s="163" t="s">
        <v>1176</v>
      </c>
      <c r="J1477" s="163" t="s">
        <v>1400</v>
      </c>
      <c r="K1477" s="163"/>
      <c r="L1477" s="163" t="s">
        <v>305</v>
      </c>
      <c r="M1477" s="163"/>
      <c r="N1477" s="163" t="s">
        <v>1178</v>
      </c>
      <c r="O1477" s="163" t="s">
        <v>1400</v>
      </c>
      <c r="P1477" s="163" t="s">
        <v>57</v>
      </c>
      <c r="Q1477" s="163"/>
      <c r="R1477" s="163" t="s">
        <v>962</v>
      </c>
      <c r="S1477" s="163" t="s">
        <v>968</v>
      </c>
      <c r="T1477" s="43">
        <f t="shared" si="39"/>
        <v>2</v>
      </c>
      <c r="U1477" s="167">
        <f t="shared" si="36"/>
        <v>45705</v>
      </c>
      <c r="W1477" s="43">
        <f t="shared" si="38"/>
        <v>2</v>
      </c>
      <c r="X1477" s="43" t="s">
        <v>1484</v>
      </c>
      <c r="Y1477" s="43" t="s">
        <v>1485</v>
      </c>
    </row>
    <row r="1478" spans="1:28" hidden="1">
      <c r="A1478" s="180" t="s">
        <v>1174</v>
      </c>
      <c r="B1478" s="181">
        <v>45702</v>
      </c>
      <c r="C1478" s="180" t="s">
        <v>1676</v>
      </c>
      <c r="D1478" s="180" t="s">
        <v>281</v>
      </c>
      <c r="E1478" s="180" t="s">
        <v>407</v>
      </c>
      <c r="F1478" s="224">
        <v>3999</v>
      </c>
      <c r="G1478" s="165">
        <f t="shared" si="35"/>
        <v>29226.521000000008</v>
      </c>
      <c r="H1478" s="180"/>
      <c r="I1478" s="180" t="s">
        <v>1176</v>
      </c>
      <c r="J1478" s="180" t="s">
        <v>1364</v>
      </c>
      <c r="K1478" s="180"/>
      <c r="L1478" s="180" t="s">
        <v>305</v>
      </c>
      <c r="M1478" s="180"/>
      <c r="N1478" s="180" t="s">
        <v>1178</v>
      </c>
      <c r="O1478" s="180" t="s">
        <v>1364</v>
      </c>
      <c r="P1478" s="180" t="s">
        <v>957</v>
      </c>
      <c r="Q1478" s="180"/>
      <c r="R1478" s="180" t="s">
        <v>958</v>
      </c>
      <c r="S1478" s="180" t="s">
        <v>959</v>
      </c>
      <c r="T1478" s="183">
        <f t="shared" si="39"/>
        <v>2</v>
      </c>
      <c r="U1478" s="184">
        <f t="shared" si="36"/>
        <v>45705</v>
      </c>
      <c r="V1478" s="201">
        <v>45705</v>
      </c>
      <c r="W1478" s="43">
        <f t="shared" si="38"/>
        <v>2</v>
      </c>
      <c r="X1478" s="43" t="s">
        <v>1484</v>
      </c>
      <c r="Y1478" s="43" t="s">
        <v>1485</v>
      </c>
      <c r="Z1478" s="183"/>
      <c r="AA1478" s="183"/>
      <c r="AB1478" s="183"/>
    </row>
    <row r="1479" spans="1:28" ht="14.25" hidden="1" customHeight="1">
      <c r="A1479" s="180" t="s">
        <v>976</v>
      </c>
      <c r="B1479" s="181">
        <v>45705</v>
      </c>
      <c r="C1479" s="180" t="s">
        <v>1677</v>
      </c>
      <c r="D1479" s="180" t="s">
        <v>281</v>
      </c>
      <c r="E1479" s="180" t="s">
        <v>193</v>
      </c>
      <c r="F1479" s="246">
        <v>-6000</v>
      </c>
      <c r="G1479" s="165">
        <f t="shared" si="35"/>
        <v>23226.521000000008</v>
      </c>
      <c r="H1479" s="180"/>
      <c r="I1479" s="180" t="s">
        <v>342</v>
      </c>
      <c r="J1479" s="180"/>
      <c r="K1479" s="180"/>
      <c r="L1479" s="180" t="s">
        <v>508</v>
      </c>
      <c r="M1479" s="180"/>
      <c r="N1479" s="180" t="s">
        <v>978</v>
      </c>
      <c r="O1479" s="180"/>
      <c r="P1479" s="180"/>
      <c r="Q1479" s="180"/>
      <c r="R1479" s="180" t="s">
        <v>922</v>
      </c>
      <c r="S1479" s="180" t="s">
        <v>923</v>
      </c>
      <c r="T1479" s="183">
        <f t="shared" si="39"/>
        <v>2</v>
      </c>
      <c r="U1479" s="184">
        <f t="shared" si="36"/>
        <v>45705</v>
      </c>
      <c r="V1479" s="184"/>
      <c r="W1479" s="43">
        <f t="shared" si="38"/>
        <v>2</v>
      </c>
      <c r="X1479" s="43" t="s">
        <v>1552</v>
      </c>
      <c r="Y1479" s="43" t="s">
        <v>86</v>
      </c>
      <c r="Z1479" s="43"/>
      <c r="AA1479" s="183"/>
      <c r="AB1479" s="183"/>
    </row>
    <row r="1480" spans="1:28" hidden="1">
      <c r="A1480" s="163" t="s">
        <v>1017</v>
      </c>
      <c r="B1480" s="164">
        <v>45705</v>
      </c>
      <c r="C1480" s="163" t="s">
        <v>1409</v>
      </c>
      <c r="D1480" s="163" t="s">
        <v>281</v>
      </c>
      <c r="E1480" s="163" t="s">
        <v>199</v>
      </c>
      <c r="F1480" s="246">
        <v>-1990</v>
      </c>
      <c r="G1480" s="165">
        <f t="shared" si="35"/>
        <v>21236.521000000008</v>
      </c>
      <c r="H1480" s="163"/>
      <c r="I1480" s="163" t="s">
        <v>342</v>
      </c>
      <c r="J1480" s="163"/>
      <c r="K1480" s="163"/>
      <c r="L1480" s="163" t="s">
        <v>1062</v>
      </c>
      <c r="M1480" s="163"/>
      <c r="N1480" s="163" t="s">
        <v>978</v>
      </c>
      <c r="O1480" s="163"/>
      <c r="P1480" s="163"/>
      <c r="Q1480" s="163"/>
      <c r="R1480" s="163" t="s">
        <v>1153</v>
      </c>
      <c r="S1480" s="163" t="s">
        <v>1154</v>
      </c>
      <c r="T1480" s="43">
        <f t="shared" si="39"/>
        <v>2</v>
      </c>
      <c r="U1480" s="167">
        <f t="shared" si="36"/>
        <v>45705</v>
      </c>
      <c r="W1480" s="43">
        <f t="shared" si="38"/>
        <v>2</v>
      </c>
      <c r="X1480" s="49" t="s">
        <v>1480</v>
      </c>
      <c r="Y1480" s="49" t="s">
        <v>86</v>
      </c>
    </row>
    <row r="1481" spans="1:28" hidden="1">
      <c r="A1481" s="163" t="s">
        <v>1017</v>
      </c>
      <c r="B1481" s="164">
        <v>45705</v>
      </c>
      <c r="C1481" s="163" t="s">
        <v>919</v>
      </c>
      <c r="D1481" s="163" t="s">
        <v>281</v>
      </c>
      <c r="E1481" s="163" t="s">
        <v>129</v>
      </c>
      <c r="F1481" s="246">
        <v>-3880</v>
      </c>
      <c r="G1481" s="165">
        <f t="shared" si="35"/>
        <v>17356.521000000008</v>
      </c>
      <c r="H1481" s="163"/>
      <c r="I1481" s="163" t="s">
        <v>342</v>
      </c>
      <c r="J1481" s="163"/>
      <c r="K1481" s="163"/>
      <c r="L1481" s="163" t="s">
        <v>1062</v>
      </c>
      <c r="M1481" s="163"/>
      <c r="N1481" s="163" t="s">
        <v>978</v>
      </c>
      <c r="O1481" s="163"/>
      <c r="P1481" s="163"/>
      <c r="Q1481" s="163"/>
      <c r="R1481" s="163" t="s">
        <v>922</v>
      </c>
      <c r="S1481" s="163" t="s">
        <v>923</v>
      </c>
      <c r="T1481" s="43">
        <f t="shared" si="39"/>
        <v>2</v>
      </c>
      <c r="U1481" s="167">
        <f t="shared" si="36"/>
        <v>45705</v>
      </c>
      <c r="W1481" s="43">
        <f t="shared" si="38"/>
        <v>2</v>
      </c>
      <c r="X1481" s="49" t="s">
        <v>1552</v>
      </c>
      <c r="Y1481" s="49" t="s">
        <v>1443</v>
      </c>
    </row>
    <row r="1482" spans="1:28" hidden="1">
      <c r="A1482" s="163" t="s">
        <v>1017</v>
      </c>
      <c r="B1482" s="164">
        <v>45705</v>
      </c>
      <c r="C1482" s="163" t="s">
        <v>992</v>
      </c>
      <c r="D1482" s="163" t="s">
        <v>281</v>
      </c>
      <c r="E1482" s="163" t="s">
        <v>993</v>
      </c>
      <c r="F1482" s="246">
        <v>-1737.53</v>
      </c>
      <c r="G1482" s="165">
        <f t="shared" si="35"/>
        <v>15618.991000000007</v>
      </c>
      <c r="H1482" s="163"/>
      <c r="I1482" s="163" t="s">
        <v>994</v>
      </c>
      <c r="J1482" s="163"/>
      <c r="K1482" s="163"/>
      <c r="L1482" s="163" t="s">
        <v>1604</v>
      </c>
      <c r="M1482" s="163"/>
      <c r="N1482" s="163" t="s">
        <v>978</v>
      </c>
      <c r="O1482" s="163"/>
      <c r="P1482" s="163"/>
      <c r="Q1482" s="163"/>
      <c r="R1482" s="163" t="s">
        <v>996</v>
      </c>
      <c r="S1482" s="163" t="s">
        <v>997</v>
      </c>
      <c r="T1482" s="43">
        <f t="shared" si="39"/>
        <v>2</v>
      </c>
      <c r="U1482" s="167">
        <f t="shared" si="36"/>
        <v>45705</v>
      </c>
      <c r="W1482" s="43">
        <f t="shared" si="38"/>
        <v>2</v>
      </c>
      <c r="X1482" s="49" t="s">
        <v>1559</v>
      </c>
      <c r="Y1482" s="49" t="s">
        <v>78</v>
      </c>
    </row>
    <row r="1483" spans="1:28" hidden="1">
      <c r="A1483" s="163" t="s">
        <v>1017</v>
      </c>
      <c r="B1483" s="164">
        <v>45705</v>
      </c>
      <c r="C1483" s="163" t="s">
        <v>919</v>
      </c>
      <c r="D1483" s="163" t="s">
        <v>281</v>
      </c>
      <c r="E1483" s="163" t="s">
        <v>129</v>
      </c>
      <c r="F1483" s="246">
        <v>-1518</v>
      </c>
      <c r="G1483" s="165">
        <f t="shared" si="35"/>
        <v>14100.991000000007</v>
      </c>
      <c r="H1483" s="163"/>
      <c r="I1483" s="163" t="s">
        <v>342</v>
      </c>
      <c r="J1483" s="163"/>
      <c r="K1483" s="163"/>
      <c r="L1483" s="163" t="s">
        <v>766</v>
      </c>
      <c r="M1483" s="163"/>
      <c r="N1483" s="163" t="s">
        <v>978</v>
      </c>
      <c r="O1483" s="163"/>
      <c r="P1483" s="163"/>
      <c r="Q1483" s="163"/>
      <c r="R1483" s="163" t="s">
        <v>922</v>
      </c>
      <c r="S1483" s="163" t="s">
        <v>923</v>
      </c>
      <c r="T1483" s="43">
        <f t="shared" si="39"/>
        <v>2</v>
      </c>
      <c r="U1483" s="167">
        <f t="shared" si="36"/>
        <v>45705</v>
      </c>
      <c r="W1483" s="43">
        <f t="shared" si="38"/>
        <v>2</v>
      </c>
      <c r="X1483" s="49" t="s">
        <v>1552</v>
      </c>
      <c r="Y1483" s="49" t="s">
        <v>1443</v>
      </c>
    </row>
    <row r="1484" spans="1:28" hidden="1">
      <c r="A1484" s="163" t="s">
        <v>1017</v>
      </c>
      <c r="B1484" s="164">
        <v>45705</v>
      </c>
      <c r="C1484" s="163" t="s">
        <v>1678</v>
      </c>
      <c r="D1484" s="163" t="s">
        <v>281</v>
      </c>
      <c r="E1484" s="163" t="s">
        <v>199</v>
      </c>
      <c r="F1484" s="246">
        <v>-800</v>
      </c>
      <c r="G1484" s="165">
        <f t="shared" si="35"/>
        <v>13300.991000000007</v>
      </c>
      <c r="H1484" s="163"/>
      <c r="I1484" s="163" t="s">
        <v>342</v>
      </c>
      <c r="J1484" s="163"/>
      <c r="K1484" s="163"/>
      <c r="L1484" s="163" t="s">
        <v>1424</v>
      </c>
      <c r="M1484" s="163"/>
      <c r="N1484" s="163" t="s">
        <v>978</v>
      </c>
      <c r="O1484" s="163"/>
      <c r="P1484" s="163"/>
      <c r="Q1484" s="163"/>
      <c r="R1484" s="163" t="s">
        <v>999</v>
      </c>
      <c r="S1484" s="163" t="s">
        <v>1000</v>
      </c>
      <c r="T1484" s="43">
        <f t="shared" si="39"/>
        <v>2</v>
      </c>
      <c r="U1484" s="167">
        <f t="shared" si="36"/>
        <v>45705</v>
      </c>
      <c r="W1484" s="43">
        <f t="shared" si="38"/>
        <v>2</v>
      </c>
      <c r="X1484" s="49" t="s">
        <v>1480</v>
      </c>
      <c r="Y1484" s="49" t="s">
        <v>1488</v>
      </c>
    </row>
    <row r="1485" spans="1:28" ht="14.25" hidden="1" customHeight="1">
      <c r="A1485" s="180" t="s">
        <v>1017</v>
      </c>
      <c r="B1485" s="181">
        <v>45677</v>
      </c>
      <c r="C1485" s="180" t="s">
        <v>1539</v>
      </c>
      <c r="D1485" s="180" t="s">
        <v>281</v>
      </c>
      <c r="E1485" s="180" t="s">
        <v>199</v>
      </c>
      <c r="F1485" s="246">
        <v>-604.38</v>
      </c>
      <c r="G1485" s="165">
        <f t="shared" si="35"/>
        <v>12696.611000000008</v>
      </c>
      <c r="H1485" s="180"/>
      <c r="I1485" s="180" t="s">
        <v>283</v>
      </c>
      <c r="J1485" s="180"/>
      <c r="K1485" s="180"/>
      <c r="L1485" s="180" t="s">
        <v>305</v>
      </c>
      <c r="M1485" s="180"/>
      <c r="N1485" s="180" t="s">
        <v>978</v>
      </c>
      <c r="O1485" s="180"/>
      <c r="P1485" s="180"/>
      <c r="Q1485" s="180" t="s">
        <v>1067</v>
      </c>
      <c r="R1485" s="180" t="s">
        <v>1087</v>
      </c>
      <c r="S1485" s="180" t="s">
        <v>1089</v>
      </c>
      <c r="T1485" s="189">
        <f t="shared" si="39"/>
        <v>1</v>
      </c>
      <c r="U1485" s="211">
        <f t="shared" si="36"/>
        <v>45705</v>
      </c>
      <c r="V1485" s="166">
        <v>45705</v>
      </c>
      <c r="W1485" s="43">
        <f t="shared" si="38"/>
        <v>2</v>
      </c>
      <c r="X1485" s="183" t="s">
        <v>1480</v>
      </c>
      <c r="Y1485" s="206" t="s">
        <v>86</v>
      </c>
      <c r="Z1485" s="183" t="s">
        <v>1113</v>
      </c>
      <c r="AA1485" s="183" t="s">
        <v>1336</v>
      </c>
      <c r="AB1485" s="183"/>
    </row>
    <row r="1486" spans="1:28" hidden="1">
      <c r="A1486" s="180" t="s">
        <v>1017</v>
      </c>
      <c r="B1486" s="181">
        <v>45685</v>
      </c>
      <c r="C1486" s="180" t="s">
        <v>1679</v>
      </c>
      <c r="D1486" s="180" t="s">
        <v>281</v>
      </c>
      <c r="E1486" s="180" t="s">
        <v>399</v>
      </c>
      <c r="F1486" s="246">
        <f>-1420.8-406.6</f>
        <v>-1827.4</v>
      </c>
      <c r="G1486" s="165">
        <f t="shared" si="35"/>
        <v>10869.211000000008</v>
      </c>
      <c r="H1486" s="180"/>
      <c r="I1486" s="180" t="s">
        <v>342</v>
      </c>
      <c r="J1486" s="180"/>
      <c r="K1486" s="180"/>
      <c r="L1486" s="180" t="s">
        <v>1604</v>
      </c>
      <c r="M1486" s="180"/>
      <c r="N1486" s="180" t="s">
        <v>978</v>
      </c>
      <c r="O1486" s="180"/>
      <c r="P1486" s="180"/>
      <c r="Q1486" s="180"/>
      <c r="R1486" s="180" t="s">
        <v>1035</v>
      </c>
      <c r="S1486" s="180" t="s">
        <v>1036</v>
      </c>
      <c r="T1486" s="183">
        <f t="shared" si="39"/>
        <v>1</v>
      </c>
      <c r="U1486" s="184">
        <f t="shared" si="36"/>
        <v>45705</v>
      </c>
      <c r="V1486" s="166">
        <v>45705</v>
      </c>
      <c r="W1486" s="43">
        <f t="shared" si="38"/>
        <v>2</v>
      </c>
      <c r="X1486" s="43" t="s">
        <v>196</v>
      </c>
      <c r="Y1486" s="43" t="s">
        <v>1443</v>
      </c>
      <c r="Z1486" s="183"/>
      <c r="AA1486" s="183"/>
      <c r="AB1486" s="183"/>
    </row>
    <row r="1487" spans="1:28" hidden="1">
      <c r="A1487" s="180" t="s">
        <v>1017</v>
      </c>
      <c r="B1487" s="181">
        <v>45705</v>
      </c>
      <c r="C1487" s="180" t="s">
        <v>1010</v>
      </c>
      <c r="D1487" s="180" t="s">
        <v>281</v>
      </c>
      <c r="E1487" s="180" t="s">
        <v>199</v>
      </c>
      <c r="F1487" s="246">
        <v>-2000</v>
      </c>
      <c r="G1487" s="165">
        <f t="shared" si="35"/>
        <v>8869.2110000000084</v>
      </c>
      <c r="H1487" s="180"/>
      <c r="I1487" s="180" t="s">
        <v>283</v>
      </c>
      <c r="J1487" s="180"/>
      <c r="K1487" s="180"/>
      <c r="L1487" s="180" t="s">
        <v>485</v>
      </c>
      <c r="M1487" s="180"/>
      <c r="N1487" s="180" t="s">
        <v>978</v>
      </c>
      <c r="O1487" s="180"/>
      <c r="P1487" s="180"/>
      <c r="Q1487" s="180"/>
      <c r="R1487" s="180" t="s">
        <v>669</v>
      </c>
      <c r="S1487" s="180" t="s">
        <v>1492</v>
      </c>
      <c r="T1487" s="183">
        <f t="shared" si="39"/>
        <v>2</v>
      </c>
      <c r="U1487" s="184">
        <f t="shared" si="36"/>
        <v>45705</v>
      </c>
      <c r="V1487" s="183"/>
      <c r="W1487" s="43">
        <f t="shared" si="38"/>
        <v>2</v>
      </c>
      <c r="X1487" s="206" t="s">
        <v>1478</v>
      </c>
      <c r="Y1487" s="206" t="s">
        <v>26</v>
      </c>
      <c r="Z1487" s="183"/>
      <c r="AA1487" s="183"/>
      <c r="AB1487" s="183"/>
    </row>
    <row r="1488" spans="1:28" hidden="1">
      <c r="A1488" s="180" t="s">
        <v>1017</v>
      </c>
      <c r="B1488" s="181">
        <v>45705</v>
      </c>
      <c r="C1488" s="180" t="s">
        <v>844</v>
      </c>
      <c r="D1488" s="180" t="s">
        <v>281</v>
      </c>
      <c r="E1488" s="180" t="s">
        <v>120</v>
      </c>
      <c r="F1488" s="246">
        <v>-512</v>
      </c>
      <c r="G1488" s="165">
        <f t="shared" si="35"/>
        <v>8357.2110000000084</v>
      </c>
      <c r="H1488" s="180"/>
      <c r="I1488" s="180" t="s">
        <v>342</v>
      </c>
      <c r="J1488" s="180"/>
      <c r="K1488" s="180"/>
      <c r="L1488" s="180" t="s">
        <v>1424</v>
      </c>
      <c r="M1488" s="180"/>
      <c r="N1488" s="180" t="s">
        <v>978</v>
      </c>
      <c r="O1488" s="180"/>
      <c r="P1488" s="180"/>
      <c r="Q1488" s="180"/>
      <c r="R1488" s="180" t="s">
        <v>846</v>
      </c>
      <c r="S1488" s="180" t="s">
        <v>847</v>
      </c>
      <c r="T1488" s="183">
        <f t="shared" si="39"/>
        <v>2</v>
      </c>
      <c r="U1488" s="184">
        <f t="shared" si="36"/>
        <v>45705</v>
      </c>
      <c r="V1488" s="183"/>
      <c r="W1488" s="183">
        <f t="shared" si="38"/>
        <v>2</v>
      </c>
      <c r="X1488" s="183" t="s">
        <v>1498</v>
      </c>
      <c r="Y1488" s="183" t="s">
        <v>1336</v>
      </c>
      <c r="Z1488" s="183"/>
      <c r="AA1488" s="183"/>
      <c r="AB1488" s="183"/>
    </row>
    <row r="1489" spans="1:28" hidden="1">
      <c r="A1489" s="163" t="s">
        <v>1017</v>
      </c>
      <c r="B1489" s="164">
        <v>45705</v>
      </c>
      <c r="C1489" s="190" t="s">
        <v>330</v>
      </c>
      <c r="D1489" s="190" t="s">
        <v>281</v>
      </c>
      <c r="E1489" s="190" t="s">
        <v>330</v>
      </c>
      <c r="F1489" s="185">
        <f>-1.99*3-1.5</f>
        <v>-7.47</v>
      </c>
      <c r="G1489" s="165">
        <f t="shared" si="35"/>
        <v>8349.7410000000091</v>
      </c>
      <c r="H1489" s="190"/>
      <c r="I1489" s="190" t="s">
        <v>342</v>
      </c>
      <c r="J1489" s="190"/>
      <c r="K1489" s="190"/>
      <c r="L1489" s="190" t="s">
        <v>805</v>
      </c>
      <c r="M1489" s="190"/>
      <c r="N1489" s="190" t="s">
        <v>978</v>
      </c>
      <c r="O1489" s="190"/>
      <c r="P1489" s="190"/>
      <c r="Q1489" s="190"/>
      <c r="R1489" s="190" t="s">
        <v>1292</v>
      </c>
      <c r="S1489" s="190" t="s">
        <v>1417</v>
      </c>
      <c r="T1489" s="43">
        <f t="shared" si="39"/>
        <v>2</v>
      </c>
      <c r="U1489" s="167">
        <f t="shared" si="36"/>
        <v>45705</v>
      </c>
      <c r="V1489" s="43"/>
      <c r="W1489" s="43">
        <f t="shared" si="38"/>
        <v>2</v>
      </c>
      <c r="X1489" s="43" t="s">
        <v>1483</v>
      </c>
      <c r="Y1489" s="43" t="s">
        <v>1443</v>
      </c>
      <c r="Z1489" s="43"/>
      <c r="AA1489" s="43"/>
      <c r="AB1489" s="43"/>
    </row>
    <row r="1490" spans="1:28" ht="14.25" hidden="1" customHeight="1">
      <c r="A1490" s="180" t="s">
        <v>976</v>
      </c>
      <c r="B1490" s="181">
        <v>45705</v>
      </c>
      <c r="C1490" s="180" t="s">
        <v>919</v>
      </c>
      <c r="D1490" s="180" t="s">
        <v>281</v>
      </c>
      <c r="E1490" s="180" t="s">
        <v>129</v>
      </c>
      <c r="F1490" s="182"/>
      <c r="G1490" s="165">
        <f t="shared" si="35"/>
        <v>8349.7410000000091</v>
      </c>
      <c r="H1490" s="180"/>
      <c r="I1490" s="180" t="s">
        <v>342</v>
      </c>
      <c r="J1490" s="180"/>
      <c r="K1490" s="180"/>
      <c r="L1490" s="180" t="s">
        <v>508</v>
      </c>
      <c r="M1490" s="180"/>
      <c r="N1490" s="180" t="s">
        <v>978</v>
      </c>
      <c r="O1490" s="180"/>
      <c r="P1490" s="180"/>
      <c r="Q1490" s="180"/>
      <c r="R1490" s="180" t="s">
        <v>922</v>
      </c>
      <c r="S1490" s="180" t="s">
        <v>923</v>
      </c>
      <c r="T1490" s="183">
        <f t="shared" si="39"/>
        <v>2</v>
      </c>
      <c r="U1490" s="184">
        <f t="shared" si="36"/>
        <v>45705</v>
      </c>
      <c r="V1490" s="184"/>
      <c r="W1490" s="43">
        <f t="shared" si="38"/>
        <v>2</v>
      </c>
      <c r="X1490" s="49" t="s">
        <v>1552</v>
      </c>
      <c r="Y1490" s="49" t="s">
        <v>1443</v>
      </c>
      <c r="Z1490" s="43"/>
      <c r="AA1490" s="183"/>
      <c r="AB1490" s="183" t="s">
        <v>1541</v>
      </c>
    </row>
    <row r="1491" spans="1:28" hidden="1">
      <c r="A1491" s="163"/>
      <c r="B1491" s="164">
        <v>45705</v>
      </c>
      <c r="C1491" s="163" t="s">
        <v>346</v>
      </c>
      <c r="D1491" s="163"/>
      <c r="E1491" s="163"/>
      <c r="F1491" s="165">
        <v>0</v>
      </c>
      <c r="G1491" s="165">
        <f t="shared" si="35"/>
        <v>8349.7410000000091</v>
      </c>
      <c r="H1491" s="163"/>
      <c r="I1491" s="163"/>
      <c r="J1491" s="163"/>
      <c r="K1491" s="163"/>
      <c r="L1491" s="163"/>
      <c r="M1491" s="163"/>
      <c r="N1491" s="163"/>
      <c r="O1491" s="163"/>
      <c r="P1491" s="163"/>
      <c r="Q1491" s="163"/>
      <c r="R1491" s="163"/>
      <c r="S1491" s="163"/>
      <c r="T1491" s="43">
        <f t="shared" si="39"/>
        <v>2</v>
      </c>
      <c r="U1491" s="167">
        <f t="shared" si="36"/>
        <v>45705</v>
      </c>
      <c r="W1491" s="43">
        <f t="shared" si="38"/>
        <v>2</v>
      </c>
    </row>
    <row r="1492" spans="1:28" hidden="1">
      <c r="A1492" s="163" t="s">
        <v>1174</v>
      </c>
      <c r="B1492" s="164">
        <v>45705</v>
      </c>
      <c r="C1492" s="163" t="s">
        <v>1546</v>
      </c>
      <c r="D1492" s="163" t="s">
        <v>281</v>
      </c>
      <c r="E1492" s="163" t="s">
        <v>407</v>
      </c>
      <c r="F1492" s="224">
        <v>5000</v>
      </c>
      <c r="G1492" s="165">
        <f t="shared" si="35"/>
        <v>13349.741000000009</v>
      </c>
      <c r="H1492" s="163"/>
      <c r="I1492" s="163" t="s">
        <v>1176</v>
      </c>
      <c r="J1492" s="163" t="s">
        <v>1547</v>
      </c>
      <c r="K1492" s="163"/>
      <c r="L1492" s="163" t="s">
        <v>305</v>
      </c>
      <c r="M1492" s="163"/>
      <c r="N1492" s="163" t="s">
        <v>1178</v>
      </c>
      <c r="O1492" s="163" t="s">
        <v>1547</v>
      </c>
      <c r="P1492" s="163" t="s">
        <v>57</v>
      </c>
      <c r="Q1492" s="163"/>
      <c r="R1492" s="163" t="s">
        <v>1548</v>
      </c>
      <c r="S1492" s="163" t="s">
        <v>1549</v>
      </c>
      <c r="T1492" s="43">
        <f t="shared" si="39"/>
        <v>2</v>
      </c>
      <c r="U1492" s="167">
        <f t="shared" si="36"/>
        <v>45706</v>
      </c>
      <c r="V1492" s="261">
        <v>45706</v>
      </c>
      <c r="W1492" s="43">
        <f t="shared" si="38"/>
        <v>2</v>
      </c>
      <c r="X1492" s="43" t="s">
        <v>1484</v>
      </c>
      <c r="Y1492" s="43" t="s">
        <v>1485</v>
      </c>
    </row>
    <row r="1493" spans="1:28" hidden="1">
      <c r="A1493" s="163" t="s">
        <v>1017</v>
      </c>
      <c r="B1493" s="164">
        <v>45706</v>
      </c>
      <c r="C1493" s="163" t="s">
        <v>1142</v>
      </c>
      <c r="D1493" s="163" t="s">
        <v>281</v>
      </c>
      <c r="E1493" s="163" t="s">
        <v>199</v>
      </c>
      <c r="F1493" s="168"/>
      <c r="G1493" s="165">
        <f t="shared" si="35"/>
        <v>13349.741000000009</v>
      </c>
      <c r="H1493" s="163"/>
      <c r="I1493" s="163" t="s">
        <v>342</v>
      </c>
      <c r="J1493" s="163"/>
      <c r="K1493" s="163"/>
      <c r="L1493" s="163" t="s">
        <v>1030</v>
      </c>
      <c r="M1493" s="163"/>
      <c r="N1493" s="163" t="s">
        <v>978</v>
      </c>
      <c r="O1493" s="163"/>
      <c r="P1493" s="163"/>
      <c r="Q1493" s="163"/>
      <c r="R1493" s="163" t="s">
        <v>1143</v>
      </c>
      <c r="S1493" s="163" t="s">
        <v>1144</v>
      </c>
      <c r="T1493" s="43">
        <f t="shared" si="39"/>
        <v>2</v>
      </c>
      <c r="U1493" s="167">
        <f t="shared" si="36"/>
        <v>45706</v>
      </c>
      <c r="W1493" s="43">
        <f t="shared" si="38"/>
        <v>2</v>
      </c>
      <c r="X1493" s="49" t="s">
        <v>1480</v>
      </c>
      <c r="Y1493" s="49" t="s">
        <v>26</v>
      </c>
    </row>
    <row r="1494" spans="1:28" hidden="1">
      <c r="A1494" s="180" t="s">
        <v>1017</v>
      </c>
      <c r="B1494" s="181">
        <v>45702</v>
      </c>
      <c r="C1494" s="180" t="s">
        <v>1680</v>
      </c>
      <c r="D1494" s="180" t="s">
        <v>281</v>
      </c>
      <c r="E1494" s="180" t="s">
        <v>1566</v>
      </c>
      <c r="F1494" s="246">
        <f>-10.5*8</f>
        <v>-84</v>
      </c>
      <c r="G1494" s="165">
        <f t="shared" si="35"/>
        <v>13265.741000000009</v>
      </c>
      <c r="H1494" s="180"/>
      <c r="I1494" s="180" t="s">
        <v>283</v>
      </c>
      <c r="J1494" s="180"/>
      <c r="K1494" s="180"/>
      <c r="L1494" s="180" t="s">
        <v>485</v>
      </c>
      <c r="M1494" s="180"/>
      <c r="N1494" s="180" t="s">
        <v>978</v>
      </c>
      <c r="O1494" s="180"/>
      <c r="P1494" s="180"/>
      <c r="Q1494" s="180"/>
      <c r="R1494" s="180" t="s">
        <v>669</v>
      </c>
      <c r="S1494" s="180" t="s">
        <v>1492</v>
      </c>
      <c r="T1494" s="183">
        <f t="shared" si="39"/>
        <v>2</v>
      </c>
      <c r="U1494" s="184">
        <f t="shared" si="36"/>
        <v>45706</v>
      </c>
      <c r="V1494" s="261">
        <v>45706</v>
      </c>
      <c r="W1494" s="43">
        <f t="shared" si="38"/>
        <v>2</v>
      </c>
      <c r="X1494" s="43" t="s">
        <v>1483</v>
      </c>
      <c r="Y1494" s="43" t="s">
        <v>25</v>
      </c>
      <c r="Z1494" s="183"/>
      <c r="AA1494" s="183"/>
      <c r="AB1494" s="183"/>
    </row>
    <row r="1495" spans="1:28" hidden="1">
      <c r="A1495" s="163" t="s">
        <v>1017</v>
      </c>
      <c r="B1495" s="164">
        <v>45706</v>
      </c>
      <c r="C1495" s="190" t="s">
        <v>330</v>
      </c>
      <c r="D1495" s="190" t="s">
        <v>281</v>
      </c>
      <c r="E1495" s="190" t="s">
        <v>330</v>
      </c>
      <c r="F1495" s="185">
        <f>-1.99-4</f>
        <v>-5.99</v>
      </c>
      <c r="G1495" s="165">
        <f t="shared" si="35"/>
        <v>13259.751000000009</v>
      </c>
      <c r="H1495" s="190"/>
      <c r="I1495" s="190" t="s">
        <v>342</v>
      </c>
      <c r="J1495" s="190"/>
      <c r="K1495" s="190"/>
      <c r="L1495" s="190" t="s">
        <v>805</v>
      </c>
      <c r="M1495" s="190"/>
      <c r="N1495" s="190" t="s">
        <v>978</v>
      </c>
      <c r="O1495" s="190"/>
      <c r="P1495" s="190"/>
      <c r="Q1495" s="190"/>
      <c r="R1495" s="190" t="s">
        <v>1292</v>
      </c>
      <c r="S1495" s="190" t="s">
        <v>1417</v>
      </c>
      <c r="T1495" s="43">
        <f t="shared" si="39"/>
        <v>2</v>
      </c>
      <c r="U1495" s="167">
        <f t="shared" si="36"/>
        <v>45706</v>
      </c>
      <c r="V1495" s="43"/>
      <c r="W1495" s="43">
        <f t="shared" si="38"/>
        <v>2</v>
      </c>
      <c r="X1495" s="43" t="s">
        <v>1483</v>
      </c>
      <c r="Y1495" s="43" t="s">
        <v>1443</v>
      </c>
      <c r="Z1495" s="43"/>
      <c r="AA1495" s="43"/>
      <c r="AB1495" s="43"/>
    </row>
    <row r="1496" spans="1:28" hidden="1">
      <c r="A1496" s="163" t="s">
        <v>1017</v>
      </c>
      <c r="B1496" s="164">
        <v>45706</v>
      </c>
      <c r="C1496" s="163" t="s">
        <v>987</v>
      </c>
      <c r="D1496" s="163" t="s">
        <v>281</v>
      </c>
      <c r="E1496" s="163" t="s">
        <v>986</v>
      </c>
      <c r="F1496" s="168"/>
      <c r="G1496" s="165">
        <f t="shared" si="35"/>
        <v>13259.751000000009</v>
      </c>
      <c r="H1496" s="163"/>
      <c r="I1496" s="163" t="s">
        <v>283</v>
      </c>
      <c r="J1496" s="163"/>
      <c r="K1496" s="163"/>
      <c r="L1496" s="163" t="s">
        <v>766</v>
      </c>
      <c r="M1496" s="163"/>
      <c r="N1496" s="163" t="s">
        <v>978</v>
      </c>
      <c r="O1496" s="163"/>
      <c r="P1496" s="163"/>
      <c r="Q1496" s="163"/>
      <c r="R1496" s="163" t="s">
        <v>987</v>
      </c>
      <c r="S1496" s="163" t="s">
        <v>988</v>
      </c>
      <c r="T1496" s="43">
        <f t="shared" si="39"/>
        <v>2</v>
      </c>
      <c r="U1496" s="167">
        <f t="shared" si="36"/>
        <v>45706</v>
      </c>
      <c r="W1496" s="43">
        <f t="shared" si="38"/>
        <v>2</v>
      </c>
      <c r="X1496" s="43" t="s">
        <v>196</v>
      </c>
      <c r="Y1496" s="43" t="s">
        <v>1443</v>
      </c>
    </row>
    <row r="1497" spans="1:28" hidden="1">
      <c r="A1497" s="163"/>
      <c r="B1497" s="164">
        <v>45706</v>
      </c>
      <c r="C1497" s="163" t="s">
        <v>346</v>
      </c>
      <c r="D1497" s="163"/>
      <c r="E1497" s="163"/>
      <c r="F1497" s="165">
        <v>0</v>
      </c>
      <c r="G1497" s="165">
        <f t="shared" si="35"/>
        <v>13259.751000000009</v>
      </c>
      <c r="H1497" s="163"/>
      <c r="I1497" s="163"/>
      <c r="J1497" s="163"/>
      <c r="K1497" s="163"/>
      <c r="L1497" s="163"/>
      <c r="M1497" s="163"/>
      <c r="N1497" s="163"/>
      <c r="O1497" s="163"/>
      <c r="P1497" s="163"/>
      <c r="Q1497" s="163"/>
      <c r="R1497" s="163"/>
      <c r="S1497" s="163"/>
      <c r="T1497" s="43">
        <f t="shared" si="39"/>
        <v>2</v>
      </c>
      <c r="U1497" s="167">
        <f t="shared" si="36"/>
        <v>45706</v>
      </c>
      <c r="W1497" s="43">
        <f t="shared" si="38"/>
        <v>2</v>
      </c>
    </row>
    <row r="1498" spans="1:28" ht="14.25" hidden="1" customHeight="1">
      <c r="A1498" s="180" t="s">
        <v>1017</v>
      </c>
      <c r="B1498" s="181">
        <v>45706</v>
      </c>
      <c r="C1498" s="180" t="s">
        <v>1487</v>
      </c>
      <c r="D1498" s="180" t="s">
        <v>281</v>
      </c>
      <c r="E1498" s="180" t="s">
        <v>282</v>
      </c>
      <c r="F1498" s="269">
        <v>9000</v>
      </c>
      <c r="G1498" s="165">
        <f t="shared" si="35"/>
        <v>22259.751000000011</v>
      </c>
      <c r="H1498" s="180"/>
      <c r="I1498" s="180" t="s">
        <v>977</v>
      </c>
      <c r="J1498" s="180"/>
      <c r="K1498" s="180"/>
      <c r="L1498" s="180" t="s">
        <v>366</v>
      </c>
      <c r="M1498" s="180"/>
      <c r="N1498" s="180" t="s">
        <v>978</v>
      </c>
      <c r="O1498" s="180"/>
      <c r="P1498" s="180"/>
      <c r="Q1498" s="180"/>
      <c r="R1498" s="180" t="s">
        <v>990</v>
      </c>
      <c r="S1498" s="180" t="s">
        <v>991</v>
      </c>
      <c r="T1498" s="183">
        <f t="shared" si="39"/>
        <v>2</v>
      </c>
      <c r="U1498" s="184">
        <f t="shared" si="36"/>
        <v>45706</v>
      </c>
      <c r="V1498" s="256"/>
      <c r="W1498" s="43">
        <f t="shared" si="38"/>
        <v>2</v>
      </c>
      <c r="X1498" s="183" t="s">
        <v>282</v>
      </c>
      <c r="Y1498" s="183" t="s">
        <v>1443</v>
      </c>
      <c r="Z1498" s="183" t="s">
        <v>1113</v>
      </c>
      <c r="AA1498" s="183" t="s">
        <v>1113</v>
      </c>
      <c r="AB1498" s="183"/>
    </row>
    <row r="1499" spans="1:28" hidden="1">
      <c r="A1499" s="163" t="s">
        <v>1174</v>
      </c>
      <c r="B1499" s="164">
        <v>45705</v>
      </c>
      <c r="C1499" s="163" t="s">
        <v>969</v>
      </c>
      <c r="D1499" s="163" t="s">
        <v>281</v>
      </c>
      <c r="E1499" s="163" t="s">
        <v>407</v>
      </c>
      <c r="F1499" s="224">
        <v>3150</v>
      </c>
      <c r="G1499" s="165">
        <f t="shared" si="35"/>
        <v>25409.751000000011</v>
      </c>
      <c r="H1499" s="163"/>
      <c r="I1499" s="163" t="s">
        <v>1176</v>
      </c>
      <c r="J1499" s="163" t="s">
        <v>1366</v>
      </c>
      <c r="K1499" s="163"/>
      <c r="L1499" s="163" t="s">
        <v>305</v>
      </c>
      <c r="M1499" s="163"/>
      <c r="N1499" s="163" t="s">
        <v>1178</v>
      </c>
      <c r="O1499" s="163" t="s">
        <v>1366</v>
      </c>
      <c r="P1499" s="163" t="s">
        <v>57</v>
      </c>
      <c r="Q1499" s="163"/>
      <c r="R1499" s="163" t="s">
        <v>974</v>
      </c>
      <c r="S1499" s="163" t="s">
        <v>975</v>
      </c>
      <c r="T1499" s="43">
        <f t="shared" si="39"/>
        <v>2</v>
      </c>
      <c r="U1499" s="167">
        <f t="shared" si="36"/>
        <v>45707</v>
      </c>
      <c r="V1499" s="261">
        <v>45707</v>
      </c>
      <c r="W1499" s="43">
        <f t="shared" si="38"/>
        <v>2</v>
      </c>
      <c r="X1499" s="43" t="s">
        <v>1484</v>
      </c>
      <c r="Y1499" s="43" t="s">
        <v>1485</v>
      </c>
    </row>
    <row r="1500" spans="1:28" hidden="1">
      <c r="A1500" s="180" t="s">
        <v>1017</v>
      </c>
      <c r="B1500" s="181">
        <v>45702</v>
      </c>
      <c r="C1500" s="180" t="s">
        <v>1680</v>
      </c>
      <c r="D1500" s="180" t="s">
        <v>281</v>
      </c>
      <c r="E1500" s="180" t="s">
        <v>1566</v>
      </c>
      <c r="F1500" s="246">
        <f>-10.5*5-120</f>
        <v>-172.5</v>
      </c>
      <c r="G1500" s="165">
        <f t="shared" si="35"/>
        <v>25237.251000000011</v>
      </c>
      <c r="H1500" s="180"/>
      <c r="I1500" s="180" t="s">
        <v>283</v>
      </c>
      <c r="J1500" s="180"/>
      <c r="K1500" s="180"/>
      <c r="L1500" s="180" t="s">
        <v>485</v>
      </c>
      <c r="M1500" s="180"/>
      <c r="N1500" s="180" t="s">
        <v>978</v>
      </c>
      <c r="O1500" s="180"/>
      <c r="P1500" s="180"/>
      <c r="Q1500" s="180"/>
      <c r="R1500" s="180" t="s">
        <v>669</v>
      </c>
      <c r="S1500" s="180" t="s">
        <v>1492</v>
      </c>
      <c r="T1500" s="183">
        <f t="shared" si="39"/>
        <v>2</v>
      </c>
      <c r="U1500" s="184">
        <f t="shared" si="36"/>
        <v>45707</v>
      </c>
      <c r="V1500" s="261">
        <v>45707</v>
      </c>
      <c r="W1500" s="43">
        <f t="shared" si="38"/>
        <v>2</v>
      </c>
      <c r="X1500" s="43" t="s">
        <v>1483</v>
      </c>
      <c r="Y1500" s="43" t="s">
        <v>25</v>
      </c>
      <c r="Z1500" s="183"/>
      <c r="AA1500" s="183"/>
      <c r="AB1500" s="183"/>
    </row>
    <row r="1501" spans="1:28" hidden="1">
      <c r="A1501" s="163" t="s">
        <v>1017</v>
      </c>
      <c r="B1501" s="164">
        <v>45705</v>
      </c>
      <c r="C1501" s="163" t="s">
        <v>1013</v>
      </c>
      <c r="D1501" s="163" t="s">
        <v>281</v>
      </c>
      <c r="E1501" s="163" t="s">
        <v>199</v>
      </c>
      <c r="F1501" s="226">
        <v>-200</v>
      </c>
      <c r="G1501" s="165">
        <f t="shared" si="35"/>
        <v>25037.251000000011</v>
      </c>
      <c r="H1501" s="163"/>
      <c r="I1501" s="163" t="s">
        <v>977</v>
      </c>
      <c r="J1501" s="163"/>
      <c r="K1501" s="163"/>
      <c r="L1501" s="163" t="s">
        <v>1681</v>
      </c>
      <c r="M1501" s="163"/>
      <c r="N1501" s="163" t="s">
        <v>978</v>
      </c>
      <c r="O1501" s="163"/>
      <c r="P1501" s="163"/>
      <c r="Q1501" s="163"/>
      <c r="R1501" s="163" t="s">
        <v>1015</v>
      </c>
      <c r="S1501" s="163" t="s">
        <v>1016</v>
      </c>
      <c r="T1501" s="43">
        <f t="shared" si="39"/>
        <v>2</v>
      </c>
      <c r="U1501" s="167">
        <f t="shared" si="36"/>
        <v>45707</v>
      </c>
      <c r="V1501" s="261">
        <v>45707</v>
      </c>
      <c r="W1501" s="43">
        <f t="shared" si="38"/>
        <v>2</v>
      </c>
      <c r="X1501" s="49" t="s">
        <v>1480</v>
      </c>
      <c r="Y1501" s="49" t="s">
        <v>26</v>
      </c>
    </row>
    <row r="1502" spans="1:28" hidden="1">
      <c r="A1502" s="163" t="s">
        <v>1017</v>
      </c>
      <c r="B1502" s="164">
        <v>45705</v>
      </c>
      <c r="C1502" s="163" t="s">
        <v>130</v>
      </c>
      <c r="D1502" s="163" t="s">
        <v>281</v>
      </c>
      <c r="E1502" s="163" t="s">
        <v>199</v>
      </c>
      <c r="F1502" s="226">
        <v>-205</v>
      </c>
      <c r="G1502" s="165">
        <f t="shared" si="35"/>
        <v>24832.251000000011</v>
      </c>
      <c r="H1502" s="163"/>
      <c r="I1502" s="163" t="s">
        <v>977</v>
      </c>
      <c r="J1502" s="163"/>
      <c r="K1502" s="163"/>
      <c r="L1502" s="163" t="s">
        <v>1062</v>
      </c>
      <c r="M1502" s="163"/>
      <c r="N1502" s="163" t="s">
        <v>978</v>
      </c>
      <c r="O1502" s="163"/>
      <c r="P1502" s="163"/>
      <c r="Q1502" s="163"/>
      <c r="R1502" s="163" t="s">
        <v>130</v>
      </c>
      <c r="S1502" s="163"/>
      <c r="T1502" s="43">
        <f t="shared" si="39"/>
        <v>2</v>
      </c>
      <c r="U1502" s="167">
        <f t="shared" si="36"/>
        <v>45707</v>
      </c>
      <c r="V1502" s="261">
        <v>45707</v>
      </c>
      <c r="W1502" s="43">
        <f t="shared" si="38"/>
        <v>2</v>
      </c>
      <c r="X1502" s="49" t="s">
        <v>1480</v>
      </c>
      <c r="Y1502" s="49" t="s">
        <v>86</v>
      </c>
    </row>
    <row r="1503" spans="1:28" hidden="1">
      <c r="A1503" s="163" t="s">
        <v>1017</v>
      </c>
      <c r="B1503" s="164">
        <v>45705</v>
      </c>
      <c r="C1503" s="163" t="s">
        <v>1407</v>
      </c>
      <c r="D1503" s="163" t="s">
        <v>281</v>
      </c>
      <c r="E1503" s="163" t="s">
        <v>199</v>
      </c>
      <c r="F1503" s="226">
        <v>-130</v>
      </c>
      <c r="G1503" s="165">
        <f t="shared" si="35"/>
        <v>24702.251000000011</v>
      </c>
      <c r="H1503" s="163"/>
      <c r="I1503" s="163" t="s">
        <v>977</v>
      </c>
      <c r="J1503" s="163"/>
      <c r="K1503" s="163"/>
      <c r="L1503" s="163" t="s">
        <v>477</v>
      </c>
      <c r="M1503" s="163"/>
      <c r="N1503" s="163" t="s">
        <v>978</v>
      </c>
      <c r="O1503" s="163"/>
      <c r="P1503" s="163"/>
      <c r="Q1503" s="163"/>
      <c r="R1503" s="163" t="s">
        <v>1560</v>
      </c>
      <c r="S1503" s="163"/>
      <c r="T1503" s="43">
        <f t="shared" si="39"/>
        <v>2</v>
      </c>
      <c r="U1503" s="167">
        <f t="shared" si="36"/>
        <v>45707</v>
      </c>
      <c r="V1503" s="261">
        <v>45707</v>
      </c>
      <c r="W1503" s="43">
        <f t="shared" si="38"/>
        <v>2</v>
      </c>
      <c r="X1503" s="49" t="s">
        <v>1480</v>
      </c>
      <c r="Y1503" s="49" t="s">
        <v>105</v>
      </c>
    </row>
    <row r="1504" spans="1:28" hidden="1">
      <c r="A1504" s="163" t="s">
        <v>1017</v>
      </c>
      <c r="B1504" s="164">
        <v>45705</v>
      </c>
      <c r="C1504" s="163" t="s">
        <v>1682</v>
      </c>
      <c r="D1504" s="163" t="s">
        <v>281</v>
      </c>
      <c r="E1504" s="163" t="s">
        <v>199</v>
      </c>
      <c r="F1504" s="226">
        <v>-147</v>
      </c>
      <c r="G1504" s="165">
        <f t="shared" si="35"/>
        <v>24555.251000000011</v>
      </c>
      <c r="H1504" s="163"/>
      <c r="I1504" s="163" t="s">
        <v>977</v>
      </c>
      <c r="J1504" s="163"/>
      <c r="K1504" s="163"/>
      <c r="L1504" s="163" t="s">
        <v>477</v>
      </c>
      <c r="M1504" s="163"/>
      <c r="N1504" s="163" t="s">
        <v>978</v>
      </c>
      <c r="O1504" s="163"/>
      <c r="P1504" s="163"/>
      <c r="Q1504" s="163"/>
      <c r="R1504" s="163" t="s">
        <v>1560</v>
      </c>
      <c r="S1504" s="163"/>
      <c r="T1504" s="43">
        <f t="shared" si="39"/>
        <v>2</v>
      </c>
      <c r="U1504" s="167">
        <f t="shared" si="36"/>
        <v>45707</v>
      </c>
      <c r="V1504" s="261">
        <v>45707</v>
      </c>
      <c r="W1504" s="43">
        <f t="shared" si="38"/>
        <v>2</v>
      </c>
      <c r="X1504" s="49" t="s">
        <v>1480</v>
      </c>
      <c r="Y1504" s="49" t="s">
        <v>105</v>
      </c>
    </row>
    <row r="1505" spans="1:28" hidden="1">
      <c r="A1505" s="163" t="s">
        <v>1017</v>
      </c>
      <c r="B1505" s="164">
        <v>45707</v>
      </c>
      <c r="C1505" s="190" t="s">
        <v>330</v>
      </c>
      <c r="D1505" s="190" t="s">
        <v>281</v>
      </c>
      <c r="E1505" s="190" t="s">
        <v>330</v>
      </c>
      <c r="F1505" s="185">
        <f>-1.99-4</f>
        <v>-5.99</v>
      </c>
      <c r="G1505" s="165">
        <f t="shared" si="35"/>
        <v>24549.26100000001</v>
      </c>
      <c r="H1505" s="190"/>
      <c r="I1505" s="190" t="s">
        <v>342</v>
      </c>
      <c r="J1505" s="190"/>
      <c r="K1505" s="190"/>
      <c r="L1505" s="190" t="s">
        <v>805</v>
      </c>
      <c r="M1505" s="190"/>
      <c r="N1505" s="190" t="s">
        <v>978</v>
      </c>
      <c r="O1505" s="190"/>
      <c r="P1505" s="190"/>
      <c r="Q1505" s="190"/>
      <c r="R1505" s="190" t="s">
        <v>1292</v>
      </c>
      <c r="S1505" s="190" t="s">
        <v>1417</v>
      </c>
      <c r="T1505" s="43">
        <f t="shared" si="39"/>
        <v>2</v>
      </c>
      <c r="U1505" s="167">
        <f t="shared" si="36"/>
        <v>45707</v>
      </c>
      <c r="V1505" s="43"/>
      <c r="W1505" s="43">
        <f t="shared" si="38"/>
        <v>2</v>
      </c>
      <c r="X1505" s="43" t="s">
        <v>1483</v>
      </c>
      <c r="Y1505" s="43" t="s">
        <v>1443</v>
      </c>
      <c r="Z1505" s="43"/>
      <c r="AA1505" s="43"/>
      <c r="AB1505" s="43"/>
    </row>
    <row r="1506" spans="1:28" hidden="1">
      <c r="A1506" s="180" t="s">
        <v>1017</v>
      </c>
      <c r="B1506" s="181">
        <v>45707</v>
      </c>
      <c r="C1506" s="180" t="s">
        <v>1307</v>
      </c>
      <c r="D1506" s="180" t="s">
        <v>281</v>
      </c>
      <c r="E1506" s="180" t="s">
        <v>993</v>
      </c>
      <c r="F1506" s="169">
        <v>-20373.810000000001</v>
      </c>
      <c r="G1506" s="165">
        <f t="shared" si="35"/>
        <v>4175.4510000000082</v>
      </c>
      <c r="H1506" s="180"/>
      <c r="I1506" s="180" t="s">
        <v>342</v>
      </c>
      <c r="J1506" s="180"/>
      <c r="K1506" s="180"/>
      <c r="L1506" s="180" t="s">
        <v>805</v>
      </c>
      <c r="M1506" s="180"/>
      <c r="N1506" s="180" t="s">
        <v>978</v>
      </c>
      <c r="O1506" s="180"/>
      <c r="P1506" s="180"/>
      <c r="Q1506" s="180"/>
      <c r="R1506" s="180" t="s">
        <v>1292</v>
      </c>
      <c r="S1506" s="180" t="s">
        <v>1417</v>
      </c>
      <c r="T1506" s="183">
        <f t="shared" si="39"/>
        <v>2</v>
      </c>
      <c r="U1506" s="184">
        <f t="shared" si="36"/>
        <v>45707</v>
      </c>
      <c r="V1506" s="183"/>
      <c r="W1506" s="43">
        <f t="shared" si="38"/>
        <v>2</v>
      </c>
      <c r="X1506" s="49" t="s">
        <v>1559</v>
      </c>
      <c r="Y1506" s="49" t="s">
        <v>78</v>
      </c>
      <c r="Z1506" s="183"/>
      <c r="AA1506" s="183"/>
      <c r="AB1506" s="183"/>
    </row>
    <row r="1507" spans="1:28" hidden="1">
      <c r="A1507" s="180" t="s">
        <v>1017</v>
      </c>
      <c r="B1507" s="181">
        <v>45707</v>
      </c>
      <c r="C1507" s="180" t="s">
        <v>1008</v>
      </c>
      <c r="D1507" s="180" t="s">
        <v>281</v>
      </c>
      <c r="E1507" s="180" t="s">
        <v>199</v>
      </c>
      <c r="F1507" s="182"/>
      <c r="G1507" s="165">
        <f t="shared" si="35"/>
        <v>4175.4510000000082</v>
      </c>
      <c r="H1507" s="180"/>
      <c r="I1507" s="180" t="s">
        <v>283</v>
      </c>
      <c r="J1507" s="180"/>
      <c r="K1507" s="180"/>
      <c r="L1507" s="180" t="s">
        <v>485</v>
      </c>
      <c r="M1507" s="180"/>
      <c r="N1507" s="180" t="s">
        <v>978</v>
      </c>
      <c r="O1507" s="180"/>
      <c r="P1507" s="180"/>
      <c r="Q1507" s="180"/>
      <c r="R1507" s="180" t="s">
        <v>669</v>
      </c>
      <c r="S1507" s="180" t="s">
        <v>1492</v>
      </c>
      <c r="T1507" s="183">
        <f t="shared" si="39"/>
        <v>2</v>
      </c>
      <c r="U1507" s="184">
        <f t="shared" si="36"/>
        <v>45707</v>
      </c>
      <c r="V1507" s="183"/>
      <c r="W1507" s="43">
        <f t="shared" si="38"/>
        <v>2</v>
      </c>
      <c r="X1507" s="206" t="s">
        <v>1478</v>
      </c>
      <c r="Y1507" s="206" t="s">
        <v>26</v>
      </c>
      <c r="Z1507" s="183"/>
      <c r="AA1507" s="183"/>
      <c r="AB1507" s="183"/>
    </row>
    <row r="1508" spans="1:28" hidden="1">
      <c r="A1508" s="163"/>
      <c r="B1508" s="164">
        <v>45707</v>
      </c>
      <c r="C1508" s="163" t="s">
        <v>346</v>
      </c>
      <c r="D1508" s="163"/>
      <c r="E1508" s="163"/>
      <c r="F1508" s="165">
        <v>0</v>
      </c>
      <c r="G1508" s="165">
        <f t="shared" si="35"/>
        <v>4175.4510000000082</v>
      </c>
      <c r="H1508" s="163"/>
      <c r="I1508" s="163"/>
      <c r="J1508" s="163"/>
      <c r="K1508" s="163"/>
      <c r="L1508" s="163"/>
      <c r="M1508" s="163"/>
      <c r="N1508" s="163"/>
      <c r="O1508" s="163"/>
      <c r="P1508" s="163"/>
      <c r="Q1508" s="163"/>
      <c r="R1508" s="163"/>
      <c r="S1508" s="163"/>
      <c r="T1508" s="43">
        <f t="shared" si="39"/>
        <v>2</v>
      </c>
      <c r="U1508" s="167">
        <f t="shared" si="36"/>
        <v>45707</v>
      </c>
      <c r="W1508" s="43">
        <f t="shared" si="38"/>
        <v>2</v>
      </c>
    </row>
    <row r="1509" spans="1:28" ht="14.25" hidden="1" customHeight="1">
      <c r="A1509" s="180" t="s">
        <v>1017</v>
      </c>
      <c r="B1509" s="181">
        <v>45708</v>
      </c>
      <c r="C1509" s="180" t="s">
        <v>1487</v>
      </c>
      <c r="D1509" s="180" t="s">
        <v>281</v>
      </c>
      <c r="E1509" s="180" t="s">
        <v>282</v>
      </c>
      <c r="F1509" s="269">
        <v>35000</v>
      </c>
      <c r="G1509" s="165">
        <f t="shared" si="35"/>
        <v>39175.451000000008</v>
      </c>
      <c r="H1509" s="180"/>
      <c r="I1509" s="180" t="s">
        <v>977</v>
      </c>
      <c r="J1509" s="180"/>
      <c r="K1509" s="180"/>
      <c r="L1509" s="180" t="s">
        <v>366</v>
      </c>
      <c r="M1509" s="180"/>
      <c r="N1509" s="180" t="s">
        <v>978</v>
      </c>
      <c r="O1509" s="180"/>
      <c r="P1509" s="180"/>
      <c r="Q1509" s="180"/>
      <c r="R1509" s="180" t="s">
        <v>990</v>
      </c>
      <c r="S1509" s="180" t="s">
        <v>991</v>
      </c>
      <c r="T1509" s="183">
        <f t="shared" si="39"/>
        <v>2</v>
      </c>
      <c r="U1509" s="184">
        <f t="shared" si="36"/>
        <v>45708</v>
      </c>
      <c r="V1509" s="256"/>
      <c r="W1509" s="43">
        <f t="shared" si="38"/>
        <v>2</v>
      </c>
      <c r="X1509" s="183" t="s">
        <v>282</v>
      </c>
      <c r="Y1509" s="183" t="s">
        <v>1443</v>
      </c>
      <c r="Z1509" s="183" t="s">
        <v>1113</v>
      </c>
      <c r="AA1509" s="183" t="s">
        <v>1113</v>
      </c>
      <c r="AB1509" s="183"/>
    </row>
    <row r="1510" spans="1:28" hidden="1">
      <c r="A1510" s="163" t="s">
        <v>1174</v>
      </c>
      <c r="B1510" s="164">
        <v>45708</v>
      </c>
      <c r="C1510" s="163" t="s">
        <v>72</v>
      </c>
      <c r="D1510" s="163" t="s">
        <v>281</v>
      </c>
      <c r="E1510" s="163" t="s">
        <v>407</v>
      </c>
      <c r="F1510" s="197">
        <v>2950</v>
      </c>
      <c r="G1510" s="165">
        <f t="shared" si="35"/>
        <v>42125.451000000008</v>
      </c>
      <c r="H1510" s="163"/>
      <c r="I1510" s="163" t="s">
        <v>1176</v>
      </c>
      <c r="J1510" s="163" t="s">
        <v>1422</v>
      </c>
      <c r="K1510" s="163"/>
      <c r="L1510" s="163" t="s">
        <v>305</v>
      </c>
      <c r="M1510" s="163"/>
      <c r="N1510" s="163" t="s">
        <v>1178</v>
      </c>
      <c r="O1510" s="163" t="s">
        <v>1422</v>
      </c>
      <c r="P1510" s="163" t="s">
        <v>1023</v>
      </c>
      <c r="Q1510" s="163"/>
      <c r="R1510" s="163" t="s">
        <v>1051</v>
      </c>
      <c r="S1510" s="163" t="s">
        <v>1052</v>
      </c>
      <c r="T1510" s="43">
        <f t="shared" si="39"/>
        <v>2</v>
      </c>
      <c r="U1510" s="167">
        <f t="shared" si="36"/>
        <v>45708</v>
      </c>
      <c r="W1510" s="43">
        <f t="shared" si="38"/>
        <v>2</v>
      </c>
      <c r="X1510" s="43" t="s">
        <v>1484</v>
      </c>
      <c r="Y1510" s="43" t="s">
        <v>1485</v>
      </c>
    </row>
    <row r="1511" spans="1:28" hidden="1">
      <c r="A1511" s="163" t="s">
        <v>1174</v>
      </c>
      <c r="B1511" s="164">
        <v>45708</v>
      </c>
      <c r="C1511" s="163" t="s">
        <v>1018</v>
      </c>
      <c r="D1511" s="163" t="s">
        <v>281</v>
      </c>
      <c r="E1511" s="163" t="s">
        <v>407</v>
      </c>
      <c r="F1511" s="224">
        <v>4199</v>
      </c>
      <c r="G1511" s="165">
        <f t="shared" si="35"/>
        <v>46324.451000000008</v>
      </c>
      <c r="H1511" s="163"/>
      <c r="I1511" s="163" t="s">
        <v>1176</v>
      </c>
      <c r="J1511" s="163" t="s">
        <v>1420</v>
      </c>
      <c r="K1511" s="163"/>
      <c r="L1511" s="163" t="s">
        <v>305</v>
      </c>
      <c r="M1511" s="163"/>
      <c r="N1511" s="163" t="s">
        <v>1178</v>
      </c>
      <c r="O1511" s="163" t="s">
        <v>1420</v>
      </c>
      <c r="P1511" s="163" t="s">
        <v>1023</v>
      </c>
      <c r="Q1511" s="163"/>
      <c r="R1511" s="163" t="s">
        <v>1024</v>
      </c>
      <c r="S1511" s="163" t="s">
        <v>1025</v>
      </c>
      <c r="T1511" s="43">
        <f t="shared" si="39"/>
        <v>2</v>
      </c>
      <c r="U1511" s="167">
        <f t="shared" si="36"/>
        <v>45708</v>
      </c>
      <c r="W1511" s="43">
        <f t="shared" si="38"/>
        <v>2</v>
      </c>
      <c r="X1511" s="43" t="s">
        <v>1484</v>
      </c>
      <c r="Y1511" s="43" t="s">
        <v>1485</v>
      </c>
    </row>
    <row r="1512" spans="1:28" hidden="1">
      <c r="A1512" s="163" t="s">
        <v>1174</v>
      </c>
      <c r="B1512" s="164">
        <v>45716</v>
      </c>
      <c r="C1512" s="163" t="s">
        <v>1592</v>
      </c>
      <c r="D1512" s="163" t="s">
        <v>281</v>
      </c>
      <c r="E1512" s="163" t="s">
        <v>407</v>
      </c>
      <c r="F1512" s="197">
        <v>1799</v>
      </c>
      <c r="G1512" s="165">
        <f t="shared" si="35"/>
        <v>48123.451000000008</v>
      </c>
      <c r="H1512" s="163"/>
      <c r="I1512" s="163" t="s">
        <v>1176</v>
      </c>
      <c r="J1512" s="163" t="s">
        <v>1585</v>
      </c>
      <c r="K1512" s="163"/>
      <c r="L1512" s="163" t="s">
        <v>305</v>
      </c>
      <c r="M1512" s="163"/>
      <c r="N1512" s="163" t="s">
        <v>1178</v>
      </c>
      <c r="O1512" s="163" t="s">
        <v>1585</v>
      </c>
      <c r="P1512" s="163" t="s">
        <v>1586</v>
      </c>
      <c r="Q1512" s="163"/>
      <c r="R1512" s="163" t="s">
        <v>1587</v>
      </c>
      <c r="S1512" s="163" t="s">
        <v>1588</v>
      </c>
      <c r="T1512" s="43">
        <f t="shared" si="39"/>
        <v>2</v>
      </c>
      <c r="U1512" s="167">
        <f t="shared" si="36"/>
        <v>45708</v>
      </c>
      <c r="V1512" s="272">
        <v>45708</v>
      </c>
      <c r="W1512" s="43">
        <f t="shared" si="38"/>
        <v>2</v>
      </c>
      <c r="X1512" s="43" t="s">
        <v>1484</v>
      </c>
      <c r="Y1512" s="43" t="s">
        <v>1485</v>
      </c>
    </row>
    <row r="1513" spans="1:28" ht="14.25" hidden="1" customHeight="1">
      <c r="A1513" s="163" t="s">
        <v>1174</v>
      </c>
      <c r="B1513" s="164">
        <v>45705</v>
      </c>
      <c r="C1513" s="163" t="s">
        <v>1683</v>
      </c>
      <c r="D1513" s="163" t="s">
        <v>281</v>
      </c>
      <c r="E1513" s="163" t="s">
        <v>407</v>
      </c>
      <c r="F1513" s="195">
        <v>5000</v>
      </c>
      <c r="G1513" s="165">
        <f t="shared" si="35"/>
        <v>53123.451000000008</v>
      </c>
      <c r="H1513" s="163"/>
      <c r="I1513" s="163" t="s">
        <v>1176</v>
      </c>
      <c r="J1513" s="163" t="s">
        <v>1400</v>
      </c>
      <c r="K1513" s="163"/>
      <c r="L1513" s="163" t="s">
        <v>305</v>
      </c>
      <c r="M1513" s="163"/>
      <c r="N1513" s="163" t="s">
        <v>1178</v>
      </c>
      <c r="O1513" s="163" t="s">
        <v>1400</v>
      </c>
      <c r="P1513" s="163" t="s">
        <v>57</v>
      </c>
      <c r="Q1513" s="163"/>
      <c r="R1513" s="163" t="s">
        <v>962</v>
      </c>
      <c r="S1513" s="163" t="s">
        <v>968</v>
      </c>
      <c r="T1513" s="94">
        <f t="shared" si="39"/>
        <v>2</v>
      </c>
      <c r="U1513" s="212">
        <f t="shared" si="36"/>
        <v>45708</v>
      </c>
      <c r="V1513" s="272">
        <v>45708</v>
      </c>
      <c r="W1513" s="43">
        <f t="shared" si="38"/>
        <v>2</v>
      </c>
      <c r="X1513" s="43" t="s">
        <v>1484</v>
      </c>
      <c r="Y1513" s="43" t="s">
        <v>1485</v>
      </c>
      <c r="Z1513" s="49"/>
      <c r="AA1513" s="49"/>
      <c r="AB1513" s="49"/>
    </row>
    <row r="1514" spans="1:28" ht="14.25" hidden="1" customHeight="1">
      <c r="A1514" s="163" t="s">
        <v>1174</v>
      </c>
      <c r="B1514" s="164">
        <v>45705</v>
      </c>
      <c r="C1514" s="163" t="s">
        <v>1684</v>
      </c>
      <c r="D1514" s="163" t="s">
        <v>281</v>
      </c>
      <c r="E1514" s="163" t="s">
        <v>407</v>
      </c>
      <c r="F1514" s="195">
        <v>5000</v>
      </c>
      <c r="G1514" s="165">
        <f t="shared" si="35"/>
        <v>58123.451000000008</v>
      </c>
      <c r="H1514" s="163"/>
      <c r="I1514" s="163" t="s">
        <v>1176</v>
      </c>
      <c r="J1514" s="163" t="s">
        <v>1400</v>
      </c>
      <c r="K1514" s="163"/>
      <c r="L1514" s="163" t="s">
        <v>305</v>
      </c>
      <c r="M1514" s="163"/>
      <c r="N1514" s="163" t="s">
        <v>1178</v>
      </c>
      <c r="O1514" s="163" t="s">
        <v>1400</v>
      </c>
      <c r="P1514" s="163" t="s">
        <v>57</v>
      </c>
      <c r="Q1514" s="163"/>
      <c r="R1514" s="163" t="s">
        <v>962</v>
      </c>
      <c r="S1514" s="163" t="s">
        <v>968</v>
      </c>
      <c r="T1514" s="94">
        <f t="shared" si="39"/>
        <v>2</v>
      </c>
      <c r="U1514" s="212">
        <f t="shared" si="36"/>
        <v>45708</v>
      </c>
      <c r="V1514" s="272">
        <v>45708</v>
      </c>
      <c r="W1514" s="43">
        <f t="shared" si="38"/>
        <v>2</v>
      </c>
      <c r="X1514" s="43" t="s">
        <v>1484</v>
      </c>
      <c r="Y1514" s="43" t="s">
        <v>1485</v>
      </c>
      <c r="Z1514" s="49"/>
      <c r="AA1514" s="49"/>
      <c r="AB1514" s="49"/>
    </row>
    <row r="1515" spans="1:28" hidden="1">
      <c r="A1515" s="163" t="s">
        <v>1017</v>
      </c>
      <c r="B1515" s="164">
        <v>45699</v>
      </c>
      <c r="C1515" s="163" t="s">
        <v>1685</v>
      </c>
      <c r="D1515" s="163" t="s">
        <v>281</v>
      </c>
      <c r="E1515" s="163" t="s">
        <v>760</v>
      </c>
      <c r="F1515" s="169">
        <v>-909.52</v>
      </c>
      <c r="G1515" s="165">
        <f t="shared" si="35"/>
        <v>57213.931000000011</v>
      </c>
      <c r="H1515" s="163"/>
      <c r="I1515" s="163" t="s">
        <v>283</v>
      </c>
      <c r="J1515" s="163"/>
      <c r="K1515" s="163"/>
      <c r="L1515" s="163" t="s">
        <v>766</v>
      </c>
      <c r="M1515" s="163"/>
      <c r="N1515" s="163" t="s">
        <v>978</v>
      </c>
      <c r="O1515" s="163"/>
      <c r="P1515" s="163"/>
      <c r="Q1515" s="163"/>
      <c r="R1515" s="163" t="s">
        <v>1368</v>
      </c>
      <c r="S1515" s="163" t="s">
        <v>1369</v>
      </c>
      <c r="T1515" s="43">
        <f t="shared" si="39"/>
        <v>2</v>
      </c>
      <c r="U1515" s="167">
        <f t="shared" si="36"/>
        <v>45708</v>
      </c>
      <c r="V1515" s="272">
        <v>45708</v>
      </c>
      <c r="W1515" s="43">
        <f t="shared" si="38"/>
        <v>2</v>
      </c>
      <c r="X1515" s="236" t="s">
        <v>1482</v>
      </c>
      <c r="Y1515" s="236" t="s">
        <v>78</v>
      </c>
    </row>
    <row r="1516" spans="1:28" hidden="1">
      <c r="A1516" s="163" t="s">
        <v>1017</v>
      </c>
      <c r="B1516" s="164">
        <v>45708</v>
      </c>
      <c r="C1516" s="163" t="s">
        <v>385</v>
      </c>
      <c r="D1516" s="163" t="s">
        <v>281</v>
      </c>
      <c r="E1516" s="163" t="s">
        <v>1061</v>
      </c>
      <c r="F1516" s="169">
        <v>-6806.84</v>
      </c>
      <c r="G1516" s="165">
        <f t="shared" si="35"/>
        <v>50407.091000000015</v>
      </c>
      <c r="H1516" s="163"/>
      <c r="I1516" s="163" t="s">
        <v>342</v>
      </c>
      <c r="J1516" s="163"/>
      <c r="K1516" s="163"/>
      <c r="L1516" s="163" t="s">
        <v>1686</v>
      </c>
      <c r="M1516" s="163"/>
      <c r="N1516" s="163" t="s">
        <v>978</v>
      </c>
      <c r="O1516" s="163"/>
      <c r="P1516" s="163"/>
      <c r="Q1516" s="163"/>
      <c r="R1516" s="163" t="s">
        <v>389</v>
      </c>
      <c r="S1516" s="163" t="s">
        <v>390</v>
      </c>
      <c r="T1516" s="43">
        <f t="shared" si="39"/>
        <v>2</v>
      </c>
      <c r="U1516" s="167">
        <f t="shared" si="36"/>
        <v>45708</v>
      </c>
      <c r="V1516" s="166"/>
      <c r="W1516" s="43">
        <f t="shared" si="38"/>
        <v>2</v>
      </c>
      <c r="X1516" s="49" t="s">
        <v>1498</v>
      </c>
      <c r="Y1516" s="49" t="s">
        <v>1336</v>
      </c>
    </row>
    <row r="1517" spans="1:28" hidden="1">
      <c r="A1517" s="163" t="s">
        <v>1017</v>
      </c>
      <c r="B1517" s="164">
        <v>45708</v>
      </c>
      <c r="C1517" s="163" t="s">
        <v>95</v>
      </c>
      <c r="D1517" s="163" t="s">
        <v>281</v>
      </c>
      <c r="E1517" s="163" t="s">
        <v>1031</v>
      </c>
      <c r="F1517" s="169">
        <v>-1240.44</v>
      </c>
      <c r="G1517" s="165">
        <f t="shared" si="35"/>
        <v>49166.651000000013</v>
      </c>
      <c r="H1517" s="163"/>
      <c r="I1517" s="163" t="s">
        <v>994</v>
      </c>
      <c r="J1517" s="163"/>
      <c r="K1517" s="163"/>
      <c r="L1517" s="163" t="s">
        <v>1571</v>
      </c>
      <c r="M1517" s="163"/>
      <c r="N1517" s="163" t="s">
        <v>978</v>
      </c>
      <c r="O1517" s="163"/>
      <c r="P1517" s="163"/>
      <c r="Q1517" s="163"/>
      <c r="R1517" s="163" t="s">
        <v>95</v>
      </c>
      <c r="S1517" s="163" t="s">
        <v>440</v>
      </c>
      <c r="T1517" s="43">
        <f t="shared" si="39"/>
        <v>2</v>
      </c>
      <c r="U1517" s="167">
        <f t="shared" si="36"/>
        <v>45708</v>
      </c>
      <c r="W1517" s="43">
        <f t="shared" si="38"/>
        <v>2</v>
      </c>
      <c r="X1517" s="49" t="s">
        <v>1499</v>
      </c>
      <c r="Y1517" s="49" t="s">
        <v>26</v>
      </c>
    </row>
    <row r="1518" spans="1:28" hidden="1">
      <c r="A1518" s="163" t="s">
        <v>1017</v>
      </c>
      <c r="B1518" s="164">
        <v>45708</v>
      </c>
      <c r="C1518" s="163" t="s">
        <v>358</v>
      </c>
      <c r="D1518" s="163" t="s">
        <v>281</v>
      </c>
      <c r="E1518" s="203" t="s">
        <v>1333</v>
      </c>
      <c r="F1518" s="168"/>
      <c r="G1518" s="165">
        <f t="shared" si="35"/>
        <v>49166.651000000013</v>
      </c>
      <c r="H1518" s="163"/>
      <c r="I1518" s="163" t="s">
        <v>283</v>
      </c>
      <c r="J1518" s="163"/>
      <c r="K1518" s="163"/>
      <c r="L1518" s="163" t="s">
        <v>1571</v>
      </c>
      <c r="M1518" s="163"/>
      <c r="N1518" s="163" t="s">
        <v>978</v>
      </c>
      <c r="O1518" s="163"/>
      <c r="P1518" s="163"/>
      <c r="Q1518" s="163"/>
      <c r="R1518" s="163" t="s">
        <v>358</v>
      </c>
      <c r="S1518" s="163" t="s">
        <v>361</v>
      </c>
      <c r="T1518" s="43">
        <f t="shared" si="39"/>
        <v>2</v>
      </c>
      <c r="U1518" s="167">
        <f t="shared" si="36"/>
        <v>45708</v>
      </c>
      <c r="W1518" s="43">
        <f t="shared" si="38"/>
        <v>2</v>
      </c>
      <c r="X1518" s="49" t="s">
        <v>1333</v>
      </c>
      <c r="Y1518" s="49" t="s">
        <v>1336</v>
      </c>
    </row>
    <row r="1519" spans="1:28" hidden="1">
      <c r="A1519" s="163" t="s">
        <v>1017</v>
      </c>
      <c r="B1519" s="164">
        <v>45708</v>
      </c>
      <c r="C1519" s="163" t="s">
        <v>457</v>
      </c>
      <c r="D1519" s="163" t="s">
        <v>281</v>
      </c>
      <c r="E1519" s="163" t="s">
        <v>1031</v>
      </c>
      <c r="F1519" s="169">
        <v>-1021.1</v>
      </c>
      <c r="G1519" s="165">
        <f t="shared" si="35"/>
        <v>48145.551000000014</v>
      </c>
      <c r="H1519" s="163"/>
      <c r="I1519" s="163" t="s">
        <v>283</v>
      </c>
      <c r="J1519" s="163"/>
      <c r="K1519" s="163"/>
      <c r="L1519" s="163" t="s">
        <v>1571</v>
      </c>
      <c r="M1519" s="163"/>
      <c r="N1519" s="163" t="s">
        <v>978</v>
      </c>
      <c r="O1519" s="163"/>
      <c r="P1519" s="163"/>
      <c r="Q1519" s="163"/>
      <c r="R1519" s="163" t="s">
        <v>457</v>
      </c>
      <c r="S1519" s="163" t="s">
        <v>459</v>
      </c>
      <c r="T1519" s="43">
        <f t="shared" si="39"/>
        <v>2</v>
      </c>
      <c r="U1519" s="167">
        <f t="shared" si="36"/>
        <v>45708</v>
      </c>
      <c r="W1519" s="43">
        <f t="shared" si="38"/>
        <v>2</v>
      </c>
      <c r="X1519" s="49" t="s">
        <v>1333</v>
      </c>
      <c r="Y1519" s="49" t="s">
        <v>1336</v>
      </c>
    </row>
    <row r="1520" spans="1:28" hidden="1">
      <c r="A1520" s="163" t="s">
        <v>1017</v>
      </c>
      <c r="B1520" s="164">
        <v>45708</v>
      </c>
      <c r="C1520" s="163" t="s">
        <v>466</v>
      </c>
      <c r="D1520" s="163" t="s">
        <v>281</v>
      </c>
      <c r="E1520" s="163" t="s">
        <v>1031</v>
      </c>
      <c r="F1520" s="169">
        <v>-1021.1</v>
      </c>
      <c r="G1520" s="165">
        <f t="shared" si="35"/>
        <v>47124.451000000015</v>
      </c>
      <c r="H1520" s="163"/>
      <c r="I1520" s="163" t="s">
        <v>283</v>
      </c>
      <c r="J1520" s="163"/>
      <c r="K1520" s="163"/>
      <c r="L1520" s="163" t="s">
        <v>1571</v>
      </c>
      <c r="M1520" s="163"/>
      <c r="N1520" s="163" t="s">
        <v>978</v>
      </c>
      <c r="O1520" s="163"/>
      <c r="P1520" s="163"/>
      <c r="Q1520" s="163"/>
      <c r="R1520" s="163" t="s">
        <v>466</v>
      </c>
      <c r="S1520" s="163" t="s">
        <v>468</v>
      </c>
      <c r="T1520" s="43">
        <f t="shared" si="39"/>
        <v>2</v>
      </c>
      <c r="U1520" s="167">
        <f t="shared" si="36"/>
        <v>45708</v>
      </c>
      <c r="W1520" s="43">
        <f t="shared" si="38"/>
        <v>2</v>
      </c>
      <c r="X1520" s="49" t="s">
        <v>1333</v>
      </c>
      <c r="Y1520" s="49" t="s">
        <v>1336</v>
      </c>
    </row>
    <row r="1521" spans="1:25" hidden="1">
      <c r="A1521" s="163" t="s">
        <v>1017</v>
      </c>
      <c r="B1521" s="164">
        <v>45708</v>
      </c>
      <c r="C1521" s="163" t="s">
        <v>451</v>
      </c>
      <c r="D1521" s="163" t="s">
        <v>281</v>
      </c>
      <c r="E1521" s="203" t="s">
        <v>1333</v>
      </c>
      <c r="F1521" s="168"/>
      <c r="G1521" s="165">
        <f t="shared" si="35"/>
        <v>47124.451000000015</v>
      </c>
      <c r="H1521" s="163"/>
      <c r="I1521" s="163" t="s">
        <v>283</v>
      </c>
      <c r="J1521" s="163"/>
      <c r="K1521" s="163"/>
      <c r="L1521" s="163" t="s">
        <v>366</v>
      </c>
      <c r="M1521" s="163"/>
      <c r="N1521" s="163" t="s">
        <v>978</v>
      </c>
      <c r="O1521" s="163"/>
      <c r="P1521" s="163"/>
      <c r="Q1521" s="163"/>
      <c r="R1521" s="163" t="s">
        <v>451</v>
      </c>
      <c r="S1521" s="163" t="s">
        <v>453</v>
      </c>
      <c r="T1521" s="43">
        <f t="shared" si="39"/>
        <v>2</v>
      </c>
      <c r="U1521" s="167">
        <f t="shared" si="36"/>
        <v>45708</v>
      </c>
      <c r="W1521" s="43">
        <f t="shared" si="38"/>
        <v>2</v>
      </c>
      <c r="X1521" s="49" t="s">
        <v>1333</v>
      </c>
      <c r="Y1521" s="49" t="s">
        <v>1336</v>
      </c>
    </row>
    <row r="1522" spans="1:25" hidden="1">
      <c r="A1522" s="163" t="s">
        <v>1017</v>
      </c>
      <c r="B1522" s="164">
        <v>45708</v>
      </c>
      <c r="C1522" s="163" t="s">
        <v>1687</v>
      </c>
      <c r="D1522" s="163" t="s">
        <v>281</v>
      </c>
      <c r="E1522" s="163" t="s">
        <v>1031</v>
      </c>
      <c r="F1522" s="169"/>
      <c r="G1522" s="165">
        <f t="shared" si="35"/>
        <v>47124.451000000015</v>
      </c>
      <c r="H1522" s="163"/>
      <c r="I1522" s="163" t="s">
        <v>283</v>
      </c>
      <c r="J1522" s="163"/>
      <c r="K1522" s="163"/>
      <c r="L1522" s="163" t="s">
        <v>366</v>
      </c>
      <c r="M1522" s="163"/>
      <c r="N1522" s="163" t="s">
        <v>978</v>
      </c>
      <c r="O1522" s="163"/>
      <c r="P1522" s="163"/>
      <c r="Q1522" s="163"/>
      <c r="R1522" s="163" t="s">
        <v>451</v>
      </c>
      <c r="S1522" s="163" t="s">
        <v>453</v>
      </c>
      <c r="T1522" s="43">
        <f t="shared" si="39"/>
        <v>2</v>
      </c>
      <c r="U1522" s="167">
        <f t="shared" si="36"/>
        <v>45708</v>
      </c>
      <c r="W1522" s="43">
        <f t="shared" si="38"/>
        <v>2</v>
      </c>
      <c r="X1522" s="49" t="s">
        <v>1499</v>
      </c>
      <c r="Y1522" s="49" t="s">
        <v>26</v>
      </c>
    </row>
    <row r="1523" spans="1:25" hidden="1">
      <c r="A1523" s="163" t="s">
        <v>1017</v>
      </c>
      <c r="B1523" s="164">
        <v>45708</v>
      </c>
      <c r="C1523" s="163" t="s">
        <v>1688</v>
      </c>
      <c r="D1523" s="163" t="s">
        <v>281</v>
      </c>
      <c r="E1523" s="163" t="s">
        <v>1031</v>
      </c>
      <c r="F1523" s="169"/>
      <c r="G1523" s="165">
        <f t="shared" si="35"/>
        <v>47124.451000000015</v>
      </c>
      <c r="H1523" s="163"/>
      <c r="I1523" s="163" t="s">
        <v>283</v>
      </c>
      <c r="J1523" s="163"/>
      <c r="K1523" s="163"/>
      <c r="L1523" s="163" t="s">
        <v>366</v>
      </c>
      <c r="M1523" s="163"/>
      <c r="N1523" s="163" t="s">
        <v>978</v>
      </c>
      <c r="O1523" s="163"/>
      <c r="P1523" s="163"/>
      <c r="Q1523" s="163"/>
      <c r="R1523" s="163" t="s">
        <v>451</v>
      </c>
      <c r="S1523" s="163" t="s">
        <v>453</v>
      </c>
      <c r="T1523" s="43">
        <f t="shared" si="39"/>
        <v>2</v>
      </c>
      <c r="U1523" s="167">
        <f t="shared" si="36"/>
        <v>45708</v>
      </c>
      <c r="W1523" s="43">
        <f t="shared" si="38"/>
        <v>2</v>
      </c>
      <c r="X1523" s="49" t="s">
        <v>1499</v>
      </c>
      <c r="Y1523" s="49" t="s">
        <v>26</v>
      </c>
    </row>
    <row r="1524" spans="1:25" hidden="1">
      <c r="A1524" s="163" t="s">
        <v>1017</v>
      </c>
      <c r="B1524" s="164">
        <v>45708</v>
      </c>
      <c r="C1524" s="163" t="s">
        <v>111</v>
      </c>
      <c r="D1524" s="163" t="s">
        <v>281</v>
      </c>
      <c r="E1524" s="163" t="s">
        <v>1031</v>
      </c>
      <c r="F1524" s="169">
        <v>-2080</v>
      </c>
      <c r="G1524" s="165">
        <f t="shared" si="35"/>
        <v>45044.451000000015</v>
      </c>
      <c r="H1524" s="163"/>
      <c r="I1524" s="163" t="s">
        <v>283</v>
      </c>
      <c r="J1524" s="163"/>
      <c r="K1524" s="163"/>
      <c r="L1524" s="163" t="s">
        <v>686</v>
      </c>
      <c r="M1524" s="163"/>
      <c r="N1524" s="163" t="s">
        <v>978</v>
      </c>
      <c r="O1524" s="163"/>
      <c r="P1524" s="163"/>
      <c r="Q1524" s="163"/>
      <c r="R1524" s="163" t="s">
        <v>111</v>
      </c>
      <c r="S1524" s="163" t="s">
        <v>320</v>
      </c>
      <c r="T1524" s="43">
        <f t="shared" si="39"/>
        <v>2</v>
      </c>
      <c r="U1524" s="167">
        <f t="shared" si="36"/>
        <v>45708</v>
      </c>
      <c r="W1524" s="43">
        <f t="shared" si="38"/>
        <v>2</v>
      </c>
      <c r="X1524" s="49" t="s">
        <v>1499</v>
      </c>
      <c r="Y1524" s="49" t="s">
        <v>105</v>
      </c>
    </row>
    <row r="1525" spans="1:25" hidden="1">
      <c r="A1525" s="163" t="s">
        <v>1017</v>
      </c>
      <c r="B1525" s="164">
        <v>45708</v>
      </c>
      <c r="C1525" s="163" t="s">
        <v>93</v>
      </c>
      <c r="D1525" s="163" t="s">
        <v>281</v>
      </c>
      <c r="E1525" s="163" t="s">
        <v>1031</v>
      </c>
      <c r="F1525" s="169">
        <v>-4800</v>
      </c>
      <c r="G1525" s="165">
        <f t="shared" si="35"/>
        <v>40244.451000000015</v>
      </c>
      <c r="H1525" s="163"/>
      <c r="I1525" s="163" t="s">
        <v>283</v>
      </c>
      <c r="J1525" s="163"/>
      <c r="K1525" s="163"/>
      <c r="L1525" s="163" t="s">
        <v>766</v>
      </c>
      <c r="M1525" s="163"/>
      <c r="N1525" s="163" t="s">
        <v>978</v>
      </c>
      <c r="O1525" s="163"/>
      <c r="P1525" s="163"/>
      <c r="Q1525" s="163"/>
      <c r="R1525" s="163" t="s">
        <v>93</v>
      </c>
      <c r="S1525" s="163" t="s">
        <v>540</v>
      </c>
      <c r="T1525" s="43">
        <f t="shared" si="39"/>
        <v>2</v>
      </c>
      <c r="U1525" s="167">
        <f t="shared" si="36"/>
        <v>45708</v>
      </c>
      <c r="W1525" s="43">
        <f t="shared" si="38"/>
        <v>2</v>
      </c>
      <c r="X1525" s="49" t="s">
        <v>1499</v>
      </c>
      <c r="Y1525" s="49" t="s">
        <v>94</v>
      </c>
    </row>
    <row r="1526" spans="1:25" hidden="1">
      <c r="A1526" s="163" t="s">
        <v>1017</v>
      </c>
      <c r="B1526" s="164">
        <v>45708</v>
      </c>
      <c r="C1526" s="163" t="s">
        <v>546</v>
      </c>
      <c r="D1526" s="163" t="s">
        <v>281</v>
      </c>
      <c r="E1526" s="163" t="s">
        <v>1031</v>
      </c>
      <c r="F1526" s="169">
        <v>-1021.1</v>
      </c>
      <c r="G1526" s="165">
        <f t="shared" si="35"/>
        <v>39223.351000000017</v>
      </c>
      <c r="H1526" s="163"/>
      <c r="I1526" s="163" t="s">
        <v>283</v>
      </c>
      <c r="J1526" s="163"/>
      <c r="K1526" s="163"/>
      <c r="L1526" s="163" t="s">
        <v>766</v>
      </c>
      <c r="M1526" s="163"/>
      <c r="N1526" s="163" t="s">
        <v>978</v>
      </c>
      <c r="O1526" s="163"/>
      <c r="P1526" s="163"/>
      <c r="Q1526" s="163"/>
      <c r="R1526" s="163" t="s">
        <v>546</v>
      </c>
      <c r="S1526" s="163" t="s">
        <v>548</v>
      </c>
      <c r="T1526" s="43">
        <f t="shared" si="39"/>
        <v>2</v>
      </c>
      <c r="U1526" s="167">
        <f t="shared" si="36"/>
        <v>45708</v>
      </c>
      <c r="W1526" s="43">
        <f t="shared" si="38"/>
        <v>2</v>
      </c>
      <c r="X1526" s="49" t="s">
        <v>1499</v>
      </c>
      <c r="Y1526" s="49" t="s">
        <v>26</v>
      </c>
    </row>
    <row r="1527" spans="1:25" hidden="1">
      <c r="A1527" s="163" t="s">
        <v>1017</v>
      </c>
      <c r="B1527" s="164">
        <v>45708</v>
      </c>
      <c r="C1527" s="163" t="s">
        <v>484</v>
      </c>
      <c r="D1527" s="163" t="s">
        <v>281</v>
      </c>
      <c r="E1527" s="163" t="s">
        <v>1031</v>
      </c>
      <c r="F1527" s="169">
        <v>-400</v>
      </c>
      <c r="G1527" s="165">
        <f t="shared" si="35"/>
        <v>38823.351000000017</v>
      </c>
      <c r="H1527" s="163"/>
      <c r="I1527" s="163" t="s">
        <v>283</v>
      </c>
      <c r="J1527" s="163"/>
      <c r="K1527" s="163"/>
      <c r="L1527" s="163" t="s">
        <v>766</v>
      </c>
      <c r="M1527" s="163"/>
      <c r="N1527" s="163" t="s">
        <v>978</v>
      </c>
      <c r="O1527" s="163"/>
      <c r="P1527" s="163"/>
      <c r="Q1527" s="163"/>
      <c r="R1527" s="163" t="s">
        <v>484</v>
      </c>
      <c r="S1527" s="163" t="s">
        <v>487</v>
      </c>
      <c r="T1527" s="43">
        <f t="shared" si="39"/>
        <v>2</v>
      </c>
      <c r="U1527" s="167">
        <f t="shared" si="36"/>
        <v>45708</v>
      </c>
      <c r="W1527" s="43">
        <f t="shared" si="38"/>
        <v>2</v>
      </c>
      <c r="X1527" s="49" t="s">
        <v>1499</v>
      </c>
      <c r="Y1527" s="49" t="s">
        <v>86</v>
      </c>
    </row>
    <row r="1528" spans="1:25" hidden="1">
      <c r="A1528" s="163" t="s">
        <v>1017</v>
      </c>
      <c r="B1528" s="164">
        <v>45708</v>
      </c>
      <c r="C1528" s="163" t="s">
        <v>491</v>
      </c>
      <c r="D1528" s="163" t="s">
        <v>281</v>
      </c>
      <c r="E1528" s="163" t="s">
        <v>1031</v>
      </c>
      <c r="F1528" s="169">
        <v>-1200</v>
      </c>
      <c r="G1528" s="165">
        <f t="shared" si="35"/>
        <v>37623.351000000017</v>
      </c>
      <c r="H1528" s="163"/>
      <c r="I1528" s="163" t="s">
        <v>283</v>
      </c>
      <c r="J1528" s="163"/>
      <c r="K1528" s="163"/>
      <c r="L1528" s="163" t="s">
        <v>766</v>
      </c>
      <c r="M1528" s="163"/>
      <c r="N1528" s="163" t="s">
        <v>978</v>
      </c>
      <c r="O1528" s="163"/>
      <c r="P1528" s="163"/>
      <c r="Q1528" s="163"/>
      <c r="R1528" s="163" t="s">
        <v>491</v>
      </c>
      <c r="S1528" s="163" t="s">
        <v>493</v>
      </c>
      <c r="T1528" s="43">
        <f t="shared" si="39"/>
        <v>2</v>
      </c>
      <c r="U1528" s="167">
        <f t="shared" si="36"/>
        <v>45708</v>
      </c>
      <c r="W1528" s="43">
        <f t="shared" si="38"/>
        <v>2</v>
      </c>
      <c r="X1528" s="49" t="s">
        <v>1499</v>
      </c>
      <c r="Y1528" s="49" t="s">
        <v>86</v>
      </c>
    </row>
    <row r="1529" spans="1:25" hidden="1">
      <c r="A1529" s="163" t="s">
        <v>1017</v>
      </c>
      <c r="B1529" s="164">
        <v>45708</v>
      </c>
      <c r="C1529" s="163" t="s">
        <v>516</v>
      </c>
      <c r="D1529" s="163" t="s">
        <v>281</v>
      </c>
      <c r="E1529" s="163" t="s">
        <v>1031</v>
      </c>
      <c r="F1529" s="169">
        <v>-400</v>
      </c>
      <c r="G1529" s="165">
        <f t="shared" si="35"/>
        <v>37223.351000000017</v>
      </c>
      <c r="H1529" s="163"/>
      <c r="I1529" s="163" t="s">
        <v>283</v>
      </c>
      <c r="J1529" s="163"/>
      <c r="K1529" s="163"/>
      <c r="L1529" s="163" t="s">
        <v>766</v>
      </c>
      <c r="M1529" s="163"/>
      <c r="N1529" s="163" t="s">
        <v>978</v>
      </c>
      <c r="O1529" s="163"/>
      <c r="P1529" s="163"/>
      <c r="Q1529" s="163"/>
      <c r="R1529" s="163" t="s">
        <v>516</v>
      </c>
      <c r="S1529" s="163" t="s">
        <v>518</v>
      </c>
      <c r="T1529" s="43">
        <f t="shared" si="39"/>
        <v>2</v>
      </c>
      <c r="U1529" s="167">
        <f t="shared" si="36"/>
        <v>45708</v>
      </c>
      <c r="W1529" s="43">
        <f t="shared" si="38"/>
        <v>2</v>
      </c>
      <c r="X1529" s="49" t="s">
        <v>1499</v>
      </c>
      <c r="Y1529" s="49" t="s">
        <v>86</v>
      </c>
    </row>
    <row r="1530" spans="1:25" hidden="1">
      <c r="A1530" s="163" t="s">
        <v>1017</v>
      </c>
      <c r="B1530" s="164">
        <v>45708</v>
      </c>
      <c r="C1530" s="163" t="s">
        <v>525</v>
      </c>
      <c r="D1530" s="163" t="s">
        <v>281</v>
      </c>
      <c r="E1530" s="163" t="s">
        <v>1031</v>
      </c>
      <c r="F1530" s="169">
        <v>-700</v>
      </c>
      <c r="G1530" s="165">
        <f t="shared" si="35"/>
        <v>36523.351000000017</v>
      </c>
      <c r="H1530" s="163"/>
      <c r="I1530" s="163" t="s">
        <v>283</v>
      </c>
      <c r="J1530" s="163"/>
      <c r="K1530" s="163"/>
      <c r="L1530" s="163" t="s">
        <v>766</v>
      </c>
      <c r="M1530" s="163"/>
      <c r="N1530" s="163" t="s">
        <v>978</v>
      </c>
      <c r="O1530" s="163"/>
      <c r="P1530" s="163"/>
      <c r="Q1530" s="163"/>
      <c r="R1530" s="163" t="s">
        <v>525</v>
      </c>
      <c r="S1530" s="163" t="s">
        <v>527</v>
      </c>
      <c r="T1530" s="43">
        <f t="shared" si="39"/>
        <v>2</v>
      </c>
      <c r="U1530" s="167">
        <f t="shared" si="36"/>
        <v>45708</v>
      </c>
      <c r="W1530" s="43">
        <f t="shared" si="38"/>
        <v>2</v>
      </c>
      <c r="X1530" s="49" t="s">
        <v>1499</v>
      </c>
      <c r="Y1530" s="49" t="s">
        <v>86</v>
      </c>
    </row>
    <row r="1531" spans="1:25" hidden="1">
      <c r="A1531" s="163" t="s">
        <v>1017</v>
      </c>
      <c r="B1531" s="164">
        <v>45708</v>
      </c>
      <c r="C1531" s="163" t="s">
        <v>549</v>
      </c>
      <c r="D1531" s="163" t="s">
        <v>281</v>
      </c>
      <c r="E1531" s="163" t="s">
        <v>1031</v>
      </c>
      <c r="F1531" s="169">
        <v>-2600</v>
      </c>
      <c r="G1531" s="165">
        <f t="shared" si="35"/>
        <v>33923.351000000017</v>
      </c>
      <c r="H1531" s="163"/>
      <c r="I1531" s="163" t="s">
        <v>283</v>
      </c>
      <c r="J1531" s="163"/>
      <c r="K1531" s="163"/>
      <c r="L1531" s="163" t="s">
        <v>477</v>
      </c>
      <c r="M1531" s="163"/>
      <c r="N1531" s="163" t="s">
        <v>978</v>
      </c>
      <c r="O1531" s="163"/>
      <c r="P1531" s="163"/>
      <c r="Q1531" s="163"/>
      <c r="R1531" s="163" t="s">
        <v>549</v>
      </c>
      <c r="S1531" s="163" t="s">
        <v>551</v>
      </c>
      <c r="T1531" s="43">
        <f t="shared" si="39"/>
        <v>2</v>
      </c>
      <c r="U1531" s="167">
        <f t="shared" si="36"/>
        <v>45708</v>
      </c>
      <c r="W1531" s="43">
        <f t="shared" si="38"/>
        <v>2</v>
      </c>
      <c r="X1531" s="49" t="s">
        <v>1499</v>
      </c>
      <c r="Y1531" s="49" t="s">
        <v>105</v>
      </c>
    </row>
    <row r="1532" spans="1:25" hidden="1">
      <c r="A1532" s="163" t="s">
        <v>1017</v>
      </c>
      <c r="B1532" s="164">
        <v>45708</v>
      </c>
      <c r="C1532" s="163" t="s">
        <v>543</v>
      </c>
      <c r="D1532" s="163" t="s">
        <v>281</v>
      </c>
      <c r="E1532" s="163" t="s">
        <v>1031</v>
      </c>
      <c r="F1532" s="168"/>
      <c r="G1532" s="165">
        <f t="shared" si="35"/>
        <v>33923.351000000017</v>
      </c>
      <c r="H1532" s="163"/>
      <c r="I1532" s="163" t="s">
        <v>283</v>
      </c>
      <c r="J1532" s="163"/>
      <c r="K1532" s="163"/>
      <c r="L1532" s="163" t="s">
        <v>477</v>
      </c>
      <c r="M1532" s="163"/>
      <c r="N1532" s="163" t="s">
        <v>978</v>
      </c>
      <c r="O1532" s="163"/>
      <c r="P1532" s="163"/>
      <c r="Q1532" s="163"/>
      <c r="R1532" s="163" t="s">
        <v>543</v>
      </c>
      <c r="S1532" s="163" t="s">
        <v>545</v>
      </c>
      <c r="T1532" s="43">
        <f t="shared" si="39"/>
        <v>2</v>
      </c>
      <c r="U1532" s="167">
        <f t="shared" si="36"/>
        <v>45708</v>
      </c>
      <c r="W1532" s="43">
        <f t="shared" si="38"/>
        <v>2</v>
      </c>
      <c r="X1532" s="49" t="s">
        <v>1499</v>
      </c>
      <c r="Y1532" s="49" t="s">
        <v>26</v>
      </c>
    </row>
    <row r="1533" spans="1:25" hidden="1">
      <c r="A1533" s="163" t="s">
        <v>1017</v>
      </c>
      <c r="B1533" s="164">
        <v>45708</v>
      </c>
      <c r="C1533" s="163" t="s">
        <v>513</v>
      </c>
      <c r="D1533" s="163" t="s">
        <v>281</v>
      </c>
      <c r="E1533" s="163" t="s">
        <v>1031</v>
      </c>
      <c r="F1533" s="169">
        <v>-500</v>
      </c>
      <c r="G1533" s="165">
        <f t="shared" ref="G1533:G1787" si="40">F1533+G1532</f>
        <v>33423.351000000017</v>
      </c>
      <c r="H1533" s="163"/>
      <c r="I1533" s="163" t="s">
        <v>283</v>
      </c>
      <c r="J1533" s="163"/>
      <c r="K1533" s="163"/>
      <c r="L1533" s="163" t="s">
        <v>477</v>
      </c>
      <c r="M1533" s="163"/>
      <c r="N1533" s="163" t="s">
        <v>978</v>
      </c>
      <c r="O1533" s="163"/>
      <c r="P1533" s="163"/>
      <c r="Q1533" s="163"/>
      <c r="R1533" s="163" t="s">
        <v>513</v>
      </c>
      <c r="S1533" s="163" t="s">
        <v>515</v>
      </c>
      <c r="T1533" s="43">
        <f t="shared" si="39"/>
        <v>2</v>
      </c>
      <c r="U1533" s="167">
        <f t="shared" si="36"/>
        <v>45708</v>
      </c>
      <c r="W1533" s="43">
        <f t="shared" si="38"/>
        <v>2</v>
      </c>
      <c r="X1533" s="49" t="s">
        <v>1499</v>
      </c>
      <c r="Y1533" s="49" t="s">
        <v>86</v>
      </c>
    </row>
    <row r="1534" spans="1:25" hidden="1">
      <c r="A1534" s="163" t="s">
        <v>1017</v>
      </c>
      <c r="B1534" s="164">
        <v>45708</v>
      </c>
      <c r="C1534" s="163" t="s">
        <v>1102</v>
      </c>
      <c r="D1534" s="163" t="s">
        <v>281</v>
      </c>
      <c r="E1534" s="163" t="s">
        <v>1031</v>
      </c>
      <c r="F1534" s="169"/>
      <c r="G1534" s="165">
        <f t="shared" si="40"/>
        <v>33423.351000000017</v>
      </c>
      <c r="H1534" s="163"/>
      <c r="I1534" s="163" t="s">
        <v>283</v>
      </c>
      <c r="J1534" s="163"/>
      <c r="K1534" s="163"/>
      <c r="L1534" s="163" t="s">
        <v>477</v>
      </c>
      <c r="M1534" s="163"/>
      <c r="N1534" s="163" t="s">
        <v>978</v>
      </c>
      <c r="O1534" s="163"/>
      <c r="P1534" s="163"/>
      <c r="Q1534" s="163"/>
      <c r="R1534" s="163" t="s">
        <v>522</v>
      </c>
      <c r="S1534" s="163" t="s">
        <v>524</v>
      </c>
      <c r="T1534" s="43">
        <f t="shared" si="39"/>
        <v>2</v>
      </c>
      <c r="U1534" s="167">
        <f t="shared" si="36"/>
        <v>45708</v>
      </c>
      <c r="W1534" s="43">
        <f t="shared" si="38"/>
        <v>2</v>
      </c>
      <c r="X1534" s="49" t="s">
        <v>1499</v>
      </c>
      <c r="Y1534" s="49" t="s">
        <v>25</v>
      </c>
    </row>
    <row r="1535" spans="1:25" hidden="1">
      <c r="A1535" s="163" t="s">
        <v>1017</v>
      </c>
      <c r="B1535" s="164">
        <v>45708</v>
      </c>
      <c r="C1535" s="163" t="s">
        <v>505</v>
      </c>
      <c r="D1535" s="163" t="s">
        <v>281</v>
      </c>
      <c r="E1535" s="163" t="s">
        <v>1031</v>
      </c>
      <c r="F1535" s="169">
        <v>-1120</v>
      </c>
      <c r="G1535" s="165">
        <f t="shared" si="40"/>
        <v>32303.351000000017</v>
      </c>
      <c r="H1535" s="163"/>
      <c r="I1535" s="163" t="s">
        <v>283</v>
      </c>
      <c r="J1535" s="163"/>
      <c r="K1535" s="163"/>
      <c r="L1535" s="163" t="s">
        <v>686</v>
      </c>
      <c r="M1535" s="163"/>
      <c r="N1535" s="163" t="s">
        <v>978</v>
      </c>
      <c r="O1535" s="163"/>
      <c r="P1535" s="163"/>
      <c r="Q1535" s="163"/>
      <c r="R1535" s="163" t="s">
        <v>505</v>
      </c>
      <c r="S1535" s="163" t="s">
        <v>507</v>
      </c>
      <c r="T1535" s="43">
        <f t="shared" si="39"/>
        <v>2</v>
      </c>
      <c r="U1535" s="167">
        <f t="shared" si="36"/>
        <v>45708</v>
      </c>
      <c r="W1535" s="43">
        <f t="shared" si="38"/>
        <v>2</v>
      </c>
      <c r="X1535" s="49" t="s">
        <v>1499</v>
      </c>
      <c r="Y1535" s="49" t="s">
        <v>105</v>
      </c>
    </row>
    <row r="1536" spans="1:25" hidden="1">
      <c r="A1536" s="163" t="s">
        <v>1017</v>
      </c>
      <c r="B1536" s="164">
        <v>45708</v>
      </c>
      <c r="C1536" s="163" t="s">
        <v>112</v>
      </c>
      <c r="D1536" s="163" t="s">
        <v>281</v>
      </c>
      <c r="E1536" s="163" t="s">
        <v>1031</v>
      </c>
      <c r="F1536" s="169">
        <v>-500</v>
      </c>
      <c r="G1536" s="165">
        <f t="shared" si="40"/>
        <v>31803.351000000017</v>
      </c>
      <c r="H1536" s="163"/>
      <c r="I1536" s="163" t="s">
        <v>283</v>
      </c>
      <c r="J1536" s="163"/>
      <c r="K1536" s="163"/>
      <c r="L1536" s="163" t="s">
        <v>477</v>
      </c>
      <c r="M1536" s="163"/>
      <c r="N1536" s="163" t="s">
        <v>978</v>
      </c>
      <c r="O1536" s="163"/>
      <c r="P1536" s="163"/>
      <c r="Q1536" s="163"/>
      <c r="R1536" s="163" t="s">
        <v>112</v>
      </c>
      <c r="S1536" s="163" t="s">
        <v>532</v>
      </c>
      <c r="T1536" s="43">
        <f t="shared" si="39"/>
        <v>2</v>
      </c>
      <c r="U1536" s="167">
        <f t="shared" si="36"/>
        <v>45708</v>
      </c>
      <c r="W1536" s="43">
        <f t="shared" si="38"/>
        <v>2</v>
      </c>
      <c r="X1536" s="49" t="s">
        <v>1499</v>
      </c>
      <c r="Y1536" s="49" t="s">
        <v>86</v>
      </c>
    </row>
    <row r="1537" spans="1:28" hidden="1">
      <c r="A1537" s="163" t="s">
        <v>1017</v>
      </c>
      <c r="B1537" s="164">
        <v>45708</v>
      </c>
      <c r="C1537" s="190" t="s">
        <v>330</v>
      </c>
      <c r="D1537" s="190" t="s">
        <v>281</v>
      </c>
      <c r="E1537" s="190" t="s">
        <v>330</v>
      </c>
      <c r="F1537" s="185">
        <f>-1.99-7.5</f>
        <v>-9.49</v>
      </c>
      <c r="G1537" s="165">
        <f t="shared" si="40"/>
        <v>31793.861000000015</v>
      </c>
      <c r="H1537" s="190"/>
      <c r="I1537" s="190" t="s">
        <v>342</v>
      </c>
      <c r="J1537" s="190"/>
      <c r="K1537" s="190"/>
      <c r="L1537" s="190" t="s">
        <v>805</v>
      </c>
      <c r="M1537" s="190"/>
      <c r="N1537" s="190" t="s">
        <v>978</v>
      </c>
      <c r="O1537" s="190"/>
      <c r="P1537" s="190"/>
      <c r="Q1537" s="190"/>
      <c r="R1537" s="190" t="s">
        <v>1292</v>
      </c>
      <c r="S1537" s="190" t="s">
        <v>1417</v>
      </c>
      <c r="T1537" s="43">
        <f t="shared" si="39"/>
        <v>2</v>
      </c>
      <c r="U1537" s="167">
        <f t="shared" si="36"/>
        <v>45708</v>
      </c>
      <c r="V1537" s="43"/>
      <c r="W1537" s="43">
        <f t="shared" si="38"/>
        <v>2</v>
      </c>
      <c r="X1537" s="43" t="s">
        <v>1483</v>
      </c>
      <c r="Y1537" s="43" t="s">
        <v>1443</v>
      </c>
      <c r="Z1537" s="43"/>
      <c r="AA1537" s="43"/>
      <c r="AB1537" s="43"/>
    </row>
    <row r="1538" spans="1:28" hidden="1">
      <c r="A1538" s="163"/>
      <c r="B1538" s="164">
        <v>45708</v>
      </c>
      <c r="C1538" s="163" t="s">
        <v>346</v>
      </c>
      <c r="D1538" s="163"/>
      <c r="E1538" s="163"/>
      <c r="F1538" s="165">
        <v>0</v>
      </c>
      <c r="G1538" s="165">
        <f t="shared" si="40"/>
        <v>31793.861000000015</v>
      </c>
      <c r="H1538" s="163"/>
      <c r="I1538" s="163"/>
      <c r="J1538" s="163"/>
      <c r="K1538" s="163"/>
      <c r="L1538" s="163"/>
      <c r="M1538" s="163"/>
      <c r="N1538" s="163"/>
      <c r="O1538" s="163"/>
      <c r="P1538" s="163"/>
      <c r="Q1538" s="163"/>
      <c r="R1538" s="163"/>
      <c r="S1538" s="163"/>
      <c r="T1538" s="43">
        <f t="shared" si="39"/>
        <v>2</v>
      </c>
      <c r="U1538" s="167">
        <f t="shared" si="36"/>
        <v>45708</v>
      </c>
      <c r="W1538" s="43">
        <f t="shared" si="38"/>
        <v>2</v>
      </c>
    </row>
    <row r="1539" spans="1:28" hidden="1">
      <c r="A1539" s="163" t="s">
        <v>1174</v>
      </c>
      <c r="B1539" s="164">
        <v>45708</v>
      </c>
      <c r="C1539" s="163" t="s">
        <v>1106</v>
      </c>
      <c r="D1539" s="163" t="s">
        <v>281</v>
      </c>
      <c r="E1539" s="163" t="s">
        <v>407</v>
      </c>
      <c r="F1539" s="195">
        <v>1950</v>
      </c>
      <c r="G1539" s="165">
        <f t="shared" si="40"/>
        <v>33743.861000000019</v>
      </c>
      <c r="H1539" s="163"/>
      <c r="I1539" s="163" t="s">
        <v>1176</v>
      </c>
      <c r="J1539" s="163" t="s">
        <v>1435</v>
      </c>
      <c r="K1539" s="163"/>
      <c r="L1539" s="163" t="s">
        <v>305</v>
      </c>
      <c r="M1539" s="163"/>
      <c r="N1539" s="163" t="s">
        <v>1178</v>
      </c>
      <c r="O1539" s="163" t="s">
        <v>1435</v>
      </c>
      <c r="P1539" s="163" t="s">
        <v>57</v>
      </c>
      <c r="Q1539" s="163"/>
      <c r="R1539" s="163" t="s">
        <v>1111</v>
      </c>
      <c r="S1539" s="163" t="s">
        <v>1112</v>
      </c>
      <c r="T1539" s="43">
        <f t="shared" si="39"/>
        <v>2</v>
      </c>
      <c r="U1539" s="167">
        <f t="shared" si="36"/>
        <v>45709</v>
      </c>
      <c r="V1539" s="272">
        <v>45709</v>
      </c>
      <c r="W1539" s="43">
        <f t="shared" si="38"/>
        <v>2</v>
      </c>
      <c r="X1539" s="43" t="s">
        <v>1484</v>
      </c>
      <c r="Y1539" s="43" t="s">
        <v>1485</v>
      </c>
    </row>
    <row r="1540" spans="1:28" ht="14.25" hidden="1" customHeight="1">
      <c r="A1540" s="180" t="s">
        <v>1017</v>
      </c>
      <c r="B1540" s="181">
        <v>45708</v>
      </c>
      <c r="C1540" s="180" t="s">
        <v>12</v>
      </c>
      <c r="D1540" s="180" t="s">
        <v>281</v>
      </c>
      <c r="E1540" s="180" t="s">
        <v>1578</v>
      </c>
      <c r="F1540" s="226">
        <f>-10163.39</f>
        <v>-10163.39</v>
      </c>
      <c r="G1540" s="165">
        <f t="shared" si="40"/>
        <v>23580.47100000002</v>
      </c>
      <c r="H1540" s="180"/>
      <c r="I1540" s="180" t="s">
        <v>283</v>
      </c>
      <c r="J1540" s="180"/>
      <c r="K1540" s="180"/>
      <c r="L1540" s="180" t="s">
        <v>305</v>
      </c>
      <c r="M1540" s="180"/>
      <c r="N1540" s="180" t="s">
        <v>978</v>
      </c>
      <c r="O1540" s="180"/>
      <c r="P1540" s="180"/>
      <c r="Q1540" s="180" t="s">
        <v>1067</v>
      </c>
      <c r="R1540" s="180" t="s">
        <v>1087</v>
      </c>
      <c r="S1540" s="180" t="s">
        <v>1089</v>
      </c>
      <c r="T1540" s="183">
        <f t="shared" si="39"/>
        <v>2</v>
      </c>
      <c r="U1540" s="184">
        <f t="shared" si="36"/>
        <v>45709</v>
      </c>
      <c r="V1540" s="273">
        <v>45709</v>
      </c>
      <c r="W1540" s="43">
        <f t="shared" si="38"/>
        <v>2</v>
      </c>
      <c r="X1540" s="43" t="s">
        <v>12</v>
      </c>
      <c r="Y1540" s="43" t="s">
        <v>1443</v>
      </c>
      <c r="Z1540" s="183" t="s">
        <v>1113</v>
      </c>
      <c r="AA1540" s="183" t="s">
        <v>1336</v>
      </c>
      <c r="AB1540" s="183"/>
    </row>
    <row r="1541" spans="1:28" hidden="1">
      <c r="A1541" s="163" t="s">
        <v>1017</v>
      </c>
      <c r="B1541" s="164">
        <v>45708</v>
      </c>
      <c r="C1541" s="163" t="s">
        <v>124</v>
      </c>
      <c r="D1541" s="163" t="s">
        <v>281</v>
      </c>
      <c r="E1541" s="163" t="s">
        <v>199</v>
      </c>
      <c r="F1541" s="226">
        <v>-95</v>
      </c>
      <c r="G1541" s="165">
        <f t="shared" si="40"/>
        <v>23485.47100000002</v>
      </c>
      <c r="H1541" s="163"/>
      <c r="I1541" s="163" t="s">
        <v>977</v>
      </c>
      <c r="J1541" s="163"/>
      <c r="K1541" s="163"/>
      <c r="L1541" s="163" t="s">
        <v>1062</v>
      </c>
      <c r="M1541" s="163"/>
      <c r="N1541" s="163" t="s">
        <v>978</v>
      </c>
      <c r="O1541" s="163"/>
      <c r="P1541" s="163"/>
      <c r="Q1541" s="163"/>
      <c r="R1541" s="163" t="s">
        <v>124</v>
      </c>
      <c r="S1541" s="163"/>
      <c r="T1541" s="43">
        <f t="shared" si="39"/>
        <v>2</v>
      </c>
      <c r="U1541" s="167">
        <f t="shared" si="36"/>
        <v>45709</v>
      </c>
      <c r="V1541" s="272">
        <v>45709</v>
      </c>
      <c r="W1541" s="43">
        <f t="shared" si="38"/>
        <v>2</v>
      </c>
      <c r="X1541" s="49" t="s">
        <v>1480</v>
      </c>
      <c r="Y1541" s="49" t="s">
        <v>25</v>
      </c>
    </row>
    <row r="1542" spans="1:28" hidden="1">
      <c r="A1542" s="163" t="s">
        <v>1017</v>
      </c>
      <c r="B1542" s="164">
        <v>45709</v>
      </c>
      <c r="C1542" s="190" t="s">
        <v>330</v>
      </c>
      <c r="D1542" s="190" t="s">
        <v>281</v>
      </c>
      <c r="E1542" s="190" t="s">
        <v>330</v>
      </c>
      <c r="F1542" s="185">
        <f>-1.99-2</f>
        <v>-3.99</v>
      </c>
      <c r="G1542" s="165">
        <f t="shared" si="40"/>
        <v>23481.481000000018</v>
      </c>
      <c r="H1542" s="190"/>
      <c r="I1542" s="190" t="s">
        <v>342</v>
      </c>
      <c r="J1542" s="190"/>
      <c r="K1542" s="190"/>
      <c r="L1542" s="190" t="s">
        <v>805</v>
      </c>
      <c r="M1542" s="190"/>
      <c r="N1542" s="190" t="s">
        <v>978</v>
      </c>
      <c r="O1542" s="190"/>
      <c r="P1542" s="190"/>
      <c r="Q1542" s="190"/>
      <c r="R1542" s="190" t="s">
        <v>1292</v>
      </c>
      <c r="S1542" s="190" t="s">
        <v>1417</v>
      </c>
      <c r="T1542" s="43">
        <f t="shared" si="39"/>
        <v>2</v>
      </c>
      <c r="U1542" s="167">
        <f t="shared" si="36"/>
        <v>45709</v>
      </c>
      <c r="V1542" s="43"/>
      <c r="W1542" s="43">
        <f t="shared" si="38"/>
        <v>2</v>
      </c>
      <c r="X1542" s="43" t="s">
        <v>1483</v>
      </c>
      <c r="Y1542" s="43" t="s">
        <v>1443</v>
      </c>
      <c r="Z1542" s="43"/>
      <c r="AA1542" s="43"/>
      <c r="AB1542" s="43"/>
    </row>
    <row r="1543" spans="1:28" hidden="1">
      <c r="A1543" s="180" t="s">
        <v>1017</v>
      </c>
      <c r="B1543" s="181">
        <v>45709</v>
      </c>
      <c r="C1543" s="180" t="s">
        <v>1010</v>
      </c>
      <c r="D1543" s="180" t="s">
        <v>281</v>
      </c>
      <c r="E1543" s="180" t="s">
        <v>199</v>
      </c>
      <c r="F1543" s="226">
        <v>-1500</v>
      </c>
      <c r="G1543" s="165">
        <f t="shared" si="40"/>
        <v>21981.481000000018</v>
      </c>
      <c r="H1543" s="180"/>
      <c r="I1543" s="180" t="s">
        <v>283</v>
      </c>
      <c r="J1543" s="180"/>
      <c r="K1543" s="180"/>
      <c r="L1543" s="180" t="s">
        <v>485</v>
      </c>
      <c r="M1543" s="180"/>
      <c r="N1543" s="180" t="s">
        <v>978</v>
      </c>
      <c r="O1543" s="180"/>
      <c r="P1543" s="180"/>
      <c r="Q1543" s="180"/>
      <c r="R1543" s="180" t="s">
        <v>669</v>
      </c>
      <c r="S1543" s="180" t="s">
        <v>1492</v>
      </c>
      <c r="T1543" s="183">
        <f t="shared" si="39"/>
        <v>2</v>
      </c>
      <c r="U1543" s="184">
        <f t="shared" si="36"/>
        <v>45709</v>
      </c>
      <c r="V1543" s="183"/>
      <c r="W1543" s="43">
        <f t="shared" si="38"/>
        <v>2</v>
      </c>
      <c r="X1543" s="206" t="s">
        <v>1478</v>
      </c>
      <c r="Y1543" s="206" t="s">
        <v>26</v>
      </c>
      <c r="Z1543" s="183"/>
      <c r="AA1543" s="183"/>
      <c r="AB1543" s="183"/>
    </row>
    <row r="1544" spans="1:28" hidden="1">
      <c r="A1544" s="180" t="s">
        <v>1017</v>
      </c>
      <c r="B1544" s="181">
        <v>45702</v>
      </c>
      <c r="C1544" s="180" t="s">
        <v>356</v>
      </c>
      <c r="D1544" s="180" t="s">
        <v>281</v>
      </c>
      <c r="E1544" s="180" t="s">
        <v>356</v>
      </c>
      <c r="F1544" s="182"/>
      <c r="G1544" s="165">
        <f t="shared" si="40"/>
        <v>21981.481000000018</v>
      </c>
      <c r="H1544" s="180"/>
      <c r="I1544" s="180" t="s">
        <v>283</v>
      </c>
      <c r="J1544" s="180"/>
      <c r="K1544" s="180"/>
      <c r="L1544" s="180" t="s">
        <v>485</v>
      </c>
      <c r="M1544" s="180"/>
      <c r="N1544" s="180" t="s">
        <v>978</v>
      </c>
      <c r="O1544" s="180"/>
      <c r="P1544" s="180"/>
      <c r="Q1544" s="180"/>
      <c r="R1544" s="180" t="s">
        <v>669</v>
      </c>
      <c r="S1544" s="180" t="s">
        <v>1492</v>
      </c>
      <c r="T1544" s="183">
        <f t="shared" si="39"/>
        <v>2</v>
      </c>
      <c r="U1544" s="184">
        <f t="shared" si="36"/>
        <v>45709</v>
      </c>
      <c r="V1544" s="272">
        <v>45709</v>
      </c>
      <c r="W1544" s="43">
        <f t="shared" si="38"/>
        <v>2</v>
      </c>
      <c r="X1544" s="183" t="s">
        <v>1689</v>
      </c>
      <c r="Y1544" s="183" t="s">
        <v>25</v>
      </c>
      <c r="Z1544" s="183"/>
      <c r="AA1544" s="183"/>
      <c r="AB1544" s="183"/>
    </row>
    <row r="1545" spans="1:28" hidden="1">
      <c r="A1545" s="180" t="s">
        <v>1017</v>
      </c>
      <c r="B1545" s="181">
        <v>45702</v>
      </c>
      <c r="C1545" s="180" t="s">
        <v>1553</v>
      </c>
      <c r="D1545" s="180" t="s">
        <v>281</v>
      </c>
      <c r="E1545" s="163" t="s">
        <v>1514</v>
      </c>
      <c r="F1545" s="182"/>
      <c r="G1545" s="165">
        <f t="shared" si="40"/>
        <v>21981.481000000018</v>
      </c>
      <c r="H1545" s="180"/>
      <c r="I1545" s="180" t="s">
        <v>283</v>
      </c>
      <c r="J1545" s="180"/>
      <c r="K1545" s="180"/>
      <c r="L1545" s="180" t="s">
        <v>485</v>
      </c>
      <c r="M1545" s="180"/>
      <c r="N1545" s="180" t="s">
        <v>978</v>
      </c>
      <c r="O1545" s="180"/>
      <c r="P1545" s="180"/>
      <c r="Q1545" s="180"/>
      <c r="R1545" s="180" t="s">
        <v>669</v>
      </c>
      <c r="S1545" s="180" t="s">
        <v>1492</v>
      </c>
      <c r="T1545" s="183">
        <f t="shared" si="39"/>
        <v>2</v>
      </c>
      <c r="U1545" s="184">
        <f t="shared" si="36"/>
        <v>45709</v>
      </c>
      <c r="V1545" s="272">
        <v>45709</v>
      </c>
      <c r="W1545" s="43">
        <f t="shared" si="38"/>
        <v>2</v>
      </c>
      <c r="X1545" s="183" t="s">
        <v>1381</v>
      </c>
      <c r="Y1545" s="183" t="s">
        <v>1336</v>
      </c>
      <c r="Z1545" s="183"/>
      <c r="AA1545" s="183"/>
      <c r="AB1545" s="183"/>
    </row>
    <row r="1546" spans="1:28" hidden="1">
      <c r="A1546" s="180" t="s">
        <v>1017</v>
      </c>
      <c r="B1546" s="181">
        <v>45709</v>
      </c>
      <c r="C1546" s="180" t="s">
        <v>1690</v>
      </c>
      <c r="D1546" s="180" t="s">
        <v>281</v>
      </c>
      <c r="E1546" s="163" t="s">
        <v>1514</v>
      </c>
      <c r="F1546" s="182"/>
      <c r="G1546" s="165">
        <f t="shared" si="40"/>
        <v>21981.481000000018</v>
      </c>
      <c r="H1546" s="180"/>
      <c r="I1546" s="180" t="s">
        <v>283</v>
      </c>
      <c r="J1546" s="180"/>
      <c r="K1546" s="180"/>
      <c r="L1546" s="180" t="s">
        <v>485</v>
      </c>
      <c r="M1546" s="180"/>
      <c r="N1546" s="180" t="s">
        <v>978</v>
      </c>
      <c r="O1546" s="180"/>
      <c r="P1546" s="180"/>
      <c r="Q1546" s="180"/>
      <c r="R1546" s="180" t="s">
        <v>669</v>
      </c>
      <c r="S1546" s="180" t="s">
        <v>1492</v>
      </c>
      <c r="T1546" s="183">
        <f t="shared" si="39"/>
        <v>2</v>
      </c>
      <c r="U1546" s="184">
        <f t="shared" si="36"/>
        <v>45709</v>
      </c>
      <c r="V1546" s="183"/>
      <c r="W1546" s="43">
        <f t="shared" si="38"/>
        <v>2</v>
      </c>
      <c r="X1546" s="183" t="s">
        <v>1381</v>
      </c>
      <c r="Y1546" s="183" t="s">
        <v>1336</v>
      </c>
      <c r="Z1546" s="183"/>
      <c r="AA1546" s="183"/>
      <c r="AB1546" s="183"/>
    </row>
    <row r="1547" spans="1:28" hidden="1">
      <c r="A1547" s="180" t="s">
        <v>1017</v>
      </c>
      <c r="B1547" s="181">
        <v>45702</v>
      </c>
      <c r="C1547" s="180" t="s">
        <v>1691</v>
      </c>
      <c r="D1547" s="180" t="s">
        <v>281</v>
      </c>
      <c r="E1547" s="180" t="s">
        <v>1566</v>
      </c>
      <c r="F1547" s="226">
        <f>-270</f>
        <v>-270</v>
      </c>
      <c r="G1547" s="165">
        <f t="shared" si="40"/>
        <v>21711.481000000018</v>
      </c>
      <c r="H1547" s="180"/>
      <c r="I1547" s="180" t="s">
        <v>283</v>
      </c>
      <c r="J1547" s="180"/>
      <c r="K1547" s="180"/>
      <c r="L1547" s="180" t="s">
        <v>485</v>
      </c>
      <c r="M1547" s="180"/>
      <c r="N1547" s="180" t="s">
        <v>978</v>
      </c>
      <c r="O1547" s="180"/>
      <c r="P1547" s="180"/>
      <c r="Q1547" s="180"/>
      <c r="R1547" s="180" t="s">
        <v>669</v>
      </c>
      <c r="S1547" s="180" t="s">
        <v>1492</v>
      </c>
      <c r="T1547" s="183">
        <f t="shared" si="39"/>
        <v>2</v>
      </c>
      <c r="U1547" s="184">
        <f t="shared" si="36"/>
        <v>45709</v>
      </c>
      <c r="V1547" s="272">
        <v>45709</v>
      </c>
      <c r="W1547" s="43">
        <f t="shared" si="38"/>
        <v>2</v>
      </c>
      <c r="X1547" s="43" t="s">
        <v>1483</v>
      </c>
      <c r="Y1547" s="43" t="s">
        <v>25</v>
      </c>
      <c r="Z1547" s="183"/>
      <c r="AA1547" s="183"/>
      <c r="AB1547" s="183"/>
    </row>
    <row r="1548" spans="1:28" hidden="1">
      <c r="A1548" s="180" t="s">
        <v>1017</v>
      </c>
      <c r="B1548" s="181">
        <v>45702</v>
      </c>
      <c r="C1548" s="180" t="s">
        <v>1537</v>
      </c>
      <c r="D1548" s="180" t="s">
        <v>281</v>
      </c>
      <c r="E1548" s="163" t="s">
        <v>1514</v>
      </c>
      <c r="F1548" s="226">
        <v>-554.42999999999995</v>
      </c>
      <c r="G1548" s="165">
        <f t="shared" si="40"/>
        <v>21157.051000000018</v>
      </c>
      <c r="H1548" s="180"/>
      <c r="I1548" s="180" t="s">
        <v>283</v>
      </c>
      <c r="J1548" s="180"/>
      <c r="K1548" s="180"/>
      <c r="L1548" s="180" t="s">
        <v>485</v>
      </c>
      <c r="M1548" s="180"/>
      <c r="N1548" s="180" t="s">
        <v>978</v>
      </c>
      <c r="O1548" s="180"/>
      <c r="P1548" s="180"/>
      <c r="Q1548" s="180"/>
      <c r="R1548" s="180" t="s">
        <v>669</v>
      </c>
      <c r="S1548" s="180" t="s">
        <v>1492</v>
      </c>
      <c r="T1548" s="183">
        <f t="shared" si="39"/>
        <v>2</v>
      </c>
      <c r="U1548" s="184">
        <f t="shared" si="36"/>
        <v>45709</v>
      </c>
      <c r="V1548" s="272">
        <v>45709</v>
      </c>
      <c r="W1548" s="43">
        <f t="shared" si="38"/>
        <v>2</v>
      </c>
      <c r="X1548" s="183" t="s">
        <v>1381</v>
      </c>
      <c r="Y1548" s="183" t="s">
        <v>1336</v>
      </c>
      <c r="Z1548" s="183"/>
      <c r="AA1548" s="183"/>
      <c r="AB1548" s="183"/>
    </row>
    <row r="1549" spans="1:28" hidden="1">
      <c r="A1549" s="180" t="s">
        <v>1017</v>
      </c>
      <c r="B1549" s="181">
        <v>45702</v>
      </c>
      <c r="C1549" s="180" t="s">
        <v>1692</v>
      </c>
      <c r="D1549" s="180" t="s">
        <v>281</v>
      </c>
      <c r="E1549" s="180" t="s">
        <v>1693</v>
      </c>
      <c r="F1549" s="226">
        <v>-228.13</v>
      </c>
      <c r="G1549" s="165">
        <f t="shared" si="40"/>
        <v>20928.921000000017</v>
      </c>
      <c r="H1549" s="180"/>
      <c r="I1549" s="180" t="s">
        <v>283</v>
      </c>
      <c r="J1549" s="180"/>
      <c r="K1549" s="180"/>
      <c r="L1549" s="180" t="s">
        <v>485</v>
      </c>
      <c r="M1549" s="180"/>
      <c r="N1549" s="180" t="s">
        <v>978</v>
      </c>
      <c r="O1549" s="180"/>
      <c r="P1549" s="180"/>
      <c r="Q1549" s="180"/>
      <c r="R1549" s="180" t="s">
        <v>669</v>
      </c>
      <c r="S1549" s="180" t="s">
        <v>1492</v>
      </c>
      <c r="T1549" s="183">
        <f t="shared" si="39"/>
        <v>2</v>
      </c>
      <c r="U1549" s="184">
        <f t="shared" si="36"/>
        <v>45709</v>
      </c>
      <c r="V1549" s="272">
        <v>45709</v>
      </c>
      <c r="W1549" s="43">
        <f t="shared" si="38"/>
        <v>2</v>
      </c>
      <c r="X1549" s="43" t="s">
        <v>1483</v>
      </c>
      <c r="Y1549" s="43" t="s">
        <v>105</v>
      </c>
      <c r="Z1549" s="183"/>
      <c r="AA1549" s="183"/>
      <c r="AB1549" s="183"/>
    </row>
    <row r="1550" spans="1:28" hidden="1">
      <c r="A1550" s="163"/>
      <c r="B1550" s="164">
        <v>45709</v>
      </c>
      <c r="C1550" s="163" t="s">
        <v>346</v>
      </c>
      <c r="D1550" s="163"/>
      <c r="E1550" s="163"/>
      <c r="F1550" s="165">
        <v>0</v>
      </c>
      <c r="G1550" s="165">
        <f t="shared" si="40"/>
        <v>20928.921000000017</v>
      </c>
      <c r="H1550" s="163"/>
      <c r="I1550" s="163"/>
      <c r="J1550" s="163"/>
      <c r="K1550" s="163"/>
      <c r="L1550" s="163"/>
      <c r="M1550" s="163"/>
      <c r="N1550" s="163"/>
      <c r="O1550" s="163"/>
      <c r="P1550" s="163"/>
      <c r="Q1550" s="163"/>
      <c r="R1550" s="163"/>
      <c r="S1550" s="163"/>
      <c r="T1550" s="43">
        <f t="shared" si="39"/>
        <v>2</v>
      </c>
      <c r="U1550" s="167">
        <f t="shared" si="36"/>
        <v>45709</v>
      </c>
      <c r="W1550" s="43">
        <f t="shared" si="38"/>
        <v>2</v>
      </c>
    </row>
    <row r="1551" spans="1:28" hidden="1">
      <c r="A1551" s="248" t="s">
        <v>1174</v>
      </c>
      <c r="B1551" s="249">
        <v>45709</v>
      </c>
      <c r="C1551" s="248" t="s">
        <v>1623</v>
      </c>
      <c r="D1551" s="248" t="s">
        <v>281</v>
      </c>
      <c r="E1551" s="248" t="s">
        <v>289</v>
      </c>
      <c r="F1551" s="266"/>
      <c r="G1551" s="165">
        <f t="shared" si="40"/>
        <v>20928.921000000017</v>
      </c>
      <c r="H1551" s="248"/>
      <c r="I1551" s="248" t="s">
        <v>1176</v>
      </c>
      <c r="J1551" s="248" t="s">
        <v>1617</v>
      </c>
      <c r="K1551" s="248"/>
      <c r="L1551" s="248" t="s">
        <v>305</v>
      </c>
      <c r="M1551" s="248"/>
      <c r="N1551" s="248" t="s">
        <v>1178</v>
      </c>
      <c r="O1551" s="248" t="s">
        <v>1617</v>
      </c>
      <c r="P1551" s="248" t="s">
        <v>1618</v>
      </c>
      <c r="Q1551" s="248"/>
      <c r="R1551" s="248" t="s">
        <v>1619</v>
      </c>
      <c r="S1551" s="248" t="s">
        <v>1620</v>
      </c>
      <c r="T1551" s="251">
        <f t="shared" si="39"/>
        <v>2</v>
      </c>
      <c r="U1551" s="252">
        <f t="shared" si="36"/>
        <v>45712</v>
      </c>
      <c r="V1551" s="252">
        <v>45712</v>
      </c>
      <c r="W1551" s="43">
        <f t="shared" si="38"/>
        <v>2</v>
      </c>
      <c r="X1551" s="49" t="s">
        <v>1484</v>
      </c>
      <c r="Y1551" s="49" t="s">
        <v>78</v>
      </c>
      <c r="Z1551" s="251"/>
      <c r="AA1551" s="251"/>
      <c r="AB1551" s="251"/>
    </row>
    <row r="1552" spans="1:28" hidden="1">
      <c r="A1552" s="163" t="s">
        <v>1017</v>
      </c>
      <c r="B1552" s="164">
        <v>45708</v>
      </c>
      <c r="C1552" s="163" t="s">
        <v>1073</v>
      </c>
      <c r="D1552" s="163" t="s">
        <v>281</v>
      </c>
      <c r="E1552" s="163" t="s">
        <v>1074</v>
      </c>
      <c r="F1552" s="226">
        <v>-610.80999999999995</v>
      </c>
      <c r="G1552" s="165">
        <f t="shared" si="40"/>
        <v>20318.111000000015</v>
      </c>
      <c r="H1552" s="163"/>
      <c r="I1552" s="163" t="s">
        <v>342</v>
      </c>
      <c r="J1552" s="163"/>
      <c r="K1552" s="163"/>
      <c r="L1552" s="163" t="s">
        <v>1571</v>
      </c>
      <c r="M1552" s="163"/>
      <c r="N1552" s="163" t="s">
        <v>978</v>
      </c>
      <c r="O1552" s="163"/>
      <c r="P1552" s="163"/>
      <c r="Q1552" s="163"/>
      <c r="R1552" s="163" t="s">
        <v>1075</v>
      </c>
      <c r="S1552" s="163" t="s">
        <v>1076</v>
      </c>
      <c r="T1552" s="43">
        <f t="shared" si="39"/>
        <v>2</v>
      </c>
      <c r="U1552" s="167">
        <f t="shared" si="36"/>
        <v>45712</v>
      </c>
      <c r="V1552" s="166">
        <v>45712</v>
      </c>
      <c r="W1552" s="43">
        <f t="shared" si="38"/>
        <v>2</v>
      </c>
      <c r="X1552" s="49" t="s">
        <v>1483</v>
      </c>
      <c r="Y1552" s="49" t="s">
        <v>1443</v>
      </c>
    </row>
    <row r="1553" spans="1:28" hidden="1">
      <c r="A1553" s="163" t="s">
        <v>1017</v>
      </c>
      <c r="B1553" s="164">
        <v>45709</v>
      </c>
      <c r="C1553" s="163" t="s">
        <v>1098</v>
      </c>
      <c r="D1553" s="163" t="s">
        <v>281</v>
      </c>
      <c r="E1553" s="163" t="s">
        <v>199</v>
      </c>
      <c r="F1553" s="226">
        <v>-552</v>
      </c>
      <c r="G1553" s="165">
        <f t="shared" si="40"/>
        <v>19766.111000000015</v>
      </c>
      <c r="H1553" s="163"/>
      <c r="I1553" s="163" t="s">
        <v>342</v>
      </c>
      <c r="J1553" s="163"/>
      <c r="K1553" s="163"/>
      <c r="L1553" s="163" t="s">
        <v>1030</v>
      </c>
      <c r="M1553" s="163"/>
      <c r="N1553" s="163" t="s">
        <v>978</v>
      </c>
      <c r="O1553" s="163"/>
      <c r="P1553" s="163"/>
      <c r="Q1553" s="163"/>
      <c r="R1553" s="163" t="s">
        <v>1099</v>
      </c>
      <c r="S1553" s="163" t="s">
        <v>1100</v>
      </c>
      <c r="T1553" s="43">
        <f t="shared" si="39"/>
        <v>2</v>
      </c>
      <c r="U1553" s="167">
        <f t="shared" si="36"/>
        <v>45712</v>
      </c>
      <c r="V1553" s="166">
        <v>45712</v>
      </c>
      <c r="W1553" s="43">
        <f t="shared" si="38"/>
        <v>2</v>
      </c>
      <c r="X1553" s="49" t="s">
        <v>1480</v>
      </c>
      <c r="Y1553" s="49" t="s">
        <v>86</v>
      </c>
    </row>
    <row r="1554" spans="1:28" hidden="1">
      <c r="A1554" s="163" t="s">
        <v>1017</v>
      </c>
      <c r="B1554" s="164">
        <v>45709</v>
      </c>
      <c r="C1554" s="163" t="s">
        <v>124</v>
      </c>
      <c r="D1554" s="163" t="s">
        <v>281</v>
      </c>
      <c r="E1554" s="163" t="s">
        <v>199</v>
      </c>
      <c r="F1554" s="226">
        <v>-278</v>
      </c>
      <c r="G1554" s="165">
        <f t="shared" si="40"/>
        <v>19488.111000000015</v>
      </c>
      <c r="H1554" s="163"/>
      <c r="I1554" s="163" t="s">
        <v>977</v>
      </c>
      <c r="J1554" s="163"/>
      <c r="K1554" s="163"/>
      <c r="L1554" s="163" t="s">
        <v>477</v>
      </c>
      <c r="M1554" s="163"/>
      <c r="N1554" s="163" t="s">
        <v>978</v>
      </c>
      <c r="O1554" s="163"/>
      <c r="P1554" s="163"/>
      <c r="Q1554" s="163"/>
      <c r="R1554" s="163" t="s">
        <v>124</v>
      </c>
      <c r="S1554" s="163"/>
      <c r="T1554" s="43">
        <f t="shared" si="39"/>
        <v>2</v>
      </c>
      <c r="U1554" s="167">
        <f t="shared" si="36"/>
        <v>45712</v>
      </c>
      <c r="V1554" s="166">
        <v>45712</v>
      </c>
      <c r="W1554" s="43">
        <f t="shared" si="38"/>
        <v>2</v>
      </c>
      <c r="X1554" s="49" t="s">
        <v>1480</v>
      </c>
      <c r="Y1554" s="49" t="s">
        <v>25</v>
      </c>
    </row>
    <row r="1555" spans="1:28" hidden="1">
      <c r="A1555" s="163" t="s">
        <v>1017</v>
      </c>
      <c r="B1555" s="164">
        <v>45709</v>
      </c>
      <c r="C1555" s="163" t="s">
        <v>127</v>
      </c>
      <c r="D1555" s="163" t="s">
        <v>281</v>
      </c>
      <c r="E1555" s="163" t="s">
        <v>199</v>
      </c>
      <c r="F1555" s="226">
        <v>-130</v>
      </c>
      <c r="G1555" s="165">
        <f t="shared" si="40"/>
        <v>19358.111000000015</v>
      </c>
      <c r="H1555" s="163"/>
      <c r="I1555" s="163" t="s">
        <v>977</v>
      </c>
      <c r="J1555" s="163"/>
      <c r="K1555" s="163"/>
      <c r="L1555" s="163" t="s">
        <v>477</v>
      </c>
      <c r="M1555" s="163"/>
      <c r="N1555" s="163" t="s">
        <v>978</v>
      </c>
      <c r="O1555" s="163"/>
      <c r="P1555" s="163"/>
      <c r="Q1555" s="163"/>
      <c r="R1555" s="163" t="s">
        <v>127</v>
      </c>
      <c r="S1555" s="163"/>
      <c r="T1555" s="43">
        <f t="shared" si="39"/>
        <v>2</v>
      </c>
      <c r="U1555" s="167">
        <f t="shared" si="36"/>
        <v>45712</v>
      </c>
      <c r="V1555" s="166">
        <v>45712</v>
      </c>
      <c r="W1555" s="43">
        <f t="shared" si="38"/>
        <v>2</v>
      </c>
      <c r="X1555" s="49" t="s">
        <v>1480</v>
      </c>
      <c r="Y1555" s="49" t="s">
        <v>86</v>
      </c>
    </row>
    <row r="1556" spans="1:28" hidden="1">
      <c r="A1556" s="163" t="s">
        <v>1017</v>
      </c>
      <c r="B1556" s="164">
        <v>45712</v>
      </c>
      <c r="C1556" s="163" t="s">
        <v>1210</v>
      </c>
      <c r="D1556" s="163" t="s">
        <v>281</v>
      </c>
      <c r="E1556" s="163" t="s">
        <v>196</v>
      </c>
      <c r="F1556" s="169"/>
      <c r="G1556" s="165">
        <f t="shared" si="40"/>
        <v>19358.111000000015</v>
      </c>
      <c r="H1556" s="163"/>
      <c r="I1556" s="163" t="s">
        <v>342</v>
      </c>
      <c r="J1556" s="163"/>
      <c r="K1556" s="163"/>
      <c r="L1556" s="163" t="s">
        <v>1571</v>
      </c>
      <c r="M1556" s="163"/>
      <c r="N1556" s="163" t="s">
        <v>978</v>
      </c>
      <c r="O1556" s="163"/>
      <c r="P1556" s="163"/>
      <c r="Q1556" s="163"/>
      <c r="R1556" s="163" t="s">
        <v>1211</v>
      </c>
      <c r="S1556" s="163" t="s">
        <v>1212</v>
      </c>
      <c r="T1556" s="43">
        <f t="shared" si="39"/>
        <v>2</v>
      </c>
      <c r="U1556" s="167">
        <f t="shared" si="36"/>
        <v>45712</v>
      </c>
      <c r="W1556" s="43">
        <f t="shared" si="38"/>
        <v>2</v>
      </c>
      <c r="X1556" s="43" t="s">
        <v>196</v>
      </c>
      <c r="Y1556" s="43" t="s">
        <v>1443</v>
      </c>
    </row>
    <row r="1557" spans="1:28" hidden="1">
      <c r="A1557" s="163" t="s">
        <v>1017</v>
      </c>
      <c r="B1557" s="164">
        <v>45712</v>
      </c>
      <c r="C1557" s="163" t="s">
        <v>1367</v>
      </c>
      <c r="D1557" s="163" t="s">
        <v>281</v>
      </c>
      <c r="E1557" s="163" t="s">
        <v>372</v>
      </c>
      <c r="F1557" s="169"/>
      <c r="G1557" s="165">
        <f t="shared" si="40"/>
        <v>19358.111000000015</v>
      </c>
      <c r="H1557" s="163"/>
      <c r="I1557" s="163" t="s">
        <v>994</v>
      </c>
      <c r="J1557" s="163"/>
      <c r="K1557" s="163"/>
      <c r="L1557" s="163" t="s">
        <v>1424</v>
      </c>
      <c r="M1557" s="163"/>
      <c r="N1557" s="163" t="s">
        <v>978</v>
      </c>
      <c r="O1557" s="163"/>
      <c r="P1557" s="163"/>
      <c r="Q1557" s="163"/>
      <c r="R1557" s="163" t="s">
        <v>1445</v>
      </c>
      <c r="S1557" s="163" t="s">
        <v>1446</v>
      </c>
      <c r="T1557" s="43">
        <f t="shared" si="39"/>
        <v>2</v>
      </c>
      <c r="U1557" s="167">
        <f t="shared" si="36"/>
        <v>45712</v>
      </c>
      <c r="W1557" s="43">
        <f t="shared" si="38"/>
        <v>2</v>
      </c>
      <c r="X1557" s="49" t="s">
        <v>1483</v>
      </c>
      <c r="Y1557" s="49" t="s">
        <v>1443</v>
      </c>
    </row>
    <row r="1558" spans="1:28" hidden="1">
      <c r="A1558" s="163" t="s">
        <v>1017</v>
      </c>
      <c r="B1558" s="164">
        <v>45712</v>
      </c>
      <c r="C1558" s="163" t="s">
        <v>1013</v>
      </c>
      <c r="D1558" s="163" t="s">
        <v>281</v>
      </c>
      <c r="E1558" s="163" t="s">
        <v>199</v>
      </c>
      <c r="F1558" s="226">
        <v>-200</v>
      </c>
      <c r="G1558" s="165">
        <f t="shared" si="40"/>
        <v>19158.111000000015</v>
      </c>
      <c r="H1558" s="163"/>
      <c r="I1558" s="163" t="s">
        <v>977</v>
      </c>
      <c r="J1558" s="163"/>
      <c r="K1558" s="163"/>
      <c r="L1558" s="163" t="s">
        <v>1694</v>
      </c>
      <c r="M1558" s="163"/>
      <c r="N1558" s="163" t="s">
        <v>978</v>
      </c>
      <c r="O1558" s="163"/>
      <c r="P1558" s="163"/>
      <c r="Q1558" s="163"/>
      <c r="R1558" s="163" t="s">
        <v>1015</v>
      </c>
      <c r="S1558" s="163" t="s">
        <v>1016</v>
      </c>
      <c r="T1558" s="43">
        <f t="shared" si="39"/>
        <v>2</v>
      </c>
      <c r="U1558" s="167">
        <f t="shared" si="36"/>
        <v>45712</v>
      </c>
      <c r="W1558" s="43">
        <f t="shared" si="38"/>
        <v>2</v>
      </c>
      <c r="X1558" s="49" t="s">
        <v>1480</v>
      </c>
      <c r="Y1558" s="49" t="s">
        <v>26</v>
      </c>
    </row>
    <row r="1559" spans="1:28" hidden="1">
      <c r="A1559" s="163" t="s">
        <v>1017</v>
      </c>
      <c r="B1559" s="164">
        <v>45712</v>
      </c>
      <c r="C1559" s="163" t="s">
        <v>1326</v>
      </c>
      <c r="D1559" s="163" t="s">
        <v>281</v>
      </c>
      <c r="E1559" s="163" t="s">
        <v>199</v>
      </c>
      <c r="F1559" s="226">
        <v>-544</v>
      </c>
      <c r="G1559" s="165">
        <f t="shared" si="40"/>
        <v>18614.111000000015</v>
      </c>
      <c r="H1559" s="163"/>
      <c r="I1559" s="163" t="s">
        <v>342</v>
      </c>
      <c r="J1559" s="163"/>
      <c r="K1559" s="163"/>
      <c r="L1559" s="163" t="s">
        <v>1030</v>
      </c>
      <c r="M1559" s="163"/>
      <c r="N1559" s="163" t="s">
        <v>978</v>
      </c>
      <c r="O1559" s="163"/>
      <c r="P1559" s="163"/>
      <c r="Q1559" s="163"/>
      <c r="R1559" s="163" t="s">
        <v>1327</v>
      </c>
      <c r="S1559" s="163"/>
      <c r="T1559" s="43">
        <f t="shared" si="39"/>
        <v>2</v>
      </c>
      <c r="U1559" s="167">
        <f t="shared" si="36"/>
        <v>45712</v>
      </c>
      <c r="W1559" s="43">
        <f t="shared" si="38"/>
        <v>2</v>
      </c>
      <c r="X1559" s="49" t="s">
        <v>1480</v>
      </c>
      <c r="Y1559" s="49" t="s">
        <v>1488</v>
      </c>
    </row>
    <row r="1560" spans="1:28" hidden="1">
      <c r="A1560" s="163" t="s">
        <v>1017</v>
      </c>
      <c r="B1560" s="164">
        <v>45712</v>
      </c>
      <c r="C1560" s="163" t="s">
        <v>127</v>
      </c>
      <c r="D1560" s="163" t="s">
        <v>281</v>
      </c>
      <c r="E1560" s="163" t="s">
        <v>199</v>
      </c>
      <c r="F1560" s="226">
        <v>-130</v>
      </c>
      <c r="G1560" s="165">
        <f t="shared" si="40"/>
        <v>18484.111000000015</v>
      </c>
      <c r="H1560" s="163"/>
      <c r="I1560" s="163" t="s">
        <v>977</v>
      </c>
      <c r="J1560" s="163"/>
      <c r="K1560" s="163"/>
      <c r="L1560" s="163" t="s">
        <v>477</v>
      </c>
      <c r="M1560" s="163"/>
      <c r="N1560" s="163" t="s">
        <v>978</v>
      </c>
      <c r="O1560" s="163"/>
      <c r="P1560" s="163"/>
      <c r="Q1560" s="163"/>
      <c r="R1560" s="163" t="s">
        <v>127</v>
      </c>
      <c r="S1560" s="163"/>
      <c r="T1560" s="43">
        <f t="shared" si="39"/>
        <v>2</v>
      </c>
      <c r="U1560" s="167">
        <f t="shared" si="36"/>
        <v>45712</v>
      </c>
      <c r="W1560" s="43">
        <f t="shared" si="38"/>
        <v>2</v>
      </c>
      <c r="X1560" s="49" t="s">
        <v>1480</v>
      </c>
      <c r="Y1560" s="49" t="s">
        <v>25</v>
      </c>
    </row>
    <row r="1561" spans="1:28" hidden="1">
      <c r="A1561" s="163" t="s">
        <v>1017</v>
      </c>
      <c r="B1561" s="164">
        <v>45712</v>
      </c>
      <c r="C1561" s="163" t="s">
        <v>1606</v>
      </c>
      <c r="D1561" s="163" t="s">
        <v>281</v>
      </c>
      <c r="E1561" s="163" t="s">
        <v>199</v>
      </c>
      <c r="F1561" s="226">
        <v>-255</v>
      </c>
      <c r="G1561" s="165">
        <f t="shared" si="40"/>
        <v>18229.111000000015</v>
      </c>
      <c r="H1561" s="163"/>
      <c r="I1561" s="163" t="s">
        <v>977</v>
      </c>
      <c r="J1561" s="163"/>
      <c r="K1561" s="163"/>
      <c r="L1561" s="163" t="s">
        <v>477</v>
      </c>
      <c r="M1561" s="163"/>
      <c r="N1561" s="163" t="s">
        <v>978</v>
      </c>
      <c r="O1561" s="163"/>
      <c r="P1561" s="163"/>
      <c r="Q1561" s="163"/>
      <c r="R1561" s="163" t="s">
        <v>1606</v>
      </c>
      <c r="S1561" s="163"/>
      <c r="T1561" s="43">
        <f t="shared" si="39"/>
        <v>2</v>
      </c>
      <c r="U1561" s="167">
        <f t="shared" si="36"/>
        <v>45712</v>
      </c>
      <c r="W1561" s="43">
        <f t="shared" si="38"/>
        <v>2</v>
      </c>
      <c r="X1561" s="49" t="s">
        <v>1480</v>
      </c>
      <c r="Y1561" s="49" t="s">
        <v>86</v>
      </c>
    </row>
    <row r="1562" spans="1:28" hidden="1">
      <c r="A1562" s="163" t="s">
        <v>1017</v>
      </c>
      <c r="B1562" s="164">
        <v>45713</v>
      </c>
      <c r="C1562" s="163" t="s">
        <v>1002</v>
      </c>
      <c r="D1562" s="163" t="s">
        <v>281</v>
      </c>
      <c r="E1562" s="163" t="s">
        <v>190</v>
      </c>
      <c r="F1562" s="226">
        <v>-200</v>
      </c>
      <c r="G1562" s="165">
        <f t="shared" si="40"/>
        <v>18029.111000000015</v>
      </c>
      <c r="H1562" s="163"/>
      <c r="I1562" s="163" t="s">
        <v>342</v>
      </c>
      <c r="J1562" s="163"/>
      <c r="K1562" s="163"/>
      <c r="L1562" s="163" t="s">
        <v>1571</v>
      </c>
      <c r="M1562" s="163"/>
      <c r="N1562" s="163" t="s">
        <v>978</v>
      </c>
      <c r="O1562" s="163"/>
      <c r="P1562" s="163"/>
      <c r="Q1562" s="163"/>
      <c r="R1562" s="163" t="s">
        <v>1004</v>
      </c>
      <c r="S1562" s="163" t="s">
        <v>1005</v>
      </c>
      <c r="T1562" s="43">
        <f t="shared" si="39"/>
        <v>2</v>
      </c>
      <c r="U1562" s="167">
        <f t="shared" si="36"/>
        <v>45712</v>
      </c>
      <c r="V1562" s="261">
        <v>45712</v>
      </c>
      <c r="W1562" s="43">
        <f t="shared" si="38"/>
        <v>2</v>
      </c>
      <c r="X1562" s="49" t="s">
        <v>1498</v>
      </c>
      <c r="Y1562" s="49" t="s">
        <v>1336</v>
      </c>
    </row>
    <row r="1563" spans="1:28" hidden="1">
      <c r="A1563" s="180" t="s">
        <v>1017</v>
      </c>
      <c r="B1563" s="181">
        <v>45712</v>
      </c>
      <c r="C1563" s="180" t="s">
        <v>1010</v>
      </c>
      <c r="D1563" s="180" t="s">
        <v>281</v>
      </c>
      <c r="E1563" s="180" t="s">
        <v>199</v>
      </c>
      <c r="F1563" s="226">
        <v>-1050</v>
      </c>
      <c r="G1563" s="165">
        <f t="shared" si="40"/>
        <v>16979.111000000015</v>
      </c>
      <c r="H1563" s="180"/>
      <c r="I1563" s="180" t="s">
        <v>283</v>
      </c>
      <c r="J1563" s="180"/>
      <c r="K1563" s="180"/>
      <c r="L1563" s="180" t="s">
        <v>485</v>
      </c>
      <c r="M1563" s="180"/>
      <c r="N1563" s="180" t="s">
        <v>978</v>
      </c>
      <c r="O1563" s="180"/>
      <c r="P1563" s="180"/>
      <c r="Q1563" s="180"/>
      <c r="R1563" s="180" t="s">
        <v>669</v>
      </c>
      <c r="S1563" s="180" t="s">
        <v>1492</v>
      </c>
      <c r="T1563" s="183">
        <f t="shared" si="39"/>
        <v>2</v>
      </c>
      <c r="U1563" s="184">
        <f t="shared" si="36"/>
        <v>45712</v>
      </c>
      <c r="V1563" s="183"/>
      <c r="W1563" s="43">
        <f t="shared" si="38"/>
        <v>2</v>
      </c>
      <c r="X1563" s="206" t="s">
        <v>1478</v>
      </c>
      <c r="Y1563" s="206" t="s">
        <v>26</v>
      </c>
      <c r="Z1563" s="183"/>
      <c r="AA1563" s="183"/>
      <c r="AB1563" s="183"/>
    </row>
    <row r="1564" spans="1:28" hidden="1">
      <c r="A1564" s="180" t="s">
        <v>1017</v>
      </c>
      <c r="B1564" s="181">
        <v>45712</v>
      </c>
      <c r="C1564" s="180" t="s">
        <v>1695</v>
      </c>
      <c r="D1564" s="180" t="s">
        <v>281</v>
      </c>
      <c r="E1564" s="180" t="s">
        <v>196</v>
      </c>
      <c r="F1564" s="226">
        <v>-580</v>
      </c>
      <c r="G1564" s="165">
        <f t="shared" si="40"/>
        <v>16399.111000000015</v>
      </c>
      <c r="H1564" s="180"/>
      <c r="I1564" s="180" t="s">
        <v>283</v>
      </c>
      <c r="J1564" s="180"/>
      <c r="K1564" s="180"/>
      <c r="L1564" s="180" t="s">
        <v>477</v>
      </c>
      <c r="M1564" s="180"/>
      <c r="N1564" s="180" t="s">
        <v>978</v>
      </c>
      <c r="O1564" s="180"/>
      <c r="P1564" s="180"/>
      <c r="Q1564" s="180"/>
      <c r="R1564" s="180" t="s">
        <v>1368</v>
      </c>
      <c r="S1564" s="180" t="s">
        <v>1369</v>
      </c>
      <c r="T1564" s="183">
        <f t="shared" si="39"/>
        <v>2</v>
      </c>
      <c r="U1564" s="184">
        <f t="shared" si="36"/>
        <v>45712</v>
      </c>
      <c r="V1564" s="183"/>
      <c r="W1564" s="43">
        <f t="shared" si="38"/>
        <v>2</v>
      </c>
      <c r="X1564" s="43" t="s">
        <v>1483</v>
      </c>
      <c r="Y1564" s="43" t="s">
        <v>1443</v>
      </c>
      <c r="Z1564" s="183"/>
      <c r="AA1564" s="183"/>
      <c r="AB1564" s="183"/>
    </row>
    <row r="1565" spans="1:28" hidden="1">
      <c r="A1565" s="163" t="s">
        <v>1017</v>
      </c>
      <c r="B1565" s="164">
        <v>45712</v>
      </c>
      <c r="C1565" s="190" t="s">
        <v>330</v>
      </c>
      <c r="D1565" s="190" t="s">
        <v>281</v>
      </c>
      <c r="E1565" s="190" t="s">
        <v>330</v>
      </c>
      <c r="F1565" s="185">
        <v>-2</v>
      </c>
      <c r="G1565" s="165">
        <f t="shared" si="40"/>
        <v>16397.111000000015</v>
      </c>
      <c r="H1565" s="190"/>
      <c r="I1565" s="190" t="s">
        <v>342</v>
      </c>
      <c r="J1565" s="190"/>
      <c r="K1565" s="190"/>
      <c r="L1565" s="190" t="s">
        <v>805</v>
      </c>
      <c r="M1565" s="190"/>
      <c r="N1565" s="190" t="s">
        <v>978</v>
      </c>
      <c r="O1565" s="190"/>
      <c r="P1565" s="190"/>
      <c r="Q1565" s="190"/>
      <c r="R1565" s="190" t="s">
        <v>1292</v>
      </c>
      <c r="S1565" s="190" t="s">
        <v>1417</v>
      </c>
      <c r="T1565" s="43">
        <f t="shared" si="39"/>
        <v>2</v>
      </c>
      <c r="U1565" s="167">
        <f t="shared" si="36"/>
        <v>45712</v>
      </c>
      <c r="V1565" s="43"/>
      <c r="W1565" s="43">
        <f t="shared" si="38"/>
        <v>2</v>
      </c>
      <c r="X1565" s="43" t="s">
        <v>1483</v>
      </c>
      <c r="Y1565" s="43" t="s">
        <v>1443</v>
      </c>
      <c r="Z1565" s="43"/>
      <c r="AA1565" s="43"/>
      <c r="AB1565" s="43"/>
    </row>
    <row r="1566" spans="1:28" hidden="1">
      <c r="A1566" s="163"/>
      <c r="B1566" s="164">
        <v>45712</v>
      </c>
      <c r="C1566" s="163" t="s">
        <v>346</v>
      </c>
      <c r="D1566" s="163"/>
      <c r="E1566" s="163"/>
      <c r="F1566" s="165">
        <v>0</v>
      </c>
      <c r="G1566" s="165">
        <f t="shared" si="40"/>
        <v>16397.111000000015</v>
      </c>
      <c r="H1566" s="163"/>
      <c r="I1566" s="163"/>
      <c r="J1566" s="163"/>
      <c r="K1566" s="163"/>
      <c r="L1566" s="163"/>
      <c r="M1566" s="163"/>
      <c r="N1566" s="163"/>
      <c r="O1566" s="163"/>
      <c r="P1566" s="163"/>
      <c r="Q1566" s="163"/>
      <c r="R1566" s="163"/>
      <c r="S1566" s="163"/>
      <c r="T1566" s="43">
        <f t="shared" si="39"/>
        <v>2</v>
      </c>
      <c r="U1566" s="167">
        <f t="shared" si="36"/>
        <v>45712</v>
      </c>
      <c r="W1566" s="43">
        <f t="shared" si="38"/>
        <v>2</v>
      </c>
    </row>
    <row r="1567" spans="1:28" hidden="1">
      <c r="A1567" s="180" t="s">
        <v>1174</v>
      </c>
      <c r="B1567" s="181">
        <v>45714</v>
      </c>
      <c r="C1567" s="180" t="s">
        <v>1696</v>
      </c>
      <c r="D1567" s="180" t="s">
        <v>281</v>
      </c>
      <c r="E1567" s="180" t="s">
        <v>289</v>
      </c>
      <c r="F1567" s="274">
        <v>34999.99</v>
      </c>
      <c r="G1567" s="165">
        <f t="shared" si="40"/>
        <v>51397.10100000001</v>
      </c>
      <c r="H1567" s="180"/>
      <c r="I1567" s="180" t="s">
        <v>1176</v>
      </c>
      <c r="J1567" s="180" t="s">
        <v>1617</v>
      </c>
      <c r="K1567" s="180"/>
      <c r="L1567" s="180" t="s">
        <v>305</v>
      </c>
      <c r="M1567" s="180"/>
      <c r="N1567" s="180" t="s">
        <v>1178</v>
      </c>
      <c r="O1567" s="180" t="s">
        <v>1617</v>
      </c>
      <c r="P1567" s="180" t="s">
        <v>1618</v>
      </c>
      <c r="Q1567" s="180"/>
      <c r="R1567" s="180" t="s">
        <v>1619</v>
      </c>
      <c r="S1567" s="180" t="s">
        <v>1620</v>
      </c>
      <c r="T1567" s="183">
        <f t="shared" si="39"/>
        <v>2</v>
      </c>
      <c r="U1567" s="184">
        <f t="shared" si="36"/>
        <v>45713</v>
      </c>
      <c r="V1567" s="184">
        <v>45713</v>
      </c>
      <c r="W1567" s="43">
        <f t="shared" si="38"/>
        <v>2</v>
      </c>
      <c r="X1567" s="183" t="s">
        <v>1484</v>
      </c>
      <c r="Y1567" s="183" t="s">
        <v>78</v>
      </c>
      <c r="Z1567" s="183"/>
      <c r="AA1567" s="183"/>
      <c r="AB1567" s="183"/>
    </row>
    <row r="1568" spans="1:28" ht="14.25" hidden="1" customHeight="1">
      <c r="A1568" s="163" t="s">
        <v>961</v>
      </c>
      <c r="B1568" s="181">
        <v>45672</v>
      </c>
      <c r="C1568" s="163" t="s">
        <v>1624</v>
      </c>
      <c r="D1568" s="163" t="s">
        <v>281</v>
      </c>
      <c r="E1568" s="163" t="s">
        <v>407</v>
      </c>
      <c r="F1568" s="195">
        <v>7500</v>
      </c>
      <c r="G1568" s="165">
        <f t="shared" si="40"/>
        <v>58897.10100000001</v>
      </c>
      <c r="H1568" s="163"/>
      <c r="I1568" s="163" t="s">
        <v>342</v>
      </c>
      <c r="J1568" s="163" t="s">
        <v>1697</v>
      </c>
      <c r="K1568" s="163" t="s">
        <v>1698</v>
      </c>
      <c r="L1568" s="163" t="s">
        <v>305</v>
      </c>
      <c r="M1568" s="163" t="s">
        <v>1699</v>
      </c>
      <c r="N1568" s="163" t="s">
        <v>966</v>
      </c>
      <c r="O1568" s="163" t="s">
        <v>1700</v>
      </c>
      <c r="P1568" s="163" t="s">
        <v>351</v>
      </c>
      <c r="Q1568" s="163"/>
      <c r="R1568" s="163" t="s">
        <v>1626</v>
      </c>
      <c r="S1568" s="163" t="s">
        <v>1627</v>
      </c>
      <c r="T1568" s="43">
        <f t="shared" si="39"/>
        <v>1</v>
      </c>
      <c r="U1568" s="167">
        <f t="shared" si="36"/>
        <v>45713</v>
      </c>
      <c r="V1568" s="167">
        <v>45713</v>
      </c>
      <c r="W1568" s="43">
        <f t="shared" si="38"/>
        <v>2</v>
      </c>
      <c r="X1568" s="43" t="s">
        <v>1484</v>
      </c>
      <c r="Y1568" s="43" t="s">
        <v>1485</v>
      </c>
      <c r="Z1568" s="43"/>
      <c r="AA1568" s="43"/>
      <c r="AB1568" s="43" t="s">
        <v>1701</v>
      </c>
    </row>
    <row r="1569" spans="1:28" hidden="1">
      <c r="A1569" s="163" t="s">
        <v>1174</v>
      </c>
      <c r="B1569" s="164">
        <v>45713</v>
      </c>
      <c r="C1569" s="163" t="s">
        <v>1123</v>
      </c>
      <c r="D1569" s="163" t="s">
        <v>281</v>
      </c>
      <c r="E1569" s="163" t="s">
        <v>407</v>
      </c>
      <c r="F1569" s="197"/>
      <c r="G1569" s="165">
        <f t="shared" si="40"/>
        <v>58897.10100000001</v>
      </c>
      <c r="H1569" s="163"/>
      <c r="I1569" s="163" t="s">
        <v>1176</v>
      </c>
      <c r="J1569" s="163" t="s">
        <v>1452</v>
      </c>
      <c r="K1569" s="163"/>
      <c r="L1569" s="163" t="s">
        <v>305</v>
      </c>
      <c r="M1569" s="163"/>
      <c r="N1569" s="163" t="s">
        <v>1178</v>
      </c>
      <c r="O1569" s="163" t="s">
        <v>1452</v>
      </c>
      <c r="P1569" s="163" t="s">
        <v>57</v>
      </c>
      <c r="Q1569" s="163"/>
      <c r="R1569" s="163" t="s">
        <v>1128</v>
      </c>
      <c r="S1569" s="163" t="s">
        <v>1129</v>
      </c>
      <c r="T1569" s="43">
        <f t="shared" si="39"/>
        <v>2</v>
      </c>
      <c r="U1569" s="167">
        <f t="shared" si="36"/>
        <v>45713</v>
      </c>
      <c r="W1569" s="43">
        <f t="shared" si="38"/>
        <v>2</v>
      </c>
      <c r="X1569" s="43" t="s">
        <v>1484</v>
      </c>
      <c r="Y1569" s="43" t="s">
        <v>1485</v>
      </c>
    </row>
    <row r="1570" spans="1:28" hidden="1">
      <c r="A1570" s="180" t="s">
        <v>1174</v>
      </c>
      <c r="B1570" s="181">
        <v>45713</v>
      </c>
      <c r="C1570" s="180" t="s">
        <v>1621</v>
      </c>
      <c r="D1570" s="180" t="s">
        <v>281</v>
      </c>
      <c r="E1570" s="180" t="s">
        <v>407</v>
      </c>
      <c r="F1570" s="195">
        <v>4500</v>
      </c>
      <c r="G1570" s="165">
        <f t="shared" si="40"/>
        <v>63397.10100000001</v>
      </c>
      <c r="H1570" s="180"/>
      <c r="I1570" s="180" t="s">
        <v>1176</v>
      </c>
      <c r="J1570" s="180" t="s">
        <v>1452</v>
      </c>
      <c r="K1570" s="180"/>
      <c r="L1570" s="180" t="s">
        <v>305</v>
      </c>
      <c r="M1570" s="180"/>
      <c r="N1570" s="180" t="s">
        <v>1178</v>
      </c>
      <c r="O1570" s="180" t="s">
        <v>1452</v>
      </c>
      <c r="P1570" s="180" t="s">
        <v>57</v>
      </c>
      <c r="Q1570" s="180"/>
      <c r="R1570" s="180" t="s">
        <v>1128</v>
      </c>
      <c r="S1570" s="180" t="s">
        <v>1129</v>
      </c>
      <c r="T1570" s="183">
        <f t="shared" si="39"/>
        <v>2</v>
      </c>
      <c r="U1570" s="184">
        <f t="shared" si="36"/>
        <v>45713</v>
      </c>
      <c r="V1570" s="183"/>
      <c r="W1570" s="43">
        <f t="shared" si="38"/>
        <v>2</v>
      </c>
      <c r="X1570" s="43" t="s">
        <v>1484</v>
      </c>
      <c r="Y1570" s="43" t="s">
        <v>1485</v>
      </c>
      <c r="Z1570" s="183"/>
      <c r="AA1570" s="183"/>
      <c r="AB1570" s="183"/>
    </row>
    <row r="1571" spans="1:28" hidden="1">
      <c r="A1571" s="163" t="s">
        <v>1174</v>
      </c>
      <c r="B1571" s="164">
        <v>45713</v>
      </c>
      <c r="C1571" s="163" t="s">
        <v>1115</v>
      </c>
      <c r="D1571" s="163" t="s">
        <v>281</v>
      </c>
      <c r="E1571" s="163" t="s">
        <v>407</v>
      </c>
      <c r="F1571" s="195">
        <v>4390</v>
      </c>
      <c r="G1571" s="165">
        <f t="shared" si="40"/>
        <v>67787.10100000001</v>
      </c>
      <c r="H1571" s="163"/>
      <c r="I1571" s="163" t="s">
        <v>1176</v>
      </c>
      <c r="J1571" s="163" t="s">
        <v>1454</v>
      </c>
      <c r="K1571" s="163"/>
      <c r="L1571" s="163" t="s">
        <v>305</v>
      </c>
      <c r="M1571" s="163"/>
      <c r="N1571" s="163" t="s">
        <v>1178</v>
      </c>
      <c r="O1571" s="163" t="s">
        <v>1454</v>
      </c>
      <c r="P1571" s="163" t="s">
        <v>1023</v>
      </c>
      <c r="Q1571" s="163"/>
      <c r="R1571" s="163" t="s">
        <v>1120</v>
      </c>
      <c r="S1571" s="163" t="s">
        <v>1121</v>
      </c>
      <c r="T1571" s="43">
        <f t="shared" si="39"/>
        <v>2</v>
      </c>
      <c r="U1571" s="167">
        <f t="shared" si="36"/>
        <v>45713</v>
      </c>
      <c r="W1571" s="43">
        <f t="shared" si="38"/>
        <v>2</v>
      </c>
      <c r="X1571" s="43" t="s">
        <v>1484</v>
      </c>
      <c r="Y1571" s="43" t="s">
        <v>1485</v>
      </c>
    </row>
    <row r="1572" spans="1:28" hidden="1">
      <c r="A1572" s="163" t="s">
        <v>1174</v>
      </c>
      <c r="B1572" s="164">
        <v>45713</v>
      </c>
      <c r="C1572" s="163" t="s">
        <v>1240</v>
      </c>
      <c r="D1572" s="163" t="s">
        <v>281</v>
      </c>
      <c r="E1572" s="163" t="s">
        <v>407</v>
      </c>
      <c r="F1572" s="165"/>
      <c r="G1572" s="165">
        <f t="shared" si="40"/>
        <v>67787.10100000001</v>
      </c>
      <c r="H1572" s="163"/>
      <c r="I1572" s="163" t="s">
        <v>1176</v>
      </c>
      <c r="J1572" s="163" t="s">
        <v>1459</v>
      </c>
      <c r="K1572" s="163"/>
      <c r="L1572" s="163" t="s">
        <v>305</v>
      </c>
      <c r="M1572" s="163"/>
      <c r="N1572" s="163" t="s">
        <v>1178</v>
      </c>
      <c r="O1572" s="163" t="s">
        <v>1459</v>
      </c>
      <c r="P1572" s="163" t="s">
        <v>57</v>
      </c>
      <c r="Q1572" s="163"/>
      <c r="R1572" s="163" t="s">
        <v>1245</v>
      </c>
      <c r="S1572" s="163" t="s">
        <v>1246</v>
      </c>
      <c r="T1572" s="43">
        <f t="shared" si="39"/>
        <v>2</v>
      </c>
      <c r="U1572" s="167">
        <f t="shared" si="36"/>
        <v>45713</v>
      </c>
      <c r="W1572" s="43">
        <f t="shared" si="38"/>
        <v>2</v>
      </c>
      <c r="X1572" s="43" t="s">
        <v>1484</v>
      </c>
      <c r="Y1572" s="43" t="s">
        <v>1485</v>
      </c>
    </row>
    <row r="1573" spans="1:28" hidden="1">
      <c r="A1573" s="163" t="s">
        <v>1017</v>
      </c>
      <c r="B1573" s="164">
        <v>45713</v>
      </c>
      <c r="C1573" s="190" t="s">
        <v>330</v>
      </c>
      <c r="D1573" s="190" t="s">
        <v>281</v>
      </c>
      <c r="E1573" s="190" t="s">
        <v>330</v>
      </c>
      <c r="F1573" s="185">
        <f>-1.99*3-1</f>
        <v>-6.97</v>
      </c>
      <c r="G1573" s="165">
        <f t="shared" si="40"/>
        <v>67780.131000000008</v>
      </c>
      <c r="H1573" s="190"/>
      <c r="I1573" s="190" t="s">
        <v>342</v>
      </c>
      <c r="J1573" s="190"/>
      <c r="K1573" s="190"/>
      <c r="L1573" s="190" t="s">
        <v>805</v>
      </c>
      <c r="M1573" s="190"/>
      <c r="N1573" s="190" t="s">
        <v>978</v>
      </c>
      <c r="O1573" s="190"/>
      <c r="P1573" s="190"/>
      <c r="Q1573" s="190"/>
      <c r="R1573" s="190" t="s">
        <v>1292</v>
      </c>
      <c r="S1573" s="190" t="s">
        <v>1417</v>
      </c>
      <c r="T1573" s="43">
        <f t="shared" si="39"/>
        <v>2</v>
      </c>
      <c r="U1573" s="167">
        <f t="shared" si="36"/>
        <v>45713</v>
      </c>
      <c r="V1573" s="43"/>
      <c r="W1573" s="43">
        <f t="shared" si="38"/>
        <v>2</v>
      </c>
      <c r="X1573" s="43" t="s">
        <v>1483</v>
      </c>
      <c r="Y1573" s="43" t="s">
        <v>1443</v>
      </c>
      <c r="Z1573" s="43"/>
      <c r="AA1573" s="43"/>
      <c r="AB1573" s="43"/>
    </row>
    <row r="1574" spans="1:28" hidden="1">
      <c r="A1574" s="163" t="s">
        <v>1017</v>
      </c>
      <c r="B1574" s="164">
        <v>45713</v>
      </c>
      <c r="C1574" s="163" t="s">
        <v>1002</v>
      </c>
      <c r="D1574" s="163" t="s">
        <v>281</v>
      </c>
      <c r="E1574" s="163" t="s">
        <v>190</v>
      </c>
      <c r="F1574" s="226">
        <v>-500</v>
      </c>
      <c r="G1574" s="165">
        <f t="shared" si="40"/>
        <v>67280.131000000008</v>
      </c>
      <c r="H1574" s="163"/>
      <c r="I1574" s="163" t="s">
        <v>342</v>
      </c>
      <c r="J1574" s="163"/>
      <c r="K1574" s="163"/>
      <c r="L1574" s="163" t="s">
        <v>1571</v>
      </c>
      <c r="M1574" s="163"/>
      <c r="N1574" s="163" t="s">
        <v>978</v>
      </c>
      <c r="O1574" s="163"/>
      <c r="P1574" s="163"/>
      <c r="Q1574" s="163"/>
      <c r="R1574" s="163" t="s">
        <v>1004</v>
      </c>
      <c r="S1574" s="163" t="s">
        <v>1005</v>
      </c>
      <c r="T1574" s="43">
        <f t="shared" si="39"/>
        <v>2</v>
      </c>
      <c r="U1574" s="167">
        <f t="shared" si="36"/>
        <v>45713</v>
      </c>
      <c r="V1574" s="261"/>
      <c r="W1574" s="43">
        <f t="shared" si="38"/>
        <v>2</v>
      </c>
      <c r="X1574" s="49" t="s">
        <v>1498</v>
      </c>
      <c r="Y1574" s="49" t="s">
        <v>1336</v>
      </c>
    </row>
    <row r="1575" spans="1:28" hidden="1">
      <c r="A1575" s="180" t="s">
        <v>1017</v>
      </c>
      <c r="B1575" s="181">
        <v>45713</v>
      </c>
      <c r="C1575" s="180" t="s">
        <v>1087</v>
      </c>
      <c r="D1575" s="180" t="s">
        <v>281</v>
      </c>
      <c r="E1575" s="180" t="s">
        <v>1702</v>
      </c>
      <c r="F1575" s="182">
        <v>-500</v>
      </c>
      <c r="G1575" s="165">
        <f t="shared" si="40"/>
        <v>66780.131000000008</v>
      </c>
      <c r="H1575" s="180"/>
      <c r="I1575" s="180" t="s">
        <v>283</v>
      </c>
      <c r="J1575" s="180"/>
      <c r="K1575" s="180"/>
      <c r="L1575" s="180" t="s">
        <v>485</v>
      </c>
      <c r="M1575" s="180"/>
      <c r="N1575" s="180" t="s">
        <v>978</v>
      </c>
      <c r="O1575" s="180"/>
      <c r="P1575" s="180"/>
      <c r="Q1575" s="180"/>
      <c r="R1575" s="180" t="s">
        <v>669</v>
      </c>
      <c r="S1575" s="180" t="s">
        <v>1492</v>
      </c>
      <c r="T1575" s="183">
        <f t="shared" si="39"/>
        <v>2</v>
      </c>
      <c r="U1575" s="184">
        <f t="shared" si="36"/>
        <v>45713</v>
      </c>
      <c r="V1575" s="183"/>
      <c r="W1575" s="43">
        <f t="shared" si="38"/>
        <v>2</v>
      </c>
      <c r="X1575" s="183" t="s">
        <v>1381</v>
      </c>
      <c r="Y1575" s="183" t="s">
        <v>1479</v>
      </c>
      <c r="Z1575" s="183"/>
      <c r="AA1575" s="183"/>
      <c r="AB1575" s="183"/>
    </row>
    <row r="1576" spans="1:28" hidden="1">
      <c r="A1576" s="248" t="s">
        <v>1017</v>
      </c>
      <c r="B1576" s="249">
        <v>45721</v>
      </c>
      <c r="C1576" s="248" t="s">
        <v>1087</v>
      </c>
      <c r="D1576" s="248" t="s">
        <v>281</v>
      </c>
      <c r="E1576" s="248" t="s">
        <v>925</v>
      </c>
      <c r="F1576" s="253">
        <v>-4000</v>
      </c>
      <c r="G1576" s="165">
        <f t="shared" si="40"/>
        <v>62780.131000000008</v>
      </c>
      <c r="H1576" s="248"/>
      <c r="I1576" s="248" t="s">
        <v>283</v>
      </c>
      <c r="J1576" s="248"/>
      <c r="K1576" s="248"/>
      <c r="L1576" s="248" t="s">
        <v>485</v>
      </c>
      <c r="M1576" s="248"/>
      <c r="N1576" s="248" t="s">
        <v>978</v>
      </c>
      <c r="O1576" s="248"/>
      <c r="P1576" s="248"/>
      <c r="Q1576" s="248"/>
      <c r="R1576" s="248" t="s">
        <v>669</v>
      </c>
      <c r="S1576" s="248" t="s">
        <v>1492</v>
      </c>
      <c r="T1576" s="251">
        <f t="shared" si="39"/>
        <v>3</v>
      </c>
      <c r="U1576" s="252">
        <f t="shared" si="36"/>
        <v>45713</v>
      </c>
      <c r="V1576" s="272">
        <v>45713</v>
      </c>
      <c r="W1576" s="43">
        <f t="shared" si="38"/>
        <v>2</v>
      </c>
      <c r="X1576" s="43" t="s">
        <v>90</v>
      </c>
      <c r="Y1576" s="43" t="s">
        <v>1479</v>
      </c>
      <c r="Z1576" s="251"/>
      <c r="AA1576" s="251"/>
      <c r="AB1576" s="251"/>
    </row>
    <row r="1577" spans="1:28" hidden="1">
      <c r="A1577" s="180" t="s">
        <v>1174</v>
      </c>
      <c r="B1577" s="181">
        <v>45709</v>
      </c>
      <c r="C1577" s="180" t="s">
        <v>962</v>
      </c>
      <c r="D1577" s="180" t="s">
        <v>281</v>
      </c>
      <c r="E1577" s="180" t="s">
        <v>407</v>
      </c>
      <c r="F1577" s="195">
        <v>2200</v>
      </c>
      <c r="G1577" s="165">
        <f t="shared" si="40"/>
        <v>64980.131000000008</v>
      </c>
      <c r="H1577" s="180"/>
      <c r="I1577" s="180" t="s">
        <v>1176</v>
      </c>
      <c r="J1577" s="180" t="s">
        <v>1364</v>
      </c>
      <c r="K1577" s="180"/>
      <c r="L1577" s="180" t="s">
        <v>305</v>
      </c>
      <c r="M1577" s="180"/>
      <c r="N1577" s="180" t="s">
        <v>1178</v>
      </c>
      <c r="O1577" s="180" t="s">
        <v>1364</v>
      </c>
      <c r="P1577" s="180" t="s">
        <v>957</v>
      </c>
      <c r="Q1577" s="180"/>
      <c r="R1577" s="180" t="s">
        <v>958</v>
      </c>
      <c r="S1577" s="180" t="s">
        <v>959</v>
      </c>
      <c r="T1577" s="183">
        <f t="shared" si="39"/>
        <v>2</v>
      </c>
      <c r="U1577" s="184">
        <f t="shared" si="36"/>
        <v>45713</v>
      </c>
      <c r="V1577" s="272">
        <v>45713</v>
      </c>
      <c r="W1577" s="43">
        <f t="shared" si="38"/>
        <v>2</v>
      </c>
      <c r="X1577" s="43" t="s">
        <v>1484</v>
      </c>
      <c r="Y1577" s="43" t="s">
        <v>1485</v>
      </c>
      <c r="Z1577" s="183"/>
      <c r="AA1577" s="183"/>
      <c r="AB1577" s="183"/>
    </row>
    <row r="1578" spans="1:28" hidden="1">
      <c r="A1578" s="180" t="s">
        <v>1017</v>
      </c>
      <c r="B1578" s="181">
        <v>45713</v>
      </c>
      <c r="C1578" s="180" t="s">
        <v>844</v>
      </c>
      <c r="D1578" s="180" t="s">
        <v>281</v>
      </c>
      <c r="E1578" s="180" t="s">
        <v>120</v>
      </c>
      <c r="F1578" s="226">
        <v>-512</v>
      </c>
      <c r="G1578" s="165">
        <f t="shared" si="40"/>
        <v>64468.131000000008</v>
      </c>
      <c r="H1578" s="180"/>
      <c r="I1578" s="180" t="s">
        <v>342</v>
      </c>
      <c r="J1578" s="180"/>
      <c r="K1578" s="180"/>
      <c r="L1578" s="180" t="s">
        <v>1424</v>
      </c>
      <c r="M1578" s="180"/>
      <c r="N1578" s="180" t="s">
        <v>978</v>
      </c>
      <c r="O1578" s="180"/>
      <c r="P1578" s="180"/>
      <c r="Q1578" s="180"/>
      <c r="R1578" s="180" t="s">
        <v>846</v>
      </c>
      <c r="S1578" s="180" t="s">
        <v>847</v>
      </c>
      <c r="T1578" s="183">
        <f t="shared" si="39"/>
        <v>2</v>
      </c>
      <c r="U1578" s="184">
        <f t="shared" si="36"/>
        <v>45713</v>
      </c>
      <c r="V1578" s="183"/>
      <c r="W1578" s="183">
        <f t="shared" si="38"/>
        <v>2</v>
      </c>
      <c r="X1578" s="183" t="s">
        <v>1498</v>
      </c>
      <c r="Y1578" s="183" t="s">
        <v>1336</v>
      </c>
      <c r="Z1578" s="183"/>
      <c r="AA1578" s="183"/>
      <c r="AB1578" s="183"/>
    </row>
    <row r="1579" spans="1:28" hidden="1">
      <c r="A1579" s="180" t="s">
        <v>1017</v>
      </c>
      <c r="B1579" s="181">
        <v>45713</v>
      </c>
      <c r="C1579" s="180" t="s">
        <v>1596</v>
      </c>
      <c r="D1579" s="180" t="s">
        <v>281</v>
      </c>
      <c r="E1579" s="180" t="s">
        <v>301</v>
      </c>
      <c r="F1579" s="182"/>
      <c r="G1579" s="165">
        <f t="shared" si="40"/>
        <v>64468.131000000008</v>
      </c>
      <c r="H1579" s="180"/>
      <c r="I1579" s="180" t="s">
        <v>283</v>
      </c>
      <c r="J1579" s="180"/>
      <c r="K1579" s="180"/>
      <c r="L1579" s="180" t="s">
        <v>485</v>
      </c>
      <c r="M1579" s="180"/>
      <c r="N1579" s="180" t="s">
        <v>978</v>
      </c>
      <c r="O1579" s="180"/>
      <c r="P1579" s="180"/>
      <c r="Q1579" s="180"/>
      <c r="R1579" s="180" t="s">
        <v>1527</v>
      </c>
      <c r="S1579" s="180"/>
      <c r="T1579" s="183">
        <f t="shared" si="39"/>
        <v>2</v>
      </c>
      <c r="U1579" s="184">
        <f t="shared" si="36"/>
        <v>45713</v>
      </c>
      <c r="V1579" s="183"/>
      <c r="W1579" s="43">
        <f t="shared" si="38"/>
        <v>2</v>
      </c>
      <c r="X1579" s="49" t="s">
        <v>1333</v>
      </c>
      <c r="Y1579" s="49" t="s">
        <v>1336</v>
      </c>
      <c r="Z1579" s="183"/>
      <c r="AA1579" s="183"/>
      <c r="AB1579" s="183"/>
    </row>
    <row r="1580" spans="1:28" hidden="1">
      <c r="A1580" s="180" t="s">
        <v>1017</v>
      </c>
      <c r="B1580" s="181">
        <v>45713</v>
      </c>
      <c r="C1580" s="180" t="s">
        <v>1595</v>
      </c>
      <c r="D1580" s="180" t="s">
        <v>281</v>
      </c>
      <c r="E1580" s="180" t="s">
        <v>199</v>
      </c>
      <c r="F1580" s="182"/>
      <c r="G1580" s="165">
        <f t="shared" si="40"/>
        <v>64468.131000000008</v>
      </c>
      <c r="H1580" s="180"/>
      <c r="I1580" s="180" t="s">
        <v>283</v>
      </c>
      <c r="J1580" s="180"/>
      <c r="K1580" s="180"/>
      <c r="L1580" s="180" t="s">
        <v>485</v>
      </c>
      <c r="M1580" s="180"/>
      <c r="N1580" s="180" t="s">
        <v>978</v>
      </c>
      <c r="O1580" s="180"/>
      <c r="P1580" s="180"/>
      <c r="Q1580" s="180"/>
      <c r="R1580" s="180" t="s">
        <v>1527</v>
      </c>
      <c r="S1580" s="180"/>
      <c r="T1580" s="183">
        <f t="shared" si="39"/>
        <v>2</v>
      </c>
      <c r="U1580" s="184">
        <f t="shared" si="36"/>
        <v>45713</v>
      </c>
      <c r="V1580" s="183"/>
      <c r="W1580" s="43">
        <f t="shared" si="38"/>
        <v>2</v>
      </c>
      <c r="X1580" s="183"/>
      <c r="Y1580" s="183"/>
      <c r="Z1580" s="183"/>
      <c r="AA1580" s="183"/>
      <c r="AB1580" s="183"/>
    </row>
    <row r="1581" spans="1:28" hidden="1">
      <c r="A1581" s="163"/>
      <c r="B1581" s="164">
        <v>45713</v>
      </c>
      <c r="C1581" s="163" t="s">
        <v>346</v>
      </c>
      <c r="D1581" s="163"/>
      <c r="E1581" s="163"/>
      <c r="F1581" s="165">
        <v>0</v>
      </c>
      <c r="G1581" s="165">
        <f t="shared" si="40"/>
        <v>64468.131000000008</v>
      </c>
      <c r="H1581" s="163"/>
      <c r="I1581" s="163"/>
      <c r="J1581" s="163"/>
      <c r="K1581" s="163"/>
      <c r="L1581" s="163"/>
      <c r="M1581" s="163"/>
      <c r="N1581" s="163"/>
      <c r="O1581" s="163"/>
      <c r="P1581" s="163"/>
      <c r="Q1581" s="163"/>
      <c r="R1581" s="163"/>
      <c r="S1581" s="163"/>
      <c r="T1581" s="43">
        <f t="shared" si="39"/>
        <v>2</v>
      </c>
      <c r="U1581" s="167">
        <f t="shared" si="36"/>
        <v>45713</v>
      </c>
      <c r="W1581" s="43">
        <f t="shared" si="38"/>
        <v>2</v>
      </c>
    </row>
    <row r="1582" spans="1:28" hidden="1">
      <c r="A1582" s="163" t="s">
        <v>1174</v>
      </c>
      <c r="B1582" s="164">
        <v>45716</v>
      </c>
      <c r="C1582" s="163" t="s">
        <v>1597</v>
      </c>
      <c r="D1582" s="163" t="s">
        <v>281</v>
      </c>
      <c r="E1582" s="163" t="s">
        <v>407</v>
      </c>
      <c r="F1582" s="195">
        <v>1750</v>
      </c>
      <c r="G1582" s="165">
        <f t="shared" si="40"/>
        <v>66218.131000000008</v>
      </c>
      <c r="H1582" s="163"/>
      <c r="I1582" s="163" t="s">
        <v>1176</v>
      </c>
      <c r="J1582" s="163" t="s">
        <v>1598</v>
      </c>
      <c r="K1582" s="163"/>
      <c r="L1582" s="163" t="s">
        <v>305</v>
      </c>
      <c r="M1582" s="163"/>
      <c r="N1582" s="163" t="s">
        <v>1178</v>
      </c>
      <c r="O1582" s="163" t="s">
        <v>1598</v>
      </c>
      <c r="P1582" s="163" t="s">
        <v>1083</v>
      </c>
      <c r="Q1582" s="163"/>
      <c r="R1582" s="163" t="s">
        <v>1599</v>
      </c>
      <c r="S1582" s="163" t="s">
        <v>1600</v>
      </c>
      <c r="T1582" s="43">
        <f t="shared" si="39"/>
        <v>2</v>
      </c>
      <c r="U1582" s="167">
        <f t="shared" si="36"/>
        <v>45714</v>
      </c>
      <c r="V1582" s="166">
        <v>45714</v>
      </c>
      <c r="W1582" s="43">
        <f t="shared" si="38"/>
        <v>2</v>
      </c>
      <c r="X1582" s="43" t="s">
        <v>1484</v>
      </c>
      <c r="Y1582" s="43" t="s">
        <v>1485</v>
      </c>
    </row>
    <row r="1583" spans="1:28" hidden="1">
      <c r="A1583" s="163" t="s">
        <v>1174</v>
      </c>
      <c r="B1583" s="164">
        <v>45713</v>
      </c>
      <c r="C1583" s="163" t="s">
        <v>1175</v>
      </c>
      <c r="D1583" s="163" t="s">
        <v>281</v>
      </c>
      <c r="E1583" s="163" t="s">
        <v>407</v>
      </c>
      <c r="F1583" s="195">
        <v>2500</v>
      </c>
      <c r="G1583" s="165">
        <f t="shared" si="40"/>
        <v>68718.131000000008</v>
      </c>
      <c r="H1583" s="163"/>
      <c r="I1583" s="163" t="s">
        <v>1176</v>
      </c>
      <c r="J1583" s="163" t="s">
        <v>1177</v>
      </c>
      <c r="K1583" s="163"/>
      <c r="L1583" s="163" t="s">
        <v>305</v>
      </c>
      <c r="M1583" s="163"/>
      <c r="N1583" s="163" t="s">
        <v>1178</v>
      </c>
      <c r="O1583" s="163" t="s">
        <v>1177</v>
      </c>
      <c r="P1583" s="163" t="s">
        <v>57</v>
      </c>
      <c r="Q1583" s="163"/>
      <c r="R1583" s="163" t="s">
        <v>1179</v>
      </c>
      <c r="S1583" s="163" t="s">
        <v>1180</v>
      </c>
      <c r="T1583" s="43">
        <f t="shared" si="39"/>
        <v>2</v>
      </c>
      <c r="U1583" s="167">
        <f t="shared" si="36"/>
        <v>45714</v>
      </c>
      <c r="V1583" s="166">
        <v>45714</v>
      </c>
      <c r="W1583" s="43">
        <f t="shared" si="38"/>
        <v>2</v>
      </c>
      <c r="X1583" s="43" t="s">
        <v>1484</v>
      </c>
      <c r="Y1583" s="43" t="s">
        <v>1485</v>
      </c>
    </row>
    <row r="1584" spans="1:28" hidden="1">
      <c r="A1584" s="163" t="s">
        <v>1174</v>
      </c>
      <c r="B1584" s="164">
        <v>45713</v>
      </c>
      <c r="C1584" s="163" t="s">
        <v>1279</v>
      </c>
      <c r="D1584" s="163" t="s">
        <v>281</v>
      </c>
      <c r="E1584" s="163" t="s">
        <v>407</v>
      </c>
      <c r="F1584" s="195">
        <v>3571.16</v>
      </c>
      <c r="G1584" s="165">
        <f t="shared" si="40"/>
        <v>72289.291000000012</v>
      </c>
      <c r="H1584" s="163"/>
      <c r="I1584" s="163" t="s">
        <v>1176</v>
      </c>
      <c r="J1584" s="163" t="s">
        <v>1469</v>
      </c>
      <c r="K1584" s="163"/>
      <c r="L1584" s="163" t="s">
        <v>305</v>
      </c>
      <c r="M1584" s="163"/>
      <c r="N1584" s="163" t="s">
        <v>1178</v>
      </c>
      <c r="O1584" s="163" t="s">
        <v>1469</v>
      </c>
      <c r="P1584" s="163" t="s">
        <v>57</v>
      </c>
      <c r="Q1584" s="163"/>
      <c r="R1584" s="163" t="s">
        <v>1284</v>
      </c>
      <c r="S1584" s="163" t="s">
        <v>1285</v>
      </c>
      <c r="T1584" s="43">
        <f t="shared" si="39"/>
        <v>2</v>
      </c>
      <c r="U1584" s="167">
        <f t="shared" si="36"/>
        <v>45714</v>
      </c>
      <c r="V1584" s="166">
        <v>45714</v>
      </c>
      <c r="W1584" s="43">
        <f t="shared" si="38"/>
        <v>2</v>
      </c>
      <c r="X1584" s="43" t="s">
        <v>1484</v>
      </c>
      <c r="Y1584" s="43" t="s">
        <v>1485</v>
      </c>
    </row>
    <row r="1585" spans="1:28" hidden="1">
      <c r="A1585" s="163" t="s">
        <v>1174</v>
      </c>
      <c r="B1585" s="164">
        <v>45713</v>
      </c>
      <c r="C1585" s="163" t="s">
        <v>1166</v>
      </c>
      <c r="D1585" s="163" t="s">
        <v>281</v>
      </c>
      <c r="E1585" s="163" t="s">
        <v>407</v>
      </c>
      <c r="F1585" s="195">
        <v>4199</v>
      </c>
      <c r="G1585" s="165">
        <f t="shared" si="40"/>
        <v>76488.291000000012</v>
      </c>
      <c r="H1585" s="163"/>
      <c r="I1585" s="163" t="s">
        <v>1176</v>
      </c>
      <c r="J1585" s="163" t="s">
        <v>1466</v>
      </c>
      <c r="K1585" s="163"/>
      <c r="L1585" s="163" t="s">
        <v>305</v>
      </c>
      <c r="M1585" s="163"/>
      <c r="N1585" s="163" t="s">
        <v>1178</v>
      </c>
      <c r="O1585" s="163" t="s">
        <v>1466</v>
      </c>
      <c r="P1585" s="163" t="s">
        <v>62</v>
      </c>
      <c r="Q1585" s="163"/>
      <c r="R1585" s="163" t="s">
        <v>1171</v>
      </c>
      <c r="S1585" s="163" t="s">
        <v>1172</v>
      </c>
      <c r="T1585" s="43">
        <f t="shared" si="39"/>
        <v>2</v>
      </c>
      <c r="U1585" s="167">
        <f t="shared" si="36"/>
        <v>45714</v>
      </c>
      <c r="V1585" s="166">
        <v>45714</v>
      </c>
      <c r="W1585" s="43">
        <f t="shared" si="38"/>
        <v>2</v>
      </c>
      <c r="X1585" s="43" t="s">
        <v>1484</v>
      </c>
      <c r="Y1585" s="43" t="s">
        <v>1485</v>
      </c>
    </row>
    <row r="1586" spans="1:28" hidden="1">
      <c r="A1586" s="163" t="s">
        <v>1174</v>
      </c>
      <c r="B1586" s="164">
        <v>45713</v>
      </c>
      <c r="C1586" s="163" t="s">
        <v>1182</v>
      </c>
      <c r="D1586" s="163" t="s">
        <v>281</v>
      </c>
      <c r="E1586" s="163" t="s">
        <v>407</v>
      </c>
      <c r="F1586" s="195">
        <v>3710.25</v>
      </c>
      <c r="G1586" s="165">
        <f t="shared" si="40"/>
        <v>80198.541000000012</v>
      </c>
      <c r="H1586" s="163"/>
      <c r="I1586" s="163" t="s">
        <v>1176</v>
      </c>
      <c r="J1586" s="163" t="s">
        <v>1457</v>
      </c>
      <c r="K1586" s="163"/>
      <c r="L1586" s="163" t="s">
        <v>305</v>
      </c>
      <c r="M1586" s="163"/>
      <c r="N1586" s="163" t="s">
        <v>1178</v>
      </c>
      <c r="O1586" s="163" t="s">
        <v>1457</v>
      </c>
      <c r="P1586" s="163" t="s">
        <v>957</v>
      </c>
      <c r="Q1586" s="163"/>
      <c r="R1586" s="163" t="s">
        <v>1182</v>
      </c>
      <c r="S1586" s="163" t="s">
        <v>1187</v>
      </c>
      <c r="T1586" s="43">
        <f t="shared" si="39"/>
        <v>2</v>
      </c>
      <c r="U1586" s="167">
        <f t="shared" si="36"/>
        <v>45714</v>
      </c>
      <c r="V1586" s="166">
        <v>45714</v>
      </c>
      <c r="W1586" s="43">
        <f t="shared" si="38"/>
        <v>2</v>
      </c>
      <c r="X1586" s="43" t="s">
        <v>1484</v>
      </c>
      <c r="Y1586" s="43" t="s">
        <v>1485</v>
      </c>
    </row>
    <row r="1587" spans="1:28" hidden="1">
      <c r="A1587" s="163" t="s">
        <v>1174</v>
      </c>
      <c r="B1587" s="164">
        <v>45713</v>
      </c>
      <c r="C1587" s="163" t="s">
        <v>1412</v>
      </c>
      <c r="D1587" s="163" t="s">
        <v>281</v>
      </c>
      <c r="E1587" s="163" t="s">
        <v>407</v>
      </c>
      <c r="F1587" s="195">
        <v>3000</v>
      </c>
      <c r="G1587" s="165">
        <f t="shared" si="40"/>
        <v>83198.541000000012</v>
      </c>
      <c r="H1587" s="163"/>
      <c r="I1587" s="163" t="s">
        <v>1176</v>
      </c>
      <c r="J1587" s="163" t="s">
        <v>1420</v>
      </c>
      <c r="K1587" s="163"/>
      <c r="L1587" s="163" t="s">
        <v>305</v>
      </c>
      <c r="M1587" s="163"/>
      <c r="N1587" s="163" t="s">
        <v>1178</v>
      </c>
      <c r="O1587" s="163" t="s">
        <v>1420</v>
      </c>
      <c r="P1587" s="163" t="s">
        <v>1023</v>
      </c>
      <c r="Q1587" s="163"/>
      <c r="R1587" s="163" t="s">
        <v>1024</v>
      </c>
      <c r="S1587" s="163" t="s">
        <v>1025</v>
      </c>
      <c r="T1587" s="43">
        <f t="shared" si="39"/>
        <v>2</v>
      </c>
      <c r="U1587" s="167">
        <f t="shared" si="36"/>
        <v>45714</v>
      </c>
      <c r="V1587" s="166">
        <v>45714</v>
      </c>
      <c r="W1587" s="43">
        <f t="shared" si="38"/>
        <v>2</v>
      </c>
      <c r="X1587" s="43" t="s">
        <v>1484</v>
      </c>
      <c r="Y1587" s="43" t="s">
        <v>1485</v>
      </c>
    </row>
    <row r="1588" spans="1:28" hidden="1">
      <c r="A1588" s="163" t="s">
        <v>1017</v>
      </c>
      <c r="B1588" s="164">
        <v>45714</v>
      </c>
      <c r="C1588" s="190" t="s">
        <v>330</v>
      </c>
      <c r="D1588" s="190" t="s">
        <v>281</v>
      </c>
      <c r="E1588" s="190" t="s">
        <v>330</v>
      </c>
      <c r="F1588" s="185">
        <f>-1.99*6-3</f>
        <v>-14.94</v>
      </c>
      <c r="G1588" s="165">
        <f t="shared" si="40"/>
        <v>83183.60100000001</v>
      </c>
      <c r="H1588" s="190"/>
      <c r="I1588" s="190" t="s">
        <v>342</v>
      </c>
      <c r="J1588" s="190"/>
      <c r="K1588" s="190"/>
      <c r="L1588" s="190" t="s">
        <v>805</v>
      </c>
      <c r="M1588" s="190"/>
      <c r="N1588" s="190" t="s">
        <v>978</v>
      </c>
      <c r="O1588" s="190"/>
      <c r="P1588" s="190"/>
      <c r="Q1588" s="190"/>
      <c r="R1588" s="190" t="s">
        <v>1292</v>
      </c>
      <c r="S1588" s="190" t="s">
        <v>1417</v>
      </c>
      <c r="T1588" s="43">
        <f t="shared" si="39"/>
        <v>2</v>
      </c>
      <c r="U1588" s="167">
        <f t="shared" si="36"/>
        <v>45714</v>
      </c>
      <c r="V1588" s="43"/>
      <c r="W1588" s="43">
        <f t="shared" si="38"/>
        <v>2</v>
      </c>
      <c r="X1588" s="43" t="s">
        <v>1483</v>
      </c>
      <c r="Y1588" s="43" t="s">
        <v>1443</v>
      </c>
      <c r="Z1588" s="43"/>
      <c r="AA1588" s="43"/>
      <c r="AB1588" s="43"/>
    </row>
    <row r="1589" spans="1:28" hidden="1">
      <c r="A1589" s="163" t="s">
        <v>1017</v>
      </c>
      <c r="B1589" s="164">
        <v>45714</v>
      </c>
      <c r="C1589" s="163" t="s">
        <v>844</v>
      </c>
      <c r="D1589" s="163" t="s">
        <v>281</v>
      </c>
      <c r="E1589" s="163" t="s">
        <v>120</v>
      </c>
      <c r="F1589" s="226">
        <v>-14043.8</v>
      </c>
      <c r="G1589" s="165">
        <f t="shared" si="40"/>
        <v>69139.801000000007</v>
      </c>
      <c r="H1589" s="163"/>
      <c r="I1589" s="163" t="s">
        <v>342</v>
      </c>
      <c r="J1589" s="163"/>
      <c r="K1589" s="163"/>
      <c r="L1589" s="163" t="s">
        <v>1424</v>
      </c>
      <c r="M1589" s="163"/>
      <c r="N1589" s="163" t="s">
        <v>978</v>
      </c>
      <c r="O1589" s="163"/>
      <c r="P1589" s="163"/>
      <c r="Q1589" s="163"/>
      <c r="R1589" s="163" t="s">
        <v>846</v>
      </c>
      <c r="S1589" s="163" t="s">
        <v>847</v>
      </c>
      <c r="T1589" s="43">
        <f t="shared" si="39"/>
        <v>2</v>
      </c>
      <c r="U1589" s="167">
        <f t="shared" si="36"/>
        <v>45714</v>
      </c>
      <c r="W1589" s="43">
        <f t="shared" si="38"/>
        <v>2</v>
      </c>
      <c r="X1589" s="49" t="s">
        <v>1498</v>
      </c>
      <c r="Y1589" s="43" t="s">
        <v>1336</v>
      </c>
    </row>
    <row r="1590" spans="1:28" hidden="1">
      <c r="A1590" s="163" t="s">
        <v>1017</v>
      </c>
      <c r="B1590" s="164">
        <v>45714</v>
      </c>
      <c r="C1590" s="163" t="s">
        <v>1273</v>
      </c>
      <c r="D1590" s="163" t="s">
        <v>281</v>
      </c>
      <c r="E1590" s="163" t="s">
        <v>199</v>
      </c>
      <c r="F1590" s="226">
        <v>-1225</v>
      </c>
      <c r="G1590" s="165">
        <f t="shared" si="40"/>
        <v>67914.801000000007</v>
      </c>
      <c r="H1590" s="163"/>
      <c r="I1590" s="163" t="s">
        <v>342</v>
      </c>
      <c r="J1590" s="163"/>
      <c r="K1590" s="163"/>
      <c r="L1590" s="163" t="s">
        <v>477</v>
      </c>
      <c r="M1590" s="163"/>
      <c r="N1590" s="163" t="s">
        <v>978</v>
      </c>
      <c r="O1590" s="163"/>
      <c r="P1590" s="163"/>
      <c r="Q1590" s="163"/>
      <c r="R1590" s="163" t="s">
        <v>1274</v>
      </c>
      <c r="S1590" s="163" t="s">
        <v>1275</v>
      </c>
      <c r="T1590" s="43">
        <f t="shared" si="39"/>
        <v>2</v>
      </c>
      <c r="U1590" s="167">
        <f t="shared" si="36"/>
        <v>45714</v>
      </c>
      <c r="W1590" s="43">
        <f t="shared" si="38"/>
        <v>2</v>
      </c>
      <c r="X1590" s="49" t="s">
        <v>1480</v>
      </c>
      <c r="Y1590" s="49" t="s">
        <v>25</v>
      </c>
    </row>
    <row r="1591" spans="1:28" hidden="1">
      <c r="A1591" s="180" t="s">
        <v>1017</v>
      </c>
      <c r="B1591" s="181">
        <v>45714</v>
      </c>
      <c r="C1591" s="180" t="s">
        <v>1008</v>
      </c>
      <c r="D1591" s="180" t="s">
        <v>281</v>
      </c>
      <c r="E1591" s="180" t="s">
        <v>199</v>
      </c>
      <c r="F1591" s="226">
        <v>-1900</v>
      </c>
      <c r="G1591" s="165">
        <f t="shared" si="40"/>
        <v>66014.801000000007</v>
      </c>
      <c r="H1591" s="180"/>
      <c r="I1591" s="180" t="s">
        <v>283</v>
      </c>
      <c r="J1591" s="180"/>
      <c r="K1591" s="180"/>
      <c r="L1591" s="180" t="s">
        <v>485</v>
      </c>
      <c r="M1591" s="180"/>
      <c r="N1591" s="180" t="s">
        <v>978</v>
      </c>
      <c r="O1591" s="180"/>
      <c r="P1591" s="180"/>
      <c r="Q1591" s="180"/>
      <c r="R1591" s="180" t="s">
        <v>669</v>
      </c>
      <c r="S1591" s="180" t="s">
        <v>1492</v>
      </c>
      <c r="T1591" s="183">
        <f t="shared" si="39"/>
        <v>2</v>
      </c>
      <c r="U1591" s="184">
        <f t="shared" si="36"/>
        <v>45714</v>
      </c>
      <c r="V1591" s="183"/>
      <c r="W1591" s="43">
        <f t="shared" si="38"/>
        <v>2</v>
      </c>
      <c r="X1591" s="206" t="s">
        <v>1478</v>
      </c>
      <c r="Y1591" s="206" t="s">
        <v>26</v>
      </c>
      <c r="Z1591" s="183"/>
      <c r="AA1591" s="183"/>
      <c r="AB1591" s="183"/>
    </row>
    <row r="1592" spans="1:28" ht="14.25" hidden="1" customHeight="1">
      <c r="A1592" s="180" t="s">
        <v>1017</v>
      </c>
      <c r="B1592" s="181">
        <v>45708</v>
      </c>
      <c r="C1592" s="180" t="s">
        <v>1087</v>
      </c>
      <c r="D1592" s="180" t="s">
        <v>281</v>
      </c>
      <c r="E1592" s="180" t="s">
        <v>1434</v>
      </c>
      <c r="F1592" s="226">
        <v>-1550</v>
      </c>
      <c r="G1592" s="165">
        <f t="shared" si="40"/>
        <v>64464.801000000007</v>
      </c>
      <c r="H1592" s="180"/>
      <c r="I1592" s="180" t="s">
        <v>283</v>
      </c>
      <c r="J1592" s="180"/>
      <c r="K1592" s="180"/>
      <c r="L1592" s="180" t="s">
        <v>305</v>
      </c>
      <c r="M1592" s="180"/>
      <c r="N1592" s="180" t="s">
        <v>978</v>
      </c>
      <c r="O1592" s="180"/>
      <c r="P1592" s="180"/>
      <c r="Q1592" s="180" t="s">
        <v>1067</v>
      </c>
      <c r="R1592" s="180" t="s">
        <v>1087</v>
      </c>
      <c r="S1592" s="180" t="s">
        <v>1089</v>
      </c>
      <c r="T1592" s="183">
        <f t="shared" si="39"/>
        <v>2</v>
      </c>
      <c r="U1592" s="184">
        <f t="shared" si="36"/>
        <v>45714</v>
      </c>
      <c r="V1592" s="166">
        <v>45714</v>
      </c>
      <c r="W1592" s="43">
        <f t="shared" si="38"/>
        <v>2</v>
      </c>
      <c r="X1592" s="43" t="s">
        <v>12</v>
      </c>
      <c r="Y1592" s="43" t="s">
        <v>1443</v>
      </c>
      <c r="Z1592" s="183" t="s">
        <v>1113</v>
      </c>
      <c r="AA1592" s="183" t="s">
        <v>1336</v>
      </c>
      <c r="AB1592" s="183"/>
    </row>
    <row r="1593" spans="1:28" hidden="1">
      <c r="A1593" s="163" t="s">
        <v>1017</v>
      </c>
      <c r="B1593" s="164">
        <v>45714</v>
      </c>
      <c r="C1593" s="163" t="s">
        <v>1703</v>
      </c>
      <c r="D1593" s="163" t="s">
        <v>281</v>
      </c>
      <c r="E1593" s="163" t="s">
        <v>121</v>
      </c>
      <c r="F1593" s="226">
        <v>-42</v>
      </c>
      <c r="G1593" s="165">
        <f t="shared" si="40"/>
        <v>64422.801000000007</v>
      </c>
      <c r="H1593" s="163"/>
      <c r="I1593" s="163" t="s">
        <v>283</v>
      </c>
      <c r="J1593" s="163"/>
      <c r="K1593" s="163"/>
      <c r="L1593" s="163" t="s">
        <v>1571</v>
      </c>
      <c r="M1593" s="163"/>
      <c r="N1593" s="163" t="s">
        <v>978</v>
      </c>
      <c r="O1593" s="163"/>
      <c r="P1593" s="163"/>
      <c r="Q1593" s="163"/>
      <c r="R1593" s="163" t="s">
        <v>469</v>
      </c>
      <c r="S1593" s="163" t="s">
        <v>471</v>
      </c>
      <c r="T1593" s="43">
        <f t="shared" si="39"/>
        <v>2</v>
      </c>
      <c r="U1593" s="167">
        <f t="shared" si="36"/>
        <v>45714</v>
      </c>
      <c r="W1593" s="43">
        <f t="shared" si="38"/>
        <v>2</v>
      </c>
      <c r="X1593" s="49" t="s">
        <v>1498</v>
      </c>
      <c r="Y1593" s="43" t="s">
        <v>26</v>
      </c>
    </row>
    <row r="1594" spans="1:28" hidden="1">
      <c r="A1594" s="163" t="s">
        <v>1017</v>
      </c>
      <c r="B1594" s="164">
        <v>45714</v>
      </c>
      <c r="C1594" s="163" t="s">
        <v>1704</v>
      </c>
      <c r="D1594" s="163" t="s">
        <v>281</v>
      </c>
      <c r="E1594" s="163" t="s">
        <v>121</v>
      </c>
      <c r="F1594" s="226">
        <v>-42</v>
      </c>
      <c r="G1594" s="165">
        <f t="shared" si="40"/>
        <v>64380.801000000007</v>
      </c>
      <c r="H1594" s="163"/>
      <c r="I1594" s="163" t="s">
        <v>283</v>
      </c>
      <c r="J1594" s="163"/>
      <c r="K1594" s="163"/>
      <c r="L1594" s="163" t="s">
        <v>1571</v>
      </c>
      <c r="M1594" s="163"/>
      <c r="N1594" s="163" t="s">
        <v>978</v>
      </c>
      <c r="O1594" s="163"/>
      <c r="P1594" s="163"/>
      <c r="Q1594" s="163"/>
      <c r="R1594" s="163" t="s">
        <v>469</v>
      </c>
      <c r="S1594" s="163" t="s">
        <v>471</v>
      </c>
      <c r="T1594" s="43">
        <f t="shared" si="39"/>
        <v>2</v>
      </c>
      <c r="U1594" s="167">
        <f t="shared" si="36"/>
        <v>45714</v>
      </c>
      <c r="W1594" s="43">
        <f t="shared" si="38"/>
        <v>2</v>
      </c>
      <c r="X1594" s="49" t="s">
        <v>1498</v>
      </c>
      <c r="Y1594" s="43" t="s">
        <v>26</v>
      </c>
    </row>
    <row r="1595" spans="1:28" hidden="1">
      <c r="A1595" s="180" t="s">
        <v>1017</v>
      </c>
      <c r="B1595" s="181">
        <v>45714</v>
      </c>
      <c r="C1595" s="180" t="s">
        <v>181</v>
      </c>
      <c r="D1595" s="180" t="s">
        <v>281</v>
      </c>
      <c r="E1595" s="180" t="s">
        <v>760</v>
      </c>
      <c r="F1595" s="226">
        <v>-440</v>
      </c>
      <c r="G1595" s="165">
        <f t="shared" si="40"/>
        <v>63940.801000000007</v>
      </c>
      <c r="H1595" s="180"/>
      <c r="I1595" s="180" t="s">
        <v>283</v>
      </c>
      <c r="J1595" s="180"/>
      <c r="K1595" s="180"/>
      <c r="L1595" s="180" t="s">
        <v>1062</v>
      </c>
      <c r="M1595" s="180"/>
      <c r="N1595" s="180" t="s">
        <v>978</v>
      </c>
      <c r="O1595" s="180"/>
      <c r="P1595" s="180"/>
      <c r="Q1595" s="180"/>
      <c r="R1595" s="180" t="s">
        <v>764</v>
      </c>
      <c r="S1595" s="180" t="s">
        <v>80</v>
      </c>
      <c r="T1595" s="183">
        <f t="shared" si="39"/>
        <v>2</v>
      </c>
      <c r="U1595" s="184">
        <f t="shared" si="36"/>
        <v>45714</v>
      </c>
      <c r="V1595" s="166">
        <v>45714</v>
      </c>
      <c r="W1595" s="43">
        <f t="shared" si="38"/>
        <v>2</v>
      </c>
      <c r="X1595" s="206" t="s">
        <v>1482</v>
      </c>
      <c r="Y1595" s="206" t="s">
        <v>78</v>
      </c>
      <c r="Z1595" s="183"/>
      <c r="AA1595" s="183"/>
      <c r="AB1595" s="183"/>
    </row>
    <row r="1596" spans="1:28" hidden="1">
      <c r="A1596" s="180" t="s">
        <v>1017</v>
      </c>
      <c r="B1596" s="181">
        <v>45714</v>
      </c>
      <c r="C1596" s="180" t="s">
        <v>1705</v>
      </c>
      <c r="D1596" s="180" t="s">
        <v>281</v>
      </c>
      <c r="E1596" s="180" t="s">
        <v>1566</v>
      </c>
      <c r="F1596" s="226">
        <v>-400</v>
      </c>
      <c r="G1596" s="165">
        <f t="shared" si="40"/>
        <v>63540.801000000007</v>
      </c>
      <c r="H1596" s="180"/>
      <c r="I1596" s="180" t="s">
        <v>283</v>
      </c>
      <c r="J1596" s="180"/>
      <c r="K1596" s="180"/>
      <c r="L1596" s="180" t="s">
        <v>485</v>
      </c>
      <c r="M1596" s="180"/>
      <c r="N1596" s="180" t="s">
        <v>978</v>
      </c>
      <c r="O1596" s="180"/>
      <c r="P1596" s="180"/>
      <c r="Q1596" s="180"/>
      <c r="R1596" s="180" t="s">
        <v>669</v>
      </c>
      <c r="S1596" s="180" t="s">
        <v>1492</v>
      </c>
      <c r="T1596" s="183">
        <f t="shared" si="39"/>
        <v>2</v>
      </c>
      <c r="U1596" s="184">
        <f t="shared" si="36"/>
        <v>45714</v>
      </c>
      <c r="V1596" s="272"/>
      <c r="W1596" s="43">
        <f t="shared" si="38"/>
        <v>2</v>
      </c>
      <c r="X1596" s="43" t="s">
        <v>1483</v>
      </c>
      <c r="Y1596" s="43" t="s">
        <v>25</v>
      </c>
      <c r="Z1596" s="183"/>
      <c r="AA1596" s="183"/>
      <c r="AB1596" s="183"/>
    </row>
    <row r="1597" spans="1:28" hidden="1">
      <c r="A1597" s="163"/>
      <c r="B1597" s="164">
        <v>45714</v>
      </c>
      <c r="C1597" s="163" t="s">
        <v>346</v>
      </c>
      <c r="D1597" s="163"/>
      <c r="E1597" s="163"/>
      <c r="F1597" s="165">
        <v>0</v>
      </c>
      <c r="G1597" s="165">
        <f t="shared" si="40"/>
        <v>63540.801000000007</v>
      </c>
      <c r="H1597" s="163"/>
      <c r="I1597" s="163"/>
      <c r="J1597" s="163"/>
      <c r="K1597" s="163"/>
      <c r="L1597" s="163"/>
      <c r="M1597" s="163"/>
      <c r="N1597" s="163"/>
      <c r="O1597" s="163"/>
      <c r="P1597" s="163"/>
      <c r="Q1597" s="163"/>
      <c r="R1597" s="163"/>
      <c r="S1597" s="163"/>
      <c r="T1597" s="43">
        <f t="shared" si="39"/>
        <v>2</v>
      </c>
      <c r="U1597" s="167">
        <f t="shared" si="36"/>
        <v>45714</v>
      </c>
      <c r="W1597" s="43">
        <f t="shared" si="38"/>
        <v>2</v>
      </c>
    </row>
    <row r="1598" spans="1:28" hidden="1">
      <c r="A1598" s="163" t="s">
        <v>1017</v>
      </c>
      <c r="B1598" s="164">
        <v>45715</v>
      </c>
      <c r="C1598" s="163" t="s">
        <v>469</v>
      </c>
      <c r="D1598" s="163" t="s">
        <v>281</v>
      </c>
      <c r="E1598" s="163" t="s">
        <v>1333</v>
      </c>
      <c r="F1598" s="169">
        <v>-1142.53</v>
      </c>
      <c r="G1598" s="165">
        <f t="shared" si="40"/>
        <v>62398.271000000008</v>
      </c>
      <c r="H1598" s="163"/>
      <c r="I1598" s="163" t="s">
        <v>283</v>
      </c>
      <c r="J1598" s="163"/>
      <c r="K1598" s="163"/>
      <c r="L1598" s="163" t="s">
        <v>1571</v>
      </c>
      <c r="M1598" s="163"/>
      <c r="N1598" s="163" t="s">
        <v>978</v>
      </c>
      <c r="O1598" s="163"/>
      <c r="P1598" s="163"/>
      <c r="Q1598" s="163"/>
      <c r="R1598" s="163" t="s">
        <v>469</v>
      </c>
      <c r="S1598" s="163" t="s">
        <v>471</v>
      </c>
      <c r="T1598" s="43">
        <f t="shared" si="39"/>
        <v>2</v>
      </c>
      <c r="U1598" s="167">
        <f t="shared" si="36"/>
        <v>45715</v>
      </c>
      <c r="W1598" s="43">
        <f t="shared" si="38"/>
        <v>2</v>
      </c>
      <c r="X1598" s="49" t="s">
        <v>1498</v>
      </c>
      <c r="Y1598" s="43" t="s">
        <v>26</v>
      </c>
    </row>
    <row r="1599" spans="1:28" hidden="1">
      <c r="A1599" s="163" t="s">
        <v>1017</v>
      </c>
      <c r="B1599" s="164">
        <v>45715</v>
      </c>
      <c r="C1599" s="190" t="s">
        <v>330</v>
      </c>
      <c r="D1599" s="190" t="s">
        <v>281</v>
      </c>
      <c r="E1599" s="190" t="s">
        <v>330</v>
      </c>
      <c r="F1599" s="185">
        <v>-0.5</v>
      </c>
      <c r="G1599" s="165">
        <f t="shared" si="40"/>
        <v>62397.771000000008</v>
      </c>
      <c r="H1599" s="190"/>
      <c r="I1599" s="190" t="s">
        <v>342</v>
      </c>
      <c r="J1599" s="190"/>
      <c r="K1599" s="190"/>
      <c r="L1599" s="190" t="s">
        <v>805</v>
      </c>
      <c r="M1599" s="190"/>
      <c r="N1599" s="190" t="s">
        <v>978</v>
      </c>
      <c r="O1599" s="190"/>
      <c r="P1599" s="190"/>
      <c r="Q1599" s="190"/>
      <c r="R1599" s="190" t="s">
        <v>1292</v>
      </c>
      <c r="S1599" s="190" t="s">
        <v>1417</v>
      </c>
      <c r="T1599" s="43">
        <f t="shared" si="39"/>
        <v>2</v>
      </c>
      <c r="U1599" s="167">
        <f t="shared" si="36"/>
        <v>45715</v>
      </c>
      <c r="V1599" s="43"/>
      <c r="W1599" s="43">
        <f t="shared" si="38"/>
        <v>2</v>
      </c>
      <c r="X1599" s="43" t="s">
        <v>1483</v>
      </c>
      <c r="Y1599" s="43" t="s">
        <v>1443</v>
      </c>
      <c r="Z1599" s="43"/>
      <c r="AA1599" s="43"/>
      <c r="AB1599" s="43"/>
    </row>
    <row r="1600" spans="1:28" hidden="1">
      <c r="A1600" s="163"/>
      <c r="B1600" s="164">
        <v>45715</v>
      </c>
      <c r="C1600" s="163" t="s">
        <v>346</v>
      </c>
      <c r="D1600" s="163"/>
      <c r="E1600" s="163"/>
      <c r="F1600" s="165">
        <v>0</v>
      </c>
      <c r="G1600" s="165">
        <f t="shared" si="40"/>
        <v>62397.771000000008</v>
      </c>
      <c r="H1600" s="163"/>
      <c r="I1600" s="163"/>
      <c r="J1600" s="163"/>
      <c r="K1600" s="163"/>
      <c r="L1600" s="163"/>
      <c r="M1600" s="163"/>
      <c r="N1600" s="163"/>
      <c r="O1600" s="163"/>
      <c r="P1600" s="163"/>
      <c r="Q1600" s="163"/>
      <c r="R1600" s="163"/>
      <c r="S1600" s="163"/>
      <c r="T1600" s="43">
        <f t="shared" si="39"/>
        <v>2</v>
      </c>
      <c r="U1600" s="167">
        <f t="shared" si="36"/>
        <v>45715</v>
      </c>
      <c r="W1600" s="43">
        <f t="shared" si="38"/>
        <v>2</v>
      </c>
    </row>
    <row r="1601" spans="1:28" ht="14.25" hidden="1" customHeight="1">
      <c r="A1601" s="180" t="s">
        <v>1017</v>
      </c>
      <c r="B1601" s="181">
        <v>45716</v>
      </c>
      <c r="C1601" s="180" t="s">
        <v>1706</v>
      </c>
      <c r="D1601" s="180" t="s">
        <v>281</v>
      </c>
      <c r="E1601" s="180" t="s">
        <v>193</v>
      </c>
      <c r="F1601" s="169">
        <v>-5000</v>
      </c>
      <c r="G1601" s="165">
        <f t="shared" si="40"/>
        <v>57397.771000000008</v>
      </c>
      <c r="H1601" s="180"/>
      <c r="I1601" s="180" t="s">
        <v>342</v>
      </c>
      <c r="J1601" s="180"/>
      <c r="K1601" s="180"/>
      <c r="L1601" s="180" t="s">
        <v>1301</v>
      </c>
      <c r="M1601" s="180"/>
      <c r="N1601" s="180" t="s">
        <v>978</v>
      </c>
      <c r="O1601" s="180"/>
      <c r="P1601" s="180"/>
      <c r="Q1601" s="180"/>
      <c r="R1601" s="180" t="s">
        <v>1463</v>
      </c>
      <c r="S1601" s="180" t="s">
        <v>345</v>
      </c>
      <c r="T1601" s="183">
        <f>MONTH(U1601)</f>
        <v>2</v>
      </c>
      <c r="U1601" s="187">
        <f t="shared" ref="U1601:U1855" si="41">IF(V1601="",B1601,V1601)</f>
        <v>45716</v>
      </c>
      <c r="W1601" s="43">
        <f t="shared" si="38"/>
        <v>2</v>
      </c>
      <c r="X1601" s="43" t="s">
        <v>1552</v>
      </c>
      <c r="Y1601" s="43" t="s">
        <v>26</v>
      </c>
      <c r="Z1601" s="183"/>
      <c r="AA1601" s="183"/>
      <c r="AB1601" s="183"/>
    </row>
    <row r="1602" spans="1:28" hidden="1">
      <c r="A1602" s="163" t="s">
        <v>1174</v>
      </c>
      <c r="B1602" s="164">
        <v>45716</v>
      </c>
      <c r="C1602" s="163" t="s">
        <v>1601</v>
      </c>
      <c r="D1602" s="163" t="s">
        <v>281</v>
      </c>
      <c r="E1602" s="163" t="s">
        <v>407</v>
      </c>
      <c r="F1602" s="197"/>
      <c r="G1602" s="165">
        <f t="shared" si="40"/>
        <v>57397.771000000008</v>
      </c>
      <c r="H1602" s="163"/>
      <c r="I1602" s="163" t="s">
        <v>1176</v>
      </c>
      <c r="J1602" s="163" t="s">
        <v>1598</v>
      </c>
      <c r="K1602" s="163"/>
      <c r="L1602" s="163" t="s">
        <v>305</v>
      </c>
      <c r="M1602" s="163"/>
      <c r="N1602" s="163" t="s">
        <v>1178</v>
      </c>
      <c r="O1602" s="163" t="s">
        <v>1598</v>
      </c>
      <c r="P1602" s="163" t="s">
        <v>1083</v>
      </c>
      <c r="Q1602" s="163"/>
      <c r="R1602" s="163" t="s">
        <v>1599</v>
      </c>
      <c r="S1602" s="163" t="s">
        <v>1600</v>
      </c>
      <c r="T1602" s="43">
        <f t="shared" ref="T1602:T1834" si="42">MONTH(B1602)</f>
        <v>2</v>
      </c>
      <c r="U1602" s="167">
        <f t="shared" si="41"/>
        <v>45716</v>
      </c>
      <c r="W1602" s="43">
        <f t="shared" si="38"/>
        <v>2</v>
      </c>
      <c r="X1602" s="43" t="s">
        <v>1484</v>
      </c>
      <c r="Y1602" s="43" t="s">
        <v>1485</v>
      </c>
    </row>
    <row r="1603" spans="1:28" hidden="1">
      <c r="A1603" s="180" t="s">
        <v>1017</v>
      </c>
      <c r="B1603" s="181">
        <v>45705</v>
      </c>
      <c r="C1603" s="180" t="s">
        <v>1707</v>
      </c>
      <c r="D1603" s="180" t="s">
        <v>281</v>
      </c>
      <c r="E1603" s="180" t="s">
        <v>760</v>
      </c>
      <c r="F1603" s="169">
        <v>-1749.5</v>
      </c>
      <c r="G1603" s="165">
        <f t="shared" si="40"/>
        <v>55648.271000000008</v>
      </c>
      <c r="H1603" s="180"/>
      <c r="I1603" s="180" t="s">
        <v>283</v>
      </c>
      <c r="J1603" s="180"/>
      <c r="K1603" s="180"/>
      <c r="L1603" s="180" t="s">
        <v>1062</v>
      </c>
      <c r="M1603" s="180"/>
      <c r="N1603" s="180" t="s">
        <v>978</v>
      </c>
      <c r="O1603" s="180"/>
      <c r="P1603" s="180"/>
      <c r="Q1603" s="180"/>
      <c r="R1603" s="180" t="s">
        <v>764</v>
      </c>
      <c r="S1603" s="180" t="s">
        <v>80</v>
      </c>
      <c r="T1603" s="183">
        <f t="shared" si="42"/>
        <v>2</v>
      </c>
      <c r="U1603" s="184">
        <f t="shared" si="41"/>
        <v>45716</v>
      </c>
      <c r="V1603" s="272">
        <v>45716</v>
      </c>
      <c r="W1603" s="43">
        <f t="shared" si="38"/>
        <v>2</v>
      </c>
      <c r="X1603" s="206" t="s">
        <v>1482</v>
      </c>
      <c r="Y1603" s="206" t="s">
        <v>78</v>
      </c>
      <c r="Z1603" s="183"/>
      <c r="AA1603" s="183"/>
      <c r="AB1603" s="183"/>
    </row>
    <row r="1604" spans="1:28" ht="14.25" hidden="1" customHeight="1">
      <c r="A1604" s="180" t="s">
        <v>1017</v>
      </c>
      <c r="B1604" s="181">
        <v>45716</v>
      </c>
      <c r="C1604" s="180" t="s">
        <v>1487</v>
      </c>
      <c r="D1604" s="180" t="s">
        <v>281</v>
      </c>
      <c r="E1604" s="180" t="s">
        <v>282</v>
      </c>
      <c r="F1604" s="275">
        <v>4500</v>
      </c>
      <c r="G1604" s="165">
        <f t="shared" si="40"/>
        <v>60148.271000000008</v>
      </c>
      <c r="H1604" s="180"/>
      <c r="I1604" s="180" t="s">
        <v>977</v>
      </c>
      <c r="J1604" s="180"/>
      <c r="K1604" s="180"/>
      <c r="L1604" s="180" t="s">
        <v>366</v>
      </c>
      <c r="M1604" s="180"/>
      <c r="N1604" s="180" t="s">
        <v>978</v>
      </c>
      <c r="O1604" s="180"/>
      <c r="P1604" s="180"/>
      <c r="Q1604" s="180"/>
      <c r="R1604" s="180" t="s">
        <v>990</v>
      </c>
      <c r="S1604" s="180" t="s">
        <v>991</v>
      </c>
      <c r="T1604" s="183">
        <f t="shared" si="42"/>
        <v>2</v>
      </c>
      <c r="U1604" s="184">
        <f t="shared" si="41"/>
        <v>45716</v>
      </c>
      <c r="V1604" s="272">
        <v>45716</v>
      </c>
      <c r="W1604" s="43">
        <f t="shared" si="38"/>
        <v>2</v>
      </c>
      <c r="X1604" s="183" t="s">
        <v>282</v>
      </c>
      <c r="Y1604" s="183" t="s">
        <v>1443</v>
      </c>
      <c r="Z1604" s="183" t="s">
        <v>1113</v>
      </c>
      <c r="AA1604" s="183" t="s">
        <v>1113</v>
      </c>
      <c r="AB1604" s="183"/>
    </row>
    <row r="1605" spans="1:28" hidden="1">
      <c r="A1605" s="180" t="s">
        <v>1174</v>
      </c>
      <c r="B1605" s="181">
        <v>45715</v>
      </c>
      <c r="C1605" s="180" t="s">
        <v>1708</v>
      </c>
      <c r="D1605" s="180" t="s">
        <v>281</v>
      </c>
      <c r="E1605" s="180" t="s">
        <v>407</v>
      </c>
      <c r="F1605" s="197">
        <v>4800</v>
      </c>
      <c r="G1605" s="165">
        <f t="shared" si="40"/>
        <v>64948.271000000008</v>
      </c>
      <c r="H1605" s="180"/>
      <c r="I1605" s="180" t="s">
        <v>1176</v>
      </c>
      <c r="J1605" s="180" t="s">
        <v>1364</v>
      </c>
      <c r="K1605" s="180"/>
      <c r="L1605" s="180" t="s">
        <v>305</v>
      </c>
      <c r="M1605" s="180"/>
      <c r="N1605" s="180" t="s">
        <v>1178</v>
      </c>
      <c r="O1605" s="180" t="s">
        <v>1364</v>
      </c>
      <c r="P1605" s="180" t="s">
        <v>957</v>
      </c>
      <c r="Q1605" s="180"/>
      <c r="R1605" s="180" t="s">
        <v>958</v>
      </c>
      <c r="S1605" s="180" t="s">
        <v>959</v>
      </c>
      <c r="T1605" s="183">
        <f t="shared" si="42"/>
        <v>2</v>
      </c>
      <c r="U1605" s="184">
        <f t="shared" si="41"/>
        <v>45716</v>
      </c>
      <c r="V1605" s="272">
        <v>45716</v>
      </c>
      <c r="W1605" s="43">
        <f t="shared" si="38"/>
        <v>2</v>
      </c>
      <c r="X1605" s="43" t="s">
        <v>1484</v>
      </c>
      <c r="Y1605" s="43" t="s">
        <v>1485</v>
      </c>
      <c r="Z1605" s="183"/>
      <c r="AA1605" s="183"/>
      <c r="AB1605" s="183"/>
    </row>
    <row r="1606" spans="1:28" hidden="1">
      <c r="A1606" s="180" t="s">
        <v>1174</v>
      </c>
      <c r="B1606" s="181">
        <v>45698</v>
      </c>
      <c r="C1606" s="180" t="s">
        <v>71</v>
      </c>
      <c r="D1606" s="180" t="s">
        <v>281</v>
      </c>
      <c r="E1606" s="180" t="s">
        <v>407</v>
      </c>
      <c r="F1606" s="197">
        <v>3000</v>
      </c>
      <c r="G1606" s="165">
        <f t="shared" si="40"/>
        <v>67948.271000000008</v>
      </c>
      <c r="H1606" s="180"/>
      <c r="I1606" s="180" t="s">
        <v>1176</v>
      </c>
      <c r="J1606" s="180" t="s">
        <v>1364</v>
      </c>
      <c r="K1606" s="180"/>
      <c r="L1606" s="180" t="s">
        <v>305</v>
      </c>
      <c r="M1606" s="180"/>
      <c r="N1606" s="180" t="s">
        <v>1178</v>
      </c>
      <c r="O1606" s="180" t="s">
        <v>1364</v>
      </c>
      <c r="P1606" s="180" t="s">
        <v>957</v>
      </c>
      <c r="Q1606" s="180"/>
      <c r="R1606" s="180" t="s">
        <v>958</v>
      </c>
      <c r="S1606" s="180" t="s">
        <v>959</v>
      </c>
      <c r="T1606" s="183">
        <f t="shared" si="42"/>
        <v>2</v>
      </c>
      <c r="U1606" s="184">
        <f t="shared" si="41"/>
        <v>45716</v>
      </c>
      <c r="V1606" s="272">
        <v>45716</v>
      </c>
      <c r="W1606" s="43">
        <f t="shared" si="38"/>
        <v>2</v>
      </c>
      <c r="X1606" s="43" t="s">
        <v>1484</v>
      </c>
      <c r="Y1606" s="43" t="s">
        <v>1485</v>
      </c>
      <c r="Z1606" s="183"/>
      <c r="AA1606" s="183"/>
      <c r="AB1606" s="183"/>
    </row>
    <row r="1607" spans="1:28" hidden="1">
      <c r="A1607" s="163" t="s">
        <v>1017</v>
      </c>
      <c r="B1607" s="164">
        <v>45708</v>
      </c>
      <c r="C1607" s="163" t="s">
        <v>293</v>
      </c>
      <c r="D1607" s="163" t="s">
        <v>281</v>
      </c>
      <c r="E1607" s="163" t="s">
        <v>294</v>
      </c>
      <c r="F1607" s="169">
        <f>-7081.8-205.88-62.1</f>
        <v>-7349.7800000000007</v>
      </c>
      <c r="G1607" s="165">
        <f t="shared" si="40"/>
        <v>60598.491000000009</v>
      </c>
      <c r="H1607" s="163"/>
      <c r="I1607" s="163" t="s">
        <v>342</v>
      </c>
      <c r="J1607" s="163"/>
      <c r="K1607" s="163"/>
      <c r="L1607" s="163" t="s">
        <v>1709</v>
      </c>
      <c r="M1607" s="163"/>
      <c r="N1607" s="163" t="s">
        <v>978</v>
      </c>
      <c r="O1607" s="163"/>
      <c r="P1607" s="163"/>
      <c r="Q1607" s="163"/>
      <c r="R1607" s="163" t="s">
        <v>298</v>
      </c>
      <c r="S1607" s="163" t="s">
        <v>299</v>
      </c>
      <c r="T1607" s="43">
        <f t="shared" si="42"/>
        <v>2</v>
      </c>
      <c r="U1607" s="167">
        <f t="shared" si="41"/>
        <v>45716</v>
      </c>
      <c r="V1607" s="273">
        <v>45716</v>
      </c>
      <c r="W1607" s="43">
        <f t="shared" si="38"/>
        <v>2</v>
      </c>
      <c r="X1607" s="49" t="s">
        <v>1483</v>
      </c>
      <c r="Y1607" s="49" t="s">
        <v>1443</v>
      </c>
    </row>
    <row r="1608" spans="1:28" hidden="1">
      <c r="A1608" s="163" t="s">
        <v>1017</v>
      </c>
      <c r="B1608" s="164">
        <v>45708</v>
      </c>
      <c r="C1608" s="163" t="s">
        <v>293</v>
      </c>
      <c r="D1608" s="163" t="s">
        <v>281</v>
      </c>
      <c r="E1608" s="163" t="s">
        <v>294</v>
      </c>
      <c r="F1608" s="169">
        <v>-2058.8000000000002</v>
      </c>
      <c r="G1608" s="165">
        <f t="shared" si="40"/>
        <v>58539.691000000006</v>
      </c>
      <c r="H1608" s="163"/>
      <c r="I1608" s="163" t="s">
        <v>342</v>
      </c>
      <c r="J1608" s="163"/>
      <c r="K1608" s="163"/>
      <c r="L1608" s="163" t="s">
        <v>1709</v>
      </c>
      <c r="M1608" s="163"/>
      <c r="N1608" s="163" t="s">
        <v>978</v>
      </c>
      <c r="O1608" s="163"/>
      <c r="P1608" s="163"/>
      <c r="Q1608" s="163"/>
      <c r="R1608" s="163" t="s">
        <v>298</v>
      </c>
      <c r="S1608" s="163" t="s">
        <v>299</v>
      </c>
      <c r="T1608" s="43">
        <f t="shared" si="42"/>
        <v>2</v>
      </c>
      <c r="U1608" s="167">
        <f t="shared" si="41"/>
        <v>45716</v>
      </c>
      <c r="V1608" s="273">
        <v>45716</v>
      </c>
      <c r="W1608" s="43">
        <f t="shared" si="38"/>
        <v>2</v>
      </c>
      <c r="X1608" s="49" t="s">
        <v>1483</v>
      </c>
      <c r="Y1608" s="49" t="s">
        <v>1443</v>
      </c>
    </row>
    <row r="1609" spans="1:28" hidden="1">
      <c r="A1609" s="163" t="s">
        <v>1017</v>
      </c>
      <c r="B1609" s="164">
        <v>45708</v>
      </c>
      <c r="C1609" s="163" t="s">
        <v>293</v>
      </c>
      <c r="D1609" s="163" t="s">
        <v>281</v>
      </c>
      <c r="E1609" s="163" t="s">
        <v>294</v>
      </c>
      <c r="F1609" s="169">
        <v>-6068</v>
      </c>
      <c r="G1609" s="165">
        <f t="shared" si="40"/>
        <v>52471.691000000006</v>
      </c>
      <c r="H1609" s="163"/>
      <c r="I1609" s="163" t="s">
        <v>342</v>
      </c>
      <c r="J1609" s="163"/>
      <c r="K1609" s="163"/>
      <c r="L1609" s="163" t="s">
        <v>1709</v>
      </c>
      <c r="M1609" s="163"/>
      <c r="N1609" s="163" t="s">
        <v>978</v>
      </c>
      <c r="O1609" s="163"/>
      <c r="P1609" s="163"/>
      <c r="Q1609" s="163"/>
      <c r="R1609" s="163" t="s">
        <v>298</v>
      </c>
      <c r="S1609" s="163" t="s">
        <v>299</v>
      </c>
      <c r="T1609" s="43">
        <f t="shared" si="42"/>
        <v>2</v>
      </c>
      <c r="U1609" s="167">
        <f t="shared" si="41"/>
        <v>45716</v>
      </c>
      <c r="V1609" s="273">
        <v>45716</v>
      </c>
      <c r="W1609" s="43">
        <f t="shared" si="38"/>
        <v>2</v>
      </c>
      <c r="X1609" s="49" t="s">
        <v>1483</v>
      </c>
      <c r="Y1609" s="49" t="s">
        <v>1443</v>
      </c>
    </row>
    <row r="1610" spans="1:28" hidden="1">
      <c r="A1610" s="163" t="s">
        <v>1017</v>
      </c>
      <c r="B1610" s="164">
        <v>45708</v>
      </c>
      <c r="C1610" s="163" t="s">
        <v>293</v>
      </c>
      <c r="D1610" s="163" t="s">
        <v>281</v>
      </c>
      <c r="E1610" s="163" t="s">
        <v>294</v>
      </c>
      <c r="F1610" s="169">
        <v>-2928.6</v>
      </c>
      <c r="G1610" s="165">
        <f t="shared" si="40"/>
        <v>49543.091000000008</v>
      </c>
      <c r="H1610" s="163"/>
      <c r="I1610" s="163" t="s">
        <v>342</v>
      </c>
      <c r="J1610" s="163"/>
      <c r="K1610" s="163"/>
      <c r="L1610" s="163" t="s">
        <v>1709</v>
      </c>
      <c r="M1610" s="163"/>
      <c r="N1610" s="163" t="s">
        <v>978</v>
      </c>
      <c r="O1610" s="163"/>
      <c r="P1610" s="163"/>
      <c r="Q1610" s="163"/>
      <c r="R1610" s="163" t="s">
        <v>298</v>
      </c>
      <c r="S1610" s="163" t="s">
        <v>299</v>
      </c>
      <c r="T1610" s="43">
        <f t="shared" si="42"/>
        <v>2</v>
      </c>
      <c r="U1610" s="167">
        <f t="shared" si="41"/>
        <v>45716</v>
      </c>
      <c r="V1610" s="273">
        <v>45716</v>
      </c>
      <c r="W1610" s="43">
        <f t="shared" si="38"/>
        <v>2</v>
      </c>
      <c r="X1610" s="49" t="s">
        <v>1483</v>
      </c>
      <c r="Y1610" s="49" t="s">
        <v>1443</v>
      </c>
    </row>
    <row r="1611" spans="1:28" hidden="1">
      <c r="A1611" s="163" t="s">
        <v>1017</v>
      </c>
      <c r="B1611" s="164">
        <v>45708</v>
      </c>
      <c r="C1611" s="163" t="s">
        <v>351</v>
      </c>
      <c r="D1611" s="163" t="s">
        <v>281</v>
      </c>
      <c r="E1611" s="163" t="s">
        <v>122</v>
      </c>
      <c r="F1611" s="169">
        <v>-11612.91</v>
      </c>
      <c r="G1611" s="165">
        <f t="shared" si="40"/>
        <v>37930.181000000011</v>
      </c>
      <c r="H1611" s="163"/>
      <c r="I1611" s="163" t="s">
        <v>283</v>
      </c>
      <c r="J1611" s="163"/>
      <c r="K1611" s="163"/>
      <c r="L1611" s="163" t="s">
        <v>1571</v>
      </c>
      <c r="M1611" s="163"/>
      <c r="N1611" s="163" t="s">
        <v>978</v>
      </c>
      <c r="O1611" s="163"/>
      <c r="P1611" s="163"/>
      <c r="Q1611" s="163"/>
      <c r="R1611" s="163" t="s">
        <v>353</v>
      </c>
      <c r="S1611" s="163" t="s">
        <v>354</v>
      </c>
      <c r="T1611" s="43">
        <f t="shared" si="42"/>
        <v>2</v>
      </c>
      <c r="U1611" s="167">
        <f t="shared" si="41"/>
        <v>45716</v>
      </c>
      <c r="V1611" s="272">
        <v>45716</v>
      </c>
      <c r="W1611" s="43">
        <f t="shared" si="38"/>
        <v>2</v>
      </c>
      <c r="X1611" s="43" t="s">
        <v>1543</v>
      </c>
      <c r="Y1611" s="43" t="s">
        <v>1336</v>
      </c>
    </row>
    <row r="1612" spans="1:28" ht="14.25" hidden="1" customHeight="1">
      <c r="A1612" s="180" t="s">
        <v>1017</v>
      </c>
      <c r="B1612" s="181">
        <v>45708</v>
      </c>
      <c r="C1612" s="180" t="s">
        <v>12</v>
      </c>
      <c r="D1612" s="180" t="s">
        <v>281</v>
      </c>
      <c r="E1612" s="180" t="s">
        <v>1578</v>
      </c>
      <c r="F1612" s="169">
        <f>-421.64-350.13</f>
        <v>-771.77</v>
      </c>
      <c r="G1612" s="165">
        <f t="shared" si="40"/>
        <v>37158.411000000015</v>
      </c>
      <c r="H1612" s="180"/>
      <c r="I1612" s="180" t="s">
        <v>283</v>
      </c>
      <c r="J1612" s="180"/>
      <c r="K1612" s="180"/>
      <c r="L1612" s="180" t="s">
        <v>305</v>
      </c>
      <c r="M1612" s="180"/>
      <c r="N1612" s="180" t="s">
        <v>978</v>
      </c>
      <c r="O1612" s="180"/>
      <c r="P1612" s="180"/>
      <c r="Q1612" s="180" t="s">
        <v>1067</v>
      </c>
      <c r="R1612" s="180" t="s">
        <v>1087</v>
      </c>
      <c r="S1612" s="180" t="s">
        <v>1089</v>
      </c>
      <c r="T1612" s="183">
        <f t="shared" si="42"/>
        <v>2</v>
      </c>
      <c r="U1612" s="184">
        <f t="shared" si="41"/>
        <v>45716</v>
      </c>
      <c r="V1612" s="273">
        <v>45716</v>
      </c>
      <c r="W1612" s="43">
        <f t="shared" si="38"/>
        <v>2</v>
      </c>
      <c r="X1612" s="43" t="s">
        <v>12</v>
      </c>
      <c r="Y1612" s="43" t="s">
        <v>1443</v>
      </c>
      <c r="Z1612" s="183" t="s">
        <v>1113</v>
      </c>
      <c r="AA1612" s="183" t="s">
        <v>1336</v>
      </c>
      <c r="AB1612" s="183"/>
    </row>
    <row r="1613" spans="1:28" hidden="1">
      <c r="A1613" s="180" t="s">
        <v>1017</v>
      </c>
      <c r="B1613" s="181">
        <v>45716</v>
      </c>
      <c r="C1613" s="180" t="s">
        <v>1010</v>
      </c>
      <c r="D1613" s="180" t="s">
        <v>281</v>
      </c>
      <c r="E1613" s="180" t="s">
        <v>199</v>
      </c>
      <c r="F1613" s="169">
        <v>-1800</v>
      </c>
      <c r="G1613" s="165">
        <f t="shared" si="40"/>
        <v>35358.411000000015</v>
      </c>
      <c r="H1613" s="180"/>
      <c r="I1613" s="180" t="s">
        <v>283</v>
      </c>
      <c r="J1613" s="180"/>
      <c r="K1613" s="180"/>
      <c r="L1613" s="180" t="s">
        <v>485</v>
      </c>
      <c r="M1613" s="180"/>
      <c r="N1613" s="180" t="s">
        <v>978</v>
      </c>
      <c r="O1613" s="180"/>
      <c r="P1613" s="180"/>
      <c r="Q1613" s="180"/>
      <c r="R1613" s="180" t="s">
        <v>669</v>
      </c>
      <c r="S1613" s="180" t="s">
        <v>1492</v>
      </c>
      <c r="T1613" s="183">
        <f t="shared" si="42"/>
        <v>2</v>
      </c>
      <c r="U1613" s="184">
        <f t="shared" si="41"/>
        <v>45716</v>
      </c>
      <c r="V1613" s="183"/>
      <c r="W1613" s="43">
        <f t="shared" si="38"/>
        <v>2</v>
      </c>
      <c r="X1613" s="206" t="s">
        <v>1478</v>
      </c>
      <c r="Y1613" s="206" t="s">
        <v>26</v>
      </c>
      <c r="Z1613" s="183"/>
      <c r="AA1613" s="183"/>
      <c r="AB1613" s="183"/>
    </row>
    <row r="1614" spans="1:28" hidden="1">
      <c r="A1614" s="180" t="s">
        <v>1017</v>
      </c>
      <c r="B1614" s="181">
        <v>45716</v>
      </c>
      <c r="C1614" s="180" t="s">
        <v>181</v>
      </c>
      <c r="D1614" s="180" t="s">
        <v>281</v>
      </c>
      <c r="E1614" s="180" t="s">
        <v>760</v>
      </c>
      <c r="F1614" s="169">
        <v>-2400</v>
      </c>
      <c r="G1614" s="165">
        <f t="shared" si="40"/>
        <v>32958.411000000015</v>
      </c>
      <c r="H1614" s="180"/>
      <c r="I1614" s="180" t="s">
        <v>283</v>
      </c>
      <c r="J1614" s="180"/>
      <c r="K1614" s="180"/>
      <c r="L1614" s="180" t="s">
        <v>1062</v>
      </c>
      <c r="M1614" s="180"/>
      <c r="N1614" s="180" t="s">
        <v>978</v>
      </c>
      <c r="O1614" s="180"/>
      <c r="P1614" s="180"/>
      <c r="Q1614" s="180"/>
      <c r="R1614" s="180" t="s">
        <v>764</v>
      </c>
      <c r="S1614" s="180" t="s">
        <v>80</v>
      </c>
      <c r="T1614" s="183">
        <f t="shared" si="42"/>
        <v>2</v>
      </c>
      <c r="U1614" s="184">
        <f t="shared" si="41"/>
        <v>45716</v>
      </c>
      <c r="V1614" s="166">
        <v>45716</v>
      </c>
      <c r="W1614" s="43">
        <f t="shared" si="38"/>
        <v>2</v>
      </c>
      <c r="X1614" s="206" t="s">
        <v>1482</v>
      </c>
      <c r="Y1614" s="206" t="s">
        <v>78</v>
      </c>
      <c r="Z1614" s="183"/>
      <c r="AA1614" s="183"/>
      <c r="AB1614" s="183"/>
    </row>
    <row r="1615" spans="1:28" hidden="1">
      <c r="A1615" s="248" t="s">
        <v>1017</v>
      </c>
      <c r="B1615" s="249">
        <v>45716</v>
      </c>
      <c r="C1615" s="248" t="s">
        <v>1441</v>
      </c>
      <c r="D1615" s="248" t="s">
        <v>281</v>
      </c>
      <c r="E1615" s="248" t="s">
        <v>760</v>
      </c>
      <c r="F1615" s="197"/>
      <c r="G1615" s="165">
        <f t="shared" si="40"/>
        <v>32958.411000000015</v>
      </c>
      <c r="H1615" s="248"/>
      <c r="I1615" s="248" t="s">
        <v>283</v>
      </c>
      <c r="J1615" s="248"/>
      <c r="K1615" s="248"/>
      <c r="L1615" s="248" t="s">
        <v>477</v>
      </c>
      <c r="M1615" s="248"/>
      <c r="N1615" s="248" t="s">
        <v>978</v>
      </c>
      <c r="O1615" s="248"/>
      <c r="P1615" s="248"/>
      <c r="Q1615" s="248"/>
      <c r="R1615" s="248" t="s">
        <v>1368</v>
      </c>
      <c r="S1615" s="248" t="s">
        <v>1369</v>
      </c>
      <c r="T1615" s="251">
        <f t="shared" si="42"/>
        <v>2</v>
      </c>
      <c r="U1615" s="252">
        <f t="shared" si="41"/>
        <v>45716</v>
      </c>
      <c r="V1615" s="251"/>
      <c r="W1615" s="43">
        <f t="shared" si="38"/>
        <v>2</v>
      </c>
      <c r="X1615" s="236" t="s">
        <v>1482</v>
      </c>
      <c r="Y1615" s="236" t="s">
        <v>78</v>
      </c>
      <c r="Z1615" s="251"/>
      <c r="AA1615" s="251"/>
      <c r="AB1615" s="251"/>
    </row>
    <row r="1616" spans="1:28" hidden="1">
      <c r="A1616" s="248" t="s">
        <v>1174</v>
      </c>
      <c r="B1616" s="249">
        <v>45702</v>
      </c>
      <c r="C1616" s="248" t="s">
        <v>1614</v>
      </c>
      <c r="D1616" s="248" t="s">
        <v>281</v>
      </c>
      <c r="E1616" s="248" t="s">
        <v>407</v>
      </c>
      <c r="F1616" s="197"/>
      <c r="G1616" s="165">
        <f t="shared" si="40"/>
        <v>32958.411000000015</v>
      </c>
      <c r="H1616" s="248"/>
      <c r="I1616" s="248" t="s">
        <v>1176</v>
      </c>
      <c r="J1616" s="248" t="s">
        <v>1585</v>
      </c>
      <c r="K1616" s="248"/>
      <c r="L1616" s="248" t="s">
        <v>305</v>
      </c>
      <c r="M1616" s="248"/>
      <c r="N1616" s="248" t="s">
        <v>1178</v>
      </c>
      <c r="O1616" s="248" t="s">
        <v>1585</v>
      </c>
      <c r="P1616" s="248" t="s">
        <v>1586</v>
      </c>
      <c r="Q1616" s="248"/>
      <c r="R1616" s="248" t="s">
        <v>1587</v>
      </c>
      <c r="S1616" s="248" t="s">
        <v>1588</v>
      </c>
      <c r="T1616" s="251">
        <f t="shared" si="42"/>
        <v>2</v>
      </c>
      <c r="U1616" s="252">
        <f t="shared" si="41"/>
        <v>45716</v>
      </c>
      <c r="V1616" s="166">
        <v>45716</v>
      </c>
      <c r="W1616" s="43">
        <f t="shared" si="38"/>
        <v>2</v>
      </c>
      <c r="X1616" s="43" t="s">
        <v>1484</v>
      </c>
      <c r="Y1616" s="43" t="s">
        <v>1485</v>
      </c>
      <c r="Z1616" s="251"/>
      <c r="AA1616" s="251"/>
      <c r="AB1616" s="251"/>
    </row>
    <row r="1617" spans="1:28" hidden="1">
      <c r="A1617" s="248" t="s">
        <v>1174</v>
      </c>
      <c r="B1617" s="249">
        <v>45709</v>
      </c>
      <c r="C1617" s="248" t="s">
        <v>1614</v>
      </c>
      <c r="D1617" s="248" t="s">
        <v>281</v>
      </c>
      <c r="E1617" s="248" t="s">
        <v>407</v>
      </c>
      <c r="F1617" s="197"/>
      <c r="G1617" s="165">
        <f t="shared" si="40"/>
        <v>32958.411000000015</v>
      </c>
      <c r="H1617" s="248"/>
      <c r="I1617" s="248" t="s">
        <v>1176</v>
      </c>
      <c r="J1617" s="248" t="s">
        <v>1585</v>
      </c>
      <c r="K1617" s="248"/>
      <c r="L1617" s="248" t="s">
        <v>305</v>
      </c>
      <c r="M1617" s="248"/>
      <c r="N1617" s="248" t="s">
        <v>1178</v>
      </c>
      <c r="O1617" s="248" t="s">
        <v>1585</v>
      </c>
      <c r="P1617" s="248" t="s">
        <v>1586</v>
      </c>
      <c r="Q1617" s="248"/>
      <c r="R1617" s="248" t="s">
        <v>1587</v>
      </c>
      <c r="S1617" s="248" t="s">
        <v>1588</v>
      </c>
      <c r="T1617" s="251">
        <f t="shared" si="42"/>
        <v>2</v>
      </c>
      <c r="U1617" s="252">
        <f t="shared" si="41"/>
        <v>45716</v>
      </c>
      <c r="V1617" s="166">
        <v>45716</v>
      </c>
      <c r="W1617" s="43">
        <f t="shared" si="38"/>
        <v>2</v>
      </c>
      <c r="X1617" s="43" t="s">
        <v>1484</v>
      </c>
      <c r="Y1617" s="43" t="s">
        <v>1485</v>
      </c>
      <c r="Z1617" s="251"/>
      <c r="AA1617" s="251"/>
      <c r="AB1617" s="251"/>
    </row>
    <row r="1618" spans="1:28" hidden="1">
      <c r="A1618" s="248" t="s">
        <v>1174</v>
      </c>
      <c r="B1618" s="249">
        <v>45716</v>
      </c>
      <c r="C1618" s="248" t="s">
        <v>1614</v>
      </c>
      <c r="D1618" s="248" t="s">
        <v>281</v>
      </c>
      <c r="E1618" s="248" t="s">
        <v>407</v>
      </c>
      <c r="F1618" s="197"/>
      <c r="G1618" s="165">
        <f t="shared" si="40"/>
        <v>32958.411000000015</v>
      </c>
      <c r="H1618" s="248"/>
      <c r="I1618" s="248" t="s">
        <v>1176</v>
      </c>
      <c r="J1618" s="248" t="s">
        <v>1585</v>
      </c>
      <c r="K1618" s="248"/>
      <c r="L1618" s="248" t="s">
        <v>305</v>
      </c>
      <c r="M1618" s="248"/>
      <c r="N1618" s="248" t="s">
        <v>1178</v>
      </c>
      <c r="O1618" s="248" t="s">
        <v>1585</v>
      </c>
      <c r="P1618" s="248" t="s">
        <v>1586</v>
      </c>
      <c r="Q1618" s="248"/>
      <c r="R1618" s="248" t="s">
        <v>1587</v>
      </c>
      <c r="S1618" s="248" t="s">
        <v>1588</v>
      </c>
      <c r="T1618" s="251">
        <f t="shared" si="42"/>
        <v>2</v>
      </c>
      <c r="U1618" s="252">
        <f t="shared" si="41"/>
        <v>45716</v>
      </c>
      <c r="V1618" s="251"/>
      <c r="W1618" s="43">
        <f t="shared" si="38"/>
        <v>2</v>
      </c>
      <c r="X1618" s="43" t="s">
        <v>1484</v>
      </c>
      <c r="Y1618" s="43" t="s">
        <v>1485</v>
      </c>
      <c r="Z1618" s="251"/>
      <c r="AA1618" s="251"/>
      <c r="AB1618" s="251"/>
    </row>
    <row r="1619" spans="1:28" hidden="1">
      <c r="A1619" s="163" t="s">
        <v>1174</v>
      </c>
      <c r="B1619" s="164">
        <v>45716</v>
      </c>
      <c r="C1619" s="163" t="s">
        <v>1616</v>
      </c>
      <c r="D1619" s="163" t="s">
        <v>281</v>
      </c>
      <c r="E1619" s="163" t="s">
        <v>289</v>
      </c>
      <c r="F1619" s="197"/>
      <c r="G1619" s="165">
        <f t="shared" si="40"/>
        <v>32958.411000000015</v>
      </c>
      <c r="H1619" s="163"/>
      <c r="I1619" s="163" t="s">
        <v>1176</v>
      </c>
      <c r="J1619" s="163" t="s">
        <v>1617</v>
      </c>
      <c r="K1619" s="163"/>
      <c r="L1619" s="163" t="s">
        <v>305</v>
      </c>
      <c r="M1619" s="163"/>
      <c r="N1619" s="163" t="s">
        <v>1178</v>
      </c>
      <c r="O1619" s="163" t="s">
        <v>1617</v>
      </c>
      <c r="P1619" s="163" t="s">
        <v>1618</v>
      </c>
      <c r="Q1619" s="163"/>
      <c r="R1619" s="163" t="s">
        <v>1619</v>
      </c>
      <c r="S1619" s="163" t="s">
        <v>1620</v>
      </c>
      <c r="T1619" s="43">
        <f t="shared" si="42"/>
        <v>2</v>
      </c>
      <c r="U1619" s="167">
        <f t="shared" si="41"/>
        <v>45716</v>
      </c>
      <c r="W1619" s="43">
        <f t="shared" si="38"/>
        <v>2</v>
      </c>
      <c r="X1619" s="49" t="s">
        <v>1484</v>
      </c>
      <c r="Y1619" s="49" t="s">
        <v>78</v>
      </c>
    </row>
    <row r="1620" spans="1:28" hidden="1">
      <c r="A1620" s="248" t="s">
        <v>1174</v>
      </c>
      <c r="B1620" s="249">
        <v>45716</v>
      </c>
      <c r="C1620" s="248" t="s">
        <v>1623</v>
      </c>
      <c r="D1620" s="248" t="s">
        <v>281</v>
      </c>
      <c r="E1620" s="248" t="s">
        <v>289</v>
      </c>
      <c r="F1620" s="197"/>
      <c r="G1620" s="165">
        <f t="shared" si="40"/>
        <v>32958.411000000015</v>
      </c>
      <c r="H1620" s="248"/>
      <c r="I1620" s="248" t="s">
        <v>1176</v>
      </c>
      <c r="J1620" s="248" t="s">
        <v>1617</v>
      </c>
      <c r="K1620" s="248"/>
      <c r="L1620" s="248" t="s">
        <v>305</v>
      </c>
      <c r="M1620" s="248"/>
      <c r="N1620" s="248" t="s">
        <v>1178</v>
      </c>
      <c r="O1620" s="248" t="s">
        <v>1617</v>
      </c>
      <c r="P1620" s="248" t="s">
        <v>1618</v>
      </c>
      <c r="Q1620" s="248"/>
      <c r="R1620" s="248" t="s">
        <v>1619</v>
      </c>
      <c r="S1620" s="248" t="s">
        <v>1620</v>
      </c>
      <c r="T1620" s="251">
        <f t="shared" si="42"/>
        <v>2</v>
      </c>
      <c r="U1620" s="252">
        <f t="shared" si="41"/>
        <v>45716</v>
      </c>
      <c r="V1620" s="251"/>
      <c r="W1620" s="43">
        <f t="shared" si="38"/>
        <v>2</v>
      </c>
      <c r="X1620" s="49" t="s">
        <v>1484</v>
      </c>
      <c r="Y1620" s="49" t="s">
        <v>78</v>
      </c>
      <c r="Z1620" s="251"/>
      <c r="AA1620" s="251"/>
      <c r="AB1620" s="251"/>
    </row>
    <row r="1621" spans="1:28" hidden="1">
      <c r="A1621" s="248" t="s">
        <v>1174</v>
      </c>
      <c r="B1621" s="249">
        <v>45702</v>
      </c>
      <c r="C1621" s="248" t="s">
        <v>1710</v>
      </c>
      <c r="D1621" s="248" t="s">
        <v>281</v>
      </c>
      <c r="E1621" s="248" t="s">
        <v>289</v>
      </c>
      <c r="F1621" s="197"/>
      <c r="G1621" s="165">
        <f t="shared" si="40"/>
        <v>32958.411000000015</v>
      </c>
      <c r="H1621" s="248"/>
      <c r="I1621" s="248" t="s">
        <v>1176</v>
      </c>
      <c r="J1621" s="248" t="s">
        <v>1617</v>
      </c>
      <c r="K1621" s="248"/>
      <c r="L1621" s="248" t="s">
        <v>305</v>
      </c>
      <c r="M1621" s="248"/>
      <c r="N1621" s="248" t="s">
        <v>1178</v>
      </c>
      <c r="O1621" s="248" t="s">
        <v>1617</v>
      </c>
      <c r="P1621" s="248" t="s">
        <v>1618</v>
      </c>
      <c r="Q1621" s="248"/>
      <c r="R1621" s="248" t="s">
        <v>1619</v>
      </c>
      <c r="S1621" s="248" t="s">
        <v>1620</v>
      </c>
      <c r="T1621" s="251">
        <f t="shared" si="42"/>
        <v>2</v>
      </c>
      <c r="U1621" s="252">
        <f t="shared" si="41"/>
        <v>45716</v>
      </c>
      <c r="V1621" s="252">
        <v>45716</v>
      </c>
      <c r="W1621" s="43">
        <f t="shared" si="38"/>
        <v>2</v>
      </c>
      <c r="X1621" s="49" t="s">
        <v>1484</v>
      </c>
      <c r="Y1621" s="49" t="s">
        <v>78</v>
      </c>
      <c r="Z1621" s="251"/>
      <c r="AA1621" s="251"/>
      <c r="AB1621" s="251"/>
    </row>
    <row r="1622" spans="1:28" hidden="1">
      <c r="A1622" s="248" t="s">
        <v>1174</v>
      </c>
      <c r="B1622" s="249">
        <v>45702</v>
      </c>
      <c r="C1622" s="248" t="s">
        <v>1710</v>
      </c>
      <c r="D1622" s="248" t="s">
        <v>281</v>
      </c>
      <c r="E1622" s="248" t="s">
        <v>289</v>
      </c>
      <c r="F1622" s="197"/>
      <c r="G1622" s="165">
        <f t="shared" si="40"/>
        <v>32958.411000000015</v>
      </c>
      <c r="H1622" s="248"/>
      <c r="I1622" s="248" t="s">
        <v>1176</v>
      </c>
      <c r="J1622" s="248" t="s">
        <v>1617</v>
      </c>
      <c r="K1622" s="248"/>
      <c r="L1622" s="248" t="s">
        <v>305</v>
      </c>
      <c r="M1622" s="248"/>
      <c r="N1622" s="248" t="s">
        <v>1178</v>
      </c>
      <c r="O1622" s="248" t="s">
        <v>1617</v>
      </c>
      <c r="P1622" s="248" t="s">
        <v>1618</v>
      </c>
      <c r="Q1622" s="248"/>
      <c r="R1622" s="248" t="s">
        <v>1619</v>
      </c>
      <c r="S1622" s="248" t="s">
        <v>1620</v>
      </c>
      <c r="T1622" s="251">
        <f t="shared" si="42"/>
        <v>2</v>
      </c>
      <c r="U1622" s="252">
        <f t="shared" si="41"/>
        <v>45716</v>
      </c>
      <c r="V1622" s="252">
        <v>45716</v>
      </c>
      <c r="W1622" s="43">
        <f t="shared" si="38"/>
        <v>2</v>
      </c>
      <c r="X1622" s="49" t="s">
        <v>1484</v>
      </c>
      <c r="Y1622" s="49" t="s">
        <v>78</v>
      </c>
      <c r="Z1622" s="251"/>
      <c r="AA1622" s="251"/>
      <c r="AB1622" s="251"/>
    </row>
    <row r="1623" spans="1:28" hidden="1">
      <c r="A1623" s="248" t="s">
        <v>1174</v>
      </c>
      <c r="B1623" s="249">
        <v>45702</v>
      </c>
      <c r="C1623" s="248" t="s">
        <v>1710</v>
      </c>
      <c r="D1623" s="248" t="s">
        <v>281</v>
      </c>
      <c r="E1623" s="248" t="s">
        <v>289</v>
      </c>
      <c r="F1623" s="197"/>
      <c r="G1623" s="165">
        <f t="shared" si="40"/>
        <v>32958.411000000015</v>
      </c>
      <c r="H1623" s="248"/>
      <c r="I1623" s="248" t="s">
        <v>1176</v>
      </c>
      <c r="J1623" s="248" t="s">
        <v>1617</v>
      </c>
      <c r="K1623" s="248"/>
      <c r="L1623" s="248" t="s">
        <v>305</v>
      </c>
      <c r="M1623" s="248"/>
      <c r="N1623" s="248" t="s">
        <v>1178</v>
      </c>
      <c r="O1623" s="248" t="s">
        <v>1617</v>
      </c>
      <c r="P1623" s="248" t="s">
        <v>1618</v>
      </c>
      <c r="Q1623" s="248"/>
      <c r="R1623" s="248" t="s">
        <v>1619</v>
      </c>
      <c r="S1623" s="248" t="s">
        <v>1620</v>
      </c>
      <c r="T1623" s="251">
        <f t="shared" si="42"/>
        <v>2</v>
      </c>
      <c r="U1623" s="252">
        <f t="shared" si="41"/>
        <v>45716</v>
      </c>
      <c r="V1623" s="252">
        <v>45716</v>
      </c>
      <c r="W1623" s="43">
        <f t="shared" si="38"/>
        <v>2</v>
      </c>
      <c r="X1623" s="49" t="s">
        <v>1484</v>
      </c>
      <c r="Y1623" s="49" t="s">
        <v>78</v>
      </c>
      <c r="Z1623" s="251"/>
      <c r="AA1623" s="251"/>
      <c r="AB1623" s="251"/>
    </row>
    <row r="1624" spans="1:28" hidden="1">
      <c r="A1624" s="248" t="s">
        <v>1174</v>
      </c>
      <c r="B1624" s="249">
        <v>45702</v>
      </c>
      <c r="C1624" s="248" t="s">
        <v>1623</v>
      </c>
      <c r="D1624" s="248" t="s">
        <v>281</v>
      </c>
      <c r="E1624" s="248" t="s">
        <v>289</v>
      </c>
      <c r="F1624" s="197"/>
      <c r="G1624" s="165">
        <f t="shared" si="40"/>
        <v>32958.411000000015</v>
      </c>
      <c r="H1624" s="248"/>
      <c r="I1624" s="248" t="s">
        <v>1176</v>
      </c>
      <c r="J1624" s="248" t="s">
        <v>1617</v>
      </c>
      <c r="K1624" s="248"/>
      <c r="L1624" s="248" t="s">
        <v>305</v>
      </c>
      <c r="M1624" s="248"/>
      <c r="N1624" s="248" t="s">
        <v>1178</v>
      </c>
      <c r="O1624" s="248" t="s">
        <v>1617</v>
      </c>
      <c r="P1624" s="248" t="s">
        <v>1618</v>
      </c>
      <c r="Q1624" s="248"/>
      <c r="R1624" s="248" t="s">
        <v>1619</v>
      </c>
      <c r="S1624" s="248" t="s">
        <v>1620</v>
      </c>
      <c r="T1624" s="251">
        <f t="shared" si="42"/>
        <v>2</v>
      </c>
      <c r="U1624" s="252">
        <f t="shared" si="41"/>
        <v>45712</v>
      </c>
      <c r="V1624" s="252">
        <v>45712</v>
      </c>
      <c r="W1624" s="43">
        <f t="shared" si="38"/>
        <v>2</v>
      </c>
      <c r="X1624" s="49" t="s">
        <v>1484</v>
      </c>
      <c r="Y1624" s="49" t="s">
        <v>78</v>
      </c>
      <c r="Z1624" s="251"/>
      <c r="AA1624" s="251"/>
      <c r="AB1624" s="251"/>
    </row>
    <row r="1625" spans="1:28" hidden="1">
      <c r="A1625" s="163" t="s">
        <v>1017</v>
      </c>
      <c r="B1625" s="164">
        <v>45716</v>
      </c>
      <c r="C1625" s="163" t="s">
        <v>1628</v>
      </c>
      <c r="D1625" s="163" t="s">
        <v>281</v>
      </c>
      <c r="E1625" s="163" t="s">
        <v>1628</v>
      </c>
      <c r="F1625" s="169"/>
      <c r="G1625" s="165">
        <f t="shared" si="40"/>
        <v>32958.411000000015</v>
      </c>
      <c r="H1625" s="163"/>
      <c r="I1625" s="163" t="s">
        <v>342</v>
      </c>
      <c r="J1625" s="163"/>
      <c r="K1625" s="163"/>
      <c r="L1625" s="163" t="s">
        <v>1711</v>
      </c>
      <c r="M1625" s="163"/>
      <c r="N1625" s="163" t="s">
        <v>978</v>
      </c>
      <c r="O1625" s="163"/>
      <c r="P1625" s="163"/>
      <c r="Q1625" s="163"/>
      <c r="R1625" s="163" t="s">
        <v>1628</v>
      </c>
      <c r="S1625" s="163"/>
      <c r="T1625" s="43">
        <f t="shared" si="42"/>
        <v>2</v>
      </c>
      <c r="U1625" s="167">
        <f t="shared" si="41"/>
        <v>45716</v>
      </c>
      <c r="W1625" s="43">
        <f t="shared" si="38"/>
        <v>2</v>
      </c>
      <c r="X1625" s="49" t="s">
        <v>12</v>
      </c>
      <c r="Y1625" s="49" t="s">
        <v>1443</v>
      </c>
    </row>
    <row r="1626" spans="1:28" hidden="1">
      <c r="A1626" s="163" t="s">
        <v>1017</v>
      </c>
      <c r="B1626" s="164">
        <v>45716</v>
      </c>
      <c r="C1626" s="163" t="s">
        <v>1442</v>
      </c>
      <c r="D1626" s="163" t="s">
        <v>281</v>
      </c>
      <c r="E1626" s="163" t="s">
        <v>1442</v>
      </c>
      <c r="F1626" s="169"/>
      <c r="G1626" s="165">
        <f t="shared" si="40"/>
        <v>32958.411000000015</v>
      </c>
      <c r="H1626" s="163"/>
      <c r="I1626" s="163" t="s">
        <v>994</v>
      </c>
      <c r="J1626" s="163"/>
      <c r="K1626" s="163"/>
      <c r="L1626" s="163" t="s">
        <v>1571</v>
      </c>
      <c r="M1626" s="163"/>
      <c r="N1626" s="163" t="s">
        <v>978</v>
      </c>
      <c r="O1626" s="163"/>
      <c r="P1626" s="163"/>
      <c r="Q1626" s="163"/>
      <c r="R1626" s="163" t="s">
        <v>1442</v>
      </c>
      <c r="S1626" s="163"/>
      <c r="T1626" s="43">
        <f t="shared" si="42"/>
        <v>2</v>
      </c>
      <c r="U1626" s="167">
        <f t="shared" si="41"/>
        <v>45716</v>
      </c>
      <c r="W1626" s="43">
        <f t="shared" si="38"/>
        <v>2</v>
      </c>
      <c r="X1626" s="43" t="s">
        <v>12</v>
      </c>
      <c r="Y1626" s="43" t="s">
        <v>1443</v>
      </c>
    </row>
    <row r="1627" spans="1:28" hidden="1">
      <c r="A1627" s="180" t="s">
        <v>1017</v>
      </c>
      <c r="B1627" s="181">
        <v>45716</v>
      </c>
      <c r="C1627" s="180" t="s">
        <v>1712</v>
      </c>
      <c r="D1627" s="180" t="s">
        <v>281</v>
      </c>
      <c r="E1627" s="180" t="s">
        <v>1713</v>
      </c>
      <c r="F1627" s="169">
        <v>-229.9</v>
      </c>
      <c r="G1627" s="165">
        <f t="shared" si="40"/>
        <v>32728.511000000013</v>
      </c>
      <c r="H1627" s="180"/>
      <c r="I1627" s="180" t="s">
        <v>283</v>
      </c>
      <c r="J1627" s="180"/>
      <c r="K1627" s="180"/>
      <c r="L1627" s="180" t="s">
        <v>1062</v>
      </c>
      <c r="M1627" s="180"/>
      <c r="N1627" s="180" t="s">
        <v>978</v>
      </c>
      <c r="O1627" s="180"/>
      <c r="P1627" s="180"/>
      <c r="Q1627" s="180"/>
      <c r="R1627" s="180" t="s">
        <v>764</v>
      </c>
      <c r="S1627" s="180" t="s">
        <v>80</v>
      </c>
      <c r="T1627" s="183">
        <f t="shared" si="42"/>
        <v>2</v>
      </c>
      <c r="U1627" s="184">
        <f t="shared" si="41"/>
        <v>45716</v>
      </c>
      <c r="V1627" s="166"/>
      <c r="W1627" s="43">
        <f t="shared" si="38"/>
        <v>2</v>
      </c>
      <c r="X1627" s="49" t="s">
        <v>1483</v>
      </c>
      <c r="Y1627" s="49" t="s">
        <v>1443</v>
      </c>
      <c r="Z1627" s="183"/>
      <c r="AA1627" s="183"/>
      <c r="AB1627" s="183"/>
    </row>
    <row r="1628" spans="1:28" hidden="1">
      <c r="A1628" s="180" t="s">
        <v>1017</v>
      </c>
      <c r="B1628" s="181">
        <v>45716</v>
      </c>
      <c r="C1628" s="180" t="s">
        <v>1714</v>
      </c>
      <c r="D1628" s="180" t="s">
        <v>281</v>
      </c>
      <c r="E1628" s="180" t="s">
        <v>1702</v>
      </c>
      <c r="F1628" s="169">
        <v>-107.55</v>
      </c>
      <c r="G1628" s="165">
        <f t="shared" si="40"/>
        <v>32620.961000000014</v>
      </c>
      <c r="H1628" s="180"/>
      <c r="I1628" s="180" t="s">
        <v>283</v>
      </c>
      <c r="J1628" s="180"/>
      <c r="K1628" s="180"/>
      <c r="L1628" s="180" t="s">
        <v>485</v>
      </c>
      <c r="M1628" s="180"/>
      <c r="N1628" s="180" t="s">
        <v>978</v>
      </c>
      <c r="O1628" s="180"/>
      <c r="P1628" s="180"/>
      <c r="Q1628" s="180"/>
      <c r="R1628" s="180" t="s">
        <v>669</v>
      </c>
      <c r="S1628" s="180" t="s">
        <v>1492</v>
      </c>
      <c r="T1628" s="183">
        <f t="shared" si="42"/>
        <v>2</v>
      </c>
      <c r="U1628" s="184">
        <f t="shared" si="41"/>
        <v>45716</v>
      </c>
      <c r="V1628" s="183"/>
      <c r="W1628" s="43">
        <f t="shared" si="38"/>
        <v>2</v>
      </c>
      <c r="X1628" s="183" t="s">
        <v>1381</v>
      </c>
      <c r="Y1628" s="183" t="s">
        <v>25</v>
      </c>
      <c r="Z1628" s="183"/>
      <c r="AA1628" s="183"/>
      <c r="AB1628" s="183"/>
    </row>
    <row r="1629" spans="1:28" hidden="1">
      <c r="A1629" s="180" t="s">
        <v>1017</v>
      </c>
      <c r="B1629" s="181">
        <v>45716</v>
      </c>
      <c r="C1629" s="180" t="s">
        <v>1028</v>
      </c>
      <c r="D1629" s="180" t="s">
        <v>281</v>
      </c>
      <c r="E1629" s="180" t="s">
        <v>1702</v>
      </c>
      <c r="F1629" s="169">
        <v>-239.1</v>
      </c>
      <c r="G1629" s="165">
        <f t="shared" si="40"/>
        <v>32381.861000000015</v>
      </c>
      <c r="H1629" s="180"/>
      <c r="I1629" s="180" t="s">
        <v>283</v>
      </c>
      <c r="J1629" s="180"/>
      <c r="K1629" s="180"/>
      <c r="L1629" s="180" t="s">
        <v>485</v>
      </c>
      <c r="M1629" s="180"/>
      <c r="N1629" s="180" t="s">
        <v>978</v>
      </c>
      <c r="O1629" s="180"/>
      <c r="P1629" s="180"/>
      <c r="Q1629" s="180"/>
      <c r="R1629" s="180" t="s">
        <v>669</v>
      </c>
      <c r="S1629" s="180" t="s">
        <v>1492</v>
      </c>
      <c r="T1629" s="183">
        <f t="shared" si="42"/>
        <v>2</v>
      </c>
      <c r="U1629" s="184">
        <f t="shared" si="41"/>
        <v>45716</v>
      </c>
      <c r="V1629" s="183"/>
      <c r="W1629" s="43">
        <f t="shared" si="38"/>
        <v>2</v>
      </c>
      <c r="X1629" s="183" t="s">
        <v>1381</v>
      </c>
      <c r="Y1629" s="183" t="s">
        <v>1488</v>
      </c>
      <c r="Z1629" s="183"/>
      <c r="AA1629" s="183"/>
      <c r="AB1629" s="183"/>
    </row>
    <row r="1630" spans="1:28" hidden="1">
      <c r="A1630" s="163" t="s">
        <v>1017</v>
      </c>
      <c r="B1630" s="164">
        <v>45716</v>
      </c>
      <c r="C1630" s="163" t="s">
        <v>1703</v>
      </c>
      <c r="D1630" s="163" t="s">
        <v>281</v>
      </c>
      <c r="E1630" s="163" t="s">
        <v>121</v>
      </c>
      <c r="F1630" s="169">
        <v>-189</v>
      </c>
      <c r="G1630" s="165">
        <f t="shared" si="40"/>
        <v>32192.861000000015</v>
      </c>
      <c r="H1630" s="163"/>
      <c r="I1630" s="163" t="s">
        <v>283</v>
      </c>
      <c r="J1630" s="163"/>
      <c r="K1630" s="163"/>
      <c r="L1630" s="163" t="s">
        <v>1571</v>
      </c>
      <c r="M1630" s="163"/>
      <c r="N1630" s="163" t="s">
        <v>978</v>
      </c>
      <c r="O1630" s="163"/>
      <c r="P1630" s="163"/>
      <c r="Q1630" s="163"/>
      <c r="R1630" s="163" t="s">
        <v>321</v>
      </c>
      <c r="S1630" s="163" t="s">
        <v>323</v>
      </c>
      <c r="T1630" s="43">
        <f t="shared" si="42"/>
        <v>2</v>
      </c>
      <c r="U1630" s="167">
        <f t="shared" si="41"/>
        <v>45716</v>
      </c>
      <c r="W1630" s="43">
        <f t="shared" si="38"/>
        <v>2</v>
      </c>
      <c r="X1630" s="49" t="s">
        <v>1498</v>
      </c>
      <c r="Y1630" s="43" t="s">
        <v>26</v>
      </c>
    </row>
    <row r="1631" spans="1:28" hidden="1">
      <c r="A1631" s="163" t="s">
        <v>1017</v>
      </c>
      <c r="B1631" s="164">
        <v>45716</v>
      </c>
      <c r="C1631" s="163" t="s">
        <v>1704</v>
      </c>
      <c r="D1631" s="163" t="s">
        <v>281</v>
      </c>
      <c r="E1631" s="163" t="s">
        <v>121</v>
      </c>
      <c r="F1631" s="169">
        <v>-189</v>
      </c>
      <c r="G1631" s="165">
        <f t="shared" si="40"/>
        <v>32003.861000000015</v>
      </c>
      <c r="H1631" s="163"/>
      <c r="I1631" s="163" t="s">
        <v>283</v>
      </c>
      <c r="J1631" s="163"/>
      <c r="K1631" s="163"/>
      <c r="L1631" s="163" t="s">
        <v>1571</v>
      </c>
      <c r="M1631" s="163"/>
      <c r="N1631" s="163" t="s">
        <v>978</v>
      </c>
      <c r="O1631" s="163"/>
      <c r="P1631" s="163"/>
      <c r="Q1631" s="163"/>
      <c r="R1631" s="163" t="s">
        <v>321</v>
      </c>
      <c r="S1631" s="163" t="s">
        <v>323</v>
      </c>
      <c r="T1631" s="43">
        <f t="shared" si="42"/>
        <v>2</v>
      </c>
      <c r="U1631" s="167">
        <f t="shared" si="41"/>
        <v>45716</v>
      </c>
      <c r="W1631" s="43">
        <f t="shared" si="38"/>
        <v>2</v>
      </c>
      <c r="X1631" s="49" t="s">
        <v>1498</v>
      </c>
      <c r="Y1631" s="43" t="s">
        <v>26</v>
      </c>
    </row>
    <row r="1632" spans="1:28" hidden="1">
      <c r="A1632" s="163" t="s">
        <v>1017</v>
      </c>
      <c r="B1632" s="164">
        <v>45716</v>
      </c>
      <c r="C1632" s="163" t="s">
        <v>321</v>
      </c>
      <c r="D1632" s="163" t="s">
        <v>281</v>
      </c>
      <c r="E1632" s="163" t="s">
        <v>121</v>
      </c>
      <c r="F1632" s="169">
        <v>-95.2</v>
      </c>
      <c r="G1632" s="165">
        <f t="shared" si="40"/>
        <v>31908.661000000015</v>
      </c>
      <c r="H1632" s="163"/>
      <c r="I1632" s="163" t="s">
        <v>283</v>
      </c>
      <c r="J1632" s="163"/>
      <c r="K1632" s="163"/>
      <c r="L1632" s="163" t="s">
        <v>1571</v>
      </c>
      <c r="M1632" s="163"/>
      <c r="N1632" s="163" t="s">
        <v>978</v>
      </c>
      <c r="O1632" s="163"/>
      <c r="P1632" s="163"/>
      <c r="Q1632" s="163"/>
      <c r="R1632" s="163" t="s">
        <v>321</v>
      </c>
      <c r="S1632" s="163" t="s">
        <v>323</v>
      </c>
      <c r="T1632" s="43">
        <f t="shared" si="42"/>
        <v>2</v>
      </c>
      <c r="U1632" s="167">
        <f t="shared" si="41"/>
        <v>45716</v>
      </c>
      <c r="W1632" s="43">
        <f t="shared" si="38"/>
        <v>2</v>
      </c>
      <c r="X1632" s="49" t="s">
        <v>1498</v>
      </c>
      <c r="Y1632" s="43" t="s">
        <v>26</v>
      </c>
    </row>
    <row r="1633" spans="1:28" hidden="1">
      <c r="A1633" s="163" t="s">
        <v>1017</v>
      </c>
      <c r="B1633" s="164">
        <v>45716</v>
      </c>
      <c r="C1633" s="163" t="s">
        <v>447</v>
      </c>
      <c r="D1633" s="163" t="s">
        <v>281</v>
      </c>
      <c r="E1633" s="163" t="s">
        <v>121</v>
      </c>
      <c r="F1633" s="169">
        <v>-184</v>
      </c>
      <c r="G1633" s="165">
        <f t="shared" si="40"/>
        <v>31724.661000000015</v>
      </c>
      <c r="H1633" s="163"/>
      <c r="I1633" s="163" t="s">
        <v>283</v>
      </c>
      <c r="J1633" s="163"/>
      <c r="K1633" s="163"/>
      <c r="L1633" s="163" t="s">
        <v>1571</v>
      </c>
      <c r="M1633" s="163"/>
      <c r="N1633" s="163" t="s">
        <v>978</v>
      </c>
      <c r="O1633" s="163"/>
      <c r="P1633" s="163"/>
      <c r="Q1633" s="163"/>
      <c r="R1633" s="163" t="s">
        <v>447</v>
      </c>
      <c r="S1633" s="163" t="s">
        <v>449</v>
      </c>
      <c r="T1633" s="43">
        <f t="shared" si="42"/>
        <v>2</v>
      </c>
      <c r="U1633" s="167">
        <f t="shared" si="41"/>
        <v>45716</v>
      </c>
      <c r="W1633" s="43">
        <f t="shared" si="38"/>
        <v>2</v>
      </c>
      <c r="X1633" s="49" t="s">
        <v>1498</v>
      </c>
      <c r="Y1633" s="43" t="s">
        <v>1488</v>
      </c>
    </row>
    <row r="1634" spans="1:28" hidden="1">
      <c r="A1634" s="163" t="s">
        <v>1017</v>
      </c>
      <c r="B1634" s="164">
        <v>45716</v>
      </c>
      <c r="C1634" s="163" t="s">
        <v>451</v>
      </c>
      <c r="D1634" s="163" t="s">
        <v>281</v>
      </c>
      <c r="E1634" s="163" t="s">
        <v>121</v>
      </c>
      <c r="F1634" s="169"/>
      <c r="G1634" s="165">
        <f t="shared" si="40"/>
        <v>31724.661000000015</v>
      </c>
      <c r="H1634" s="163"/>
      <c r="I1634" s="163" t="s">
        <v>283</v>
      </c>
      <c r="J1634" s="163"/>
      <c r="K1634" s="163"/>
      <c r="L1634" s="163" t="s">
        <v>1571</v>
      </c>
      <c r="M1634" s="163"/>
      <c r="N1634" s="163" t="s">
        <v>978</v>
      </c>
      <c r="O1634" s="163"/>
      <c r="P1634" s="163"/>
      <c r="Q1634" s="163"/>
      <c r="R1634" s="163" t="s">
        <v>451</v>
      </c>
      <c r="S1634" s="163" t="s">
        <v>453</v>
      </c>
      <c r="T1634" s="43">
        <f t="shared" si="42"/>
        <v>2</v>
      </c>
      <c r="U1634" s="167">
        <f t="shared" si="41"/>
        <v>45716</v>
      </c>
      <c r="W1634" s="43">
        <f t="shared" si="38"/>
        <v>2</v>
      </c>
      <c r="X1634" s="49" t="s">
        <v>1498</v>
      </c>
      <c r="Y1634" s="43" t="s">
        <v>26</v>
      </c>
    </row>
    <row r="1635" spans="1:28" hidden="1">
      <c r="A1635" s="163" t="s">
        <v>1017</v>
      </c>
      <c r="B1635" s="164">
        <v>45716</v>
      </c>
      <c r="C1635" s="163" t="s">
        <v>463</v>
      </c>
      <c r="D1635" s="163" t="s">
        <v>281</v>
      </c>
      <c r="E1635" s="163" t="s">
        <v>121</v>
      </c>
      <c r="F1635" s="169">
        <v>-94.5</v>
      </c>
      <c r="G1635" s="165">
        <f t="shared" si="40"/>
        <v>31630.161000000015</v>
      </c>
      <c r="H1635" s="163"/>
      <c r="I1635" s="163" t="s">
        <v>283</v>
      </c>
      <c r="J1635" s="163"/>
      <c r="K1635" s="163"/>
      <c r="L1635" s="163" t="s">
        <v>1571</v>
      </c>
      <c r="M1635" s="163"/>
      <c r="N1635" s="163" t="s">
        <v>978</v>
      </c>
      <c r="O1635" s="163"/>
      <c r="P1635" s="163"/>
      <c r="Q1635" s="163"/>
      <c r="R1635" s="163" t="s">
        <v>463</v>
      </c>
      <c r="S1635" s="163" t="s">
        <v>465</v>
      </c>
      <c r="T1635" s="43">
        <f t="shared" si="42"/>
        <v>2</v>
      </c>
      <c r="U1635" s="167">
        <f t="shared" si="41"/>
        <v>45716</v>
      </c>
      <c r="W1635" s="43">
        <f t="shared" si="38"/>
        <v>2</v>
      </c>
      <c r="X1635" s="49" t="s">
        <v>1498</v>
      </c>
      <c r="Y1635" s="43" t="s">
        <v>1488</v>
      </c>
    </row>
    <row r="1636" spans="1:28" hidden="1">
      <c r="A1636" s="163" t="s">
        <v>1017</v>
      </c>
      <c r="B1636" s="164">
        <v>45716</v>
      </c>
      <c r="C1636" s="163" t="s">
        <v>469</v>
      </c>
      <c r="D1636" s="163" t="s">
        <v>281</v>
      </c>
      <c r="E1636" s="163" t="s">
        <v>121</v>
      </c>
      <c r="F1636" s="169"/>
      <c r="G1636" s="165">
        <f t="shared" si="40"/>
        <v>31630.161000000015</v>
      </c>
      <c r="H1636" s="163"/>
      <c r="I1636" s="163" t="s">
        <v>283</v>
      </c>
      <c r="J1636" s="163"/>
      <c r="K1636" s="163"/>
      <c r="L1636" s="163" t="s">
        <v>1571</v>
      </c>
      <c r="M1636" s="163"/>
      <c r="N1636" s="163" t="s">
        <v>978</v>
      </c>
      <c r="O1636" s="163"/>
      <c r="P1636" s="163"/>
      <c r="Q1636" s="163"/>
      <c r="R1636" s="163" t="s">
        <v>469</v>
      </c>
      <c r="S1636" s="163" t="s">
        <v>471</v>
      </c>
      <c r="T1636" s="43">
        <f t="shared" si="42"/>
        <v>2</v>
      </c>
      <c r="U1636" s="167">
        <f t="shared" si="41"/>
        <v>45716</v>
      </c>
      <c r="W1636" s="43">
        <f t="shared" si="38"/>
        <v>2</v>
      </c>
      <c r="X1636" s="49" t="s">
        <v>1498</v>
      </c>
      <c r="Y1636" s="43" t="s">
        <v>26</v>
      </c>
    </row>
    <row r="1637" spans="1:28" hidden="1">
      <c r="A1637" s="163" t="s">
        <v>1017</v>
      </c>
      <c r="B1637" s="164">
        <v>45716</v>
      </c>
      <c r="C1637" s="163" t="s">
        <v>1323</v>
      </c>
      <c r="D1637" s="163" t="s">
        <v>281</v>
      </c>
      <c r="E1637" s="163" t="s">
        <v>199</v>
      </c>
      <c r="F1637" s="169">
        <v>-2854.83</v>
      </c>
      <c r="G1637" s="165">
        <f t="shared" si="40"/>
        <v>28775.331000000013</v>
      </c>
      <c r="H1637" s="163"/>
      <c r="I1637" s="163" t="s">
        <v>342</v>
      </c>
      <c r="J1637" s="163"/>
      <c r="K1637" s="163"/>
      <c r="L1637" s="163" t="s">
        <v>1424</v>
      </c>
      <c r="M1637" s="163"/>
      <c r="N1637" s="163" t="s">
        <v>978</v>
      </c>
      <c r="O1637" s="163"/>
      <c r="P1637" s="163"/>
      <c r="Q1637" s="163"/>
      <c r="R1637" s="163" t="s">
        <v>1324</v>
      </c>
      <c r="S1637" s="163" t="s">
        <v>1325</v>
      </c>
      <c r="T1637" s="43">
        <f t="shared" si="42"/>
        <v>2</v>
      </c>
      <c r="U1637" s="167">
        <f t="shared" si="41"/>
        <v>45716</v>
      </c>
      <c r="W1637" s="43">
        <f t="shared" si="38"/>
        <v>2</v>
      </c>
      <c r="X1637" s="49" t="s">
        <v>1480</v>
      </c>
      <c r="Y1637" s="49" t="s">
        <v>86</v>
      </c>
    </row>
    <row r="1638" spans="1:28" hidden="1">
      <c r="A1638" s="163" t="s">
        <v>1017</v>
      </c>
      <c r="B1638" s="164">
        <v>45716</v>
      </c>
      <c r="C1638" s="163" t="s">
        <v>358</v>
      </c>
      <c r="D1638" s="163" t="s">
        <v>281</v>
      </c>
      <c r="E1638" s="163" t="s">
        <v>121</v>
      </c>
      <c r="F1638" s="169"/>
      <c r="G1638" s="165">
        <f t="shared" si="40"/>
        <v>28775.331000000013</v>
      </c>
      <c r="H1638" s="163"/>
      <c r="I1638" s="163" t="s">
        <v>283</v>
      </c>
      <c r="J1638" s="163"/>
      <c r="K1638" s="163"/>
      <c r="L1638" s="163" t="s">
        <v>1424</v>
      </c>
      <c r="M1638" s="163"/>
      <c r="N1638" s="163" t="s">
        <v>978</v>
      </c>
      <c r="O1638" s="163"/>
      <c r="P1638" s="163"/>
      <c r="Q1638" s="163"/>
      <c r="R1638" s="163" t="s">
        <v>358</v>
      </c>
      <c r="S1638" s="163" t="s">
        <v>361</v>
      </c>
      <c r="T1638" s="43">
        <f t="shared" si="42"/>
        <v>2</v>
      </c>
      <c r="U1638" s="167">
        <f t="shared" si="41"/>
        <v>45716</v>
      </c>
      <c r="W1638" s="43">
        <f t="shared" si="38"/>
        <v>2</v>
      </c>
      <c r="X1638" s="49" t="s">
        <v>1498</v>
      </c>
      <c r="Y1638" s="43" t="s">
        <v>26</v>
      </c>
    </row>
    <row r="1639" spans="1:28" hidden="1">
      <c r="A1639" s="163" t="s">
        <v>1017</v>
      </c>
      <c r="B1639" s="164">
        <v>45716</v>
      </c>
      <c r="C1639" s="163" t="s">
        <v>989</v>
      </c>
      <c r="D1639" s="163" t="s">
        <v>281</v>
      </c>
      <c r="E1639" s="163" t="s">
        <v>199</v>
      </c>
      <c r="F1639" s="169"/>
      <c r="G1639" s="165">
        <f t="shared" si="40"/>
        <v>28775.331000000013</v>
      </c>
      <c r="H1639" s="163"/>
      <c r="I1639" s="163" t="s">
        <v>977</v>
      </c>
      <c r="J1639" s="163"/>
      <c r="K1639" s="163"/>
      <c r="L1639" s="163" t="s">
        <v>1424</v>
      </c>
      <c r="M1639" s="163"/>
      <c r="N1639" s="163" t="s">
        <v>978</v>
      </c>
      <c r="O1639" s="163"/>
      <c r="P1639" s="163"/>
      <c r="Q1639" s="163"/>
      <c r="R1639" s="163" t="s">
        <v>990</v>
      </c>
      <c r="S1639" s="163" t="s">
        <v>991</v>
      </c>
      <c r="T1639" s="43">
        <f t="shared" si="42"/>
        <v>2</v>
      </c>
      <c r="U1639" s="167">
        <f t="shared" si="41"/>
        <v>45716</v>
      </c>
      <c r="W1639" s="43">
        <f t="shared" si="38"/>
        <v>2</v>
      </c>
      <c r="X1639" s="43" t="s">
        <v>1480</v>
      </c>
      <c r="Y1639" s="43" t="s">
        <v>86</v>
      </c>
    </row>
    <row r="1640" spans="1:28" hidden="1">
      <c r="A1640" s="163" t="s">
        <v>1017</v>
      </c>
      <c r="B1640" s="164">
        <v>45716</v>
      </c>
      <c r="C1640" s="163" t="s">
        <v>131</v>
      </c>
      <c r="D1640" s="163" t="s">
        <v>281</v>
      </c>
      <c r="E1640" s="163" t="s">
        <v>199</v>
      </c>
      <c r="F1640" s="169">
        <v>-1110</v>
      </c>
      <c r="G1640" s="165">
        <f t="shared" si="40"/>
        <v>27665.331000000013</v>
      </c>
      <c r="H1640" s="163"/>
      <c r="I1640" s="163" t="s">
        <v>977</v>
      </c>
      <c r="J1640" s="163"/>
      <c r="K1640" s="163"/>
      <c r="L1640" s="163" t="s">
        <v>1424</v>
      </c>
      <c r="M1640" s="163"/>
      <c r="N1640" s="163" t="s">
        <v>978</v>
      </c>
      <c r="O1640" s="163"/>
      <c r="P1640" s="163"/>
      <c r="Q1640" s="163"/>
      <c r="R1640" s="163" t="s">
        <v>131</v>
      </c>
      <c r="S1640" s="163"/>
      <c r="T1640" s="43">
        <f t="shared" si="42"/>
        <v>2</v>
      </c>
      <c r="U1640" s="167">
        <f t="shared" si="41"/>
        <v>45716</v>
      </c>
      <c r="W1640" s="43">
        <f t="shared" si="38"/>
        <v>2</v>
      </c>
      <c r="X1640" s="49" t="s">
        <v>1480</v>
      </c>
      <c r="Y1640" s="49" t="s">
        <v>105</v>
      </c>
    </row>
    <row r="1641" spans="1:28" hidden="1">
      <c r="A1641" s="248" t="s">
        <v>1017</v>
      </c>
      <c r="B1641" s="249">
        <v>45721</v>
      </c>
      <c r="C1641" s="248" t="s">
        <v>1087</v>
      </c>
      <c r="D1641" s="248" t="s">
        <v>281</v>
      </c>
      <c r="E1641" s="248" t="s">
        <v>925</v>
      </c>
      <c r="F1641" s="169">
        <v>-4000</v>
      </c>
      <c r="G1641" s="165">
        <f t="shared" si="40"/>
        <v>23665.331000000013</v>
      </c>
      <c r="H1641" s="248"/>
      <c r="I1641" s="248" t="s">
        <v>283</v>
      </c>
      <c r="J1641" s="248"/>
      <c r="K1641" s="248"/>
      <c r="L1641" s="248" t="s">
        <v>485</v>
      </c>
      <c r="M1641" s="248"/>
      <c r="N1641" s="248" t="s">
        <v>978</v>
      </c>
      <c r="O1641" s="248"/>
      <c r="P1641" s="248"/>
      <c r="Q1641" s="248"/>
      <c r="R1641" s="248" t="s">
        <v>669</v>
      </c>
      <c r="S1641" s="248" t="s">
        <v>1492</v>
      </c>
      <c r="T1641" s="251">
        <f t="shared" si="42"/>
        <v>3</v>
      </c>
      <c r="U1641" s="252">
        <f t="shared" si="41"/>
        <v>45716</v>
      </c>
      <c r="V1641" s="276">
        <v>45716</v>
      </c>
      <c r="W1641" s="43">
        <f t="shared" si="38"/>
        <v>2</v>
      </c>
      <c r="X1641" s="43" t="s">
        <v>90</v>
      </c>
      <c r="Y1641" s="43" t="s">
        <v>1479</v>
      </c>
      <c r="Z1641" s="251"/>
      <c r="AA1641" s="251"/>
      <c r="AB1641" s="251"/>
    </row>
    <row r="1642" spans="1:28" hidden="1">
      <c r="A1642" s="163" t="s">
        <v>1017</v>
      </c>
      <c r="B1642" s="164">
        <v>45716</v>
      </c>
      <c r="C1642" s="163" t="s">
        <v>133</v>
      </c>
      <c r="D1642" s="163" t="s">
        <v>281</v>
      </c>
      <c r="E1642" s="163" t="s">
        <v>199</v>
      </c>
      <c r="F1642" s="169">
        <v>-870</v>
      </c>
      <c r="G1642" s="165">
        <f t="shared" si="40"/>
        <v>22795.331000000013</v>
      </c>
      <c r="H1642" s="163"/>
      <c r="I1642" s="163" t="s">
        <v>977</v>
      </c>
      <c r="J1642" s="163"/>
      <c r="K1642" s="163"/>
      <c r="L1642" s="163" t="s">
        <v>1424</v>
      </c>
      <c r="M1642" s="163"/>
      <c r="N1642" s="163" t="s">
        <v>978</v>
      </c>
      <c r="O1642" s="163"/>
      <c r="P1642" s="163"/>
      <c r="Q1642" s="163"/>
      <c r="R1642" s="163" t="s">
        <v>133</v>
      </c>
      <c r="S1642" s="163"/>
      <c r="T1642" s="43">
        <f t="shared" si="42"/>
        <v>2</v>
      </c>
      <c r="U1642" s="167">
        <f t="shared" si="41"/>
        <v>45716</v>
      </c>
      <c r="W1642" s="43">
        <f t="shared" si="38"/>
        <v>2</v>
      </c>
      <c r="X1642" s="49" t="s">
        <v>1480</v>
      </c>
      <c r="Y1642" s="49" t="s">
        <v>94</v>
      </c>
    </row>
    <row r="1643" spans="1:28" hidden="1">
      <c r="A1643" s="163" t="s">
        <v>1017</v>
      </c>
      <c r="B1643" s="164">
        <v>45716</v>
      </c>
      <c r="C1643" s="163" t="s">
        <v>436</v>
      </c>
      <c r="D1643" s="163" t="s">
        <v>281</v>
      </c>
      <c r="E1643" s="163" t="s">
        <v>121</v>
      </c>
      <c r="F1643" s="169">
        <v>-73.5</v>
      </c>
      <c r="G1643" s="165">
        <f t="shared" si="40"/>
        <v>22721.831000000013</v>
      </c>
      <c r="H1643" s="163"/>
      <c r="I1643" s="163" t="s">
        <v>283</v>
      </c>
      <c r="J1643" s="163"/>
      <c r="K1643" s="163"/>
      <c r="L1643" s="163" t="s">
        <v>1062</v>
      </c>
      <c r="M1643" s="163"/>
      <c r="N1643" s="163" t="s">
        <v>978</v>
      </c>
      <c r="O1643" s="163"/>
      <c r="P1643" s="163"/>
      <c r="Q1643" s="163"/>
      <c r="R1643" s="163" t="s">
        <v>436</v>
      </c>
      <c r="S1643" s="163" t="s">
        <v>438</v>
      </c>
      <c r="T1643" s="43">
        <f t="shared" si="42"/>
        <v>2</v>
      </c>
      <c r="U1643" s="167">
        <f t="shared" si="41"/>
        <v>45716</v>
      </c>
      <c r="W1643" s="43">
        <f t="shared" si="38"/>
        <v>2</v>
      </c>
      <c r="X1643" s="49" t="s">
        <v>1498</v>
      </c>
      <c r="Y1643" s="43" t="s">
        <v>1488</v>
      </c>
    </row>
    <row r="1644" spans="1:28" hidden="1">
      <c r="A1644" s="163" t="s">
        <v>1017</v>
      </c>
      <c r="B1644" s="164">
        <v>45716</v>
      </c>
      <c r="C1644" s="163" t="s">
        <v>466</v>
      </c>
      <c r="D1644" s="163" t="s">
        <v>281</v>
      </c>
      <c r="E1644" s="163" t="s">
        <v>121</v>
      </c>
      <c r="F1644" s="169">
        <v>-52.5</v>
      </c>
      <c r="G1644" s="165">
        <f t="shared" si="40"/>
        <v>22669.331000000013</v>
      </c>
      <c r="H1644" s="163"/>
      <c r="I1644" s="163" t="s">
        <v>283</v>
      </c>
      <c r="J1644" s="163"/>
      <c r="K1644" s="163"/>
      <c r="L1644" s="163" t="s">
        <v>366</v>
      </c>
      <c r="M1644" s="163"/>
      <c r="N1644" s="163" t="s">
        <v>978</v>
      </c>
      <c r="O1644" s="163"/>
      <c r="P1644" s="163"/>
      <c r="Q1644" s="163"/>
      <c r="R1644" s="163" t="s">
        <v>466</v>
      </c>
      <c r="S1644" s="163" t="s">
        <v>468</v>
      </c>
      <c r="T1644" s="43">
        <f t="shared" si="42"/>
        <v>2</v>
      </c>
      <c r="U1644" s="167">
        <f t="shared" si="41"/>
        <v>45716</v>
      </c>
      <c r="W1644" s="43">
        <f t="shared" si="38"/>
        <v>2</v>
      </c>
      <c r="X1644" s="49" t="s">
        <v>1498</v>
      </c>
      <c r="Y1644" s="43" t="s">
        <v>26</v>
      </c>
    </row>
    <row r="1645" spans="1:28" hidden="1">
      <c r="A1645" s="163" t="s">
        <v>1017</v>
      </c>
      <c r="B1645" s="164">
        <v>45716</v>
      </c>
      <c r="C1645" s="163" t="s">
        <v>1687</v>
      </c>
      <c r="D1645" s="163" t="s">
        <v>281</v>
      </c>
      <c r="E1645" s="163" t="s">
        <v>121</v>
      </c>
      <c r="F1645" s="169"/>
      <c r="G1645" s="165">
        <f t="shared" si="40"/>
        <v>22669.331000000013</v>
      </c>
      <c r="H1645" s="163"/>
      <c r="I1645" s="163" t="s">
        <v>283</v>
      </c>
      <c r="J1645" s="163"/>
      <c r="K1645" s="163"/>
      <c r="L1645" s="163" t="s">
        <v>366</v>
      </c>
      <c r="M1645" s="163"/>
      <c r="N1645" s="163" t="s">
        <v>978</v>
      </c>
      <c r="O1645" s="163"/>
      <c r="P1645" s="163"/>
      <c r="Q1645" s="163"/>
      <c r="R1645" s="163" t="s">
        <v>466</v>
      </c>
      <c r="S1645" s="163" t="s">
        <v>468</v>
      </c>
      <c r="T1645" s="43">
        <f t="shared" si="42"/>
        <v>2</v>
      </c>
      <c r="U1645" s="167">
        <f t="shared" si="41"/>
        <v>45716</v>
      </c>
      <c r="W1645" s="43">
        <f t="shared" si="38"/>
        <v>2</v>
      </c>
      <c r="X1645" s="49" t="s">
        <v>1498</v>
      </c>
      <c r="Y1645" s="43" t="s">
        <v>26</v>
      </c>
    </row>
    <row r="1646" spans="1:28" hidden="1">
      <c r="A1646" s="163" t="s">
        <v>1017</v>
      </c>
      <c r="B1646" s="164">
        <v>45716</v>
      </c>
      <c r="C1646" s="163" t="s">
        <v>1688</v>
      </c>
      <c r="D1646" s="163" t="s">
        <v>281</v>
      </c>
      <c r="E1646" s="163" t="s">
        <v>121</v>
      </c>
      <c r="F1646" s="169"/>
      <c r="G1646" s="165">
        <f t="shared" si="40"/>
        <v>22669.331000000013</v>
      </c>
      <c r="H1646" s="163"/>
      <c r="I1646" s="163" t="s">
        <v>283</v>
      </c>
      <c r="J1646" s="163"/>
      <c r="K1646" s="163"/>
      <c r="L1646" s="163" t="s">
        <v>366</v>
      </c>
      <c r="M1646" s="163"/>
      <c r="N1646" s="163" t="s">
        <v>978</v>
      </c>
      <c r="O1646" s="163"/>
      <c r="P1646" s="163"/>
      <c r="Q1646" s="163"/>
      <c r="R1646" s="163" t="s">
        <v>466</v>
      </c>
      <c r="S1646" s="163" t="s">
        <v>468</v>
      </c>
      <c r="T1646" s="43">
        <f t="shared" si="42"/>
        <v>2</v>
      </c>
      <c r="U1646" s="167">
        <f t="shared" si="41"/>
        <v>45716</v>
      </c>
      <c r="W1646" s="43">
        <f t="shared" si="38"/>
        <v>2</v>
      </c>
      <c r="X1646" s="49" t="s">
        <v>1498</v>
      </c>
      <c r="Y1646" s="43" t="s">
        <v>26</v>
      </c>
    </row>
    <row r="1647" spans="1:28" hidden="1">
      <c r="A1647" s="163" t="s">
        <v>1017</v>
      </c>
      <c r="B1647" s="164">
        <v>45716</v>
      </c>
      <c r="C1647" s="163" t="s">
        <v>505</v>
      </c>
      <c r="D1647" s="163" t="s">
        <v>281</v>
      </c>
      <c r="E1647" s="163" t="s">
        <v>121</v>
      </c>
      <c r="F1647" s="169"/>
      <c r="G1647" s="165">
        <f t="shared" si="40"/>
        <v>22669.331000000013</v>
      </c>
      <c r="H1647" s="163"/>
      <c r="I1647" s="163" t="s">
        <v>283</v>
      </c>
      <c r="J1647" s="163"/>
      <c r="K1647" s="163"/>
      <c r="L1647" s="163" t="s">
        <v>366</v>
      </c>
      <c r="M1647" s="163"/>
      <c r="N1647" s="163" t="s">
        <v>978</v>
      </c>
      <c r="O1647" s="163"/>
      <c r="P1647" s="163"/>
      <c r="Q1647" s="163"/>
      <c r="R1647" s="163" t="s">
        <v>505</v>
      </c>
      <c r="S1647" s="163" t="s">
        <v>507</v>
      </c>
      <c r="T1647" s="43">
        <f t="shared" si="42"/>
        <v>2</v>
      </c>
      <c r="U1647" s="167">
        <f t="shared" si="41"/>
        <v>45716</v>
      </c>
      <c r="W1647" s="43">
        <f t="shared" ref="W1647:W1901" si="43">MONTH(U1647)</f>
        <v>2</v>
      </c>
      <c r="X1647" s="49" t="s">
        <v>1498</v>
      </c>
      <c r="Y1647" s="43" t="s">
        <v>105</v>
      </c>
    </row>
    <row r="1648" spans="1:28" hidden="1">
      <c r="A1648" s="163" t="s">
        <v>1017</v>
      </c>
      <c r="B1648" s="164">
        <v>45716</v>
      </c>
      <c r="C1648" s="163" t="s">
        <v>1033</v>
      </c>
      <c r="D1648" s="163" t="s">
        <v>281</v>
      </c>
      <c r="E1648" s="163" t="s">
        <v>120</v>
      </c>
      <c r="F1648" s="169">
        <v>-8330.6299999999992</v>
      </c>
      <c r="G1648" s="165">
        <f t="shared" si="40"/>
        <v>14338.701000000014</v>
      </c>
      <c r="H1648" s="163"/>
      <c r="I1648" s="163" t="s">
        <v>342</v>
      </c>
      <c r="J1648" s="163"/>
      <c r="K1648" s="163"/>
      <c r="L1648" s="163" t="s">
        <v>1715</v>
      </c>
      <c r="M1648" s="163"/>
      <c r="N1648" s="163" t="s">
        <v>978</v>
      </c>
      <c r="O1648" s="163"/>
      <c r="P1648" s="163"/>
      <c r="Q1648" s="163"/>
      <c r="R1648" s="163" t="s">
        <v>1035</v>
      </c>
      <c r="S1648" s="163" t="s">
        <v>1036</v>
      </c>
      <c r="T1648" s="43">
        <f t="shared" si="42"/>
        <v>2</v>
      </c>
      <c r="U1648" s="167">
        <f t="shared" si="41"/>
        <v>45716</v>
      </c>
      <c r="W1648" s="43">
        <f t="shared" si="43"/>
        <v>2</v>
      </c>
      <c r="X1648" s="49" t="s">
        <v>1498</v>
      </c>
      <c r="Y1648" s="43" t="s">
        <v>1336</v>
      </c>
    </row>
    <row r="1649" spans="1:28" hidden="1">
      <c r="A1649" s="163" t="s">
        <v>1017</v>
      </c>
      <c r="B1649" s="164">
        <v>45716</v>
      </c>
      <c r="C1649" s="163" t="s">
        <v>484</v>
      </c>
      <c r="D1649" s="163" t="s">
        <v>281</v>
      </c>
      <c r="E1649" s="163" t="s">
        <v>121</v>
      </c>
      <c r="F1649" s="169">
        <v>-74.7</v>
      </c>
      <c r="G1649" s="165">
        <f t="shared" si="40"/>
        <v>14264.001000000013</v>
      </c>
      <c r="H1649" s="163"/>
      <c r="I1649" s="163" t="s">
        <v>283</v>
      </c>
      <c r="J1649" s="163"/>
      <c r="K1649" s="163"/>
      <c r="L1649" s="163" t="s">
        <v>686</v>
      </c>
      <c r="M1649" s="163"/>
      <c r="N1649" s="163" t="s">
        <v>978</v>
      </c>
      <c r="O1649" s="163"/>
      <c r="P1649" s="163"/>
      <c r="Q1649" s="163"/>
      <c r="R1649" s="163" t="s">
        <v>484</v>
      </c>
      <c r="S1649" s="163" t="s">
        <v>487</v>
      </c>
      <c r="T1649" s="43">
        <f t="shared" si="42"/>
        <v>2</v>
      </c>
      <c r="U1649" s="167">
        <f t="shared" si="41"/>
        <v>45716</v>
      </c>
      <c r="W1649" s="43">
        <f t="shared" si="43"/>
        <v>2</v>
      </c>
      <c r="X1649" s="49" t="s">
        <v>1498</v>
      </c>
      <c r="Y1649" s="43" t="s">
        <v>86</v>
      </c>
    </row>
    <row r="1650" spans="1:28" ht="14.25" hidden="1" customHeight="1">
      <c r="A1650" s="180" t="s">
        <v>1017</v>
      </c>
      <c r="B1650" s="181">
        <v>45713</v>
      </c>
      <c r="C1650" s="180" t="s">
        <v>1603</v>
      </c>
      <c r="D1650" s="180" t="s">
        <v>281</v>
      </c>
      <c r="E1650" s="180" t="s">
        <v>193</v>
      </c>
      <c r="F1650" s="169">
        <v>-6000</v>
      </c>
      <c r="G1650" s="165">
        <f t="shared" si="40"/>
        <v>8264.0010000000129</v>
      </c>
      <c r="H1650" s="180"/>
      <c r="I1650" s="180" t="s">
        <v>283</v>
      </c>
      <c r="J1650" s="180"/>
      <c r="K1650" s="180"/>
      <c r="L1650" s="180" t="s">
        <v>305</v>
      </c>
      <c r="M1650" s="180"/>
      <c r="N1650" s="180" t="s">
        <v>978</v>
      </c>
      <c r="O1650" s="180"/>
      <c r="P1650" s="180"/>
      <c r="Q1650" s="180" t="s">
        <v>1067</v>
      </c>
      <c r="R1650" s="180" t="s">
        <v>1087</v>
      </c>
      <c r="S1650" s="180" t="s">
        <v>1089</v>
      </c>
      <c r="T1650" s="189">
        <f t="shared" si="42"/>
        <v>2</v>
      </c>
      <c r="U1650" s="211">
        <f t="shared" si="41"/>
        <v>45716</v>
      </c>
      <c r="V1650" s="261">
        <v>45716</v>
      </c>
      <c r="W1650" s="43">
        <f t="shared" si="43"/>
        <v>2</v>
      </c>
      <c r="X1650" s="43" t="s">
        <v>1552</v>
      </c>
      <c r="Y1650" s="43" t="s">
        <v>26</v>
      </c>
      <c r="Z1650" s="183" t="s">
        <v>1113</v>
      </c>
      <c r="AA1650" s="183" t="s">
        <v>1336</v>
      </c>
      <c r="AB1650" s="183"/>
    </row>
    <row r="1651" spans="1:28" hidden="1">
      <c r="A1651" s="190" t="s">
        <v>1017</v>
      </c>
      <c r="B1651" s="225">
        <v>45716</v>
      </c>
      <c r="C1651" s="190" t="s">
        <v>330</v>
      </c>
      <c r="D1651" s="190" t="s">
        <v>281</v>
      </c>
      <c r="E1651" s="190" t="s">
        <v>330</v>
      </c>
      <c r="F1651" s="185">
        <v>-9.5</v>
      </c>
      <c r="G1651" s="165">
        <f t="shared" si="40"/>
        <v>8254.5010000000129</v>
      </c>
      <c r="H1651" s="190"/>
      <c r="I1651" s="190" t="s">
        <v>342</v>
      </c>
      <c r="J1651" s="190"/>
      <c r="K1651" s="190"/>
      <c r="L1651" s="190" t="s">
        <v>805</v>
      </c>
      <c r="M1651" s="190"/>
      <c r="N1651" s="190" t="s">
        <v>978</v>
      </c>
      <c r="O1651" s="190"/>
      <c r="P1651" s="190"/>
      <c r="Q1651" s="190"/>
      <c r="R1651" s="190" t="s">
        <v>1292</v>
      </c>
      <c r="S1651" s="190" t="s">
        <v>1417</v>
      </c>
      <c r="T1651" s="43">
        <f t="shared" si="42"/>
        <v>2</v>
      </c>
      <c r="U1651" s="167">
        <f t="shared" si="41"/>
        <v>45716</v>
      </c>
      <c r="V1651" s="43"/>
      <c r="W1651" s="43">
        <f t="shared" si="43"/>
        <v>2</v>
      </c>
      <c r="X1651" s="43" t="s">
        <v>1483</v>
      </c>
      <c r="Y1651" s="43" t="s">
        <v>1443</v>
      </c>
      <c r="Z1651" s="43"/>
      <c r="AA1651" s="43"/>
      <c r="AB1651" s="43"/>
    </row>
    <row r="1652" spans="1:28" hidden="1">
      <c r="A1652" s="180" t="s">
        <v>1017</v>
      </c>
      <c r="B1652" s="181">
        <v>45716</v>
      </c>
      <c r="C1652" s="180" t="s">
        <v>1622</v>
      </c>
      <c r="D1652" s="180" t="s">
        <v>281</v>
      </c>
      <c r="E1652" s="180" t="s">
        <v>993</v>
      </c>
      <c r="F1652" s="169">
        <v>-1500</v>
      </c>
      <c r="G1652" s="165">
        <f t="shared" si="40"/>
        <v>6754.5010000000129</v>
      </c>
      <c r="H1652" s="180"/>
      <c r="I1652" s="180" t="s">
        <v>342</v>
      </c>
      <c r="J1652" s="180"/>
      <c r="K1652" s="180"/>
      <c r="L1652" s="180" t="s">
        <v>805</v>
      </c>
      <c r="M1652" s="180"/>
      <c r="N1652" s="180" t="s">
        <v>978</v>
      </c>
      <c r="O1652" s="180"/>
      <c r="P1652" s="180"/>
      <c r="Q1652" s="180"/>
      <c r="R1652" s="180" t="s">
        <v>1292</v>
      </c>
      <c r="S1652" s="180" t="s">
        <v>1417</v>
      </c>
      <c r="T1652" s="183">
        <f t="shared" si="42"/>
        <v>2</v>
      </c>
      <c r="U1652" s="184">
        <f t="shared" si="41"/>
        <v>45716</v>
      </c>
      <c r="V1652" s="183"/>
      <c r="W1652" s="43">
        <f t="shared" si="43"/>
        <v>2</v>
      </c>
      <c r="X1652" s="49" t="s">
        <v>1559</v>
      </c>
      <c r="Y1652" s="49" t="s">
        <v>78</v>
      </c>
      <c r="Z1652" s="183"/>
      <c r="AA1652" s="183"/>
      <c r="AB1652" s="183"/>
    </row>
    <row r="1653" spans="1:28" hidden="1">
      <c r="A1653" s="180" t="s">
        <v>1017</v>
      </c>
      <c r="B1653" s="181">
        <v>45726</v>
      </c>
      <c r="C1653" s="180" t="s">
        <v>1537</v>
      </c>
      <c r="D1653" s="180" t="s">
        <v>281</v>
      </c>
      <c r="E1653" s="180" t="s">
        <v>1538</v>
      </c>
      <c r="F1653" s="169">
        <v>-3000</v>
      </c>
      <c r="G1653" s="165">
        <f t="shared" si="40"/>
        <v>3754.5010000000129</v>
      </c>
      <c r="H1653" s="180"/>
      <c r="I1653" s="180" t="s">
        <v>283</v>
      </c>
      <c r="J1653" s="180"/>
      <c r="K1653" s="180"/>
      <c r="L1653" s="180" t="s">
        <v>485</v>
      </c>
      <c r="M1653" s="180"/>
      <c r="N1653" s="180" t="s">
        <v>978</v>
      </c>
      <c r="O1653" s="180"/>
      <c r="P1653" s="180"/>
      <c r="Q1653" s="180"/>
      <c r="R1653" s="180" t="s">
        <v>1527</v>
      </c>
      <c r="S1653" s="180"/>
      <c r="T1653" s="183">
        <f t="shared" si="42"/>
        <v>3</v>
      </c>
      <c r="U1653" s="184">
        <f t="shared" si="41"/>
        <v>45716</v>
      </c>
      <c r="V1653" s="184">
        <v>45716</v>
      </c>
      <c r="W1653" s="43">
        <f t="shared" si="43"/>
        <v>2</v>
      </c>
      <c r="X1653" s="43" t="s">
        <v>196</v>
      </c>
      <c r="Y1653" s="43" t="s">
        <v>1443</v>
      </c>
      <c r="Z1653" s="183"/>
      <c r="AA1653" s="183"/>
      <c r="AB1653" s="183"/>
    </row>
    <row r="1654" spans="1:28" hidden="1">
      <c r="A1654" s="163"/>
      <c r="B1654" s="164">
        <v>45716</v>
      </c>
      <c r="C1654" s="163" t="s">
        <v>346</v>
      </c>
      <c r="D1654" s="163"/>
      <c r="E1654" s="163"/>
      <c r="F1654" s="165">
        <v>0</v>
      </c>
      <c r="G1654" s="165">
        <f t="shared" si="40"/>
        <v>3754.5010000000129</v>
      </c>
      <c r="H1654" s="163"/>
      <c r="I1654" s="163"/>
      <c r="J1654" s="163"/>
      <c r="K1654" s="163"/>
      <c r="L1654" s="163"/>
      <c r="M1654" s="163"/>
      <c r="N1654" s="163"/>
      <c r="O1654" s="163"/>
      <c r="P1654" s="163"/>
      <c r="Q1654" s="163"/>
      <c r="R1654" s="163"/>
      <c r="S1654" s="163"/>
      <c r="T1654" s="43">
        <f t="shared" si="42"/>
        <v>2</v>
      </c>
      <c r="U1654" s="167">
        <f t="shared" si="41"/>
        <v>45716</v>
      </c>
      <c r="W1654" s="43">
        <f t="shared" si="43"/>
        <v>2</v>
      </c>
    </row>
    <row r="1655" spans="1:28" hidden="1">
      <c r="A1655" s="163" t="s">
        <v>1174</v>
      </c>
      <c r="B1655" s="164">
        <v>45713</v>
      </c>
      <c r="C1655" s="163" t="s">
        <v>1205</v>
      </c>
      <c r="D1655" s="163" t="s">
        <v>281</v>
      </c>
      <c r="E1655" s="163" t="s">
        <v>407</v>
      </c>
      <c r="F1655" s="197">
        <v>1226.8</v>
      </c>
      <c r="G1655" s="165">
        <f t="shared" si="40"/>
        <v>4981.3010000000131</v>
      </c>
      <c r="H1655" s="163"/>
      <c r="I1655" s="163" t="s">
        <v>1176</v>
      </c>
      <c r="J1655" s="163" t="s">
        <v>1206</v>
      </c>
      <c r="K1655" s="163"/>
      <c r="L1655" s="163" t="s">
        <v>305</v>
      </c>
      <c r="M1655" s="163"/>
      <c r="N1655" s="163" t="s">
        <v>1178</v>
      </c>
      <c r="O1655" s="163" t="s">
        <v>1206</v>
      </c>
      <c r="P1655" s="163" t="s">
        <v>351</v>
      </c>
      <c r="Q1655" s="163"/>
      <c r="R1655" s="163" t="s">
        <v>1207</v>
      </c>
      <c r="S1655" s="163" t="s">
        <v>1208</v>
      </c>
      <c r="T1655" s="43">
        <f t="shared" si="42"/>
        <v>2</v>
      </c>
      <c r="U1655" s="167">
        <f t="shared" si="41"/>
        <v>45720</v>
      </c>
      <c r="V1655" s="145">
        <v>45720</v>
      </c>
      <c r="W1655" s="43">
        <f t="shared" si="43"/>
        <v>3</v>
      </c>
      <c r="X1655" s="43" t="s">
        <v>1484</v>
      </c>
      <c r="Y1655" s="43" t="s">
        <v>1485</v>
      </c>
    </row>
    <row r="1656" spans="1:28" hidden="1">
      <c r="A1656" s="163"/>
      <c r="B1656" s="164">
        <v>45716</v>
      </c>
      <c r="C1656" s="163" t="s">
        <v>346</v>
      </c>
      <c r="D1656" s="163"/>
      <c r="E1656" s="163"/>
      <c r="F1656" s="165">
        <v>0</v>
      </c>
      <c r="G1656" s="165">
        <f t="shared" si="40"/>
        <v>4981.3010000000131</v>
      </c>
      <c r="H1656" s="163"/>
      <c r="I1656" s="163"/>
      <c r="J1656" s="163"/>
      <c r="K1656" s="163"/>
      <c r="L1656" s="163"/>
      <c r="M1656" s="163"/>
      <c r="N1656" s="163"/>
      <c r="O1656" s="163"/>
      <c r="P1656" s="163"/>
      <c r="Q1656" s="163"/>
      <c r="R1656" s="163"/>
      <c r="S1656" s="163"/>
      <c r="T1656" s="43">
        <f t="shared" si="42"/>
        <v>2</v>
      </c>
      <c r="U1656" s="167">
        <f t="shared" si="41"/>
        <v>45720</v>
      </c>
      <c r="V1656" s="145">
        <v>45720</v>
      </c>
      <c r="W1656" s="43">
        <f t="shared" si="43"/>
        <v>3</v>
      </c>
    </row>
    <row r="1657" spans="1:28" hidden="1">
      <c r="A1657" s="180" t="s">
        <v>1017</v>
      </c>
      <c r="B1657" s="181">
        <v>45721</v>
      </c>
      <c r="C1657" s="180" t="s">
        <v>1087</v>
      </c>
      <c r="D1657" s="180" t="s">
        <v>281</v>
      </c>
      <c r="E1657" s="180" t="s">
        <v>1381</v>
      </c>
      <c r="F1657" s="182">
        <v>-1000</v>
      </c>
      <c r="G1657" s="165">
        <f t="shared" si="40"/>
        <v>3981.3010000000131</v>
      </c>
      <c r="H1657" s="180"/>
      <c r="I1657" s="180" t="s">
        <v>283</v>
      </c>
      <c r="J1657" s="180"/>
      <c r="K1657" s="180"/>
      <c r="L1657" s="180" t="s">
        <v>485</v>
      </c>
      <c r="M1657" s="180"/>
      <c r="N1657" s="180" t="s">
        <v>978</v>
      </c>
      <c r="O1657" s="180"/>
      <c r="P1657" s="180"/>
      <c r="Q1657" s="180"/>
      <c r="R1657" s="180" t="s">
        <v>669</v>
      </c>
      <c r="S1657" s="180" t="s">
        <v>1492</v>
      </c>
      <c r="T1657" s="183">
        <f t="shared" si="42"/>
        <v>3</v>
      </c>
      <c r="U1657" s="184">
        <f t="shared" si="41"/>
        <v>45721</v>
      </c>
      <c r="V1657" s="145">
        <v>45721</v>
      </c>
      <c r="W1657" s="43">
        <f t="shared" si="43"/>
        <v>3</v>
      </c>
      <c r="X1657" s="183" t="s">
        <v>1381</v>
      </c>
      <c r="Y1657" s="183" t="s">
        <v>1479</v>
      </c>
      <c r="Z1657" s="183"/>
      <c r="AA1657" s="183"/>
      <c r="AB1657" s="183"/>
    </row>
    <row r="1658" spans="1:28" hidden="1">
      <c r="A1658" s="190" t="s">
        <v>1017</v>
      </c>
      <c r="B1658" s="164">
        <v>45721</v>
      </c>
      <c r="C1658" s="190" t="s">
        <v>330</v>
      </c>
      <c r="D1658" s="190" t="s">
        <v>281</v>
      </c>
      <c r="E1658" s="190" t="s">
        <v>330</v>
      </c>
      <c r="F1658" s="185">
        <v>-0.5</v>
      </c>
      <c r="G1658" s="165">
        <f t="shared" si="40"/>
        <v>3980.8010000000131</v>
      </c>
      <c r="H1658" s="190"/>
      <c r="I1658" s="190" t="s">
        <v>342</v>
      </c>
      <c r="J1658" s="190"/>
      <c r="K1658" s="190"/>
      <c r="L1658" s="190" t="s">
        <v>805</v>
      </c>
      <c r="M1658" s="190"/>
      <c r="N1658" s="190" t="s">
        <v>978</v>
      </c>
      <c r="O1658" s="190"/>
      <c r="P1658" s="190"/>
      <c r="Q1658" s="190"/>
      <c r="R1658" s="190" t="s">
        <v>1292</v>
      </c>
      <c r="S1658" s="190" t="s">
        <v>1417</v>
      </c>
      <c r="T1658" s="43">
        <f t="shared" si="42"/>
        <v>3</v>
      </c>
      <c r="U1658" s="167">
        <f t="shared" si="41"/>
        <v>45721</v>
      </c>
      <c r="V1658" s="43"/>
      <c r="W1658" s="43">
        <f t="shared" si="43"/>
        <v>3</v>
      </c>
      <c r="X1658" s="43" t="s">
        <v>1483</v>
      </c>
      <c r="Y1658" s="43" t="s">
        <v>1443</v>
      </c>
      <c r="Z1658" s="43"/>
      <c r="AA1658" s="43"/>
      <c r="AB1658" s="43"/>
    </row>
    <row r="1659" spans="1:28" hidden="1">
      <c r="A1659" s="163"/>
      <c r="B1659" s="164">
        <v>45716</v>
      </c>
      <c r="C1659" s="163" t="s">
        <v>346</v>
      </c>
      <c r="D1659" s="163"/>
      <c r="E1659" s="163"/>
      <c r="F1659" s="165">
        <v>0</v>
      </c>
      <c r="G1659" s="165">
        <f t="shared" si="40"/>
        <v>3980.8010000000131</v>
      </c>
      <c r="H1659" s="163"/>
      <c r="I1659" s="163"/>
      <c r="J1659" s="163"/>
      <c r="K1659" s="163"/>
      <c r="L1659" s="163"/>
      <c r="M1659" s="163"/>
      <c r="N1659" s="163"/>
      <c r="O1659" s="163"/>
      <c r="P1659" s="163"/>
      <c r="Q1659" s="163"/>
      <c r="R1659" s="163"/>
      <c r="S1659" s="163"/>
      <c r="T1659" s="43">
        <f t="shared" si="42"/>
        <v>2</v>
      </c>
      <c r="U1659" s="167">
        <f t="shared" si="41"/>
        <v>45721</v>
      </c>
      <c r="V1659" s="145">
        <v>45721</v>
      </c>
      <c r="W1659" s="43">
        <f t="shared" si="43"/>
        <v>3</v>
      </c>
    </row>
    <row r="1660" spans="1:28" hidden="1">
      <c r="A1660" s="180" t="s">
        <v>1174</v>
      </c>
      <c r="B1660" s="181">
        <v>45713</v>
      </c>
      <c r="C1660" s="180" t="s">
        <v>1602</v>
      </c>
      <c r="D1660" s="180" t="s">
        <v>281</v>
      </c>
      <c r="E1660" s="180" t="s">
        <v>407</v>
      </c>
      <c r="F1660" s="224">
        <v>1943.06</v>
      </c>
      <c r="G1660" s="165">
        <f t="shared" si="40"/>
        <v>5923.8610000000135</v>
      </c>
      <c r="H1660" s="180"/>
      <c r="I1660" s="180" t="s">
        <v>1176</v>
      </c>
      <c r="J1660" s="180" t="s">
        <v>1459</v>
      </c>
      <c r="K1660" s="180"/>
      <c r="L1660" s="180" t="s">
        <v>305</v>
      </c>
      <c r="M1660" s="180"/>
      <c r="N1660" s="180" t="s">
        <v>1178</v>
      </c>
      <c r="O1660" s="180" t="s">
        <v>1459</v>
      </c>
      <c r="P1660" s="180" t="s">
        <v>57</v>
      </c>
      <c r="Q1660" s="180"/>
      <c r="R1660" s="180" t="s">
        <v>1245</v>
      </c>
      <c r="S1660" s="180" t="s">
        <v>1246</v>
      </c>
      <c r="T1660" s="183">
        <f t="shared" si="42"/>
        <v>2</v>
      </c>
      <c r="U1660" s="184">
        <f t="shared" si="41"/>
        <v>45722</v>
      </c>
      <c r="V1660" s="145">
        <v>45722</v>
      </c>
      <c r="W1660" s="43">
        <f t="shared" si="43"/>
        <v>3</v>
      </c>
      <c r="X1660" s="43" t="s">
        <v>1484</v>
      </c>
      <c r="Y1660" s="43" t="s">
        <v>1485</v>
      </c>
      <c r="Z1660" s="183"/>
      <c r="AA1660" s="183"/>
      <c r="AB1660" s="183"/>
    </row>
    <row r="1661" spans="1:28" hidden="1">
      <c r="A1661" s="163" t="s">
        <v>1017</v>
      </c>
      <c r="B1661" s="164">
        <v>45722</v>
      </c>
      <c r="C1661" s="163" t="s">
        <v>1687</v>
      </c>
      <c r="D1661" s="163" t="s">
        <v>281</v>
      </c>
      <c r="E1661" s="163" t="s">
        <v>18</v>
      </c>
      <c r="F1661" s="185"/>
      <c r="G1661" s="165">
        <f t="shared" si="40"/>
        <v>5923.8610000000135</v>
      </c>
      <c r="H1661" s="163"/>
      <c r="I1661" s="163" t="s">
        <v>283</v>
      </c>
      <c r="J1661" s="163"/>
      <c r="K1661" s="163"/>
      <c r="L1661" s="163" t="s">
        <v>1571</v>
      </c>
      <c r="M1661" s="163"/>
      <c r="N1661" s="163" t="s">
        <v>978</v>
      </c>
      <c r="O1661" s="163"/>
      <c r="P1661" s="163"/>
      <c r="Q1661" s="163"/>
      <c r="R1661" s="163" t="s">
        <v>457</v>
      </c>
      <c r="S1661" s="163" t="s">
        <v>459</v>
      </c>
      <c r="T1661" s="43">
        <f t="shared" si="42"/>
        <v>3</v>
      </c>
      <c r="U1661" s="167">
        <f t="shared" si="41"/>
        <v>45722</v>
      </c>
      <c r="W1661" s="43">
        <f t="shared" si="43"/>
        <v>3</v>
      </c>
      <c r="X1661" s="49" t="s">
        <v>1499</v>
      </c>
      <c r="Y1661" s="49" t="s">
        <v>26</v>
      </c>
    </row>
    <row r="1662" spans="1:28" hidden="1">
      <c r="A1662" s="163" t="s">
        <v>1017</v>
      </c>
      <c r="B1662" s="164">
        <v>45722</v>
      </c>
      <c r="C1662" s="163" t="s">
        <v>1688</v>
      </c>
      <c r="D1662" s="163" t="s">
        <v>281</v>
      </c>
      <c r="E1662" s="163" t="s">
        <v>18</v>
      </c>
      <c r="F1662" s="185"/>
      <c r="G1662" s="165">
        <f t="shared" si="40"/>
        <v>5923.8610000000135</v>
      </c>
      <c r="H1662" s="163"/>
      <c r="I1662" s="163" t="s">
        <v>283</v>
      </c>
      <c r="J1662" s="163"/>
      <c r="K1662" s="163"/>
      <c r="L1662" s="163" t="s">
        <v>1571</v>
      </c>
      <c r="M1662" s="163"/>
      <c r="N1662" s="163" t="s">
        <v>978</v>
      </c>
      <c r="O1662" s="163"/>
      <c r="P1662" s="163"/>
      <c r="Q1662" s="163"/>
      <c r="R1662" s="163" t="s">
        <v>457</v>
      </c>
      <c r="S1662" s="163" t="s">
        <v>459</v>
      </c>
      <c r="T1662" s="43">
        <f t="shared" si="42"/>
        <v>3</v>
      </c>
      <c r="U1662" s="167">
        <f t="shared" si="41"/>
        <v>45722</v>
      </c>
      <c r="W1662" s="43">
        <f t="shared" si="43"/>
        <v>3</v>
      </c>
      <c r="X1662" s="49" t="s">
        <v>1499</v>
      </c>
      <c r="Y1662" s="49" t="s">
        <v>26</v>
      </c>
    </row>
    <row r="1663" spans="1:28" ht="14.25" hidden="1" customHeight="1">
      <c r="A1663" s="180" t="s">
        <v>1017</v>
      </c>
      <c r="B1663" s="181">
        <v>45722</v>
      </c>
      <c r="C1663" s="180" t="s">
        <v>1716</v>
      </c>
      <c r="D1663" s="180" t="s">
        <v>281</v>
      </c>
      <c r="E1663" s="180" t="s">
        <v>282</v>
      </c>
      <c r="F1663" s="275">
        <v>84000</v>
      </c>
      <c r="G1663" s="165">
        <f t="shared" si="40"/>
        <v>89923.861000000019</v>
      </c>
      <c r="H1663" s="180"/>
      <c r="I1663" s="180" t="s">
        <v>977</v>
      </c>
      <c r="J1663" s="180"/>
      <c r="K1663" s="180"/>
      <c r="L1663" s="180" t="s">
        <v>366</v>
      </c>
      <c r="M1663" s="180"/>
      <c r="N1663" s="180" t="s">
        <v>978</v>
      </c>
      <c r="O1663" s="180"/>
      <c r="P1663" s="180"/>
      <c r="Q1663" s="180"/>
      <c r="R1663" s="180" t="s">
        <v>990</v>
      </c>
      <c r="S1663" s="180" t="s">
        <v>991</v>
      </c>
      <c r="T1663" s="183">
        <f t="shared" si="42"/>
        <v>3</v>
      </c>
      <c r="U1663" s="184">
        <f t="shared" si="41"/>
        <v>45722</v>
      </c>
      <c r="V1663" s="272"/>
      <c r="W1663" s="43">
        <f t="shared" si="43"/>
        <v>3</v>
      </c>
      <c r="X1663" s="183" t="s">
        <v>282</v>
      </c>
      <c r="Y1663" s="183" t="s">
        <v>1443</v>
      </c>
      <c r="Z1663" s="183" t="s">
        <v>1113</v>
      </c>
      <c r="AA1663" s="183" t="s">
        <v>1113</v>
      </c>
      <c r="AB1663" s="183"/>
    </row>
    <row r="1664" spans="1:28" hidden="1">
      <c r="A1664" s="163" t="s">
        <v>1017</v>
      </c>
      <c r="B1664" s="164">
        <v>45722</v>
      </c>
      <c r="C1664" s="163" t="s">
        <v>552</v>
      </c>
      <c r="D1664" s="163" t="s">
        <v>281</v>
      </c>
      <c r="E1664" s="163" t="s">
        <v>199</v>
      </c>
      <c r="F1664" s="226">
        <v>-251.1</v>
      </c>
      <c r="G1664" s="165">
        <f t="shared" si="40"/>
        <v>89672.761000000013</v>
      </c>
      <c r="H1664" s="163"/>
      <c r="I1664" s="163" t="s">
        <v>342</v>
      </c>
      <c r="J1664" s="163"/>
      <c r="K1664" s="163"/>
      <c r="L1664" s="163" t="s">
        <v>1571</v>
      </c>
      <c r="M1664" s="163"/>
      <c r="N1664" s="163" t="s">
        <v>978</v>
      </c>
      <c r="O1664" s="163"/>
      <c r="P1664" s="163"/>
      <c r="Q1664" s="163"/>
      <c r="R1664" s="163" t="s">
        <v>128</v>
      </c>
      <c r="S1664" s="163" t="s">
        <v>554</v>
      </c>
      <c r="T1664" s="43">
        <f t="shared" si="42"/>
        <v>3</v>
      </c>
      <c r="U1664" s="167">
        <f t="shared" si="41"/>
        <v>45722</v>
      </c>
      <c r="W1664" s="43">
        <f t="shared" si="43"/>
        <v>3</v>
      </c>
      <c r="X1664" s="49" t="s">
        <v>1480</v>
      </c>
      <c r="Y1664" s="49" t="s">
        <v>1443</v>
      </c>
    </row>
    <row r="1665" spans="1:28" hidden="1">
      <c r="A1665" s="163" t="s">
        <v>1017</v>
      </c>
      <c r="B1665" s="164">
        <v>45722</v>
      </c>
      <c r="C1665" s="163" t="s">
        <v>476</v>
      </c>
      <c r="D1665" s="163" t="s">
        <v>281</v>
      </c>
      <c r="E1665" s="163" t="s">
        <v>196</v>
      </c>
      <c r="F1665" s="185"/>
      <c r="G1665" s="165">
        <f t="shared" si="40"/>
        <v>89672.761000000013</v>
      </c>
      <c r="H1665" s="163"/>
      <c r="I1665" s="163" t="s">
        <v>283</v>
      </c>
      <c r="J1665" s="163"/>
      <c r="K1665" s="163"/>
      <c r="L1665" s="163" t="s">
        <v>1030</v>
      </c>
      <c r="M1665" s="163"/>
      <c r="N1665" s="163" t="s">
        <v>978</v>
      </c>
      <c r="O1665" s="163"/>
      <c r="P1665" s="163"/>
      <c r="Q1665" s="163"/>
      <c r="R1665" s="163" t="s">
        <v>479</v>
      </c>
      <c r="S1665" s="163" t="s">
        <v>480</v>
      </c>
      <c r="T1665" s="43">
        <f t="shared" si="42"/>
        <v>3</v>
      </c>
      <c r="U1665" s="167">
        <f t="shared" si="41"/>
        <v>45722</v>
      </c>
      <c r="W1665" s="43">
        <f t="shared" si="43"/>
        <v>3</v>
      </c>
      <c r="X1665" s="43" t="s">
        <v>196</v>
      </c>
      <c r="Y1665" s="43" t="s">
        <v>1443</v>
      </c>
    </row>
    <row r="1666" spans="1:28" hidden="1">
      <c r="A1666" s="180" t="s">
        <v>1017</v>
      </c>
      <c r="B1666" s="181">
        <v>45719</v>
      </c>
      <c r="C1666" s="180" t="s">
        <v>1010</v>
      </c>
      <c r="D1666" s="180" t="s">
        <v>281</v>
      </c>
      <c r="E1666" s="180" t="s">
        <v>199</v>
      </c>
      <c r="F1666" s="226">
        <v>-2000</v>
      </c>
      <c r="G1666" s="165">
        <f t="shared" si="40"/>
        <v>87672.761000000013</v>
      </c>
      <c r="H1666" s="180"/>
      <c r="I1666" s="180" t="s">
        <v>283</v>
      </c>
      <c r="J1666" s="180"/>
      <c r="K1666" s="180"/>
      <c r="L1666" s="180" t="s">
        <v>485</v>
      </c>
      <c r="M1666" s="180"/>
      <c r="N1666" s="180" t="s">
        <v>978</v>
      </c>
      <c r="O1666" s="180"/>
      <c r="P1666" s="180"/>
      <c r="Q1666" s="180"/>
      <c r="R1666" s="180" t="s">
        <v>669</v>
      </c>
      <c r="S1666" s="180" t="s">
        <v>1492</v>
      </c>
      <c r="T1666" s="183">
        <f t="shared" si="42"/>
        <v>3</v>
      </c>
      <c r="U1666" s="184">
        <f t="shared" si="41"/>
        <v>45722</v>
      </c>
      <c r="V1666" s="145">
        <v>45722</v>
      </c>
      <c r="W1666" s="43">
        <f t="shared" si="43"/>
        <v>3</v>
      </c>
      <c r="X1666" s="206" t="s">
        <v>1478</v>
      </c>
      <c r="Y1666" s="206" t="s">
        <v>26</v>
      </c>
      <c r="Z1666" s="183"/>
      <c r="AA1666" s="183"/>
      <c r="AB1666" s="183"/>
    </row>
    <row r="1667" spans="1:28" hidden="1">
      <c r="A1667" s="180" t="s">
        <v>1017</v>
      </c>
      <c r="B1667" s="181">
        <v>45721</v>
      </c>
      <c r="C1667" s="180" t="s">
        <v>1008</v>
      </c>
      <c r="D1667" s="180" t="s">
        <v>281</v>
      </c>
      <c r="E1667" s="180" t="s">
        <v>199</v>
      </c>
      <c r="F1667" s="226">
        <v>-3000</v>
      </c>
      <c r="G1667" s="165">
        <f t="shared" si="40"/>
        <v>84672.761000000013</v>
      </c>
      <c r="H1667" s="180"/>
      <c r="I1667" s="180" t="s">
        <v>283</v>
      </c>
      <c r="J1667" s="180"/>
      <c r="K1667" s="180"/>
      <c r="L1667" s="180" t="s">
        <v>485</v>
      </c>
      <c r="M1667" s="180"/>
      <c r="N1667" s="180" t="s">
        <v>978</v>
      </c>
      <c r="O1667" s="180"/>
      <c r="P1667" s="180"/>
      <c r="Q1667" s="180"/>
      <c r="R1667" s="180" t="s">
        <v>669</v>
      </c>
      <c r="S1667" s="180" t="s">
        <v>1492</v>
      </c>
      <c r="T1667" s="183">
        <f t="shared" si="42"/>
        <v>3</v>
      </c>
      <c r="U1667" s="184">
        <f t="shared" si="41"/>
        <v>45722</v>
      </c>
      <c r="V1667" s="145">
        <v>45722</v>
      </c>
      <c r="W1667" s="43">
        <f t="shared" si="43"/>
        <v>3</v>
      </c>
      <c r="X1667" s="206" t="s">
        <v>1478</v>
      </c>
      <c r="Y1667" s="206" t="s">
        <v>26</v>
      </c>
      <c r="Z1667" s="183"/>
      <c r="AA1667" s="183"/>
      <c r="AB1667" s="183"/>
    </row>
    <row r="1668" spans="1:28" hidden="1">
      <c r="A1668" s="163" t="s">
        <v>1017</v>
      </c>
      <c r="B1668" s="164">
        <v>45716</v>
      </c>
      <c r="C1668" s="163" t="s">
        <v>1305</v>
      </c>
      <c r="D1668" s="163" t="s">
        <v>281</v>
      </c>
      <c r="E1668" s="163" t="s">
        <v>199</v>
      </c>
      <c r="F1668" s="226">
        <v>-3000</v>
      </c>
      <c r="G1668" s="165">
        <f t="shared" si="40"/>
        <v>81672.761000000013</v>
      </c>
      <c r="H1668" s="163"/>
      <c r="I1668" s="163" t="s">
        <v>342</v>
      </c>
      <c r="J1668" s="163"/>
      <c r="K1668" s="163"/>
      <c r="L1668" s="163" t="s">
        <v>1717</v>
      </c>
      <c r="M1668" s="163"/>
      <c r="N1668" s="163" t="s">
        <v>978</v>
      </c>
      <c r="O1668" s="163"/>
      <c r="P1668" s="163"/>
      <c r="Q1668" s="163"/>
      <c r="R1668" s="163" t="s">
        <v>1305</v>
      </c>
      <c r="S1668" s="163" t="s">
        <v>1306</v>
      </c>
      <c r="T1668" s="43">
        <f t="shared" si="42"/>
        <v>2</v>
      </c>
      <c r="U1668" s="167">
        <f t="shared" si="41"/>
        <v>45722</v>
      </c>
      <c r="V1668" s="145">
        <v>45722</v>
      </c>
      <c r="W1668" s="43">
        <f t="shared" si="43"/>
        <v>3</v>
      </c>
      <c r="X1668" s="49" t="s">
        <v>1480</v>
      </c>
      <c r="Y1668" s="49" t="s">
        <v>26</v>
      </c>
    </row>
    <row r="1669" spans="1:28" hidden="1">
      <c r="A1669" s="163" t="s">
        <v>1174</v>
      </c>
      <c r="B1669" s="164">
        <v>45721</v>
      </c>
      <c r="C1669" s="163" t="s">
        <v>421</v>
      </c>
      <c r="D1669" s="163" t="s">
        <v>281</v>
      </c>
      <c r="E1669" s="163" t="s">
        <v>407</v>
      </c>
      <c r="F1669" s="191"/>
      <c r="G1669" s="165">
        <f t="shared" si="40"/>
        <v>81672.761000000013</v>
      </c>
      <c r="H1669" s="163"/>
      <c r="I1669" s="163" t="s">
        <v>1176</v>
      </c>
      <c r="J1669" s="163" t="s">
        <v>1315</v>
      </c>
      <c r="K1669" s="163"/>
      <c r="L1669" s="163" t="s">
        <v>305</v>
      </c>
      <c r="M1669" s="163"/>
      <c r="N1669" s="163" t="s">
        <v>1178</v>
      </c>
      <c r="O1669" s="163" t="s">
        <v>1315</v>
      </c>
      <c r="P1669" s="163" t="s">
        <v>57</v>
      </c>
      <c r="Q1669" s="163"/>
      <c r="R1669" s="163" t="s">
        <v>426</v>
      </c>
      <c r="S1669" s="163" t="s">
        <v>427</v>
      </c>
      <c r="T1669" s="43">
        <f t="shared" si="42"/>
        <v>3</v>
      </c>
      <c r="U1669" s="167">
        <f t="shared" si="41"/>
        <v>45722</v>
      </c>
      <c r="V1669" s="145">
        <v>45722</v>
      </c>
      <c r="W1669" s="43">
        <f t="shared" si="43"/>
        <v>3</v>
      </c>
      <c r="X1669" s="43" t="s">
        <v>1484</v>
      </c>
      <c r="Y1669" s="43" t="s">
        <v>1485</v>
      </c>
    </row>
    <row r="1670" spans="1:28" hidden="1">
      <c r="A1670" s="163" t="s">
        <v>1174</v>
      </c>
      <c r="B1670" s="164">
        <v>45721</v>
      </c>
      <c r="C1670" s="163" t="s">
        <v>1505</v>
      </c>
      <c r="D1670" s="163" t="s">
        <v>281</v>
      </c>
      <c r="E1670" s="163" t="s">
        <v>289</v>
      </c>
      <c r="F1670" s="191"/>
      <c r="G1670" s="165">
        <f t="shared" si="40"/>
        <v>81672.761000000013</v>
      </c>
      <c r="H1670" s="163"/>
      <c r="I1670" s="163" t="s">
        <v>1176</v>
      </c>
      <c r="J1670" s="163" t="s">
        <v>1506</v>
      </c>
      <c r="K1670" s="163"/>
      <c r="L1670" s="163" t="s">
        <v>305</v>
      </c>
      <c r="M1670" s="163"/>
      <c r="N1670" s="163" t="s">
        <v>1178</v>
      </c>
      <c r="O1670" s="163" t="s">
        <v>1506</v>
      </c>
      <c r="P1670" s="163"/>
      <c r="Q1670" s="163"/>
      <c r="R1670" s="163" t="s">
        <v>1507</v>
      </c>
      <c r="S1670" s="163" t="s">
        <v>1508</v>
      </c>
      <c r="T1670" s="43">
        <f t="shared" si="42"/>
        <v>3</v>
      </c>
      <c r="U1670" s="167">
        <f t="shared" si="41"/>
        <v>45722</v>
      </c>
      <c r="V1670" s="145">
        <v>45722</v>
      </c>
      <c r="W1670" s="43">
        <f t="shared" si="43"/>
        <v>3</v>
      </c>
      <c r="X1670" s="49" t="s">
        <v>1484</v>
      </c>
      <c r="Y1670" s="49" t="s">
        <v>78</v>
      </c>
    </row>
    <row r="1671" spans="1:28" hidden="1">
      <c r="A1671" s="163" t="s">
        <v>1017</v>
      </c>
      <c r="B1671" s="164">
        <v>45721</v>
      </c>
      <c r="C1671" s="163" t="s">
        <v>396</v>
      </c>
      <c r="D1671" s="163" t="s">
        <v>281</v>
      </c>
      <c r="E1671" s="163" t="s">
        <v>196</v>
      </c>
      <c r="F1671" s="226">
        <v>-9542.2199999999993</v>
      </c>
      <c r="G1671" s="165">
        <f t="shared" si="40"/>
        <v>72130.541000000012</v>
      </c>
      <c r="H1671" s="163"/>
      <c r="I1671" s="163" t="s">
        <v>342</v>
      </c>
      <c r="J1671" s="163"/>
      <c r="K1671" s="163"/>
      <c r="L1671" s="163" t="s">
        <v>1571</v>
      </c>
      <c r="M1671" s="163"/>
      <c r="N1671" s="163" t="s">
        <v>978</v>
      </c>
      <c r="O1671" s="163"/>
      <c r="P1671" s="163"/>
      <c r="Q1671" s="163"/>
      <c r="R1671" s="163" t="s">
        <v>396</v>
      </c>
      <c r="S1671" s="163" t="s">
        <v>398</v>
      </c>
      <c r="T1671" s="43">
        <f t="shared" si="42"/>
        <v>3</v>
      </c>
      <c r="U1671" s="167">
        <f t="shared" si="41"/>
        <v>45722</v>
      </c>
      <c r="V1671" s="145">
        <v>45722</v>
      </c>
      <c r="W1671" s="43">
        <f t="shared" si="43"/>
        <v>3</v>
      </c>
      <c r="X1671" s="43" t="s">
        <v>196</v>
      </c>
      <c r="Y1671" s="43" t="s">
        <v>1443</v>
      </c>
    </row>
    <row r="1672" spans="1:28" hidden="1">
      <c r="A1672" s="163" t="s">
        <v>1017</v>
      </c>
      <c r="B1672" s="164">
        <v>45721</v>
      </c>
      <c r="C1672" s="163" t="s">
        <v>391</v>
      </c>
      <c r="D1672" s="163" t="s">
        <v>281</v>
      </c>
      <c r="E1672" s="163" t="s">
        <v>392</v>
      </c>
      <c r="F1672" s="226">
        <v>-5000</v>
      </c>
      <c r="G1672" s="165">
        <f t="shared" si="40"/>
        <v>67130.541000000012</v>
      </c>
      <c r="H1672" s="163"/>
      <c r="I1672" s="163" t="s">
        <v>994</v>
      </c>
      <c r="J1672" s="163"/>
      <c r="K1672" s="163"/>
      <c r="L1672" s="163" t="s">
        <v>1571</v>
      </c>
      <c r="M1672" s="163"/>
      <c r="N1672" s="163" t="s">
        <v>978</v>
      </c>
      <c r="O1672" s="163"/>
      <c r="P1672" s="163"/>
      <c r="Q1672" s="163"/>
      <c r="R1672" s="163" t="s">
        <v>394</v>
      </c>
      <c r="S1672" s="163" t="s">
        <v>395</v>
      </c>
      <c r="T1672" s="43">
        <f t="shared" si="42"/>
        <v>3</v>
      </c>
      <c r="U1672" s="167">
        <f t="shared" si="41"/>
        <v>45722</v>
      </c>
      <c r="V1672" s="145">
        <v>45722</v>
      </c>
      <c r="W1672" s="43">
        <f t="shared" si="43"/>
        <v>3</v>
      </c>
      <c r="X1672" s="49" t="s">
        <v>392</v>
      </c>
      <c r="Y1672" s="49" t="s">
        <v>1443</v>
      </c>
    </row>
    <row r="1673" spans="1:28" hidden="1">
      <c r="A1673" s="163" t="s">
        <v>1017</v>
      </c>
      <c r="B1673" s="164">
        <v>45721</v>
      </c>
      <c r="C1673" s="163" t="s">
        <v>365</v>
      </c>
      <c r="D1673" s="163" t="s">
        <v>281</v>
      </c>
      <c r="E1673" s="163" t="s">
        <v>199</v>
      </c>
      <c r="F1673" s="185"/>
      <c r="G1673" s="165">
        <f t="shared" si="40"/>
        <v>67130.541000000012</v>
      </c>
      <c r="H1673" s="163"/>
      <c r="I1673" s="163" t="s">
        <v>342</v>
      </c>
      <c r="J1673" s="163"/>
      <c r="K1673" s="163"/>
      <c r="L1673" s="163" t="s">
        <v>1571</v>
      </c>
      <c r="M1673" s="163"/>
      <c r="N1673" s="163" t="s">
        <v>978</v>
      </c>
      <c r="O1673" s="163"/>
      <c r="P1673" s="163"/>
      <c r="Q1673" s="163"/>
      <c r="R1673" s="163" t="s">
        <v>368</v>
      </c>
      <c r="S1673" s="163" t="s">
        <v>369</v>
      </c>
      <c r="T1673" s="43">
        <f t="shared" si="42"/>
        <v>3</v>
      </c>
      <c r="U1673" s="167">
        <f t="shared" si="41"/>
        <v>45722</v>
      </c>
      <c r="V1673" s="145">
        <v>45722</v>
      </c>
      <c r="W1673" s="43">
        <f t="shared" si="43"/>
        <v>3</v>
      </c>
      <c r="X1673" s="49" t="s">
        <v>1480</v>
      </c>
      <c r="Y1673" s="49" t="s">
        <v>1488</v>
      </c>
    </row>
    <row r="1674" spans="1:28" hidden="1">
      <c r="A1674" s="163" t="s">
        <v>1017</v>
      </c>
      <c r="B1674" s="164">
        <v>45721</v>
      </c>
      <c r="C1674" s="163" t="s">
        <v>1295</v>
      </c>
      <c r="D1674" s="163" t="s">
        <v>281</v>
      </c>
      <c r="E1674" s="163" t="s">
        <v>199</v>
      </c>
      <c r="F1674" s="226">
        <v>-880</v>
      </c>
      <c r="G1674" s="165">
        <f t="shared" si="40"/>
        <v>66250.541000000012</v>
      </c>
      <c r="H1674" s="163"/>
      <c r="I1674" s="163" t="s">
        <v>342</v>
      </c>
      <c r="J1674" s="163"/>
      <c r="K1674" s="163"/>
      <c r="L1674" s="163" t="s">
        <v>766</v>
      </c>
      <c r="M1674" s="163"/>
      <c r="N1674" s="163" t="s">
        <v>978</v>
      </c>
      <c r="O1674" s="163"/>
      <c r="P1674" s="163"/>
      <c r="Q1674" s="163"/>
      <c r="R1674" s="163" t="s">
        <v>1295</v>
      </c>
      <c r="S1674" s="163"/>
      <c r="T1674" s="43">
        <f t="shared" si="42"/>
        <v>3</v>
      </c>
      <c r="U1674" s="167">
        <f t="shared" si="41"/>
        <v>45722</v>
      </c>
      <c r="V1674" s="145">
        <v>45722</v>
      </c>
      <c r="W1674" s="43">
        <f t="shared" si="43"/>
        <v>3</v>
      </c>
      <c r="X1674" s="43" t="s">
        <v>1480</v>
      </c>
      <c r="Y1674" s="43" t="s">
        <v>86</v>
      </c>
    </row>
    <row r="1675" spans="1:28" hidden="1">
      <c r="A1675" s="163" t="s">
        <v>1017</v>
      </c>
      <c r="B1675" s="164">
        <v>45721</v>
      </c>
      <c r="C1675" s="163" t="s">
        <v>1013</v>
      </c>
      <c r="D1675" s="163" t="s">
        <v>281</v>
      </c>
      <c r="E1675" s="163" t="s">
        <v>199</v>
      </c>
      <c r="F1675" s="226">
        <v>-500</v>
      </c>
      <c r="G1675" s="165">
        <f t="shared" si="40"/>
        <v>65750.541000000012</v>
      </c>
      <c r="H1675" s="163"/>
      <c r="I1675" s="163" t="s">
        <v>977</v>
      </c>
      <c r="J1675" s="163"/>
      <c r="K1675" s="163"/>
      <c r="L1675" s="163" t="s">
        <v>1718</v>
      </c>
      <c r="M1675" s="163"/>
      <c r="N1675" s="163" t="s">
        <v>978</v>
      </c>
      <c r="O1675" s="163"/>
      <c r="P1675" s="163"/>
      <c r="Q1675" s="163"/>
      <c r="R1675" s="163" t="s">
        <v>1015</v>
      </c>
      <c r="S1675" s="163" t="s">
        <v>1016</v>
      </c>
      <c r="T1675" s="43">
        <f t="shared" si="42"/>
        <v>3</v>
      </c>
      <c r="U1675" s="167">
        <f t="shared" si="41"/>
        <v>45722</v>
      </c>
      <c r="V1675" s="145">
        <v>45722</v>
      </c>
      <c r="W1675" s="43">
        <f t="shared" si="43"/>
        <v>3</v>
      </c>
      <c r="X1675" s="49" t="s">
        <v>1480</v>
      </c>
      <c r="Y1675" s="49" t="s">
        <v>26</v>
      </c>
    </row>
    <row r="1676" spans="1:28" hidden="1">
      <c r="A1676" s="163" t="s">
        <v>1017</v>
      </c>
      <c r="B1676" s="164">
        <v>45721</v>
      </c>
      <c r="C1676" s="163" t="s">
        <v>1370</v>
      </c>
      <c r="D1676" s="163" t="s">
        <v>281</v>
      </c>
      <c r="E1676" s="163" t="s">
        <v>199</v>
      </c>
      <c r="F1676" s="226">
        <v>-111</v>
      </c>
      <c r="G1676" s="165">
        <f t="shared" si="40"/>
        <v>65639.541000000012</v>
      </c>
      <c r="H1676" s="163"/>
      <c r="I1676" s="163" t="s">
        <v>977</v>
      </c>
      <c r="J1676" s="163"/>
      <c r="K1676" s="163"/>
      <c r="L1676" s="163" t="s">
        <v>1424</v>
      </c>
      <c r="M1676" s="163"/>
      <c r="N1676" s="163" t="s">
        <v>978</v>
      </c>
      <c r="O1676" s="163"/>
      <c r="P1676" s="163"/>
      <c r="Q1676" s="163"/>
      <c r="R1676" s="163" t="s">
        <v>1370</v>
      </c>
      <c r="S1676" s="163"/>
      <c r="T1676" s="43">
        <f t="shared" si="42"/>
        <v>3</v>
      </c>
      <c r="U1676" s="167">
        <f t="shared" si="41"/>
        <v>45722</v>
      </c>
      <c r="V1676" s="145">
        <v>45722</v>
      </c>
      <c r="W1676" s="43">
        <f t="shared" si="43"/>
        <v>3</v>
      </c>
      <c r="X1676" s="49" t="s">
        <v>1480</v>
      </c>
      <c r="Y1676" s="49" t="s">
        <v>26</v>
      </c>
    </row>
    <row r="1677" spans="1:28" hidden="1">
      <c r="A1677" s="163" t="s">
        <v>1017</v>
      </c>
      <c r="B1677" s="164">
        <v>45721</v>
      </c>
      <c r="C1677" s="163" t="s">
        <v>126</v>
      </c>
      <c r="D1677" s="163" t="s">
        <v>281</v>
      </c>
      <c r="E1677" s="163" t="s">
        <v>199</v>
      </c>
      <c r="F1677" s="226">
        <v>-120</v>
      </c>
      <c r="G1677" s="165">
        <f t="shared" si="40"/>
        <v>65519.541000000012</v>
      </c>
      <c r="H1677" s="163"/>
      <c r="I1677" s="163" t="s">
        <v>977</v>
      </c>
      <c r="J1677" s="163"/>
      <c r="K1677" s="163"/>
      <c r="L1677" s="163" t="s">
        <v>1424</v>
      </c>
      <c r="M1677" s="163"/>
      <c r="N1677" s="163" t="s">
        <v>978</v>
      </c>
      <c r="O1677" s="163"/>
      <c r="P1677" s="163"/>
      <c r="Q1677" s="163"/>
      <c r="R1677" s="163" t="s">
        <v>126</v>
      </c>
      <c r="S1677" s="163"/>
      <c r="T1677" s="43">
        <f t="shared" si="42"/>
        <v>3</v>
      </c>
      <c r="U1677" s="167">
        <f t="shared" si="41"/>
        <v>45722</v>
      </c>
      <c r="V1677" s="145">
        <v>45722</v>
      </c>
      <c r="W1677" s="43">
        <f t="shared" si="43"/>
        <v>3</v>
      </c>
      <c r="X1677" s="49" t="s">
        <v>1480</v>
      </c>
      <c r="Y1677" s="49" t="s">
        <v>25</v>
      </c>
    </row>
    <row r="1678" spans="1:28" hidden="1">
      <c r="A1678" s="163" t="s">
        <v>1017</v>
      </c>
      <c r="B1678" s="164">
        <v>45721</v>
      </c>
      <c r="C1678" s="163" t="s">
        <v>1490</v>
      </c>
      <c r="D1678" s="163" t="s">
        <v>281</v>
      </c>
      <c r="E1678" s="163" t="s">
        <v>199</v>
      </c>
      <c r="F1678" s="226">
        <v>-540</v>
      </c>
      <c r="G1678" s="165">
        <f t="shared" si="40"/>
        <v>64979.541000000012</v>
      </c>
      <c r="H1678" s="163"/>
      <c r="I1678" s="163" t="s">
        <v>977</v>
      </c>
      <c r="J1678" s="163"/>
      <c r="K1678" s="163"/>
      <c r="L1678" s="163" t="s">
        <v>766</v>
      </c>
      <c r="M1678" s="163"/>
      <c r="N1678" s="163" t="s">
        <v>978</v>
      </c>
      <c r="O1678" s="163"/>
      <c r="P1678" s="163"/>
      <c r="Q1678" s="163"/>
      <c r="R1678" s="163" t="s">
        <v>1490</v>
      </c>
      <c r="S1678" s="163"/>
      <c r="T1678" s="43">
        <f t="shared" si="42"/>
        <v>3</v>
      </c>
      <c r="U1678" s="167">
        <f t="shared" si="41"/>
        <v>45722</v>
      </c>
      <c r="V1678" s="145">
        <v>45722</v>
      </c>
      <c r="W1678" s="43">
        <f t="shared" si="43"/>
        <v>3</v>
      </c>
      <c r="X1678" s="49" t="s">
        <v>1480</v>
      </c>
      <c r="Y1678" s="49" t="s">
        <v>105</v>
      </c>
    </row>
    <row r="1679" spans="1:28" hidden="1">
      <c r="A1679" s="163" t="s">
        <v>1017</v>
      </c>
      <c r="B1679" s="164">
        <v>45721</v>
      </c>
      <c r="C1679" s="163" t="s">
        <v>989</v>
      </c>
      <c r="D1679" s="163" t="s">
        <v>281</v>
      </c>
      <c r="E1679" s="163" t="s">
        <v>199</v>
      </c>
      <c r="F1679" s="226">
        <v>-1900</v>
      </c>
      <c r="G1679" s="165">
        <f t="shared" si="40"/>
        <v>63079.541000000012</v>
      </c>
      <c r="H1679" s="163"/>
      <c r="I1679" s="163" t="s">
        <v>977</v>
      </c>
      <c r="J1679" s="163"/>
      <c r="K1679" s="163"/>
      <c r="L1679" s="163" t="s">
        <v>766</v>
      </c>
      <c r="M1679" s="163"/>
      <c r="N1679" s="163" t="s">
        <v>978</v>
      </c>
      <c r="O1679" s="163"/>
      <c r="P1679" s="163"/>
      <c r="Q1679" s="163"/>
      <c r="R1679" s="163" t="s">
        <v>990</v>
      </c>
      <c r="S1679" s="163" t="s">
        <v>991</v>
      </c>
      <c r="T1679" s="43">
        <f t="shared" si="42"/>
        <v>3</v>
      </c>
      <c r="U1679" s="167">
        <f t="shared" si="41"/>
        <v>45722</v>
      </c>
      <c r="V1679" s="145">
        <v>45722</v>
      </c>
      <c r="W1679" s="43">
        <f t="shared" si="43"/>
        <v>3</v>
      </c>
      <c r="X1679" s="43" t="s">
        <v>1480</v>
      </c>
      <c r="Y1679" s="43" t="s">
        <v>86</v>
      </c>
    </row>
    <row r="1680" spans="1:28" hidden="1">
      <c r="A1680" s="163" t="s">
        <v>1017</v>
      </c>
      <c r="B1680" s="164">
        <v>45721</v>
      </c>
      <c r="C1680" s="163" t="s">
        <v>1001</v>
      </c>
      <c r="D1680" s="163" t="s">
        <v>281</v>
      </c>
      <c r="E1680" s="163" t="s">
        <v>199</v>
      </c>
      <c r="F1680" s="258">
        <v>-13000.79</v>
      </c>
      <c r="G1680" s="165">
        <f t="shared" si="40"/>
        <v>50078.751000000011</v>
      </c>
      <c r="H1680" s="163"/>
      <c r="I1680" s="163" t="s">
        <v>977</v>
      </c>
      <c r="J1680" s="163"/>
      <c r="K1680" s="163"/>
      <c r="L1680" s="163" t="s">
        <v>477</v>
      </c>
      <c r="M1680" s="163"/>
      <c r="N1680" s="163" t="s">
        <v>978</v>
      </c>
      <c r="O1680" s="163"/>
      <c r="P1680" s="163"/>
      <c r="Q1680" s="163"/>
      <c r="R1680" s="163" t="s">
        <v>1001</v>
      </c>
      <c r="S1680" s="163"/>
      <c r="T1680" s="43">
        <f t="shared" si="42"/>
        <v>3</v>
      </c>
      <c r="U1680" s="167">
        <f t="shared" si="41"/>
        <v>45722</v>
      </c>
      <c r="V1680" s="145">
        <v>45722</v>
      </c>
      <c r="W1680" s="43">
        <f t="shared" si="43"/>
        <v>3</v>
      </c>
      <c r="X1680" s="49" t="s">
        <v>1480</v>
      </c>
      <c r="Y1680" s="49" t="s">
        <v>26</v>
      </c>
    </row>
    <row r="1681" spans="1:28" hidden="1">
      <c r="A1681" s="163" t="s">
        <v>1017</v>
      </c>
      <c r="B1681" s="164">
        <v>45721</v>
      </c>
      <c r="C1681" s="163" t="s">
        <v>132</v>
      </c>
      <c r="D1681" s="163" t="s">
        <v>281</v>
      </c>
      <c r="E1681" s="163" t="s">
        <v>199</v>
      </c>
      <c r="F1681" s="226">
        <v>-105</v>
      </c>
      <c r="G1681" s="165">
        <f t="shared" si="40"/>
        <v>49973.751000000011</v>
      </c>
      <c r="H1681" s="163"/>
      <c r="I1681" s="163" t="s">
        <v>977</v>
      </c>
      <c r="J1681" s="163"/>
      <c r="K1681" s="163"/>
      <c r="L1681" s="163" t="s">
        <v>766</v>
      </c>
      <c r="M1681" s="163"/>
      <c r="N1681" s="163" t="s">
        <v>978</v>
      </c>
      <c r="O1681" s="163"/>
      <c r="P1681" s="163"/>
      <c r="Q1681" s="163"/>
      <c r="R1681" s="163" t="s">
        <v>132</v>
      </c>
      <c r="S1681" s="163"/>
      <c r="T1681" s="43">
        <f t="shared" si="42"/>
        <v>3</v>
      </c>
      <c r="U1681" s="167">
        <f t="shared" si="41"/>
        <v>45722</v>
      </c>
      <c r="V1681" s="145">
        <v>45722</v>
      </c>
      <c r="W1681" s="43">
        <f t="shared" si="43"/>
        <v>3</v>
      </c>
      <c r="X1681" s="49" t="s">
        <v>1480</v>
      </c>
      <c r="Y1681" s="49" t="s">
        <v>105</v>
      </c>
    </row>
    <row r="1682" spans="1:28" hidden="1">
      <c r="A1682" s="180" t="s">
        <v>1017</v>
      </c>
      <c r="B1682" s="181">
        <v>45721</v>
      </c>
      <c r="C1682" s="180" t="s">
        <v>209</v>
      </c>
      <c r="D1682" s="180" t="s">
        <v>281</v>
      </c>
      <c r="E1682" s="180" t="s">
        <v>209</v>
      </c>
      <c r="F1682" s="226">
        <v>-903.58</v>
      </c>
      <c r="G1682" s="165">
        <f t="shared" si="40"/>
        <v>49070.171000000009</v>
      </c>
      <c r="H1682" s="180"/>
      <c r="I1682" s="180" t="s">
        <v>283</v>
      </c>
      <c r="J1682" s="180"/>
      <c r="K1682" s="180"/>
      <c r="L1682" s="180" t="s">
        <v>485</v>
      </c>
      <c r="M1682" s="180"/>
      <c r="N1682" s="180" t="s">
        <v>978</v>
      </c>
      <c r="O1682" s="180"/>
      <c r="P1682" s="180"/>
      <c r="Q1682" s="180"/>
      <c r="R1682" s="180" t="s">
        <v>669</v>
      </c>
      <c r="S1682" s="180" t="s">
        <v>1492</v>
      </c>
      <c r="T1682" s="183">
        <f t="shared" si="42"/>
        <v>3</v>
      </c>
      <c r="U1682" s="184">
        <f t="shared" si="41"/>
        <v>45722</v>
      </c>
      <c r="V1682" s="145">
        <v>45722</v>
      </c>
      <c r="W1682" s="43">
        <f t="shared" si="43"/>
        <v>3</v>
      </c>
      <c r="X1682" s="183" t="s">
        <v>196</v>
      </c>
      <c r="Y1682" s="183" t="s">
        <v>1443</v>
      </c>
      <c r="Z1682" s="183"/>
      <c r="AA1682" s="183"/>
      <c r="AB1682" s="183"/>
    </row>
    <row r="1683" spans="1:28" hidden="1">
      <c r="A1683" s="180" t="s">
        <v>1017</v>
      </c>
      <c r="B1683" s="181">
        <v>45721</v>
      </c>
      <c r="C1683" s="180" t="s">
        <v>1719</v>
      </c>
      <c r="D1683" s="180" t="s">
        <v>281</v>
      </c>
      <c r="E1683" s="180" t="s">
        <v>1381</v>
      </c>
      <c r="F1683" s="226">
        <v>-320.20999999999998</v>
      </c>
      <c r="G1683" s="165">
        <f t="shared" si="40"/>
        <v>48749.96100000001</v>
      </c>
      <c r="H1683" s="180"/>
      <c r="I1683" s="180" t="s">
        <v>283</v>
      </c>
      <c r="J1683" s="180"/>
      <c r="K1683" s="180"/>
      <c r="L1683" s="180" t="s">
        <v>485</v>
      </c>
      <c r="M1683" s="180"/>
      <c r="N1683" s="180" t="s">
        <v>978</v>
      </c>
      <c r="O1683" s="180"/>
      <c r="P1683" s="180"/>
      <c r="Q1683" s="180"/>
      <c r="R1683" s="180" t="s">
        <v>669</v>
      </c>
      <c r="S1683" s="180" t="s">
        <v>1492</v>
      </c>
      <c r="T1683" s="183">
        <f t="shared" si="42"/>
        <v>3</v>
      </c>
      <c r="U1683" s="184">
        <f t="shared" si="41"/>
        <v>45722</v>
      </c>
      <c r="V1683" s="145">
        <v>45722</v>
      </c>
      <c r="W1683" s="43">
        <f t="shared" si="43"/>
        <v>3</v>
      </c>
      <c r="X1683" s="183" t="s">
        <v>1381</v>
      </c>
      <c r="Y1683" s="183" t="s">
        <v>86</v>
      </c>
      <c r="Z1683" s="183"/>
      <c r="AA1683" s="183"/>
      <c r="AB1683" s="183"/>
    </row>
    <row r="1684" spans="1:28" hidden="1">
      <c r="A1684" s="163" t="s">
        <v>1017</v>
      </c>
      <c r="B1684" s="164">
        <v>45722</v>
      </c>
      <c r="C1684" s="163" t="s">
        <v>1720</v>
      </c>
      <c r="D1684" s="163" t="s">
        <v>281</v>
      </c>
      <c r="E1684" s="163" t="s">
        <v>18</v>
      </c>
      <c r="F1684" s="185"/>
      <c r="G1684" s="165">
        <f t="shared" si="40"/>
        <v>48749.96100000001</v>
      </c>
      <c r="H1684" s="163"/>
      <c r="I1684" s="163" t="s">
        <v>994</v>
      </c>
      <c r="J1684" s="163"/>
      <c r="K1684" s="163"/>
      <c r="L1684" s="163" t="s">
        <v>1571</v>
      </c>
      <c r="M1684" s="163"/>
      <c r="N1684" s="163" t="s">
        <v>978</v>
      </c>
      <c r="O1684" s="163"/>
      <c r="P1684" s="163"/>
      <c r="Q1684" s="163"/>
      <c r="R1684" s="163" t="s">
        <v>328</v>
      </c>
      <c r="S1684" s="163" t="s">
        <v>329</v>
      </c>
      <c r="T1684" s="43">
        <f t="shared" si="42"/>
        <v>3</v>
      </c>
      <c r="U1684" s="167">
        <f t="shared" si="41"/>
        <v>45722</v>
      </c>
      <c r="W1684" s="43">
        <f t="shared" si="43"/>
        <v>3</v>
      </c>
      <c r="X1684" s="49" t="s">
        <v>1499</v>
      </c>
      <c r="Y1684" s="49" t="s">
        <v>25</v>
      </c>
    </row>
    <row r="1685" spans="1:28" hidden="1">
      <c r="A1685" s="248" t="s">
        <v>1017</v>
      </c>
      <c r="B1685" s="249">
        <v>45722</v>
      </c>
      <c r="C1685" s="248" t="s">
        <v>1721</v>
      </c>
      <c r="D1685" s="248" t="s">
        <v>281</v>
      </c>
      <c r="E1685" s="248" t="s">
        <v>18</v>
      </c>
      <c r="F1685" s="185"/>
      <c r="G1685" s="165">
        <f t="shared" si="40"/>
        <v>48749.96100000001</v>
      </c>
      <c r="H1685" s="248"/>
      <c r="I1685" s="248" t="s">
        <v>283</v>
      </c>
      <c r="J1685" s="248"/>
      <c r="K1685" s="248"/>
      <c r="L1685" s="248" t="s">
        <v>477</v>
      </c>
      <c r="M1685" s="248"/>
      <c r="N1685" s="248" t="s">
        <v>978</v>
      </c>
      <c r="O1685" s="248"/>
      <c r="P1685" s="248"/>
      <c r="Q1685" s="248"/>
      <c r="R1685" s="248" t="s">
        <v>669</v>
      </c>
      <c r="S1685" s="248" t="s">
        <v>1492</v>
      </c>
      <c r="T1685" s="251">
        <f t="shared" si="42"/>
        <v>3</v>
      </c>
      <c r="U1685" s="252">
        <f t="shared" si="41"/>
        <v>45722</v>
      </c>
      <c r="V1685" s="251"/>
      <c r="W1685" s="43">
        <f t="shared" si="43"/>
        <v>3</v>
      </c>
      <c r="X1685" s="49" t="s">
        <v>1499</v>
      </c>
      <c r="Y1685" s="49" t="s">
        <v>1336</v>
      </c>
      <c r="Z1685" s="251"/>
      <c r="AA1685" s="251"/>
      <c r="AB1685" s="251"/>
    </row>
    <row r="1686" spans="1:28" hidden="1">
      <c r="A1686" s="248" t="s">
        <v>1017</v>
      </c>
      <c r="B1686" s="249">
        <v>45722</v>
      </c>
      <c r="C1686" s="248" t="s">
        <v>1721</v>
      </c>
      <c r="D1686" s="248" t="s">
        <v>281</v>
      </c>
      <c r="E1686" s="248" t="s">
        <v>18</v>
      </c>
      <c r="F1686" s="185"/>
      <c r="G1686" s="165">
        <f t="shared" si="40"/>
        <v>48749.96100000001</v>
      </c>
      <c r="H1686" s="248"/>
      <c r="I1686" s="248" t="s">
        <v>283</v>
      </c>
      <c r="J1686" s="248"/>
      <c r="K1686" s="248"/>
      <c r="L1686" s="248" t="s">
        <v>477</v>
      </c>
      <c r="M1686" s="248"/>
      <c r="N1686" s="248" t="s">
        <v>978</v>
      </c>
      <c r="O1686" s="248"/>
      <c r="P1686" s="248"/>
      <c r="Q1686" s="248"/>
      <c r="R1686" s="248" t="s">
        <v>669</v>
      </c>
      <c r="S1686" s="248" t="s">
        <v>1492</v>
      </c>
      <c r="T1686" s="251">
        <f t="shared" si="42"/>
        <v>3</v>
      </c>
      <c r="U1686" s="252">
        <f t="shared" si="41"/>
        <v>45722</v>
      </c>
      <c r="V1686" s="251"/>
      <c r="W1686" s="43">
        <f t="shared" si="43"/>
        <v>3</v>
      </c>
      <c r="X1686" s="49" t="s">
        <v>1499</v>
      </c>
      <c r="Y1686" s="49" t="s">
        <v>1336</v>
      </c>
      <c r="Z1686" s="251"/>
      <c r="AA1686" s="251"/>
      <c r="AB1686" s="251"/>
    </row>
    <row r="1687" spans="1:28" hidden="1">
      <c r="A1687" s="248" t="s">
        <v>1017</v>
      </c>
      <c r="B1687" s="249">
        <v>45721</v>
      </c>
      <c r="C1687" s="248" t="s">
        <v>1087</v>
      </c>
      <c r="D1687" s="248" t="s">
        <v>281</v>
      </c>
      <c r="E1687" s="248" t="s">
        <v>925</v>
      </c>
      <c r="F1687" s="185"/>
      <c r="G1687" s="165">
        <f t="shared" si="40"/>
        <v>48749.96100000001</v>
      </c>
      <c r="H1687" s="248"/>
      <c r="I1687" s="248" t="s">
        <v>283</v>
      </c>
      <c r="J1687" s="248"/>
      <c r="K1687" s="248"/>
      <c r="L1687" s="248" t="s">
        <v>485</v>
      </c>
      <c r="M1687" s="248"/>
      <c r="N1687" s="248" t="s">
        <v>978</v>
      </c>
      <c r="O1687" s="248"/>
      <c r="P1687" s="248"/>
      <c r="Q1687" s="248"/>
      <c r="R1687" s="248" t="s">
        <v>669</v>
      </c>
      <c r="S1687" s="248" t="s">
        <v>1492</v>
      </c>
      <c r="T1687" s="251">
        <f t="shared" si="42"/>
        <v>3</v>
      </c>
      <c r="U1687" s="252">
        <f t="shared" si="41"/>
        <v>45722</v>
      </c>
      <c r="V1687" s="276">
        <v>45722</v>
      </c>
      <c r="W1687" s="43">
        <f t="shared" si="43"/>
        <v>3</v>
      </c>
      <c r="X1687" s="43" t="s">
        <v>90</v>
      </c>
      <c r="Y1687" s="43" t="s">
        <v>1479</v>
      </c>
      <c r="Z1687" s="251"/>
      <c r="AA1687" s="251"/>
      <c r="AB1687" s="251"/>
    </row>
    <row r="1688" spans="1:28" hidden="1">
      <c r="A1688" s="190" t="s">
        <v>1017</v>
      </c>
      <c r="B1688" s="164">
        <v>45722</v>
      </c>
      <c r="C1688" s="190" t="s">
        <v>330</v>
      </c>
      <c r="D1688" s="190" t="s">
        <v>281</v>
      </c>
      <c r="E1688" s="190" t="s">
        <v>330</v>
      </c>
      <c r="F1688" s="185">
        <f>-1.99-2</f>
        <v>-3.99</v>
      </c>
      <c r="G1688" s="165">
        <f t="shared" si="40"/>
        <v>48745.971000000012</v>
      </c>
      <c r="H1688" s="190"/>
      <c r="I1688" s="190" t="s">
        <v>342</v>
      </c>
      <c r="J1688" s="190"/>
      <c r="K1688" s="190"/>
      <c r="L1688" s="190" t="s">
        <v>805</v>
      </c>
      <c r="M1688" s="190"/>
      <c r="N1688" s="190" t="s">
        <v>978</v>
      </c>
      <c r="O1688" s="190"/>
      <c r="P1688" s="190"/>
      <c r="Q1688" s="190"/>
      <c r="R1688" s="190" t="s">
        <v>1292</v>
      </c>
      <c r="S1688" s="190" t="s">
        <v>1417</v>
      </c>
      <c r="T1688" s="43">
        <f t="shared" si="42"/>
        <v>3</v>
      </c>
      <c r="U1688" s="167">
        <f t="shared" si="41"/>
        <v>45722</v>
      </c>
      <c r="V1688" s="43"/>
      <c r="W1688" s="43">
        <f t="shared" si="43"/>
        <v>3</v>
      </c>
      <c r="X1688" s="43" t="s">
        <v>1483</v>
      </c>
      <c r="Y1688" s="43" t="s">
        <v>1443</v>
      </c>
      <c r="Z1688" s="43"/>
      <c r="AA1688" s="43"/>
      <c r="AB1688" s="43"/>
    </row>
    <row r="1689" spans="1:28" hidden="1">
      <c r="A1689" s="163"/>
      <c r="B1689" s="164">
        <v>45722</v>
      </c>
      <c r="C1689" s="163" t="s">
        <v>346</v>
      </c>
      <c r="D1689" s="163"/>
      <c r="E1689" s="163"/>
      <c r="F1689" s="165">
        <v>0</v>
      </c>
      <c r="G1689" s="165">
        <f t="shared" si="40"/>
        <v>48745.971000000012</v>
      </c>
      <c r="H1689" s="163"/>
      <c r="I1689" s="163"/>
      <c r="J1689" s="163"/>
      <c r="K1689" s="163"/>
      <c r="L1689" s="163"/>
      <c r="M1689" s="163"/>
      <c r="N1689" s="163"/>
      <c r="O1689" s="163"/>
      <c r="P1689" s="163"/>
      <c r="Q1689" s="163"/>
      <c r="R1689" s="163"/>
      <c r="S1689" s="163"/>
      <c r="T1689" s="43">
        <f t="shared" si="42"/>
        <v>3</v>
      </c>
      <c r="U1689" s="167">
        <f t="shared" si="41"/>
        <v>45722</v>
      </c>
      <c r="W1689" s="43">
        <f t="shared" si="43"/>
        <v>3</v>
      </c>
    </row>
    <row r="1690" spans="1:28" hidden="1">
      <c r="A1690" s="163" t="s">
        <v>1174</v>
      </c>
      <c r="B1690" s="164">
        <v>45721</v>
      </c>
      <c r="C1690" s="163" t="s">
        <v>1501</v>
      </c>
      <c r="D1690" s="163" t="s">
        <v>281</v>
      </c>
      <c r="E1690" s="163" t="s">
        <v>407</v>
      </c>
      <c r="F1690" s="195">
        <v>1799</v>
      </c>
      <c r="G1690" s="165">
        <f t="shared" si="40"/>
        <v>50544.971000000012</v>
      </c>
      <c r="H1690" s="163"/>
      <c r="I1690" s="163" t="s">
        <v>1176</v>
      </c>
      <c r="J1690" s="163" t="s">
        <v>1502</v>
      </c>
      <c r="K1690" s="163"/>
      <c r="L1690" s="163" t="s">
        <v>305</v>
      </c>
      <c r="M1690" s="163"/>
      <c r="N1690" s="163" t="s">
        <v>1178</v>
      </c>
      <c r="O1690" s="163" t="s">
        <v>1502</v>
      </c>
      <c r="P1690" s="163" t="s">
        <v>57</v>
      </c>
      <c r="Q1690" s="163"/>
      <c r="R1690" s="163" t="s">
        <v>1503</v>
      </c>
      <c r="S1690" s="163" t="s">
        <v>1504</v>
      </c>
      <c r="T1690" s="43">
        <f t="shared" si="42"/>
        <v>3</v>
      </c>
      <c r="U1690" s="167">
        <f t="shared" si="41"/>
        <v>45723</v>
      </c>
      <c r="V1690" s="261">
        <v>45723</v>
      </c>
      <c r="W1690" s="43">
        <f t="shared" si="43"/>
        <v>3</v>
      </c>
      <c r="X1690" s="43" t="s">
        <v>1484</v>
      </c>
      <c r="Y1690" s="43" t="s">
        <v>1485</v>
      </c>
    </row>
    <row r="1691" spans="1:28" hidden="1">
      <c r="A1691" s="163" t="s">
        <v>1174</v>
      </c>
      <c r="B1691" s="164">
        <v>45721</v>
      </c>
      <c r="C1691" s="163" t="s">
        <v>67</v>
      </c>
      <c r="D1691" s="163" t="s">
        <v>281</v>
      </c>
      <c r="E1691" s="163" t="s">
        <v>407</v>
      </c>
      <c r="F1691" s="195">
        <v>2950</v>
      </c>
      <c r="G1691" s="165">
        <f t="shared" si="40"/>
        <v>53494.971000000012</v>
      </c>
      <c r="H1691" s="163"/>
      <c r="I1691" s="163" t="s">
        <v>1176</v>
      </c>
      <c r="J1691" s="163" t="s">
        <v>1321</v>
      </c>
      <c r="K1691" s="163"/>
      <c r="L1691" s="163" t="s">
        <v>305</v>
      </c>
      <c r="M1691" s="163"/>
      <c r="N1691" s="163" t="s">
        <v>1178</v>
      </c>
      <c r="O1691" s="163" t="s">
        <v>1321</v>
      </c>
      <c r="P1691" s="163" t="s">
        <v>418</v>
      </c>
      <c r="Q1691" s="163"/>
      <c r="R1691" s="163" t="s">
        <v>419</v>
      </c>
      <c r="S1691" s="163" t="s">
        <v>420</v>
      </c>
      <c r="T1691" s="43">
        <f t="shared" si="42"/>
        <v>3</v>
      </c>
      <c r="U1691" s="167">
        <f t="shared" si="41"/>
        <v>45723</v>
      </c>
      <c r="V1691" s="261">
        <v>45723</v>
      </c>
      <c r="W1691" s="43">
        <f t="shared" si="43"/>
        <v>3</v>
      </c>
      <c r="X1691" s="43" t="s">
        <v>1484</v>
      </c>
      <c r="Y1691" s="43" t="s">
        <v>1485</v>
      </c>
    </row>
    <row r="1692" spans="1:28" ht="14.25" hidden="1" customHeight="1">
      <c r="A1692" s="180" t="s">
        <v>1017</v>
      </c>
      <c r="B1692" s="181">
        <v>45723</v>
      </c>
      <c r="C1692" s="180" t="s">
        <v>1716</v>
      </c>
      <c r="D1692" s="180" t="s">
        <v>281</v>
      </c>
      <c r="E1692" s="180" t="s">
        <v>282</v>
      </c>
      <c r="F1692" s="275">
        <v>74000</v>
      </c>
      <c r="G1692" s="165">
        <f t="shared" si="40"/>
        <v>127494.97100000002</v>
      </c>
      <c r="H1692" s="180"/>
      <c r="I1692" s="180" t="s">
        <v>977</v>
      </c>
      <c r="J1692" s="180"/>
      <c r="K1692" s="180"/>
      <c r="L1692" s="180" t="s">
        <v>366</v>
      </c>
      <c r="M1692" s="180"/>
      <c r="N1692" s="180" t="s">
        <v>978</v>
      </c>
      <c r="O1692" s="180"/>
      <c r="P1692" s="180"/>
      <c r="Q1692" s="180"/>
      <c r="R1692" s="180" t="s">
        <v>990</v>
      </c>
      <c r="S1692" s="180" t="s">
        <v>991</v>
      </c>
      <c r="T1692" s="183">
        <f t="shared" si="42"/>
        <v>3</v>
      </c>
      <c r="U1692" s="184">
        <f t="shared" si="41"/>
        <v>45723</v>
      </c>
      <c r="V1692" s="272"/>
      <c r="W1692" s="43">
        <f t="shared" si="43"/>
        <v>3</v>
      </c>
      <c r="X1692" s="183" t="s">
        <v>282</v>
      </c>
      <c r="Y1692" s="183" t="s">
        <v>1443</v>
      </c>
      <c r="Z1692" s="183" t="s">
        <v>1113</v>
      </c>
      <c r="AA1692" s="183" t="s">
        <v>1113</v>
      </c>
      <c r="AB1692" s="183"/>
    </row>
    <row r="1693" spans="1:28" hidden="1">
      <c r="A1693" s="163" t="s">
        <v>1017</v>
      </c>
      <c r="B1693" s="164">
        <v>45722</v>
      </c>
      <c r="C1693" s="163" t="s">
        <v>87</v>
      </c>
      <c r="D1693" s="163" t="s">
        <v>281</v>
      </c>
      <c r="E1693" s="163" t="s">
        <v>18</v>
      </c>
      <c r="F1693" s="226">
        <v>-5711.83</v>
      </c>
      <c r="G1693" s="165">
        <f t="shared" si="40"/>
        <v>121783.14100000002</v>
      </c>
      <c r="H1693" s="163"/>
      <c r="I1693" s="163" t="s">
        <v>283</v>
      </c>
      <c r="J1693" s="163"/>
      <c r="K1693" s="163"/>
      <c r="L1693" s="163" t="s">
        <v>1571</v>
      </c>
      <c r="M1693" s="163"/>
      <c r="N1693" s="163" t="s">
        <v>978</v>
      </c>
      <c r="O1693" s="163"/>
      <c r="P1693" s="163"/>
      <c r="Q1693" s="163"/>
      <c r="R1693" s="163" t="s">
        <v>87</v>
      </c>
      <c r="S1693" s="163" t="s">
        <v>325</v>
      </c>
      <c r="T1693" s="43">
        <f t="shared" si="42"/>
        <v>3</v>
      </c>
      <c r="U1693" s="167">
        <f t="shared" si="41"/>
        <v>45723</v>
      </c>
      <c r="V1693" s="261">
        <v>45723</v>
      </c>
      <c r="W1693" s="43">
        <f t="shared" si="43"/>
        <v>3</v>
      </c>
      <c r="X1693" s="49" t="s">
        <v>1499</v>
      </c>
      <c r="Y1693" s="49" t="s">
        <v>25</v>
      </c>
    </row>
    <row r="1694" spans="1:28" hidden="1">
      <c r="A1694" s="163" t="s">
        <v>1017</v>
      </c>
      <c r="B1694" s="164">
        <v>45722</v>
      </c>
      <c r="C1694" s="163" t="s">
        <v>433</v>
      </c>
      <c r="D1694" s="163" t="s">
        <v>281</v>
      </c>
      <c r="E1694" s="163" t="s">
        <v>18</v>
      </c>
      <c r="F1694" s="226">
        <v>-3957.12</v>
      </c>
      <c r="G1694" s="165">
        <f t="shared" si="40"/>
        <v>117826.02100000002</v>
      </c>
      <c r="H1694" s="163"/>
      <c r="I1694" s="163" t="s">
        <v>283</v>
      </c>
      <c r="J1694" s="163"/>
      <c r="K1694" s="163"/>
      <c r="L1694" s="163" t="s">
        <v>1571</v>
      </c>
      <c r="M1694" s="163"/>
      <c r="N1694" s="163" t="s">
        <v>978</v>
      </c>
      <c r="O1694" s="163"/>
      <c r="P1694" s="163"/>
      <c r="Q1694" s="163"/>
      <c r="R1694" s="163" t="s">
        <v>433</v>
      </c>
      <c r="S1694" s="163" t="s">
        <v>435</v>
      </c>
      <c r="T1694" s="43">
        <f t="shared" si="42"/>
        <v>3</v>
      </c>
      <c r="U1694" s="167">
        <f t="shared" si="41"/>
        <v>45723</v>
      </c>
      <c r="V1694" s="261">
        <v>45723</v>
      </c>
      <c r="W1694" s="43">
        <f t="shared" si="43"/>
        <v>3</v>
      </c>
      <c r="X1694" s="49" t="s">
        <v>1499</v>
      </c>
      <c r="Y1694" s="49" t="s">
        <v>94</v>
      </c>
    </row>
    <row r="1695" spans="1:28" hidden="1">
      <c r="A1695" s="163" t="s">
        <v>1017</v>
      </c>
      <c r="B1695" s="164">
        <v>45722</v>
      </c>
      <c r="C1695" s="163" t="s">
        <v>436</v>
      </c>
      <c r="D1695" s="163" t="s">
        <v>281</v>
      </c>
      <c r="E1695" s="163" t="s">
        <v>18</v>
      </c>
      <c r="F1695" s="226">
        <v>-4279.41</v>
      </c>
      <c r="G1695" s="165">
        <f t="shared" si="40"/>
        <v>113546.61100000002</v>
      </c>
      <c r="H1695" s="163"/>
      <c r="I1695" s="163" t="s">
        <v>283</v>
      </c>
      <c r="J1695" s="163"/>
      <c r="K1695" s="163"/>
      <c r="L1695" s="163" t="s">
        <v>1571</v>
      </c>
      <c r="M1695" s="163"/>
      <c r="N1695" s="163" t="s">
        <v>978</v>
      </c>
      <c r="O1695" s="163"/>
      <c r="P1695" s="163"/>
      <c r="Q1695" s="163"/>
      <c r="R1695" s="163" t="s">
        <v>436</v>
      </c>
      <c r="S1695" s="163" t="s">
        <v>438</v>
      </c>
      <c r="T1695" s="43">
        <f t="shared" si="42"/>
        <v>3</v>
      </c>
      <c r="U1695" s="167">
        <f t="shared" si="41"/>
        <v>45723</v>
      </c>
      <c r="V1695" s="261">
        <v>45723</v>
      </c>
      <c r="W1695" s="43">
        <f t="shared" si="43"/>
        <v>3</v>
      </c>
      <c r="X1695" s="49" t="s">
        <v>1499</v>
      </c>
      <c r="Y1695" s="49" t="s">
        <v>1488</v>
      </c>
    </row>
    <row r="1696" spans="1:28" hidden="1">
      <c r="A1696" s="163" t="s">
        <v>1017</v>
      </c>
      <c r="B1696" s="164">
        <v>45722</v>
      </c>
      <c r="C1696" s="163" t="s">
        <v>95</v>
      </c>
      <c r="D1696" s="163" t="s">
        <v>281</v>
      </c>
      <c r="E1696" s="163" t="s">
        <v>18</v>
      </c>
      <c r="F1696" s="226">
        <v>-1935.13</v>
      </c>
      <c r="G1696" s="165">
        <f t="shared" si="40"/>
        <v>111611.48100000001</v>
      </c>
      <c r="H1696" s="163"/>
      <c r="I1696" s="163" t="s">
        <v>283</v>
      </c>
      <c r="J1696" s="163"/>
      <c r="K1696" s="163"/>
      <c r="L1696" s="163" t="s">
        <v>1571</v>
      </c>
      <c r="M1696" s="163"/>
      <c r="N1696" s="163" t="s">
        <v>978</v>
      </c>
      <c r="O1696" s="163"/>
      <c r="P1696" s="163"/>
      <c r="Q1696" s="163"/>
      <c r="R1696" s="163" t="s">
        <v>95</v>
      </c>
      <c r="S1696" s="163" t="s">
        <v>440</v>
      </c>
      <c r="T1696" s="43">
        <f t="shared" si="42"/>
        <v>3</v>
      </c>
      <c r="U1696" s="167">
        <f t="shared" si="41"/>
        <v>45723</v>
      </c>
      <c r="V1696" s="261">
        <v>45723</v>
      </c>
      <c r="W1696" s="43">
        <f t="shared" si="43"/>
        <v>3</v>
      </c>
      <c r="X1696" s="49" t="s">
        <v>1499</v>
      </c>
      <c r="Y1696" s="49" t="s">
        <v>26</v>
      </c>
    </row>
    <row r="1697" spans="1:28" hidden="1">
      <c r="A1697" s="163" t="s">
        <v>1017</v>
      </c>
      <c r="B1697" s="164">
        <v>45722</v>
      </c>
      <c r="C1697" s="163" t="s">
        <v>472</v>
      </c>
      <c r="D1697" s="163" t="s">
        <v>281</v>
      </c>
      <c r="E1697" s="163" t="s">
        <v>18</v>
      </c>
      <c r="F1697" s="226">
        <v>-2227.16</v>
      </c>
      <c r="G1697" s="165">
        <f t="shared" si="40"/>
        <v>109384.32100000001</v>
      </c>
      <c r="H1697" s="163"/>
      <c r="I1697" s="163" t="s">
        <v>283</v>
      </c>
      <c r="J1697" s="163"/>
      <c r="K1697" s="163"/>
      <c r="L1697" s="163" t="s">
        <v>1711</v>
      </c>
      <c r="M1697" s="163"/>
      <c r="N1697" s="163" t="s">
        <v>978</v>
      </c>
      <c r="O1697" s="163"/>
      <c r="P1697" s="163"/>
      <c r="Q1697" s="163"/>
      <c r="R1697" s="163" t="s">
        <v>472</v>
      </c>
      <c r="S1697" s="163" t="s">
        <v>475</v>
      </c>
      <c r="T1697" s="43">
        <f t="shared" si="42"/>
        <v>3</v>
      </c>
      <c r="U1697" s="167">
        <f t="shared" si="41"/>
        <v>45723</v>
      </c>
      <c r="V1697" s="261">
        <v>45723</v>
      </c>
      <c r="W1697" s="43">
        <f t="shared" si="43"/>
        <v>3</v>
      </c>
      <c r="X1697" s="49" t="s">
        <v>1499</v>
      </c>
      <c r="Y1697" s="49" t="s">
        <v>26</v>
      </c>
    </row>
    <row r="1698" spans="1:28" hidden="1">
      <c r="A1698" s="163" t="s">
        <v>1017</v>
      </c>
      <c r="B1698" s="164">
        <v>45722</v>
      </c>
      <c r="C1698" s="163"/>
      <c r="D1698" s="163" t="s">
        <v>281</v>
      </c>
      <c r="E1698" s="163" t="s">
        <v>18</v>
      </c>
      <c r="F1698" s="185"/>
      <c r="G1698" s="165">
        <f t="shared" si="40"/>
        <v>109384.32100000001</v>
      </c>
      <c r="H1698" s="163"/>
      <c r="I1698" s="163" t="s">
        <v>283</v>
      </c>
      <c r="J1698" s="163"/>
      <c r="K1698" s="163"/>
      <c r="L1698" s="163" t="s">
        <v>1571</v>
      </c>
      <c r="M1698" s="163"/>
      <c r="N1698" s="163" t="s">
        <v>978</v>
      </c>
      <c r="O1698" s="163"/>
      <c r="P1698" s="163"/>
      <c r="Q1698" s="163"/>
      <c r="R1698" s="163" t="s">
        <v>441</v>
      </c>
      <c r="S1698" s="163" t="s">
        <v>443</v>
      </c>
      <c r="T1698" s="43">
        <f t="shared" si="42"/>
        <v>3</v>
      </c>
      <c r="U1698" s="167">
        <f t="shared" si="41"/>
        <v>45723</v>
      </c>
      <c r="V1698" s="145">
        <v>45723</v>
      </c>
      <c r="W1698" s="43">
        <f t="shared" si="43"/>
        <v>3</v>
      </c>
      <c r="X1698" s="49" t="s">
        <v>1499</v>
      </c>
      <c r="Y1698" s="49" t="s">
        <v>1336</v>
      </c>
    </row>
    <row r="1699" spans="1:28" hidden="1">
      <c r="A1699" s="180" t="s">
        <v>1017</v>
      </c>
      <c r="B1699" s="181">
        <v>45722</v>
      </c>
      <c r="C1699" s="180" t="s">
        <v>1656</v>
      </c>
      <c r="D1699" s="180" t="s">
        <v>281</v>
      </c>
      <c r="E1699" s="180" t="s">
        <v>18</v>
      </c>
      <c r="F1699" s="226">
        <v>-2733.4</v>
      </c>
      <c r="G1699" s="165">
        <f t="shared" si="40"/>
        <v>106650.92100000002</v>
      </c>
      <c r="H1699" s="180"/>
      <c r="I1699" s="180" t="s">
        <v>283</v>
      </c>
      <c r="J1699" s="180"/>
      <c r="K1699" s="180"/>
      <c r="L1699" s="180" t="s">
        <v>1571</v>
      </c>
      <c r="M1699" s="180"/>
      <c r="N1699" s="180" t="s">
        <v>978</v>
      </c>
      <c r="O1699" s="180"/>
      <c r="P1699" s="180"/>
      <c r="Q1699" s="180"/>
      <c r="R1699" s="180" t="s">
        <v>444</v>
      </c>
      <c r="S1699" s="180" t="s">
        <v>446</v>
      </c>
      <c r="T1699" s="183">
        <f t="shared" si="42"/>
        <v>3</v>
      </c>
      <c r="U1699" s="184">
        <f t="shared" si="41"/>
        <v>45723</v>
      </c>
      <c r="V1699" s="261">
        <v>45723</v>
      </c>
      <c r="W1699" s="43">
        <f t="shared" si="43"/>
        <v>3</v>
      </c>
      <c r="X1699" s="49" t="s">
        <v>1499</v>
      </c>
      <c r="Y1699" s="49" t="s">
        <v>86</v>
      </c>
      <c r="Z1699" s="183"/>
      <c r="AA1699" s="183"/>
      <c r="AB1699" s="183"/>
    </row>
    <row r="1700" spans="1:28" hidden="1">
      <c r="A1700" s="163" t="s">
        <v>1017</v>
      </c>
      <c r="B1700" s="164">
        <v>45722</v>
      </c>
      <c r="C1700" s="163" t="s">
        <v>447</v>
      </c>
      <c r="D1700" s="163" t="s">
        <v>281</v>
      </c>
      <c r="E1700" s="163" t="s">
        <v>18</v>
      </c>
      <c r="F1700" s="226">
        <v>-1531.3</v>
      </c>
      <c r="G1700" s="165">
        <f t="shared" si="40"/>
        <v>105119.62100000001</v>
      </c>
      <c r="H1700" s="163"/>
      <c r="I1700" s="163" t="s">
        <v>283</v>
      </c>
      <c r="J1700" s="163"/>
      <c r="K1700" s="163"/>
      <c r="L1700" s="163" t="s">
        <v>1571</v>
      </c>
      <c r="M1700" s="163"/>
      <c r="N1700" s="163" t="s">
        <v>978</v>
      </c>
      <c r="O1700" s="163"/>
      <c r="P1700" s="163"/>
      <c r="Q1700" s="163"/>
      <c r="R1700" s="163" t="s">
        <v>447</v>
      </c>
      <c r="S1700" s="163" t="s">
        <v>449</v>
      </c>
      <c r="T1700" s="43">
        <f t="shared" si="42"/>
        <v>3</v>
      </c>
      <c r="U1700" s="167">
        <f t="shared" si="41"/>
        <v>45723</v>
      </c>
      <c r="V1700" s="261">
        <v>45723</v>
      </c>
      <c r="W1700" s="43">
        <f t="shared" si="43"/>
        <v>3</v>
      </c>
      <c r="X1700" s="49" t="s">
        <v>1499</v>
      </c>
      <c r="Y1700" s="49" t="s">
        <v>1488</v>
      </c>
    </row>
    <row r="1701" spans="1:28" hidden="1">
      <c r="A1701" s="163" t="s">
        <v>1017</v>
      </c>
      <c r="B1701" s="164">
        <v>45722</v>
      </c>
      <c r="C1701" s="163" t="s">
        <v>321</v>
      </c>
      <c r="D1701" s="163" t="s">
        <v>281</v>
      </c>
      <c r="E1701" s="163" t="s">
        <v>18</v>
      </c>
      <c r="F1701" s="226">
        <v>-2315.41</v>
      </c>
      <c r="G1701" s="165">
        <f t="shared" si="40"/>
        <v>102804.21100000001</v>
      </c>
      <c r="H1701" s="163"/>
      <c r="I1701" s="163" t="s">
        <v>283</v>
      </c>
      <c r="J1701" s="163"/>
      <c r="K1701" s="163"/>
      <c r="L1701" s="163" t="s">
        <v>1571</v>
      </c>
      <c r="M1701" s="163"/>
      <c r="N1701" s="163" t="s">
        <v>978</v>
      </c>
      <c r="O1701" s="163"/>
      <c r="P1701" s="163"/>
      <c r="Q1701" s="163"/>
      <c r="R1701" s="163" t="s">
        <v>321</v>
      </c>
      <c r="S1701" s="163" t="s">
        <v>323</v>
      </c>
      <c r="T1701" s="43">
        <f t="shared" si="42"/>
        <v>3</v>
      </c>
      <c r="U1701" s="167">
        <f t="shared" si="41"/>
        <v>45723</v>
      </c>
      <c r="V1701" s="261">
        <v>45723</v>
      </c>
      <c r="W1701" s="43">
        <f t="shared" si="43"/>
        <v>3</v>
      </c>
      <c r="X1701" s="49" t="s">
        <v>1499</v>
      </c>
      <c r="Y1701" s="49" t="s">
        <v>26</v>
      </c>
    </row>
    <row r="1702" spans="1:28" hidden="1">
      <c r="A1702" s="163" t="s">
        <v>1017</v>
      </c>
      <c r="B1702" s="164">
        <v>45722</v>
      </c>
      <c r="C1702" s="163" t="s">
        <v>451</v>
      </c>
      <c r="D1702" s="163" t="s">
        <v>281</v>
      </c>
      <c r="E1702" s="163" t="s">
        <v>18</v>
      </c>
      <c r="F1702" s="185"/>
      <c r="G1702" s="165">
        <f t="shared" si="40"/>
        <v>102804.21100000001</v>
      </c>
      <c r="H1702" s="163"/>
      <c r="I1702" s="163" t="s">
        <v>283</v>
      </c>
      <c r="J1702" s="163"/>
      <c r="K1702" s="163"/>
      <c r="L1702" s="163" t="s">
        <v>1571</v>
      </c>
      <c r="M1702" s="163"/>
      <c r="N1702" s="163" t="s">
        <v>978</v>
      </c>
      <c r="O1702" s="163"/>
      <c r="P1702" s="163"/>
      <c r="Q1702" s="163"/>
      <c r="R1702" s="163" t="s">
        <v>451</v>
      </c>
      <c r="S1702" s="163" t="s">
        <v>453</v>
      </c>
      <c r="T1702" s="43">
        <f t="shared" si="42"/>
        <v>3</v>
      </c>
      <c r="U1702" s="167">
        <f t="shared" si="41"/>
        <v>45723</v>
      </c>
      <c r="V1702" s="145">
        <v>45723</v>
      </c>
      <c r="W1702" s="43">
        <f t="shared" si="43"/>
        <v>3</v>
      </c>
      <c r="X1702" s="49" t="s">
        <v>1499</v>
      </c>
      <c r="Y1702" s="49" t="s">
        <v>26</v>
      </c>
    </row>
    <row r="1703" spans="1:28" hidden="1">
      <c r="A1703" s="163" t="s">
        <v>1017</v>
      </c>
      <c r="B1703" s="164">
        <v>45722</v>
      </c>
      <c r="C1703" s="163" t="s">
        <v>358</v>
      </c>
      <c r="D1703" s="163" t="s">
        <v>281</v>
      </c>
      <c r="E1703" s="163" t="s">
        <v>18</v>
      </c>
      <c r="F1703" s="185"/>
      <c r="G1703" s="165">
        <f t="shared" si="40"/>
        <v>102804.21100000001</v>
      </c>
      <c r="H1703" s="163"/>
      <c r="I1703" s="163" t="s">
        <v>283</v>
      </c>
      <c r="J1703" s="163"/>
      <c r="K1703" s="163"/>
      <c r="L1703" s="163" t="s">
        <v>1571</v>
      </c>
      <c r="M1703" s="163"/>
      <c r="N1703" s="163" t="s">
        <v>978</v>
      </c>
      <c r="O1703" s="163"/>
      <c r="P1703" s="163"/>
      <c r="Q1703" s="163"/>
      <c r="R1703" s="163" t="s">
        <v>358</v>
      </c>
      <c r="S1703" s="163" t="s">
        <v>361</v>
      </c>
      <c r="T1703" s="43">
        <f t="shared" si="42"/>
        <v>3</v>
      </c>
      <c r="U1703" s="167">
        <f t="shared" si="41"/>
        <v>45723</v>
      </c>
      <c r="V1703" s="145">
        <v>45723</v>
      </c>
      <c r="W1703" s="43">
        <f t="shared" si="43"/>
        <v>3</v>
      </c>
      <c r="X1703" s="49" t="s">
        <v>1499</v>
      </c>
      <c r="Y1703" s="49" t="s">
        <v>26</v>
      </c>
    </row>
    <row r="1704" spans="1:28" hidden="1">
      <c r="A1704" s="163" t="s">
        <v>1017</v>
      </c>
      <c r="B1704" s="164">
        <v>45722</v>
      </c>
      <c r="C1704" s="163" t="s">
        <v>99</v>
      </c>
      <c r="D1704" s="163" t="s">
        <v>281</v>
      </c>
      <c r="E1704" s="163" t="s">
        <v>18</v>
      </c>
      <c r="F1704" s="226">
        <v>-4324.24</v>
      </c>
      <c r="G1704" s="165">
        <f t="shared" si="40"/>
        <v>98479.971000000005</v>
      </c>
      <c r="H1704" s="163"/>
      <c r="I1704" s="163" t="s">
        <v>283</v>
      </c>
      <c r="J1704" s="163"/>
      <c r="K1704" s="163"/>
      <c r="L1704" s="163" t="s">
        <v>1571</v>
      </c>
      <c r="M1704" s="163"/>
      <c r="N1704" s="163" t="s">
        <v>978</v>
      </c>
      <c r="O1704" s="163"/>
      <c r="P1704" s="163"/>
      <c r="Q1704" s="163"/>
      <c r="R1704" s="163" t="s">
        <v>99</v>
      </c>
      <c r="S1704" s="163" t="s">
        <v>456</v>
      </c>
      <c r="T1704" s="43">
        <f t="shared" si="42"/>
        <v>3</v>
      </c>
      <c r="U1704" s="167">
        <f t="shared" si="41"/>
        <v>45723</v>
      </c>
      <c r="V1704" s="145">
        <v>45723</v>
      </c>
      <c r="W1704" s="43">
        <f t="shared" si="43"/>
        <v>3</v>
      </c>
      <c r="X1704" s="49" t="s">
        <v>1499</v>
      </c>
      <c r="Y1704" s="49" t="s">
        <v>26</v>
      </c>
    </row>
    <row r="1705" spans="1:28" hidden="1">
      <c r="A1705" s="163" t="s">
        <v>1017</v>
      </c>
      <c r="B1705" s="164">
        <v>45722</v>
      </c>
      <c r="C1705" s="163" t="s">
        <v>457</v>
      </c>
      <c r="D1705" s="163" t="s">
        <v>281</v>
      </c>
      <c r="E1705" s="163" t="s">
        <v>18</v>
      </c>
      <c r="F1705" s="226">
        <v>-1723.81</v>
      </c>
      <c r="G1705" s="165">
        <f t="shared" si="40"/>
        <v>96756.161000000007</v>
      </c>
      <c r="H1705" s="163"/>
      <c r="I1705" s="163" t="s">
        <v>283</v>
      </c>
      <c r="J1705" s="163"/>
      <c r="K1705" s="163"/>
      <c r="L1705" s="163" t="s">
        <v>1571</v>
      </c>
      <c r="M1705" s="163"/>
      <c r="N1705" s="163" t="s">
        <v>978</v>
      </c>
      <c r="O1705" s="163"/>
      <c r="P1705" s="163"/>
      <c r="Q1705" s="163"/>
      <c r="R1705" s="163" t="s">
        <v>457</v>
      </c>
      <c r="S1705" s="163" t="s">
        <v>459</v>
      </c>
      <c r="T1705" s="43">
        <f t="shared" si="42"/>
        <v>3</v>
      </c>
      <c r="U1705" s="167">
        <f t="shared" si="41"/>
        <v>45723</v>
      </c>
      <c r="V1705" s="261">
        <v>45723</v>
      </c>
      <c r="W1705" s="43">
        <f t="shared" si="43"/>
        <v>3</v>
      </c>
      <c r="X1705" s="49" t="s">
        <v>1499</v>
      </c>
      <c r="Y1705" s="49" t="s">
        <v>26</v>
      </c>
    </row>
    <row r="1706" spans="1:28" hidden="1">
      <c r="A1706" s="163" t="s">
        <v>1017</v>
      </c>
      <c r="B1706" s="164">
        <v>45722</v>
      </c>
      <c r="C1706" s="163" t="s">
        <v>460</v>
      </c>
      <c r="D1706" s="163" t="s">
        <v>281</v>
      </c>
      <c r="E1706" s="163" t="s">
        <v>18</v>
      </c>
      <c r="F1706" s="226">
        <v>-2788.05</v>
      </c>
      <c r="G1706" s="165">
        <f t="shared" si="40"/>
        <v>93968.111000000004</v>
      </c>
      <c r="H1706" s="163"/>
      <c r="I1706" s="163" t="s">
        <v>283</v>
      </c>
      <c r="J1706" s="163"/>
      <c r="K1706" s="163"/>
      <c r="L1706" s="163" t="s">
        <v>1571</v>
      </c>
      <c r="M1706" s="163"/>
      <c r="N1706" s="163" t="s">
        <v>978</v>
      </c>
      <c r="O1706" s="163"/>
      <c r="P1706" s="163"/>
      <c r="Q1706" s="163"/>
      <c r="R1706" s="163" t="s">
        <v>460</v>
      </c>
      <c r="S1706" s="163" t="s">
        <v>462</v>
      </c>
      <c r="T1706" s="43">
        <f t="shared" si="42"/>
        <v>3</v>
      </c>
      <c r="U1706" s="167">
        <f t="shared" si="41"/>
        <v>45723</v>
      </c>
      <c r="V1706" s="261">
        <v>45723</v>
      </c>
      <c r="W1706" s="43">
        <f t="shared" si="43"/>
        <v>3</v>
      </c>
      <c r="X1706" s="49" t="s">
        <v>1499</v>
      </c>
      <c r="Y1706" s="49" t="s">
        <v>26</v>
      </c>
    </row>
    <row r="1707" spans="1:28" hidden="1">
      <c r="A1707" s="163" t="s">
        <v>1017</v>
      </c>
      <c r="B1707" s="164">
        <v>45722</v>
      </c>
      <c r="C1707" s="163" t="s">
        <v>463</v>
      </c>
      <c r="D1707" s="163" t="s">
        <v>281</v>
      </c>
      <c r="E1707" s="163" t="s">
        <v>18</v>
      </c>
      <c r="F1707" s="226">
        <v>-1642.79</v>
      </c>
      <c r="G1707" s="165">
        <f t="shared" si="40"/>
        <v>92325.321000000011</v>
      </c>
      <c r="H1707" s="163"/>
      <c r="I1707" s="163" t="s">
        <v>283</v>
      </c>
      <c r="J1707" s="163"/>
      <c r="K1707" s="163"/>
      <c r="L1707" s="163" t="s">
        <v>1571</v>
      </c>
      <c r="M1707" s="163"/>
      <c r="N1707" s="163" t="s">
        <v>978</v>
      </c>
      <c r="O1707" s="163"/>
      <c r="P1707" s="163"/>
      <c r="Q1707" s="163"/>
      <c r="R1707" s="163" t="s">
        <v>463</v>
      </c>
      <c r="S1707" s="163" t="s">
        <v>465</v>
      </c>
      <c r="T1707" s="43">
        <f t="shared" si="42"/>
        <v>3</v>
      </c>
      <c r="U1707" s="167">
        <f t="shared" si="41"/>
        <v>45723</v>
      </c>
      <c r="V1707" s="261">
        <v>45723</v>
      </c>
      <c r="W1707" s="43">
        <f t="shared" si="43"/>
        <v>3</v>
      </c>
      <c r="X1707" s="49" t="s">
        <v>1499</v>
      </c>
      <c r="Y1707" s="49" t="s">
        <v>1488</v>
      </c>
    </row>
    <row r="1708" spans="1:28" hidden="1">
      <c r="A1708" s="163" t="s">
        <v>1017</v>
      </c>
      <c r="B1708" s="164">
        <v>45722</v>
      </c>
      <c r="C1708" s="163" t="s">
        <v>469</v>
      </c>
      <c r="D1708" s="163" t="s">
        <v>281</v>
      </c>
      <c r="E1708" s="163" t="s">
        <v>18</v>
      </c>
      <c r="F1708" s="185"/>
      <c r="G1708" s="165">
        <f t="shared" si="40"/>
        <v>92325.321000000011</v>
      </c>
      <c r="H1708" s="163"/>
      <c r="I1708" s="163" t="s">
        <v>283</v>
      </c>
      <c r="J1708" s="163"/>
      <c r="K1708" s="163"/>
      <c r="L1708" s="163" t="s">
        <v>1571</v>
      </c>
      <c r="M1708" s="163"/>
      <c r="N1708" s="163" t="s">
        <v>978</v>
      </c>
      <c r="O1708" s="163"/>
      <c r="P1708" s="163"/>
      <c r="Q1708" s="163"/>
      <c r="R1708" s="163" t="s">
        <v>469</v>
      </c>
      <c r="S1708" s="163" t="s">
        <v>471</v>
      </c>
      <c r="T1708" s="43">
        <f t="shared" si="42"/>
        <v>3</v>
      </c>
      <c r="U1708" s="167">
        <f t="shared" si="41"/>
        <v>45723</v>
      </c>
      <c r="V1708" s="145">
        <v>45723</v>
      </c>
      <c r="W1708" s="43">
        <f t="shared" si="43"/>
        <v>3</v>
      </c>
      <c r="X1708" s="49" t="s">
        <v>1499</v>
      </c>
      <c r="Y1708" s="49" t="s">
        <v>26</v>
      </c>
    </row>
    <row r="1709" spans="1:28" hidden="1">
      <c r="A1709" s="163" t="s">
        <v>1017</v>
      </c>
      <c r="B1709" s="164">
        <v>45722</v>
      </c>
      <c r="C1709" s="163" t="s">
        <v>466</v>
      </c>
      <c r="D1709" s="163" t="s">
        <v>281</v>
      </c>
      <c r="E1709" s="163" t="s">
        <v>18</v>
      </c>
      <c r="F1709" s="226">
        <v>-1367.72</v>
      </c>
      <c r="G1709" s="165">
        <f t="shared" si="40"/>
        <v>90957.60100000001</v>
      </c>
      <c r="H1709" s="163"/>
      <c r="I1709" s="163" t="s">
        <v>283</v>
      </c>
      <c r="J1709" s="163"/>
      <c r="K1709" s="163"/>
      <c r="L1709" s="163" t="s">
        <v>1571</v>
      </c>
      <c r="M1709" s="163"/>
      <c r="N1709" s="163" t="s">
        <v>978</v>
      </c>
      <c r="O1709" s="163"/>
      <c r="P1709" s="163"/>
      <c r="Q1709" s="163"/>
      <c r="R1709" s="163" t="s">
        <v>466</v>
      </c>
      <c r="S1709" s="163" t="s">
        <v>468</v>
      </c>
      <c r="T1709" s="43">
        <f t="shared" si="42"/>
        <v>3</v>
      </c>
      <c r="U1709" s="167">
        <f t="shared" si="41"/>
        <v>45723</v>
      </c>
      <c r="V1709" s="261">
        <v>45723</v>
      </c>
      <c r="W1709" s="43">
        <f t="shared" si="43"/>
        <v>3</v>
      </c>
      <c r="X1709" s="49" t="s">
        <v>1499</v>
      </c>
      <c r="Y1709" s="49" t="s">
        <v>26</v>
      </c>
    </row>
    <row r="1710" spans="1:28" hidden="1">
      <c r="A1710" s="163" t="s">
        <v>1017</v>
      </c>
      <c r="B1710" s="164">
        <v>45722</v>
      </c>
      <c r="C1710" s="163" t="s">
        <v>481</v>
      </c>
      <c r="D1710" s="163" t="s">
        <v>281</v>
      </c>
      <c r="E1710" s="163" t="s">
        <v>18</v>
      </c>
      <c r="F1710" s="226">
        <v>-3492.76</v>
      </c>
      <c r="G1710" s="165">
        <f t="shared" si="40"/>
        <v>87464.841000000015</v>
      </c>
      <c r="H1710" s="163"/>
      <c r="I1710" s="163" t="s">
        <v>283</v>
      </c>
      <c r="J1710" s="163"/>
      <c r="K1710" s="163"/>
      <c r="L1710" s="163" t="s">
        <v>1030</v>
      </c>
      <c r="M1710" s="163"/>
      <c r="N1710" s="163" t="s">
        <v>978</v>
      </c>
      <c r="O1710" s="163"/>
      <c r="P1710" s="163"/>
      <c r="Q1710" s="163"/>
      <c r="R1710" s="163" t="s">
        <v>481</v>
      </c>
      <c r="S1710" s="163" t="s">
        <v>483</v>
      </c>
      <c r="T1710" s="43">
        <f t="shared" si="42"/>
        <v>3</v>
      </c>
      <c r="U1710" s="167">
        <f t="shared" si="41"/>
        <v>45723</v>
      </c>
      <c r="V1710" s="261">
        <v>45723</v>
      </c>
      <c r="W1710" s="43">
        <f t="shared" si="43"/>
        <v>3</v>
      </c>
      <c r="X1710" s="49" t="s">
        <v>1499</v>
      </c>
      <c r="Y1710" s="49" t="s">
        <v>86</v>
      </c>
    </row>
    <row r="1711" spans="1:28" hidden="1">
      <c r="A1711" s="163" t="s">
        <v>1017</v>
      </c>
      <c r="B1711" s="164">
        <v>45722</v>
      </c>
      <c r="C1711" s="163" t="s">
        <v>484</v>
      </c>
      <c r="D1711" s="163" t="s">
        <v>281</v>
      </c>
      <c r="E1711" s="163" t="s">
        <v>18</v>
      </c>
      <c r="F1711" s="226">
        <v>-1343.17</v>
      </c>
      <c r="G1711" s="165">
        <f t="shared" si="40"/>
        <v>86121.671000000017</v>
      </c>
      <c r="H1711" s="163"/>
      <c r="I1711" s="163" t="s">
        <v>283</v>
      </c>
      <c r="J1711" s="163"/>
      <c r="K1711" s="163"/>
      <c r="L1711" s="163" t="s">
        <v>366</v>
      </c>
      <c r="M1711" s="163"/>
      <c r="N1711" s="163" t="s">
        <v>978</v>
      </c>
      <c r="O1711" s="163"/>
      <c r="P1711" s="163"/>
      <c r="Q1711" s="163"/>
      <c r="R1711" s="163" t="s">
        <v>484</v>
      </c>
      <c r="S1711" s="163" t="s">
        <v>487</v>
      </c>
      <c r="T1711" s="43">
        <f t="shared" si="42"/>
        <v>3</v>
      </c>
      <c r="U1711" s="167">
        <f t="shared" si="41"/>
        <v>45723</v>
      </c>
      <c r="V1711" s="261">
        <v>45723</v>
      </c>
      <c r="W1711" s="43">
        <f t="shared" si="43"/>
        <v>3</v>
      </c>
      <c r="X1711" s="49" t="s">
        <v>1499</v>
      </c>
      <c r="Y1711" s="49" t="s">
        <v>86</v>
      </c>
    </row>
    <row r="1712" spans="1:28" hidden="1">
      <c r="A1712" s="163" t="s">
        <v>1017</v>
      </c>
      <c r="B1712" s="164">
        <v>45722</v>
      </c>
      <c r="C1712" s="163" t="s">
        <v>491</v>
      </c>
      <c r="D1712" s="163" t="s">
        <v>281</v>
      </c>
      <c r="E1712" s="163" t="s">
        <v>18</v>
      </c>
      <c r="F1712" s="226">
        <v>-3575.05</v>
      </c>
      <c r="G1712" s="165">
        <f t="shared" si="40"/>
        <v>82546.621000000014</v>
      </c>
      <c r="H1712" s="163"/>
      <c r="I1712" s="163" t="s">
        <v>283</v>
      </c>
      <c r="J1712" s="163"/>
      <c r="K1712" s="163"/>
      <c r="L1712" s="163" t="s">
        <v>366</v>
      </c>
      <c r="M1712" s="163"/>
      <c r="N1712" s="163" t="s">
        <v>978</v>
      </c>
      <c r="O1712" s="163"/>
      <c r="P1712" s="163"/>
      <c r="Q1712" s="163"/>
      <c r="R1712" s="163" t="s">
        <v>491</v>
      </c>
      <c r="S1712" s="163" t="s">
        <v>493</v>
      </c>
      <c r="T1712" s="43">
        <f t="shared" si="42"/>
        <v>3</v>
      </c>
      <c r="U1712" s="167">
        <f t="shared" si="41"/>
        <v>45723</v>
      </c>
      <c r="V1712" s="261">
        <v>45723</v>
      </c>
      <c r="W1712" s="43">
        <f t="shared" si="43"/>
        <v>3</v>
      </c>
      <c r="X1712" s="49" t="s">
        <v>1499</v>
      </c>
      <c r="Y1712" s="49" t="s">
        <v>86</v>
      </c>
    </row>
    <row r="1713" spans="1:28" hidden="1">
      <c r="A1713" s="163" t="s">
        <v>1017</v>
      </c>
      <c r="B1713" s="164">
        <v>45722</v>
      </c>
      <c r="C1713" s="163" t="s">
        <v>494</v>
      </c>
      <c r="D1713" s="163" t="s">
        <v>281</v>
      </c>
      <c r="E1713" s="163" t="s">
        <v>18</v>
      </c>
      <c r="F1713" s="226">
        <v>-1842.77</v>
      </c>
      <c r="G1713" s="165">
        <f t="shared" si="40"/>
        <v>80703.85100000001</v>
      </c>
      <c r="H1713" s="163"/>
      <c r="I1713" s="163" t="s">
        <v>283</v>
      </c>
      <c r="J1713" s="163"/>
      <c r="K1713" s="163"/>
      <c r="L1713" s="163" t="s">
        <v>366</v>
      </c>
      <c r="M1713" s="163"/>
      <c r="N1713" s="163" t="s">
        <v>978</v>
      </c>
      <c r="O1713" s="163"/>
      <c r="P1713" s="163"/>
      <c r="Q1713" s="163"/>
      <c r="R1713" s="163" t="s">
        <v>494</v>
      </c>
      <c r="S1713" s="163" t="s">
        <v>496</v>
      </c>
      <c r="T1713" s="43">
        <f t="shared" si="42"/>
        <v>3</v>
      </c>
      <c r="U1713" s="167">
        <f t="shared" si="41"/>
        <v>45723</v>
      </c>
      <c r="V1713" s="261">
        <v>45723</v>
      </c>
      <c r="W1713" s="43">
        <f t="shared" si="43"/>
        <v>3</v>
      </c>
      <c r="X1713" s="49" t="s">
        <v>1499</v>
      </c>
      <c r="Y1713" s="49" t="s">
        <v>86</v>
      </c>
    </row>
    <row r="1714" spans="1:28" hidden="1">
      <c r="A1714" s="163" t="s">
        <v>1017</v>
      </c>
      <c r="B1714" s="164">
        <v>45722</v>
      </c>
      <c r="C1714" s="163" t="s">
        <v>1651</v>
      </c>
      <c r="D1714" s="163" t="s">
        <v>281</v>
      </c>
      <c r="E1714" s="163" t="s">
        <v>18</v>
      </c>
      <c r="F1714" s="185"/>
      <c r="G1714" s="165">
        <f t="shared" si="40"/>
        <v>80703.85100000001</v>
      </c>
      <c r="H1714" s="163"/>
      <c r="I1714" s="163" t="s">
        <v>283</v>
      </c>
      <c r="J1714" s="163"/>
      <c r="K1714" s="163"/>
      <c r="L1714" s="163" t="s">
        <v>686</v>
      </c>
      <c r="M1714" s="163"/>
      <c r="N1714" s="163" t="s">
        <v>978</v>
      </c>
      <c r="O1714" s="163"/>
      <c r="P1714" s="163"/>
      <c r="Q1714" s="163"/>
      <c r="R1714" s="163" t="s">
        <v>362</v>
      </c>
      <c r="S1714" s="163" t="s">
        <v>364</v>
      </c>
      <c r="T1714" s="43">
        <f t="shared" si="42"/>
        <v>3</v>
      </c>
      <c r="U1714" s="167">
        <f t="shared" si="41"/>
        <v>45723</v>
      </c>
      <c r="V1714" s="145">
        <v>45723</v>
      </c>
      <c r="W1714" s="43">
        <f t="shared" si="43"/>
        <v>3</v>
      </c>
      <c r="X1714" s="49" t="s">
        <v>1499</v>
      </c>
      <c r="Y1714" s="49" t="s">
        <v>105</v>
      </c>
    </row>
    <row r="1715" spans="1:28" hidden="1">
      <c r="A1715" s="180" t="s">
        <v>1017</v>
      </c>
      <c r="B1715" s="181">
        <v>45722</v>
      </c>
      <c r="C1715" s="180" t="s">
        <v>1652</v>
      </c>
      <c r="D1715" s="180" t="s">
        <v>281</v>
      </c>
      <c r="E1715" s="180" t="s">
        <v>18</v>
      </c>
      <c r="F1715" s="226">
        <v>-3492.76</v>
      </c>
      <c r="G1715" s="165">
        <f t="shared" si="40"/>
        <v>77211.091000000015</v>
      </c>
      <c r="H1715" s="180"/>
      <c r="I1715" s="180" t="s">
        <v>283</v>
      </c>
      <c r="J1715" s="180"/>
      <c r="K1715" s="180"/>
      <c r="L1715" s="180" t="s">
        <v>366</v>
      </c>
      <c r="M1715" s="180"/>
      <c r="N1715" s="180" t="s">
        <v>978</v>
      </c>
      <c r="O1715" s="180"/>
      <c r="P1715" s="180"/>
      <c r="Q1715" s="180"/>
      <c r="R1715" s="180" t="s">
        <v>362</v>
      </c>
      <c r="S1715" s="180" t="s">
        <v>364</v>
      </c>
      <c r="T1715" s="183">
        <f t="shared" si="42"/>
        <v>3</v>
      </c>
      <c r="U1715" s="184">
        <f t="shared" si="41"/>
        <v>45723</v>
      </c>
      <c r="V1715" s="261">
        <v>45723</v>
      </c>
      <c r="W1715" s="43">
        <f t="shared" si="43"/>
        <v>3</v>
      </c>
      <c r="X1715" s="49" t="s">
        <v>1499</v>
      </c>
      <c r="Y1715" s="49" t="s">
        <v>86</v>
      </c>
      <c r="Z1715" s="183"/>
      <c r="AA1715" s="183"/>
      <c r="AB1715" s="183"/>
    </row>
    <row r="1716" spans="1:28" hidden="1">
      <c r="A1716" s="163" t="s">
        <v>1017</v>
      </c>
      <c r="B1716" s="164">
        <v>45722</v>
      </c>
      <c r="C1716" s="163" t="s">
        <v>505</v>
      </c>
      <c r="D1716" s="163" t="s">
        <v>281</v>
      </c>
      <c r="E1716" s="163" t="s">
        <v>18</v>
      </c>
      <c r="F1716" s="226">
        <v>-1450.6</v>
      </c>
      <c r="G1716" s="165">
        <f t="shared" si="40"/>
        <v>75760.491000000009</v>
      </c>
      <c r="H1716" s="163"/>
      <c r="I1716" s="163" t="s">
        <v>283</v>
      </c>
      <c r="J1716" s="163"/>
      <c r="K1716" s="163"/>
      <c r="L1716" s="163" t="s">
        <v>366</v>
      </c>
      <c r="M1716" s="163"/>
      <c r="N1716" s="163" t="s">
        <v>978</v>
      </c>
      <c r="O1716" s="163"/>
      <c r="P1716" s="163"/>
      <c r="Q1716" s="163"/>
      <c r="R1716" s="163" t="s">
        <v>505</v>
      </c>
      <c r="S1716" s="163" t="s">
        <v>507</v>
      </c>
      <c r="T1716" s="43">
        <f t="shared" si="42"/>
        <v>3</v>
      </c>
      <c r="U1716" s="167">
        <f t="shared" si="41"/>
        <v>45723</v>
      </c>
      <c r="V1716" s="261">
        <v>45723</v>
      </c>
      <c r="W1716" s="43">
        <f t="shared" si="43"/>
        <v>3</v>
      </c>
      <c r="X1716" s="49" t="s">
        <v>1499</v>
      </c>
      <c r="Y1716" s="49" t="s">
        <v>105</v>
      </c>
    </row>
    <row r="1717" spans="1:28" hidden="1">
      <c r="A1717" s="163" t="s">
        <v>1017</v>
      </c>
      <c r="B1717" s="164">
        <v>45722</v>
      </c>
      <c r="C1717" s="163" t="s">
        <v>111</v>
      </c>
      <c r="D1717" s="163" t="s">
        <v>281</v>
      </c>
      <c r="E1717" s="163" t="s">
        <v>18</v>
      </c>
      <c r="F1717" s="226">
        <v>-2202.27</v>
      </c>
      <c r="G1717" s="165">
        <f t="shared" si="40"/>
        <v>73558.221000000005</v>
      </c>
      <c r="H1717" s="163"/>
      <c r="I1717" s="163" t="s">
        <v>283</v>
      </c>
      <c r="J1717" s="163"/>
      <c r="K1717" s="163"/>
      <c r="L1717" s="163" t="s">
        <v>686</v>
      </c>
      <c r="M1717" s="163"/>
      <c r="N1717" s="163" t="s">
        <v>978</v>
      </c>
      <c r="O1717" s="163"/>
      <c r="P1717" s="163"/>
      <c r="Q1717" s="163"/>
      <c r="R1717" s="163" t="s">
        <v>111</v>
      </c>
      <c r="S1717" s="163" t="s">
        <v>320</v>
      </c>
      <c r="T1717" s="43">
        <f t="shared" si="42"/>
        <v>3</v>
      </c>
      <c r="U1717" s="167">
        <f t="shared" si="41"/>
        <v>45723</v>
      </c>
      <c r="V1717" s="261">
        <v>45723</v>
      </c>
      <c r="W1717" s="43">
        <f t="shared" si="43"/>
        <v>3</v>
      </c>
      <c r="X1717" s="49" t="s">
        <v>1499</v>
      </c>
      <c r="Y1717" s="49" t="s">
        <v>105</v>
      </c>
    </row>
    <row r="1718" spans="1:28" hidden="1">
      <c r="A1718" s="163" t="s">
        <v>1017</v>
      </c>
      <c r="B1718" s="164">
        <v>45722</v>
      </c>
      <c r="C1718" s="163" t="s">
        <v>510</v>
      </c>
      <c r="D1718" s="163" t="s">
        <v>281</v>
      </c>
      <c r="E1718" s="163" t="s">
        <v>18</v>
      </c>
      <c r="F1718" s="226">
        <v>-2661.88</v>
      </c>
      <c r="G1718" s="165">
        <f t="shared" si="40"/>
        <v>70896.341</v>
      </c>
      <c r="H1718" s="163"/>
      <c r="I1718" s="163" t="s">
        <v>283</v>
      </c>
      <c r="J1718" s="163"/>
      <c r="K1718" s="163"/>
      <c r="L1718" s="163" t="s">
        <v>686</v>
      </c>
      <c r="M1718" s="163"/>
      <c r="N1718" s="163" t="s">
        <v>978</v>
      </c>
      <c r="O1718" s="163"/>
      <c r="P1718" s="163"/>
      <c r="Q1718" s="163"/>
      <c r="R1718" s="163" t="s">
        <v>510</v>
      </c>
      <c r="S1718" s="163" t="s">
        <v>512</v>
      </c>
      <c r="T1718" s="43">
        <f t="shared" si="42"/>
        <v>3</v>
      </c>
      <c r="U1718" s="167">
        <f t="shared" si="41"/>
        <v>45723</v>
      </c>
      <c r="V1718" s="261">
        <v>45723</v>
      </c>
      <c r="W1718" s="43">
        <f t="shared" si="43"/>
        <v>3</v>
      </c>
      <c r="X1718" s="49" t="s">
        <v>1499</v>
      </c>
      <c r="Y1718" s="49" t="s">
        <v>86</v>
      </c>
    </row>
    <row r="1719" spans="1:28" hidden="1">
      <c r="A1719" s="163" t="s">
        <v>1017</v>
      </c>
      <c r="B1719" s="164">
        <v>45722</v>
      </c>
      <c r="C1719" s="163" t="s">
        <v>513</v>
      </c>
      <c r="D1719" s="163" t="s">
        <v>281</v>
      </c>
      <c r="E1719" s="163" t="s">
        <v>18</v>
      </c>
      <c r="F1719" s="226">
        <v>-1797.77</v>
      </c>
      <c r="G1719" s="165">
        <f t="shared" si="40"/>
        <v>69098.570999999996</v>
      </c>
      <c r="H1719" s="163"/>
      <c r="I1719" s="163" t="s">
        <v>283</v>
      </c>
      <c r="J1719" s="163"/>
      <c r="K1719" s="163"/>
      <c r="L1719" s="163" t="s">
        <v>686</v>
      </c>
      <c r="M1719" s="163"/>
      <c r="N1719" s="163" t="s">
        <v>978</v>
      </c>
      <c r="O1719" s="163"/>
      <c r="P1719" s="163"/>
      <c r="Q1719" s="163"/>
      <c r="R1719" s="163" t="s">
        <v>513</v>
      </c>
      <c r="S1719" s="163" t="s">
        <v>515</v>
      </c>
      <c r="T1719" s="43">
        <f t="shared" si="42"/>
        <v>3</v>
      </c>
      <c r="U1719" s="167">
        <f t="shared" si="41"/>
        <v>45723</v>
      </c>
      <c r="V1719" s="261">
        <v>45723</v>
      </c>
      <c r="W1719" s="43">
        <f t="shared" si="43"/>
        <v>3</v>
      </c>
      <c r="X1719" s="49" t="s">
        <v>1499</v>
      </c>
      <c r="Y1719" s="49" t="s">
        <v>86</v>
      </c>
    </row>
    <row r="1720" spans="1:28" hidden="1">
      <c r="A1720" s="163" t="s">
        <v>1017</v>
      </c>
      <c r="B1720" s="164">
        <v>45722</v>
      </c>
      <c r="C1720" s="163" t="s">
        <v>528</v>
      </c>
      <c r="D1720" s="163" t="s">
        <v>281</v>
      </c>
      <c r="E1720" s="163" t="s">
        <v>18</v>
      </c>
      <c r="F1720" s="226">
        <v>-2297.77</v>
      </c>
      <c r="G1720" s="165">
        <f t="shared" si="40"/>
        <v>66800.800999999992</v>
      </c>
      <c r="H1720" s="163"/>
      <c r="I1720" s="163" t="s">
        <v>283</v>
      </c>
      <c r="J1720" s="163"/>
      <c r="K1720" s="163"/>
      <c r="L1720" s="163" t="s">
        <v>686</v>
      </c>
      <c r="M1720" s="163"/>
      <c r="N1720" s="163" t="s">
        <v>978</v>
      </c>
      <c r="O1720" s="163"/>
      <c r="P1720" s="163"/>
      <c r="Q1720" s="163"/>
      <c r="R1720" s="163" t="s">
        <v>528</v>
      </c>
      <c r="S1720" s="163" t="s">
        <v>530</v>
      </c>
      <c r="T1720" s="43">
        <f t="shared" si="42"/>
        <v>3</v>
      </c>
      <c r="U1720" s="167">
        <f t="shared" si="41"/>
        <v>45723</v>
      </c>
      <c r="V1720" s="261">
        <v>45723</v>
      </c>
      <c r="W1720" s="43">
        <f t="shared" si="43"/>
        <v>3</v>
      </c>
      <c r="X1720" s="49" t="s">
        <v>1499</v>
      </c>
      <c r="Y1720" s="49" t="s">
        <v>86</v>
      </c>
    </row>
    <row r="1721" spans="1:28" hidden="1">
      <c r="A1721" s="163" t="s">
        <v>1017</v>
      </c>
      <c r="B1721" s="164">
        <v>45722</v>
      </c>
      <c r="C1721" s="163" t="s">
        <v>516</v>
      </c>
      <c r="D1721" s="163" t="s">
        <v>281</v>
      </c>
      <c r="E1721" s="163" t="s">
        <v>18</v>
      </c>
      <c r="F1721" s="226">
        <v>-1442.77</v>
      </c>
      <c r="G1721" s="165">
        <f t="shared" si="40"/>
        <v>65358.030999999995</v>
      </c>
      <c r="H1721" s="163"/>
      <c r="I1721" s="163" t="s">
        <v>283</v>
      </c>
      <c r="J1721" s="163"/>
      <c r="K1721" s="163"/>
      <c r="L1721" s="163" t="s">
        <v>686</v>
      </c>
      <c r="M1721" s="163"/>
      <c r="N1721" s="163" t="s">
        <v>978</v>
      </c>
      <c r="O1721" s="163"/>
      <c r="P1721" s="163"/>
      <c r="Q1721" s="163"/>
      <c r="R1721" s="163" t="s">
        <v>516</v>
      </c>
      <c r="S1721" s="163" t="s">
        <v>518</v>
      </c>
      <c r="T1721" s="43">
        <f t="shared" si="42"/>
        <v>3</v>
      </c>
      <c r="U1721" s="167">
        <f t="shared" si="41"/>
        <v>45723</v>
      </c>
      <c r="V1721" s="261">
        <v>45723</v>
      </c>
      <c r="W1721" s="43">
        <f t="shared" si="43"/>
        <v>3</v>
      </c>
      <c r="X1721" s="49" t="s">
        <v>1499</v>
      </c>
      <c r="Y1721" s="49" t="s">
        <v>86</v>
      </c>
    </row>
    <row r="1722" spans="1:28" hidden="1">
      <c r="A1722" s="163" t="s">
        <v>1017</v>
      </c>
      <c r="B1722" s="164">
        <v>45722</v>
      </c>
      <c r="C1722" s="163" t="s">
        <v>1653</v>
      </c>
      <c r="D1722" s="163" t="s">
        <v>281</v>
      </c>
      <c r="E1722" s="163" t="s">
        <v>18</v>
      </c>
      <c r="F1722" s="185"/>
      <c r="G1722" s="165">
        <f t="shared" si="40"/>
        <v>65358.030999999995</v>
      </c>
      <c r="H1722" s="163"/>
      <c r="I1722" s="163" t="s">
        <v>283</v>
      </c>
      <c r="J1722" s="163"/>
      <c r="K1722" s="163"/>
      <c r="L1722" s="163" t="s">
        <v>686</v>
      </c>
      <c r="M1722" s="163"/>
      <c r="N1722" s="163" t="s">
        <v>978</v>
      </c>
      <c r="O1722" s="163"/>
      <c r="P1722" s="163"/>
      <c r="Q1722" s="163"/>
      <c r="R1722" s="163" t="s">
        <v>519</v>
      </c>
      <c r="S1722" s="163" t="s">
        <v>521</v>
      </c>
      <c r="T1722" s="43">
        <f t="shared" si="42"/>
        <v>3</v>
      </c>
      <c r="U1722" s="167">
        <f t="shared" si="41"/>
        <v>45723</v>
      </c>
      <c r="V1722" s="145">
        <v>45723</v>
      </c>
      <c r="W1722" s="43">
        <f t="shared" si="43"/>
        <v>3</v>
      </c>
      <c r="X1722" s="49" t="s">
        <v>1499</v>
      </c>
      <c r="Y1722" s="49" t="s">
        <v>86</v>
      </c>
    </row>
    <row r="1723" spans="1:28" hidden="1">
      <c r="A1723" s="163" t="s">
        <v>1017</v>
      </c>
      <c r="B1723" s="164">
        <v>45722</v>
      </c>
      <c r="C1723" s="163" t="s">
        <v>522</v>
      </c>
      <c r="D1723" s="163" t="s">
        <v>281</v>
      </c>
      <c r="E1723" s="163" t="s">
        <v>18</v>
      </c>
      <c r="F1723" s="226">
        <v>-1517.62</v>
      </c>
      <c r="G1723" s="165">
        <f t="shared" si="40"/>
        <v>63840.410999999993</v>
      </c>
      <c r="H1723" s="163"/>
      <c r="I1723" s="163" t="s">
        <v>283</v>
      </c>
      <c r="J1723" s="163"/>
      <c r="K1723" s="163"/>
      <c r="L1723" s="163" t="s">
        <v>686</v>
      </c>
      <c r="M1723" s="163"/>
      <c r="N1723" s="163" t="s">
        <v>978</v>
      </c>
      <c r="O1723" s="163"/>
      <c r="P1723" s="163"/>
      <c r="Q1723" s="163"/>
      <c r="R1723" s="163" t="s">
        <v>522</v>
      </c>
      <c r="S1723" s="163" t="s">
        <v>524</v>
      </c>
      <c r="T1723" s="43">
        <f t="shared" si="42"/>
        <v>3</v>
      </c>
      <c r="U1723" s="167">
        <f t="shared" si="41"/>
        <v>45723</v>
      </c>
      <c r="V1723" s="261">
        <v>45723</v>
      </c>
      <c r="W1723" s="43">
        <f t="shared" si="43"/>
        <v>3</v>
      </c>
      <c r="X1723" s="49" t="s">
        <v>1499</v>
      </c>
      <c r="Y1723" s="49" t="s">
        <v>86</v>
      </c>
    </row>
    <row r="1724" spans="1:28" hidden="1">
      <c r="A1724" s="163" t="s">
        <v>1017</v>
      </c>
      <c r="B1724" s="164">
        <v>45722</v>
      </c>
      <c r="C1724" s="163" t="s">
        <v>522</v>
      </c>
      <c r="D1724" s="163" t="s">
        <v>281</v>
      </c>
      <c r="E1724" s="163" t="s">
        <v>18</v>
      </c>
      <c r="F1724" s="226">
        <v>-7500</v>
      </c>
      <c r="G1724" s="165">
        <f t="shared" si="40"/>
        <v>56340.410999999993</v>
      </c>
      <c r="H1724" s="163"/>
      <c r="I1724" s="163" t="s">
        <v>283</v>
      </c>
      <c r="J1724" s="163"/>
      <c r="K1724" s="163"/>
      <c r="L1724" s="163" t="s">
        <v>686</v>
      </c>
      <c r="M1724" s="163"/>
      <c r="N1724" s="163" t="s">
        <v>978</v>
      </c>
      <c r="O1724" s="163"/>
      <c r="P1724" s="163"/>
      <c r="Q1724" s="163"/>
      <c r="R1724" s="163" t="s">
        <v>522</v>
      </c>
      <c r="S1724" s="163" t="s">
        <v>524</v>
      </c>
      <c r="T1724" s="43">
        <f t="shared" si="42"/>
        <v>3</v>
      </c>
      <c r="U1724" s="167">
        <f t="shared" si="41"/>
        <v>45723</v>
      </c>
      <c r="V1724" s="261">
        <v>45723</v>
      </c>
      <c r="W1724" s="43">
        <f t="shared" si="43"/>
        <v>3</v>
      </c>
      <c r="X1724" s="49" t="s">
        <v>1499</v>
      </c>
      <c r="Y1724" s="49" t="s">
        <v>86</v>
      </c>
    </row>
    <row r="1725" spans="1:28" hidden="1">
      <c r="A1725" s="163" t="s">
        <v>1017</v>
      </c>
      <c r="B1725" s="164">
        <v>45722</v>
      </c>
      <c r="C1725" s="163" t="s">
        <v>525</v>
      </c>
      <c r="D1725" s="163" t="s">
        <v>281</v>
      </c>
      <c r="E1725" s="163" t="s">
        <v>18</v>
      </c>
      <c r="F1725" s="226">
        <v>-2427.7600000000002</v>
      </c>
      <c r="G1725" s="165">
        <f t="shared" si="40"/>
        <v>53912.650999999991</v>
      </c>
      <c r="H1725" s="163"/>
      <c r="I1725" s="163" t="s">
        <v>283</v>
      </c>
      <c r="J1725" s="163"/>
      <c r="K1725" s="163"/>
      <c r="L1725" s="163" t="s">
        <v>686</v>
      </c>
      <c r="M1725" s="163"/>
      <c r="N1725" s="163" t="s">
        <v>978</v>
      </c>
      <c r="O1725" s="163"/>
      <c r="P1725" s="163"/>
      <c r="Q1725" s="163"/>
      <c r="R1725" s="163" t="s">
        <v>525</v>
      </c>
      <c r="S1725" s="163" t="s">
        <v>527</v>
      </c>
      <c r="T1725" s="43">
        <f t="shared" si="42"/>
        <v>3</v>
      </c>
      <c r="U1725" s="167">
        <f t="shared" si="41"/>
        <v>45723</v>
      </c>
      <c r="V1725" s="261">
        <v>45723</v>
      </c>
      <c r="W1725" s="43">
        <f t="shared" si="43"/>
        <v>3</v>
      </c>
      <c r="X1725" s="49" t="s">
        <v>1499</v>
      </c>
      <c r="Y1725" s="49" t="s">
        <v>86</v>
      </c>
    </row>
    <row r="1726" spans="1:28" hidden="1">
      <c r="A1726" s="163" t="s">
        <v>1017</v>
      </c>
      <c r="B1726" s="164">
        <v>45722</v>
      </c>
      <c r="C1726" s="163" t="s">
        <v>112</v>
      </c>
      <c r="D1726" s="163" t="s">
        <v>281</v>
      </c>
      <c r="E1726" s="163" t="s">
        <v>18</v>
      </c>
      <c r="F1726" s="226">
        <v>-1797.77</v>
      </c>
      <c r="G1726" s="165">
        <f t="shared" si="40"/>
        <v>52114.880999999994</v>
      </c>
      <c r="H1726" s="163"/>
      <c r="I1726" s="163" t="s">
        <v>283</v>
      </c>
      <c r="J1726" s="163"/>
      <c r="K1726" s="163"/>
      <c r="L1726" s="163" t="s">
        <v>686</v>
      </c>
      <c r="M1726" s="163"/>
      <c r="N1726" s="163" t="s">
        <v>978</v>
      </c>
      <c r="O1726" s="163"/>
      <c r="P1726" s="163"/>
      <c r="Q1726" s="163"/>
      <c r="R1726" s="163" t="s">
        <v>112</v>
      </c>
      <c r="S1726" s="163" t="s">
        <v>532</v>
      </c>
      <c r="T1726" s="43">
        <f t="shared" si="42"/>
        <v>3</v>
      </c>
      <c r="U1726" s="167">
        <f t="shared" si="41"/>
        <v>45723</v>
      </c>
      <c r="V1726" s="261">
        <v>45723</v>
      </c>
      <c r="W1726" s="43">
        <f t="shared" si="43"/>
        <v>3</v>
      </c>
      <c r="X1726" s="49" t="s">
        <v>1499</v>
      </c>
      <c r="Y1726" s="49" t="s">
        <v>86</v>
      </c>
    </row>
    <row r="1727" spans="1:28" hidden="1">
      <c r="A1727" s="163" t="s">
        <v>1017</v>
      </c>
      <c r="B1727" s="164">
        <v>45722</v>
      </c>
      <c r="C1727" s="163" t="s">
        <v>533</v>
      </c>
      <c r="D1727" s="163" t="s">
        <v>281</v>
      </c>
      <c r="E1727" s="163" t="s">
        <v>18</v>
      </c>
      <c r="F1727" s="226">
        <v>-1842.77</v>
      </c>
      <c r="G1727" s="165">
        <f t="shared" si="40"/>
        <v>50272.110999999997</v>
      </c>
      <c r="H1727" s="163"/>
      <c r="I1727" s="163" t="s">
        <v>283</v>
      </c>
      <c r="J1727" s="163"/>
      <c r="K1727" s="163"/>
      <c r="L1727" s="163" t="s">
        <v>686</v>
      </c>
      <c r="M1727" s="163"/>
      <c r="N1727" s="163" t="s">
        <v>978</v>
      </c>
      <c r="O1727" s="163"/>
      <c r="P1727" s="163"/>
      <c r="Q1727" s="163"/>
      <c r="R1727" s="163" t="s">
        <v>533</v>
      </c>
      <c r="S1727" s="163" t="s">
        <v>535</v>
      </c>
      <c r="T1727" s="43">
        <f t="shared" si="42"/>
        <v>3</v>
      </c>
      <c r="U1727" s="167">
        <f t="shared" si="41"/>
        <v>45723</v>
      </c>
      <c r="V1727" s="261">
        <v>45723</v>
      </c>
      <c r="W1727" s="43">
        <f t="shared" si="43"/>
        <v>3</v>
      </c>
      <c r="X1727" s="49" t="s">
        <v>1499</v>
      </c>
      <c r="Y1727" s="49" t="s">
        <v>86</v>
      </c>
    </row>
    <row r="1728" spans="1:28" hidden="1">
      <c r="A1728" s="163" t="s">
        <v>1017</v>
      </c>
      <c r="B1728" s="164">
        <v>45722</v>
      </c>
      <c r="C1728" s="163" t="s">
        <v>536</v>
      </c>
      <c r="D1728" s="163" t="s">
        <v>281</v>
      </c>
      <c r="E1728" s="163" t="s">
        <v>18</v>
      </c>
      <c r="F1728" s="226">
        <v>-1842.77</v>
      </c>
      <c r="G1728" s="165">
        <f t="shared" si="40"/>
        <v>48429.341</v>
      </c>
      <c r="H1728" s="163"/>
      <c r="I1728" s="163" t="s">
        <v>283</v>
      </c>
      <c r="J1728" s="163"/>
      <c r="K1728" s="163"/>
      <c r="L1728" s="163" t="s">
        <v>686</v>
      </c>
      <c r="M1728" s="163"/>
      <c r="N1728" s="163" t="s">
        <v>978</v>
      </c>
      <c r="O1728" s="163"/>
      <c r="P1728" s="163"/>
      <c r="Q1728" s="163"/>
      <c r="R1728" s="163" t="s">
        <v>536</v>
      </c>
      <c r="S1728" s="163" t="s">
        <v>538</v>
      </c>
      <c r="T1728" s="43">
        <f t="shared" si="42"/>
        <v>3</v>
      </c>
      <c r="U1728" s="167">
        <f t="shared" si="41"/>
        <v>45723</v>
      </c>
      <c r="V1728" s="261">
        <v>45723</v>
      </c>
      <c r="W1728" s="43">
        <f t="shared" si="43"/>
        <v>3</v>
      </c>
      <c r="X1728" s="49" t="s">
        <v>1499</v>
      </c>
      <c r="Y1728" s="49" t="s">
        <v>86</v>
      </c>
    </row>
    <row r="1729" spans="1:28" hidden="1">
      <c r="A1729" s="163" t="s">
        <v>1017</v>
      </c>
      <c r="B1729" s="164">
        <v>45722</v>
      </c>
      <c r="C1729" s="163" t="s">
        <v>93</v>
      </c>
      <c r="D1729" s="163" t="s">
        <v>281</v>
      </c>
      <c r="E1729" s="163" t="s">
        <v>18</v>
      </c>
      <c r="F1729" s="226">
        <v>-4106.08</v>
      </c>
      <c r="G1729" s="165">
        <f t="shared" si="40"/>
        <v>44323.260999999999</v>
      </c>
      <c r="H1729" s="163"/>
      <c r="I1729" s="163" t="s">
        <v>283</v>
      </c>
      <c r="J1729" s="163"/>
      <c r="K1729" s="163"/>
      <c r="L1729" s="163" t="s">
        <v>686</v>
      </c>
      <c r="M1729" s="163"/>
      <c r="N1729" s="163" t="s">
        <v>978</v>
      </c>
      <c r="O1729" s="163"/>
      <c r="P1729" s="163"/>
      <c r="Q1729" s="163"/>
      <c r="R1729" s="163" t="s">
        <v>93</v>
      </c>
      <c r="S1729" s="163" t="s">
        <v>540</v>
      </c>
      <c r="T1729" s="43">
        <f t="shared" si="42"/>
        <v>3</v>
      </c>
      <c r="U1729" s="167">
        <f t="shared" si="41"/>
        <v>45723</v>
      </c>
      <c r="V1729" s="261">
        <v>45723</v>
      </c>
      <c r="W1729" s="43">
        <f t="shared" si="43"/>
        <v>3</v>
      </c>
      <c r="X1729" s="49" t="s">
        <v>1499</v>
      </c>
      <c r="Y1729" s="49" t="s">
        <v>94</v>
      </c>
    </row>
    <row r="1730" spans="1:28" hidden="1">
      <c r="A1730" s="163" t="s">
        <v>1017</v>
      </c>
      <c r="B1730" s="164">
        <v>45722</v>
      </c>
      <c r="C1730" s="163" t="s">
        <v>88</v>
      </c>
      <c r="D1730" s="163" t="s">
        <v>281</v>
      </c>
      <c r="E1730" s="163" t="s">
        <v>18</v>
      </c>
      <c r="F1730" s="226">
        <v>-3837.77</v>
      </c>
      <c r="G1730" s="165">
        <f t="shared" si="40"/>
        <v>40485.491000000002</v>
      </c>
      <c r="H1730" s="163"/>
      <c r="I1730" s="163" t="s">
        <v>283</v>
      </c>
      <c r="J1730" s="163"/>
      <c r="K1730" s="163"/>
      <c r="L1730" s="163" t="s">
        <v>686</v>
      </c>
      <c r="M1730" s="163"/>
      <c r="N1730" s="163" t="s">
        <v>978</v>
      </c>
      <c r="O1730" s="163"/>
      <c r="P1730" s="163"/>
      <c r="Q1730" s="163"/>
      <c r="R1730" s="163" t="s">
        <v>88</v>
      </c>
      <c r="S1730" s="163" t="s">
        <v>542</v>
      </c>
      <c r="T1730" s="43">
        <f t="shared" si="42"/>
        <v>3</v>
      </c>
      <c r="U1730" s="167">
        <f t="shared" si="41"/>
        <v>45723</v>
      </c>
      <c r="V1730" s="261">
        <v>45723</v>
      </c>
      <c r="W1730" s="43">
        <f t="shared" si="43"/>
        <v>3</v>
      </c>
      <c r="X1730" s="49" t="s">
        <v>1499</v>
      </c>
      <c r="Y1730" s="49" t="s">
        <v>25</v>
      </c>
    </row>
    <row r="1731" spans="1:28" hidden="1">
      <c r="A1731" s="163" t="s">
        <v>1017</v>
      </c>
      <c r="B1731" s="164">
        <v>45722</v>
      </c>
      <c r="C1731" s="163" t="s">
        <v>543</v>
      </c>
      <c r="D1731" s="163" t="s">
        <v>281</v>
      </c>
      <c r="E1731" s="163" t="s">
        <v>18</v>
      </c>
      <c r="F1731" s="185"/>
      <c r="G1731" s="165">
        <f t="shared" si="40"/>
        <v>40485.491000000002</v>
      </c>
      <c r="H1731" s="163"/>
      <c r="I1731" s="163" t="s">
        <v>283</v>
      </c>
      <c r="J1731" s="163"/>
      <c r="K1731" s="163"/>
      <c r="L1731" s="163" t="s">
        <v>686</v>
      </c>
      <c r="M1731" s="163"/>
      <c r="N1731" s="163" t="s">
        <v>978</v>
      </c>
      <c r="O1731" s="163"/>
      <c r="P1731" s="163"/>
      <c r="Q1731" s="163"/>
      <c r="R1731" s="163" t="s">
        <v>543</v>
      </c>
      <c r="S1731" s="163" t="s">
        <v>545</v>
      </c>
      <c r="T1731" s="43">
        <f t="shared" si="42"/>
        <v>3</v>
      </c>
      <c r="U1731" s="167">
        <f t="shared" si="41"/>
        <v>45723</v>
      </c>
      <c r="V1731" s="145">
        <v>45723</v>
      </c>
      <c r="W1731" s="43">
        <f t="shared" si="43"/>
        <v>3</v>
      </c>
      <c r="X1731" s="49" t="s">
        <v>1499</v>
      </c>
      <c r="Y1731" s="49" t="s">
        <v>26</v>
      </c>
    </row>
    <row r="1732" spans="1:28" hidden="1">
      <c r="A1732" s="163" t="s">
        <v>1017</v>
      </c>
      <c r="B1732" s="164">
        <v>45722</v>
      </c>
      <c r="C1732" s="163" t="s">
        <v>546</v>
      </c>
      <c r="D1732" s="163" t="s">
        <v>281</v>
      </c>
      <c r="E1732" s="163" t="s">
        <v>18</v>
      </c>
      <c r="F1732" s="226">
        <v>-1471.31</v>
      </c>
      <c r="G1732" s="165">
        <f t="shared" si="40"/>
        <v>39014.181000000004</v>
      </c>
      <c r="H1732" s="163"/>
      <c r="I1732" s="163" t="s">
        <v>283</v>
      </c>
      <c r="J1732" s="163"/>
      <c r="K1732" s="163"/>
      <c r="L1732" s="163" t="s">
        <v>686</v>
      </c>
      <c r="M1732" s="163"/>
      <c r="N1732" s="163" t="s">
        <v>978</v>
      </c>
      <c r="O1732" s="163"/>
      <c r="P1732" s="163"/>
      <c r="Q1732" s="163"/>
      <c r="R1732" s="163" t="s">
        <v>546</v>
      </c>
      <c r="S1732" s="163" t="s">
        <v>548</v>
      </c>
      <c r="T1732" s="43">
        <f t="shared" si="42"/>
        <v>3</v>
      </c>
      <c r="U1732" s="167">
        <f t="shared" si="41"/>
        <v>45723</v>
      </c>
      <c r="V1732" s="261">
        <v>45723</v>
      </c>
      <c r="W1732" s="43">
        <f t="shared" si="43"/>
        <v>3</v>
      </c>
      <c r="X1732" s="49" t="s">
        <v>1499</v>
      </c>
      <c r="Y1732" s="49" t="s">
        <v>26</v>
      </c>
    </row>
    <row r="1733" spans="1:28" hidden="1">
      <c r="A1733" s="163" t="s">
        <v>1017</v>
      </c>
      <c r="B1733" s="164">
        <v>45722</v>
      </c>
      <c r="C1733" s="163" t="s">
        <v>549</v>
      </c>
      <c r="D1733" s="163" t="s">
        <v>281</v>
      </c>
      <c r="E1733" s="163" t="s">
        <v>18</v>
      </c>
      <c r="F1733" s="226">
        <v>-2486.8000000000002</v>
      </c>
      <c r="G1733" s="165">
        <f t="shared" si="40"/>
        <v>36527.381000000001</v>
      </c>
      <c r="H1733" s="163"/>
      <c r="I1733" s="163" t="s">
        <v>283</v>
      </c>
      <c r="J1733" s="163"/>
      <c r="K1733" s="163"/>
      <c r="L1733" s="163" t="s">
        <v>686</v>
      </c>
      <c r="M1733" s="163"/>
      <c r="N1733" s="163" t="s">
        <v>978</v>
      </c>
      <c r="O1733" s="163"/>
      <c r="P1733" s="163"/>
      <c r="Q1733" s="163"/>
      <c r="R1733" s="163" t="s">
        <v>549</v>
      </c>
      <c r="S1733" s="163" t="s">
        <v>551</v>
      </c>
      <c r="T1733" s="43">
        <f t="shared" si="42"/>
        <v>3</v>
      </c>
      <c r="U1733" s="167">
        <f t="shared" si="41"/>
        <v>45723</v>
      </c>
      <c r="V1733" s="261">
        <v>45723</v>
      </c>
      <c r="W1733" s="43">
        <f t="shared" si="43"/>
        <v>3</v>
      </c>
      <c r="X1733" s="49" t="s">
        <v>1499</v>
      </c>
      <c r="Y1733" s="49" t="s">
        <v>105</v>
      </c>
    </row>
    <row r="1734" spans="1:28" hidden="1">
      <c r="A1734" s="163" t="s">
        <v>1017</v>
      </c>
      <c r="B1734" s="164">
        <v>45722</v>
      </c>
      <c r="C1734" s="163" t="s">
        <v>1266</v>
      </c>
      <c r="D1734" s="163" t="s">
        <v>281</v>
      </c>
      <c r="E1734" s="163" t="s">
        <v>18</v>
      </c>
      <c r="F1734" s="226">
        <v>-2024.77</v>
      </c>
      <c r="G1734" s="165">
        <f t="shared" si="40"/>
        <v>34502.611000000004</v>
      </c>
      <c r="H1734" s="163"/>
      <c r="I1734" s="163" t="s">
        <v>283</v>
      </c>
      <c r="J1734" s="163"/>
      <c r="K1734" s="163"/>
      <c r="L1734" s="163" t="s">
        <v>766</v>
      </c>
      <c r="M1734" s="163"/>
      <c r="N1734" s="163" t="s">
        <v>978</v>
      </c>
      <c r="O1734" s="163"/>
      <c r="P1734" s="163"/>
      <c r="Q1734" s="163"/>
      <c r="R1734" s="163" t="s">
        <v>1266</v>
      </c>
      <c r="S1734" s="163" t="s">
        <v>1267</v>
      </c>
      <c r="T1734" s="43">
        <f t="shared" si="42"/>
        <v>3</v>
      </c>
      <c r="U1734" s="167">
        <f t="shared" si="41"/>
        <v>45723</v>
      </c>
      <c r="V1734" s="261">
        <v>45723</v>
      </c>
      <c r="W1734" s="43">
        <f t="shared" si="43"/>
        <v>3</v>
      </c>
      <c r="X1734" s="49" t="s">
        <v>1499</v>
      </c>
      <c r="Y1734" s="49" t="s">
        <v>86</v>
      </c>
    </row>
    <row r="1735" spans="1:28" hidden="1">
      <c r="A1735" s="163" t="s">
        <v>1017</v>
      </c>
      <c r="B1735" s="164">
        <v>45722</v>
      </c>
      <c r="C1735" s="163" t="s">
        <v>669</v>
      </c>
      <c r="D1735" s="163" t="s">
        <v>281</v>
      </c>
      <c r="E1735" s="163" t="s">
        <v>18</v>
      </c>
      <c r="F1735" s="185"/>
      <c r="G1735" s="165">
        <f t="shared" si="40"/>
        <v>34502.611000000004</v>
      </c>
      <c r="H1735" s="163"/>
      <c r="I1735" s="163" t="s">
        <v>283</v>
      </c>
      <c r="J1735" s="163"/>
      <c r="K1735" s="163"/>
      <c r="L1735" s="163" t="s">
        <v>766</v>
      </c>
      <c r="M1735" s="163"/>
      <c r="N1735" s="163" t="s">
        <v>978</v>
      </c>
      <c r="O1735" s="163"/>
      <c r="P1735" s="163"/>
      <c r="Q1735" s="163"/>
      <c r="R1735" s="163" t="s">
        <v>669</v>
      </c>
      <c r="S1735" s="163" t="s">
        <v>1492</v>
      </c>
      <c r="T1735" s="43">
        <f t="shared" si="42"/>
        <v>3</v>
      </c>
      <c r="U1735" s="167">
        <f t="shared" si="41"/>
        <v>45723</v>
      </c>
      <c r="V1735" s="145">
        <v>45723</v>
      </c>
      <c r="W1735" s="43">
        <f t="shared" si="43"/>
        <v>3</v>
      </c>
      <c r="X1735" s="49" t="s">
        <v>1499</v>
      </c>
      <c r="Y1735" s="49" t="s">
        <v>25</v>
      </c>
    </row>
    <row r="1736" spans="1:28" hidden="1">
      <c r="A1736" s="180" t="s">
        <v>1017</v>
      </c>
      <c r="B1736" s="181">
        <v>45722</v>
      </c>
      <c r="C1736" s="180" t="s">
        <v>1654</v>
      </c>
      <c r="D1736" s="180" t="s">
        <v>281</v>
      </c>
      <c r="E1736" s="180" t="s">
        <v>18</v>
      </c>
      <c r="F1736" s="226">
        <v>-5502.83</v>
      </c>
      <c r="G1736" s="165">
        <f t="shared" si="40"/>
        <v>28999.781000000003</v>
      </c>
      <c r="H1736" s="180"/>
      <c r="I1736" s="180" t="s">
        <v>283</v>
      </c>
      <c r="J1736" s="180"/>
      <c r="K1736" s="180"/>
      <c r="L1736" s="180" t="s">
        <v>1424</v>
      </c>
      <c r="M1736" s="180"/>
      <c r="N1736" s="180" t="s">
        <v>978</v>
      </c>
      <c r="O1736" s="180"/>
      <c r="P1736" s="180"/>
      <c r="Q1736" s="180"/>
      <c r="R1736" s="180" t="s">
        <v>466</v>
      </c>
      <c r="S1736" s="180" t="s">
        <v>468</v>
      </c>
      <c r="T1736" s="183">
        <f t="shared" si="42"/>
        <v>3</v>
      </c>
      <c r="U1736" s="184">
        <f t="shared" si="41"/>
        <v>45723</v>
      </c>
      <c r="V1736" s="261">
        <v>45723</v>
      </c>
      <c r="W1736" s="43">
        <f t="shared" si="43"/>
        <v>3</v>
      </c>
      <c r="X1736" s="49" t="s">
        <v>1499</v>
      </c>
      <c r="Y1736" s="49" t="s">
        <v>26</v>
      </c>
      <c r="Z1736" s="183"/>
      <c r="AA1736" s="183"/>
      <c r="AB1736" s="183"/>
    </row>
    <row r="1737" spans="1:28" hidden="1">
      <c r="A1737" s="180" t="s">
        <v>1017</v>
      </c>
      <c r="B1737" s="181">
        <v>45722</v>
      </c>
      <c r="C1737" s="180" t="s">
        <v>1722</v>
      </c>
      <c r="D1737" s="180" t="s">
        <v>281</v>
      </c>
      <c r="E1737" s="180" t="s">
        <v>18</v>
      </c>
      <c r="F1737" s="226">
        <f>-2449.44-133.33-2252.27-2252.27-1615.27</f>
        <v>-8702.58</v>
      </c>
      <c r="G1737" s="165">
        <f t="shared" si="40"/>
        <v>20297.201000000001</v>
      </c>
      <c r="H1737" s="180"/>
      <c r="I1737" s="180" t="s">
        <v>283</v>
      </c>
      <c r="J1737" s="180"/>
      <c r="K1737" s="180"/>
      <c r="L1737" s="180" t="s">
        <v>477</v>
      </c>
      <c r="M1737" s="180"/>
      <c r="N1737" s="180" t="s">
        <v>978</v>
      </c>
      <c r="O1737" s="180"/>
      <c r="P1737" s="180"/>
      <c r="Q1737" s="180"/>
      <c r="R1737" s="180" t="s">
        <v>669</v>
      </c>
      <c r="S1737" s="180" t="s">
        <v>1492</v>
      </c>
      <c r="T1737" s="183">
        <f t="shared" si="42"/>
        <v>3</v>
      </c>
      <c r="U1737" s="184">
        <f t="shared" si="41"/>
        <v>45723</v>
      </c>
      <c r="V1737" s="261">
        <v>45723</v>
      </c>
      <c r="W1737" s="43">
        <f t="shared" si="43"/>
        <v>3</v>
      </c>
      <c r="X1737" s="49" t="s">
        <v>1499</v>
      </c>
      <c r="Y1737" s="49" t="s">
        <v>86</v>
      </c>
      <c r="Z1737" s="183"/>
      <c r="AA1737" s="183"/>
      <c r="AB1737" s="183"/>
    </row>
    <row r="1738" spans="1:28" hidden="1">
      <c r="A1738" s="180" t="s">
        <v>1017</v>
      </c>
      <c r="B1738" s="181">
        <v>45722</v>
      </c>
      <c r="C1738" s="180" t="s">
        <v>1723</v>
      </c>
      <c r="D1738" s="180" t="s">
        <v>281</v>
      </c>
      <c r="E1738" s="180" t="s">
        <v>18</v>
      </c>
      <c r="F1738" s="226">
        <f>-647.5-2252.27-2854.15</f>
        <v>-5753.92</v>
      </c>
      <c r="G1738" s="165">
        <f t="shared" si="40"/>
        <v>14543.281000000001</v>
      </c>
      <c r="H1738" s="180"/>
      <c r="I1738" s="180" t="s">
        <v>283</v>
      </c>
      <c r="J1738" s="180"/>
      <c r="K1738" s="180"/>
      <c r="L1738" s="180" t="s">
        <v>477</v>
      </c>
      <c r="M1738" s="180"/>
      <c r="N1738" s="180" t="s">
        <v>978</v>
      </c>
      <c r="O1738" s="180"/>
      <c r="P1738" s="180"/>
      <c r="Q1738" s="180"/>
      <c r="R1738" s="180" t="s">
        <v>669</v>
      </c>
      <c r="S1738" s="180" t="s">
        <v>1492</v>
      </c>
      <c r="T1738" s="183">
        <f t="shared" si="42"/>
        <v>3</v>
      </c>
      <c r="U1738" s="184">
        <f t="shared" si="41"/>
        <v>45723</v>
      </c>
      <c r="V1738" s="261">
        <v>45723</v>
      </c>
      <c r="W1738" s="43">
        <f t="shared" si="43"/>
        <v>3</v>
      </c>
      <c r="X1738" s="49" t="s">
        <v>1499</v>
      </c>
      <c r="Y1738" s="49" t="s">
        <v>86</v>
      </c>
      <c r="Z1738" s="183"/>
      <c r="AA1738" s="183"/>
      <c r="AB1738" s="183"/>
    </row>
    <row r="1739" spans="1:28" hidden="1">
      <c r="A1739" s="180" t="s">
        <v>1017</v>
      </c>
      <c r="B1739" s="181">
        <v>45722</v>
      </c>
      <c r="C1739" s="180" t="s">
        <v>1724</v>
      </c>
      <c r="D1739" s="180" t="s">
        <v>281</v>
      </c>
      <c r="E1739" s="180" t="s">
        <v>18</v>
      </c>
      <c r="F1739" s="226">
        <f>-360-360-490.25</f>
        <v>-1210.25</v>
      </c>
      <c r="G1739" s="165">
        <f t="shared" si="40"/>
        <v>13333.031000000001</v>
      </c>
      <c r="H1739" s="180"/>
      <c r="I1739" s="180" t="s">
        <v>283</v>
      </c>
      <c r="J1739" s="180"/>
      <c r="K1739" s="180"/>
      <c r="L1739" s="180" t="s">
        <v>477</v>
      </c>
      <c r="M1739" s="180"/>
      <c r="N1739" s="180" t="s">
        <v>978</v>
      </c>
      <c r="O1739" s="180"/>
      <c r="P1739" s="180"/>
      <c r="Q1739" s="180"/>
      <c r="R1739" s="180" t="s">
        <v>669</v>
      </c>
      <c r="S1739" s="180" t="s">
        <v>1492</v>
      </c>
      <c r="T1739" s="183">
        <f t="shared" si="42"/>
        <v>3</v>
      </c>
      <c r="U1739" s="184">
        <f t="shared" si="41"/>
        <v>45723</v>
      </c>
      <c r="V1739" s="261">
        <v>45723</v>
      </c>
      <c r="W1739" s="43">
        <f t="shared" si="43"/>
        <v>3</v>
      </c>
      <c r="X1739" s="49" t="s">
        <v>1499</v>
      </c>
      <c r="Y1739" s="49" t="s">
        <v>86</v>
      </c>
      <c r="Z1739" s="183"/>
      <c r="AA1739" s="183"/>
      <c r="AB1739" s="183"/>
    </row>
    <row r="1740" spans="1:28" hidden="1">
      <c r="A1740" s="180" t="s">
        <v>1017</v>
      </c>
      <c r="B1740" s="181">
        <v>45722</v>
      </c>
      <c r="C1740" s="180" t="s">
        <v>1655</v>
      </c>
      <c r="D1740" s="180" t="s">
        <v>281</v>
      </c>
      <c r="E1740" s="180" t="s">
        <v>18</v>
      </c>
      <c r="F1740" s="226">
        <v>-3837.77</v>
      </c>
      <c r="G1740" s="165">
        <f t="shared" si="40"/>
        <v>9495.2610000000004</v>
      </c>
      <c r="H1740" s="180"/>
      <c r="I1740" s="180" t="s">
        <v>283</v>
      </c>
      <c r="J1740" s="180"/>
      <c r="K1740" s="180"/>
      <c r="L1740" s="180" t="s">
        <v>477</v>
      </c>
      <c r="M1740" s="180"/>
      <c r="N1740" s="180" t="s">
        <v>978</v>
      </c>
      <c r="O1740" s="180"/>
      <c r="P1740" s="180"/>
      <c r="Q1740" s="180"/>
      <c r="R1740" s="180" t="s">
        <v>669</v>
      </c>
      <c r="S1740" s="180" t="s">
        <v>1492</v>
      </c>
      <c r="T1740" s="183">
        <f t="shared" si="42"/>
        <v>3</v>
      </c>
      <c r="U1740" s="184">
        <f t="shared" si="41"/>
        <v>45723</v>
      </c>
      <c r="V1740" s="261">
        <v>45723</v>
      </c>
      <c r="W1740" s="43">
        <f t="shared" si="43"/>
        <v>3</v>
      </c>
      <c r="X1740" s="49" t="s">
        <v>1499</v>
      </c>
      <c r="Y1740" s="49" t="s">
        <v>86</v>
      </c>
      <c r="Z1740" s="183"/>
      <c r="AA1740" s="183"/>
      <c r="AB1740" s="183"/>
    </row>
    <row r="1741" spans="1:28" hidden="1">
      <c r="A1741" s="163" t="s">
        <v>1017</v>
      </c>
      <c r="B1741" s="164">
        <v>45708</v>
      </c>
      <c r="C1741" s="163" t="s">
        <v>1428</v>
      </c>
      <c r="D1741" s="163" t="s">
        <v>281</v>
      </c>
      <c r="E1741" s="163" t="s">
        <v>196</v>
      </c>
      <c r="F1741" s="226">
        <v>-7315</v>
      </c>
      <c r="G1741" s="165">
        <f t="shared" si="40"/>
        <v>2180.2610000000004</v>
      </c>
      <c r="H1741" s="163"/>
      <c r="I1741" s="163" t="s">
        <v>283</v>
      </c>
      <c r="J1741" s="163"/>
      <c r="K1741" s="163"/>
      <c r="L1741" s="163" t="s">
        <v>305</v>
      </c>
      <c r="M1741" s="163"/>
      <c r="N1741" s="163" t="s">
        <v>978</v>
      </c>
      <c r="O1741" s="163"/>
      <c r="P1741" s="163"/>
      <c r="Q1741" s="163" t="s">
        <v>1067</v>
      </c>
      <c r="R1741" s="163" t="s">
        <v>1087</v>
      </c>
      <c r="S1741" s="163" t="s">
        <v>1089</v>
      </c>
      <c r="T1741" s="43">
        <f t="shared" si="42"/>
        <v>2</v>
      </c>
      <c r="U1741" s="167">
        <f t="shared" si="41"/>
        <v>45723</v>
      </c>
      <c r="V1741" s="261">
        <v>45723</v>
      </c>
      <c r="W1741" s="43">
        <f t="shared" si="43"/>
        <v>3</v>
      </c>
      <c r="X1741" s="49" t="s">
        <v>196</v>
      </c>
      <c r="Y1741" s="49" t="s">
        <v>1443</v>
      </c>
      <c r="Z1741" s="49" t="s">
        <v>1113</v>
      </c>
      <c r="AA1741" s="49" t="s">
        <v>1336</v>
      </c>
    </row>
    <row r="1742" spans="1:28" hidden="1">
      <c r="A1742" s="190" t="s">
        <v>1017</v>
      </c>
      <c r="B1742" s="164">
        <v>45723</v>
      </c>
      <c r="C1742" s="190" t="s">
        <v>330</v>
      </c>
      <c r="D1742" s="190" t="s">
        <v>281</v>
      </c>
      <c r="E1742" s="190" t="s">
        <v>330</v>
      </c>
      <c r="F1742" s="185">
        <f>-1.99*2-24</f>
        <v>-27.98</v>
      </c>
      <c r="G1742" s="165">
        <f t="shared" si="40"/>
        <v>2152.2810000000004</v>
      </c>
      <c r="H1742" s="190"/>
      <c r="I1742" s="190" t="s">
        <v>342</v>
      </c>
      <c r="J1742" s="190"/>
      <c r="K1742" s="190"/>
      <c r="L1742" s="190" t="s">
        <v>805</v>
      </c>
      <c r="M1742" s="190"/>
      <c r="N1742" s="190" t="s">
        <v>978</v>
      </c>
      <c r="O1742" s="190"/>
      <c r="P1742" s="190"/>
      <c r="Q1742" s="190"/>
      <c r="R1742" s="190" t="s">
        <v>1292</v>
      </c>
      <c r="S1742" s="190" t="s">
        <v>1417</v>
      </c>
      <c r="T1742" s="43">
        <f t="shared" si="42"/>
        <v>3</v>
      </c>
      <c r="U1742" s="167">
        <f t="shared" si="41"/>
        <v>45723</v>
      </c>
      <c r="V1742" s="43"/>
      <c r="W1742" s="43">
        <f t="shared" si="43"/>
        <v>3</v>
      </c>
      <c r="X1742" s="43" t="s">
        <v>1483</v>
      </c>
      <c r="Y1742" s="43" t="s">
        <v>1443</v>
      </c>
      <c r="Z1742" s="43"/>
      <c r="AA1742" s="43"/>
      <c r="AB1742" s="43"/>
    </row>
    <row r="1743" spans="1:28" hidden="1">
      <c r="A1743" s="180" t="s">
        <v>1017</v>
      </c>
      <c r="B1743" s="181">
        <v>45723</v>
      </c>
      <c r="C1743" s="180" t="s">
        <v>1725</v>
      </c>
      <c r="D1743" s="180" t="s">
        <v>281</v>
      </c>
      <c r="E1743" s="163" t="s">
        <v>1514</v>
      </c>
      <c r="F1743" s="226">
        <v>-460</v>
      </c>
      <c r="G1743" s="165">
        <f t="shared" si="40"/>
        <v>1692.2810000000004</v>
      </c>
      <c r="H1743" s="180"/>
      <c r="I1743" s="180" t="s">
        <v>283</v>
      </c>
      <c r="J1743" s="180"/>
      <c r="K1743" s="180"/>
      <c r="L1743" s="180" t="s">
        <v>485</v>
      </c>
      <c r="M1743" s="180"/>
      <c r="N1743" s="180" t="s">
        <v>978</v>
      </c>
      <c r="O1743" s="180"/>
      <c r="P1743" s="180"/>
      <c r="Q1743" s="180"/>
      <c r="R1743" s="180" t="s">
        <v>1527</v>
      </c>
      <c r="S1743" s="180"/>
      <c r="T1743" s="183">
        <f t="shared" si="42"/>
        <v>3</v>
      </c>
      <c r="U1743" s="184">
        <f t="shared" si="41"/>
        <v>45723</v>
      </c>
      <c r="V1743" s="184"/>
      <c r="W1743" s="43">
        <f t="shared" si="43"/>
        <v>3</v>
      </c>
      <c r="X1743" s="183" t="s">
        <v>1381</v>
      </c>
      <c r="Y1743" s="183" t="s">
        <v>1488</v>
      </c>
      <c r="Z1743" s="183"/>
      <c r="AA1743" s="183"/>
      <c r="AB1743" s="183"/>
    </row>
    <row r="1744" spans="1:28" hidden="1">
      <c r="A1744" s="180" t="s">
        <v>1017</v>
      </c>
      <c r="B1744" s="181">
        <v>45723</v>
      </c>
      <c r="C1744" s="180" t="s">
        <v>1726</v>
      </c>
      <c r="D1744" s="180" t="s">
        <v>281</v>
      </c>
      <c r="E1744" s="180" t="s">
        <v>1566</v>
      </c>
      <c r="F1744" s="226">
        <v>-240</v>
      </c>
      <c r="G1744" s="165">
        <f t="shared" si="40"/>
        <v>1452.2810000000004</v>
      </c>
      <c r="H1744" s="180"/>
      <c r="I1744" s="180" t="s">
        <v>342</v>
      </c>
      <c r="J1744" s="180"/>
      <c r="K1744" s="180"/>
      <c r="L1744" s="180" t="s">
        <v>766</v>
      </c>
      <c r="M1744" s="180"/>
      <c r="N1744" s="180" t="s">
        <v>978</v>
      </c>
      <c r="O1744" s="180"/>
      <c r="P1744" s="180"/>
      <c r="Q1744" s="180"/>
      <c r="R1744" s="180" t="s">
        <v>1007</v>
      </c>
      <c r="S1744" s="180" t="s">
        <v>982</v>
      </c>
      <c r="T1744" s="183">
        <f t="shared" si="42"/>
        <v>3</v>
      </c>
      <c r="U1744" s="184">
        <f t="shared" si="41"/>
        <v>45723</v>
      </c>
      <c r="V1744" s="145"/>
      <c r="W1744" s="43">
        <f t="shared" si="43"/>
        <v>3</v>
      </c>
      <c r="X1744" s="183" t="s">
        <v>1552</v>
      </c>
      <c r="Y1744" s="183" t="s">
        <v>26</v>
      </c>
      <c r="Z1744" s="183"/>
      <c r="AA1744" s="183"/>
      <c r="AB1744" s="183"/>
    </row>
    <row r="1745" spans="1:28" hidden="1">
      <c r="A1745" s="163"/>
      <c r="B1745" s="164">
        <v>45723</v>
      </c>
      <c r="C1745" s="163" t="s">
        <v>346</v>
      </c>
      <c r="D1745" s="163"/>
      <c r="E1745" s="163"/>
      <c r="F1745" s="165">
        <v>0</v>
      </c>
      <c r="G1745" s="165">
        <f t="shared" si="40"/>
        <v>1452.2810000000004</v>
      </c>
      <c r="H1745" s="163"/>
      <c r="I1745" s="163"/>
      <c r="J1745" s="163"/>
      <c r="K1745" s="163"/>
      <c r="L1745" s="163"/>
      <c r="M1745" s="163"/>
      <c r="N1745" s="163"/>
      <c r="O1745" s="163"/>
      <c r="P1745" s="163"/>
      <c r="Q1745" s="163"/>
      <c r="R1745" s="163"/>
      <c r="S1745" s="163"/>
      <c r="T1745" s="43">
        <f t="shared" si="42"/>
        <v>3</v>
      </c>
      <c r="U1745" s="167">
        <f t="shared" si="41"/>
        <v>45723</v>
      </c>
      <c r="W1745" s="43">
        <f t="shared" si="43"/>
        <v>3</v>
      </c>
    </row>
    <row r="1746" spans="1:28" ht="14.25" hidden="1" customHeight="1">
      <c r="A1746" s="180" t="s">
        <v>1017</v>
      </c>
      <c r="B1746" s="181">
        <v>45726</v>
      </c>
      <c r="C1746" s="180" t="s">
        <v>1716</v>
      </c>
      <c r="D1746" s="180" t="s">
        <v>281</v>
      </c>
      <c r="E1746" s="180" t="s">
        <v>282</v>
      </c>
      <c r="F1746" s="195">
        <f>25000+75000-13533.33</f>
        <v>86466.67</v>
      </c>
      <c r="G1746" s="165">
        <f t="shared" si="40"/>
        <v>87918.951000000001</v>
      </c>
      <c r="H1746" s="180"/>
      <c r="I1746" s="180" t="s">
        <v>977</v>
      </c>
      <c r="J1746" s="180"/>
      <c r="K1746" s="180"/>
      <c r="L1746" s="180" t="s">
        <v>366</v>
      </c>
      <c r="M1746" s="180"/>
      <c r="N1746" s="180" t="s">
        <v>978</v>
      </c>
      <c r="O1746" s="180"/>
      <c r="P1746" s="180"/>
      <c r="Q1746" s="180"/>
      <c r="R1746" s="180" t="s">
        <v>990</v>
      </c>
      <c r="S1746" s="180" t="s">
        <v>991</v>
      </c>
      <c r="T1746" s="183">
        <f t="shared" si="42"/>
        <v>3</v>
      </c>
      <c r="U1746" s="184">
        <f t="shared" si="41"/>
        <v>45726</v>
      </c>
      <c r="V1746" s="272"/>
      <c r="W1746" s="43">
        <f t="shared" si="43"/>
        <v>3</v>
      </c>
      <c r="X1746" s="183" t="s">
        <v>282</v>
      </c>
      <c r="Y1746" s="183" t="s">
        <v>1443</v>
      </c>
      <c r="Z1746" s="183" t="s">
        <v>1113</v>
      </c>
      <c r="AA1746" s="183" t="s">
        <v>1113</v>
      </c>
      <c r="AB1746" s="183"/>
    </row>
    <row r="1747" spans="1:28" hidden="1">
      <c r="A1747" s="163" t="s">
        <v>1174</v>
      </c>
      <c r="B1747" s="164">
        <v>45713</v>
      </c>
      <c r="C1747" s="163" t="s">
        <v>1223</v>
      </c>
      <c r="D1747" s="163" t="s">
        <v>281</v>
      </c>
      <c r="E1747" s="163" t="s">
        <v>407</v>
      </c>
      <c r="F1747" s="195">
        <v>3273.59</v>
      </c>
      <c r="G1747" s="165">
        <f t="shared" si="40"/>
        <v>91192.540999999997</v>
      </c>
      <c r="H1747" s="163"/>
      <c r="I1747" s="163" t="s">
        <v>1176</v>
      </c>
      <c r="J1747" s="163" t="s">
        <v>1449</v>
      </c>
      <c r="K1747" s="163"/>
      <c r="L1747" s="163" t="s">
        <v>305</v>
      </c>
      <c r="M1747" s="163"/>
      <c r="N1747" s="163" t="s">
        <v>1178</v>
      </c>
      <c r="O1747" s="163" t="s">
        <v>1449</v>
      </c>
      <c r="P1747" s="163" t="s">
        <v>57</v>
      </c>
      <c r="Q1747" s="163"/>
      <c r="R1747" s="163" t="s">
        <v>1228</v>
      </c>
      <c r="S1747" s="163" t="s">
        <v>1229</v>
      </c>
      <c r="T1747" s="43">
        <f t="shared" si="42"/>
        <v>2</v>
      </c>
      <c r="U1747" s="167">
        <f t="shared" si="41"/>
        <v>45726</v>
      </c>
      <c r="V1747" s="145">
        <v>45726</v>
      </c>
      <c r="W1747" s="43">
        <f t="shared" si="43"/>
        <v>3</v>
      </c>
      <c r="X1747" s="43" t="s">
        <v>1484</v>
      </c>
      <c r="Y1747" s="43" t="s">
        <v>1485</v>
      </c>
    </row>
    <row r="1748" spans="1:28" hidden="1">
      <c r="A1748" s="163" t="s">
        <v>1174</v>
      </c>
      <c r="B1748" s="164">
        <v>45726</v>
      </c>
      <c r="C1748" s="163" t="s">
        <v>625</v>
      </c>
      <c r="D1748" s="163" t="s">
        <v>281</v>
      </c>
      <c r="E1748" s="163" t="s">
        <v>407</v>
      </c>
      <c r="F1748" s="197"/>
      <c r="G1748" s="165">
        <f t="shared" si="40"/>
        <v>91192.540999999997</v>
      </c>
      <c r="H1748" s="163"/>
      <c r="I1748" s="163" t="s">
        <v>1176</v>
      </c>
      <c r="J1748" s="163" t="s">
        <v>1365</v>
      </c>
      <c r="K1748" s="163"/>
      <c r="L1748" s="163" t="s">
        <v>305</v>
      </c>
      <c r="M1748" s="163"/>
      <c r="N1748" s="163" t="s">
        <v>1178</v>
      </c>
      <c r="O1748" s="163" t="s">
        <v>1365</v>
      </c>
      <c r="P1748" s="163" t="s">
        <v>57</v>
      </c>
      <c r="Q1748" s="163"/>
      <c r="R1748" s="163" t="s">
        <v>630</v>
      </c>
      <c r="S1748" s="163" t="s">
        <v>631</v>
      </c>
      <c r="T1748" s="43">
        <f t="shared" si="42"/>
        <v>3</v>
      </c>
      <c r="U1748" s="167">
        <f t="shared" si="41"/>
        <v>45726</v>
      </c>
      <c r="W1748" s="43">
        <f t="shared" si="43"/>
        <v>3</v>
      </c>
      <c r="X1748" s="43" t="s">
        <v>1484</v>
      </c>
      <c r="Y1748" s="43" t="s">
        <v>1485</v>
      </c>
    </row>
    <row r="1749" spans="1:28" hidden="1">
      <c r="A1749" s="180" t="s">
        <v>1174</v>
      </c>
      <c r="B1749" s="181">
        <v>45726</v>
      </c>
      <c r="C1749" s="180" t="s">
        <v>1661</v>
      </c>
      <c r="D1749" s="180" t="s">
        <v>281</v>
      </c>
      <c r="E1749" s="180" t="s">
        <v>407</v>
      </c>
      <c r="F1749" s="195">
        <v>2997</v>
      </c>
      <c r="G1749" s="165">
        <f t="shared" si="40"/>
        <v>94189.540999999997</v>
      </c>
      <c r="H1749" s="180"/>
      <c r="I1749" s="180" t="s">
        <v>1176</v>
      </c>
      <c r="J1749" s="180" t="s">
        <v>1362</v>
      </c>
      <c r="K1749" s="180"/>
      <c r="L1749" s="180" t="s">
        <v>305</v>
      </c>
      <c r="M1749" s="180"/>
      <c r="N1749" s="180" t="s">
        <v>1178</v>
      </c>
      <c r="O1749" s="180" t="s">
        <v>1362</v>
      </c>
      <c r="P1749" s="180" t="s">
        <v>418</v>
      </c>
      <c r="Q1749" s="180"/>
      <c r="R1749" s="180" t="s">
        <v>649</v>
      </c>
      <c r="S1749" s="180" t="s">
        <v>650</v>
      </c>
      <c r="T1749" s="183">
        <f t="shared" si="42"/>
        <v>3</v>
      </c>
      <c r="U1749" s="184">
        <f t="shared" si="41"/>
        <v>45726</v>
      </c>
      <c r="V1749" s="183"/>
      <c r="W1749" s="183">
        <f t="shared" si="43"/>
        <v>3</v>
      </c>
      <c r="X1749" s="183" t="s">
        <v>1484</v>
      </c>
      <c r="Y1749" s="183" t="s">
        <v>1485</v>
      </c>
      <c r="Z1749" s="183"/>
      <c r="AA1749" s="183"/>
      <c r="AB1749" s="183"/>
    </row>
    <row r="1750" spans="1:28" hidden="1">
      <c r="A1750" s="180" t="s">
        <v>1017</v>
      </c>
      <c r="B1750" s="181">
        <v>45702</v>
      </c>
      <c r="C1750" s="180" t="s">
        <v>356</v>
      </c>
      <c r="D1750" s="180" t="s">
        <v>281</v>
      </c>
      <c r="E1750" s="180" t="s">
        <v>356</v>
      </c>
      <c r="F1750" s="182"/>
      <c r="G1750" s="165">
        <f t="shared" si="40"/>
        <v>94189.540999999997</v>
      </c>
      <c r="H1750" s="180"/>
      <c r="I1750" s="180" t="s">
        <v>283</v>
      </c>
      <c r="J1750" s="180"/>
      <c r="K1750" s="180"/>
      <c r="L1750" s="180" t="s">
        <v>485</v>
      </c>
      <c r="M1750" s="180"/>
      <c r="N1750" s="180" t="s">
        <v>978</v>
      </c>
      <c r="O1750" s="180"/>
      <c r="P1750" s="180"/>
      <c r="Q1750" s="180"/>
      <c r="R1750" s="180" t="s">
        <v>669</v>
      </c>
      <c r="S1750" s="180" t="s">
        <v>1492</v>
      </c>
      <c r="T1750" s="183">
        <f t="shared" si="42"/>
        <v>2</v>
      </c>
      <c r="U1750" s="184">
        <f t="shared" si="41"/>
        <v>45726</v>
      </c>
      <c r="V1750" s="145">
        <v>45726</v>
      </c>
      <c r="W1750" s="43">
        <f t="shared" si="43"/>
        <v>3</v>
      </c>
      <c r="X1750" s="183" t="s">
        <v>1689</v>
      </c>
      <c r="Y1750" s="183" t="s">
        <v>25</v>
      </c>
      <c r="Z1750" s="183"/>
      <c r="AA1750" s="183"/>
      <c r="AB1750" s="183"/>
    </row>
    <row r="1751" spans="1:28" hidden="1">
      <c r="A1751" s="163" t="s">
        <v>1017</v>
      </c>
      <c r="B1751" s="164">
        <v>45721</v>
      </c>
      <c r="C1751" s="163" t="s">
        <v>351</v>
      </c>
      <c r="D1751" s="163" t="s">
        <v>281</v>
      </c>
      <c r="E1751" s="163" t="s">
        <v>359</v>
      </c>
      <c r="F1751" s="169"/>
      <c r="G1751" s="165">
        <f t="shared" si="40"/>
        <v>94189.540999999997</v>
      </c>
      <c r="H1751" s="163"/>
      <c r="I1751" s="163" t="s">
        <v>283</v>
      </c>
      <c r="J1751" s="163"/>
      <c r="K1751" s="163"/>
      <c r="L1751" s="163" t="s">
        <v>1030</v>
      </c>
      <c r="M1751" s="163"/>
      <c r="N1751" s="163" t="s">
        <v>978</v>
      </c>
      <c r="O1751" s="163"/>
      <c r="P1751" s="163"/>
      <c r="Q1751" s="163"/>
      <c r="R1751" s="163" t="s">
        <v>353</v>
      </c>
      <c r="S1751" s="163" t="s">
        <v>354</v>
      </c>
      <c r="T1751" s="43">
        <f t="shared" si="42"/>
        <v>3</v>
      </c>
      <c r="U1751" s="167">
        <f t="shared" si="41"/>
        <v>45726</v>
      </c>
      <c r="V1751" s="145">
        <v>45726</v>
      </c>
      <c r="W1751" s="43">
        <f t="shared" si="43"/>
        <v>3</v>
      </c>
      <c r="X1751" s="49" t="s">
        <v>1483</v>
      </c>
      <c r="Y1751" s="49" t="s">
        <v>25</v>
      </c>
    </row>
    <row r="1752" spans="1:28" hidden="1">
      <c r="A1752" s="163" t="s">
        <v>1174</v>
      </c>
      <c r="B1752" s="164">
        <v>45726</v>
      </c>
      <c r="C1752" s="163" t="s">
        <v>1356</v>
      </c>
      <c r="D1752" s="163" t="s">
        <v>281</v>
      </c>
      <c r="E1752" s="163" t="s">
        <v>289</v>
      </c>
      <c r="F1752" s="165"/>
      <c r="G1752" s="165">
        <f t="shared" si="40"/>
        <v>94189.540999999997</v>
      </c>
      <c r="H1752" s="163"/>
      <c r="I1752" s="163" t="s">
        <v>1176</v>
      </c>
      <c r="J1752" s="163" t="s">
        <v>1357</v>
      </c>
      <c r="K1752" s="163"/>
      <c r="L1752" s="163" t="s">
        <v>305</v>
      </c>
      <c r="M1752" s="163"/>
      <c r="N1752" s="163" t="s">
        <v>1178</v>
      </c>
      <c r="O1752" s="163" t="s">
        <v>1357</v>
      </c>
      <c r="P1752" s="163" t="s">
        <v>1358</v>
      </c>
      <c r="Q1752" s="163"/>
      <c r="R1752" s="163" t="s">
        <v>1359</v>
      </c>
      <c r="S1752" s="163" t="s">
        <v>1360</v>
      </c>
      <c r="T1752" s="43">
        <f t="shared" si="42"/>
        <v>3</v>
      </c>
      <c r="U1752" s="167">
        <f t="shared" si="41"/>
        <v>45726</v>
      </c>
      <c r="W1752" s="43">
        <f t="shared" si="43"/>
        <v>3</v>
      </c>
      <c r="X1752" s="49" t="s">
        <v>1484</v>
      </c>
      <c r="Y1752" s="49" t="s">
        <v>78</v>
      </c>
    </row>
    <row r="1753" spans="1:28" hidden="1">
      <c r="A1753" s="163" t="s">
        <v>1174</v>
      </c>
      <c r="B1753" s="164">
        <v>45726</v>
      </c>
      <c r="C1753" s="163" t="s">
        <v>1516</v>
      </c>
      <c r="D1753" s="163" t="s">
        <v>281</v>
      </c>
      <c r="E1753" s="163" t="s">
        <v>407</v>
      </c>
      <c r="F1753" s="165"/>
      <c r="G1753" s="165">
        <f t="shared" si="40"/>
        <v>94189.540999999997</v>
      </c>
      <c r="H1753" s="163"/>
      <c r="I1753" s="163" t="s">
        <v>1176</v>
      </c>
      <c r="J1753" s="163" t="s">
        <v>1517</v>
      </c>
      <c r="K1753" s="163"/>
      <c r="L1753" s="163" t="s">
        <v>305</v>
      </c>
      <c r="M1753" s="163"/>
      <c r="N1753" s="163" t="s">
        <v>1178</v>
      </c>
      <c r="O1753" s="163" t="s">
        <v>1517</v>
      </c>
      <c r="P1753" s="163" t="s">
        <v>1518</v>
      </c>
      <c r="Q1753" s="163"/>
      <c r="R1753" s="163" t="s">
        <v>1516</v>
      </c>
      <c r="S1753" s="163" t="s">
        <v>1519</v>
      </c>
      <c r="T1753" s="43">
        <f t="shared" si="42"/>
        <v>3</v>
      </c>
      <c r="U1753" s="167">
        <f t="shared" si="41"/>
        <v>45726</v>
      </c>
      <c r="W1753" s="43">
        <f t="shared" si="43"/>
        <v>3</v>
      </c>
      <c r="X1753" s="43" t="s">
        <v>1484</v>
      </c>
      <c r="Y1753" s="43" t="s">
        <v>1485</v>
      </c>
    </row>
    <row r="1754" spans="1:28" hidden="1">
      <c r="A1754" s="163" t="s">
        <v>1174</v>
      </c>
      <c r="B1754" s="164">
        <v>45726</v>
      </c>
      <c r="C1754" s="163" t="s">
        <v>821</v>
      </c>
      <c r="D1754" s="163" t="s">
        <v>281</v>
      </c>
      <c r="E1754" s="163" t="s">
        <v>407</v>
      </c>
      <c r="F1754" s="165"/>
      <c r="G1754" s="165">
        <f t="shared" si="40"/>
        <v>94189.540999999997</v>
      </c>
      <c r="H1754" s="163"/>
      <c r="I1754" s="163" t="s">
        <v>1176</v>
      </c>
      <c r="J1754" s="163" t="s">
        <v>1361</v>
      </c>
      <c r="K1754" s="163"/>
      <c r="L1754" s="163" t="s">
        <v>305</v>
      </c>
      <c r="M1754" s="163"/>
      <c r="N1754" s="163" t="s">
        <v>1178</v>
      </c>
      <c r="O1754" s="163" t="s">
        <v>1361</v>
      </c>
      <c r="P1754" s="163" t="s">
        <v>57</v>
      </c>
      <c r="Q1754" s="163"/>
      <c r="R1754" s="163" t="s">
        <v>826</v>
      </c>
      <c r="S1754" s="163" t="s">
        <v>827</v>
      </c>
      <c r="T1754" s="43">
        <f t="shared" si="42"/>
        <v>3</v>
      </c>
      <c r="U1754" s="167">
        <f t="shared" si="41"/>
        <v>45726</v>
      </c>
      <c r="W1754" s="43">
        <f t="shared" si="43"/>
        <v>3</v>
      </c>
      <c r="X1754" s="43" t="s">
        <v>1484</v>
      </c>
      <c r="Y1754" s="43" t="s">
        <v>1485</v>
      </c>
    </row>
    <row r="1755" spans="1:28" hidden="1">
      <c r="A1755" s="163" t="s">
        <v>1174</v>
      </c>
      <c r="B1755" s="164">
        <v>45726</v>
      </c>
      <c r="C1755" s="163" t="s">
        <v>829</v>
      </c>
      <c r="D1755" s="163" t="s">
        <v>281</v>
      </c>
      <c r="E1755" s="163" t="s">
        <v>407</v>
      </c>
      <c r="F1755" s="165"/>
      <c r="G1755" s="165">
        <f t="shared" si="40"/>
        <v>94189.540999999997</v>
      </c>
      <c r="H1755" s="163"/>
      <c r="I1755" s="163" t="s">
        <v>1176</v>
      </c>
      <c r="J1755" s="163" t="s">
        <v>1374</v>
      </c>
      <c r="K1755" s="163"/>
      <c r="L1755" s="163" t="s">
        <v>305</v>
      </c>
      <c r="M1755" s="163"/>
      <c r="N1755" s="163" t="s">
        <v>1178</v>
      </c>
      <c r="O1755" s="163" t="s">
        <v>1374</v>
      </c>
      <c r="P1755" s="163" t="s">
        <v>351</v>
      </c>
      <c r="Q1755" s="163"/>
      <c r="R1755" s="163" t="s">
        <v>833</v>
      </c>
      <c r="S1755" s="163" t="s">
        <v>834</v>
      </c>
      <c r="T1755" s="43">
        <f t="shared" si="42"/>
        <v>3</v>
      </c>
      <c r="U1755" s="167">
        <f t="shared" si="41"/>
        <v>45726</v>
      </c>
      <c r="W1755" s="43">
        <f t="shared" si="43"/>
        <v>3</v>
      </c>
      <c r="X1755" s="43" t="s">
        <v>1484</v>
      </c>
      <c r="Y1755" s="43" t="s">
        <v>1485</v>
      </c>
    </row>
    <row r="1756" spans="1:28" hidden="1">
      <c r="A1756" s="163" t="s">
        <v>1174</v>
      </c>
      <c r="B1756" s="164">
        <v>45726</v>
      </c>
      <c r="C1756" s="163" t="s">
        <v>1090</v>
      </c>
      <c r="D1756" s="163" t="s">
        <v>281</v>
      </c>
      <c r="E1756" s="163" t="s">
        <v>407</v>
      </c>
      <c r="F1756" s="165"/>
      <c r="G1756" s="165">
        <f t="shared" si="40"/>
        <v>94189.540999999997</v>
      </c>
      <c r="H1756" s="163"/>
      <c r="I1756" s="163" t="s">
        <v>1176</v>
      </c>
      <c r="J1756" s="163" t="s">
        <v>1414</v>
      </c>
      <c r="K1756" s="163"/>
      <c r="L1756" s="163" t="s">
        <v>305</v>
      </c>
      <c r="M1756" s="163"/>
      <c r="N1756" s="163" t="s">
        <v>1178</v>
      </c>
      <c r="O1756" s="163" t="s">
        <v>1414</v>
      </c>
      <c r="P1756" s="163" t="s">
        <v>1083</v>
      </c>
      <c r="Q1756" s="163"/>
      <c r="R1756" s="163" t="s">
        <v>1095</v>
      </c>
      <c r="S1756" s="163" t="s">
        <v>1096</v>
      </c>
      <c r="T1756" s="43">
        <f t="shared" si="42"/>
        <v>3</v>
      </c>
      <c r="U1756" s="167">
        <f t="shared" si="41"/>
        <v>45726</v>
      </c>
      <c r="W1756" s="43">
        <f t="shared" si="43"/>
        <v>3</v>
      </c>
      <c r="X1756" s="43" t="s">
        <v>1484</v>
      </c>
      <c r="Y1756" s="43" t="s">
        <v>1485</v>
      </c>
    </row>
    <row r="1757" spans="1:28" hidden="1">
      <c r="A1757" s="163" t="s">
        <v>1174</v>
      </c>
      <c r="B1757" s="164">
        <v>45726</v>
      </c>
      <c r="C1757" s="163" t="s">
        <v>736</v>
      </c>
      <c r="D1757" s="163" t="s">
        <v>281</v>
      </c>
      <c r="E1757" s="163" t="s">
        <v>407</v>
      </c>
      <c r="F1757" s="165"/>
      <c r="G1757" s="165">
        <f t="shared" si="40"/>
        <v>94189.540999999997</v>
      </c>
      <c r="H1757" s="163"/>
      <c r="I1757" s="163" t="s">
        <v>1176</v>
      </c>
      <c r="J1757" s="163" t="s">
        <v>1383</v>
      </c>
      <c r="K1757" s="163"/>
      <c r="L1757" s="163" t="s">
        <v>305</v>
      </c>
      <c r="M1757" s="163"/>
      <c r="N1757" s="163" t="s">
        <v>1178</v>
      </c>
      <c r="O1757" s="163" t="s">
        <v>1383</v>
      </c>
      <c r="P1757" s="163" t="s">
        <v>57</v>
      </c>
      <c r="Q1757" s="163"/>
      <c r="R1757" s="163" t="s">
        <v>741</v>
      </c>
      <c r="S1757" s="163" t="s">
        <v>742</v>
      </c>
      <c r="T1757" s="43">
        <f t="shared" si="42"/>
        <v>3</v>
      </c>
      <c r="U1757" s="167">
        <f t="shared" si="41"/>
        <v>45726</v>
      </c>
      <c r="W1757" s="43">
        <f t="shared" si="43"/>
        <v>3</v>
      </c>
      <c r="X1757" s="43" t="s">
        <v>1484</v>
      </c>
      <c r="Y1757" s="43" t="s">
        <v>1485</v>
      </c>
    </row>
    <row r="1758" spans="1:28" hidden="1">
      <c r="A1758" s="163" t="s">
        <v>1174</v>
      </c>
      <c r="B1758" s="164">
        <v>45726</v>
      </c>
      <c r="C1758" s="163" t="s">
        <v>644</v>
      </c>
      <c r="D1758" s="163" t="s">
        <v>281</v>
      </c>
      <c r="E1758" s="163" t="s">
        <v>407</v>
      </c>
      <c r="F1758" s="165"/>
      <c r="G1758" s="165">
        <f t="shared" si="40"/>
        <v>94189.540999999997</v>
      </c>
      <c r="H1758" s="163"/>
      <c r="I1758" s="163" t="s">
        <v>1176</v>
      </c>
      <c r="J1758" s="163" t="s">
        <v>1362</v>
      </c>
      <c r="K1758" s="163"/>
      <c r="L1758" s="163" t="s">
        <v>305</v>
      </c>
      <c r="M1758" s="163"/>
      <c r="N1758" s="163" t="s">
        <v>1178</v>
      </c>
      <c r="O1758" s="163" t="s">
        <v>1362</v>
      </c>
      <c r="P1758" s="163" t="s">
        <v>418</v>
      </c>
      <c r="Q1758" s="163"/>
      <c r="R1758" s="163" t="s">
        <v>649</v>
      </c>
      <c r="S1758" s="163" t="s">
        <v>650</v>
      </c>
      <c r="T1758" s="43">
        <f t="shared" si="42"/>
        <v>3</v>
      </c>
      <c r="U1758" s="167">
        <f t="shared" si="41"/>
        <v>45726</v>
      </c>
      <c r="W1758" s="43">
        <f t="shared" si="43"/>
        <v>3</v>
      </c>
      <c r="X1758" s="43" t="s">
        <v>1484</v>
      </c>
      <c r="Y1758" s="43" t="s">
        <v>1485</v>
      </c>
    </row>
    <row r="1759" spans="1:28" hidden="1">
      <c r="A1759" s="163" t="s">
        <v>1174</v>
      </c>
      <c r="B1759" s="164">
        <v>45726</v>
      </c>
      <c r="C1759" s="163" t="s">
        <v>1353</v>
      </c>
      <c r="D1759" s="163" t="s">
        <v>281</v>
      </c>
      <c r="E1759" s="163" t="s">
        <v>289</v>
      </c>
      <c r="F1759" s="247"/>
      <c r="G1759" s="165">
        <f t="shared" si="40"/>
        <v>94189.540999999997</v>
      </c>
      <c r="H1759" s="163"/>
      <c r="I1759" s="163" t="s">
        <v>1176</v>
      </c>
      <c r="J1759" s="163" t="s">
        <v>1521</v>
      </c>
      <c r="K1759" s="163"/>
      <c r="L1759" s="163" t="s">
        <v>305</v>
      </c>
      <c r="M1759" s="163"/>
      <c r="N1759" s="163" t="s">
        <v>1178</v>
      </c>
      <c r="O1759" s="163" t="s">
        <v>1521</v>
      </c>
      <c r="P1759" s="163" t="s">
        <v>605</v>
      </c>
      <c r="Q1759" s="163"/>
      <c r="R1759" s="163" t="s">
        <v>1354</v>
      </c>
      <c r="S1759" s="163" t="s">
        <v>1355</v>
      </c>
      <c r="T1759" s="43">
        <f t="shared" si="42"/>
        <v>3</v>
      </c>
      <c r="U1759" s="167">
        <f t="shared" si="41"/>
        <v>45726</v>
      </c>
      <c r="W1759" s="43">
        <f t="shared" si="43"/>
        <v>3</v>
      </c>
      <c r="X1759" s="49" t="s">
        <v>1484</v>
      </c>
      <c r="Y1759" s="49" t="s">
        <v>78</v>
      </c>
    </row>
    <row r="1760" spans="1:28" hidden="1">
      <c r="A1760" s="163" t="s">
        <v>1017</v>
      </c>
      <c r="B1760" s="164">
        <v>45726</v>
      </c>
      <c r="C1760" s="163" t="s">
        <v>664</v>
      </c>
      <c r="D1760" s="163" t="s">
        <v>281</v>
      </c>
      <c r="E1760" s="163" t="s">
        <v>202</v>
      </c>
      <c r="F1760" s="226">
        <v>-5500</v>
      </c>
      <c r="G1760" s="165">
        <f t="shared" si="40"/>
        <v>88689.540999999997</v>
      </c>
      <c r="H1760" s="163"/>
      <c r="I1760" s="163" t="s">
        <v>283</v>
      </c>
      <c r="J1760" s="163"/>
      <c r="K1760" s="163"/>
      <c r="L1760" s="163" t="s">
        <v>1571</v>
      </c>
      <c r="M1760" s="163"/>
      <c r="N1760" s="163" t="s">
        <v>978</v>
      </c>
      <c r="O1760" s="163"/>
      <c r="P1760" s="163"/>
      <c r="Q1760" s="163"/>
      <c r="R1760" s="163" t="s">
        <v>666</v>
      </c>
      <c r="S1760" s="163" t="s">
        <v>667</v>
      </c>
      <c r="T1760" s="43">
        <f t="shared" si="42"/>
        <v>3</v>
      </c>
      <c r="U1760" s="167">
        <f t="shared" si="41"/>
        <v>45726</v>
      </c>
      <c r="W1760" s="43">
        <f t="shared" si="43"/>
        <v>3</v>
      </c>
      <c r="X1760" s="49" t="s">
        <v>1526</v>
      </c>
      <c r="Y1760" s="49" t="s">
        <v>25</v>
      </c>
    </row>
    <row r="1761" spans="1:28" hidden="1">
      <c r="A1761" s="163" t="s">
        <v>1017</v>
      </c>
      <c r="B1761" s="164">
        <v>45726</v>
      </c>
      <c r="C1761" s="163" t="s">
        <v>673</v>
      </c>
      <c r="D1761" s="163" t="s">
        <v>281</v>
      </c>
      <c r="E1761" s="163" t="s">
        <v>202</v>
      </c>
      <c r="F1761" s="226">
        <v>-2500</v>
      </c>
      <c r="G1761" s="165">
        <f t="shared" si="40"/>
        <v>86189.540999999997</v>
      </c>
      <c r="H1761" s="163"/>
      <c r="I1761" s="163" t="s">
        <v>283</v>
      </c>
      <c r="J1761" s="163"/>
      <c r="K1761" s="163"/>
      <c r="L1761" s="163" t="s">
        <v>1571</v>
      </c>
      <c r="M1761" s="163"/>
      <c r="N1761" s="163" t="s">
        <v>978</v>
      </c>
      <c r="O1761" s="163"/>
      <c r="P1761" s="163"/>
      <c r="Q1761" s="163"/>
      <c r="R1761" s="163" t="s">
        <v>675</v>
      </c>
      <c r="S1761" s="163" t="s">
        <v>676</v>
      </c>
      <c r="T1761" s="43">
        <f t="shared" si="42"/>
        <v>3</v>
      </c>
      <c r="U1761" s="167">
        <f t="shared" si="41"/>
        <v>45726</v>
      </c>
      <c r="W1761" s="43">
        <f t="shared" si="43"/>
        <v>3</v>
      </c>
      <c r="X1761" s="49" t="s">
        <v>1526</v>
      </c>
      <c r="Y1761" s="49" t="s">
        <v>86</v>
      </c>
    </row>
    <row r="1762" spans="1:28" hidden="1">
      <c r="A1762" s="163" t="s">
        <v>1017</v>
      </c>
      <c r="B1762" s="164">
        <v>45726</v>
      </c>
      <c r="C1762" s="190" t="s">
        <v>330</v>
      </c>
      <c r="D1762" s="190" t="s">
        <v>281</v>
      </c>
      <c r="E1762" s="190" t="s">
        <v>330</v>
      </c>
      <c r="F1762" s="185">
        <f>-1.99*2-5</f>
        <v>-8.98</v>
      </c>
      <c r="G1762" s="165">
        <f t="shared" si="40"/>
        <v>86180.561000000002</v>
      </c>
      <c r="H1762" s="190"/>
      <c r="I1762" s="190" t="s">
        <v>342</v>
      </c>
      <c r="J1762" s="190"/>
      <c r="K1762" s="190"/>
      <c r="L1762" s="190" t="s">
        <v>805</v>
      </c>
      <c r="M1762" s="190"/>
      <c r="N1762" s="190" t="s">
        <v>978</v>
      </c>
      <c r="O1762" s="190"/>
      <c r="P1762" s="190"/>
      <c r="Q1762" s="190"/>
      <c r="R1762" s="190" t="s">
        <v>1292</v>
      </c>
      <c r="S1762" s="190" t="s">
        <v>1417</v>
      </c>
      <c r="T1762" s="43">
        <f t="shared" si="42"/>
        <v>3</v>
      </c>
      <c r="U1762" s="167">
        <f t="shared" si="41"/>
        <v>45726</v>
      </c>
      <c r="V1762" s="43"/>
      <c r="W1762" s="43">
        <f t="shared" si="43"/>
        <v>3</v>
      </c>
      <c r="X1762" s="43" t="s">
        <v>1483</v>
      </c>
      <c r="Y1762" s="43" t="s">
        <v>1443</v>
      </c>
      <c r="Z1762" s="43"/>
      <c r="AA1762" s="43"/>
    </row>
    <row r="1763" spans="1:28" hidden="1">
      <c r="A1763" s="163" t="s">
        <v>1017</v>
      </c>
      <c r="B1763" s="164">
        <v>45726</v>
      </c>
      <c r="C1763" s="163" t="s">
        <v>1727</v>
      </c>
      <c r="D1763" s="163" t="s">
        <v>281</v>
      </c>
      <c r="E1763" s="163" t="s">
        <v>202</v>
      </c>
      <c r="F1763" s="168"/>
      <c r="G1763" s="165">
        <f t="shared" si="40"/>
        <v>86180.561000000002</v>
      </c>
      <c r="H1763" s="163"/>
      <c r="I1763" s="163" t="s">
        <v>283</v>
      </c>
      <c r="J1763" s="163"/>
      <c r="K1763" s="163"/>
      <c r="L1763" s="163" t="s">
        <v>1571</v>
      </c>
      <c r="M1763" s="163"/>
      <c r="N1763" s="163" t="s">
        <v>978</v>
      </c>
      <c r="O1763" s="163"/>
      <c r="P1763" s="163"/>
      <c r="Q1763" s="163"/>
      <c r="R1763" s="163" t="s">
        <v>683</v>
      </c>
      <c r="S1763" s="163" t="s">
        <v>684</v>
      </c>
      <c r="T1763" s="43">
        <f t="shared" si="42"/>
        <v>3</v>
      </c>
      <c r="U1763" s="167">
        <f t="shared" si="41"/>
        <v>45726</v>
      </c>
      <c r="W1763" s="43">
        <f t="shared" si="43"/>
        <v>3</v>
      </c>
      <c r="X1763" s="49" t="s">
        <v>1526</v>
      </c>
      <c r="Y1763" s="49" t="s">
        <v>86</v>
      </c>
    </row>
    <row r="1764" spans="1:28" hidden="1">
      <c r="A1764" s="163" t="s">
        <v>1017</v>
      </c>
      <c r="B1764" s="164">
        <v>45726</v>
      </c>
      <c r="C1764" s="163" t="s">
        <v>685</v>
      </c>
      <c r="D1764" s="163" t="s">
        <v>281</v>
      </c>
      <c r="E1764" s="163" t="s">
        <v>202</v>
      </c>
      <c r="F1764" s="226">
        <v>-3500</v>
      </c>
      <c r="G1764" s="165">
        <f t="shared" si="40"/>
        <v>82680.561000000002</v>
      </c>
      <c r="H1764" s="163"/>
      <c r="I1764" s="163" t="s">
        <v>283</v>
      </c>
      <c r="J1764" s="163"/>
      <c r="K1764" s="163"/>
      <c r="L1764" s="163" t="s">
        <v>1424</v>
      </c>
      <c r="M1764" s="163"/>
      <c r="N1764" s="163" t="s">
        <v>978</v>
      </c>
      <c r="O1764" s="163"/>
      <c r="P1764" s="163"/>
      <c r="Q1764" s="163"/>
      <c r="R1764" s="163" t="s">
        <v>688</v>
      </c>
      <c r="S1764" s="163" t="s">
        <v>689</v>
      </c>
      <c r="T1764" s="43">
        <f t="shared" si="42"/>
        <v>3</v>
      </c>
      <c r="U1764" s="167">
        <f t="shared" si="41"/>
        <v>45726</v>
      </c>
      <c r="W1764" s="43">
        <f t="shared" si="43"/>
        <v>3</v>
      </c>
      <c r="X1764" s="49" t="s">
        <v>1526</v>
      </c>
      <c r="Y1764" s="49" t="s">
        <v>86</v>
      </c>
    </row>
    <row r="1765" spans="1:28" hidden="1">
      <c r="A1765" s="163" t="s">
        <v>1017</v>
      </c>
      <c r="B1765" s="164">
        <v>45726</v>
      </c>
      <c r="C1765" s="163" t="s">
        <v>690</v>
      </c>
      <c r="D1765" s="163" t="s">
        <v>281</v>
      </c>
      <c r="E1765" s="163" t="s">
        <v>202</v>
      </c>
      <c r="F1765" s="226">
        <v>-3000</v>
      </c>
      <c r="G1765" s="165">
        <f t="shared" si="40"/>
        <v>79680.561000000002</v>
      </c>
      <c r="H1765" s="163"/>
      <c r="I1765" s="163" t="s">
        <v>283</v>
      </c>
      <c r="J1765" s="163"/>
      <c r="K1765" s="163"/>
      <c r="L1765" s="163" t="s">
        <v>1424</v>
      </c>
      <c r="M1765" s="163"/>
      <c r="N1765" s="163" t="s">
        <v>978</v>
      </c>
      <c r="O1765" s="163"/>
      <c r="P1765" s="163"/>
      <c r="Q1765" s="163"/>
      <c r="R1765" s="163" t="s">
        <v>692</v>
      </c>
      <c r="S1765" s="163" t="s">
        <v>693</v>
      </c>
      <c r="T1765" s="43">
        <f t="shared" si="42"/>
        <v>3</v>
      </c>
      <c r="U1765" s="167">
        <f t="shared" si="41"/>
        <v>45726</v>
      </c>
      <c r="W1765" s="43">
        <f t="shared" si="43"/>
        <v>3</v>
      </c>
      <c r="X1765" s="49" t="s">
        <v>1526</v>
      </c>
      <c r="Y1765" s="49" t="s">
        <v>86</v>
      </c>
    </row>
    <row r="1766" spans="1:28" hidden="1">
      <c r="A1766" s="163" t="s">
        <v>1017</v>
      </c>
      <c r="B1766" s="164">
        <v>45726</v>
      </c>
      <c r="C1766" s="163" t="s">
        <v>751</v>
      </c>
      <c r="D1766" s="163" t="s">
        <v>281</v>
      </c>
      <c r="E1766" s="163" t="s">
        <v>301</v>
      </c>
      <c r="F1766" s="226">
        <v>-2520</v>
      </c>
      <c r="G1766" s="165">
        <f t="shared" si="40"/>
        <v>77160.561000000002</v>
      </c>
      <c r="H1766" s="163"/>
      <c r="I1766" s="163" t="s">
        <v>283</v>
      </c>
      <c r="J1766" s="163"/>
      <c r="K1766" s="163"/>
      <c r="L1766" s="163" t="s">
        <v>1030</v>
      </c>
      <c r="M1766" s="163"/>
      <c r="N1766" s="163" t="s">
        <v>978</v>
      </c>
      <c r="O1766" s="163"/>
      <c r="P1766" s="163"/>
      <c r="Q1766" s="163"/>
      <c r="R1766" s="163" t="s">
        <v>753</v>
      </c>
      <c r="S1766" s="163" t="s">
        <v>754</v>
      </c>
      <c r="T1766" s="43">
        <f t="shared" si="42"/>
        <v>3</v>
      </c>
      <c r="U1766" s="167">
        <f t="shared" si="41"/>
        <v>45726</v>
      </c>
      <c r="W1766" s="43">
        <f t="shared" si="43"/>
        <v>3</v>
      </c>
      <c r="X1766" s="49" t="s">
        <v>1333</v>
      </c>
      <c r="Y1766" s="49" t="s">
        <v>26</v>
      </c>
    </row>
    <row r="1767" spans="1:28" hidden="1">
      <c r="A1767" s="163" t="s">
        <v>1017</v>
      </c>
      <c r="B1767" s="164">
        <v>45726</v>
      </c>
      <c r="C1767" s="163" t="s">
        <v>307</v>
      </c>
      <c r="D1767" s="163" t="s">
        <v>281</v>
      </c>
      <c r="E1767" s="163" t="s">
        <v>202</v>
      </c>
      <c r="F1767" s="168"/>
      <c r="G1767" s="165">
        <f t="shared" si="40"/>
        <v>77160.561000000002</v>
      </c>
      <c r="H1767" s="163"/>
      <c r="I1767" s="163" t="s">
        <v>283</v>
      </c>
      <c r="J1767" s="163"/>
      <c r="K1767" s="163"/>
      <c r="L1767" s="163" t="s">
        <v>1030</v>
      </c>
      <c r="M1767" s="163"/>
      <c r="N1767" s="163" t="s">
        <v>978</v>
      </c>
      <c r="O1767" s="163"/>
      <c r="P1767" s="163"/>
      <c r="Q1767" s="163"/>
      <c r="R1767" s="163" t="s">
        <v>310</v>
      </c>
      <c r="S1767" s="163" t="s">
        <v>311</v>
      </c>
      <c r="T1767" s="43">
        <f t="shared" si="42"/>
        <v>3</v>
      </c>
      <c r="U1767" s="167">
        <f t="shared" si="41"/>
        <v>45726</v>
      </c>
      <c r="W1767" s="43">
        <f t="shared" si="43"/>
        <v>3</v>
      </c>
      <c r="X1767" s="49" t="s">
        <v>1526</v>
      </c>
      <c r="Y1767" s="49" t="s">
        <v>26</v>
      </c>
    </row>
    <row r="1768" spans="1:28" hidden="1">
      <c r="A1768" s="163" t="s">
        <v>1017</v>
      </c>
      <c r="B1768" s="164">
        <v>45726</v>
      </c>
      <c r="C1768" s="163" t="s">
        <v>725</v>
      </c>
      <c r="D1768" s="163" t="s">
        <v>281</v>
      </c>
      <c r="E1768" s="163" t="s">
        <v>301</v>
      </c>
      <c r="F1768" s="226">
        <v>-3033.33</v>
      </c>
      <c r="G1768" s="165">
        <f t="shared" si="40"/>
        <v>74127.231</v>
      </c>
      <c r="H1768" s="163"/>
      <c r="I1768" s="163" t="s">
        <v>283</v>
      </c>
      <c r="J1768" s="163"/>
      <c r="K1768" s="163"/>
      <c r="L1768" s="163" t="s">
        <v>1030</v>
      </c>
      <c r="M1768" s="163"/>
      <c r="N1768" s="163" t="s">
        <v>978</v>
      </c>
      <c r="O1768" s="163"/>
      <c r="P1768" s="163"/>
      <c r="Q1768" s="163"/>
      <c r="R1768" s="163" t="s">
        <v>727</v>
      </c>
      <c r="S1768" s="163" t="s">
        <v>728</v>
      </c>
      <c r="T1768" s="43">
        <f t="shared" si="42"/>
        <v>3</v>
      </c>
      <c r="U1768" s="167">
        <f t="shared" si="41"/>
        <v>45726</v>
      </c>
      <c r="W1768" s="43">
        <f t="shared" si="43"/>
        <v>3</v>
      </c>
      <c r="X1768" s="49" t="s">
        <v>1526</v>
      </c>
      <c r="Y1768" s="49" t="s">
        <v>86</v>
      </c>
    </row>
    <row r="1769" spans="1:28" hidden="1">
      <c r="A1769" s="163" t="s">
        <v>1017</v>
      </c>
      <c r="B1769" s="164">
        <v>45726</v>
      </c>
      <c r="C1769" s="163" t="s">
        <v>154</v>
      </c>
      <c r="D1769" s="163" t="s">
        <v>281</v>
      </c>
      <c r="E1769" s="163" t="s">
        <v>202</v>
      </c>
      <c r="F1769" s="226">
        <v>-3500</v>
      </c>
      <c r="G1769" s="165">
        <f t="shared" si="40"/>
        <v>70627.231</v>
      </c>
      <c r="H1769" s="163"/>
      <c r="I1769" s="163" t="s">
        <v>283</v>
      </c>
      <c r="J1769" s="163"/>
      <c r="K1769" s="163"/>
      <c r="L1769" s="163" t="s">
        <v>1030</v>
      </c>
      <c r="M1769" s="163"/>
      <c r="N1769" s="163" t="s">
        <v>978</v>
      </c>
      <c r="O1769" s="163"/>
      <c r="P1769" s="163"/>
      <c r="Q1769" s="163"/>
      <c r="R1769" s="163" t="s">
        <v>702</v>
      </c>
      <c r="S1769" s="163" t="s">
        <v>703</v>
      </c>
      <c r="T1769" s="43">
        <f t="shared" si="42"/>
        <v>3</v>
      </c>
      <c r="U1769" s="167">
        <f t="shared" si="41"/>
        <v>45726</v>
      </c>
      <c r="W1769" s="43">
        <f t="shared" si="43"/>
        <v>3</v>
      </c>
      <c r="X1769" s="49" t="s">
        <v>1526</v>
      </c>
      <c r="Y1769" s="49" t="s">
        <v>86</v>
      </c>
    </row>
    <row r="1770" spans="1:28" hidden="1">
      <c r="A1770" s="163" t="s">
        <v>1017</v>
      </c>
      <c r="B1770" s="164">
        <v>45726</v>
      </c>
      <c r="C1770" s="163" t="s">
        <v>704</v>
      </c>
      <c r="D1770" s="163" t="s">
        <v>281</v>
      </c>
      <c r="E1770" s="163" t="s">
        <v>925</v>
      </c>
      <c r="F1770" s="226">
        <v>-516.66999999999996</v>
      </c>
      <c r="G1770" s="165">
        <f t="shared" si="40"/>
        <v>70110.561000000002</v>
      </c>
      <c r="H1770" s="163"/>
      <c r="I1770" s="163" t="s">
        <v>283</v>
      </c>
      <c r="J1770" s="163"/>
      <c r="K1770" s="163"/>
      <c r="L1770" s="163" t="s">
        <v>1030</v>
      </c>
      <c r="M1770" s="163"/>
      <c r="N1770" s="163" t="s">
        <v>978</v>
      </c>
      <c r="O1770" s="163"/>
      <c r="P1770" s="163"/>
      <c r="Q1770" s="163"/>
      <c r="R1770" s="163" t="s">
        <v>702</v>
      </c>
      <c r="S1770" s="163" t="s">
        <v>703</v>
      </c>
      <c r="T1770" s="43">
        <f t="shared" si="42"/>
        <v>3</v>
      </c>
      <c r="U1770" s="167">
        <f t="shared" si="41"/>
        <v>45726</v>
      </c>
      <c r="W1770" s="43">
        <f t="shared" si="43"/>
        <v>3</v>
      </c>
      <c r="X1770" s="49" t="s">
        <v>1526</v>
      </c>
      <c r="Y1770" s="49" t="s">
        <v>86</v>
      </c>
    </row>
    <row r="1771" spans="1:28" hidden="1">
      <c r="A1771" s="163" t="s">
        <v>1017</v>
      </c>
      <c r="B1771" s="164">
        <v>45726</v>
      </c>
      <c r="C1771" s="163" t="s">
        <v>704</v>
      </c>
      <c r="D1771" s="163" t="s">
        <v>281</v>
      </c>
      <c r="E1771" s="163" t="s">
        <v>202</v>
      </c>
      <c r="F1771" s="226">
        <v>-4000</v>
      </c>
      <c r="G1771" s="165">
        <f t="shared" si="40"/>
        <v>66110.561000000002</v>
      </c>
      <c r="H1771" s="163"/>
      <c r="I1771" s="163" t="s">
        <v>283</v>
      </c>
      <c r="J1771" s="163"/>
      <c r="K1771" s="163"/>
      <c r="L1771" s="163" t="s">
        <v>1030</v>
      </c>
      <c r="M1771" s="163"/>
      <c r="N1771" s="163" t="s">
        <v>978</v>
      </c>
      <c r="O1771" s="163"/>
      <c r="P1771" s="163"/>
      <c r="Q1771" s="163"/>
      <c r="R1771" s="163" t="s">
        <v>706</v>
      </c>
      <c r="S1771" s="163" t="s">
        <v>707</v>
      </c>
      <c r="T1771" s="43">
        <f t="shared" si="42"/>
        <v>3</v>
      </c>
      <c r="U1771" s="167">
        <f t="shared" si="41"/>
        <v>45726</v>
      </c>
      <c r="W1771" s="43">
        <f t="shared" si="43"/>
        <v>3</v>
      </c>
      <c r="X1771" s="49" t="s">
        <v>1526</v>
      </c>
      <c r="Y1771" s="49" t="s">
        <v>86</v>
      </c>
    </row>
    <row r="1772" spans="1:28" hidden="1">
      <c r="A1772" s="163" t="s">
        <v>1017</v>
      </c>
      <c r="B1772" s="164">
        <v>45726</v>
      </c>
      <c r="C1772" s="163" t="s">
        <v>385</v>
      </c>
      <c r="D1772" s="163" t="s">
        <v>281</v>
      </c>
      <c r="E1772" s="163" t="s">
        <v>386</v>
      </c>
      <c r="F1772" s="168"/>
      <c r="G1772" s="165">
        <f t="shared" si="40"/>
        <v>66110.561000000002</v>
      </c>
      <c r="H1772" s="163"/>
      <c r="I1772" s="163" t="s">
        <v>342</v>
      </c>
      <c r="J1772" s="163"/>
      <c r="K1772" s="163"/>
      <c r="L1772" s="163" t="s">
        <v>1728</v>
      </c>
      <c r="M1772" s="163"/>
      <c r="N1772" s="163" t="s">
        <v>978</v>
      </c>
      <c r="O1772" s="163"/>
      <c r="P1772" s="163"/>
      <c r="Q1772" s="163"/>
      <c r="R1772" s="163" t="s">
        <v>389</v>
      </c>
      <c r="S1772" s="163" t="s">
        <v>390</v>
      </c>
      <c r="T1772" s="43">
        <f t="shared" si="42"/>
        <v>3</v>
      </c>
      <c r="U1772" s="167">
        <f t="shared" si="41"/>
        <v>45726</v>
      </c>
      <c r="W1772" s="43">
        <f t="shared" si="43"/>
        <v>3</v>
      </c>
      <c r="X1772" s="49" t="s">
        <v>196</v>
      </c>
      <c r="Y1772" s="49" t="s">
        <v>1443</v>
      </c>
    </row>
    <row r="1773" spans="1:28" hidden="1">
      <c r="A1773" s="163" t="s">
        <v>1017</v>
      </c>
      <c r="B1773" s="164">
        <v>45726</v>
      </c>
      <c r="C1773" s="163" t="s">
        <v>1537</v>
      </c>
      <c r="D1773" s="163" t="s">
        <v>281</v>
      </c>
      <c r="E1773" s="163" t="s">
        <v>301</v>
      </c>
      <c r="F1773" s="226">
        <f>-10000-2666.67+2200</f>
        <v>-10466.67</v>
      </c>
      <c r="G1773" s="165">
        <f t="shared" si="40"/>
        <v>55643.891000000003</v>
      </c>
      <c r="H1773" s="163"/>
      <c r="I1773" s="163" t="s">
        <v>283</v>
      </c>
      <c r="J1773" s="163"/>
      <c r="K1773" s="163"/>
      <c r="L1773" s="163" t="s">
        <v>766</v>
      </c>
      <c r="M1773" s="163"/>
      <c r="N1773" s="163" t="s">
        <v>978</v>
      </c>
      <c r="O1773" s="163"/>
      <c r="P1773" s="163"/>
      <c r="Q1773" s="163"/>
      <c r="R1773" s="163" t="s">
        <v>1527</v>
      </c>
      <c r="S1773" s="163"/>
      <c r="T1773" s="43">
        <f t="shared" si="42"/>
        <v>3</v>
      </c>
      <c r="U1773" s="167">
        <f t="shared" si="41"/>
        <v>45726</v>
      </c>
      <c r="W1773" s="43">
        <f t="shared" si="43"/>
        <v>3</v>
      </c>
      <c r="X1773" s="49" t="s">
        <v>1526</v>
      </c>
      <c r="Y1773" s="49" t="s">
        <v>86</v>
      </c>
    </row>
    <row r="1774" spans="1:28" hidden="1">
      <c r="A1774" s="163" t="s">
        <v>1017</v>
      </c>
      <c r="B1774" s="164">
        <v>45726</v>
      </c>
      <c r="C1774" s="163" t="s">
        <v>1725</v>
      </c>
      <c r="D1774" s="163" t="s">
        <v>281</v>
      </c>
      <c r="E1774" s="163" t="s">
        <v>202</v>
      </c>
      <c r="F1774" s="226">
        <v>-13000</v>
      </c>
      <c r="G1774" s="165">
        <f t="shared" si="40"/>
        <v>42643.891000000003</v>
      </c>
      <c r="H1774" s="163"/>
      <c r="I1774" s="163" t="s">
        <v>283</v>
      </c>
      <c r="J1774" s="163"/>
      <c r="K1774" s="163"/>
      <c r="L1774" s="163" t="s">
        <v>766</v>
      </c>
      <c r="M1774" s="163"/>
      <c r="N1774" s="163" t="s">
        <v>978</v>
      </c>
      <c r="O1774" s="163"/>
      <c r="P1774" s="163"/>
      <c r="Q1774" s="163"/>
      <c r="R1774" s="163" t="s">
        <v>1527</v>
      </c>
      <c r="S1774" s="163"/>
      <c r="T1774" s="43">
        <f t="shared" si="42"/>
        <v>3</v>
      </c>
      <c r="U1774" s="167">
        <f t="shared" si="41"/>
        <v>45726</v>
      </c>
      <c r="W1774" s="43">
        <f t="shared" si="43"/>
        <v>3</v>
      </c>
      <c r="X1774" s="49" t="s">
        <v>1526</v>
      </c>
      <c r="Y1774" s="49" t="s">
        <v>1488</v>
      </c>
    </row>
    <row r="1775" spans="1:28" hidden="1">
      <c r="A1775" s="248" t="s">
        <v>1017</v>
      </c>
      <c r="B1775" s="249">
        <v>45726</v>
      </c>
      <c r="C1775" s="248" t="s">
        <v>26</v>
      </c>
      <c r="D1775" s="248" t="s">
        <v>281</v>
      </c>
      <c r="E1775" s="248" t="s">
        <v>925</v>
      </c>
      <c r="F1775" s="169"/>
      <c r="G1775" s="165">
        <f t="shared" si="40"/>
        <v>42643.891000000003</v>
      </c>
      <c r="H1775" s="248"/>
      <c r="I1775" s="248" t="s">
        <v>283</v>
      </c>
      <c r="J1775" s="248"/>
      <c r="K1775" s="248"/>
      <c r="L1775" s="248" t="s">
        <v>485</v>
      </c>
      <c r="M1775" s="248"/>
      <c r="N1775" s="248" t="s">
        <v>978</v>
      </c>
      <c r="O1775" s="248"/>
      <c r="P1775" s="248"/>
      <c r="Q1775" s="248"/>
      <c r="R1775" s="248" t="s">
        <v>669</v>
      </c>
      <c r="S1775" s="248" t="s">
        <v>1492</v>
      </c>
      <c r="T1775" s="251">
        <f t="shared" si="42"/>
        <v>3</v>
      </c>
      <c r="U1775" s="252">
        <f t="shared" si="41"/>
        <v>45726</v>
      </c>
      <c r="V1775" s="251"/>
      <c r="W1775" s="43">
        <f t="shared" si="43"/>
        <v>3</v>
      </c>
      <c r="X1775" s="236" t="s">
        <v>90</v>
      </c>
      <c r="Y1775" s="236" t="s">
        <v>26</v>
      </c>
      <c r="Z1775" s="251"/>
      <c r="AA1775" s="251"/>
      <c r="AB1775" s="251"/>
    </row>
    <row r="1776" spans="1:28" hidden="1">
      <c r="A1776" s="248" t="s">
        <v>1017</v>
      </c>
      <c r="B1776" s="249">
        <v>45726</v>
      </c>
      <c r="C1776" s="248" t="s">
        <v>1561</v>
      </c>
      <c r="D1776" s="248" t="s">
        <v>281</v>
      </c>
      <c r="E1776" s="248" t="s">
        <v>925</v>
      </c>
      <c r="F1776" s="169"/>
      <c r="G1776" s="165">
        <f t="shared" si="40"/>
        <v>42643.891000000003</v>
      </c>
      <c r="H1776" s="248"/>
      <c r="I1776" s="248" t="s">
        <v>283</v>
      </c>
      <c r="J1776" s="248"/>
      <c r="K1776" s="248"/>
      <c r="L1776" s="248" t="s">
        <v>485</v>
      </c>
      <c r="M1776" s="248"/>
      <c r="N1776" s="248" t="s">
        <v>978</v>
      </c>
      <c r="O1776" s="248"/>
      <c r="P1776" s="248"/>
      <c r="Q1776" s="248"/>
      <c r="R1776" s="248" t="s">
        <v>669</v>
      </c>
      <c r="S1776" s="248" t="s">
        <v>1492</v>
      </c>
      <c r="T1776" s="251">
        <f t="shared" si="42"/>
        <v>3</v>
      </c>
      <c r="U1776" s="252">
        <f t="shared" si="41"/>
        <v>45726</v>
      </c>
      <c r="V1776" s="251"/>
      <c r="W1776" s="43">
        <f t="shared" si="43"/>
        <v>3</v>
      </c>
      <c r="X1776" s="236" t="s">
        <v>90</v>
      </c>
      <c r="Y1776" s="236" t="s">
        <v>26</v>
      </c>
      <c r="Z1776" s="251"/>
      <c r="AA1776" s="251"/>
      <c r="AB1776" s="251"/>
    </row>
    <row r="1777" spans="1:28" hidden="1">
      <c r="A1777" s="180" t="s">
        <v>1017</v>
      </c>
      <c r="B1777" s="181">
        <v>45726</v>
      </c>
      <c r="C1777" s="180" t="s">
        <v>1664</v>
      </c>
      <c r="D1777" s="180" t="s">
        <v>281</v>
      </c>
      <c r="E1777" s="180" t="s">
        <v>202</v>
      </c>
      <c r="F1777" s="226">
        <v>-6000</v>
      </c>
      <c r="G1777" s="165">
        <f t="shared" si="40"/>
        <v>36643.891000000003</v>
      </c>
      <c r="H1777" s="180"/>
      <c r="I1777" s="180" t="s">
        <v>283</v>
      </c>
      <c r="J1777" s="180"/>
      <c r="K1777" s="180"/>
      <c r="L1777" s="180" t="s">
        <v>1424</v>
      </c>
      <c r="M1777" s="180"/>
      <c r="N1777" s="180" t="s">
        <v>978</v>
      </c>
      <c r="O1777" s="180"/>
      <c r="P1777" s="180"/>
      <c r="Q1777" s="180"/>
      <c r="R1777" s="180" t="s">
        <v>466</v>
      </c>
      <c r="S1777" s="180" t="s">
        <v>468</v>
      </c>
      <c r="T1777" s="183">
        <f t="shared" si="42"/>
        <v>3</v>
      </c>
      <c r="U1777" s="184">
        <f t="shared" si="41"/>
        <v>45726</v>
      </c>
      <c r="V1777" s="183"/>
      <c r="W1777" s="43">
        <f t="shared" si="43"/>
        <v>3</v>
      </c>
      <c r="X1777" s="49" t="s">
        <v>1526</v>
      </c>
      <c r="Y1777" s="49" t="s">
        <v>86</v>
      </c>
      <c r="Z1777" s="183"/>
      <c r="AA1777" s="183"/>
      <c r="AB1777" s="183"/>
    </row>
    <row r="1778" spans="1:28" hidden="1">
      <c r="A1778" s="180" t="s">
        <v>1017</v>
      </c>
      <c r="B1778" s="181">
        <v>45726</v>
      </c>
      <c r="C1778" s="180" t="s">
        <v>1540</v>
      </c>
      <c r="D1778" s="180" t="s">
        <v>281</v>
      </c>
      <c r="E1778" s="180" t="s">
        <v>202</v>
      </c>
      <c r="F1778" s="169"/>
      <c r="G1778" s="165">
        <f t="shared" si="40"/>
        <v>36643.891000000003</v>
      </c>
      <c r="H1778" s="180"/>
      <c r="I1778" s="180" t="s">
        <v>283</v>
      </c>
      <c r="J1778" s="180"/>
      <c r="K1778" s="180"/>
      <c r="L1778" s="180" t="s">
        <v>485</v>
      </c>
      <c r="M1778" s="180"/>
      <c r="N1778" s="180" t="s">
        <v>978</v>
      </c>
      <c r="O1778" s="180"/>
      <c r="P1778" s="180"/>
      <c r="Q1778" s="180"/>
      <c r="R1778" s="180" t="s">
        <v>1527</v>
      </c>
      <c r="S1778" s="180"/>
      <c r="T1778" s="183">
        <f t="shared" si="42"/>
        <v>3</v>
      </c>
      <c r="U1778" s="184">
        <f t="shared" si="41"/>
        <v>45726</v>
      </c>
      <c r="V1778" s="183"/>
      <c r="W1778" s="43">
        <f t="shared" si="43"/>
        <v>3</v>
      </c>
      <c r="X1778" s="49" t="s">
        <v>1526</v>
      </c>
      <c r="Y1778" s="49" t="s">
        <v>1541</v>
      </c>
      <c r="Z1778" s="183"/>
      <c r="AA1778" s="183"/>
      <c r="AB1778" s="183"/>
    </row>
    <row r="1779" spans="1:28" hidden="1">
      <c r="A1779" s="180" t="s">
        <v>1017</v>
      </c>
      <c r="B1779" s="181">
        <v>45726</v>
      </c>
      <c r="C1779" s="180" t="s">
        <v>1087</v>
      </c>
      <c r="D1779" s="180" t="s">
        <v>281</v>
      </c>
      <c r="E1779" s="180" t="s">
        <v>202</v>
      </c>
      <c r="F1779" s="226">
        <v>-30000</v>
      </c>
      <c r="G1779" s="165">
        <f t="shared" si="40"/>
        <v>6643.8910000000033</v>
      </c>
      <c r="H1779" s="180"/>
      <c r="I1779" s="180" t="s">
        <v>283</v>
      </c>
      <c r="J1779" s="180"/>
      <c r="K1779" s="180"/>
      <c r="L1779" s="180" t="s">
        <v>485</v>
      </c>
      <c r="M1779" s="180"/>
      <c r="N1779" s="180" t="s">
        <v>978</v>
      </c>
      <c r="O1779" s="180"/>
      <c r="P1779" s="180"/>
      <c r="Q1779" s="180"/>
      <c r="R1779" s="180" t="s">
        <v>1527</v>
      </c>
      <c r="S1779" s="180"/>
      <c r="T1779" s="183">
        <f t="shared" si="42"/>
        <v>3</v>
      </c>
      <c r="U1779" s="184">
        <f t="shared" si="41"/>
        <v>45726</v>
      </c>
      <c r="V1779" s="183"/>
      <c r="W1779" s="43">
        <f t="shared" si="43"/>
        <v>3</v>
      </c>
      <c r="X1779" s="49" t="s">
        <v>1526</v>
      </c>
      <c r="Y1779" s="49" t="s">
        <v>1479</v>
      </c>
      <c r="Z1779" s="183"/>
      <c r="AA1779" s="183"/>
      <c r="AB1779" s="183"/>
    </row>
    <row r="1780" spans="1:28" hidden="1">
      <c r="A1780" s="180" t="s">
        <v>1017</v>
      </c>
      <c r="B1780" s="181">
        <v>45726</v>
      </c>
      <c r="C1780" s="180" t="s">
        <v>844</v>
      </c>
      <c r="D1780" s="180" t="s">
        <v>281</v>
      </c>
      <c r="E1780" s="180" t="s">
        <v>120</v>
      </c>
      <c r="F1780" s="226">
        <v>-224</v>
      </c>
      <c r="G1780" s="165">
        <f t="shared" si="40"/>
        <v>6419.8910000000033</v>
      </c>
      <c r="H1780" s="180"/>
      <c r="I1780" s="180" t="s">
        <v>342</v>
      </c>
      <c r="J1780" s="180"/>
      <c r="K1780" s="180"/>
      <c r="L1780" s="180" t="s">
        <v>1571</v>
      </c>
      <c r="M1780" s="180"/>
      <c r="N1780" s="180" t="s">
        <v>978</v>
      </c>
      <c r="O1780" s="180"/>
      <c r="P1780" s="180"/>
      <c r="Q1780" s="180"/>
      <c r="R1780" s="180" t="s">
        <v>846</v>
      </c>
      <c r="S1780" s="180" t="s">
        <v>847</v>
      </c>
      <c r="T1780" s="183">
        <f t="shared" si="42"/>
        <v>3</v>
      </c>
      <c r="U1780" s="184">
        <f t="shared" si="41"/>
        <v>45726</v>
      </c>
      <c r="V1780" s="183"/>
      <c r="W1780" s="43">
        <f t="shared" si="43"/>
        <v>3</v>
      </c>
      <c r="X1780" s="206" t="s">
        <v>1498</v>
      </c>
      <c r="Y1780" s="206" t="s">
        <v>1336</v>
      </c>
      <c r="Z1780" s="183"/>
      <c r="AA1780" s="183"/>
      <c r="AB1780" s="183"/>
    </row>
    <row r="1781" spans="1:28" hidden="1">
      <c r="A1781" s="180" t="s">
        <v>1017</v>
      </c>
      <c r="B1781" s="181">
        <v>45726</v>
      </c>
      <c r="C1781" s="180" t="s">
        <v>1010</v>
      </c>
      <c r="D1781" s="180" t="s">
        <v>281</v>
      </c>
      <c r="E1781" s="180" t="s">
        <v>199</v>
      </c>
      <c r="F1781" s="226">
        <v>-2100</v>
      </c>
      <c r="G1781" s="165">
        <f t="shared" si="40"/>
        <v>4319.8910000000033</v>
      </c>
      <c r="H1781" s="180"/>
      <c r="I1781" s="180" t="s">
        <v>283</v>
      </c>
      <c r="J1781" s="180"/>
      <c r="K1781" s="180"/>
      <c r="L1781" s="180" t="s">
        <v>485</v>
      </c>
      <c r="M1781" s="180"/>
      <c r="N1781" s="180" t="s">
        <v>978</v>
      </c>
      <c r="O1781" s="180"/>
      <c r="P1781" s="180"/>
      <c r="Q1781" s="180"/>
      <c r="R1781" s="180" t="s">
        <v>669</v>
      </c>
      <c r="S1781" s="180" t="s">
        <v>1492</v>
      </c>
      <c r="T1781" s="183">
        <f t="shared" si="42"/>
        <v>3</v>
      </c>
      <c r="U1781" s="184">
        <f t="shared" si="41"/>
        <v>45726</v>
      </c>
      <c r="V1781" s="183"/>
      <c r="W1781" s="43">
        <f t="shared" si="43"/>
        <v>3</v>
      </c>
      <c r="X1781" s="206" t="s">
        <v>1478</v>
      </c>
      <c r="Y1781" s="206" t="s">
        <v>26</v>
      </c>
      <c r="Z1781" s="183"/>
      <c r="AA1781" s="183"/>
      <c r="AB1781" s="183"/>
    </row>
    <row r="1782" spans="1:28" hidden="1">
      <c r="A1782" s="163" t="s">
        <v>1017</v>
      </c>
      <c r="B1782" s="164">
        <v>45723</v>
      </c>
      <c r="C1782" s="163" t="s">
        <v>385</v>
      </c>
      <c r="D1782" s="163" t="s">
        <v>281</v>
      </c>
      <c r="E1782" s="163" t="s">
        <v>622</v>
      </c>
      <c r="F1782" s="226">
        <v>-499.17</v>
      </c>
      <c r="G1782" s="165">
        <f t="shared" si="40"/>
        <v>3820.7210000000032</v>
      </c>
      <c r="H1782" s="163"/>
      <c r="I1782" s="163" t="s">
        <v>342</v>
      </c>
      <c r="J1782" s="163"/>
      <c r="K1782" s="163"/>
      <c r="L1782" s="163" t="s">
        <v>1571</v>
      </c>
      <c r="M1782" s="163"/>
      <c r="N1782" s="163" t="s">
        <v>978</v>
      </c>
      <c r="O1782" s="163"/>
      <c r="P1782" s="163"/>
      <c r="Q1782" s="163"/>
      <c r="R1782" s="163" t="s">
        <v>389</v>
      </c>
      <c r="S1782" s="163" t="s">
        <v>390</v>
      </c>
      <c r="T1782" s="43">
        <f t="shared" si="42"/>
        <v>3</v>
      </c>
      <c r="U1782" s="167">
        <f t="shared" si="41"/>
        <v>45726</v>
      </c>
      <c r="V1782" s="145">
        <v>45726</v>
      </c>
      <c r="W1782" s="43">
        <f t="shared" si="43"/>
        <v>3</v>
      </c>
      <c r="X1782" s="49" t="s">
        <v>1498</v>
      </c>
      <c r="Y1782" s="49" t="s">
        <v>1336</v>
      </c>
    </row>
    <row r="1783" spans="1:28" hidden="1">
      <c r="A1783" s="163" t="s">
        <v>1017</v>
      </c>
      <c r="B1783" s="164">
        <v>45723</v>
      </c>
      <c r="C1783" s="163" t="s">
        <v>385</v>
      </c>
      <c r="D1783" s="163" t="s">
        <v>281</v>
      </c>
      <c r="E1783" s="163" t="s">
        <v>622</v>
      </c>
      <c r="F1783" s="226">
        <v>-283.32</v>
      </c>
      <c r="G1783" s="165">
        <f t="shared" si="40"/>
        <v>3537.401000000003</v>
      </c>
      <c r="H1783" s="163"/>
      <c r="I1783" s="163" t="s">
        <v>342</v>
      </c>
      <c r="J1783" s="163"/>
      <c r="K1783" s="163"/>
      <c r="L1783" s="163" t="s">
        <v>686</v>
      </c>
      <c r="M1783" s="163"/>
      <c r="N1783" s="163" t="s">
        <v>978</v>
      </c>
      <c r="O1783" s="163"/>
      <c r="P1783" s="163"/>
      <c r="Q1783" s="163"/>
      <c r="R1783" s="163" t="s">
        <v>389</v>
      </c>
      <c r="S1783" s="163" t="s">
        <v>390</v>
      </c>
      <c r="T1783" s="43">
        <f t="shared" si="42"/>
        <v>3</v>
      </c>
      <c r="U1783" s="167">
        <f t="shared" si="41"/>
        <v>45726</v>
      </c>
      <c r="V1783" s="145">
        <v>45726</v>
      </c>
      <c r="W1783" s="43">
        <f t="shared" si="43"/>
        <v>3</v>
      </c>
      <c r="X1783" s="49" t="s">
        <v>1498</v>
      </c>
      <c r="Y1783" s="49" t="s">
        <v>1336</v>
      </c>
    </row>
    <row r="1784" spans="1:28" hidden="1">
      <c r="A1784" s="163"/>
      <c r="B1784" s="164">
        <v>45726</v>
      </c>
      <c r="C1784" s="163" t="s">
        <v>346</v>
      </c>
      <c r="D1784" s="163"/>
      <c r="E1784" s="163"/>
      <c r="F1784" s="165">
        <v>0</v>
      </c>
      <c r="G1784" s="165">
        <f t="shared" si="40"/>
        <v>3537.401000000003</v>
      </c>
      <c r="H1784" s="163"/>
      <c r="I1784" s="163"/>
      <c r="J1784" s="163"/>
      <c r="K1784" s="163"/>
      <c r="L1784" s="163"/>
      <c r="M1784" s="163"/>
      <c r="N1784" s="163"/>
      <c r="O1784" s="163"/>
      <c r="P1784" s="163"/>
      <c r="Q1784" s="163"/>
      <c r="R1784" s="163"/>
      <c r="S1784" s="163"/>
      <c r="T1784" s="43">
        <f t="shared" si="42"/>
        <v>3</v>
      </c>
      <c r="U1784" s="167">
        <f t="shared" si="41"/>
        <v>45726</v>
      </c>
      <c r="W1784" s="43">
        <f t="shared" si="43"/>
        <v>3</v>
      </c>
    </row>
    <row r="1785" spans="1:28" hidden="1">
      <c r="A1785" s="163" t="s">
        <v>1017</v>
      </c>
      <c r="B1785" s="164">
        <v>45727</v>
      </c>
      <c r="C1785" s="163" t="s">
        <v>773</v>
      </c>
      <c r="D1785" s="163" t="s">
        <v>281</v>
      </c>
      <c r="E1785" s="163" t="s">
        <v>760</v>
      </c>
      <c r="F1785" s="204"/>
      <c r="G1785" s="165">
        <f t="shared" si="40"/>
        <v>3537.401000000003</v>
      </c>
      <c r="H1785" s="163"/>
      <c r="I1785" s="163" t="s">
        <v>283</v>
      </c>
      <c r="J1785" s="163"/>
      <c r="K1785" s="163"/>
      <c r="L1785" s="163" t="s">
        <v>1571</v>
      </c>
      <c r="M1785" s="163"/>
      <c r="N1785" s="163" t="s">
        <v>978</v>
      </c>
      <c r="O1785" s="163"/>
      <c r="P1785" s="163"/>
      <c r="Q1785" s="163"/>
      <c r="R1785" s="163" t="s">
        <v>775</v>
      </c>
      <c r="S1785" s="163" t="s">
        <v>776</v>
      </c>
      <c r="T1785" s="43">
        <f t="shared" si="42"/>
        <v>3</v>
      </c>
      <c r="U1785" s="167">
        <f t="shared" si="41"/>
        <v>45727</v>
      </c>
      <c r="W1785" s="43">
        <f t="shared" si="43"/>
        <v>3</v>
      </c>
      <c r="X1785" s="236" t="s">
        <v>1482</v>
      </c>
      <c r="Y1785" s="236" t="s">
        <v>78</v>
      </c>
    </row>
    <row r="1786" spans="1:28" hidden="1">
      <c r="A1786" s="163" t="s">
        <v>1017</v>
      </c>
      <c r="B1786" s="164">
        <v>45727</v>
      </c>
      <c r="C1786" s="163" t="s">
        <v>1353</v>
      </c>
      <c r="D1786" s="163" t="s">
        <v>281</v>
      </c>
      <c r="E1786" s="163" t="s">
        <v>760</v>
      </c>
      <c r="F1786" s="204"/>
      <c r="G1786" s="165">
        <f t="shared" si="40"/>
        <v>3537.401000000003</v>
      </c>
      <c r="H1786" s="163"/>
      <c r="I1786" s="163" t="s">
        <v>283</v>
      </c>
      <c r="J1786" s="163"/>
      <c r="K1786" s="163"/>
      <c r="L1786" s="163" t="s">
        <v>686</v>
      </c>
      <c r="M1786" s="163"/>
      <c r="N1786" s="163" t="s">
        <v>978</v>
      </c>
      <c r="O1786" s="163"/>
      <c r="P1786" s="163"/>
      <c r="Q1786" s="163"/>
      <c r="R1786" s="163" t="s">
        <v>1354</v>
      </c>
      <c r="S1786" s="163" t="s">
        <v>1355</v>
      </c>
      <c r="T1786" s="43">
        <f t="shared" si="42"/>
        <v>3</v>
      </c>
      <c r="U1786" s="167">
        <f t="shared" si="41"/>
        <v>45727</v>
      </c>
      <c r="W1786" s="43">
        <f t="shared" si="43"/>
        <v>3</v>
      </c>
      <c r="X1786" s="236" t="s">
        <v>1482</v>
      </c>
      <c r="Y1786" s="236" t="s">
        <v>78</v>
      </c>
    </row>
    <row r="1787" spans="1:28" hidden="1">
      <c r="A1787" s="163" t="s">
        <v>1174</v>
      </c>
      <c r="B1787" s="164">
        <v>45721</v>
      </c>
      <c r="C1787" s="163" t="s">
        <v>406</v>
      </c>
      <c r="D1787" s="163" t="s">
        <v>281</v>
      </c>
      <c r="E1787" s="163" t="s">
        <v>407</v>
      </c>
      <c r="F1787" s="195">
        <v>4289.6000000000004</v>
      </c>
      <c r="G1787" s="165">
        <f t="shared" si="40"/>
        <v>7827.0010000000038</v>
      </c>
      <c r="H1787" s="163"/>
      <c r="I1787" s="163" t="s">
        <v>1176</v>
      </c>
      <c r="J1787" s="163" t="s">
        <v>1340</v>
      </c>
      <c r="K1787" s="163"/>
      <c r="L1787" s="163" t="s">
        <v>305</v>
      </c>
      <c r="M1787" s="163"/>
      <c r="N1787" s="163" t="s">
        <v>1178</v>
      </c>
      <c r="O1787" s="163" t="s">
        <v>1340</v>
      </c>
      <c r="P1787" s="163" t="s">
        <v>57</v>
      </c>
      <c r="Q1787" s="163"/>
      <c r="R1787" s="163" t="s">
        <v>406</v>
      </c>
      <c r="S1787" s="163" t="s">
        <v>413</v>
      </c>
      <c r="T1787" s="43">
        <f t="shared" si="42"/>
        <v>3</v>
      </c>
      <c r="U1787" s="167">
        <f t="shared" si="41"/>
        <v>45727</v>
      </c>
      <c r="V1787" s="145">
        <v>45727</v>
      </c>
      <c r="W1787" s="43">
        <f t="shared" si="43"/>
        <v>3</v>
      </c>
      <c r="X1787" s="43" t="s">
        <v>1484</v>
      </c>
      <c r="Y1787" s="43" t="s">
        <v>1485</v>
      </c>
    </row>
    <row r="1788" spans="1:28" hidden="1">
      <c r="A1788" s="163" t="s">
        <v>1174</v>
      </c>
      <c r="B1788" s="164">
        <v>45726</v>
      </c>
      <c r="C1788" s="163" t="s">
        <v>1531</v>
      </c>
      <c r="D1788" s="163" t="s">
        <v>281</v>
      </c>
      <c r="E1788" s="163" t="s">
        <v>407</v>
      </c>
      <c r="F1788" s="195">
        <v>4200</v>
      </c>
      <c r="G1788" s="165">
        <f t="shared" ref="G1788:G2042" si="44">F1788+G1787</f>
        <v>12027.001000000004</v>
      </c>
      <c r="H1788" s="163"/>
      <c r="I1788" s="163" t="s">
        <v>1176</v>
      </c>
      <c r="J1788" s="163" t="s">
        <v>1532</v>
      </c>
      <c r="K1788" s="163"/>
      <c r="L1788" s="163" t="s">
        <v>305</v>
      </c>
      <c r="M1788" s="163"/>
      <c r="N1788" s="163" t="s">
        <v>1178</v>
      </c>
      <c r="O1788" s="163" t="s">
        <v>1532</v>
      </c>
      <c r="P1788" s="163" t="s">
        <v>57</v>
      </c>
      <c r="Q1788" s="163"/>
      <c r="R1788" s="163" t="s">
        <v>1533</v>
      </c>
      <c r="S1788" s="163" t="s">
        <v>1534</v>
      </c>
      <c r="T1788" s="43">
        <f t="shared" si="42"/>
        <v>3</v>
      </c>
      <c r="U1788" s="167">
        <f t="shared" si="41"/>
        <v>45727</v>
      </c>
      <c r="V1788" s="145">
        <v>45727</v>
      </c>
      <c r="W1788" s="43">
        <f t="shared" si="43"/>
        <v>3</v>
      </c>
      <c r="X1788" s="43" t="s">
        <v>1484</v>
      </c>
      <c r="Y1788" s="43" t="s">
        <v>1485</v>
      </c>
    </row>
    <row r="1789" spans="1:28" hidden="1">
      <c r="A1789" s="163" t="s">
        <v>1174</v>
      </c>
      <c r="B1789" s="164">
        <v>45726</v>
      </c>
      <c r="C1789" s="163" t="s">
        <v>952</v>
      </c>
      <c r="D1789" s="163" t="s">
        <v>281</v>
      </c>
      <c r="E1789" s="163" t="s">
        <v>407</v>
      </c>
      <c r="F1789" s="195">
        <v>5500</v>
      </c>
      <c r="G1789" s="165">
        <f t="shared" si="44"/>
        <v>17527.001000000004</v>
      </c>
      <c r="H1789" s="163"/>
      <c r="I1789" s="163" t="s">
        <v>1176</v>
      </c>
      <c r="J1789" s="163" t="s">
        <v>1364</v>
      </c>
      <c r="K1789" s="163"/>
      <c r="L1789" s="163" t="s">
        <v>305</v>
      </c>
      <c r="M1789" s="163"/>
      <c r="N1789" s="163" t="s">
        <v>1178</v>
      </c>
      <c r="O1789" s="163" t="s">
        <v>1364</v>
      </c>
      <c r="P1789" s="163" t="s">
        <v>957</v>
      </c>
      <c r="Q1789" s="163"/>
      <c r="R1789" s="163" t="s">
        <v>958</v>
      </c>
      <c r="S1789" s="163" t="s">
        <v>959</v>
      </c>
      <c r="T1789" s="43">
        <f t="shared" si="42"/>
        <v>3</v>
      </c>
      <c r="U1789" s="167">
        <f t="shared" si="41"/>
        <v>45727</v>
      </c>
      <c r="V1789" s="145">
        <v>45727</v>
      </c>
      <c r="W1789" s="43">
        <f t="shared" si="43"/>
        <v>3</v>
      </c>
      <c r="X1789" s="43" t="s">
        <v>1484</v>
      </c>
      <c r="Y1789" s="43" t="s">
        <v>1485</v>
      </c>
    </row>
    <row r="1790" spans="1:28" hidden="1">
      <c r="A1790" s="180" t="s">
        <v>1017</v>
      </c>
      <c r="B1790" s="181">
        <v>45727</v>
      </c>
      <c r="C1790" s="180" t="s">
        <v>1729</v>
      </c>
      <c r="D1790" s="180" t="s">
        <v>281</v>
      </c>
      <c r="E1790" s="180" t="s">
        <v>1693</v>
      </c>
      <c r="F1790" s="226">
        <v>-250</v>
      </c>
      <c r="G1790" s="165">
        <f t="shared" si="44"/>
        <v>17277.001000000004</v>
      </c>
      <c r="H1790" s="180"/>
      <c r="I1790" s="180" t="s">
        <v>283</v>
      </c>
      <c r="J1790" s="180"/>
      <c r="K1790" s="180"/>
      <c r="L1790" s="180" t="s">
        <v>485</v>
      </c>
      <c r="M1790" s="180"/>
      <c r="N1790" s="180" t="s">
        <v>978</v>
      </c>
      <c r="O1790" s="180"/>
      <c r="P1790" s="180"/>
      <c r="Q1790" s="180"/>
      <c r="R1790" s="180" t="s">
        <v>669</v>
      </c>
      <c r="S1790" s="180" t="s">
        <v>1492</v>
      </c>
      <c r="T1790" s="183">
        <f t="shared" si="42"/>
        <v>3</v>
      </c>
      <c r="U1790" s="184">
        <f t="shared" si="41"/>
        <v>45727</v>
      </c>
      <c r="V1790" s="272"/>
      <c r="W1790" s="43">
        <f t="shared" si="43"/>
        <v>3</v>
      </c>
      <c r="X1790" s="43" t="s">
        <v>1483</v>
      </c>
      <c r="Y1790" s="43" t="s">
        <v>105</v>
      </c>
      <c r="Z1790" s="183"/>
      <c r="AA1790" s="183"/>
      <c r="AB1790" s="183"/>
    </row>
    <row r="1791" spans="1:28" hidden="1">
      <c r="A1791" s="180" t="s">
        <v>1017</v>
      </c>
      <c r="B1791" s="181">
        <v>45727</v>
      </c>
      <c r="C1791" s="180" t="s">
        <v>1730</v>
      </c>
      <c r="D1791" s="180" t="s">
        <v>281</v>
      </c>
      <c r="E1791" s="180" t="s">
        <v>1381</v>
      </c>
      <c r="F1791" s="226">
        <f>-25.48-19.49</f>
        <v>-44.97</v>
      </c>
      <c r="G1791" s="165">
        <f t="shared" si="44"/>
        <v>17232.031000000003</v>
      </c>
      <c r="H1791" s="180"/>
      <c r="I1791" s="180" t="s">
        <v>283</v>
      </c>
      <c r="J1791" s="180"/>
      <c r="K1791" s="180"/>
      <c r="L1791" s="180" t="s">
        <v>485</v>
      </c>
      <c r="M1791" s="180"/>
      <c r="N1791" s="180" t="s">
        <v>978</v>
      </c>
      <c r="O1791" s="180"/>
      <c r="P1791" s="180"/>
      <c r="Q1791" s="180"/>
      <c r="R1791" s="180" t="s">
        <v>669</v>
      </c>
      <c r="S1791" s="180" t="s">
        <v>1492</v>
      </c>
      <c r="T1791" s="183">
        <f t="shared" si="42"/>
        <v>3</v>
      </c>
      <c r="U1791" s="184">
        <f t="shared" si="41"/>
        <v>45727</v>
      </c>
      <c r="V1791" s="145"/>
      <c r="W1791" s="43">
        <f t="shared" si="43"/>
        <v>3</v>
      </c>
      <c r="X1791" s="183" t="s">
        <v>1381</v>
      </c>
      <c r="Y1791" s="183" t="s">
        <v>86</v>
      </c>
      <c r="Z1791" s="183"/>
      <c r="AA1791" s="183"/>
      <c r="AB1791" s="183"/>
    </row>
    <row r="1792" spans="1:28" hidden="1">
      <c r="A1792" s="163" t="s">
        <v>1017</v>
      </c>
      <c r="B1792" s="164">
        <v>45727</v>
      </c>
      <c r="C1792" s="190" t="s">
        <v>330</v>
      </c>
      <c r="D1792" s="190" t="s">
        <v>281</v>
      </c>
      <c r="E1792" s="190" t="s">
        <v>330</v>
      </c>
      <c r="F1792" s="185">
        <f>-1.99*3-0.5</f>
        <v>-6.47</v>
      </c>
      <c r="G1792" s="165">
        <f t="shared" si="44"/>
        <v>17225.561000000002</v>
      </c>
      <c r="H1792" s="190"/>
      <c r="I1792" s="190" t="s">
        <v>342</v>
      </c>
      <c r="J1792" s="190"/>
      <c r="K1792" s="190"/>
      <c r="L1792" s="190" t="s">
        <v>805</v>
      </c>
      <c r="M1792" s="190"/>
      <c r="N1792" s="190" t="s">
        <v>978</v>
      </c>
      <c r="O1792" s="190"/>
      <c r="P1792" s="190"/>
      <c r="Q1792" s="190"/>
      <c r="R1792" s="190" t="s">
        <v>1292</v>
      </c>
      <c r="S1792" s="190" t="s">
        <v>1417</v>
      </c>
      <c r="T1792" s="43">
        <f t="shared" si="42"/>
        <v>3</v>
      </c>
      <c r="U1792" s="167">
        <f t="shared" si="41"/>
        <v>45727</v>
      </c>
      <c r="V1792" s="43"/>
      <c r="W1792" s="43">
        <f t="shared" si="43"/>
        <v>3</v>
      </c>
      <c r="X1792" s="43" t="s">
        <v>1483</v>
      </c>
      <c r="Y1792" s="43" t="s">
        <v>1443</v>
      </c>
      <c r="Z1792" s="43"/>
      <c r="AA1792" s="43"/>
    </row>
    <row r="1793" spans="1:28" hidden="1">
      <c r="A1793" s="163"/>
      <c r="B1793" s="164">
        <v>45727</v>
      </c>
      <c r="C1793" s="163" t="s">
        <v>346</v>
      </c>
      <c r="D1793" s="163"/>
      <c r="E1793" s="163"/>
      <c r="F1793" s="165">
        <v>0</v>
      </c>
      <c r="G1793" s="165">
        <f t="shared" si="44"/>
        <v>17225.561000000002</v>
      </c>
      <c r="H1793" s="163"/>
      <c r="I1793" s="163"/>
      <c r="J1793" s="163"/>
      <c r="K1793" s="163"/>
      <c r="L1793" s="163"/>
      <c r="M1793" s="163"/>
      <c r="N1793" s="163"/>
      <c r="O1793" s="163"/>
      <c r="P1793" s="163"/>
      <c r="Q1793" s="163"/>
      <c r="R1793" s="163"/>
      <c r="S1793" s="163"/>
      <c r="T1793" s="43">
        <f t="shared" si="42"/>
        <v>3</v>
      </c>
      <c r="U1793" s="167">
        <f t="shared" si="41"/>
        <v>45727</v>
      </c>
      <c r="W1793" s="43">
        <f t="shared" si="43"/>
        <v>3</v>
      </c>
    </row>
    <row r="1794" spans="1:28" hidden="1">
      <c r="A1794" s="180" t="s">
        <v>1174</v>
      </c>
      <c r="B1794" s="181">
        <v>45726</v>
      </c>
      <c r="C1794" s="180" t="s">
        <v>1731</v>
      </c>
      <c r="D1794" s="180" t="s">
        <v>281</v>
      </c>
      <c r="E1794" s="180" t="s">
        <v>407</v>
      </c>
      <c r="F1794" s="197">
        <v>3500</v>
      </c>
      <c r="G1794" s="165">
        <f t="shared" si="44"/>
        <v>20725.561000000002</v>
      </c>
      <c r="H1794" s="180"/>
      <c r="I1794" s="180" t="s">
        <v>1176</v>
      </c>
      <c r="J1794" s="180" t="s">
        <v>1364</v>
      </c>
      <c r="K1794" s="180"/>
      <c r="L1794" s="180" t="s">
        <v>305</v>
      </c>
      <c r="M1794" s="180"/>
      <c r="N1794" s="180" t="s">
        <v>1178</v>
      </c>
      <c r="O1794" s="180" t="s">
        <v>1364</v>
      </c>
      <c r="P1794" s="180" t="s">
        <v>957</v>
      </c>
      <c r="Q1794" s="180"/>
      <c r="R1794" s="180" t="s">
        <v>958</v>
      </c>
      <c r="S1794" s="180" t="s">
        <v>959</v>
      </c>
      <c r="T1794" s="183">
        <f t="shared" si="42"/>
        <v>3</v>
      </c>
      <c r="U1794" s="184">
        <f t="shared" si="41"/>
        <v>45728</v>
      </c>
      <c r="V1794" s="261">
        <v>45728</v>
      </c>
      <c r="W1794" s="43">
        <f t="shared" si="43"/>
        <v>3</v>
      </c>
      <c r="X1794" s="43" t="s">
        <v>1484</v>
      </c>
      <c r="Y1794" s="43" t="s">
        <v>1485</v>
      </c>
      <c r="Z1794" s="183"/>
      <c r="AA1794" s="183"/>
      <c r="AB1794" s="183"/>
    </row>
    <row r="1795" spans="1:28" hidden="1">
      <c r="A1795" s="180" t="s">
        <v>1174</v>
      </c>
      <c r="B1795" s="181">
        <v>45726</v>
      </c>
      <c r="C1795" s="180" t="s">
        <v>1732</v>
      </c>
      <c r="D1795" s="180" t="s">
        <v>281</v>
      </c>
      <c r="E1795" s="180" t="s">
        <v>407</v>
      </c>
      <c r="F1795" s="197">
        <v>5000</v>
      </c>
      <c r="G1795" s="165">
        <f t="shared" si="44"/>
        <v>25725.561000000002</v>
      </c>
      <c r="H1795" s="180"/>
      <c r="I1795" s="180" t="s">
        <v>1176</v>
      </c>
      <c r="J1795" s="180" t="s">
        <v>1364</v>
      </c>
      <c r="K1795" s="180"/>
      <c r="L1795" s="180" t="s">
        <v>305</v>
      </c>
      <c r="M1795" s="180"/>
      <c r="N1795" s="180" t="s">
        <v>1178</v>
      </c>
      <c r="O1795" s="180" t="s">
        <v>1364</v>
      </c>
      <c r="P1795" s="180" t="s">
        <v>957</v>
      </c>
      <c r="Q1795" s="180"/>
      <c r="R1795" s="180" t="s">
        <v>958</v>
      </c>
      <c r="S1795" s="180" t="s">
        <v>959</v>
      </c>
      <c r="T1795" s="183">
        <f t="shared" si="42"/>
        <v>3</v>
      </c>
      <c r="U1795" s="184">
        <f t="shared" si="41"/>
        <v>45728</v>
      </c>
      <c r="V1795" s="261">
        <v>45728</v>
      </c>
      <c r="W1795" s="43">
        <f t="shared" si="43"/>
        <v>3</v>
      </c>
      <c r="X1795" s="43" t="s">
        <v>1484</v>
      </c>
      <c r="Y1795" s="43" t="s">
        <v>1485</v>
      </c>
      <c r="Z1795" s="183"/>
      <c r="AA1795" s="183"/>
      <c r="AB1795" s="183"/>
    </row>
    <row r="1796" spans="1:28" hidden="1">
      <c r="A1796" s="180" t="s">
        <v>1174</v>
      </c>
      <c r="B1796" s="181">
        <v>45726</v>
      </c>
      <c r="C1796" s="180" t="s">
        <v>1733</v>
      </c>
      <c r="D1796" s="180" t="s">
        <v>281</v>
      </c>
      <c r="E1796" s="180" t="s">
        <v>407</v>
      </c>
      <c r="F1796" s="197">
        <v>3500</v>
      </c>
      <c r="G1796" s="165">
        <f t="shared" si="44"/>
        <v>29225.561000000002</v>
      </c>
      <c r="H1796" s="180"/>
      <c r="I1796" s="180" t="s">
        <v>1176</v>
      </c>
      <c r="J1796" s="180" t="s">
        <v>1364</v>
      </c>
      <c r="K1796" s="180"/>
      <c r="L1796" s="180" t="s">
        <v>305</v>
      </c>
      <c r="M1796" s="180"/>
      <c r="N1796" s="180" t="s">
        <v>1178</v>
      </c>
      <c r="O1796" s="180" t="s">
        <v>1364</v>
      </c>
      <c r="P1796" s="180" t="s">
        <v>957</v>
      </c>
      <c r="Q1796" s="180"/>
      <c r="R1796" s="180" t="s">
        <v>958</v>
      </c>
      <c r="S1796" s="180" t="s">
        <v>959</v>
      </c>
      <c r="T1796" s="183">
        <f t="shared" si="42"/>
        <v>3</v>
      </c>
      <c r="U1796" s="184">
        <f t="shared" si="41"/>
        <v>45728</v>
      </c>
      <c r="V1796" s="261">
        <v>45728</v>
      </c>
      <c r="W1796" s="43">
        <f t="shared" si="43"/>
        <v>3</v>
      </c>
      <c r="X1796" s="43" t="s">
        <v>1484</v>
      </c>
      <c r="Y1796" s="43" t="s">
        <v>1485</v>
      </c>
      <c r="Z1796" s="183"/>
      <c r="AA1796" s="183"/>
      <c r="AB1796" s="183"/>
    </row>
    <row r="1797" spans="1:28" hidden="1">
      <c r="A1797" s="163" t="s">
        <v>1174</v>
      </c>
      <c r="B1797" s="164">
        <v>45726</v>
      </c>
      <c r="C1797" s="163" t="s">
        <v>288</v>
      </c>
      <c r="D1797" s="163" t="s">
        <v>281</v>
      </c>
      <c r="E1797" s="163" t="s">
        <v>407</v>
      </c>
      <c r="F1797" s="197">
        <v>4285.3900000000003</v>
      </c>
      <c r="G1797" s="165">
        <f t="shared" si="44"/>
        <v>33510.951000000001</v>
      </c>
      <c r="H1797" s="163"/>
      <c r="I1797" s="163" t="s">
        <v>1176</v>
      </c>
      <c r="J1797" s="163" t="s">
        <v>1522</v>
      </c>
      <c r="K1797" s="163"/>
      <c r="L1797" s="163" t="s">
        <v>305</v>
      </c>
      <c r="M1797" s="163"/>
      <c r="N1797" s="163" t="s">
        <v>1178</v>
      </c>
      <c r="O1797" s="163" t="s">
        <v>1522</v>
      </c>
      <c r="P1797" s="163" t="s">
        <v>1523</v>
      </c>
      <c r="Q1797" s="163"/>
      <c r="R1797" s="163" t="s">
        <v>291</v>
      </c>
      <c r="S1797" s="163" t="s">
        <v>292</v>
      </c>
      <c r="T1797" s="43">
        <f t="shared" si="42"/>
        <v>3</v>
      </c>
      <c r="U1797" s="167">
        <f t="shared" si="41"/>
        <v>45728</v>
      </c>
      <c r="V1797" s="261">
        <v>45728</v>
      </c>
      <c r="W1797" s="43">
        <f t="shared" si="43"/>
        <v>3</v>
      </c>
      <c r="X1797" s="43" t="s">
        <v>1484</v>
      </c>
      <c r="Y1797" s="43" t="s">
        <v>1485</v>
      </c>
    </row>
    <row r="1798" spans="1:28" hidden="1">
      <c r="A1798" s="163" t="s">
        <v>1017</v>
      </c>
      <c r="B1798" s="164">
        <v>45728</v>
      </c>
      <c r="C1798" s="163" t="s">
        <v>778</v>
      </c>
      <c r="D1798" s="163" t="s">
        <v>281</v>
      </c>
      <c r="E1798" s="163" t="s">
        <v>760</v>
      </c>
      <c r="F1798" s="168"/>
      <c r="G1798" s="165">
        <f t="shared" si="44"/>
        <v>33510.951000000001</v>
      </c>
      <c r="H1798" s="163"/>
      <c r="I1798" s="163" t="s">
        <v>283</v>
      </c>
      <c r="J1798" s="163"/>
      <c r="K1798" s="163"/>
      <c r="L1798" s="163" t="s">
        <v>1424</v>
      </c>
      <c r="M1798" s="163"/>
      <c r="N1798" s="163" t="s">
        <v>978</v>
      </c>
      <c r="O1798" s="163"/>
      <c r="P1798" s="163"/>
      <c r="Q1798" s="163"/>
      <c r="R1798" s="163" t="s">
        <v>780</v>
      </c>
      <c r="S1798" s="163" t="s">
        <v>781</v>
      </c>
      <c r="T1798" s="43">
        <f t="shared" si="42"/>
        <v>3</v>
      </c>
      <c r="U1798" s="167">
        <f t="shared" si="41"/>
        <v>45728</v>
      </c>
      <c r="W1798" s="43">
        <f t="shared" si="43"/>
        <v>3</v>
      </c>
      <c r="X1798" s="236" t="s">
        <v>1482</v>
      </c>
      <c r="Y1798" s="236" t="s">
        <v>78</v>
      </c>
    </row>
    <row r="1799" spans="1:28" hidden="1">
      <c r="A1799" s="163" t="s">
        <v>1174</v>
      </c>
      <c r="B1799" s="164">
        <v>45713</v>
      </c>
      <c r="C1799" s="163" t="s">
        <v>1734</v>
      </c>
      <c r="D1799" s="163" t="s">
        <v>281</v>
      </c>
      <c r="E1799" s="163" t="s">
        <v>407</v>
      </c>
      <c r="F1799" s="197">
        <v>10500</v>
      </c>
      <c r="G1799" s="165">
        <f t="shared" si="44"/>
        <v>44010.951000000001</v>
      </c>
      <c r="H1799" s="163"/>
      <c r="I1799" s="163" t="s">
        <v>1176</v>
      </c>
      <c r="J1799" s="163" t="s">
        <v>1615</v>
      </c>
      <c r="K1799" s="163"/>
      <c r="L1799" s="163" t="s">
        <v>305</v>
      </c>
      <c r="M1799" s="163"/>
      <c r="N1799" s="163" t="s">
        <v>1178</v>
      </c>
      <c r="O1799" s="163" t="s">
        <v>1615</v>
      </c>
      <c r="P1799" s="163" t="s">
        <v>418</v>
      </c>
      <c r="Q1799" s="163"/>
      <c r="R1799" s="163" t="s">
        <v>620</v>
      </c>
      <c r="S1799" s="163" t="s">
        <v>621</v>
      </c>
      <c r="T1799" s="43">
        <f t="shared" si="42"/>
        <v>2</v>
      </c>
      <c r="U1799" s="167">
        <f t="shared" si="41"/>
        <v>45728</v>
      </c>
      <c r="V1799" s="261">
        <v>45728</v>
      </c>
      <c r="W1799" s="43">
        <f t="shared" si="43"/>
        <v>3</v>
      </c>
      <c r="X1799" s="43" t="s">
        <v>1484</v>
      </c>
      <c r="Y1799" s="43" t="s">
        <v>1485</v>
      </c>
    </row>
    <row r="1800" spans="1:28" hidden="1">
      <c r="A1800" s="163" t="s">
        <v>1017</v>
      </c>
      <c r="B1800" s="164">
        <v>45726</v>
      </c>
      <c r="C1800" s="163" t="s">
        <v>708</v>
      </c>
      <c r="D1800" s="163" t="s">
        <v>281</v>
      </c>
      <c r="E1800" s="163" t="s">
        <v>202</v>
      </c>
      <c r="F1800" s="277">
        <f>-8000-1284.66</f>
        <v>-9284.66</v>
      </c>
      <c r="G1800" s="165">
        <f t="shared" si="44"/>
        <v>34726.290999999997</v>
      </c>
      <c r="H1800" s="163"/>
      <c r="I1800" s="163" t="s">
        <v>283</v>
      </c>
      <c r="J1800" s="163"/>
      <c r="K1800" s="163"/>
      <c r="L1800" s="163" t="s">
        <v>686</v>
      </c>
      <c r="M1800" s="163"/>
      <c r="N1800" s="163" t="s">
        <v>978</v>
      </c>
      <c r="O1800" s="163"/>
      <c r="P1800" s="163"/>
      <c r="Q1800" s="163"/>
      <c r="R1800" s="163" t="s">
        <v>710</v>
      </c>
      <c r="S1800" s="163" t="s">
        <v>711</v>
      </c>
      <c r="T1800" s="43">
        <f t="shared" si="42"/>
        <v>3</v>
      </c>
      <c r="U1800" s="167">
        <f t="shared" si="41"/>
        <v>45728</v>
      </c>
      <c r="V1800" s="261">
        <v>45728</v>
      </c>
      <c r="W1800" s="43">
        <f t="shared" si="43"/>
        <v>3</v>
      </c>
      <c r="X1800" s="49" t="s">
        <v>1526</v>
      </c>
      <c r="Y1800" s="49" t="s">
        <v>26</v>
      </c>
    </row>
    <row r="1801" spans="1:28" hidden="1">
      <c r="A1801" s="163" t="s">
        <v>1017</v>
      </c>
      <c r="B1801" s="164">
        <v>45728</v>
      </c>
      <c r="C1801" s="163" t="s">
        <v>1392</v>
      </c>
      <c r="D1801" s="163" t="s">
        <v>281</v>
      </c>
      <c r="E1801" s="163" t="s">
        <v>199</v>
      </c>
      <c r="F1801" s="169"/>
      <c r="G1801" s="165">
        <f t="shared" si="44"/>
        <v>34726.290999999997</v>
      </c>
      <c r="H1801" s="163"/>
      <c r="I1801" s="163" t="s">
        <v>977</v>
      </c>
      <c r="J1801" s="163"/>
      <c r="K1801" s="163"/>
      <c r="L1801" s="163" t="s">
        <v>766</v>
      </c>
      <c r="M1801" s="163"/>
      <c r="N1801" s="163" t="s">
        <v>978</v>
      </c>
      <c r="O1801" s="163"/>
      <c r="P1801" s="163"/>
      <c r="Q1801" s="163"/>
      <c r="R1801" s="163" t="s">
        <v>1392</v>
      </c>
      <c r="S1801" s="163"/>
      <c r="T1801" s="43">
        <f t="shared" si="42"/>
        <v>3</v>
      </c>
      <c r="U1801" s="167">
        <f t="shared" si="41"/>
        <v>45728</v>
      </c>
      <c r="W1801" s="43">
        <f t="shared" si="43"/>
        <v>3</v>
      </c>
      <c r="X1801" s="49" t="s">
        <v>1480</v>
      </c>
      <c r="Y1801" s="49" t="s">
        <v>26</v>
      </c>
    </row>
    <row r="1802" spans="1:28" hidden="1">
      <c r="A1802" s="163" t="s">
        <v>1017</v>
      </c>
      <c r="B1802" s="164">
        <v>45726</v>
      </c>
      <c r="C1802" s="163" t="s">
        <v>1013</v>
      </c>
      <c r="D1802" s="163" t="s">
        <v>281</v>
      </c>
      <c r="E1802" s="163" t="s">
        <v>199</v>
      </c>
      <c r="F1802" s="169"/>
      <c r="G1802" s="165">
        <f t="shared" si="44"/>
        <v>34726.290999999997</v>
      </c>
      <c r="H1802" s="163"/>
      <c r="I1802" s="163" t="s">
        <v>977</v>
      </c>
      <c r="J1802" s="163"/>
      <c r="K1802" s="163"/>
      <c r="L1802" s="163" t="s">
        <v>1735</v>
      </c>
      <c r="M1802" s="163"/>
      <c r="N1802" s="163" t="s">
        <v>978</v>
      </c>
      <c r="O1802" s="163"/>
      <c r="P1802" s="163"/>
      <c r="Q1802" s="163"/>
      <c r="R1802" s="163" t="s">
        <v>1015</v>
      </c>
      <c r="S1802" s="163" t="s">
        <v>1016</v>
      </c>
      <c r="T1802" s="43">
        <f t="shared" si="42"/>
        <v>3</v>
      </c>
      <c r="U1802" s="167">
        <f t="shared" si="41"/>
        <v>45728</v>
      </c>
      <c r="V1802" s="261">
        <v>45728</v>
      </c>
      <c r="W1802" s="43">
        <f t="shared" si="43"/>
        <v>3</v>
      </c>
      <c r="X1802" s="49" t="s">
        <v>1480</v>
      </c>
      <c r="Y1802" s="49" t="s">
        <v>26</v>
      </c>
    </row>
    <row r="1803" spans="1:28" hidden="1">
      <c r="A1803" s="180" t="s">
        <v>1017</v>
      </c>
      <c r="B1803" s="181">
        <v>45728</v>
      </c>
      <c r="C1803" s="180" t="s">
        <v>1008</v>
      </c>
      <c r="D1803" s="180" t="s">
        <v>281</v>
      </c>
      <c r="E1803" s="180" t="s">
        <v>199</v>
      </c>
      <c r="F1803" s="169">
        <v>-2000</v>
      </c>
      <c r="G1803" s="165">
        <f t="shared" si="44"/>
        <v>32726.290999999997</v>
      </c>
      <c r="H1803" s="180"/>
      <c r="I1803" s="180" t="s">
        <v>283</v>
      </c>
      <c r="J1803" s="180"/>
      <c r="K1803" s="180"/>
      <c r="L1803" s="180" t="s">
        <v>485</v>
      </c>
      <c r="M1803" s="180"/>
      <c r="N1803" s="180" t="s">
        <v>978</v>
      </c>
      <c r="O1803" s="180"/>
      <c r="P1803" s="180"/>
      <c r="Q1803" s="180"/>
      <c r="R1803" s="180" t="s">
        <v>669</v>
      </c>
      <c r="S1803" s="180" t="s">
        <v>1492</v>
      </c>
      <c r="T1803" s="183">
        <f t="shared" si="42"/>
        <v>3</v>
      </c>
      <c r="U1803" s="184">
        <f t="shared" si="41"/>
        <v>45728</v>
      </c>
      <c r="V1803" s="183"/>
      <c r="W1803" s="43">
        <f t="shared" si="43"/>
        <v>3</v>
      </c>
      <c r="X1803" s="206" t="s">
        <v>1478</v>
      </c>
      <c r="Y1803" s="206" t="s">
        <v>26</v>
      </c>
      <c r="Z1803" s="183"/>
      <c r="AA1803" s="183"/>
      <c r="AB1803" s="183"/>
    </row>
    <row r="1804" spans="1:28" hidden="1">
      <c r="A1804" s="163" t="s">
        <v>1017</v>
      </c>
      <c r="B1804" s="164">
        <v>45728</v>
      </c>
      <c r="C1804" s="190" t="s">
        <v>330</v>
      </c>
      <c r="D1804" s="190" t="s">
        <v>281</v>
      </c>
      <c r="E1804" s="190" t="s">
        <v>330</v>
      </c>
      <c r="F1804" s="185">
        <f>-1.99*4-1</f>
        <v>-8.9600000000000009</v>
      </c>
      <c r="G1804" s="165">
        <f t="shared" si="44"/>
        <v>32717.330999999998</v>
      </c>
      <c r="H1804" s="190"/>
      <c r="I1804" s="190" t="s">
        <v>342</v>
      </c>
      <c r="J1804" s="190"/>
      <c r="K1804" s="190"/>
      <c r="L1804" s="190" t="s">
        <v>805</v>
      </c>
      <c r="M1804" s="190"/>
      <c r="N1804" s="190" t="s">
        <v>978</v>
      </c>
      <c r="O1804" s="190"/>
      <c r="P1804" s="190"/>
      <c r="Q1804" s="190"/>
      <c r="R1804" s="190" t="s">
        <v>1292</v>
      </c>
      <c r="S1804" s="190" t="s">
        <v>1417</v>
      </c>
      <c r="T1804" s="43">
        <f t="shared" si="42"/>
        <v>3</v>
      </c>
      <c r="U1804" s="167">
        <f t="shared" si="41"/>
        <v>45728</v>
      </c>
      <c r="V1804" s="43"/>
      <c r="W1804" s="43">
        <f t="shared" si="43"/>
        <v>3</v>
      </c>
      <c r="X1804" s="43" t="s">
        <v>1483</v>
      </c>
      <c r="Y1804" s="43" t="s">
        <v>1443</v>
      </c>
      <c r="Z1804" s="43"/>
      <c r="AA1804" s="43"/>
    </row>
    <row r="1805" spans="1:28" hidden="1">
      <c r="A1805" s="163"/>
      <c r="B1805" s="164">
        <v>45728</v>
      </c>
      <c r="C1805" s="163" t="s">
        <v>346</v>
      </c>
      <c r="D1805" s="163"/>
      <c r="E1805" s="163"/>
      <c r="F1805" s="165">
        <v>0</v>
      </c>
      <c r="G1805" s="165">
        <f t="shared" si="44"/>
        <v>32717.330999999998</v>
      </c>
      <c r="H1805" s="163"/>
      <c r="I1805" s="163"/>
      <c r="J1805" s="163"/>
      <c r="K1805" s="163"/>
      <c r="L1805" s="163"/>
      <c r="M1805" s="163"/>
      <c r="N1805" s="163"/>
      <c r="O1805" s="163"/>
      <c r="P1805" s="163"/>
      <c r="Q1805" s="163"/>
      <c r="R1805" s="163"/>
      <c r="S1805" s="163"/>
      <c r="T1805" s="43">
        <f t="shared" si="42"/>
        <v>3</v>
      </c>
      <c r="U1805" s="167">
        <f t="shared" si="41"/>
        <v>45728</v>
      </c>
      <c r="W1805" s="43">
        <f t="shared" si="43"/>
        <v>3</v>
      </c>
    </row>
    <row r="1806" spans="1:28" hidden="1">
      <c r="A1806" s="163" t="s">
        <v>1174</v>
      </c>
      <c r="B1806" s="164">
        <v>45721</v>
      </c>
      <c r="C1806" s="163" t="s">
        <v>68</v>
      </c>
      <c r="D1806" s="163" t="s">
        <v>281</v>
      </c>
      <c r="E1806" s="163" t="s">
        <v>407</v>
      </c>
      <c r="F1806" s="197">
        <v>2500</v>
      </c>
      <c r="G1806" s="165">
        <f t="shared" si="44"/>
        <v>35217.330999999998</v>
      </c>
      <c r="H1806" s="163"/>
      <c r="I1806" s="163" t="s">
        <v>1176</v>
      </c>
      <c r="J1806" s="163" t="s">
        <v>1329</v>
      </c>
      <c r="K1806" s="163"/>
      <c r="L1806" s="163" t="s">
        <v>305</v>
      </c>
      <c r="M1806" s="163"/>
      <c r="N1806" s="163" t="s">
        <v>1178</v>
      </c>
      <c r="O1806" s="163" t="s">
        <v>1329</v>
      </c>
      <c r="P1806" s="163" t="s">
        <v>62</v>
      </c>
      <c r="Q1806" s="163"/>
      <c r="R1806" s="163" t="s">
        <v>655</v>
      </c>
      <c r="S1806" s="163" t="s">
        <v>656</v>
      </c>
      <c r="T1806" s="43">
        <f t="shared" si="42"/>
        <v>3</v>
      </c>
      <c r="U1806" s="167">
        <f t="shared" si="41"/>
        <v>45729</v>
      </c>
      <c r="V1806" s="145">
        <v>45729</v>
      </c>
      <c r="W1806" s="43">
        <f t="shared" si="43"/>
        <v>3</v>
      </c>
      <c r="X1806" s="43" t="s">
        <v>1484</v>
      </c>
      <c r="Y1806" s="43" t="s">
        <v>1485</v>
      </c>
    </row>
    <row r="1807" spans="1:28" hidden="1">
      <c r="A1807" s="180" t="s">
        <v>1174</v>
      </c>
      <c r="B1807" s="181">
        <v>45726</v>
      </c>
      <c r="C1807" s="180" t="s">
        <v>71</v>
      </c>
      <c r="D1807" s="180" t="s">
        <v>281</v>
      </c>
      <c r="E1807" s="180" t="s">
        <v>407</v>
      </c>
      <c r="F1807" s="197">
        <v>3000</v>
      </c>
      <c r="G1807" s="165">
        <f t="shared" si="44"/>
        <v>38217.330999999998</v>
      </c>
      <c r="H1807" s="180"/>
      <c r="I1807" s="180" t="s">
        <v>1176</v>
      </c>
      <c r="J1807" s="180" t="s">
        <v>1364</v>
      </c>
      <c r="K1807" s="180"/>
      <c r="L1807" s="180" t="s">
        <v>305</v>
      </c>
      <c r="M1807" s="180"/>
      <c r="N1807" s="180" t="s">
        <v>1178</v>
      </c>
      <c r="O1807" s="180" t="s">
        <v>1364</v>
      </c>
      <c r="P1807" s="180" t="s">
        <v>957</v>
      </c>
      <c r="Q1807" s="180"/>
      <c r="R1807" s="180" t="s">
        <v>958</v>
      </c>
      <c r="S1807" s="180" t="s">
        <v>959</v>
      </c>
      <c r="T1807" s="183">
        <f t="shared" si="42"/>
        <v>3</v>
      </c>
      <c r="U1807" s="184">
        <f t="shared" si="41"/>
        <v>45729</v>
      </c>
      <c r="V1807" s="145">
        <v>45729</v>
      </c>
      <c r="W1807" s="43">
        <f t="shared" si="43"/>
        <v>3</v>
      </c>
      <c r="X1807" s="43" t="s">
        <v>1484</v>
      </c>
      <c r="Y1807" s="43" t="s">
        <v>1485</v>
      </c>
      <c r="Z1807" s="183"/>
      <c r="AA1807" s="183"/>
      <c r="AB1807" s="183"/>
    </row>
    <row r="1808" spans="1:28" hidden="1">
      <c r="A1808" s="180" t="s">
        <v>1017</v>
      </c>
      <c r="B1808" s="181">
        <v>45730</v>
      </c>
      <c r="C1808" s="180" t="s">
        <v>1010</v>
      </c>
      <c r="D1808" s="180" t="s">
        <v>281</v>
      </c>
      <c r="E1808" s="180" t="s">
        <v>199</v>
      </c>
      <c r="F1808" s="169">
        <v>-1300</v>
      </c>
      <c r="G1808" s="165">
        <f t="shared" si="44"/>
        <v>36917.330999999998</v>
      </c>
      <c r="H1808" s="180"/>
      <c r="I1808" s="180" t="s">
        <v>283</v>
      </c>
      <c r="J1808" s="180"/>
      <c r="K1808" s="180"/>
      <c r="L1808" s="180" t="s">
        <v>485</v>
      </c>
      <c r="M1808" s="180"/>
      <c r="N1808" s="180" t="s">
        <v>978</v>
      </c>
      <c r="O1808" s="180"/>
      <c r="P1808" s="180"/>
      <c r="Q1808" s="180"/>
      <c r="R1808" s="180" t="s">
        <v>669</v>
      </c>
      <c r="S1808" s="180" t="s">
        <v>1492</v>
      </c>
      <c r="T1808" s="183">
        <f t="shared" si="42"/>
        <v>3</v>
      </c>
      <c r="U1808" s="184">
        <f t="shared" si="41"/>
        <v>45729</v>
      </c>
      <c r="V1808" s="184">
        <v>45729</v>
      </c>
      <c r="W1808" s="43">
        <f t="shared" si="43"/>
        <v>3</v>
      </c>
      <c r="X1808" s="206" t="s">
        <v>1478</v>
      </c>
      <c r="Y1808" s="206" t="s">
        <v>26</v>
      </c>
      <c r="Z1808" s="183"/>
      <c r="AA1808" s="183"/>
      <c r="AB1808" s="183"/>
    </row>
    <row r="1809" spans="1:28" hidden="1">
      <c r="A1809" s="180" t="s">
        <v>1017</v>
      </c>
      <c r="B1809" s="181">
        <v>45729</v>
      </c>
      <c r="C1809" s="180" t="s">
        <v>181</v>
      </c>
      <c r="D1809" s="180" t="s">
        <v>281</v>
      </c>
      <c r="E1809" s="180" t="s">
        <v>760</v>
      </c>
      <c r="F1809" s="197">
        <v>-5550</v>
      </c>
      <c r="G1809" s="165">
        <f t="shared" si="44"/>
        <v>31367.330999999998</v>
      </c>
      <c r="H1809" s="180"/>
      <c r="I1809" s="180" t="s">
        <v>283</v>
      </c>
      <c r="J1809" s="180"/>
      <c r="K1809" s="180"/>
      <c r="L1809" s="180" t="s">
        <v>1062</v>
      </c>
      <c r="M1809" s="180"/>
      <c r="N1809" s="180" t="s">
        <v>978</v>
      </c>
      <c r="O1809" s="180"/>
      <c r="P1809" s="180"/>
      <c r="Q1809" s="180"/>
      <c r="R1809" s="180" t="s">
        <v>765</v>
      </c>
      <c r="S1809" s="180" t="s">
        <v>768</v>
      </c>
      <c r="T1809" s="183">
        <f t="shared" si="42"/>
        <v>3</v>
      </c>
      <c r="U1809" s="184">
        <f t="shared" si="41"/>
        <v>45729</v>
      </c>
      <c r="V1809" s="145"/>
      <c r="W1809" s="43">
        <f t="shared" si="43"/>
        <v>3</v>
      </c>
      <c r="X1809" s="43" t="s">
        <v>1482</v>
      </c>
      <c r="Y1809" s="43" t="s">
        <v>78</v>
      </c>
      <c r="Z1809" s="183"/>
      <c r="AA1809" s="183"/>
      <c r="AB1809" s="183"/>
    </row>
    <row r="1810" spans="1:28" hidden="1">
      <c r="A1810" s="180" t="s">
        <v>1017</v>
      </c>
      <c r="B1810" s="181">
        <v>45727</v>
      </c>
      <c r="C1810" s="180" t="s">
        <v>1729</v>
      </c>
      <c r="D1810" s="180" t="s">
        <v>281</v>
      </c>
      <c r="E1810" s="180" t="s">
        <v>1693</v>
      </c>
      <c r="F1810" s="226">
        <v>-9.2899999999999991</v>
      </c>
      <c r="G1810" s="165">
        <f t="shared" si="44"/>
        <v>31358.040999999997</v>
      </c>
      <c r="H1810" s="180"/>
      <c r="I1810" s="180" t="s">
        <v>283</v>
      </c>
      <c r="J1810" s="180"/>
      <c r="K1810" s="180"/>
      <c r="L1810" s="180" t="s">
        <v>485</v>
      </c>
      <c r="M1810" s="180"/>
      <c r="N1810" s="180" t="s">
        <v>978</v>
      </c>
      <c r="O1810" s="180"/>
      <c r="P1810" s="180"/>
      <c r="Q1810" s="180"/>
      <c r="R1810" s="180" t="s">
        <v>669</v>
      </c>
      <c r="S1810" s="180" t="s">
        <v>1492</v>
      </c>
      <c r="T1810" s="183">
        <f t="shared" si="42"/>
        <v>3</v>
      </c>
      <c r="U1810" s="184">
        <f t="shared" si="41"/>
        <v>45729</v>
      </c>
      <c r="V1810" s="145">
        <v>45729</v>
      </c>
      <c r="W1810" s="43">
        <f t="shared" si="43"/>
        <v>3</v>
      </c>
      <c r="X1810" s="43" t="s">
        <v>1483</v>
      </c>
      <c r="Y1810" s="43" t="s">
        <v>105</v>
      </c>
      <c r="Z1810" s="183"/>
      <c r="AA1810" s="183"/>
      <c r="AB1810" s="183"/>
    </row>
    <row r="1811" spans="1:28" hidden="1">
      <c r="A1811" s="163" t="s">
        <v>1017</v>
      </c>
      <c r="B1811" s="164">
        <v>45729</v>
      </c>
      <c r="C1811" s="190" t="s">
        <v>330</v>
      </c>
      <c r="D1811" s="190" t="s">
        <v>281</v>
      </c>
      <c r="E1811" s="190" t="s">
        <v>330</v>
      </c>
      <c r="F1811" s="185">
        <v>-1.5</v>
      </c>
      <c r="G1811" s="165">
        <f t="shared" si="44"/>
        <v>31356.540999999997</v>
      </c>
      <c r="H1811" s="190"/>
      <c r="I1811" s="190" t="s">
        <v>342</v>
      </c>
      <c r="J1811" s="190"/>
      <c r="K1811" s="190"/>
      <c r="L1811" s="190" t="s">
        <v>805</v>
      </c>
      <c r="M1811" s="190"/>
      <c r="N1811" s="190" t="s">
        <v>978</v>
      </c>
      <c r="O1811" s="190"/>
      <c r="P1811" s="190"/>
      <c r="Q1811" s="190"/>
      <c r="R1811" s="190" t="s">
        <v>1292</v>
      </c>
      <c r="S1811" s="190" t="s">
        <v>1417</v>
      </c>
      <c r="T1811" s="43">
        <f t="shared" si="42"/>
        <v>3</v>
      </c>
      <c r="U1811" s="167">
        <f t="shared" si="41"/>
        <v>45729</v>
      </c>
      <c r="V1811" s="43"/>
      <c r="W1811" s="43">
        <f t="shared" si="43"/>
        <v>3</v>
      </c>
      <c r="X1811" s="43" t="s">
        <v>1483</v>
      </c>
      <c r="Y1811" s="43" t="s">
        <v>1443</v>
      </c>
      <c r="Z1811" s="43"/>
      <c r="AA1811" s="43"/>
    </row>
    <row r="1812" spans="1:28" hidden="1">
      <c r="A1812" s="163"/>
      <c r="B1812" s="164">
        <v>45729</v>
      </c>
      <c r="C1812" s="163" t="s">
        <v>346</v>
      </c>
      <c r="D1812" s="163"/>
      <c r="E1812" s="163"/>
      <c r="F1812" s="165">
        <v>0</v>
      </c>
      <c r="G1812" s="165">
        <f t="shared" si="44"/>
        <v>31356.540999999997</v>
      </c>
      <c r="H1812" s="163"/>
      <c r="I1812" s="163"/>
      <c r="J1812" s="163"/>
      <c r="K1812" s="163"/>
      <c r="L1812" s="163"/>
      <c r="M1812" s="163"/>
      <c r="N1812" s="163"/>
      <c r="O1812" s="163"/>
      <c r="P1812" s="163"/>
      <c r="Q1812" s="163"/>
      <c r="R1812" s="163"/>
      <c r="S1812" s="163"/>
      <c r="T1812" s="43">
        <f t="shared" si="42"/>
        <v>3</v>
      </c>
      <c r="U1812" s="167">
        <f t="shared" si="41"/>
        <v>45729</v>
      </c>
      <c r="W1812" s="43">
        <f t="shared" si="43"/>
        <v>3</v>
      </c>
    </row>
    <row r="1813" spans="1:28" hidden="1">
      <c r="A1813" s="163" t="s">
        <v>1174</v>
      </c>
      <c r="B1813" s="164">
        <v>45733</v>
      </c>
      <c r="C1813" s="163" t="s">
        <v>1684</v>
      </c>
      <c r="D1813" s="163" t="s">
        <v>281</v>
      </c>
      <c r="E1813" s="163" t="s">
        <v>407</v>
      </c>
      <c r="F1813" s="226">
        <v>5000</v>
      </c>
      <c r="G1813" s="165">
        <f t="shared" si="44"/>
        <v>36356.540999999997</v>
      </c>
      <c r="H1813" s="163"/>
      <c r="I1813" s="163" t="s">
        <v>1176</v>
      </c>
      <c r="J1813" s="163" t="s">
        <v>1400</v>
      </c>
      <c r="K1813" s="163"/>
      <c r="L1813" s="163" t="s">
        <v>305</v>
      </c>
      <c r="M1813" s="163"/>
      <c r="N1813" s="163" t="s">
        <v>1178</v>
      </c>
      <c r="O1813" s="163" t="s">
        <v>1400</v>
      </c>
      <c r="P1813" s="163" t="s">
        <v>57</v>
      </c>
      <c r="Q1813" s="163"/>
      <c r="R1813" s="163" t="s">
        <v>962</v>
      </c>
      <c r="S1813" s="163" t="s">
        <v>968</v>
      </c>
      <c r="T1813" s="43">
        <f t="shared" si="42"/>
        <v>3</v>
      </c>
      <c r="U1813" s="167">
        <f t="shared" si="41"/>
        <v>45730</v>
      </c>
      <c r="V1813" s="261">
        <v>45730</v>
      </c>
      <c r="W1813" s="43">
        <f t="shared" si="43"/>
        <v>3</v>
      </c>
      <c r="X1813" s="43" t="s">
        <v>1484</v>
      </c>
      <c r="Y1813" s="43" t="s">
        <v>1485</v>
      </c>
    </row>
    <row r="1814" spans="1:28" hidden="1">
      <c r="A1814" s="163" t="s">
        <v>1017</v>
      </c>
      <c r="B1814" s="164">
        <v>45729</v>
      </c>
      <c r="C1814" s="163" t="s">
        <v>1389</v>
      </c>
      <c r="D1814" s="163" t="s">
        <v>281</v>
      </c>
      <c r="E1814" s="163" t="s">
        <v>199</v>
      </c>
      <c r="F1814" s="226">
        <v>-22</v>
      </c>
      <c r="G1814" s="165">
        <f t="shared" si="44"/>
        <v>36334.540999999997</v>
      </c>
      <c r="H1814" s="163"/>
      <c r="I1814" s="163" t="s">
        <v>342</v>
      </c>
      <c r="J1814" s="163"/>
      <c r="K1814" s="163"/>
      <c r="L1814" s="163" t="s">
        <v>1424</v>
      </c>
      <c r="M1814" s="163"/>
      <c r="N1814" s="163" t="s">
        <v>978</v>
      </c>
      <c r="O1814" s="163"/>
      <c r="P1814" s="163"/>
      <c r="Q1814" s="163"/>
      <c r="R1814" s="163" t="s">
        <v>1390</v>
      </c>
      <c r="S1814" s="163" t="s">
        <v>1391</v>
      </c>
      <c r="T1814" s="43">
        <f t="shared" si="42"/>
        <v>3</v>
      </c>
      <c r="U1814" s="167">
        <f t="shared" si="41"/>
        <v>45730</v>
      </c>
      <c r="V1814" s="261">
        <v>45730</v>
      </c>
      <c r="W1814" s="43">
        <f t="shared" si="43"/>
        <v>3</v>
      </c>
      <c r="X1814" s="49" t="s">
        <v>1480</v>
      </c>
      <c r="Y1814" s="49" t="s">
        <v>25</v>
      </c>
    </row>
    <row r="1815" spans="1:28" hidden="1">
      <c r="A1815" s="180" t="s">
        <v>1017</v>
      </c>
      <c r="B1815" s="181">
        <v>45729</v>
      </c>
      <c r="C1815" s="180" t="s">
        <v>1668</v>
      </c>
      <c r="D1815" s="180" t="s">
        <v>281</v>
      </c>
      <c r="E1815" s="180" t="s">
        <v>199</v>
      </c>
      <c r="F1815" s="226">
        <v>-75</v>
      </c>
      <c r="G1815" s="165">
        <f t="shared" si="44"/>
        <v>36259.540999999997</v>
      </c>
      <c r="H1815" s="180"/>
      <c r="I1815" s="180" t="s">
        <v>283</v>
      </c>
      <c r="J1815" s="180"/>
      <c r="K1815" s="180"/>
      <c r="L1815" s="180" t="s">
        <v>477</v>
      </c>
      <c r="M1815" s="180"/>
      <c r="N1815" s="180" t="s">
        <v>978</v>
      </c>
      <c r="O1815" s="180"/>
      <c r="P1815" s="180"/>
      <c r="Q1815" s="180"/>
      <c r="R1815" s="180" t="s">
        <v>1368</v>
      </c>
      <c r="S1815" s="180" t="s">
        <v>1369</v>
      </c>
      <c r="T1815" s="183">
        <f t="shared" si="42"/>
        <v>3</v>
      </c>
      <c r="U1815" s="184">
        <f t="shared" si="41"/>
        <v>45730</v>
      </c>
      <c r="V1815" s="261">
        <v>45730</v>
      </c>
      <c r="W1815" s="43">
        <f t="shared" si="43"/>
        <v>3</v>
      </c>
      <c r="X1815" s="183" t="s">
        <v>1480</v>
      </c>
      <c r="Y1815" s="206" t="s">
        <v>86</v>
      </c>
      <c r="Z1815" s="183"/>
      <c r="AA1815" s="183"/>
      <c r="AB1815" s="183"/>
    </row>
    <row r="1816" spans="1:28" hidden="1">
      <c r="A1816" s="163" t="s">
        <v>1017</v>
      </c>
      <c r="B1816" s="164">
        <v>45729</v>
      </c>
      <c r="C1816" s="163" t="s">
        <v>1393</v>
      </c>
      <c r="D1816" s="163" t="s">
        <v>281</v>
      </c>
      <c r="E1816" s="163" t="s">
        <v>199</v>
      </c>
      <c r="F1816" s="226">
        <v>-1120</v>
      </c>
      <c r="G1816" s="165">
        <f t="shared" si="44"/>
        <v>35139.540999999997</v>
      </c>
      <c r="H1816" s="163"/>
      <c r="I1816" s="163" t="s">
        <v>342</v>
      </c>
      <c r="J1816" s="163"/>
      <c r="K1816" s="163"/>
      <c r="L1816" s="163" t="s">
        <v>366</v>
      </c>
      <c r="M1816" s="163"/>
      <c r="N1816" s="163" t="s">
        <v>978</v>
      </c>
      <c r="O1816" s="163"/>
      <c r="P1816" s="163"/>
      <c r="Q1816" s="163"/>
      <c r="R1816" s="163" t="s">
        <v>1394</v>
      </c>
      <c r="S1816" s="163" t="s">
        <v>1395</v>
      </c>
      <c r="T1816" s="43">
        <f t="shared" si="42"/>
        <v>3</v>
      </c>
      <c r="U1816" s="167">
        <f t="shared" si="41"/>
        <v>45730</v>
      </c>
      <c r="V1816" s="261">
        <v>45730</v>
      </c>
      <c r="W1816" s="43">
        <f t="shared" si="43"/>
        <v>3</v>
      </c>
      <c r="X1816" s="49" t="s">
        <v>1480</v>
      </c>
      <c r="Y1816" s="49" t="s">
        <v>105</v>
      </c>
    </row>
    <row r="1817" spans="1:28" hidden="1">
      <c r="A1817" s="163" t="s">
        <v>1017</v>
      </c>
      <c r="B1817" s="164">
        <v>45726</v>
      </c>
      <c r="C1817" s="163" t="s">
        <v>698</v>
      </c>
      <c r="D1817" s="163" t="s">
        <v>281</v>
      </c>
      <c r="E1817" s="163" t="s">
        <v>199</v>
      </c>
      <c r="F1817" s="226">
        <v>-897.74</v>
      </c>
      <c r="G1817" s="165">
        <f t="shared" si="44"/>
        <v>34241.800999999999</v>
      </c>
      <c r="H1817" s="163"/>
      <c r="I1817" s="163" t="s">
        <v>342</v>
      </c>
      <c r="J1817" s="163"/>
      <c r="K1817" s="163"/>
      <c r="L1817" s="163" t="s">
        <v>1571</v>
      </c>
      <c r="M1817" s="163"/>
      <c r="N1817" s="163" t="s">
        <v>978</v>
      </c>
      <c r="O1817" s="163"/>
      <c r="P1817" s="163"/>
      <c r="Q1817" s="163"/>
      <c r="R1817" s="163" t="s">
        <v>135</v>
      </c>
      <c r="S1817" s="163" t="s">
        <v>700</v>
      </c>
      <c r="T1817" s="43">
        <f t="shared" si="42"/>
        <v>3</v>
      </c>
      <c r="U1817" s="167">
        <f t="shared" si="41"/>
        <v>45730</v>
      </c>
      <c r="V1817" s="145">
        <v>45730</v>
      </c>
      <c r="W1817" s="43">
        <f t="shared" si="43"/>
        <v>3</v>
      </c>
      <c r="X1817" s="49" t="s">
        <v>1480</v>
      </c>
      <c r="Y1817" s="49" t="s">
        <v>94</v>
      </c>
    </row>
    <row r="1818" spans="1:28" hidden="1">
      <c r="A1818" s="163" t="s">
        <v>1017</v>
      </c>
      <c r="B1818" s="164">
        <v>45726</v>
      </c>
      <c r="C1818" s="163" t="s">
        <v>1371</v>
      </c>
      <c r="D1818" s="163" t="s">
        <v>281</v>
      </c>
      <c r="E1818" s="163" t="s">
        <v>199</v>
      </c>
      <c r="F1818" s="226">
        <v>-140</v>
      </c>
      <c r="G1818" s="165">
        <f t="shared" si="44"/>
        <v>34101.800999999999</v>
      </c>
      <c r="H1818" s="163"/>
      <c r="I1818" s="163" t="s">
        <v>977</v>
      </c>
      <c r="J1818" s="163"/>
      <c r="K1818" s="163"/>
      <c r="L1818" s="163" t="s">
        <v>766</v>
      </c>
      <c r="M1818" s="163"/>
      <c r="N1818" s="163" t="s">
        <v>978</v>
      </c>
      <c r="O1818" s="163"/>
      <c r="P1818" s="163"/>
      <c r="Q1818" s="163"/>
      <c r="R1818" s="163" t="s">
        <v>1371</v>
      </c>
      <c r="S1818" s="163"/>
      <c r="T1818" s="43">
        <f t="shared" si="42"/>
        <v>3</v>
      </c>
      <c r="U1818" s="167">
        <f t="shared" si="41"/>
        <v>45730</v>
      </c>
      <c r="V1818" s="145">
        <v>45730</v>
      </c>
      <c r="W1818" s="43">
        <f t="shared" si="43"/>
        <v>3</v>
      </c>
      <c r="X1818" s="49" t="s">
        <v>1480</v>
      </c>
      <c r="Y1818" s="49" t="s">
        <v>25</v>
      </c>
    </row>
    <row r="1819" spans="1:28" hidden="1">
      <c r="A1819" s="180" t="s">
        <v>1017</v>
      </c>
      <c r="B1819" s="181">
        <v>45726</v>
      </c>
      <c r="C1819" s="180" t="s">
        <v>1491</v>
      </c>
      <c r="D1819" s="180" t="s">
        <v>281</v>
      </c>
      <c r="E1819" s="180" t="s">
        <v>199</v>
      </c>
      <c r="F1819" s="226">
        <v>-316.7</v>
      </c>
      <c r="G1819" s="165">
        <f t="shared" si="44"/>
        <v>33785.101000000002</v>
      </c>
      <c r="H1819" s="180"/>
      <c r="I1819" s="180" t="s">
        <v>283</v>
      </c>
      <c r="J1819" s="180"/>
      <c r="K1819" s="180"/>
      <c r="L1819" s="180" t="s">
        <v>485</v>
      </c>
      <c r="M1819" s="180"/>
      <c r="N1819" s="180" t="s">
        <v>978</v>
      </c>
      <c r="O1819" s="180"/>
      <c r="P1819" s="180"/>
      <c r="Q1819" s="180"/>
      <c r="R1819" s="180" t="s">
        <v>669</v>
      </c>
      <c r="S1819" s="180" t="s">
        <v>1492</v>
      </c>
      <c r="T1819" s="183">
        <f t="shared" si="42"/>
        <v>3</v>
      </c>
      <c r="U1819" s="184">
        <f t="shared" si="41"/>
        <v>45730</v>
      </c>
      <c r="V1819" s="145">
        <v>45730</v>
      </c>
      <c r="W1819" s="43">
        <f t="shared" si="43"/>
        <v>3</v>
      </c>
      <c r="X1819" s="183" t="s">
        <v>1480</v>
      </c>
      <c r="Y1819" s="183" t="s">
        <v>1488</v>
      </c>
      <c r="Z1819" s="183"/>
      <c r="AA1819" s="183"/>
      <c r="AB1819" s="183"/>
    </row>
    <row r="1820" spans="1:28" hidden="1">
      <c r="A1820" s="180" t="s">
        <v>1017</v>
      </c>
      <c r="B1820" s="181">
        <v>45726</v>
      </c>
      <c r="C1820" s="180" t="s">
        <v>1087</v>
      </c>
      <c r="D1820" s="180" t="s">
        <v>281</v>
      </c>
      <c r="E1820" s="180" t="s">
        <v>202</v>
      </c>
      <c r="F1820" s="226">
        <v>-6466.67</v>
      </c>
      <c r="G1820" s="165">
        <f t="shared" si="44"/>
        <v>27318.431000000004</v>
      </c>
      <c r="H1820" s="180"/>
      <c r="I1820" s="180" t="s">
        <v>283</v>
      </c>
      <c r="J1820" s="180"/>
      <c r="K1820" s="180"/>
      <c r="L1820" s="180" t="s">
        <v>485</v>
      </c>
      <c r="M1820" s="180"/>
      <c r="N1820" s="180" t="s">
        <v>978</v>
      </c>
      <c r="O1820" s="180"/>
      <c r="P1820" s="180"/>
      <c r="Q1820" s="180"/>
      <c r="R1820" s="180" t="s">
        <v>1527</v>
      </c>
      <c r="S1820" s="180"/>
      <c r="T1820" s="183">
        <f t="shared" si="42"/>
        <v>3</v>
      </c>
      <c r="U1820" s="184">
        <f t="shared" si="41"/>
        <v>45730</v>
      </c>
      <c r="V1820" s="145">
        <v>45730</v>
      </c>
      <c r="W1820" s="43">
        <f t="shared" si="43"/>
        <v>3</v>
      </c>
      <c r="X1820" s="49" t="s">
        <v>1526</v>
      </c>
      <c r="Y1820" s="49" t="s">
        <v>1479</v>
      </c>
      <c r="Z1820" s="183"/>
      <c r="AA1820" s="183"/>
      <c r="AB1820" s="183"/>
    </row>
    <row r="1821" spans="1:28" hidden="1">
      <c r="A1821" s="163" t="s">
        <v>1017</v>
      </c>
      <c r="B1821" s="164">
        <v>45727</v>
      </c>
      <c r="C1821" s="163" t="s">
        <v>1379</v>
      </c>
      <c r="D1821" s="163" t="s">
        <v>281</v>
      </c>
      <c r="E1821" s="163" t="s">
        <v>760</v>
      </c>
      <c r="F1821" s="169"/>
      <c r="G1821" s="165">
        <f t="shared" si="44"/>
        <v>27318.431000000004</v>
      </c>
      <c r="H1821" s="163"/>
      <c r="I1821" s="163" t="s">
        <v>283</v>
      </c>
      <c r="J1821" s="163"/>
      <c r="K1821" s="163"/>
      <c r="L1821" s="163" t="s">
        <v>686</v>
      </c>
      <c r="M1821" s="163"/>
      <c r="N1821" s="163" t="s">
        <v>978</v>
      </c>
      <c r="O1821" s="163"/>
      <c r="P1821" s="163"/>
      <c r="Q1821" s="163"/>
      <c r="R1821" s="163" t="s">
        <v>1368</v>
      </c>
      <c r="S1821" s="163" t="s">
        <v>1369</v>
      </c>
      <c r="T1821" s="43">
        <f t="shared" si="42"/>
        <v>3</v>
      </c>
      <c r="U1821" s="167">
        <f t="shared" si="41"/>
        <v>45730</v>
      </c>
      <c r="V1821" s="145">
        <v>45730</v>
      </c>
      <c r="W1821" s="43">
        <f t="shared" si="43"/>
        <v>3</v>
      </c>
      <c r="X1821" s="236" t="s">
        <v>1482</v>
      </c>
      <c r="Y1821" s="236" t="s">
        <v>78</v>
      </c>
    </row>
    <row r="1822" spans="1:28" hidden="1">
      <c r="A1822" s="163" t="s">
        <v>1017</v>
      </c>
      <c r="B1822" s="164">
        <v>45728</v>
      </c>
      <c r="C1822" s="163" t="s">
        <v>183</v>
      </c>
      <c r="D1822" s="163" t="s">
        <v>281</v>
      </c>
      <c r="E1822" s="163" t="s">
        <v>760</v>
      </c>
      <c r="F1822" s="226">
        <v>-669.9</v>
      </c>
      <c r="G1822" s="165">
        <f t="shared" si="44"/>
        <v>26648.531000000003</v>
      </c>
      <c r="H1822" s="163"/>
      <c r="I1822" s="163" t="s">
        <v>283</v>
      </c>
      <c r="J1822" s="163"/>
      <c r="K1822" s="163"/>
      <c r="L1822" s="163" t="s">
        <v>1424</v>
      </c>
      <c r="M1822" s="163"/>
      <c r="N1822" s="163" t="s">
        <v>978</v>
      </c>
      <c r="O1822" s="163"/>
      <c r="P1822" s="163"/>
      <c r="Q1822" s="163"/>
      <c r="R1822" s="163" t="s">
        <v>762</v>
      </c>
      <c r="S1822" s="163" t="s">
        <v>79</v>
      </c>
      <c r="T1822" s="43">
        <f t="shared" si="42"/>
        <v>3</v>
      </c>
      <c r="U1822" s="167">
        <f t="shared" si="41"/>
        <v>45730</v>
      </c>
      <c r="V1822" s="145">
        <v>45730</v>
      </c>
      <c r="W1822" s="43">
        <f t="shared" si="43"/>
        <v>3</v>
      </c>
      <c r="X1822" s="236" t="s">
        <v>1482</v>
      </c>
      <c r="Y1822" s="236" t="s">
        <v>78</v>
      </c>
    </row>
    <row r="1823" spans="1:28" hidden="1">
      <c r="A1823" s="163" t="s">
        <v>1017</v>
      </c>
      <c r="B1823" s="164">
        <v>45728</v>
      </c>
      <c r="C1823" s="163" t="s">
        <v>765</v>
      </c>
      <c r="D1823" s="163" t="s">
        <v>281</v>
      </c>
      <c r="E1823" s="163" t="s">
        <v>760</v>
      </c>
      <c r="F1823" s="226">
        <v>-1125</v>
      </c>
      <c r="G1823" s="165">
        <f t="shared" si="44"/>
        <v>25523.531000000003</v>
      </c>
      <c r="H1823" s="163"/>
      <c r="I1823" s="163" t="s">
        <v>283</v>
      </c>
      <c r="J1823" s="163"/>
      <c r="K1823" s="163"/>
      <c r="L1823" s="163" t="s">
        <v>1062</v>
      </c>
      <c r="M1823" s="163"/>
      <c r="N1823" s="163" t="s">
        <v>978</v>
      </c>
      <c r="O1823" s="163"/>
      <c r="P1823" s="163"/>
      <c r="Q1823" s="163"/>
      <c r="R1823" s="163" t="s">
        <v>765</v>
      </c>
      <c r="S1823" s="163" t="s">
        <v>768</v>
      </c>
      <c r="T1823" s="43">
        <f t="shared" si="42"/>
        <v>3</v>
      </c>
      <c r="U1823" s="167">
        <f t="shared" si="41"/>
        <v>45730</v>
      </c>
      <c r="V1823" s="145">
        <v>45730</v>
      </c>
      <c r="W1823" s="43">
        <f t="shared" si="43"/>
        <v>3</v>
      </c>
      <c r="X1823" s="236" t="s">
        <v>1482</v>
      </c>
      <c r="Y1823" s="236" t="s">
        <v>78</v>
      </c>
    </row>
    <row r="1824" spans="1:28" hidden="1">
      <c r="A1824" s="163" t="s">
        <v>1017</v>
      </c>
      <c r="B1824" s="164">
        <v>45728</v>
      </c>
      <c r="C1824" s="163" t="s">
        <v>181</v>
      </c>
      <c r="D1824" s="163" t="s">
        <v>281</v>
      </c>
      <c r="E1824" s="163" t="s">
        <v>760</v>
      </c>
      <c r="F1824" s="226">
        <v>-10722</v>
      </c>
      <c r="G1824" s="165">
        <f t="shared" si="44"/>
        <v>14801.531000000003</v>
      </c>
      <c r="H1824" s="163"/>
      <c r="I1824" s="163" t="s">
        <v>283</v>
      </c>
      <c r="J1824" s="163"/>
      <c r="K1824" s="163"/>
      <c r="L1824" s="163" t="s">
        <v>1062</v>
      </c>
      <c r="M1824" s="163"/>
      <c r="N1824" s="163" t="s">
        <v>978</v>
      </c>
      <c r="O1824" s="163"/>
      <c r="P1824" s="163"/>
      <c r="Q1824" s="163"/>
      <c r="R1824" s="163" t="s">
        <v>765</v>
      </c>
      <c r="S1824" s="163" t="s">
        <v>768</v>
      </c>
      <c r="T1824" s="43">
        <f t="shared" si="42"/>
        <v>3</v>
      </c>
      <c r="U1824" s="167">
        <f t="shared" si="41"/>
        <v>45730</v>
      </c>
      <c r="V1824" s="145">
        <v>45730</v>
      </c>
      <c r="W1824" s="43">
        <f t="shared" si="43"/>
        <v>3</v>
      </c>
      <c r="X1824" s="236" t="s">
        <v>1482</v>
      </c>
      <c r="Y1824" s="236" t="s">
        <v>78</v>
      </c>
    </row>
    <row r="1825" spans="1:28" hidden="1">
      <c r="A1825" s="163" t="s">
        <v>1017</v>
      </c>
      <c r="B1825" s="164">
        <v>45716</v>
      </c>
      <c r="C1825" s="163" t="s">
        <v>1287</v>
      </c>
      <c r="D1825" s="163" t="s">
        <v>281</v>
      </c>
      <c r="E1825" s="163" t="s">
        <v>1288</v>
      </c>
      <c r="F1825" s="226">
        <f>-6500</f>
        <v>-6500</v>
      </c>
      <c r="G1825" s="165">
        <f t="shared" si="44"/>
        <v>8301.5310000000027</v>
      </c>
      <c r="H1825" s="163"/>
      <c r="I1825" s="163" t="s">
        <v>283</v>
      </c>
      <c r="J1825" s="163"/>
      <c r="K1825" s="163"/>
      <c r="L1825" s="163" t="s">
        <v>1270</v>
      </c>
      <c r="M1825" s="163"/>
      <c r="N1825" s="163" t="s">
        <v>978</v>
      </c>
      <c r="O1825" s="163"/>
      <c r="P1825" s="163"/>
      <c r="Q1825" s="163"/>
      <c r="R1825" s="163" t="s">
        <v>1290</v>
      </c>
      <c r="S1825" s="163" t="s">
        <v>1291</v>
      </c>
      <c r="T1825" s="43">
        <f t="shared" si="42"/>
        <v>2</v>
      </c>
      <c r="U1825" s="167">
        <f t="shared" si="41"/>
        <v>45730</v>
      </c>
      <c r="V1825" s="145">
        <v>45730</v>
      </c>
      <c r="W1825" s="43">
        <f t="shared" si="43"/>
        <v>3</v>
      </c>
      <c r="X1825" s="49" t="s">
        <v>1552</v>
      </c>
      <c r="Y1825" s="49" t="s">
        <v>25</v>
      </c>
    </row>
    <row r="1826" spans="1:28" hidden="1">
      <c r="A1826" s="180" t="s">
        <v>1017</v>
      </c>
      <c r="B1826" s="181">
        <v>45730</v>
      </c>
      <c r="C1826" s="180" t="s">
        <v>844</v>
      </c>
      <c r="D1826" s="180" t="s">
        <v>281</v>
      </c>
      <c r="E1826" s="180" t="s">
        <v>120</v>
      </c>
      <c r="F1826" s="226">
        <v>-1408</v>
      </c>
      <c r="G1826" s="165">
        <f t="shared" si="44"/>
        <v>6893.5310000000027</v>
      </c>
      <c r="H1826" s="180"/>
      <c r="I1826" s="180" t="s">
        <v>342</v>
      </c>
      <c r="J1826" s="180"/>
      <c r="K1826" s="180"/>
      <c r="L1826" s="180" t="s">
        <v>1571</v>
      </c>
      <c r="M1826" s="180"/>
      <c r="N1826" s="180" t="s">
        <v>978</v>
      </c>
      <c r="O1826" s="180"/>
      <c r="P1826" s="180"/>
      <c r="Q1826" s="180"/>
      <c r="R1826" s="180" t="s">
        <v>846</v>
      </c>
      <c r="S1826" s="180" t="s">
        <v>847</v>
      </c>
      <c r="T1826" s="183">
        <f t="shared" si="42"/>
        <v>3</v>
      </c>
      <c r="U1826" s="184">
        <f t="shared" si="41"/>
        <v>45730</v>
      </c>
      <c r="V1826" s="183"/>
      <c r="W1826" s="43">
        <f t="shared" si="43"/>
        <v>3</v>
      </c>
      <c r="X1826" s="206" t="s">
        <v>1498</v>
      </c>
      <c r="Y1826" s="206" t="s">
        <v>1336</v>
      </c>
      <c r="Z1826" s="183"/>
      <c r="AA1826" s="183"/>
      <c r="AB1826" s="183"/>
    </row>
    <row r="1827" spans="1:28" hidden="1">
      <c r="A1827" s="163" t="s">
        <v>1017</v>
      </c>
      <c r="B1827" s="164">
        <v>45730</v>
      </c>
      <c r="C1827" s="190" t="s">
        <v>330</v>
      </c>
      <c r="D1827" s="190" t="s">
        <v>281</v>
      </c>
      <c r="E1827" s="190" t="s">
        <v>330</v>
      </c>
      <c r="F1827" s="185">
        <f>-1.99-6</f>
        <v>-7.99</v>
      </c>
      <c r="G1827" s="165">
        <f t="shared" si="44"/>
        <v>6885.5410000000029</v>
      </c>
      <c r="H1827" s="190"/>
      <c r="I1827" s="190" t="s">
        <v>342</v>
      </c>
      <c r="J1827" s="190"/>
      <c r="K1827" s="190"/>
      <c r="L1827" s="190" t="s">
        <v>805</v>
      </c>
      <c r="M1827" s="190"/>
      <c r="N1827" s="190" t="s">
        <v>978</v>
      </c>
      <c r="O1827" s="190"/>
      <c r="P1827" s="190"/>
      <c r="Q1827" s="190"/>
      <c r="R1827" s="190" t="s">
        <v>1292</v>
      </c>
      <c r="S1827" s="190" t="s">
        <v>1417</v>
      </c>
      <c r="T1827" s="43">
        <f t="shared" si="42"/>
        <v>3</v>
      </c>
      <c r="U1827" s="167">
        <f t="shared" si="41"/>
        <v>45730</v>
      </c>
      <c r="V1827" s="43"/>
      <c r="W1827" s="43">
        <f t="shared" si="43"/>
        <v>3</v>
      </c>
      <c r="X1827" s="43" t="s">
        <v>1483</v>
      </c>
      <c r="Y1827" s="43" t="s">
        <v>1443</v>
      </c>
      <c r="Z1827" s="43"/>
      <c r="AA1827" s="43"/>
    </row>
    <row r="1828" spans="1:28" hidden="1">
      <c r="A1828" s="180" t="s">
        <v>1017</v>
      </c>
      <c r="B1828" s="181">
        <v>45730</v>
      </c>
      <c r="C1828" s="180" t="s">
        <v>1010</v>
      </c>
      <c r="D1828" s="180" t="s">
        <v>281</v>
      </c>
      <c r="E1828" s="180" t="s">
        <v>199</v>
      </c>
      <c r="F1828" s="169"/>
      <c r="G1828" s="165">
        <f t="shared" si="44"/>
        <v>6885.5410000000029</v>
      </c>
      <c r="H1828" s="180"/>
      <c r="I1828" s="180" t="s">
        <v>283</v>
      </c>
      <c r="J1828" s="180"/>
      <c r="K1828" s="180"/>
      <c r="L1828" s="180" t="s">
        <v>485</v>
      </c>
      <c r="M1828" s="180"/>
      <c r="N1828" s="180" t="s">
        <v>978</v>
      </c>
      <c r="O1828" s="180"/>
      <c r="P1828" s="180"/>
      <c r="Q1828" s="180"/>
      <c r="R1828" s="180" t="s">
        <v>669</v>
      </c>
      <c r="S1828" s="180" t="s">
        <v>1492</v>
      </c>
      <c r="T1828" s="183">
        <f t="shared" si="42"/>
        <v>3</v>
      </c>
      <c r="U1828" s="184">
        <f t="shared" si="41"/>
        <v>45730</v>
      </c>
      <c r="V1828" s="183"/>
      <c r="W1828" s="43">
        <f t="shared" si="43"/>
        <v>3</v>
      </c>
      <c r="X1828" s="206" t="s">
        <v>1478</v>
      </c>
      <c r="Y1828" s="206" t="s">
        <v>26</v>
      </c>
      <c r="Z1828" s="183"/>
      <c r="AA1828" s="183"/>
      <c r="AB1828" s="183"/>
    </row>
    <row r="1829" spans="1:28" ht="14.25" hidden="1" customHeight="1">
      <c r="A1829" s="180" t="s">
        <v>1017</v>
      </c>
      <c r="B1829" s="181">
        <v>45730</v>
      </c>
      <c r="C1829" s="180" t="s">
        <v>1066</v>
      </c>
      <c r="D1829" s="180" t="s">
        <v>281</v>
      </c>
      <c r="E1829" s="180" t="s">
        <v>356</v>
      </c>
      <c r="F1829" s="226">
        <v>-270</v>
      </c>
      <c r="G1829" s="165">
        <f t="shared" si="44"/>
        <v>6615.5410000000029</v>
      </c>
      <c r="H1829" s="180"/>
      <c r="I1829" s="180" t="s">
        <v>283</v>
      </c>
      <c r="J1829" s="180"/>
      <c r="K1829" s="180"/>
      <c r="L1829" s="180" t="s">
        <v>305</v>
      </c>
      <c r="M1829" s="180"/>
      <c r="N1829" s="180" t="s">
        <v>978</v>
      </c>
      <c r="O1829" s="180"/>
      <c r="P1829" s="180"/>
      <c r="Q1829" s="180" t="s">
        <v>1067</v>
      </c>
      <c r="R1829" s="180" t="s">
        <v>1087</v>
      </c>
      <c r="S1829" s="180" t="s">
        <v>1089</v>
      </c>
      <c r="T1829" s="189">
        <f t="shared" si="42"/>
        <v>3</v>
      </c>
      <c r="U1829" s="211">
        <f t="shared" si="41"/>
        <v>45730</v>
      </c>
      <c r="V1829" s="183"/>
      <c r="W1829" s="43">
        <f t="shared" si="43"/>
        <v>3</v>
      </c>
      <c r="X1829" s="183" t="s">
        <v>1689</v>
      </c>
      <c r="Y1829" s="183" t="s">
        <v>25</v>
      </c>
      <c r="Z1829" s="183" t="s">
        <v>1113</v>
      </c>
      <c r="AA1829" s="183" t="s">
        <v>1336</v>
      </c>
      <c r="AB1829" s="183"/>
    </row>
    <row r="1830" spans="1:28" hidden="1">
      <c r="A1830" s="180" t="s">
        <v>1017</v>
      </c>
      <c r="B1830" s="181">
        <v>45730</v>
      </c>
      <c r="C1830" s="180" t="s">
        <v>1553</v>
      </c>
      <c r="D1830" s="180" t="s">
        <v>281</v>
      </c>
      <c r="E1830" s="163" t="s">
        <v>1514</v>
      </c>
      <c r="F1830" s="268"/>
      <c r="G1830" s="165">
        <f t="shared" si="44"/>
        <v>6615.5410000000029</v>
      </c>
      <c r="H1830" s="180"/>
      <c r="I1830" s="180" t="s">
        <v>283</v>
      </c>
      <c r="J1830" s="180"/>
      <c r="K1830" s="180"/>
      <c r="L1830" s="180" t="s">
        <v>485</v>
      </c>
      <c r="M1830" s="180"/>
      <c r="N1830" s="180" t="s">
        <v>978</v>
      </c>
      <c r="O1830" s="180"/>
      <c r="P1830" s="180"/>
      <c r="Q1830" s="180"/>
      <c r="R1830" s="180" t="s">
        <v>1527</v>
      </c>
      <c r="S1830" s="180"/>
      <c r="T1830" s="183">
        <f t="shared" si="42"/>
        <v>3</v>
      </c>
      <c r="U1830" s="184">
        <f t="shared" si="41"/>
        <v>45730</v>
      </c>
      <c r="V1830" s="184"/>
      <c r="W1830" s="43">
        <f t="shared" si="43"/>
        <v>3</v>
      </c>
      <c r="X1830" s="183" t="s">
        <v>1381</v>
      </c>
      <c r="Y1830" s="183" t="s">
        <v>1336</v>
      </c>
      <c r="Z1830" s="183"/>
      <c r="AA1830" s="183"/>
      <c r="AB1830" s="183"/>
    </row>
    <row r="1831" spans="1:28" hidden="1">
      <c r="A1831" s="163" t="s">
        <v>1017</v>
      </c>
      <c r="B1831" s="164">
        <v>45730</v>
      </c>
      <c r="C1831" s="163" t="s">
        <v>181</v>
      </c>
      <c r="D1831" s="163" t="s">
        <v>281</v>
      </c>
      <c r="E1831" s="163" t="s">
        <v>760</v>
      </c>
      <c r="F1831" s="169"/>
      <c r="G1831" s="165">
        <f t="shared" si="44"/>
        <v>6615.5410000000029</v>
      </c>
      <c r="H1831" s="163"/>
      <c r="I1831" s="163" t="s">
        <v>283</v>
      </c>
      <c r="J1831" s="163"/>
      <c r="K1831" s="163"/>
      <c r="L1831" s="163" t="s">
        <v>1424</v>
      </c>
      <c r="M1831" s="163"/>
      <c r="N1831" s="163" t="s">
        <v>978</v>
      </c>
      <c r="O1831" s="163"/>
      <c r="P1831" s="163"/>
      <c r="Q1831" s="163"/>
      <c r="R1831" s="163" t="s">
        <v>764</v>
      </c>
      <c r="S1831" s="163" t="s">
        <v>80</v>
      </c>
      <c r="T1831" s="43">
        <f t="shared" si="42"/>
        <v>3</v>
      </c>
      <c r="U1831" s="167">
        <f t="shared" si="41"/>
        <v>45730</v>
      </c>
      <c r="W1831" s="43">
        <f t="shared" si="43"/>
        <v>3</v>
      </c>
      <c r="X1831" s="236" t="s">
        <v>1482</v>
      </c>
      <c r="Y1831" s="236" t="s">
        <v>78</v>
      </c>
    </row>
    <row r="1832" spans="1:28" hidden="1">
      <c r="A1832" s="180" t="s">
        <v>1017</v>
      </c>
      <c r="B1832" s="181">
        <v>45730</v>
      </c>
      <c r="C1832" s="180" t="s">
        <v>1736</v>
      </c>
      <c r="D1832" s="180" t="s">
        <v>281</v>
      </c>
      <c r="E1832" s="180" t="s">
        <v>301</v>
      </c>
      <c r="F1832" s="226">
        <v>-3058.88</v>
      </c>
      <c r="G1832" s="165">
        <f t="shared" si="44"/>
        <v>3556.6610000000028</v>
      </c>
      <c r="H1832" s="180"/>
      <c r="I1832" s="180" t="s">
        <v>283</v>
      </c>
      <c r="J1832" s="180"/>
      <c r="K1832" s="180"/>
      <c r="L1832" s="180" t="s">
        <v>477</v>
      </c>
      <c r="M1832" s="180"/>
      <c r="N1832" s="180" t="s">
        <v>978</v>
      </c>
      <c r="O1832" s="180"/>
      <c r="P1832" s="180"/>
      <c r="Q1832" s="180"/>
      <c r="R1832" s="180" t="s">
        <v>1368</v>
      </c>
      <c r="S1832" s="180" t="s">
        <v>1369</v>
      </c>
      <c r="T1832" s="183">
        <f t="shared" si="42"/>
        <v>3</v>
      </c>
      <c r="U1832" s="184">
        <f t="shared" si="41"/>
        <v>45730</v>
      </c>
      <c r="V1832" s="183"/>
      <c r="W1832" s="43">
        <f t="shared" si="43"/>
        <v>3</v>
      </c>
      <c r="X1832" s="236" t="s">
        <v>1482</v>
      </c>
      <c r="Y1832" s="236" t="s">
        <v>78</v>
      </c>
      <c r="Z1832" s="183"/>
      <c r="AA1832" s="183"/>
      <c r="AB1832" s="183"/>
    </row>
    <row r="1833" spans="1:28" hidden="1">
      <c r="A1833" s="180" t="s">
        <v>1017</v>
      </c>
      <c r="B1833" s="181">
        <v>45730</v>
      </c>
      <c r="C1833" s="180" t="s">
        <v>1714</v>
      </c>
      <c r="D1833" s="180" t="s">
        <v>281</v>
      </c>
      <c r="E1833" s="180" t="s">
        <v>1702</v>
      </c>
      <c r="F1833" s="226">
        <v>-121.98</v>
      </c>
      <c r="G1833" s="165">
        <f t="shared" si="44"/>
        <v>3434.6810000000028</v>
      </c>
      <c r="H1833" s="180"/>
      <c r="I1833" s="180" t="s">
        <v>283</v>
      </c>
      <c r="J1833" s="180"/>
      <c r="K1833" s="180"/>
      <c r="L1833" s="180" t="s">
        <v>485</v>
      </c>
      <c r="M1833" s="180"/>
      <c r="N1833" s="180" t="s">
        <v>978</v>
      </c>
      <c r="O1833" s="180"/>
      <c r="P1833" s="180"/>
      <c r="Q1833" s="180"/>
      <c r="R1833" s="180" t="s">
        <v>669</v>
      </c>
      <c r="S1833" s="180" t="s">
        <v>1492</v>
      </c>
      <c r="T1833" s="183">
        <f t="shared" si="42"/>
        <v>3</v>
      </c>
      <c r="U1833" s="184">
        <f t="shared" si="41"/>
        <v>45730</v>
      </c>
      <c r="V1833" s="183"/>
      <c r="W1833" s="43">
        <f t="shared" si="43"/>
        <v>3</v>
      </c>
      <c r="X1833" s="183" t="s">
        <v>1381</v>
      </c>
      <c r="Y1833" s="183" t="s">
        <v>25</v>
      </c>
      <c r="Z1833" s="183"/>
      <c r="AA1833" s="183"/>
      <c r="AB1833" s="183"/>
    </row>
    <row r="1834" spans="1:28" hidden="1">
      <c r="A1834" s="180" t="s">
        <v>1017</v>
      </c>
      <c r="B1834" s="181">
        <v>45730</v>
      </c>
      <c r="C1834" s="180" t="s">
        <v>1725</v>
      </c>
      <c r="D1834" s="180" t="s">
        <v>281</v>
      </c>
      <c r="E1834" s="163" t="s">
        <v>1514</v>
      </c>
      <c r="F1834" s="226">
        <v>-1562.95</v>
      </c>
      <c r="G1834" s="165">
        <f t="shared" si="44"/>
        <v>1871.7310000000027</v>
      </c>
      <c r="H1834" s="180"/>
      <c r="I1834" s="180" t="s">
        <v>283</v>
      </c>
      <c r="J1834" s="180"/>
      <c r="K1834" s="180"/>
      <c r="L1834" s="180" t="s">
        <v>485</v>
      </c>
      <c r="M1834" s="180"/>
      <c r="N1834" s="180" t="s">
        <v>978</v>
      </c>
      <c r="O1834" s="180"/>
      <c r="P1834" s="180"/>
      <c r="Q1834" s="180"/>
      <c r="R1834" s="180" t="s">
        <v>1527</v>
      </c>
      <c r="S1834" s="180"/>
      <c r="T1834" s="183">
        <f t="shared" si="42"/>
        <v>3</v>
      </c>
      <c r="U1834" s="184">
        <f t="shared" si="41"/>
        <v>45730</v>
      </c>
      <c r="V1834" s="184"/>
      <c r="W1834" s="43">
        <f t="shared" si="43"/>
        <v>3</v>
      </c>
      <c r="X1834" s="183" t="s">
        <v>1381</v>
      </c>
      <c r="Y1834" s="183" t="s">
        <v>1488</v>
      </c>
      <c r="Z1834" s="183"/>
      <c r="AA1834" s="183"/>
      <c r="AB1834" s="183"/>
    </row>
    <row r="1835" spans="1:28" ht="14.25" hidden="1" customHeight="1">
      <c r="A1835" s="180" t="s">
        <v>1017</v>
      </c>
      <c r="B1835" s="181">
        <v>45730</v>
      </c>
      <c r="C1835" s="180" t="s">
        <v>1658</v>
      </c>
      <c r="D1835" s="180" t="s">
        <v>281</v>
      </c>
      <c r="E1835" s="180" t="s">
        <v>1659</v>
      </c>
      <c r="F1835" s="169"/>
      <c r="G1835" s="165">
        <f t="shared" si="44"/>
        <v>1871.7310000000027</v>
      </c>
      <c r="H1835" s="180"/>
      <c r="I1835" s="180" t="s">
        <v>342</v>
      </c>
      <c r="J1835" s="180"/>
      <c r="K1835" s="180"/>
      <c r="L1835" s="180" t="s">
        <v>1301</v>
      </c>
      <c r="M1835" s="180"/>
      <c r="N1835" s="180" t="s">
        <v>978</v>
      </c>
      <c r="O1835" s="180"/>
      <c r="P1835" s="180"/>
      <c r="Q1835" s="180"/>
      <c r="R1835" s="180" t="s">
        <v>1463</v>
      </c>
      <c r="S1835" s="180" t="s">
        <v>345</v>
      </c>
      <c r="T1835" s="183">
        <f>MONTH(U1835)</f>
        <v>3</v>
      </c>
      <c r="U1835" s="187">
        <f t="shared" si="41"/>
        <v>45730</v>
      </c>
      <c r="V1835" s="261"/>
      <c r="W1835" s="43">
        <f t="shared" si="43"/>
        <v>3</v>
      </c>
      <c r="X1835" s="43" t="s">
        <v>1483</v>
      </c>
      <c r="Y1835" s="43" t="s">
        <v>25</v>
      </c>
      <c r="Z1835" s="183"/>
      <c r="AA1835" s="183"/>
      <c r="AB1835" s="183"/>
    </row>
    <row r="1836" spans="1:28" ht="14.25" hidden="1" customHeight="1">
      <c r="A1836" s="180" t="s">
        <v>1017</v>
      </c>
      <c r="B1836" s="181">
        <v>45729</v>
      </c>
      <c r="C1836" s="180" t="s">
        <v>1392</v>
      </c>
      <c r="D1836" s="180" t="s">
        <v>281</v>
      </c>
      <c r="E1836" s="180" t="s">
        <v>199</v>
      </c>
      <c r="F1836" s="226">
        <v>-220</v>
      </c>
      <c r="G1836" s="165">
        <f t="shared" si="44"/>
        <v>1651.7310000000027</v>
      </c>
      <c r="H1836" s="180"/>
      <c r="I1836" s="180" t="s">
        <v>977</v>
      </c>
      <c r="J1836" s="180"/>
      <c r="K1836" s="180"/>
      <c r="L1836" s="180" t="s">
        <v>477</v>
      </c>
      <c r="M1836" s="180"/>
      <c r="N1836" s="180" t="s">
        <v>978</v>
      </c>
      <c r="O1836" s="180"/>
      <c r="P1836" s="180"/>
      <c r="Q1836" s="180"/>
      <c r="R1836" s="180" t="s">
        <v>1001</v>
      </c>
      <c r="S1836" s="180"/>
      <c r="T1836" s="183">
        <f t="shared" ref="T1836:T2090" si="45">MONTH(B1836)</f>
        <v>3</v>
      </c>
      <c r="U1836" s="187">
        <f t="shared" si="41"/>
        <v>45730</v>
      </c>
      <c r="V1836" s="145">
        <v>45730</v>
      </c>
      <c r="W1836" s="43">
        <f t="shared" si="43"/>
        <v>3</v>
      </c>
      <c r="X1836" s="43" t="s">
        <v>1480</v>
      </c>
      <c r="Y1836" s="43" t="s">
        <v>26</v>
      </c>
      <c r="Z1836" s="183"/>
      <c r="AA1836" s="183"/>
      <c r="AB1836" s="183"/>
    </row>
    <row r="1837" spans="1:28" hidden="1">
      <c r="A1837" s="163"/>
      <c r="B1837" s="164">
        <v>45730</v>
      </c>
      <c r="C1837" s="163" t="s">
        <v>346</v>
      </c>
      <c r="D1837" s="163"/>
      <c r="E1837" s="163"/>
      <c r="F1837" s="165">
        <v>0</v>
      </c>
      <c r="G1837" s="165">
        <f t="shared" si="44"/>
        <v>1651.7310000000027</v>
      </c>
      <c r="H1837" s="163"/>
      <c r="I1837" s="163"/>
      <c r="J1837" s="163"/>
      <c r="K1837" s="163"/>
      <c r="L1837" s="163"/>
      <c r="M1837" s="163"/>
      <c r="N1837" s="163"/>
      <c r="O1837" s="163"/>
      <c r="P1837" s="163"/>
      <c r="Q1837" s="163"/>
      <c r="R1837" s="163"/>
      <c r="S1837" s="163"/>
      <c r="T1837" s="43">
        <f t="shared" si="45"/>
        <v>3</v>
      </c>
      <c r="U1837" s="167">
        <f t="shared" si="41"/>
        <v>45730</v>
      </c>
      <c r="W1837" s="43">
        <f t="shared" si="43"/>
        <v>3</v>
      </c>
    </row>
    <row r="1838" spans="1:28" hidden="1">
      <c r="A1838" s="180" t="s">
        <v>1174</v>
      </c>
      <c r="B1838" s="181">
        <v>45733</v>
      </c>
      <c r="C1838" s="180" t="s">
        <v>1670</v>
      </c>
      <c r="D1838" s="180" t="s">
        <v>281</v>
      </c>
      <c r="E1838" s="180" t="s">
        <v>407</v>
      </c>
      <c r="F1838" s="195">
        <v>4466.67</v>
      </c>
      <c r="G1838" s="165">
        <f t="shared" si="44"/>
        <v>6118.4010000000026</v>
      </c>
      <c r="H1838" s="180"/>
      <c r="I1838" s="180" t="s">
        <v>1176</v>
      </c>
      <c r="J1838" s="180" t="s">
        <v>1364</v>
      </c>
      <c r="K1838" s="180"/>
      <c r="L1838" s="180" t="s">
        <v>305</v>
      </c>
      <c r="M1838" s="180"/>
      <c r="N1838" s="180" t="s">
        <v>1178</v>
      </c>
      <c r="O1838" s="180" t="s">
        <v>1364</v>
      </c>
      <c r="P1838" s="180" t="s">
        <v>957</v>
      </c>
      <c r="Q1838" s="180"/>
      <c r="R1838" s="180" t="s">
        <v>958</v>
      </c>
      <c r="S1838" s="180" t="s">
        <v>959</v>
      </c>
      <c r="T1838" s="183">
        <f t="shared" si="45"/>
        <v>3</v>
      </c>
      <c r="U1838" s="184">
        <f t="shared" si="41"/>
        <v>45733</v>
      </c>
      <c r="V1838" s="183"/>
      <c r="W1838" s="43">
        <f t="shared" si="43"/>
        <v>3</v>
      </c>
      <c r="X1838" s="43" t="s">
        <v>1484</v>
      </c>
      <c r="Y1838" s="43" t="s">
        <v>1485</v>
      </c>
      <c r="Z1838" s="183"/>
      <c r="AA1838" s="183"/>
      <c r="AB1838" s="183"/>
    </row>
    <row r="1839" spans="1:28" hidden="1">
      <c r="A1839" s="180" t="s">
        <v>1174</v>
      </c>
      <c r="B1839" s="181">
        <v>45733</v>
      </c>
      <c r="C1839" s="180" t="s">
        <v>1636</v>
      </c>
      <c r="D1839" s="180" t="s">
        <v>281</v>
      </c>
      <c r="E1839" s="180" t="s">
        <v>407</v>
      </c>
      <c r="F1839" s="195">
        <v>1900</v>
      </c>
      <c r="G1839" s="165">
        <f t="shared" si="44"/>
        <v>8018.4010000000026</v>
      </c>
      <c r="H1839" s="180"/>
      <c r="I1839" s="180" t="s">
        <v>1176</v>
      </c>
      <c r="J1839" s="180" t="s">
        <v>1364</v>
      </c>
      <c r="K1839" s="180"/>
      <c r="L1839" s="180" t="s">
        <v>305</v>
      </c>
      <c r="M1839" s="180"/>
      <c r="N1839" s="180" t="s">
        <v>1178</v>
      </c>
      <c r="O1839" s="180" t="s">
        <v>1364</v>
      </c>
      <c r="P1839" s="180" t="s">
        <v>957</v>
      </c>
      <c r="Q1839" s="180"/>
      <c r="R1839" s="180" t="s">
        <v>958</v>
      </c>
      <c r="S1839" s="180" t="s">
        <v>959</v>
      </c>
      <c r="T1839" s="183">
        <f t="shared" si="45"/>
        <v>3</v>
      </c>
      <c r="U1839" s="184">
        <f t="shared" si="41"/>
        <v>45733</v>
      </c>
      <c r="V1839" s="183"/>
      <c r="W1839" s="43">
        <f t="shared" si="43"/>
        <v>3</v>
      </c>
      <c r="X1839" s="43" t="s">
        <v>1484</v>
      </c>
      <c r="Y1839" s="43" t="s">
        <v>1485</v>
      </c>
      <c r="Z1839" s="183"/>
      <c r="AA1839" s="183"/>
      <c r="AB1839" s="183"/>
    </row>
    <row r="1840" spans="1:28" hidden="1">
      <c r="A1840" s="180" t="s">
        <v>1174</v>
      </c>
      <c r="B1840" s="181">
        <v>45733</v>
      </c>
      <c r="C1840" s="180" t="s">
        <v>1737</v>
      </c>
      <c r="D1840" s="180" t="s">
        <v>281</v>
      </c>
      <c r="E1840" s="180" t="s">
        <v>407</v>
      </c>
      <c r="F1840" s="186"/>
      <c r="G1840" s="165">
        <f t="shared" si="44"/>
        <v>8018.4010000000026</v>
      </c>
      <c r="H1840" s="180"/>
      <c r="I1840" s="180" t="s">
        <v>1176</v>
      </c>
      <c r="J1840" s="180" t="s">
        <v>1364</v>
      </c>
      <c r="K1840" s="180"/>
      <c r="L1840" s="180" t="s">
        <v>305</v>
      </c>
      <c r="M1840" s="180"/>
      <c r="N1840" s="180" t="s">
        <v>1178</v>
      </c>
      <c r="O1840" s="180" t="s">
        <v>1364</v>
      </c>
      <c r="P1840" s="180" t="s">
        <v>957</v>
      </c>
      <c r="Q1840" s="180"/>
      <c r="R1840" s="180" t="s">
        <v>958</v>
      </c>
      <c r="S1840" s="180" t="s">
        <v>959</v>
      </c>
      <c r="T1840" s="183">
        <f t="shared" si="45"/>
        <v>3</v>
      </c>
      <c r="U1840" s="184">
        <f t="shared" si="41"/>
        <v>45733</v>
      </c>
      <c r="V1840" s="183"/>
      <c r="W1840" s="43">
        <f t="shared" si="43"/>
        <v>3</v>
      </c>
      <c r="X1840" s="43" t="s">
        <v>1484</v>
      </c>
      <c r="Y1840" s="43" t="s">
        <v>1485</v>
      </c>
      <c r="Z1840" s="183"/>
      <c r="AA1840" s="183"/>
      <c r="AB1840" s="183"/>
    </row>
    <row r="1841" spans="1:28" hidden="1">
      <c r="A1841" s="180" t="s">
        <v>1174</v>
      </c>
      <c r="B1841" s="181">
        <v>45733</v>
      </c>
      <c r="C1841" s="180" t="s">
        <v>1401</v>
      </c>
      <c r="D1841" s="180" t="s">
        <v>281</v>
      </c>
      <c r="E1841" s="180" t="s">
        <v>407</v>
      </c>
      <c r="F1841" s="195">
        <v>2800</v>
      </c>
      <c r="G1841" s="165">
        <f t="shared" si="44"/>
        <v>10818.401000000002</v>
      </c>
      <c r="H1841" s="180"/>
      <c r="I1841" s="180" t="s">
        <v>1176</v>
      </c>
      <c r="J1841" s="180" t="s">
        <v>1366</v>
      </c>
      <c r="K1841" s="180"/>
      <c r="L1841" s="180" t="s">
        <v>305</v>
      </c>
      <c r="M1841" s="180"/>
      <c r="N1841" s="180" t="s">
        <v>1178</v>
      </c>
      <c r="O1841" s="180" t="s">
        <v>1366</v>
      </c>
      <c r="P1841" s="180" t="s">
        <v>57</v>
      </c>
      <c r="Q1841" s="180"/>
      <c r="R1841" s="180" t="s">
        <v>974</v>
      </c>
      <c r="S1841" s="180" t="s">
        <v>975</v>
      </c>
      <c r="T1841" s="183">
        <f t="shared" si="45"/>
        <v>3</v>
      </c>
      <c r="U1841" s="184">
        <f t="shared" si="41"/>
        <v>45733</v>
      </c>
      <c r="V1841" s="183"/>
      <c r="W1841" s="43">
        <f t="shared" si="43"/>
        <v>3</v>
      </c>
      <c r="X1841" s="43" t="s">
        <v>1484</v>
      </c>
      <c r="Y1841" s="43" t="s">
        <v>1485</v>
      </c>
      <c r="Z1841" s="183"/>
      <c r="AA1841" s="183"/>
      <c r="AB1841" s="183"/>
    </row>
    <row r="1842" spans="1:28" hidden="1">
      <c r="A1842" s="163" t="s">
        <v>1174</v>
      </c>
      <c r="B1842" s="164">
        <v>45733</v>
      </c>
      <c r="C1842" s="163" t="s">
        <v>969</v>
      </c>
      <c r="D1842" s="163" t="s">
        <v>281</v>
      </c>
      <c r="E1842" s="163" t="s">
        <v>407</v>
      </c>
      <c r="F1842" s="195">
        <v>3150</v>
      </c>
      <c r="G1842" s="165">
        <f t="shared" si="44"/>
        <v>13968.401000000002</v>
      </c>
      <c r="H1842" s="163"/>
      <c r="I1842" s="163" t="s">
        <v>1176</v>
      </c>
      <c r="J1842" s="163" t="s">
        <v>1366</v>
      </c>
      <c r="K1842" s="163"/>
      <c r="L1842" s="163" t="s">
        <v>305</v>
      </c>
      <c r="M1842" s="163"/>
      <c r="N1842" s="163" t="s">
        <v>1178</v>
      </c>
      <c r="O1842" s="163" t="s">
        <v>1366</v>
      </c>
      <c r="P1842" s="163" t="s">
        <v>57</v>
      </c>
      <c r="Q1842" s="163"/>
      <c r="R1842" s="163" t="s">
        <v>974</v>
      </c>
      <c r="S1842" s="163" t="s">
        <v>975</v>
      </c>
      <c r="T1842" s="43">
        <f t="shared" si="45"/>
        <v>3</v>
      </c>
      <c r="U1842" s="167">
        <f t="shared" si="41"/>
        <v>45733</v>
      </c>
      <c r="W1842" s="43">
        <f t="shared" si="43"/>
        <v>3</v>
      </c>
      <c r="X1842" s="43" t="s">
        <v>1484</v>
      </c>
      <c r="Y1842" s="43" t="s">
        <v>1485</v>
      </c>
    </row>
    <row r="1843" spans="1:28" hidden="1">
      <c r="A1843" s="163" t="s">
        <v>1174</v>
      </c>
      <c r="B1843" s="164">
        <v>45733</v>
      </c>
      <c r="C1843" s="163" t="s">
        <v>1546</v>
      </c>
      <c r="D1843" s="163" t="s">
        <v>281</v>
      </c>
      <c r="E1843" s="163" t="s">
        <v>407</v>
      </c>
      <c r="F1843" s="195">
        <v>5000</v>
      </c>
      <c r="G1843" s="165">
        <f t="shared" si="44"/>
        <v>18968.401000000002</v>
      </c>
      <c r="H1843" s="163"/>
      <c r="I1843" s="163" t="s">
        <v>1176</v>
      </c>
      <c r="J1843" s="163" t="s">
        <v>1547</v>
      </c>
      <c r="K1843" s="163"/>
      <c r="L1843" s="163" t="s">
        <v>305</v>
      </c>
      <c r="M1843" s="163"/>
      <c r="N1843" s="163" t="s">
        <v>1178</v>
      </c>
      <c r="O1843" s="163" t="s">
        <v>1547</v>
      </c>
      <c r="P1843" s="163" t="s">
        <v>57</v>
      </c>
      <c r="Q1843" s="163"/>
      <c r="R1843" s="163" t="s">
        <v>1548</v>
      </c>
      <c r="S1843" s="163" t="s">
        <v>1549</v>
      </c>
      <c r="T1843" s="43">
        <f t="shared" si="45"/>
        <v>3</v>
      </c>
      <c r="U1843" s="167">
        <f t="shared" si="41"/>
        <v>45733</v>
      </c>
      <c r="W1843" s="43">
        <f t="shared" si="43"/>
        <v>3</v>
      </c>
      <c r="X1843" s="43" t="s">
        <v>1484</v>
      </c>
      <c r="Y1843" s="43" t="s">
        <v>1485</v>
      </c>
    </row>
    <row r="1844" spans="1:28" hidden="1">
      <c r="A1844" s="163" t="s">
        <v>1174</v>
      </c>
      <c r="B1844" s="164">
        <v>45733</v>
      </c>
      <c r="C1844" s="163" t="s">
        <v>962</v>
      </c>
      <c r="D1844" s="163" t="s">
        <v>281</v>
      </c>
      <c r="E1844" s="163" t="s">
        <v>407</v>
      </c>
      <c r="F1844" s="195">
        <v>8000</v>
      </c>
      <c r="G1844" s="165">
        <f t="shared" si="44"/>
        <v>26968.401000000002</v>
      </c>
      <c r="H1844" s="163"/>
      <c r="I1844" s="163" t="s">
        <v>1176</v>
      </c>
      <c r="J1844" s="163" t="s">
        <v>1400</v>
      </c>
      <c r="K1844" s="163"/>
      <c r="L1844" s="163" t="s">
        <v>305</v>
      </c>
      <c r="M1844" s="163"/>
      <c r="N1844" s="163" t="s">
        <v>1178</v>
      </c>
      <c r="O1844" s="163" t="s">
        <v>1400</v>
      </c>
      <c r="P1844" s="163" t="s">
        <v>57</v>
      </c>
      <c r="Q1844" s="163"/>
      <c r="R1844" s="163" t="s">
        <v>962</v>
      </c>
      <c r="S1844" s="163" t="s">
        <v>968</v>
      </c>
      <c r="T1844" s="43">
        <f t="shared" si="45"/>
        <v>3</v>
      </c>
      <c r="U1844" s="167">
        <f t="shared" si="41"/>
        <v>45733</v>
      </c>
      <c r="W1844" s="43">
        <f t="shared" si="43"/>
        <v>3</v>
      </c>
      <c r="X1844" s="43" t="s">
        <v>1484</v>
      </c>
      <c r="Y1844" s="43" t="s">
        <v>1485</v>
      </c>
    </row>
    <row r="1845" spans="1:28" hidden="1">
      <c r="A1845" s="163" t="s">
        <v>1174</v>
      </c>
      <c r="B1845" s="164">
        <v>45733</v>
      </c>
      <c r="C1845" s="163" t="s">
        <v>1683</v>
      </c>
      <c r="D1845" s="163" t="s">
        <v>281</v>
      </c>
      <c r="E1845" s="163" t="s">
        <v>407</v>
      </c>
      <c r="F1845" s="195">
        <v>5000</v>
      </c>
      <c r="G1845" s="165">
        <f t="shared" si="44"/>
        <v>31968.401000000002</v>
      </c>
      <c r="H1845" s="163"/>
      <c r="I1845" s="163" t="s">
        <v>1176</v>
      </c>
      <c r="J1845" s="163" t="s">
        <v>1400</v>
      </c>
      <c r="K1845" s="163"/>
      <c r="L1845" s="163" t="s">
        <v>305</v>
      </c>
      <c r="M1845" s="163"/>
      <c r="N1845" s="163" t="s">
        <v>1178</v>
      </c>
      <c r="O1845" s="163" t="s">
        <v>1400</v>
      </c>
      <c r="P1845" s="163" t="s">
        <v>57</v>
      </c>
      <c r="Q1845" s="163"/>
      <c r="R1845" s="163" t="s">
        <v>962</v>
      </c>
      <c r="S1845" s="163" t="s">
        <v>968</v>
      </c>
      <c r="T1845" s="43">
        <f t="shared" si="45"/>
        <v>3</v>
      </c>
      <c r="U1845" s="167">
        <f t="shared" si="41"/>
        <v>45733</v>
      </c>
      <c r="W1845" s="43">
        <f t="shared" si="43"/>
        <v>3</v>
      </c>
      <c r="X1845" s="43" t="s">
        <v>1484</v>
      </c>
      <c r="Y1845" s="43" t="s">
        <v>1485</v>
      </c>
    </row>
    <row r="1846" spans="1:28" hidden="1">
      <c r="A1846" s="180" t="s">
        <v>1017</v>
      </c>
      <c r="B1846" s="181">
        <v>45733</v>
      </c>
      <c r="C1846" s="180" t="s">
        <v>844</v>
      </c>
      <c r="D1846" s="180" t="s">
        <v>281</v>
      </c>
      <c r="E1846" s="180" t="s">
        <v>120</v>
      </c>
      <c r="F1846" s="226">
        <v>-320</v>
      </c>
      <c r="G1846" s="165">
        <f t="shared" si="44"/>
        <v>31648.401000000002</v>
      </c>
      <c r="H1846" s="180"/>
      <c r="I1846" s="180" t="s">
        <v>342</v>
      </c>
      <c r="J1846" s="180"/>
      <c r="K1846" s="180"/>
      <c r="L1846" s="180" t="s">
        <v>1571</v>
      </c>
      <c r="M1846" s="180"/>
      <c r="N1846" s="180" t="s">
        <v>978</v>
      </c>
      <c r="O1846" s="180"/>
      <c r="P1846" s="180"/>
      <c r="Q1846" s="180"/>
      <c r="R1846" s="180" t="s">
        <v>846</v>
      </c>
      <c r="S1846" s="180" t="s">
        <v>847</v>
      </c>
      <c r="T1846" s="183">
        <f t="shared" si="45"/>
        <v>3</v>
      </c>
      <c r="U1846" s="184">
        <f t="shared" si="41"/>
        <v>45733</v>
      </c>
      <c r="V1846" s="183"/>
      <c r="W1846" s="43">
        <f t="shared" si="43"/>
        <v>3</v>
      </c>
      <c r="X1846" s="206" t="s">
        <v>1498</v>
      </c>
      <c r="Y1846" s="206" t="s">
        <v>1336</v>
      </c>
      <c r="Z1846" s="183"/>
      <c r="AA1846" s="183"/>
      <c r="AB1846" s="183"/>
    </row>
    <row r="1847" spans="1:28" ht="14.25" hidden="1" customHeight="1">
      <c r="A1847" s="180" t="s">
        <v>1017</v>
      </c>
      <c r="B1847" s="181">
        <v>45733</v>
      </c>
      <c r="C1847" s="180" t="s">
        <v>402</v>
      </c>
      <c r="D1847" s="180" t="s">
        <v>281</v>
      </c>
      <c r="E1847" s="180" t="s">
        <v>356</v>
      </c>
      <c r="F1847" s="226">
        <v>-130</v>
      </c>
      <c r="G1847" s="165">
        <f t="shared" si="44"/>
        <v>31518.401000000002</v>
      </c>
      <c r="H1847" s="180"/>
      <c r="I1847" s="180" t="s">
        <v>283</v>
      </c>
      <c r="J1847" s="180"/>
      <c r="K1847" s="180"/>
      <c r="L1847" s="180" t="s">
        <v>305</v>
      </c>
      <c r="M1847" s="180"/>
      <c r="N1847" s="180" t="s">
        <v>978</v>
      </c>
      <c r="O1847" s="180"/>
      <c r="P1847" s="180"/>
      <c r="Q1847" s="180" t="s">
        <v>1067</v>
      </c>
      <c r="R1847" s="180" t="s">
        <v>1087</v>
      </c>
      <c r="S1847" s="180" t="s">
        <v>1089</v>
      </c>
      <c r="T1847" s="189">
        <f t="shared" si="45"/>
        <v>3</v>
      </c>
      <c r="U1847" s="211">
        <f t="shared" si="41"/>
        <v>45733</v>
      </c>
      <c r="V1847" s="183"/>
      <c r="W1847" s="43">
        <f t="shared" si="43"/>
        <v>3</v>
      </c>
      <c r="X1847" s="183" t="s">
        <v>1689</v>
      </c>
      <c r="Y1847" s="183" t="s">
        <v>25</v>
      </c>
      <c r="Z1847" s="183" t="s">
        <v>1113</v>
      </c>
      <c r="AA1847" s="183" t="s">
        <v>1336</v>
      </c>
      <c r="AB1847" s="183"/>
    </row>
    <row r="1848" spans="1:28" hidden="1">
      <c r="A1848" s="180" t="s">
        <v>1017</v>
      </c>
      <c r="B1848" s="181">
        <v>45726</v>
      </c>
      <c r="C1848" s="180" t="s">
        <v>1738</v>
      </c>
      <c r="D1848" s="180" t="s">
        <v>281</v>
      </c>
      <c r="E1848" s="180" t="s">
        <v>202</v>
      </c>
      <c r="F1848" s="226"/>
      <c r="G1848" s="165">
        <f t="shared" si="44"/>
        <v>31518.401000000002</v>
      </c>
      <c r="H1848" s="180"/>
      <c r="I1848" s="180" t="s">
        <v>283</v>
      </c>
      <c r="J1848" s="180"/>
      <c r="K1848" s="180"/>
      <c r="L1848" s="180" t="s">
        <v>485</v>
      </c>
      <c r="M1848" s="180"/>
      <c r="N1848" s="180" t="s">
        <v>978</v>
      </c>
      <c r="O1848" s="180"/>
      <c r="P1848" s="180"/>
      <c r="Q1848" s="180"/>
      <c r="R1848" s="180" t="s">
        <v>1527</v>
      </c>
      <c r="S1848" s="180"/>
      <c r="T1848" s="183">
        <f t="shared" si="45"/>
        <v>3</v>
      </c>
      <c r="U1848" s="184">
        <f t="shared" si="41"/>
        <v>45733</v>
      </c>
      <c r="V1848" s="145">
        <v>45733</v>
      </c>
      <c r="W1848" s="43">
        <f t="shared" si="43"/>
        <v>3</v>
      </c>
      <c r="X1848" s="49" t="s">
        <v>1526</v>
      </c>
      <c r="Y1848" s="49" t="s">
        <v>86</v>
      </c>
      <c r="Z1848" s="183"/>
      <c r="AA1848" s="183"/>
      <c r="AB1848" s="183"/>
    </row>
    <row r="1849" spans="1:28" ht="14.25" hidden="1" customHeight="1">
      <c r="A1849" s="180" t="s">
        <v>976</v>
      </c>
      <c r="B1849" s="181">
        <v>45733</v>
      </c>
      <c r="C1849" s="180" t="s">
        <v>1677</v>
      </c>
      <c r="D1849" s="180" t="s">
        <v>281</v>
      </c>
      <c r="E1849" s="180" t="s">
        <v>193</v>
      </c>
      <c r="F1849" s="226">
        <v>-8400</v>
      </c>
      <c r="G1849" s="165">
        <f t="shared" si="44"/>
        <v>23118.401000000002</v>
      </c>
      <c r="H1849" s="180"/>
      <c r="I1849" s="180" t="s">
        <v>342</v>
      </c>
      <c r="J1849" s="180"/>
      <c r="K1849" s="180"/>
      <c r="L1849" s="180" t="s">
        <v>508</v>
      </c>
      <c r="M1849" s="180"/>
      <c r="N1849" s="180" t="s">
        <v>978</v>
      </c>
      <c r="O1849" s="180"/>
      <c r="P1849" s="180"/>
      <c r="Q1849" s="180"/>
      <c r="R1849" s="180" t="s">
        <v>922</v>
      </c>
      <c r="S1849" s="180" t="s">
        <v>923</v>
      </c>
      <c r="T1849" s="183">
        <f t="shared" si="45"/>
        <v>3</v>
      </c>
      <c r="U1849" s="184">
        <f t="shared" si="41"/>
        <v>45733</v>
      </c>
      <c r="V1849" s="184"/>
      <c r="W1849" s="43">
        <f t="shared" si="43"/>
        <v>3</v>
      </c>
      <c r="X1849" s="43" t="s">
        <v>1552</v>
      </c>
      <c r="Y1849" s="43" t="s">
        <v>86</v>
      </c>
      <c r="Z1849" s="43"/>
      <c r="AA1849" s="183"/>
      <c r="AB1849" s="183"/>
    </row>
    <row r="1850" spans="1:28" hidden="1">
      <c r="A1850" s="163" t="s">
        <v>1017</v>
      </c>
      <c r="B1850" s="164">
        <v>45733</v>
      </c>
      <c r="C1850" s="163" t="s">
        <v>992</v>
      </c>
      <c r="D1850" s="163" t="s">
        <v>281</v>
      </c>
      <c r="E1850" s="163" t="s">
        <v>993</v>
      </c>
      <c r="F1850" s="226">
        <v>-1737.53</v>
      </c>
      <c r="G1850" s="165">
        <f t="shared" si="44"/>
        <v>21380.871000000003</v>
      </c>
      <c r="H1850" s="163"/>
      <c r="I1850" s="163" t="s">
        <v>994</v>
      </c>
      <c r="J1850" s="163"/>
      <c r="K1850" s="163"/>
      <c r="L1850" s="163" t="s">
        <v>1715</v>
      </c>
      <c r="M1850" s="163"/>
      <c r="N1850" s="163" t="s">
        <v>978</v>
      </c>
      <c r="O1850" s="163"/>
      <c r="P1850" s="163"/>
      <c r="Q1850" s="163"/>
      <c r="R1850" s="163" t="s">
        <v>996</v>
      </c>
      <c r="S1850" s="163" t="s">
        <v>997</v>
      </c>
      <c r="T1850" s="43">
        <f t="shared" si="45"/>
        <v>3</v>
      </c>
      <c r="U1850" s="167">
        <f t="shared" si="41"/>
        <v>45733</v>
      </c>
      <c r="W1850" s="43">
        <f t="shared" si="43"/>
        <v>3</v>
      </c>
      <c r="X1850" s="49" t="s">
        <v>1559</v>
      </c>
      <c r="Y1850" s="49" t="s">
        <v>78</v>
      </c>
    </row>
    <row r="1851" spans="1:28" hidden="1">
      <c r="A1851" s="163" t="s">
        <v>1017</v>
      </c>
      <c r="B1851" s="164">
        <v>45733</v>
      </c>
      <c r="C1851" s="190" t="s">
        <v>330</v>
      </c>
      <c r="D1851" s="190" t="s">
        <v>281</v>
      </c>
      <c r="E1851" s="190" t="s">
        <v>330</v>
      </c>
      <c r="F1851" s="185">
        <f>-1.99*7-1.5</f>
        <v>-15.43</v>
      </c>
      <c r="G1851" s="165">
        <f t="shared" si="44"/>
        <v>21365.441000000003</v>
      </c>
      <c r="H1851" s="190"/>
      <c r="I1851" s="190" t="s">
        <v>342</v>
      </c>
      <c r="J1851" s="190"/>
      <c r="K1851" s="190"/>
      <c r="L1851" s="190" t="s">
        <v>805</v>
      </c>
      <c r="M1851" s="190"/>
      <c r="N1851" s="190" t="s">
        <v>978</v>
      </c>
      <c r="O1851" s="190"/>
      <c r="P1851" s="190"/>
      <c r="Q1851" s="190"/>
      <c r="R1851" s="190" t="s">
        <v>1292</v>
      </c>
      <c r="S1851" s="190" t="s">
        <v>1417</v>
      </c>
      <c r="T1851" s="43">
        <f t="shared" si="45"/>
        <v>3</v>
      </c>
      <c r="U1851" s="167">
        <f t="shared" si="41"/>
        <v>45733</v>
      </c>
      <c r="V1851" s="43"/>
      <c r="W1851" s="43">
        <f t="shared" si="43"/>
        <v>3</v>
      </c>
      <c r="X1851" s="43" t="s">
        <v>1483</v>
      </c>
      <c r="Y1851" s="43" t="s">
        <v>1443</v>
      </c>
      <c r="Z1851" s="43"/>
      <c r="AA1851" s="43"/>
    </row>
    <row r="1852" spans="1:28" hidden="1">
      <c r="A1852" s="163"/>
      <c r="B1852" s="164">
        <v>45733</v>
      </c>
      <c r="C1852" s="163" t="s">
        <v>346</v>
      </c>
      <c r="D1852" s="163"/>
      <c r="E1852" s="163"/>
      <c r="F1852" s="165">
        <v>0</v>
      </c>
      <c r="G1852" s="165">
        <f t="shared" si="44"/>
        <v>21365.441000000003</v>
      </c>
      <c r="H1852" s="163"/>
      <c r="I1852" s="163"/>
      <c r="J1852" s="163"/>
      <c r="K1852" s="163"/>
      <c r="L1852" s="163"/>
      <c r="M1852" s="163"/>
      <c r="N1852" s="163"/>
      <c r="O1852" s="163"/>
      <c r="P1852" s="163"/>
      <c r="Q1852" s="163"/>
      <c r="R1852" s="163"/>
      <c r="S1852" s="163"/>
      <c r="T1852" s="43">
        <f t="shared" si="45"/>
        <v>3</v>
      </c>
      <c r="U1852" s="167">
        <f t="shared" si="41"/>
        <v>45733</v>
      </c>
      <c r="W1852" s="43">
        <f t="shared" si="43"/>
        <v>3</v>
      </c>
    </row>
    <row r="1853" spans="1:28" hidden="1">
      <c r="A1853" s="180" t="s">
        <v>1174</v>
      </c>
      <c r="B1853" s="181">
        <v>45733</v>
      </c>
      <c r="C1853" s="180" t="s">
        <v>1676</v>
      </c>
      <c r="D1853" s="180" t="s">
        <v>281</v>
      </c>
      <c r="E1853" s="180" t="s">
        <v>407</v>
      </c>
      <c r="F1853" s="197">
        <v>3999</v>
      </c>
      <c r="G1853" s="165">
        <f t="shared" si="44"/>
        <v>25364.441000000003</v>
      </c>
      <c r="H1853" s="180"/>
      <c r="I1853" s="180" t="s">
        <v>1176</v>
      </c>
      <c r="J1853" s="180" t="s">
        <v>1364</v>
      </c>
      <c r="K1853" s="180"/>
      <c r="L1853" s="180" t="s">
        <v>305</v>
      </c>
      <c r="M1853" s="180"/>
      <c r="N1853" s="180" t="s">
        <v>1178</v>
      </c>
      <c r="O1853" s="180" t="s">
        <v>1364</v>
      </c>
      <c r="P1853" s="180" t="s">
        <v>957</v>
      </c>
      <c r="Q1853" s="180"/>
      <c r="R1853" s="180" t="s">
        <v>958</v>
      </c>
      <c r="S1853" s="180" t="s">
        <v>959</v>
      </c>
      <c r="T1853" s="183">
        <f t="shared" si="45"/>
        <v>3</v>
      </c>
      <c r="U1853" s="184">
        <f t="shared" si="41"/>
        <v>45734</v>
      </c>
      <c r="V1853" s="145">
        <v>45734</v>
      </c>
      <c r="W1853" s="43">
        <f t="shared" si="43"/>
        <v>3</v>
      </c>
      <c r="X1853" s="43" t="s">
        <v>1484</v>
      </c>
      <c r="Y1853" s="43" t="s">
        <v>1485</v>
      </c>
      <c r="Z1853" s="183"/>
      <c r="AA1853" s="183"/>
      <c r="AB1853" s="183"/>
    </row>
    <row r="1854" spans="1:28" ht="14.25" hidden="1" customHeight="1">
      <c r="A1854" s="180" t="s">
        <v>1017</v>
      </c>
      <c r="B1854" s="181">
        <v>45708</v>
      </c>
      <c r="C1854" s="180" t="s">
        <v>1739</v>
      </c>
      <c r="D1854" s="180" t="s">
        <v>281</v>
      </c>
      <c r="E1854" s="180" t="s">
        <v>1566</v>
      </c>
      <c r="F1854" s="169">
        <v>-4450</v>
      </c>
      <c r="G1854" s="165">
        <f t="shared" si="44"/>
        <v>20914.441000000003</v>
      </c>
      <c r="H1854" s="180"/>
      <c r="I1854" s="180" t="s">
        <v>283</v>
      </c>
      <c r="J1854" s="180"/>
      <c r="K1854" s="180"/>
      <c r="L1854" s="180" t="s">
        <v>305</v>
      </c>
      <c r="M1854" s="180"/>
      <c r="N1854" s="180" t="s">
        <v>978</v>
      </c>
      <c r="O1854" s="180"/>
      <c r="P1854" s="180"/>
      <c r="Q1854" s="180" t="s">
        <v>1067</v>
      </c>
      <c r="R1854" s="180" t="s">
        <v>1087</v>
      </c>
      <c r="S1854" s="180" t="s">
        <v>1089</v>
      </c>
      <c r="T1854" s="189">
        <f t="shared" si="45"/>
        <v>2</v>
      </c>
      <c r="U1854" s="211">
        <f t="shared" si="41"/>
        <v>45734</v>
      </c>
      <c r="V1854" s="145">
        <v>45734</v>
      </c>
      <c r="W1854" s="43">
        <f t="shared" si="43"/>
        <v>3</v>
      </c>
      <c r="X1854" s="183" t="s">
        <v>1566</v>
      </c>
      <c r="Y1854" s="183" t="s">
        <v>25</v>
      </c>
      <c r="Z1854" s="183" t="s">
        <v>1113</v>
      </c>
      <c r="AA1854" s="183" t="s">
        <v>1336</v>
      </c>
      <c r="AB1854" s="183"/>
    </row>
    <row r="1855" spans="1:28" hidden="1">
      <c r="A1855" s="163" t="s">
        <v>1017</v>
      </c>
      <c r="B1855" s="164">
        <v>45734</v>
      </c>
      <c r="C1855" s="163" t="s">
        <v>987</v>
      </c>
      <c r="D1855" s="163" t="s">
        <v>281</v>
      </c>
      <c r="E1855" s="163" t="s">
        <v>986</v>
      </c>
      <c r="F1855" s="168"/>
      <c r="G1855" s="165">
        <f t="shared" si="44"/>
        <v>20914.441000000003</v>
      </c>
      <c r="H1855" s="163"/>
      <c r="I1855" s="163" t="s">
        <v>283</v>
      </c>
      <c r="J1855" s="163"/>
      <c r="K1855" s="163"/>
      <c r="L1855" s="163" t="s">
        <v>686</v>
      </c>
      <c r="M1855" s="163"/>
      <c r="N1855" s="163" t="s">
        <v>978</v>
      </c>
      <c r="O1855" s="163"/>
      <c r="P1855" s="163"/>
      <c r="Q1855" s="163"/>
      <c r="R1855" s="163" t="s">
        <v>987</v>
      </c>
      <c r="S1855" s="163" t="s">
        <v>988</v>
      </c>
      <c r="T1855" s="43">
        <f t="shared" si="45"/>
        <v>3</v>
      </c>
      <c r="U1855" s="167">
        <f t="shared" si="41"/>
        <v>45734</v>
      </c>
      <c r="W1855" s="43">
        <f t="shared" si="43"/>
        <v>3</v>
      </c>
      <c r="X1855" s="43" t="s">
        <v>196</v>
      </c>
      <c r="Y1855" s="43" t="s">
        <v>1443</v>
      </c>
    </row>
    <row r="1856" spans="1:28" hidden="1">
      <c r="A1856" s="180" t="s">
        <v>1017</v>
      </c>
      <c r="B1856" s="181">
        <v>45726</v>
      </c>
      <c r="C1856" s="180" t="s">
        <v>1561</v>
      </c>
      <c r="D1856" s="180" t="s">
        <v>281</v>
      </c>
      <c r="E1856" s="180" t="s">
        <v>301</v>
      </c>
      <c r="F1856" s="169">
        <v>-10000</v>
      </c>
      <c r="G1856" s="165">
        <f t="shared" si="44"/>
        <v>10914.441000000003</v>
      </c>
      <c r="H1856" s="180"/>
      <c r="I1856" s="180" t="s">
        <v>283</v>
      </c>
      <c r="J1856" s="180"/>
      <c r="K1856" s="180"/>
      <c r="L1856" s="180" t="s">
        <v>1424</v>
      </c>
      <c r="M1856" s="180"/>
      <c r="N1856" s="180" t="s">
        <v>978</v>
      </c>
      <c r="O1856" s="180"/>
      <c r="P1856" s="180"/>
      <c r="Q1856" s="180"/>
      <c r="R1856" s="180" t="s">
        <v>466</v>
      </c>
      <c r="S1856" s="180" t="s">
        <v>468</v>
      </c>
      <c r="T1856" s="183">
        <f t="shared" si="45"/>
        <v>3</v>
      </c>
      <c r="U1856" s="184">
        <f t="shared" ref="U1856:U2110" si="46">IF(V1856="",B1856,V1856)</f>
        <v>45734</v>
      </c>
      <c r="V1856" s="145">
        <v>45734</v>
      </c>
      <c r="W1856" s="43">
        <f t="shared" si="43"/>
        <v>3</v>
      </c>
      <c r="X1856" s="49" t="s">
        <v>1526</v>
      </c>
      <c r="Y1856" s="49" t="s">
        <v>26</v>
      </c>
      <c r="Z1856" s="183"/>
      <c r="AA1856" s="183"/>
      <c r="AB1856" s="183"/>
    </row>
    <row r="1857" spans="1:28" hidden="1">
      <c r="A1857" s="180" t="s">
        <v>1017</v>
      </c>
      <c r="B1857" s="181">
        <v>45734</v>
      </c>
      <c r="C1857" s="180" t="s">
        <v>844</v>
      </c>
      <c r="D1857" s="180" t="s">
        <v>281</v>
      </c>
      <c r="E1857" s="180" t="s">
        <v>120</v>
      </c>
      <c r="F1857" s="169">
        <v>-288</v>
      </c>
      <c r="G1857" s="165">
        <f t="shared" si="44"/>
        <v>10626.441000000003</v>
      </c>
      <c r="H1857" s="180"/>
      <c r="I1857" s="180" t="s">
        <v>342</v>
      </c>
      <c r="J1857" s="180"/>
      <c r="K1857" s="180"/>
      <c r="L1857" s="180" t="s">
        <v>1571</v>
      </c>
      <c r="M1857" s="180"/>
      <c r="N1857" s="180" t="s">
        <v>978</v>
      </c>
      <c r="O1857" s="180"/>
      <c r="P1857" s="180"/>
      <c r="Q1857" s="180"/>
      <c r="R1857" s="180" t="s">
        <v>846</v>
      </c>
      <c r="S1857" s="180" t="s">
        <v>847</v>
      </c>
      <c r="T1857" s="183">
        <f t="shared" si="45"/>
        <v>3</v>
      </c>
      <c r="U1857" s="184">
        <f t="shared" si="46"/>
        <v>45734</v>
      </c>
      <c r="V1857" s="183"/>
      <c r="W1857" s="43">
        <f t="shared" si="43"/>
        <v>3</v>
      </c>
      <c r="X1857" s="206" t="s">
        <v>1498</v>
      </c>
      <c r="Y1857" s="206" t="s">
        <v>1336</v>
      </c>
      <c r="Z1857" s="183"/>
      <c r="AA1857" s="183"/>
      <c r="AB1857" s="183"/>
    </row>
    <row r="1858" spans="1:28" hidden="1">
      <c r="A1858" s="163" t="s">
        <v>1017</v>
      </c>
      <c r="B1858" s="164">
        <v>45734</v>
      </c>
      <c r="C1858" s="190" t="s">
        <v>330</v>
      </c>
      <c r="D1858" s="190" t="s">
        <v>281</v>
      </c>
      <c r="E1858" s="190" t="s">
        <v>330</v>
      </c>
      <c r="F1858" s="185">
        <f>-1.99-1.5</f>
        <v>-3.49</v>
      </c>
      <c r="G1858" s="165">
        <f t="shared" si="44"/>
        <v>10622.951000000003</v>
      </c>
      <c r="H1858" s="190"/>
      <c r="I1858" s="190" t="s">
        <v>342</v>
      </c>
      <c r="J1858" s="190"/>
      <c r="K1858" s="190"/>
      <c r="L1858" s="190" t="s">
        <v>805</v>
      </c>
      <c r="M1858" s="190"/>
      <c r="N1858" s="190" t="s">
        <v>978</v>
      </c>
      <c r="O1858" s="190"/>
      <c r="P1858" s="190"/>
      <c r="Q1858" s="190"/>
      <c r="R1858" s="190" t="s">
        <v>1292</v>
      </c>
      <c r="S1858" s="190" t="s">
        <v>1417</v>
      </c>
      <c r="T1858" s="43">
        <f t="shared" si="45"/>
        <v>3</v>
      </c>
      <c r="U1858" s="167">
        <f t="shared" si="46"/>
        <v>45734</v>
      </c>
      <c r="V1858" s="43"/>
      <c r="W1858" s="43">
        <f t="shared" si="43"/>
        <v>3</v>
      </c>
      <c r="X1858" s="43" t="s">
        <v>1483</v>
      </c>
      <c r="Y1858" s="43" t="s">
        <v>1443</v>
      </c>
      <c r="Z1858" s="43"/>
      <c r="AA1858" s="43"/>
    </row>
    <row r="1859" spans="1:28" hidden="1">
      <c r="A1859" s="180" t="s">
        <v>1017</v>
      </c>
      <c r="B1859" s="181">
        <v>45734</v>
      </c>
      <c r="C1859" s="180" t="s">
        <v>549</v>
      </c>
      <c r="D1859" s="180" t="s">
        <v>281</v>
      </c>
      <c r="E1859" s="180" t="s">
        <v>121</v>
      </c>
      <c r="F1859" s="169">
        <v>-115</v>
      </c>
      <c r="G1859" s="165">
        <f t="shared" si="44"/>
        <v>10507.951000000003</v>
      </c>
      <c r="H1859" s="180"/>
      <c r="I1859" s="180" t="s">
        <v>283</v>
      </c>
      <c r="J1859" s="180"/>
      <c r="K1859" s="180"/>
      <c r="L1859" s="180" t="s">
        <v>485</v>
      </c>
      <c r="M1859" s="180"/>
      <c r="N1859" s="180" t="s">
        <v>978</v>
      </c>
      <c r="O1859" s="180"/>
      <c r="P1859" s="180"/>
      <c r="Q1859" s="180"/>
      <c r="R1859" s="180" t="s">
        <v>1527</v>
      </c>
      <c r="S1859" s="180"/>
      <c r="T1859" s="183">
        <f t="shared" si="45"/>
        <v>3</v>
      </c>
      <c r="U1859" s="184">
        <f t="shared" si="46"/>
        <v>45734</v>
      </c>
      <c r="V1859" s="184"/>
      <c r="W1859" s="43">
        <f t="shared" si="43"/>
        <v>3</v>
      </c>
      <c r="X1859" s="206" t="s">
        <v>1498</v>
      </c>
      <c r="Y1859" s="183" t="s">
        <v>1336</v>
      </c>
      <c r="Z1859" s="183"/>
      <c r="AA1859" s="183"/>
      <c r="AB1859" s="183"/>
    </row>
    <row r="1860" spans="1:28" hidden="1">
      <c r="A1860" s="163"/>
      <c r="B1860" s="164">
        <v>45734</v>
      </c>
      <c r="C1860" s="163" t="s">
        <v>346</v>
      </c>
      <c r="D1860" s="163"/>
      <c r="E1860" s="163"/>
      <c r="F1860" s="165">
        <v>0</v>
      </c>
      <c r="G1860" s="165">
        <f t="shared" si="44"/>
        <v>10507.951000000003</v>
      </c>
      <c r="H1860" s="163"/>
      <c r="I1860" s="163"/>
      <c r="J1860" s="163"/>
      <c r="K1860" s="163"/>
      <c r="L1860" s="163"/>
      <c r="M1860" s="163"/>
      <c r="N1860" s="163"/>
      <c r="O1860" s="163"/>
      <c r="P1860" s="163"/>
      <c r="Q1860" s="163"/>
      <c r="R1860" s="163"/>
      <c r="S1860" s="163"/>
      <c r="T1860" s="43">
        <f t="shared" si="45"/>
        <v>3</v>
      </c>
      <c r="U1860" s="167">
        <f t="shared" si="46"/>
        <v>45734</v>
      </c>
      <c r="W1860" s="43">
        <f t="shared" si="43"/>
        <v>3</v>
      </c>
    </row>
    <row r="1861" spans="1:28" hidden="1">
      <c r="A1861" s="163" t="s">
        <v>1174</v>
      </c>
      <c r="B1861" s="164">
        <v>45736</v>
      </c>
      <c r="C1861" s="163" t="s">
        <v>1018</v>
      </c>
      <c r="D1861" s="163" t="s">
        <v>281</v>
      </c>
      <c r="E1861" s="163" t="s">
        <v>407</v>
      </c>
      <c r="F1861" s="165">
        <v>4199</v>
      </c>
      <c r="G1861" s="165">
        <f t="shared" si="44"/>
        <v>14706.951000000003</v>
      </c>
      <c r="H1861" s="163"/>
      <c r="I1861" s="163" t="s">
        <v>1176</v>
      </c>
      <c r="J1861" s="163" t="s">
        <v>1420</v>
      </c>
      <c r="K1861" s="163"/>
      <c r="L1861" s="163" t="s">
        <v>305</v>
      </c>
      <c r="M1861" s="163"/>
      <c r="N1861" s="163" t="s">
        <v>1178</v>
      </c>
      <c r="O1861" s="163" t="s">
        <v>1420</v>
      </c>
      <c r="P1861" s="163" t="s">
        <v>1023</v>
      </c>
      <c r="Q1861" s="163"/>
      <c r="R1861" s="163" t="s">
        <v>1024</v>
      </c>
      <c r="S1861" s="163" t="s">
        <v>1025</v>
      </c>
      <c r="T1861" s="43">
        <f t="shared" si="45"/>
        <v>3</v>
      </c>
      <c r="U1861" s="167">
        <f t="shared" si="46"/>
        <v>45735</v>
      </c>
      <c r="V1861" s="145">
        <v>45735</v>
      </c>
      <c r="W1861" s="43">
        <f t="shared" si="43"/>
        <v>3</v>
      </c>
      <c r="X1861" s="43" t="s">
        <v>1484</v>
      </c>
      <c r="Y1861" s="43" t="s">
        <v>1485</v>
      </c>
    </row>
    <row r="1862" spans="1:28" hidden="1">
      <c r="A1862" s="163" t="s">
        <v>1174</v>
      </c>
      <c r="B1862" s="164">
        <v>45735</v>
      </c>
      <c r="C1862" s="163" t="s">
        <v>1740</v>
      </c>
      <c r="D1862" s="163" t="s">
        <v>281</v>
      </c>
      <c r="E1862" s="163" t="s">
        <v>407</v>
      </c>
      <c r="F1862" s="165">
        <v>0.01</v>
      </c>
      <c r="G1862" s="165">
        <f t="shared" si="44"/>
        <v>14706.961000000003</v>
      </c>
      <c r="H1862" s="163"/>
      <c r="I1862" s="163" t="s">
        <v>1176</v>
      </c>
      <c r="J1862" s="163" t="s">
        <v>1420</v>
      </c>
      <c r="K1862" s="163"/>
      <c r="L1862" s="163" t="s">
        <v>305</v>
      </c>
      <c r="M1862" s="163"/>
      <c r="N1862" s="163" t="s">
        <v>1178</v>
      </c>
      <c r="O1862" s="163" t="s">
        <v>1420</v>
      </c>
      <c r="P1862" s="163" t="s">
        <v>1023</v>
      </c>
      <c r="Q1862" s="163"/>
      <c r="R1862" s="163" t="s">
        <v>1024</v>
      </c>
      <c r="S1862" s="163" t="s">
        <v>1025</v>
      </c>
      <c r="T1862" s="43">
        <f t="shared" si="45"/>
        <v>3</v>
      </c>
      <c r="U1862" s="167">
        <f t="shared" si="46"/>
        <v>45735</v>
      </c>
      <c r="W1862" s="43">
        <f t="shared" si="43"/>
        <v>3</v>
      </c>
      <c r="X1862" s="43" t="s">
        <v>1484</v>
      </c>
      <c r="Y1862" s="43" t="s">
        <v>1485</v>
      </c>
    </row>
    <row r="1863" spans="1:28" ht="14.25" hidden="1" customHeight="1">
      <c r="A1863" s="180" t="s">
        <v>1017</v>
      </c>
      <c r="B1863" s="181">
        <v>45734</v>
      </c>
      <c r="C1863" s="180" t="s">
        <v>1070</v>
      </c>
      <c r="D1863" s="180" t="s">
        <v>281</v>
      </c>
      <c r="E1863" s="180" t="s">
        <v>356</v>
      </c>
      <c r="F1863" s="169">
        <f>-3800+2500+1001.86</f>
        <v>-298.14</v>
      </c>
      <c r="G1863" s="165">
        <f t="shared" si="44"/>
        <v>14408.821000000004</v>
      </c>
      <c r="H1863" s="180"/>
      <c r="I1863" s="180" t="s">
        <v>283</v>
      </c>
      <c r="J1863" s="180"/>
      <c r="K1863" s="180"/>
      <c r="L1863" s="180" t="s">
        <v>305</v>
      </c>
      <c r="M1863" s="180"/>
      <c r="N1863" s="180" t="s">
        <v>978</v>
      </c>
      <c r="O1863" s="180"/>
      <c r="P1863" s="180"/>
      <c r="Q1863" s="180" t="s">
        <v>1067</v>
      </c>
      <c r="R1863" s="180" t="s">
        <v>1087</v>
      </c>
      <c r="S1863" s="180" t="s">
        <v>1089</v>
      </c>
      <c r="T1863" s="189">
        <f t="shared" si="45"/>
        <v>3</v>
      </c>
      <c r="U1863" s="211">
        <f t="shared" si="46"/>
        <v>45735</v>
      </c>
      <c r="V1863" s="145">
        <v>45735</v>
      </c>
      <c r="W1863" s="43">
        <f t="shared" si="43"/>
        <v>3</v>
      </c>
      <c r="X1863" s="183" t="s">
        <v>1689</v>
      </c>
      <c r="Y1863" s="183" t="s">
        <v>25</v>
      </c>
      <c r="Z1863" s="183" t="s">
        <v>1113</v>
      </c>
      <c r="AA1863" s="183" t="s">
        <v>1336</v>
      </c>
      <c r="AB1863" s="183"/>
    </row>
    <row r="1864" spans="1:28" hidden="1">
      <c r="A1864" s="180" t="s">
        <v>1017</v>
      </c>
      <c r="B1864" s="181">
        <v>45733</v>
      </c>
      <c r="C1864" s="180" t="s">
        <v>1010</v>
      </c>
      <c r="D1864" s="180" t="s">
        <v>281</v>
      </c>
      <c r="E1864" s="180" t="s">
        <v>199</v>
      </c>
      <c r="F1864" s="169">
        <v>-2500</v>
      </c>
      <c r="G1864" s="165">
        <f t="shared" si="44"/>
        <v>11908.821000000004</v>
      </c>
      <c r="H1864" s="180"/>
      <c r="I1864" s="180" t="s">
        <v>283</v>
      </c>
      <c r="J1864" s="180"/>
      <c r="K1864" s="180"/>
      <c r="L1864" s="180" t="s">
        <v>485</v>
      </c>
      <c r="M1864" s="180"/>
      <c r="N1864" s="180" t="s">
        <v>978</v>
      </c>
      <c r="O1864" s="180"/>
      <c r="P1864" s="180"/>
      <c r="Q1864" s="180"/>
      <c r="R1864" s="180" t="s">
        <v>669</v>
      </c>
      <c r="S1864" s="180" t="s">
        <v>1492</v>
      </c>
      <c r="T1864" s="183">
        <f t="shared" si="45"/>
        <v>3</v>
      </c>
      <c r="U1864" s="184">
        <f t="shared" si="46"/>
        <v>45735</v>
      </c>
      <c r="V1864" s="145">
        <v>45735</v>
      </c>
      <c r="W1864" s="43">
        <f t="shared" si="43"/>
        <v>3</v>
      </c>
      <c r="X1864" s="206" t="s">
        <v>1478</v>
      </c>
      <c r="Y1864" s="206" t="s">
        <v>26</v>
      </c>
      <c r="Z1864" s="183"/>
      <c r="AA1864" s="183"/>
      <c r="AB1864" s="183"/>
    </row>
    <row r="1865" spans="1:28" ht="14.25" hidden="1" customHeight="1">
      <c r="A1865" s="180" t="s">
        <v>1017</v>
      </c>
      <c r="B1865" s="181">
        <v>45734</v>
      </c>
      <c r="C1865" s="180" t="s">
        <v>1741</v>
      </c>
      <c r="D1865" s="180" t="s">
        <v>281</v>
      </c>
      <c r="E1865" s="180" t="s">
        <v>1742</v>
      </c>
      <c r="F1865" s="169">
        <v>-1001.86</v>
      </c>
      <c r="G1865" s="165">
        <f t="shared" si="44"/>
        <v>10906.961000000003</v>
      </c>
      <c r="H1865" s="180"/>
      <c r="I1865" s="180" t="s">
        <v>283</v>
      </c>
      <c r="J1865" s="180"/>
      <c r="K1865" s="180"/>
      <c r="L1865" s="180" t="s">
        <v>305</v>
      </c>
      <c r="M1865" s="180"/>
      <c r="N1865" s="180" t="s">
        <v>978</v>
      </c>
      <c r="O1865" s="180"/>
      <c r="P1865" s="180"/>
      <c r="Q1865" s="180" t="s">
        <v>1067</v>
      </c>
      <c r="R1865" s="180" t="s">
        <v>1087</v>
      </c>
      <c r="S1865" s="180" t="s">
        <v>1089</v>
      </c>
      <c r="T1865" s="189">
        <f t="shared" si="45"/>
        <v>3</v>
      </c>
      <c r="U1865" s="211">
        <f t="shared" si="46"/>
        <v>45735</v>
      </c>
      <c r="V1865" s="145">
        <v>45735</v>
      </c>
      <c r="W1865" s="43">
        <f t="shared" si="43"/>
        <v>3</v>
      </c>
      <c r="X1865" s="183" t="s">
        <v>1689</v>
      </c>
      <c r="Y1865" s="183" t="s">
        <v>25</v>
      </c>
      <c r="Z1865" s="183" t="s">
        <v>1113</v>
      </c>
      <c r="AA1865" s="183" t="s">
        <v>1336</v>
      </c>
      <c r="AB1865" s="183"/>
    </row>
    <row r="1866" spans="1:28" hidden="1">
      <c r="A1866" s="180" t="s">
        <v>1017</v>
      </c>
      <c r="B1866" s="181">
        <v>45735</v>
      </c>
      <c r="C1866" s="180" t="s">
        <v>1008</v>
      </c>
      <c r="D1866" s="180" t="s">
        <v>281</v>
      </c>
      <c r="E1866" s="180" t="s">
        <v>199</v>
      </c>
      <c r="F1866" s="169">
        <v>-2000</v>
      </c>
      <c r="G1866" s="165">
        <f t="shared" si="44"/>
        <v>8906.961000000003</v>
      </c>
      <c r="H1866" s="180"/>
      <c r="I1866" s="180" t="s">
        <v>283</v>
      </c>
      <c r="J1866" s="180"/>
      <c r="K1866" s="180"/>
      <c r="L1866" s="180" t="s">
        <v>485</v>
      </c>
      <c r="M1866" s="180"/>
      <c r="N1866" s="180" t="s">
        <v>978</v>
      </c>
      <c r="O1866" s="180"/>
      <c r="P1866" s="180"/>
      <c r="Q1866" s="180"/>
      <c r="R1866" s="180" t="s">
        <v>669</v>
      </c>
      <c r="S1866" s="180" t="s">
        <v>1492</v>
      </c>
      <c r="T1866" s="183">
        <f t="shared" si="45"/>
        <v>3</v>
      </c>
      <c r="U1866" s="184">
        <f t="shared" si="46"/>
        <v>45735</v>
      </c>
      <c r="V1866" s="183"/>
      <c r="W1866" s="43">
        <f t="shared" si="43"/>
        <v>3</v>
      </c>
      <c r="X1866" s="206" t="s">
        <v>1478</v>
      </c>
      <c r="Y1866" s="206" t="s">
        <v>26</v>
      </c>
      <c r="Z1866" s="183"/>
      <c r="AA1866" s="183"/>
      <c r="AB1866" s="183"/>
    </row>
    <row r="1867" spans="1:28" hidden="1">
      <c r="A1867" s="163" t="s">
        <v>1017</v>
      </c>
      <c r="B1867" s="164">
        <v>45716</v>
      </c>
      <c r="C1867" s="163" t="s">
        <v>989</v>
      </c>
      <c r="D1867" s="163" t="s">
        <v>281</v>
      </c>
      <c r="E1867" s="163" t="s">
        <v>199</v>
      </c>
      <c r="F1867" s="168">
        <v>-3000</v>
      </c>
      <c r="G1867" s="165">
        <f t="shared" si="44"/>
        <v>5906.961000000003</v>
      </c>
      <c r="H1867" s="163"/>
      <c r="I1867" s="163" t="s">
        <v>977</v>
      </c>
      <c r="J1867" s="163"/>
      <c r="K1867" s="163"/>
      <c r="L1867" s="163" t="s">
        <v>1571</v>
      </c>
      <c r="M1867" s="163"/>
      <c r="N1867" s="163" t="s">
        <v>978</v>
      </c>
      <c r="O1867" s="163"/>
      <c r="P1867" s="163"/>
      <c r="Q1867" s="163"/>
      <c r="R1867" s="163" t="s">
        <v>990</v>
      </c>
      <c r="S1867" s="163" t="s">
        <v>991</v>
      </c>
      <c r="T1867" s="43">
        <f t="shared" si="45"/>
        <v>2</v>
      </c>
      <c r="U1867" s="167">
        <f t="shared" si="46"/>
        <v>45735</v>
      </c>
      <c r="V1867" s="145">
        <v>45735</v>
      </c>
      <c r="W1867" s="43">
        <f t="shared" si="43"/>
        <v>3</v>
      </c>
      <c r="X1867" s="43" t="s">
        <v>1480</v>
      </c>
      <c r="Y1867" s="43" t="s">
        <v>86</v>
      </c>
    </row>
    <row r="1868" spans="1:28" ht="14.25" hidden="1" customHeight="1">
      <c r="A1868" s="180" t="s">
        <v>1017</v>
      </c>
      <c r="B1868" s="181">
        <v>45735</v>
      </c>
      <c r="C1868" s="180" t="s">
        <v>1103</v>
      </c>
      <c r="D1868" s="180" t="s">
        <v>281</v>
      </c>
      <c r="E1868" s="180" t="s">
        <v>356</v>
      </c>
      <c r="F1868" s="169">
        <v>-939.5</v>
      </c>
      <c r="G1868" s="165">
        <f t="shared" si="44"/>
        <v>4967.461000000003</v>
      </c>
      <c r="H1868" s="180"/>
      <c r="I1868" s="180" t="s">
        <v>283</v>
      </c>
      <c r="J1868" s="180"/>
      <c r="K1868" s="180"/>
      <c r="L1868" s="180" t="s">
        <v>305</v>
      </c>
      <c r="M1868" s="180"/>
      <c r="N1868" s="180" t="s">
        <v>978</v>
      </c>
      <c r="O1868" s="180"/>
      <c r="P1868" s="180"/>
      <c r="Q1868" s="180" t="s">
        <v>1067</v>
      </c>
      <c r="R1868" s="180" t="s">
        <v>1087</v>
      </c>
      <c r="S1868" s="180" t="s">
        <v>1089</v>
      </c>
      <c r="T1868" s="189">
        <f t="shared" si="45"/>
        <v>3</v>
      </c>
      <c r="U1868" s="211">
        <f t="shared" si="46"/>
        <v>45735</v>
      </c>
      <c r="V1868" s="183"/>
      <c r="W1868" s="43">
        <f t="shared" si="43"/>
        <v>3</v>
      </c>
      <c r="X1868" s="183" t="s">
        <v>1689</v>
      </c>
      <c r="Y1868" s="183" t="s">
        <v>25</v>
      </c>
      <c r="Z1868" s="183" t="s">
        <v>1113</v>
      </c>
      <c r="AA1868" s="183" t="s">
        <v>1336</v>
      </c>
      <c r="AB1868" s="183"/>
    </row>
    <row r="1869" spans="1:28" hidden="1">
      <c r="A1869" s="163" t="s">
        <v>1017</v>
      </c>
      <c r="B1869" s="164">
        <v>45735</v>
      </c>
      <c r="C1869" s="190" t="s">
        <v>330</v>
      </c>
      <c r="D1869" s="190" t="s">
        <v>281</v>
      </c>
      <c r="E1869" s="190" t="s">
        <v>330</v>
      </c>
      <c r="F1869" s="185">
        <v>-1.5</v>
      </c>
      <c r="G1869" s="165">
        <f t="shared" si="44"/>
        <v>4965.961000000003</v>
      </c>
      <c r="H1869" s="190"/>
      <c r="I1869" s="190" t="s">
        <v>342</v>
      </c>
      <c r="J1869" s="190"/>
      <c r="K1869" s="190"/>
      <c r="L1869" s="190" t="s">
        <v>805</v>
      </c>
      <c r="M1869" s="190"/>
      <c r="N1869" s="190" t="s">
        <v>978</v>
      </c>
      <c r="O1869" s="190"/>
      <c r="P1869" s="190"/>
      <c r="Q1869" s="190"/>
      <c r="R1869" s="190" t="s">
        <v>1292</v>
      </c>
      <c r="S1869" s="190" t="s">
        <v>1417</v>
      </c>
      <c r="T1869" s="43">
        <f t="shared" si="45"/>
        <v>3</v>
      </c>
      <c r="U1869" s="167">
        <f t="shared" si="46"/>
        <v>45735</v>
      </c>
      <c r="V1869" s="43"/>
      <c r="W1869" s="43">
        <f t="shared" si="43"/>
        <v>3</v>
      </c>
      <c r="X1869" s="43" t="s">
        <v>1483</v>
      </c>
      <c r="Y1869" s="43" t="s">
        <v>1443</v>
      </c>
      <c r="Z1869" s="43"/>
      <c r="AA1869" s="43"/>
    </row>
    <row r="1870" spans="1:28" hidden="1">
      <c r="A1870" s="163"/>
      <c r="B1870" s="164">
        <v>45735</v>
      </c>
      <c r="C1870" s="163" t="s">
        <v>346</v>
      </c>
      <c r="D1870" s="163"/>
      <c r="E1870" s="163"/>
      <c r="F1870" s="165">
        <v>0</v>
      </c>
      <c r="G1870" s="165">
        <f t="shared" si="44"/>
        <v>4965.961000000003</v>
      </c>
      <c r="H1870" s="163"/>
      <c r="I1870" s="163"/>
      <c r="J1870" s="163"/>
      <c r="K1870" s="163"/>
      <c r="L1870" s="163"/>
      <c r="M1870" s="163"/>
      <c r="N1870" s="163"/>
      <c r="O1870" s="163"/>
      <c r="P1870" s="163"/>
      <c r="Q1870" s="163"/>
      <c r="R1870" s="163"/>
      <c r="S1870" s="163"/>
      <c r="T1870" s="43">
        <f t="shared" si="45"/>
        <v>3</v>
      </c>
      <c r="U1870" s="167">
        <f t="shared" si="46"/>
        <v>45735</v>
      </c>
      <c r="W1870" s="43">
        <f t="shared" si="43"/>
        <v>3</v>
      </c>
    </row>
    <row r="1871" spans="1:28" hidden="1">
      <c r="A1871" s="163" t="s">
        <v>1174</v>
      </c>
      <c r="B1871" s="164">
        <v>45736</v>
      </c>
      <c r="C1871" s="163" t="s">
        <v>1106</v>
      </c>
      <c r="D1871" s="163" t="s">
        <v>281</v>
      </c>
      <c r="E1871" s="163" t="s">
        <v>407</v>
      </c>
      <c r="F1871" s="165"/>
      <c r="G1871" s="165">
        <f t="shared" si="44"/>
        <v>4965.961000000003</v>
      </c>
      <c r="H1871" s="163"/>
      <c r="I1871" s="163" t="s">
        <v>1176</v>
      </c>
      <c r="J1871" s="163" t="s">
        <v>1435</v>
      </c>
      <c r="K1871" s="163"/>
      <c r="L1871" s="163" t="s">
        <v>305</v>
      </c>
      <c r="M1871" s="163"/>
      <c r="N1871" s="163" t="s">
        <v>1178</v>
      </c>
      <c r="O1871" s="163" t="s">
        <v>1435</v>
      </c>
      <c r="P1871" s="163" t="s">
        <v>57</v>
      </c>
      <c r="Q1871" s="163"/>
      <c r="R1871" s="163" t="s">
        <v>1111</v>
      </c>
      <c r="S1871" s="163" t="s">
        <v>1112</v>
      </c>
      <c r="T1871" s="43">
        <f t="shared" si="45"/>
        <v>3</v>
      </c>
      <c r="U1871" s="167">
        <f t="shared" si="46"/>
        <v>45736</v>
      </c>
      <c r="W1871" s="43">
        <f t="shared" si="43"/>
        <v>3</v>
      </c>
      <c r="X1871" s="43" t="s">
        <v>1484</v>
      </c>
      <c r="Y1871" s="43" t="s">
        <v>1485</v>
      </c>
    </row>
    <row r="1872" spans="1:28" hidden="1">
      <c r="A1872" s="163" t="s">
        <v>1174</v>
      </c>
      <c r="B1872" s="164">
        <v>45736</v>
      </c>
      <c r="C1872" s="163" t="s">
        <v>72</v>
      </c>
      <c r="D1872" s="163" t="s">
        <v>281</v>
      </c>
      <c r="E1872" s="163" t="s">
        <v>407</v>
      </c>
      <c r="F1872" s="165">
        <v>2950</v>
      </c>
      <c r="G1872" s="165">
        <f t="shared" si="44"/>
        <v>7915.961000000003</v>
      </c>
      <c r="H1872" s="163"/>
      <c r="I1872" s="163" t="s">
        <v>1176</v>
      </c>
      <c r="J1872" s="163" t="s">
        <v>1422</v>
      </c>
      <c r="K1872" s="163"/>
      <c r="L1872" s="163" t="s">
        <v>305</v>
      </c>
      <c r="M1872" s="163"/>
      <c r="N1872" s="163" t="s">
        <v>1178</v>
      </c>
      <c r="O1872" s="163" t="s">
        <v>1422</v>
      </c>
      <c r="P1872" s="163" t="s">
        <v>1023</v>
      </c>
      <c r="Q1872" s="163"/>
      <c r="R1872" s="163" t="s">
        <v>1051</v>
      </c>
      <c r="S1872" s="163" t="s">
        <v>1052</v>
      </c>
      <c r="T1872" s="43">
        <f t="shared" si="45"/>
        <v>3</v>
      </c>
      <c r="U1872" s="167">
        <f t="shared" si="46"/>
        <v>45736</v>
      </c>
      <c r="W1872" s="43">
        <f t="shared" si="43"/>
        <v>3</v>
      </c>
      <c r="X1872" s="43" t="s">
        <v>1484</v>
      </c>
      <c r="Y1872" s="43" t="s">
        <v>1485</v>
      </c>
    </row>
    <row r="1873" spans="1:28" hidden="1">
      <c r="A1873" s="163" t="s">
        <v>1174</v>
      </c>
      <c r="B1873" s="164">
        <v>45747</v>
      </c>
      <c r="C1873" s="163" t="s">
        <v>1592</v>
      </c>
      <c r="D1873" s="163" t="s">
        <v>281</v>
      </c>
      <c r="E1873" s="163" t="s">
        <v>407</v>
      </c>
      <c r="F1873" s="165">
        <v>1799</v>
      </c>
      <c r="G1873" s="165">
        <f t="shared" si="44"/>
        <v>9714.961000000003</v>
      </c>
      <c r="H1873" s="163"/>
      <c r="I1873" s="163" t="s">
        <v>1176</v>
      </c>
      <c r="J1873" s="163" t="s">
        <v>1585</v>
      </c>
      <c r="K1873" s="163"/>
      <c r="L1873" s="163" t="s">
        <v>305</v>
      </c>
      <c r="M1873" s="163"/>
      <c r="N1873" s="163" t="s">
        <v>1178</v>
      </c>
      <c r="O1873" s="163" t="s">
        <v>1585</v>
      </c>
      <c r="P1873" s="163" t="s">
        <v>1586</v>
      </c>
      <c r="Q1873" s="163"/>
      <c r="R1873" s="163" t="s">
        <v>1587</v>
      </c>
      <c r="S1873" s="163" t="s">
        <v>1588</v>
      </c>
      <c r="T1873" s="43">
        <f t="shared" si="45"/>
        <v>3</v>
      </c>
      <c r="U1873" s="167">
        <f t="shared" si="46"/>
        <v>45736</v>
      </c>
      <c r="V1873" s="272">
        <v>45736</v>
      </c>
      <c r="W1873" s="43">
        <f t="shared" si="43"/>
        <v>3</v>
      </c>
      <c r="X1873" s="43" t="s">
        <v>1484</v>
      </c>
      <c r="Y1873" s="43" t="s">
        <v>1485</v>
      </c>
    </row>
    <row r="1874" spans="1:28" ht="14.25" hidden="1" customHeight="1">
      <c r="A1874" s="180" t="s">
        <v>1017</v>
      </c>
      <c r="B1874" s="181">
        <v>45736</v>
      </c>
      <c r="C1874" s="180" t="s">
        <v>1743</v>
      </c>
      <c r="D1874" s="180" t="s">
        <v>281</v>
      </c>
      <c r="E1874" s="180" t="s">
        <v>1497</v>
      </c>
      <c r="F1874" s="195">
        <v>1670</v>
      </c>
      <c r="G1874" s="165">
        <f t="shared" si="44"/>
        <v>11384.961000000003</v>
      </c>
      <c r="H1874" s="180"/>
      <c r="I1874" s="180" t="s">
        <v>977</v>
      </c>
      <c r="J1874" s="180"/>
      <c r="K1874" s="180"/>
      <c r="L1874" s="180" t="s">
        <v>366</v>
      </c>
      <c r="M1874" s="180"/>
      <c r="N1874" s="180" t="s">
        <v>978</v>
      </c>
      <c r="O1874" s="180"/>
      <c r="P1874" s="180"/>
      <c r="Q1874" s="180"/>
      <c r="R1874" s="180" t="s">
        <v>990</v>
      </c>
      <c r="S1874" s="180" t="s">
        <v>991</v>
      </c>
      <c r="T1874" s="183">
        <f t="shared" si="45"/>
        <v>3</v>
      </c>
      <c r="U1874" s="184">
        <f t="shared" si="46"/>
        <v>45736</v>
      </c>
      <c r="V1874" s="272"/>
      <c r="W1874" s="43">
        <f t="shared" si="43"/>
        <v>3</v>
      </c>
      <c r="X1874" s="183" t="s">
        <v>282</v>
      </c>
      <c r="Y1874" s="183" t="s">
        <v>1443</v>
      </c>
      <c r="Z1874" s="183" t="s">
        <v>1113</v>
      </c>
      <c r="AA1874" s="183" t="s">
        <v>1113</v>
      </c>
      <c r="AB1874" s="183"/>
    </row>
    <row r="1875" spans="1:28" ht="14.25" hidden="1" customHeight="1">
      <c r="A1875" s="180" t="s">
        <v>1017</v>
      </c>
      <c r="B1875" s="181">
        <v>45736</v>
      </c>
      <c r="C1875" s="180" t="s">
        <v>1716</v>
      </c>
      <c r="D1875" s="180" t="s">
        <v>281</v>
      </c>
      <c r="E1875" s="180" t="s">
        <v>282</v>
      </c>
      <c r="F1875" s="195">
        <v>15000</v>
      </c>
      <c r="G1875" s="165">
        <f t="shared" si="44"/>
        <v>26384.961000000003</v>
      </c>
      <c r="H1875" s="180"/>
      <c r="I1875" s="180" t="s">
        <v>977</v>
      </c>
      <c r="J1875" s="180"/>
      <c r="K1875" s="180"/>
      <c r="L1875" s="180" t="s">
        <v>366</v>
      </c>
      <c r="M1875" s="180"/>
      <c r="N1875" s="180" t="s">
        <v>978</v>
      </c>
      <c r="O1875" s="180"/>
      <c r="P1875" s="180"/>
      <c r="Q1875" s="180"/>
      <c r="R1875" s="180" t="s">
        <v>990</v>
      </c>
      <c r="S1875" s="180" t="s">
        <v>991</v>
      </c>
      <c r="T1875" s="183">
        <f t="shared" si="45"/>
        <v>3</v>
      </c>
      <c r="U1875" s="184">
        <f t="shared" si="46"/>
        <v>45736</v>
      </c>
      <c r="V1875" s="272"/>
      <c r="W1875" s="43">
        <f t="shared" si="43"/>
        <v>3</v>
      </c>
      <c r="X1875" s="183" t="s">
        <v>282</v>
      </c>
      <c r="Y1875" s="183" t="s">
        <v>1443</v>
      </c>
      <c r="Z1875" s="183" t="s">
        <v>1113</v>
      </c>
      <c r="AA1875" s="183" t="s">
        <v>1113</v>
      </c>
      <c r="AB1875" s="183"/>
    </row>
    <row r="1876" spans="1:28" hidden="1">
      <c r="A1876" s="163" t="s">
        <v>1017</v>
      </c>
      <c r="B1876" s="164">
        <v>45736</v>
      </c>
      <c r="C1876" s="163" t="s">
        <v>95</v>
      </c>
      <c r="D1876" s="163" t="s">
        <v>281</v>
      </c>
      <c r="E1876" s="163" t="s">
        <v>1031</v>
      </c>
      <c r="F1876" s="168">
        <v>-1240.44</v>
      </c>
      <c r="G1876" s="165">
        <f t="shared" si="44"/>
        <v>25144.521000000004</v>
      </c>
      <c r="H1876" s="163"/>
      <c r="I1876" s="163" t="s">
        <v>994</v>
      </c>
      <c r="J1876" s="163"/>
      <c r="K1876" s="163"/>
      <c r="L1876" s="163" t="s">
        <v>1686</v>
      </c>
      <c r="M1876" s="163"/>
      <c r="N1876" s="163" t="s">
        <v>978</v>
      </c>
      <c r="O1876" s="163"/>
      <c r="P1876" s="163"/>
      <c r="Q1876" s="163"/>
      <c r="R1876" s="163" t="s">
        <v>95</v>
      </c>
      <c r="S1876" s="163" t="s">
        <v>440</v>
      </c>
      <c r="T1876" s="43">
        <f t="shared" si="45"/>
        <v>3</v>
      </c>
      <c r="U1876" s="167">
        <f t="shared" si="46"/>
        <v>45736</v>
      </c>
      <c r="W1876" s="43">
        <f t="shared" si="43"/>
        <v>3</v>
      </c>
      <c r="X1876" s="49" t="s">
        <v>1499</v>
      </c>
      <c r="Y1876" s="49" t="s">
        <v>26</v>
      </c>
    </row>
    <row r="1877" spans="1:28" hidden="1">
      <c r="A1877" s="163" t="s">
        <v>1017</v>
      </c>
      <c r="B1877" s="164">
        <v>45736</v>
      </c>
      <c r="C1877" s="163" t="s">
        <v>358</v>
      </c>
      <c r="D1877" s="163" t="s">
        <v>281</v>
      </c>
      <c r="E1877" s="163" t="s">
        <v>1031</v>
      </c>
      <c r="F1877" s="168"/>
      <c r="G1877" s="165">
        <f t="shared" si="44"/>
        <v>25144.521000000004</v>
      </c>
      <c r="H1877" s="163"/>
      <c r="I1877" s="163" t="s">
        <v>283</v>
      </c>
      <c r="J1877" s="163"/>
      <c r="K1877" s="163"/>
      <c r="L1877" s="163" t="s">
        <v>1686</v>
      </c>
      <c r="M1877" s="163"/>
      <c r="N1877" s="163" t="s">
        <v>978</v>
      </c>
      <c r="O1877" s="163"/>
      <c r="P1877" s="163"/>
      <c r="Q1877" s="163"/>
      <c r="R1877" s="163" t="s">
        <v>358</v>
      </c>
      <c r="S1877" s="163" t="s">
        <v>361</v>
      </c>
      <c r="T1877" s="43">
        <f t="shared" si="45"/>
        <v>3</v>
      </c>
      <c r="U1877" s="167">
        <f t="shared" si="46"/>
        <v>45736</v>
      </c>
      <c r="W1877" s="43">
        <f t="shared" si="43"/>
        <v>3</v>
      </c>
      <c r="X1877" s="49" t="s">
        <v>1499</v>
      </c>
      <c r="Y1877" s="49" t="s">
        <v>26</v>
      </c>
    </row>
    <row r="1878" spans="1:28" hidden="1">
      <c r="A1878" s="163" t="s">
        <v>1017</v>
      </c>
      <c r="B1878" s="164">
        <v>45736</v>
      </c>
      <c r="C1878" s="163" t="s">
        <v>457</v>
      </c>
      <c r="D1878" s="163" t="s">
        <v>281</v>
      </c>
      <c r="E1878" s="163" t="s">
        <v>1031</v>
      </c>
      <c r="F1878" s="168">
        <v>-1021.1</v>
      </c>
      <c r="G1878" s="165">
        <f t="shared" si="44"/>
        <v>24123.421000000006</v>
      </c>
      <c r="H1878" s="163"/>
      <c r="I1878" s="163" t="s">
        <v>283</v>
      </c>
      <c r="J1878" s="163"/>
      <c r="K1878" s="163"/>
      <c r="L1878" s="163" t="s">
        <v>1686</v>
      </c>
      <c r="M1878" s="163"/>
      <c r="N1878" s="163" t="s">
        <v>978</v>
      </c>
      <c r="O1878" s="163"/>
      <c r="P1878" s="163"/>
      <c r="Q1878" s="163"/>
      <c r="R1878" s="163" t="s">
        <v>457</v>
      </c>
      <c r="S1878" s="163" t="s">
        <v>459</v>
      </c>
      <c r="T1878" s="43">
        <f t="shared" si="45"/>
        <v>3</v>
      </c>
      <c r="U1878" s="167">
        <f t="shared" si="46"/>
        <v>45736</v>
      </c>
      <c r="W1878" s="43">
        <f t="shared" si="43"/>
        <v>3</v>
      </c>
      <c r="X1878" s="49" t="s">
        <v>1499</v>
      </c>
      <c r="Y1878" s="49" t="s">
        <v>26</v>
      </c>
    </row>
    <row r="1879" spans="1:28" hidden="1">
      <c r="A1879" s="163" t="s">
        <v>1017</v>
      </c>
      <c r="B1879" s="164">
        <v>45736</v>
      </c>
      <c r="C1879" s="163" t="s">
        <v>466</v>
      </c>
      <c r="D1879" s="163" t="s">
        <v>281</v>
      </c>
      <c r="E1879" s="163" t="s">
        <v>1031</v>
      </c>
      <c r="F1879" s="168">
        <v>-1021.1</v>
      </c>
      <c r="G1879" s="165">
        <f t="shared" si="44"/>
        <v>23102.321000000007</v>
      </c>
      <c r="H1879" s="163"/>
      <c r="I1879" s="163" t="s">
        <v>283</v>
      </c>
      <c r="J1879" s="163"/>
      <c r="K1879" s="163"/>
      <c r="L1879" s="163" t="s">
        <v>1686</v>
      </c>
      <c r="M1879" s="163"/>
      <c r="N1879" s="163" t="s">
        <v>978</v>
      </c>
      <c r="O1879" s="163"/>
      <c r="P1879" s="163"/>
      <c r="Q1879" s="163"/>
      <c r="R1879" s="163" t="s">
        <v>466</v>
      </c>
      <c r="S1879" s="163" t="s">
        <v>468</v>
      </c>
      <c r="T1879" s="43">
        <f t="shared" si="45"/>
        <v>3</v>
      </c>
      <c r="U1879" s="167">
        <f t="shared" si="46"/>
        <v>45736</v>
      </c>
      <c r="W1879" s="43">
        <f t="shared" si="43"/>
        <v>3</v>
      </c>
      <c r="X1879" s="49" t="s">
        <v>1499</v>
      </c>
      <c r="Y1879" s="49" t="s">
        <v>26</v>
      </c>
    </row>
    <row r="1880" spans="1:28" hidden="1">
      <c r="A1880" s="163" t="s">
        <v>1017</v>
      </c>
      <c r="B1880" s="164">
        <v>45736</v>
      </c>
      <c r="C1880" s="163" t="s">
        <v>451</v>
      </c>
      <c r="D1880" s="163" t="s">
        <v>281</v>
      </c>
      <c r="E1880" s="163" t="s">
        <v>1031</v>
      </c>
      <c r="F1880" s="168"/>
      <c r="G1880" s="165">
        <f t="shared" si="44"/>
        <v>23102.321000000007</v>
      </c>
      <c r="H1880" s="163"/>
      <c r="I1880" s="163" t="s">
        <v>283</v>
      </c>
      <c r="J1880" s="163"/>
      <c r="K1880" s="163"/>
      <c r="L1880" s="163" t="s">
        <v>1030</v>
      </c>
      <c r="M1880" s="163"/>
      <c r="N1880" s="163" t="s">
        <v>978</v>
      </c>
      <c r="O1880" s="163"/>
      <c r="P1880" s="163"/>
      <c r="Q1880" s="163"/>
      <c r="R1880" s="163" t="s">
        <v>451</v>
      </c>
      <c r="S1880" s="163" t="s">
        <v>453</v>
      </c>
      <c r="T1880" s="43">
        <f t="shared" si="45"/>
        <v>3</v>
      </c>
      <c r="U1880" s="167">
        <f t="shared" si="46"/>
        <v>45736</v>
      </c>
      <c r="W1880" s="43">
        <f t="shared" si="43"/>
        <v>3</v>
      </c>
      <c r="X1880" s="49" t="s">
        <v>1499</v>
      </c>
      <c r="Y1880" s="49" t="s">
        <v>26</v>
      </c>
    </row>
    <row r="1881" spans="1:28" hidden="1">
      <c r="A1881" s="163" t="s">
        <v>1017</v>
      </c>
      <c r="B1881" s="164">
        <v>45736</v>
      </c>
      <c r="C1881" s="163" t="s">
        <v>1687</v>
      </c>
      <c r="D1881" s="163" t="s">
        <v>281</v>
      </c>
      <c r="E1881" s="163" t="s">
        <v>1031</v>
      </c>
      <c r="F1881" s="168"/>
      <c r="G1881" s="165">
        <f t="shared" si="44"/>
        <v>23102.321000000007</v>
      </c>
      <c r="H1881" s="163"/>
      <c r="I1881" s="163" t="s">
        <v>283</v>
      </c>
      <c r="J1881" s="163"/>
      <c r="K1881" s="163"/>
      <c r="L1881" s="163" t="s">
        <v>1030</v>
      </c>
      <c r="M1881" s="163"/>
      <c r="N1881" s="163" t="s">
        <v>978</v>
      </c>
      <c r="O1881" s="163"/>
      <c r="P1881" s="163"/>
      <c r="Q1881" s="163"/>
      <c r="R1881" s="163" t="s">
        <v>451</v>
      </c>
      <c r="S1881" s="163" t="s">
        <v>453</v>
      </c>
      <c r="T1881" s="43">
        <f t="shared" si="45"/>
        <v>3</v>
      </c>
      <c r="U1881" s="167">
        <f t="shared" si="46"/>
        <v>45736</v>
      </c>
      <c r="W1881" s="43">
        <f t="shared" si="43"/>
        <v>3</v>
      </c>
      <c r="X1881" s="49" t="s">
        <v>1499</v>
      </c>
      <c r="Y1881" s="49" t="s">
        <v>26</v>
      </c>
    </row>
    <row r="1882" spans="1:28" hidden="1">
      <c r="A1882" s="163" t="s">
        <v>1017</v>
      </c>
      <c r="B1882" s="164">
        <v>45736</v>
      </c>
      <c r="C1882" s="163" t="s">
        <v>1688</v>
      </c>
      <c r="D1882" s="163" t="s">
        <v>281</v>
      </c>
      <c r="E1882" s="163" t="s">
        <v>1031</v>
      </c>
      <c r="F1882" s="168"/>
      <c r="G1882" s="165">
        <f t="shared" si="44"/>
        <v>23102.321000000007</v>
      </c>
      <c r="H1882" s="163"/>
      <c r="I1882" s="163" t="s">
        <v>283</v>
      </c>
      <c r="J1882" s="163"/>
      <c r="K1882" s="163"/>
      <c r="L1882" s="163" t="s">
        <v>1030</v>
      </c>
      <c r="M1882" s="163"/>
      <c r="N1882" s="163" t="s">
        <v>978</v>
      </c>
      <c r="O1882" s="163"/>
      <c r="P1882" s="163"/>
      <c r="Q1882" s="163"/>
      <c r="R1882" s="163" t="s">
        <v>451</v>
      </c>
      <c r="S1882" s="163" t="s">
        <v>453</v>
      </c>
      <c r="T1882" s="43">
        <f t="shared" si="45"/>
        <v>3</v>
      </c>
      <c r="U1882" s="167">
        <f t="shared" si="46"/>
        <v>45736</v>
      </c>
      <c r="W1882" s="43">
        <f t="shared" si="43"/>
        <v>3</v>
      </c>
      <c r="X1882" s="49" t="s">
        <v>1499</v>
      </c>
      <c r="Y1882" s="49" t="s">
        <v>26</v>
      </c>
    </row>
    <row r="1883" spans="1:28" hidden="1">
      <c r="A1883" s="163" t="s">
        <v>1017</v>
      </c>
      <c r="B1883" s="164">
        <v>45736</v>
      </c>
      <c r="C1883" s="163" t="s">
        <v>111</v>
      </c>
      <c r="D1883" s="163" t="s">
        <v>281</v>
      </c>
      <c r="E1883" s="163" t="s">
        <v>1031</v>
      </c>
      <c r="F1883" s="168">
        <f>-1600*1.3</f>
        <v>-2080</v>
      </c>
      <c r="G1883" s="165">
        <f t="shared" si="44"/>
        <v>21022.321000000007</v>
      </c>
      <c r="H1883" s="163"/>
      <c r="I1883" s="163" t="s">
        <v>283</v>
      </c>
      <c r="J1883" s="163"/>
      <c r="K1883" s="163"/>
      <c r="L1883" s="163" t="s">
        <v>366</v>
      </c>
      <c r="M1883" s="163"/>
      <c r="N1883" s="163" t="s">
        <v>978</v>
      </c>
      <c r="O1883" s="163"/>
      <c r="P1883" s="163"/>
      <c r="Q1883" s="163"/>
      <c r="R1883" s="163" t="s">
        <v>111</v>
      </c>
      <c r="S1883" s="163" t="s">
        <v>320</v>
      </c>
      <c r="T1883" s="43">
        <f t="shared" si="45"/>
        <v>3</v>
      </c>
      <c r="U1883" s="167">
        <f t="shared" si="46"/>
        <v>45736</v>
      </c>
      <c r="W1883" s="43">
        <f t="shared" si="43"/>
        <v>3</v>
      </c>
      <c r="X1883" s="49" t="s">
        <v>1499</v>
      </c>
      <c r="Y1883" s="49" t="s">
        <v>105</v>
      </c>
    </row>
    <row r="1884" spans="1:28" hidden="1">
      <c r="A1884" s="163" t="s">
        <v>1017</v>
      </c>
      <c r="B1884" s="164">
        <v>45736</v>
      </c>
      <c r="C1884" s="163" t="s">
        <v>93</v>
      </c>
      <c r="D1884" s="163" t="s">
        <v>281</v>
      </c>
      <c r="E1884" s="163" t="s">
        <v>1031</v>
      </c>
      <c r="F1884" s="168">
        <v>-4800</v>
      </c>
      <c r="G1884" s="165">
        <f t="shared" si="44"/>
        <v>16222.321000000007</v>
      </c>
      <c r="H1884" s="163"/>
      <c r="I1884" s="163" t="s">
        <v>283</v>
      </c>
      <c r="J1884" s="163"/>
      <c r="K1884" s="163"/>
      <c r="L1884" s="163" t="s">
        <v>686</v>
      </c>
      <c r="M1884" s="163"/>
      <c r="N1884" s="163" t="s">
        <v>978</v>
      </c>
      <c r="O1884" s="163"/>
      <c r="P1884" s="163"/>
      <c r="Q1884" s="163"/>
      <c r="R1884" s="163" t="s">
        <v>93</v>
      </c>
      <c r="S1884" s="163" t="s">
        <v>540</v>
      </c>
      <c r="T1884" s="43">
        <f t="shared" si="45"/>
        <v>3</v>
      </c>
      <c r="U1884" s="167">
        <f t="shared" si="46"/>
        <v>45736</v>
      </c>
      <c r="W1884" s="43">
        <f t="shared" si="43"/>
        <v>3</v>
      </c>
      <c r="X1884" s="49" t="s">
        <v>1499</v>
      </c>
      <c r="Y1884" s="49" t="s">
        <v>94</v>
      </c>
    </row>
    <row r="1885" spans="1:28" hidden="1">
      <c r="A1885" s="163" t="s">
        <v>1017</v>
      </c>
      <c r="B1885" s="164">
        <v>45736</v>
      </c>
      <c r="C1885" s="163" t="s">
        <v>546</v>
      </c>
      <c r="D1885" s="163" t="s">
        <v>281</v>
      </c>
      <c r="E1885" s="163" t="s">
        <v>1031</v>
      </c>
      <c r="F1885" s="168">
        <v>-1021.1</v>
      </c>
      <c r="G1885" s="165">
        <f t="shared" si="44"/>
        <v>15201.221000000007</v>
      </c>
      <c r="H1885" s="163"/>
      <c r="I1885" s="163" t="s">
        <v>283</v>
      </c>
      <c r="J1885" s="163"/>
      <c r="K1885" s="163"/>
      <c r="L1885" s="163" t="s">
        <v>686</v>
      </c>
      <c r="M1885" s="163"/>
      <c r="N1885" s="163" t="s">
        <v>978</v>
      </c>
      <c r="O1885" s="163"/>
      <c r="P1885" s="163"/>
      <c r="Q1885" s="163"/>
      <c r="R1885" s="163" t="s">
        <v>546</v>
      </c>
      <c r="S1885" s="163" t="s">
        <v>548</v>
      </c>
      <c r="T1885" s="43">
        <f t="shared" si="45"/>
        <v>3</v>
      </c>
      <c r="U1885" s="167">
        <f t="shared" si="46"/>
        <v>45736</v>
      </c>
      <c r="W1885" s="43">
        <f t="shared" si="43"/>
        <v>3</v>
      </c>
      <c r="X1885" s="49" t="s">
        <v>1499</v>
      </c>
      <c r="Y1885" s="49" t="s">
        <v>26</v>
      </c>
    </row>
    <row r="1886" spans="1:28" hidden="1">
      <c r="A1886" s="163" t="s">
        <v>1017</v>
      </c>
      <c r="B1886" s="164">
        <v>45736</v>
      </c>
      <c r="C1886" s="163" t="s">
        <v>484</v>
      </c>
      <c r="D1886" s="163" t="s">
        <v>281</v>
      </c>
      <c r="E1886" s="163" t="s">
        <v>1031</v>
      </c>
      <c r="F1886" s="168">
        <v>-400</v>
      </c>
      <c r="G1886" s="165">
        <f t="shared" si="44"/>
        <v>14801.221000000007</v>
      </c>
      <c r="H1886" s="163"/>
      <c r="I1886" s="163" t="s">
        <v>283</v>
      </c>
      <c r="J1886" s="163"/>
      <c r="K1886" s="163"/>
      <c r="L1886" s="163" t="s">
        <v>686</v>
      </c>
      <c r="M1886" s="163"/>
      <c r="N1886" s="163" t="s">
        <v>978</v>
      </c>
      <c r="O1886" s="163"/>
      <c r="P1886" s="163"/>
      <c r="Q1886" s="163"/>
      <c r="R1886" s="163" t="s">
        <v>484</v>
      </c>
      <c r="S1886" s="163" t="s">
        <v>487</v>
      </c>
      <c r="T1886" s="43">
        <f t="shared" si="45"/>
        <v>3</v>
      </c>
      <c r="U1886" s="167">
        <f t="shared" si="46"/>
        <v>45736</v>
      </c>
      <c r="W1886" s="43">
        <f t="shared" si="43"/>
        <v>3</v>
      </c>
      <c r="X1886" s="49" t="s">
        <v>1499</v>
      </c>
      <c r="Y1886" s="49" t="s">
        <v>86</v>
      </c>
    </row>
    <row r="1887" spans="1:28" hidden="1">
      <c r="A1887" s="163" t="s">
        <v>1017</v>
      </c>
      <c r="B1887" s="164">
        <v>45736</v>
      </c>
      <c r="C1887" s="163" t="s">
        <v>491</v>
      </c>
      <c r="D1887" s="163" t="s">
        <v>281</v>
      </c>
      <c r="E1887" s="163" t="s">
        <v>1031</v>
      </c>
      <c r="F1887" s="168">
        <v>-1200</v>
      </c>
      <c r="G1887" s="165">
        <f t="shared" si="44"/>
        <v>13601.221000000007</v>
      </c>
      <c r="H1887" s="163"/>
      <c r="I1887" s="163" t="s">
        <v>283</v>
      </c>
      <c r="J1887" s="163"/>
      <c r="K1887" s="163"/>
      <c r="L1887" s="163" t="s">
        <v>686</v>
      </c>
      <c r="M1887" s="163"/>
      <c r="N1887" s="163" t="s">
        <v>978</v>
      </c>
      <c r="O1887" s="163"/>
      <c r="P1887" s="163"/>
      <c r="Q1887" s="163"/>
      <c r="R1887" s="163" t="s">
        <v>491</v>
      </c>
      <c r="S1887" s="163" t="s">
        <v>493</v>
      </c>
      <c r="T1887" s="43">
        <f t="shared" si="45"/>
        <v>3</v>
      </c>
      <c r="U1887" s="167">
        <f t="shared" si="46"/>
        <v>45736</v>
      </c>
      <c r="W1887" s="43">
        <f t="shared" si="43"/>
        <v>3</v>
      </c>
      <c r="X1887" s="49" t="s">
        <v>1499</v>
      </c>
      <c r="Y1887" s="49" t="s">
        <v>86</v>
      </c>
    </row>
    <row r="1888" spans="1:28" hidden="1">
      <c r="A1888" s="163" t="s">
        <v>1017</v>
      </c>
      <c r="B1888" s="164">
        <v>45736</v>
      </c>
      <c r="C1888" s="163" t="s">
        <v>516</v>
      </c>
      <c r="D1888" s="163" t="s">
        <v>281</v>
      </c>
      <c r="E1888" s="163" t="s">
        <v>1031</v>
      </c>
      <c r="F1888" s="168">
        <v>-400</v>
      </c>
      <c r="G1888" s="165">
        <f t="shared" si="44"/>
        <v>13201.221000000007</v>
      </c>
      <c r="H1888" s="163"/>
      <c r="I1888" s="163" t="s">
        <v>283</v>
      </c>
      <c r="J1888" s="163"/>
      <c r="K1888" s="163"/>
      <c r="L1888" s="163" t="s">
        <v>686</v>
      </c>
      <c r="M1888" s="163"/>
      <c r="N1888" s="163" t="s">
        <v>978</v>
      </c>
      <c r="O1888" s="163"/>
      <c r="P1888" s="163"/>
      <c r="Q1888" s="163"/>
      <c r="R1888" s="163" t="s">
        <v>516</v>
      </c>
      <c r="S1888" s="163" t="s">
        <v>518</v>
      </c>
      <c r="T1888" s="43">
        <f t="shared" si="45"/>
        <v>3</v>
      </c>
      <c r="U1888" s="167">
        <f t="shared" si="46"/>
        <v>45736</v>
      </c>
      <c r="W1888" s="43">
        <f t="shared" si="43"/>
        <v>3</v>
      </c>
      <c r="X1888" s="49" t="s">
        <v>1499</v>
      </c>
      <c r="Y1888" s="49" t="s">
        <v>86</v>
      </c>
    </row>
    <row r="1889" spans="1:28" hidden="1">
      <c r="A1889" s="163" t="s">
        <v>1017</v>
      </c>
      <c r="B1889" s="164">
        <v>45736</v>
      </c>
      <c r="C1889" s="163" t="s">
        <v>525</v>
      </c>
      <c r="D1889" s="163" t="s">
        <v>281</v>
      </c>
      <c r="E1889" s="163" t="s">
        <v>1031</v>
      </c>
      <c r="F1889" s="168">
        <v>-700</v>
      </c>
      <c r="G1889" s="165">
        <f t="shared" si="44"/>
        <v>12501.221000000007</v>
      </c>
      <c r="H1889" s="163"/>
      <c r="I1889" s="163" t="s">
        <v>283</v>
      </c>
      <c r="J1889" s="163"/>
      <c r="K1889" s="163"/>
      <c r="L1889" s="163" t="s">
        <v>686</v>
      </c>
      <c r="M1889" s="163"/>
      <c r="N1889" s="163" t="s">
        <v>978</v>
      </c>
      <c r="O1889" s="163"/>
      <c r="P1889" s="163"/>
      <c r="Q1889" s="163"/>
      <c r="R1889" s="163" t="s">
        <v>525</v>
      </c>
      <c r="S1889" s="163" t="s">
        <v>527</v>
      </c>
      <c r="T1889" s="43">
        <f t="shared" si="45"/>
        <v>3</v>
      </c>
      <c r="U1889" s="167">
        <f t="shared" si="46"/>
        <v>45736</v>
      </c>
      <c r="W1889" s="43">
        <f t="shared" si="43"/>
        <v>3</v>
      </c>
      <c r="X1889" s="49" t="s">
        <v>1499</v>
      </c>
      <c r="Y1889" s="49" t="s">
        <v>86</v>
      </c>
    </row>
    <row r="1890" spans="1:28" hidden="1">
      <c r="A1890" s="163" t="s">
        <v>1017</v>
      </c>
      <c r="B1890" s="164">
        <v>45736</v>
      </c>
      <c r="C1890" s="163" t="s">
        <v>549</v>
      </c>
      <c r="D1890" s="163" t="s">
        <v>281</v>
      </c>
      <c r="E1890" s="163" t="s">
        <v>1031</v>
      </c>
      <c r="F1890" s="168">
        <v>-2600</v>
      </c>
      <c r="G1890" s="165">
        <f t="shared" si="44"/>
        <v>9901.2210000000068</v>
      </c>
      <c r="H1890" s="163"/>
      <c r="I1890" s="163" t="s">
        <v>283</v>
      </c>
      <c r="J1890" s="163"/>
      <c r="K1890" s="163"/>
      <c r="L1890" s="163" t="s">
        <v>766</v>
      </c>
      <c r="M1890" s="163"/>
      <c r="N1890" s="163" t="s">
        <v>978</v>
      </c>
      <c r="O1890" s="163"/>
      <c r="P1890" s="163"/>
      <c r="Q1890" s="163"/>
      <c r="R1890" s="163" t="s">
        <v>549</v>
      </c>
      <c r="S1890" s="163" t="s">
        <v>551</v>
      </c>
      <c r="T1890" s="43">
        <f t="shared" si="45"/>
        <v>3</v>
      </c>
      <c r="U1890" s="167">
        <f t="shared" si="46"/>
        <v>45736</v>
      </c>
      <c r="W1890" s="43">
        <f t="shared" si="43"/>
        <v>3</v>
      </c>
      <c r="X1890" s="49" t="s">
        <v>1499</v>
      </c>
      <c r="Y1890" s="49" t="s">
        <v>105</v>
      </c>
    </row>
    <row r="1891" spans="1:28" hidden="1">
      <c r="A1891" s="163" t="s">
        <v>1017</v>
      </c>
      <c r="B1891" s="164">
        <v>45736</v>
      </c>
      <c r="C1891" s="163" t="s">
        <v>1744</v>
      </c>
      <c r="D1891" s="163" t="s">
        <v>281</v>
      </c>
      <c r="E1891" s="163" t="s">
        <v>1031</v>
      </c>
      <c r="F1891" s="168">
        <v>-2800</v>
      </c>
      <c r="G1891" s="165">
        <f t="shared" si="44"/>
        <v>7101.2210000000068</v>
      </c>
      <c r="H1891" s="163"/>
      <c r="I1891" s="163" t="s">
        <v>283</v>
      </c>
      <c r="J1891" s="163"/>
      <c r="K1891" s="163"/>
      <c r="L1891" s="163" t="s">
        <v>766</v>
      </c>
      <c r="M1891" s="163"/>
      <c r="N1891" s="163" t="s">
        <v>978</v>
      </c>
      <c r="O1891" s="163"/>
      <c r="P1891" s="163"/>
      <c r="Q1891" s="163"/>
      <c r="R1891" s="163" t="s">
        <v>543</v>
      </c>
      <c r="S1891" s="163" t="s">
        <v>545</v>
      </c>
      <c r="T1891" s="43">
        <f t="shared" si="45"/>
        <v>3</v>
      </c>
      <c r="U1891" s="167">
        <f t="shared" si="46"/>
        <v>45736</v>
      </c>
      <c r="W1891" s="43">
        <f t="shared" si="43"/>
        <v>3</v>
      </c>
      <c r="X1891" s="49" t="s">
        <v>1499</v>
      </c>
      <c r="Y1891" s="49" t="s">
        <v>26</v>
      </c>
    </row>
    <row r="1892" spans="1:28" hidden="1">
      <c r="A1892" s="163" t="s">
        <v>1017</v>
      </c>
      <c r="B1892" s="164">
        <v>45736</v>
      </c>
      <c r="C1892" s="163" t="s">
        <v>513</v>
      </c>
      <c r="D1892" s="163" t="s">
        <v>281</v>
      </c>
      <c r="E1892" s="163" t="s">
        <v>1031</v>
      </c>
      <c r="F1892" s="168">
        <v>-500</v>
      </c>
      <c r="G1892" s="165">
        <f t="shared" si="44"/>
        <v>6601.2210000000068</v>
      </c>
      <c r="H1892" s="163"/>
      <c r="I1892" s="163" t="s">
        <v>283</v>
      </c>
      <c r="J1892" s="163"/>
      <c r="K1892" s="163"/>
      <c r="L1892" s="163" t="s">
        <v>766</v>
      </c>
      <c r="M1892" s="163"/>
      <c r="N1892" s="163" t="s">
        <v>978</v>
      </c>
      <c r="O1892" s="163"/>
      <c r="P1892" s="163"/>
      <c r="Q1892" s="163"/>
      <c r="R1892" s="163" t="s">
        <v>513</v>
      </c>
      <c r="S1892" s="163" t="s">
        <v>515</v>
      </c>
      <c r="T1892" s="43">
        <f t="shared" si="45"/>
        <v>3</v>
      </c>
      <c r="U1892" s="167">
        <f t="shared" si="46"/>
        <v>45736</v>
      </c>
      <c r="W1892" s="43">
        <f t="shared" si="43"/>
        <v>3</v>
      </c>
      <c r="X1892" s="49" t="s">
        <v>1499</v>
      </c>
      <c r="Y1892" s="49" t="s">
        <v>86</v>
      </c>
    </row>
    <row r="1893" spans="1:28" hidden="1">
      <c r="A1893" s="163" t="s">
        <v>1017</v>
      </c>
      <c r="B1893" s="164">
        <v>45736</v>
      </c>
      <c r="C1893" s="163" t="s">
        <v>1102</v>
      </c>
      <c r="D1893" s="163" t="s">
        <v>281</v>
      </c>
      <c r="E1893" s="163" t="s">
        <v>1031</v>
      </c>
      <c r="F1893" s="168"/>
      <c r="G1893" s="165">
        <f t="shared" si="44"/>
        <v>6601.2210000000068</v>
      </c>
      <c r="H1893" s="163"/>
      <c r="I1893" s="163" t="s">
        <v>283</v>
      </c>
      <c r="J1893" s="163"/>
      <c r="K1893" s="163"/>
      <c r="L1893" s="163" t="s">
        <v>766</v>
      </c>
      <c r="M1893" s="163"/>
      <c r="N1893" s="163" t="s">
        <v>978</v>
      </c>
      <c r="O1893" s="163"/>
      <c r="P1893" s="163"/>
      <c r="Q1893" s="163"/>
      <c r="R1893" s="163" t="s">
        <v>522</v>
      </c>
      <c r="S1893" s="163" t="s">
        <v>524</v>
      </c>
      <c r="T1893" s="43">
        <f t="shared" si="45"/>
        <v>3</v>
      </c>
      <c r="U1893" s="167">
        <f t="shared" si="46"/>
        <v>45736</v>
      </c>
      <c r="W1893" s="43">
        <f t="shared" si="43"/>
        <v>3</v>
      </c>
      <c r="X1893" s="49" t="s">
        <v>1499</v>
      </c>
      <c r="Y1893" s="49" t="s">
        <v>25</v>
      </c>
    </row>
    <row r="1894" spans="1:28" hidden="1">
      <c r="A1894" s="163" t="s">
        <v>1017</v>
      </c>
      <c r="B1894" s="164">
        <v>45736</v>
      </c>
      <c r="C1894" s="163" t="s">
        <v>112</v>
      </c>
      <c r="D1894" s="163" t="s">
        <v>281</v>
      </c>
      <c r="E1894" s="163" t="s">
        <v>1031</v>
      </c>
      <c r="F1894" s="168">
        <v>-500</v>
      </c>
      <c r="G1894" s="165">
        <f t="shared" si="44"/>
        <v>6101.2210000000068</v>
      </c>
      <c r="H1894" s="163"/>
      <c r="I1894" s="163" t="s">
        <v>283</v>
      </c>
      <c r="J1894" s="163"/>
      <c r="K1894" s="163"/>
      <c r="L1894" s="163" t="s">
        <v>766</v>
      </c>
      <c r="M1894" s="163"/>
      <c r="N1894" s="163" t="s">
        <v>978</v>
      </c>
      <c r="O1894" s="163"/>
      <c r="P1894" s="163"/>
      <c r="Q1894" s="163"/>
      <c r="R1894" s="163" t="s">
        <v>112</v>
      </c>
      <c r="S1894" s="163" t="s">
        <v>532</v>
      </c>
      <c r="T1894" s="43">
        <f t="shared" si="45"/>
        <v>3</v>
      </c>
      <c r="U1894" s="167">
        <f t="shared" si="46"/>
        <v>45736</v>
      </c>
      <c r="W1894" s="43">
        <f t="shared" si="43"/>
        <v>3</v>
      </c>
      <c r="X1894" s="49" t="s">
        <v>1499</v>
      </c>
      <c r="Y1894" s="49" t="s">
        <v>86</v>
      </c>
    </row>
    <row r="1895" spans="1:28" hidden="1">
      <c r="A1895" s="163" t="s">
        <v>1017</v>
      </c>
      <c r="B1895" s="164">
        <v>45736</v>
      </c>
      <c r="C1895" s="163" t="s">
        <v>505</v>
      </c>
      <c r="D1895" s="163" t="s">
        <v>281</v>
      </c>
      <c r="E1895" s="163" t="s">
        <v>1031</v>
      </c>
      <c r="F1895" s="168">
        <v>-1120</v>
      </c>
      <c r="G1895" s="165">
        <f t="shared" si="44"/>
        <v>4981.2210000000068</v>
      </c>
      <c r="H1895" s="163"/>
      <c r="I1895" s="163" t="s">
        <v>283</v>
      </c>
      <c r="J1895" s="163"/>
      <c r="K1895" s="163"/>
      <c r="L1895" s="163" t="s">
        <v>686</v>
      </c>
      <c r="M1895" s="163"/>
      <c r="N1895" s="163" t="s">
        <v>978</v>
      </c>
      <c r="O1895" s="163"/>
      <c r="P1895" s="163"/>
      <c r="Q1895" s="163"/>
      <c r="R1895" s="163" t="s">
        <v>505</v>
      </c>
      <c r="S1895" s="163" t="s">
        <v>507</v>
      </c>
      <c r="T1895" s="43">
        <f t="shared" si="45"/>
        <v>3</v>
      </c>
      <c r="U1895" s="167">
        <f t="shared" si="46"/>
        <v>45736</v>
      </c>
      <c r="W1895" s="43">
        <f t="shared" si="43"/>
        <v>3</v>
      </c>
      <c r="X1895" s="49" t="s">
        <v>1499</v>
      </c>
      <c r="Y1895" s="49" t="s">
        <v>105</v>
      </c>
    </row>
    <row r="1896" spans="1:28" ht="14.25" hidden="1" customHeight="1">
      <c r="A1896" s="180" t="s">
        <v>1017</v>
      </c>
      <c r="B1896" s="181">
        <v>45734</v>
      </c>
      <c r="C1896" s="180" t="s">
        <v>1410</v>
      </c>
      <c r="D1896" s="180" t="s">
        <v>281</v>
      </c>
      <c r="E1896" s="180" t="s">
        <v>356</v>
      </c>
      <c r="F1896" s="168">
        <f>-100+20</f>
        <v>-80</v>
      </c>
      <c r="G1896" s="165">
        <f t="shared" si="44"/>
        <v>4901.2210000000068</v>
      </c>
      <c r="H1896" s="180"/>
      <c r="I1896" s="180" t="s">
        <v>283</v>
      </c>
      <c r="J1896" s="180"/>
      <c r="K1896" s="180"/>
      <c r="L1896" s="180" t="s">
        <v>305</v>
      </c>
      <c r="M1896" s="180"/>
      <c r="N1896" s="180" t="s">
        <v>978</v>
      </c>
      <c r="O1896" s="180"/>
      <c r="P1896" s="180"/>
      <c r="Q1896" s="180" t="s">
        <v>1067</v>
      </c>
      <c r="R1896" s="180" t="s">
        <v>1087</v>
      </c>
      <c r="S1896" s="180" t="s">
        <v>1089</v>
      </c>
      <c r="T1896" s="189">
        <f t="shared" si="45"/>
        <v>3</v>
      </c>
      <c r="U1896" s="211">
        <f t="shared" si="46"/>
        <v>45736</v>
      </c>
      <c r="V1896" s="145">
        <v>45736</v>
      </c>
      <c r="W1896" s="43">
        <f t="shared" si="43"/>
        <v>3</v>
      </c>
      <c r="X1896" s="183" t="s">
        <v>1689</v>
      </c>
      <c r="Y1896" s="183" t="s">
        <v>25</v>
      </c>
      <c r="Z1896" s="183" t="s">
        <v>1113</v>
      </c>
      <c r="AA1896" s="183" t="s">
        <v>1336</v>
      </c>
      <c r="AB1896" s="183"/>
    </row>
    <row r="1897" spans="1:28" ht="14.25" hidden="1" customHeight="1">
      <c r="A1897" s="180" t="s">
        <v>1017</v>
      </c>
      <c r="B1897" s="181">
        <v>45736</v>
      </c>
      <c r="C1897" s="180" t="s">
        <v>1287</v>
      </c>
      <c r="D1897" s="180" t="s">
        <v>281</v>
      </c>
      <c r="E1897" s="180" t="s">
        <v>1288</v>
      </c>
      <c r="F1897" s="168"/>
      <c r="G1897" s="165">
        <f t="shared" si="44"/>
        <v>4901.2210000000068</v>
      </c>
      <c r="H1897" s="180"/>
      <c r="I1897" s="180" t="s">
        <v>283</v>
      </c>
      <c r="J1897" s="180"/>
      <c r="K1897" s="180"/>
      <c r="L1897" s="180" t="s">
        <v>305</v>
      </c>
      <c r="M1897" s="180"/>
      <c r="N1897" s="180" t="s">
        <v>978</v>
      </c>
      <c r="O1897" s="180"/>
      <c r="P1897" s="180"/>
      <c r="Q1897" s="180" t="s">
        <v>1067</v>
      </c>
      <c r="R1897" s="180" t="s">
        <v>1087</v>
      </c>
      <c r="S1897" s="180" t="s">
        <v>1089</v>
      </c>
      <c r="T1897" s="183">
        <f t="shared" si="45"/>
        <v>3</v>
      </c>
      <c r="U1897" s="184">
        <f t="shared" si="46"/>
        <v>45736</v>
      </c>
      <c r="V1897" s="183"/>
      <c r="W1897" s="43">
        <f t="shared" si="43"/>
        <v>3</v>
      </c>
      <c r="X1897" s="49" t="s">
        <v>1552</v>
      </c>
      <c r="Y1897" s="49" t="s">
        <v>25</v>
      </c>
      <c r="Z1897" s="183" t="s">
        <v>1113</v>
      </c>
      <c r="AA1897" s="183" t="s">
        <v>1336</v>
      </c>
      <c r="AB1897" s="183" t="s">
        <v>1745</v>
      </c>
    </row>
    <row r="1898" spans="1:28" ht="14.25" hidden="1" customHeight="1">
      <c r="A1898" s="180" t="s">
        <v>1017</v>
      </c>
      <c r="B1898" s="181">
        <v>45736</v>
      </c>
      <c r="C1898" s="180" t="s">
        <v>1746</v>
      </c>
      <c r="D1898" s="180" t="s">
        <v>281</v>
      </c>
      <c r="E1898" s="180" t="s">
        <v>196</v>
      </c>
      <c r="F1898" s="168"/>
      <c r="G1898" s="165">
        <f t="shared" si="44"/>
        <v>4901.2210000000068</v>
      </c>
      <c r="H1898" s="180"/>
      <c r="I1898" s="180" t="s">
        <v>283</v>
      </c>
      <c r="J1898" s="180"/>
      <c r="K1898" s="180"/>
      <c r="L1898" s="180" t="s">
        <v>305</v>
      </c>
      <c r="M1898" s="180"/>
      <c r="N1898" s="180" t="s">
        <v>978</v>
      </c>
      <c r="O1898" s="180"/>
      <c r="P1898" s="180"/>
      <c r="Q1898" s="180" t="s">
        <v>1067</v>
      </c>
      <c r="R1898" s="180" t="s">
        <v>1087</v>
      </c>
      <c r="S1898" s="180" t="s">
        <v>1089</v>
      </c>
      <c r="T1898" s="183">
        <f t="shared" si="45"/>
        <v>3</v>
      </c>
      <c r="U1898" s="184">
        <f t="shared" si="46"/>
        <v>45736</v>
      </c>
      <c r="V1898" s="183"/>
      <c r="W1898" s="43">
        <f t="shared" si="43"/>
        <v>3</v>
      </c>
      <c r="X1898" s="43" t="s">
        <v>196</v>
      </c>
      <c r="Y1898" s="43" t="s">
        <v>1443</v>
      </c>
      <c r="Z1898" s="183" t="s">
        <v>1113</v>
      </c>
      <c r="AA1898" s="183" t="s">
        <v>1336</v>
      </c>
      <c r="AB1898" s="183"/>
    </row>
    <row r="1899" spans="1:28" hidden="1">
      <c r="A1899" s="163" t="s">
        <v>1017</v>
      </c>
      <c r="B1899" s="164">
        <v>45736</v>
      </c>
      <c r="C1899" s="190" t="s">
        <v>330</v>
      </c>
      <c r="D1899" s="190" t="s">
        <v>281</v>
      </c>
      <c r="E1899" s="190" t="s">
        <v>330</v>
      </c>
      <c r="F1899" s="185">
        <f>-1.99-8</f>
        <v>-9.99</v>
      </c>
      <c r="G1899" s="165">
        <f t="shared" si="44"/>
        <v>4891.231000000007</v>
      </c>
      <c r="H1899" s="190"/>
      <c r="I1899" s="190" t="s">
        <v>342</v>
      </c>
      <c r="J1899" s="190"/>
      <c r="K1899" s="190"/>
      <c r="L1899" s="190" t="s">
        <v>805</v>
      </c>
      <c r="M1899" s="190"/>
      <c r="N1899" s="190" t="s">
        <v>978</v>
      </c>
      <c r="O1899" s="190"/>
      <c r="P1899" s="190"/>
      <c r="Q1899" s="190"/>
      <c r="R1899" s="190" t="s">
        <v>1292</v>
      </c>
      <c r="S1899" s="190" t="s">
        <v>1417</v>
      </c>
      <c r="T1899" s="43">
        <f t="shared" si="45"/>
        <v>3</v>
      </c>
      <c r="U1899" s="167">
        <f t="shared" si="46"/>
        <v>45736</v>
      </c>
      <c r="V1899" s="43"/>
      <c r="W1899" s="43">
        <f t="shared" si="43"/>
        <v>3</v>
      </c>
      <c r="X1899" s="43" t="s">
        <v>1483</v>
      </c>
      <c r="Y1899" s="43" t="s">
        <v>1443</v>
      </c>
      <c r="Z1899" s="43"/>
      <c r="AA1899" s="43"/>
    </row>
    <row r="1900" spans="1:28" ht="14.25" hidden="1" customHeight="1">
      <c r="A1900" s="180" t="s">
        <v>1017</v>
      </c>
      <c r="B1900" s="181">
        <v>45736</v>
      </c>
      <c r="C1900" s="180" t="s">
        <v>1087</v>
      </c>
      <c r="D1900" s="180" t="s">
        <v>281</v>
      </c>
      <c r="E1900" s="180" t="s">
        <v>1434</v>
      </c>
      <c r="F1900" s="168"/>
      <c r="G1900" s="165">
        <f t="shared" si="44"/>
        <v>4891.231000000007</v>
      </c>
      <c r="H1900" s="180"/>
      <c r="I1900" s="180" t="s">
        <v>283</v>
      </c>
      <c r="J1900" s="180"/>
      <c r="K1900" s="180"/>
      <c r="L1900" s="180" t="s">
        <v>305</v>
      </c>
      <c r="M1900" s="180"/>
      <c r="N1900" s="180" t="s">
        <v>978</v>
      </c>
      <c r="O1900" s="180"/>
      <c r="P1900" s="180"/>
      <c r="Q1900" s="180" t="s">
        <v>1067</v>
      </c>
      <c r="R1900" s="180" t="s">
        <v>1087</v>
      </c>
      <c r="S1900" s="180" t="s">
        <v>1089</v>
      </c>
      <c r="T1900" s="183">
        <f t="shared" si="45"/>
        <v>3</v>
      </c>
      <c r="U1900" s="184">
        <f t="shared" si="46"/>
        <v>45736</v>
      </c>
      <c r="V1900" s="183"/>
      <c r="W1900" s="43">
        <f t="shared" si="43"/>
        <v>3</v>
      </c>
      <c r="X1900" s="43" t="s">
        <v>12</v>
      </c>
      <c r="Y1900" s="43" t="s">
        <v>1443</v>
      </c>
      <c r="Z1900" s="183" t="s">
        <v>1113</v>
      </c>
      <c r="AA1900" s="183" t="s">
        <v>1336</v>
      </c>
      <c r="AB1900" s="183"/>
    </row>
    <row r="1901" spans="1:28" hidden="1">
      <c r="A1901" s="163" t="s">
        <v>1017</v>
      </c>
      <c r="B1901" s="164">
        <v>45736</v>
      </c>
      <c r="C1901" s="190" t="s">
        <v>330</v>
      </c>
      <c r="D1901" s="190" t="s">
        <v>281</v>
      </c>
      <c r="E1901" s="190" t="s">
        <v>330</v>
      </c>
      <c r="F1901" s="168"/>
      <c r="G1901" s="165">
        <f t="shared" si="44"/>
        <v>4891.231000000007</v>
      </c>
      <c r="H1901" s="190"/>
      <c r="I1901" s="190" t="s">
        <v>342</v>
      </c>
      <c r="J1901" s="190"/>
      <c r="K1901" s="190"/>
      <c r="L1901" s="190" t="s">
        <v>805</v>
      </c>
      <c r="M1901" s="190"/>
      <c r="N1901" s="190" t="s">
        <v>978</v>
      </c>
      <c r="O1901" s="190"/>
      <c r="P1901" s="190"/>
      <c r="Q1901" s="190"/>
      <c r="R1901" s="190" t="s">
        <v>1292</v>
      </c>
      <c r="S1901" s="190" t="s">
        <v>1417</v>
      </c>
      <c r="T1901" s="43">
        <f t="shared" si="45"/>
        <v>3</v>
      </c>
      <c r="U1901" s="167">
        <f t="shared" si="46"/>
        <v>45736</v>
      </c>
      <c r="V1901" s="43"/>
      <c r="W1901" s="43">
        <f t="shared" si="43"/>
        <v>3</v>
      </c>
      <c r="X1901" s="43" t="s">
        <v>1483</v>
      </c>
      <c r="Y1901" s="43" t="s">
        <v>1443</v>
      </c>
      <c r="Z1901" s="43"/>
      <c r="AA1901" s="43"/>
    </row>
    <row r="1902" spans="1:28" hidden="1">
      <c r="A1902" s="163"/>
      <c r="B1902" s="164">
        <v>45736</v>
      </c>
      <c r="C1902" s="163" t="s">
        <v>346</v>
      </c>
      <c r="D1902" s="163"/>
      <c r="E1902" s="163"/>
      <c r="F1902" s="168">
        <v>0</v>
      </c>
      <c r="G1902" s="165">
        <f t="shared" si="44"/>
        <v>4891.231000000007</v>
      </c>
      <c r="H1902" s="163"/>
      <c r="I1902" s="163"/>
      <c r="J1902" s="163"/>
      <c r="K1902" s="163"/>
      <c r="L1902" s="163"/>
      <c r="M1902" s="163"/>
      <c r="N1902" s="163"/>
      <c r="O1902" s="163"/>
      <c r="P1902" s="163"/>
      <c r="Q1902" s="163"/>
      <c r="R1902" s="163"/>
      <c r="S1902" s="163"/>
      <c r="T1902" s="43">
        <f t="shared" si="45"/>
        <v>3</v>
      </c>
      <c r="U1902" s="167">
        <f t="shared" si="46"/>
        <v>45736</v>
      </c>
      <c r="W1902" s="43">
        <f t="shared" ref="W1902:W2156" si="47">MONTH(U1902)</f>
        <v>3</v>
      </c>
    </row>
    <row r="1903" spans="1:28" hidden="1">
      <c r="A1903" s="180" t="s">
        <v>1017</v>
      </c>
      <c r="B1903" s="181">
        <v>45737</v>
      </c>
      <c r="C1903" s="180" t="s">
        <v>1010</v>
      </c>
      <c r="D1903" s="180" t="s">
        <v>281</v>
      </c>
      <c r="E1903" s="180" t="s">
        <v>199</v>
      </c>
      <c r="F1903" s="182">
        <v>-2500</v>
      </c>
      <c r="G1903" s="165">
        <f t="shared" si="44"/>
        <v>2391.231000000007</v>
      </c>
      <c r="H1903" s="180"/>
      <c r="I1903" s="180" t="s">
        <v>283</v>
      </c>
      <c r="J1903" s="180"/>
      <c r="K1903" s="180"/>
      <c r="L1903" s="180" t="s">
        <v>485</v>
      </c>
      <c r="M1903" s="180"/>
      <c r="N1903" s="180" t="s">
        <v>978</v>
      </c>
      <c r="O1903" s="180"/>
      <c r="P1903" s="180"/>
      <c r="Q1903" s="180"/>
      <c r="R1903" s="180" t="s">
        <v>669</v>
      </c>
      <c r="S1903" s="180" t="s">
        <v>1492</v>
      </c>
      <c r="T1903" s="183">
        <f t="shared" si="45"/>
        <v>3</v>
      </c>
      <c r="U1903" s="184">
        <f t="shared" si="46"/>
        <v>45737</v>
      </c>
      <c r="V1903" s="183"/>
      <c r="W1903" s="43">
        <f t="shared" si="47"/>
        <v>3</v>
      </c>
      <c r="X1903" s="206" t="s">
        <v>1478</v>
      </c>
      <c r="Y1903" s="206" t="s">
        <v>26</v>
      </c>
      <c r="Z1903" s="183"/>
      <c r="AA1903" s="183"/>
      <c r="AB1903" s="183"/>
    </row>
    <row r="1904" spans="1:28" hidden="1">
      <c r="A1904" s="180" t="s">
        <v>1017</v>
      </c>
      <c r="B1904" s="181">
        <v>45737</v>
      </c>
      <c r="C1904" s="180" t="s">
        <v>1747</v>
      </c>
      <c r="D1904" s="180" t="s">
        <v>281</v>
      </c>
      <c r="E1904" s="180" t="s">
        <v>1702</v>
      </c>
      <c r="F1904" s="168">
        <f>-99.5-72.8-130-500</f>
        <v>-802.3</v>
      </c>
      <c r="G1904" s="165">
        <f t="shared" si="44"/>
        <v>1588.9310000000071</v>
      </c>
      <c r="H1904" s="180"/>
      <c r="I1904" s="180" t="s">
        <v>283</v>
      </c>
      <c r="J1904" s="180"/>
      <c r="K1904" s="180"/>
      <c r="L1904" s="180" t="s">
        <v>485</v>
      </c>
      <c r="M1904" s="180"/>
      <c r="N1904" s="180" t="s">
        <v>978</v>
      </c>
      <c r="O1904" s="180"/>
      <c r="P1904" s="180"/>
      <c r="Q1904" s="180"/>
      <c r="R1904" s="180" t="s">
        <v>669</v>
      </c>
      <c r="S1904" s="180" t="s">
        <v>1492</v>
      </c>
      <c r="T1904" s="183">
        <f t="shared" si="45"/>
        <v>3</v>
      </c>
      <c r="U1904" s="184">
        <f t="shared" si="46"/>
        <v>45737</v>
      </c>
      <c r="V1904" s="183"/>
      <c r="W1904" s="43">
        <f t="shared" si="47"/>
        <v>3</v>
      </c>
      <c r="X1904" s="183" t="s">
        <v>1381</v>
      </c>
      <c r="Y1904" s="183" t="s">
        <v>25</v>
      </c>
      <c r="Z1904" s="183"/>
      <c r="AA1904" s="183"/>
      <c r="AB1904" s="183"/>
    </row>
    <row r="1905" spans="1:28" ht="14.25" hidden="1" customHeight="1">
      <c r="A1905" s="180" t="s">
        <v>1017</v>
      </c>
      <c r="B1905" s="181">
        <v>45737</v>
      </c>
      <c r="C1905" s="180" t="s">
        <v>1748</v>
      </c>
      <c r="D1905" s="180" t="s">
        <v>281</v>
      </c>
      <c r="E1905" s="180" t="s">
        <v>356</v>
      </c>
      <c r="F1905" s="168">
        <v>-300</v>
      </c>
      <c r="G1905" s="165">
        <f t="shared" si="44"/>
        <v>1288.9310000000071</v>
      </c>
      <c r="H1905" s="180"/>
      <c r="I1905" s="180" t="s">
        <v>283</v>
      </c>
      <c r="J1905" s="180"/>
      <c r="K1905" s="180"/>
      <c r="L1905" s="180" t="s">
        <v>305</v>
      </c>
      <c r="M1905" s="180"/>
      <c r="N1905" s="180" t="s">
        <v>978</v>
      </c>
      <c r="O1905" s="180"/>
      <c r="P1905" s="180"/>
      <c r="Q1905" s="180" t="s">
        <v>1067</v>
      </c>
      <c r="R1905" s="180" t="s">
        <v>1087</v>
      </c>
      <c r="S1905" s="180" t="s">
        <v>1089</v>
      </c>
      <c r="T1905" s="189">
        <f t="shared" si="45"/>
        <v>3</v>
      </c>
      <c r="U1905" s="211">
        <f t="shared" si="46"/>
        <v>45737</v>
      </c>
      <c r="V1905" s="183"/>
      <c r="W1905" s="43">
        <f t="shared" si="47"/>
        <v>3</v>
      </c>
      <c r="X1905" s="183" t="s">
        <v>1689</v>
      </c>
      <c r="Y1905" s="183" t="s">
        <v>25</v>
      </c>
      <c r="Z1905" s="183" t="s">
        <v>1113</v>
      </c>
      <c r="AA1905" s="183" t="s">
        <v>1336</v>
      </c>
      <c r="AB1905" s="183"/>
    </row>
    <row r="1906" spans="1:28" ht="14.25" hidden="1" customHeight="1">
      <c r="A1906" s="180" t="s">
        <v>1017</v>
      </c>
      <c r="B1906" s="181">
        <v>45736</v>
      </c>
      <c r="C1906" s="180" t="s">
        <v>1738</v>
      </c>
      <c r="D1906" s="180" t="s">
        <v>281</v>
      </c>
      <c r="E1906" s="180" t="s">
        <v>1749</v>
      </c>
      <c r="F1906" s="168">
        <f>-122.94-107.82</f>
        <v>-230.76</v>
      </c>
      <c r="G1906" s="165">
        <f t="shared" si="44"/>
        <v>1058.1710000000071</v>
      </c>
      <c r="H1906" s="180"/>
      <c r="I1906" s="180" t="s">
        <v>283</v>
      </c>
      <c r="J1906" s="180"/>
      <c r="K1906" s="180"/>
      <c r="L1906" s="180" t="s">
        <v>305</v>
      </c>
      <c r="M1906" s="180"/>
      <c r="N1906" s="180" t="s">
        <v>978</v>
      </c>
      <c r="O1906" s="180"/>
      <c r="P1906" s="180"/>
      <c r="Q1906" s="180" t="s">
        <v>1067</v>
      </c>
      <c r="R1906" s="180" t="s">
        <v>1087</v>
      </c>
      <c r="S1906" s="180" t="s">
        <v>1089</v>
      </c>
      <c r="T1906" s="183">
        <f t="shared" si="45"/>
        <v>3</v>
      </c>
      <c r="U1906" s="184">
        <f t="shared" si="46"/>
        <v>45737</v>
      </c>
      <c r="V1906" s="145">
        <v>45737</v>
      </c>
      <c r="W1906" s="43">
        <f t="shared" si="47"/>
        <v>3</v>
      </c>
      <c r="X1906" s="43" t="s">
        <v>12</v>
      </c>
      <c r="Y1906" s="43" t="s">
        <v>1443</v>
      </c>
      <c r="Z1906" s="183" t="s">
        <v>1113</v>
      </c>
      <c r="AA1906" s="183" t="s">
        <v>1336</v>
      </c>
      <c r="AB1906" s="183"/>
    </row>
    <row r="1907" spans="1:28" hidden="1">
      <c r="A1907" s="163" t="s">
        <v>1017</v>
      </c>
      <c r="B1907" s="164">
        <v>45737</v>
      </c>
      <c r="C1907" s="190" t="s">
        <v>330</v>
      </c>
      <c r="D1907" s="190" t="s">
        <v>281</v>
      </c>
      <c r="E1907" s="190" t="s">
        <v>330</v>
      </c>
      <c r="F1907" s="185">
        <v>-3</v>
      </c>
      <c r="G1907" s="165">
        <f t="shared" si="44"/>
        <v>1055.1710000000071</v>
      </c>
      <c r="H1907" s="190"/>
      <c r="I1907" s="190" t="s">
        <v>342</v>
      </c>
      <c r="J1907" s="190"/>
      <c r="K1907" s="190"/>
      <c r="L1907" s="190" t="s">
        <v>805</v>
      </c>
      <c r="M1907" s="190"/>
      <c r="N1907" s="190" t="s">
        <v>978</v>
      </c>
      <c r="O1907" s="190"/>
      <c r="P1907" s="190"/>
      <c r="Q1907" s="190"/>
      <c r="R1907" s="190" t="s">
        <v>1292</v>
      </c>
      <c r="S1907" s="190" t="s">
        <v>1417</v>
      </c>
      <c r="T1907" s="43">
        <f t="shared" si="45"/>
        <v>3</v>
      </c>
      <c r="U1907" s="167">
        <f t="shared" si="46"/>
        <v>45737</v>
      </c>
      <c r="V1907" s="145"/>
      <c r="W1907" s="43">
        <f t="shared" si="47"/>
        <v>3</v>
      </c>
      <c r="X1907" s="43" t="s">
        <v>1483</v>
      </c>
      <c r="Y1907" s="43" t="s">
        <v>1443</v>
      </c>
      <c r="Z1907" s="43"/>
      <c r="AA1907" s="43"/>
    </row>
    <row r="1908" spans="1:28" hidden="1">
      <c r="A1908" s="163"/>
      <c r="B1908" s="164">
        <v>45737</v>
      </c>
      <c r="C1908" s="163" t="s">
        <v>346</v>
      </c>
      <c r="D1908" s="163"/>
      <c r="E1908" s="163"/>
      <c r="F1908" s="165">
        <v>0</v>
      </c>
      <c r="G1908" s="165">
        <f t="shared" si="44"/>
        <v>1055.1710000000071</v>
      </c>
      <c r="H1908" s="163"/>
      <c r="I1908" s="163"/>
      <c r="J1908" s="163"/>
      <c r="K1908" s="163"/>
      <c r="L1908" s="163"/>
      <c r="M1908" s="163"/>
      <c r="N1908" s="163"/>
      <c r="O1908" s="163"/>
      <c r="P1908" s="163"/>
      <c r="Q1908" s="163"/>
      <c r="R1908" s="163"/>
      <c r="S1908" s="163"/>
      <c r="T1908" s="43">
        <f t="shared" si="45"/>
        <v>3</v>
      </c>
      <c r="U1908" s="167">
        <f t="shared" si="46"/>
        <v>45737</v>
      </c>
      <c r="W1908" s="43">
        <f t="shared" si="47"/>
        <v>3</v>
      </c>
    </row>
    <row r="1909" spans="1:28" hidden="1">
      <c r="A1909" s="163" t="s">
        <v>1017</v>
      </c>
      <c r="B1909" s="164">
        <v>45740</v>
      </c>
      <c r="C1909" s="163" t="s">
        <v>1210</v>
      </c>
      <c r="D1909" s="163" t="s">
        <v>281</v>
      </c>
      <c r="E1909" s="163" t="s">
        <v>196</v>
      </c>
      <c r="F1909" s="168"/>
      <c r="G1909" s="165">
        <f t="shared" si="44"/>
        <v>1055.1710000000071</v>
      </c>
      <c r="H1909" s="163"/>
      <c r="I1909" s="163" t="s">
        <v>342</v>
      </c>
      <c r="J1909" s="163"/>
      <c r="K1909" s="163"/>
      <c r="L1909" s="163" t="s">
        <v>1686</v>
      </c>
      <c r="M1909" s="163"/>
      <c r="N1909" s="163" t="s">
        <v>978</v>
      </c>
      <c r="O1909" s="163"/>
      <c r="P1909" s="163"/>
      <c r="Q1909" s="163"/>
      <c r="R1909" s="163" t="s">
        <v>1211</v>
      </c>
      <c r="S1909" s="163" t="s">
        <v>1212</v>
      </c>
      <c r="T1909" s="43">
        <f t="shared" si="45"/>
        <v>3</v>
      </c>
      <c r="U1909" s="167">
        <f t="shared" si="46"/>
        <v>45740</v>
      </c>
      <c r="W1909" s="43">
        <f t="shared" si="47"/>
        <v>3</v>
      </c>
      <c r="X1909" s="43" t="s">
        <v>196</v>
      </c>
      <c r="Y1909" s="43" t="s">
        <v>1443</v>
      </c>
    </row>
    <row r="1910" spans="1:28" hidden="1">
      <c r="A1910" s="180" t="s">
        <v>1017</v>
      </c>
      <c r="B1910" s="181">
        <v>45740</v>
      </c>
      <c r="C1910" s="180" t="s">
        <v>1750</v>
      </c>
      <c r="D1910" s="180" t="s">
        <v>281</v>
      </c>
      <c r="E1910" s="180" t="s">
        <v>1702</v>
      </c>
      <c r="F1910" s="168">
        <v>-500</v>
      </c>
      <c r="G1910" s="165">
        <f t="shared" si="44"/>
        <v>555.1710000000071</v>
      </c>
      <c r="H1910" s="180"/>
      <c r="I1910" s="180" t="s">
        <v>283</v>
      </c>
      <c r="J1910" s="180"/>
      <c r="K1910" s="180"/>
      <c r="L1910" s="180" t="s">
        <v>485</v>
      </c>
      <c r="M1910" s="180"/>
      <c r="N1910" s="180" t="s">
        <v>978</v>
      </c>
      <c r="O1910" s="180"/>
      <c r="P1910" s="180"/>
      <c r="Q1910" s="180"/>
      <c r="R1910" s="180" t="s">
        <v>669</v>
      </c>
      <c r="S1910" s="180" t="s">
        <v>1492</v>
      </c>
      <c r="T1910" s="183">
        <f t="shared" si="45"/>
        <v>3</v>
      </c>
      <c r="U1910" s="184">
        <f t="shared" si="46"/>
        <v>45740</v>
      </c>
      <c r="V1910" s="183"/>
      <c r="W1910" s="43">
        <f t="shared" si="47"/>
        <v>3</v>
      </c>
      <c r="X1910" s="183" t="s">
        <v>1381</v>
      </c>
      <c r="Y1910" s="183" t="s">
        <v>25</v>
      </c>
      <c r="Z1910" s="183"/>
      <c r="AA1910" s="183"/>
      <c r="AB1910" s="183"/>
    </row>
    <row r="1911" spans="1:28" hidden="1">
      <c r="A1911" s="163" t="s">
        <v>1017</v>
      </c>
      <c r="B1911" s="164">
        <v>45740</v>
      </c>
      <c r="C1911" s="163" t="s">
        <v>1013</v>
      </c>
      <c r="D1911" s="163" t="s">
        <v>281</v>
      </c>
      <c r="E1911" s="163" t="s">
        <v>199</v>
      </c>
      <c r="F1911" s="168">
        <v>-200</v>
      </c>
      <c r="G1911" s="165">
        <f t="shared" si="44"/>
        <v>355.1710000000071</v>
      </c>
      <c r="H1911" s="163"/>
      <c r="I1911" s="163" t="s">
        <v>977</v>
      </c>
      <c r="J1911" s="163"/>
      <c r="K1911" s="163"/>
      <c r="L1911" s="163" t="s">
        <v>1751</v>
      </c>
      <c r="M1911" s="163"/>
      <c r="N1911" s="163" t="s">
        <v>978</v>
      </c>
      <c r="O1911" s="163"/>
      <c r="P1911" s="163"/>
      <c r="Q1911" s="163"/>
      <c r="R1911" s="163" t="s">
        <v>1015</v>
      </c>
      <c r="S1911" s="163" t="s">
        <v>1016</v>
      </c>
      <c r="T1911" s="43">
        <f t="shared" si="45"/>
        <v>3</v>
      </c>
      <c r="U1911" s="167">
        <f t="shared" si="46"/>
        <v>45740</v>
      </c>
      <c r="W1911" s="43">
        <f t="shared" si="47"/>
        <v>3</v>
      </c>
      <c r="X1911" s="49" t="s">
        <v>1480</v>
      </c>
      <c r="Y1911" s="49" t="s">
        <v>26</v>
      </c>
    </row>
    <row r="1912" spans="1:28" hidden="1">
      <c r="A1912" s="180" t="s">
        <v>1017</v>
      </c>
      <c r="B1912" s="181">
        <v>45740</v>
      </c>
      <c r="C1912" s="180" t="s">
        <v>1725</v>
      </c>
      <c r="D1912" s="180" t="s">
        <v>281</v>
      </c>
      <c r="E1912" s="180" t="s">
        <v>1702</v>
      </c>
      <c r="F1912" s="168">
        <v>-350</v>
      </c>
      <c r="G1912" s="165">
        <f t="shared" si="44"/>
        <v>5.1710000000070977</v>
      </c>
      <c r="H1912" s="180"/>
      <c r="I1912" s="180" t="s">
        <v>283</v>
      </c>
      <c r="J1912" s="180"/>
      <c r="K1912" s="180"/>
      <c r="L1912" s="180" t="s">
        <v>485</v>
      </c>
      <c r="M1912" s="180"/>
      <c r="N1912" s="180" t="s">
        <v>978</v>
      </c>
      <c r="O1912" s="180"/>
      <c r="P1912" s="180"/>
      <c r="Q1912" s="180"/>
      <c r="R1912" s="180" t="s">
        <v>669</v>
      </c>
      <c r="S1912" s="180" t="s">
        <v>1492</v>
      </c>
      <c r="T1912" s="183">
        <f t="shared" si="45"/>
        <v>3</v>
      </c>
      <c r="U1912" s="184">
        <f t="shared" si="46"/>
        <v>45740</v>
      </c>
      <c r="V1912" s="183"/>
      <c r="W1912" s="43">
        <f t="shared" si="47"/>
        <v>3</v>
      </c>
      <c r="X1912" s="183" t="s">
        <v>1381</v>
      </c>
      <c r="Y1912" s="183" t="s">
        <v>25</v>
      </c>
      <c r="Z1912" s="183"/>
      <c r="AA1912" s="183"/>
      <c r="AB1912" s="183"/>
    </row>
    <row r="1913" spans="1:28" hidden="1">
      <c r="A1913" s="163" t="s">
        <v>1017</v>
      </c>
      <c r="B1913" s="164">
        <v>45740</v>
      </c>
      <c r="C1913" s="190" t="s">
        <v>330</v>
      </c>
      <c r="D1913" s="190" t="s">
        <v>281</v>
      </c>
      <c r="E1913" s="190" t="s">
        <v>330</v>
      </c>
      <c r="F1913" s="185">
        <v>-1.5</v>
      </c>
      <c r="G1913" s="165">
        <f t="shared" si="44"/>
        <v>3.6710000000070977</v>
      </c>
      <c r="H1913" s="190"/>
      <c r="I1913" s="190" t="s">
        <v>342</v>
      </c>
      <c r="J1913" s="190"/>
      <c r="K1913" s="190"/>
      <c r="L1913" s="190" t="s">
        <v>805</v>
      </c>
      <c r="M1913" s="190"/>
      <c r="N1913" s="190" t="s">
        <v>978</v>
      </c>
      <c r="O1913" s="190"/>
      <c r="P1913" s="190"/>
      <c r="Q1913" s="190"/>
      <c r="R1913" s="190" t="s">
        <v>1292</v>
      </c>
      <c r="S1913" s="190" t="s">
        <v>1417</v>
      </c>
      <c r="T1913" s="43">
        <f t="shared" si="45"/>
        <v>3</v>
      </c>
      <c r="U1913" s="167">
        <f t="shared" si="46"/>
        <v>45740</v>
      </c>
      <c r="V1913" s="145">
        <v>45740</v>
      </c>
      <c r="W1913" s="43">
        <f t="shared" si="47"/>
        <v>3</v>
      </c>
      <c r="X1913" s="43" t="s">
        <v>1483</v>
      </c>
      <c r="Y1913" s="43" t="s">
        <v>1443</v>
      </c>
      <c r="Z1913" s="43"/>
      <c r="AA1913" s="43"/>
    </row>
    <row r="1914" spans="1:28" hidden="1">
      <c r="A1914" s="163"/>
      <c r="B1914" s="164">
        <v>45740</v>
      </c>
      <c r="C1914" s="163" t="s">
        <v>346</v>
      </c>
      <c r="D1914" s="163"/>
      <c r="E1914" s="163"/>
      <c r="F1914" s="165">
        <v>0</v>
      </c>
      <c r="G1914" s="165">
        <f t="shared" si="44"/>
        <v>3.6710000000070977</v>
      </c>
      <c r="H1914" s="163"/>
      <c r="I1914" s="163"/>
      <c r="J1914" s="163"/>
      <c r="K1914" s="163"/>
      <c r="L1914" s="163"/>
      <c r="M1914" s="163"/>
      <c r="N1914" s="163"/>
      <c r="O1914" s="163"/>
      <c r="P1914" s="163"/>
      <c r="Q1914" s="163"/>
      <c r="R1914" s="163"/>
      <c r="S1914" s="163"/>
      <c r="T1914" s="43">
        <f t="shared" si="45"/>
        <v>3</v>
      </c>
      <c r="U1914" s="167">
        <f t="shared" si="46"/>
        <v>45740</v>
      </c>
      <c r="W1914" s="43">
        <f t="shared" si="47"/>
        <v>3</v>
      </c>
    </row>
    <row r="1915" spans="1:28" hidden="1">
      <c r="A1915" s="163" t="s">
        <v>1174</v>
      </c>
      <c r="B1915" s="164">
        <v>45741</v>
      </c>
      <c r="C1915" s="163" t="s">
        <v>1115</v>
      </c>
      <c r="D1915" s="163" t="s">
        <v>281</v>
      </c>
      <c r="E1915" s="163" t="s">
        <v>407</v>
      </c>
      <c r="F1915" s="197">
        <v>4390</v>
      </c>
      <c r="G1915" s="165">
        <f t="shared" si="44"/>
        <v>4393.6710000000076</v>
      </c>
      <c r="H1915" s="163"/>
      <c r="I1915" s="163" t="s">
        <v>1176</v>
      </c>
      <c r="J1915" s="163" t="s">
        <v>1454</v>
      </c>
      <c r="K1915" s="163"/>
      <c r="L1915" s="163" t="s">
        <v>305</v>
      </c>
      <c r="M1915" s="163"/>
      <c r="N1915" s="163" t="s">
        <v>1178</v>
      </c>
      <c r="O1915" s="163" t="s">
        <v>1454</v>
      </c>
      <c r="P1915" s="163" t="s">
        <v>1023</v>
      </c>
      <c r="Q1915" s="163"/>
      <c r="R1915" s="163" t="s">
        <v>1120</v>
      </c>
      <c r="S1915" s="163" t="s">
        <v>1121</v>
      </c>
      <c r="T1915" s="43">
        <f t="shared" si="45"/>
        <v>3</v>
      </c>
      <c r="U1915" s="167">
        <f t="shared" si="46"/>
        <v>45741</v>
      </c>
      <c r="W1915" s="43">
        <f t="shared" si="47"/>
        <v>3</v>
      </c>
      <c r="X1915" s="43" t="s">
        <v>1484</v>
      </c>
      <c r="Y1915" s="43" t="s">
        <v>1485</v>
      </c>
    </row>
    <row r="1916" spans="1:28" hidden="1">
      <c r="A1916" s="180" t="s">
        <v>1174</v>
      </c>
      <c r="B1916" s="181">
        <v>45741</v>
      </c>
      <c r="C1916" s="180" t="s">
        <v>1645</v>
      </c>
      <c r="D1916" s="180" t="s">
        <v>281</v>
      </c>
      <c r="E1916" s="180" t="s">
        <v>407</v>
      </c>
      <c r="F1916" s="197">
        <v>3416.67</v>
      </c>
      <c r="G1916" s="165">
        <f t="shared" si="44"/>
        <v>7810.3410000000076</v>
      </c>
      <c r="H1916" s="180"/>
      <c r="I1916" s="180" t="s">
        <v>1176</v>
      </c>
      <c r="J1916" s="180" t="s">
        <v>1459</v>
      </c>
      <c r="K1916" s="180"/>
      <c r="L1916" s="180" t="s">
        <v>305</v>
      </c>
      <c r="M1916" s="180"/>
      <c r="N1916" s="180" t="s">
        <v>1178</v>
      </c>
      <c r="O1916" s="180" t="s">
        <v>1459</v>
      </c>
      <c r="P1916" s="180" t="s">
        <v>57</v>
      </c>
      <c r="Q1916" s="180"/>
      <c r="R1916" s="180" t="s">
        <v>1245</v>
      </c>
      <c r="S1916" s="180" t="s">
        <v>1246</v>
      </c>
      <c r="T1916" s="183">
        <f t="shared" si="45"/>
        <v>3</v>
      </c>
      <c r="U1916" s="184">
        <f t="shared" si="46"/>
        <v>45741</v>
      </c>
      <c r="V1916" s="183"/>
      <c r="W1916" s="43">
        <f t="shared" si="47"/>
        <v>3</v>
      </c>
      <c r="X1916" s="43" t="s">
        <v>1484</v>
      </c>
      <c r="Y1916" s="43" t="s">
        <v>1485</v>
      </c>
      <c r="Z1916" s="183"/>
      <c r="AA1916" s="183"/>
      <c r="AB1916" s="183"/>
    </row>
    <row r="1917" spans="1:28" hidden="1">
      <c r="A1917" s="163" t="s">
        <v>1174</v>
      </c>
      <c r="B1917" s="164">
        <v>45736</v>
      </c>
      <c r="C1917" s="163" t="s">
        <v>1752</v>
      </c>
      <c r="D1917" s="163" t="s">
        <v>281</v>
      </c>
      <c r="E1917" s="163" t="s">
        <v>407</v>
      </c>
      <c r="F1917" s="165">
        <v>2997</v>
      </c>
      <c r="G1917" s="165">
        <f t="shared" si="44"/>
        <v>10807.341000000008</v>
      </c>
      <c r="H1917" s="163"/>
      <c r="I1917" s="163" t="s">
        <v>1176</v>
      </c>
      <c r="J1917" s="163" t="s">
        <v>1420</v>
      </c>
      <c r="K1917" s="163"/>
      <c r="L1917" s="163" t="s">
        <v>305</v>
      </c>
      <c r="M1917" s="163"/>
      <c r="N1917" s="163" t="s">
        <v>1178</v>
      </c>
      <c r="O1917" s="163" t="s">
        <v>1420</v>
      </c>
      <c r="P1917" s="163" t="s">
        <v>1023</v>
      </c>
      <c r="Q1917" s="163"/>
      <c r="R1917" s="163" t="s">
        <v>1024</v>
      </c>
      <c r="S1917" s="163" t="s">
        <v>1025</v>
      </c>
      <c r="T1917" s="43">
        <f t="shared" si="45"/>
        <v>3</v>
      </c>
      <c r="U1917" s="167">
        <f t="shared" si="46"/>
        <v>45741</v>
      </c>
      <c r="V1917" s="166">
        <v>45741</v>
      </c>
      <c r="W1917" s="43">
        <f t="shared" si="47"/>
        <v>3</v>
      </c>
      <c r="X1917" s="43" t="s">
        <v>1484</v>
      </c>
      <c r="Y1917" s="43" t="s">
        <v>1485</v>
      </c>
    </row>
    <row r="1918" spans="1:28" hidden="1">
      <c r="A1918" s="180" t="s">
        <v>1174</v>
      </c>
      <c r="B1918" s="181">
        <v>45741</v>
      </c>
      <c r="C1918" s="180" t="s">
        <v>1621</v>
      </c>
      <c r="D1918" s="180" t="s">
        <v>281</v>
      </c>
      <c r="E1918" s="180" t="s">
        <v>407</v>
      </c>
      <c r="F1918" s="197">
        <v>4500</v>
      </c>
      <c r="G1918" s="165">
        <f t="shared" si="44"/>
        <v>15307.341000000008</v>
      </c>
      <c r="H1918" s="180"/>
      <c r="I1918" s="180" t="s">
        <v>1176</v>
      </c>
      <c r="J1918" s="180" t="s">
        <v>1452</v>
      </c>
      <c r="K1918" s="180"/>
      <c r="L1918" s="180" t="s">
        <v>305</v>
      </c>
      <c r="M1918" s="180"/>
      <c r="N1918" s="180" t="s">
        <v>1178</v>
      </c>
      <c r="O1918" s="180" t="s">
        <v>1452</v>
      </c>
      <c r="P1918" s="180" t="s">
        <v>57</v>
      </c>
      <c r="Q1918" s="180"/>
      <c r="R1918" s="180" t="s">
        <v>1128</v>
      </c>
      <c r="S1918" s="180" t="s">
        <v>1129</v>
      </c>
      <c r="T1918" s="183">
        <f t="shared" si="45"/>
        <v>3</v>
      </c>
      <c r="U1918" s="184">
        <f t="shared" si="46"/>
        <v>45741</v>
      </c>
      <c r="V1918" s="183"/>
      <c r="W1918" s="43">
        <f t="shared" si="47"/>
        <v>3</v>
      </c>
      <c r="X1918" s="43" t="s">
        <v>1484</v>
      </c>
      <c r="Y1918" s="43" t="s">
        <v>1485</v>
      </c>
      <c r="Z1918" s="183"/>
      <c r="AA1918" s="183"/>
      <c r="AB1918" s="183"/>
    </row>
    <row r="1919" spans="1:28" hidden="1">
      <c r="A1919" s="163" t="s">
        <v>1017</v>
      </c>
      <c r="B1919" s="164">
        <v>45726</v>
      </c>
      <c r="C1919" s="163" t="s">
        <v>840</v>
      </c>
      <c r="D1919" s="163" t="s">
        <v>281</v>
      </c>
      <c r="E1919" s="163" t="s">
        <v>841</v>
      </c>
      <c r="F1919" s="168">
        <v>-1874.58</v>
      </c>
      <c r="G1919" s="165">
        <f t="shared" si="44"/>
        <v>13432.761000000008</v>
      </c>
      <c r="H1919" s="163"/>
      <c r="I1919" s="163" t="s">
        <v>342</v>
      </c>
      <c r="J1919" s="163"/>
      <c r="K1919" s="163"/>
      <c r="L1919" s="163" t="s">
        <v>1571</v>
      </c>
      <c r="M1919" s="163"/>
      <c r="N1919" s="163" t="s">
        <v>978</v>
      </c>
      <c r="O1919" s="163"/>
      <c r="P1919" s="163"/>
      <c r="Q1919" s="163"/>
      <c r="R1919" s="163" t="s">
        <v>125</v>
      </c>
      <c r="S1919" s="163" t="s">
        <v>843</v>
      </c>
      <c r="T1919" s="43">
        <f t="shared" si="45"/>
        <v>3</v>
      </c>
      <c r="U1919" s="167">
        <f t="shared" si="46"/>
        <v>45741</v>
      </c>
      <c r="V1919" s="166">
        <v>45741</v>
      </c>
      <c r="W1919" s="43">
        <f t="shared" si="47"/>
        <v>3</v>
      </c>
      <c r="X1919" s="49" t="s">
        <v>1483</v>
      </c>
      <c r="Y1919" s="49" t="s">
        <v>1443</v>
      </c>
    </row>
    <row r="1920" spans="1:28" hidden="1">
      <c r="A1920" s="180" t="s">
        <v>1017</v>
      </c>
      <c r="B1920" s="181">
        <v>45741</v>
      </c>
      <c r="C1920" s="180" t="s">
        <v>1750</v>
      </c>
      <c r="D1920" s="180" t="s">
        <v>281</v>
      </c>
      <c r="E1920" s="180" t="s">
        <v>1702</v>
      </c>
      <c r="F1920" s="168">
        <v>-2500</v>
      </c>
      <c r="G1920" s="165">
        <f t="shared" si="44"/>
        <v>10932.761000000008</v>
      </c>
      <c r="H1920" s="180"/>
      <c r="I1920" s="180" t="s">
        <v>283</v>
      </c>
      <c r="J1920" s="180"/>
      <c r="K1920" s="180"/>
      <c r="L1920" s="180" t="s">
        <v>485</v>
      </c>
      <c r="M1920" s="180"/>
      <c r="N1920" s="180" t="s">
        <v>978</v>
      </c>
      <c r="O1920" s="180"/>
      <c r="P1920" s="180"/>
      <c r="Q1920" s="180"/>
      <c r="R1920" s="180" t="s">
        <v>669</v>
      </c>
      <c r="S1920" s="180" t="s">
        <v>1492</v>
      </c>
      <c r="T1920" s="183">
        <f t="shared" si="45"/>
        <v>3</v>
      </c>
      <c r="U1920" s="184">
        <f t="shared" si="46"/>
        <v>45741</v>
      </c>
      <c r="V1920" s="183"/>
      <c r="W1920" s="43">
        <f t="shared" si="47"/>
        <v>3</v>
      </c>
      <c r="X1920" s="183" t="s">
        <v>1381</v>
      </c>
      <c r="Y1920" s="183" t="s">
        <v>25</v>
      </c>
      <c r="Z1920" s="183"/>
      <c r="AA1920" s="183"/>
      <c r="AB1920" s="183"/>
    </row>
    <row r="1921" spans="1:28" hidden="1">
      <c r="A1921" s="180" t="s">
        <v>1017</v>
      </c>
      <c r="B1921" s="181">
        <v>45740</v>
      </c>
      <c r="C1921" s="180" t="s">
        <v>1725</v>
      </c>
      <c r="D1921" s="180" t="s">
        <v>281</v>
      </c>
      <c r="E1921" s="180" t="s">
        <v>1702</v>
      </c>
      <c r="F1921" s="168">
        <v>-150</v>
      </c>
      <c r="G1921" s="165">
        <f t="shared" si="44"/>
        <v>10782.761000000008</v>
      </c>
      <c r="H1921" s="180"/>
      <c r="I1921" s="180" t="s">
        <v>283</v>
      </c>
      <c r="J1921" s="180"/>
      <c r="K1921" s="180"/>
      <c r="L1921" s="180" t="s">
        <v>485</v>
      </c>
      <c r="M1921" s="180"/>
      <c r="N1921" s="180" t="s">
        <v>978</v>
      </c>
      <c r="O1921" s="180"/>
      <c r="P1921" s="180"/>
      <c r="Q1921" s="180"/>
      <c r="R1921" s="180" t="s">
        <v>669</v>
      </c>
      <c r="S1921" s="180" t="s">
        <v>1492</v>
      </c>
      <c r="T1921" s="183">
        <f t="shared" si="45"/>
        <v>3</v>
      </c>
      <c r="U1921" s="184">
        <f t="shared" si="46"/>
        <v>45741</v>
      </c>
      <c r="V1921" s="187">
        <v>45741</v>
      </c>
      <c r="W1921" s="43">
        <f t="shared" si="47"/>
        <v>3</v>
      </c>
      <c r="X1921" s="183" t="s">
        <v>1381</v>
      </c>
      <c r="Y1921" s="183" t="s">
        <v>25</v>
      </c>
      <c r="Z1921" s="183"/>
      <c r="AA1921" s="183"/>
      <c r="AB1921" s="183"/>
    </row>
    <row r="1922" spans="1:28" hidden="1">
      <c r="A1922" s="180" t="s">
        <v>1017</v>
      </c>
      <c r="B1922" s="181">
        <v>45740</v>
      </c>
      <c r="C1922" s="180" t="s">
        <v>1010</v>
      </c>
      <c r="D1922" s="180" t="s">
        <v>281</v>
      </c>
      <c r="E1922" s="180" t="s">
        <v>199</v>
      </c>
      <c r="F1922" s="182">
        <v>-3000</v>
      </c>
      <c r="G1922" s="165">
        <f t="shared" si="44"/>
        <v>7782.7610000000077</v>
      </c>
      <c r="H1922" s="180"/>
      <c r="I1922" s="180" t="s">
        <v>283</v>
      </c>
      <c r="J1922" s="180"/>
      <c r="K1922" s="180"/>
      <c r="L1922" s="180" t="s">
        <v>485</v>
      </c>
      <c r="M1922" s="180"/>
      <c r="N1922" s="180" t="s">
        <v>978</v>
      </c>
      <c r="O1922" s="180"/>
      <c r="P1922" s="180"/>
      <c r="Q1922" s="180"/>
      <c r="R1922" s="180" t="s">
        <v>669</v>
      </c>
      <c r="S1922" s="180" t="s">
        <v>1492</v>
      </c>
      <c r="T1922" s="183">
        <f t="shared" si="45"/>
        <v>3</v>
      </c>
      <c r="U1922" s="184">
        <f t="shared" si="46"/>
        <v>45741</v>
      </c>
      <c r="V1922" s="166">
        <v>45741</v>
      </c>
      <c r="W1922" s="43">
        <f t="shared" si="47"/>
        <v>3</v>
      </c>
      <c r="X1922" s="206" t="s">
        <v>1478</v>
      </c>
      <c r="Y1922" s="206" t="s">
        <v>26</v>
      </c>
      <c r="Z1922" s="183"/>
      <c r="AA1922" s="183"/>
      <c r="AB1922" s="183"/>
    </row>
    <row r="1923" spans="1:28" hidden="1">
      <c r="A1923" s="163" t="s">
        <v>1017</v>
      </c>
      <c r="B1923" s="164">
        <v>45741</v>
      </c>
      <c r="C1923" s="190" t="s">
        <v>330</v>
      </c>
      <c r="D1923" s="190" t="s">
        <v>281</v>
      </c>
      <c r="E1923" s="190" t="s">
        <v>330</v>
      </c>
      <c r="F1923" s="185">
        <f>-1.99*3-2</f>
        <v>-7.97</v>
      </c>
      <c r="G1923" s="165">
        <f t="shared" si="44"/>
        <v>7774.7910000000074</v>
      </c>
      <c r="H1923" s="190"/>
      <c r="I1923" s="190" t="s">
        <v>342</v>
      </c>
      <c r="J1923" s="190"/>
      <c r="K1923" s="190"/>
      <c r="L1923" s="190" t="s">
        <v>805</v>
      </c>
      <c r="M1923" s="190"/>
      <c r="N1923" s="190" t="s">
        <v>978</v>
      </c>
      <c r="O1923" s="190"/>
      <c r="P1923" s="190"/>
      <c r="Q1923" s="190"/>
      <c r="R1923" s="190" t="s">
        <v>1292</v>
      </c>
      <c r="S1923" s="190" t="s">
        <v>1417</v>
      </c>
      <c r="T1923" s="43">
        <f t="shared" si="45"/>
        <v>3</v>
      </c>
      <c r="U1923" s="167">
        <f t="shared" si="46"/>
        <v>45741</v>
      </c>
      <c r="V1923" s="145"/>
      <c r="W1923" s="43">
        <f t="shared" si="47"/>
        <v>3</v>
      </c>
      <c r="X1923" s="43" t="s">
        <v>1483</v>
      </c>
      <c r="Y1923" s="43" t="s">
        <v>1443</v>
      </c>
      <c r="Z1923" s="43"/>
      <c r="AA1923" s="43"/>
    </row>
    <row r="1924" spans="1:28" hidden="1">
      <c r="A1924" s="163"/>
      <c r="B1924" s="164">
        <v>45741</v>
      </c>
      <c r="C1924" s="163" t="s">
        <v>346</v>
      </c>
      <c r="D1924" s="163"/>
      <c r="E1924" s="163"/>
      <c r="F1924" s="165">
        <v>0</v>
      </c>
      <c r="G1924" s="165">
        <f t="shared" si="44"/>
        <v>7774.7910000000074</v>
      </c>
      <c r="H1924" s="163"/>
      <c r="I1924" s="163"/>
      <c r="J1924" s="163"/>
      <c r="K1924" s="163"/>
      <c r="L1924" s="163"/>
      <c r="M1924" s="163"/>
      <c r="N1924" s="163"/>
      <c r="O1924" s="163"/>
      <c r="P1924" s="163"/>
      <c r="Q1924" s="163"/>
      <c r="R1924" s="163"/>
      <c r="S1924" s="163"/>
      <c r="T1924" s="43">
        <f t="shared" si="45"/>
        <v>3</v>
      </c>
      <c r="U1924" s="167">
        <f t="shared" si="46"/>
        <v>45741</v>
      </c>
      <c r="W1924" s="43">
        <f t="shared" si="47"/>
        <v>3</v>
      </c>
    </row>
    <row r="1925" spans="1:28" hidden="1">
      <c r="A1925" s="163" t="s">
        <v>1174</v>
      </c>
      <c r="B1925" s="164">
        <v>45741</v>
      </c>
      <c r="C1925" s="163" t="s">
        <v>1175</v>
      </c>
      <c r="D1925" s="163" t="s">
        <v>281</v>
      </c>
      <c r="E1925" s="163" t="s">
        <v>407</v>
      </c>
      <c r="F1925" s="197">
        <v>2500</v>
      </c>
      <c r="G1925" s="165">
        <f t="shared" si="44"/>
        <v>10274.791000000008</v>
      </c>
      <c r="H1925" s="163"/>
      <c r="I1925" s="163" t="s">
        <v>1176</v>
      </c>
      <c r="J1925" s="163" t="s">
        <v>1177</v>
      </c>
      <c r="K1925" s="163"/>
      <c r="L1925" s="163" t="s">
        <v>305</v>
      </c>
      <c r="M1925" s="163"/>
      <c r="N1925" s="163" t="s">
        <v>1178</v>
      </c>
      <c r="O1925" s="163" t="s">
        <v>1177</v>
      </c>
      <c r="P1925" s="163" t="s">
        <v>57</v>
      </c>
      <c r="Q1925" s="163"/>
      <c r="R1925" s="163" t="s">
        <v>1179</v>
      </c>
      <c r="S1925" s="163" t="s">
        <v>1180</v>
      </c>
      <c r="T1925" s="43">
        <f t="shared" si="45"/>
        <v>3</v>
      </c>
      <c r="U1925" s="167">
        <f t="shared" si="46"/>
        <v>45742</v>
      </c>
      <c r="V1925" s="166">
        <v>45742</v>
      </c>
      <c r="W1925" s="43">
        <f t="shared" si="47"/>
        <v>3</v>
      </c>
      <c r="X1925" s="43" t="s">
        <v>1484</v>
      </c>
      <c r="Y1925" s="43" t="s">
        <v>1485</v>
      </c>
    </row>
    <row r="1926" spans="1:28" hidden="1">
      <c r="A1926" s="163" t="s">
        <v>1174</v>
      </c>
      <c r="B1926" s="164">
        <v>45741</v>
      </c>
      <c r="C1926" s="163" t="s">
        <v>1182</v>
      </c>
      <c r="D1926" s="163" t="s">
        <v>281</v>
      </c>
      <c r="E1926" s="163" t="s">
        <v>407</v>
      </c>
      <c r="F1926" s="197">
        <v>3710.25</v>
      </c>
      <c r="G1926" s="165">
        <f t="shared" si="44"/>
        <v>13985.041000000008</v>
      </c>
      <c r="H1926" s="163"/>
      <c r="I1926" s="163" t="s">
        <v>1176</v>
      </c>
      <c r="J1926" s="163" t="s">
        <v>1457</v>
      </c>
      <c r="K1926" s="163"/>
      <c r="L1926" s="163" t="s">
        <v>305</v>
      </c>
      <c r="M1926" s="163"/>
      <c r="N1926" s="163" t="s">
        <v>1178</v>
      </c>
      <c r="O1926" s="163" t="s">
        <v>1457</v>
      </c>
      <c r="P1926" s="163" t="s">
        <v>957</v>
      </c>
      <c r="Q1926" s="163"/>
      <c r="R1926" s="163" t="s">
        <v>1182</v>
      </c>
      <c r="S1926" s="163" t="s">
        <v>1187</v>
      </c>
      <c r="T1926" s="43">
        <f t="shared" si="45"/>
        <v>3</v>
      </c>
      <c r="U1926" s="167">
        <f t="shared" si="46"/>
        <v>45742</v>
      </c>
      <c r="V1926" s="166">
        <v>45742</v>
      </c>
      <c r="W1926" s="43">
        <f t="shared" si="47"/>
        <v>3</v>
      </c>
      <c r="X1926" s="43" t="s">
        <v>1484</v>
      </c>
      <c r="Y1926" s="43" t="s">
        <v>1485</v>
      </c>
    </row>
    <row r="1927" spans="1:28" hidden="1">
      <c r="A1927" s="163" t="s">
        <v>1174</v>
      </c>
      <c r="B1927" s="164">
        <v>45741</v>
      </c>
      <c r="C1927" s="163" t="s">
        <v>1166</v>
      </c>
      <c r="D1927" s="163" t="s">
        <v>281</v>
      </c>
      <c r="E1927" s="163" t="s">
        <v>407</v>
      </c>
      <c r="F1927" s="197">
        <v>4199</v>
      </c>
      <c r="G1927" s="165">
        <f t="shared" si="44"/>
        <v>18184.041000000008</v>
      </c>
      <c r="H1927" s="163"/>
      <c r="I1927" s="163" t="s">
        <v>1176</v>
      </c>
      <c r="J1927" s="163" t="s">
        <v>1466</v>
      </c>
      <c r="K1927" s="163"/>
      <c r="L1927" s="163" t="s">
        <v>305</v>
      </c>
      <c r="M1927" s="163"/>
      <c r="N1927" s="163" t="s">
        <v>1178</v>
      </c>
      <c r="O1927" s="163" t="s">
        <v>1466</v>
      </c>
      <c r="P1927" s="163" t="s">
        <v>62</v>
      </c>
      <c r="Q1927" s="163"/>
      <c r="R1927" s="163" t="s">
        <v>1171</v>
      </c>
      <c r="S1927" s="163" t="s">
        <v>1172</v>
      </c>
      <c r="T1927" s="43">
        <f t="shared" si="45"/>
        <v>3</v>
      </c>
      <c r="U1927" s="167">
        <f t="shared" si="46"/>
        <v>45742</v>
      </c>
      <c r="V1927" s="166">
        <v>45742</v>
      </c>
      <c r="W1927" s="43">
        <f t="shared" si="47"/>
        <v>3</v>
      </c>
      <c r="X1927" s="43" t="s">
        <v>1484</v>
      </c>
      <c r="Y1927" s="43" t="s">
        <v>1485</v>
      </c>
    </row>
    <row r="1928" spans="1:28" hidden="1">
      <c r="A1928" s="163" t="s">
        <v>1174</v>
      </c>
      <c r="B1928" s="164">
        <v>45736</v>
      </c>
      <c r="C1928" s="163" t="s">
        <v>1412</v>
      </c>
      <c r="D1928" s="163" t="s">
        <v>281</v>
      </c>
      <c r="E1928" s="163" t="s">
        <v>407</v>
      </c>
      <c r="F1928" s="165">
        <v>3000</v>
      </c>
      <c r="G1928" s="165">
        <f t="shared" si="44"/>
        <v>21184.041000000008</v>
      </c>
      <c r="H1928" s="163"/>
      <c r="I1928" s="163" t="s">
        <v>1176</v>
      </c>
      <c r="J1928" s="163" t="s">
        <v>1420</v>
      </c>
      <c r="K1928" s="163"/>
      <c r="L1928" s="163" t="s">
        <v>305</v>
      </c>
      <c r="M1928" s="163"/>
      <c r="N1928" s="163" t="s">
        <v>1178</v>
      </c>
      <c r="O1928" s="163" t="s">
        <v>1420</v>
      </c>
      <c r="P1928" s="163" t="s">
        <v>1023</v>
      </c>
      <c r="Q1928" s="163"/>
      <c r="R1928" s="163" t="s">
        <v>1024</v>
      </c>
      <c r="S1928" s="163" t="s">
        <v>1025</v>
      </c>
      <c r="T1928" s="43">
        <f t="shared" si="45"/>
        <v>3</v>
      </c>
      <c r="U1928" s="167">
        <f t="shared" si="46"/>
        <v>45742</v>
      </c>
      <c r="V1928" s="166">
        <v>45742</v>
      </c>
      <c r="W1928" s="43">
        <f t="shared" si="47"/>
        <v>3</v>
      </c>
      <c r="X1928" s="43" t="s">
        <v>1484</v>
      </c>
      <c r="Y1928" s="43" t="s">
        <v>1485</v>
      </c>
    </row>
    <row r="1929" spans="1:28" hidden="1">
      <c r="A1929" s="180" t="s">
        <v>1174</v>
      </c>
      <c r="B1929" s="181">
        <v>45741</v>
      </c>
      <c r="C1929" s="180" t="s">
        <v>1753</v>
      </c>
      <c r="D1929" s="180" t="s">
        <v>281</v>
      </c>
      <c r="E1929" s="180" t="s">
        <v>407</v>
      </c>
      <c r="F1929" s="197">
        <v>4590</v>
      </c>
      <c r="G1929" s="165">
        <f t="shared" si="44"/>
        <v>25774.041000000008</v>
      </c>
      <c r="H1929" s="180"/>
      <c r="I1929" s="180" t="s">
        <v>1176</v>
      </c>
      <c r="J1929" s="180" t="s">
        <v>1459</v>
      </c>
      <c r="K1929" s="180"/>
      <c r="L1929" s="180" t="s">
        <v>305</v>
      </c>
      <c r="M1929" s="180"/>
      <c r="N1929" s="180" t="s">
        <v>1178</v>
      </c>
      <c r="O1929" s="180" t="s">
        <v>1459</v>
      </c>
      <c r="P1929" s="180" t="s">
        <v>57</v>
      </c>
      <c r="Q1929" s="180"/>
      <c r="R1929" s="180" t="s">
        <v>1245</v>
      </c>
      <c r="S1929" s="180" t="s">
        <v>1246</v>
      </c>
      <c r="T1929" s="183">
        <f t="shared" si="45"/>
        <v>3</v>
      </c>
      <c r="U1929" s="184">
        <f t="shared" si="46"/>
        <v>45742</v>
      </c>
      <c r="V1929" s="166">
        <v>45742</v>
      </c>
      <c r="W1929" s="43">
        <f t="shared" si="47"/>
        <v>3</v>
      </c>
      <c r="X1929" s="43" t="s">
        <v>1484</v>
      </c>
      <c r="Y1929" s="43" t="s">
        <v>1485</v>
      </c>
      <c r="Z1929" s="183"/>
      <c r="AA1929" s="183"/>
      <c r="AB1929" s="183"/>
    </row>
    <row r="1930" spans="1:28" ht="14.25" hidden="1" customHeight="1">
      <c r="A1930" s="180" t="s">
        <v>1017</v>
      </c>
      <c r="B1930" s="181">
        <v>45742</v>
      </c>
      <c r="C1930" s="180" t="s">
        <v>1748</v>
      </c>
      <c r="D1930" s="180" t="s">
        <v>281</v>
      </c>
      <c r="E1930" s="180" t="s">
        <v>356</v>
      </c>
      <c r="F1930" s="168">
        <v>5.59</v>
      </c>
      <c r="G1930" s="165">
        <f t="shared" si="44"/>
        <v>25779.631000000008</v>
      </c>
      <c r="H1930" s="180"/>
      <c r="I1930" s="180" t="s">
        <v>283</v>
      </c>
      <c r="J1930" s="180"/>
      <c r="K1930" s="180"/>
      <c r="L1930" s="180" t="s">
        <v>305</v>
      </c>
      <c r="M1930" s="180"/>
      <c r="N1930" s="180" t="s">
        <v>978</v>
      </c>
      <c r="O1930" s="180"/>
      <c r="P1930" s="180"/>
      <c r="Q1930" s="180" t="s">
        <v>1067</v>
      </c>
      <c r="R1930" s="180" t="s">
        <v>1087</v>
      </c>
      <c r="S1930" s="180" t="s">
        <v>1089</v>
      </c>
      <c r="T1930" s="189">
        <f t="shared" si="45"/>
        <v>3</v>
      </c>
      <c r="U1930" s="211">
        <f t="shared" si="46"/>
        <v>45742</v>
      </c>
      <c r="V1930" s="183"/>
      <c r="W1930" s="43">
        <f t="shared" si="47"/>
        <v>3</v>
      </c>
      <c r="X1930" s="183" t="s">
        <v>1689</v>
      </c>
      <c r="Y1930" s="183" t="s">
        <v>25</v>
      </c>
      <c r="Z1930" s="183" t="s">
        <v>1113</v>
      </c>
      <c r="AA1930" s="183" t="s">
        <v>1336</v>
      </c>
      <c r="AB1930" s="183"/>
    </row>
    <row r="1931" spans="1:28" hidden="1">
      <c r="A1931" s="163" t="s">
        <v>1017</v>
      </c>
      <c r="B1931" s="164">
        <v>45742</v>
      </c>
      <c r="C1931" s="190" t="s">
        <v>330</v>
      </c>
      <c r="D1931" s="190" t="s">
        <v>281</v>
      </c>
      <c r="E1931" s="190" t="s">
        <v>330</v>
      </c>
      <c r="F1931" s="185">
        <f>-1.99*5-3</f>
        <v>-12.95</v>
      </c>
      <c r="G1931" s="165">
        <f t="shared" si="44"/>
        <v>25766.681000000008</v>
      </c>
      <c r="H1931" s="190"/>
      <c r="I1931" s="190" t="s">
        <v>342</v>
      </c>
      <c r="J1931" s="190"/>
      <c r="K1931" s="190"/>
      <c r="L1931" s="190" t="s">
        <v>805</v>
      </c>
      <c r="M1931" s="190"/>
      <c r="N1931" s="190" t="s">
        <v>978</v>
      </c>
      <c r="O1931" s="190"/>
      <c r="P1931" s="190"/>
      <c r="Q1931" s="190"/>
      <c r="R1931" s="190" t="s">
        <v>1292</v>
      </c>
      <c r="S1931" s="190" t="s">
        <v>1417</v>
      </c>
      <c r="T1931" s="43">
        <f t="shared" si="45"/>
        <v>3</v>
      </c>
      <c r="U1931" s="167">
        <f t="shared" si="46"/>
        <v>45740</v>
      </c>
      <c r="V1931" s="145">
        <v>45740</v>
      </c>
      <c r="W1931" s="43">
        <f t="shared" si="47"/>
        <v>3</v>
      </c>
      <c r="X1931" s="43" t="s">
        <v>1483</v>
      </c>
      <c r="Y1931" s="43" t="s">
        <v>1443</v>
      </c>
      <c r="Z1931" s="43"/>
      <c r="AA1931" s="43"/>
    </row>
    <row r="1932" spans="1:28" hidden="1">
      <c r="A1932" s="163" t="s">
        <v>1017</v>
      </c>
      <c r="B1932" s="164">
        <v>45736</v>
      </c>
      <c r="C1932" s="163" t="s">
        <v>385</v>
      </c>
      <c r="D1932" s="163" t="s">
        <v>281</v>
      </c>
      <c r="E1932" s="163" t="s">
        <v>1061</v>
      </c>
      <c r="F1932" s="168">
        <v>-6156.74</v>
      </c>
      <c r="G1932" s="165">
        <f t="shared" si="44"/>
        <v>19609.941000000006</v>
      </c>
      <c r="H1932" s="163"/>
      <c r="I1932" s="163" t="s">
        <v>342</v>
      </c>
      <c r="J1932" s="163"/>
      <c r="K1932" s="163"/>
      <c r="L1932" s="163" t="s">
        <v>1754</v>
      </c>
      <c r="M1932" s="163"/>
      <c r="N1932" s="163" t="s">
        <v>978</v>
      </c>
      <c r="O1932" s="163"/>
      <c r="P1932" s="163"/>
      <c r="Q1932" s="163"/>
      <c r="R1932" s="163" t="s">
        <v>389</v>
      </c>
      <c r="S1932" s="163" t="s">
        <v>390</v>
      </c>
      <c r="T1932" s="43">
        <f t="shared" si="45"/>
        <v>3</v>
      </c>
      <c r="U1932" s="167">
        <f t="shared" si="46"/>
        <v>45742</v>
      </c>
      <c r="V1932" s="166">
        <v>45742</v>
      </c>
      <c r="W1932" s="43">
        <f t="shared" si="47"/>
        <v>3</v>
      </c>
      <c r="X1932" s="49" t="s">
        <v>1498</v>
      </c>
      <c r="Y1932" s="49" t="s">
        <v>1336</v>
      </c>
    </row>
    <row r="1933" spans="1:28" hidden="1">
      <c r="A1933" s="180" t="s">
        <v>1017</v>
      </c>
      <c r="B1933" s="164">
        <v>45736</v>
      </c>
      <c r="C1933" s="180" t="s">
        <v>181</v>
      </c>
      <c r="D1933" s="180" t="s">
        <v>281</v>
      </c>
      <c r="E1933" s="180" t="s">
        <v>760</v>
      </c>
      <c r="F1933" s="168">
        <v>-1498.5</v>
      </c>
      <c r="G1933" s="165">
        <f t="shared" si="44"/>
        <v>18111.441000000006</v>
      </c>
      <c r="H1933" s="180"/>
      <c r="I1933" s="180" t="s">
        <v>283</v>
      </c>
      <c r="J1933" s="180"/>
      <c r="K1933" s="180"/>
      <c r="L1933" s="180" t="s">
        <v>1062</v>
      </c>
      <c r="M1933" s="180"/>
      <c r="N1933" s="180" t="s">
        <v>978</v>
      </c>
      <c r="O1933" s="180"/>
      <c r="P1933" s="180"/>
      <c r="Q1933" s="180"/>
      <c r="R1933" s="180" t="s">
        <v>765</v>
      </c>
      <c r="S1933" s="180" t="s">
        <v>768</v>
      </c>
      <c r="T1933" s="183">
        <f t="shared" si="45"/>
        <v>3</v>
      </c>
      <c r="U1933" s="184">
        <f t="shared" si="46"/>
        <v>45742</v>
      </c>
      <c r="V1933" s="145">
        <v>45742</v>
      </c>
      <c r="W1933" s="43">
        <f t="shared" si="47"/>
        <v>3</v>
      </c>
      <c r="X1933" s="43" t="s">
        <v>1482</v>
      </c>
      <c r="Y1933" s="43" t="s">
        <v>78</v>
      </c>
      <c r="Z1933" s="183"/>
      <c r="AA1933" s="183"/>
      <c r="AB1933" s="183"/>
    </row>
    <row r="1934" spans="1:28" ht="14.25" hidden="1" customHeight="1">
      <c r="A1934" s="180" t="s">
        <v>1017</v>
      </c>
      <c r="B1934" s="181">
        <v>45741</v>
      </c>
      <c r="C1934" s="180" t="s">
        <v>1755</v>
      </c>
      <c r="D1934" s="180" t="s">
        <v>281</v>
      </c>
      <c r="E1934" s="180" t="s">
        <v>356</v>
      </c>
      <c r="F1934" s="169">
        <f>-270-939.5-140-250</f>
        <v>-1599.5</v>
      </c>
      <c r="G1934" s="165">
        <f t="shared" si="44"/>
        <v>16511.941000000006</v>
      </c>
      <c r="H1934" s="180"/>
      <c r="I1934" s="180" t="s">
        <v>283</v>
      </c>
      <c r="J1934" s="180"/>
      <c r="K1934" s="180"/>
      <c r="L1934" s="180" t="s">
        <v>305</v>
      </c>
      <c r="M1934" s="180"/>
      <c r="N1934" s="180" t="s">
        <v>978</v>
      </c>
      <c r="O1934" s="180"/>
      <c r="P1934" s="180"/>
      <c r="Q1934" s="180" t="s">
        <v>1067</v>
      </c>
      <c r="R1934" s="180" t="s">
        <v>1087</v>
      </c>
      <c r="S1934" s="180" t="s">
        <v>1089</v>
      </c>
      <c r="T1934" s="189">
        <f t="shared" si="45"/>
        <v>3</v>
      </c>
      <c r="U1934" s="211">
        <f t="shared" si="46"/>
        <v>45742</v>
      </c>
      <c r="V1934" s="145">
        <v>45742</v>
      </c>
      <c r="W1934" s="43">
        <f t="shared" si="47"/>
        <v>3</v>
      </c>
      <c r="X1934" s="183" t="s">
        <v>1689</v>
      </c>
      <c r="Y1934" s="183" t="s">
        <v>25</v>
      </c>
      <c r="Z1934" s="183" t="s">
        <v>1113</v>
      </c>
      <c r="AA1934" s="183" t="s">
        <v>1336</v>
      </c>
      <c r="AB1934" s="183"/>
    </row>
    <row r="1935" spans="1:28" hidden="1">
      <c r="A1935" s="180" t="s">
        <v>1017</v>
      </c>
      <c r="B1935" s="181">
        <v>45742</v>
      </c>
      <c r="C1935" s="180" t="s">
        <v>1750</v>
      </c>
      <c r="D1935" s="180" t="s">
        <v>281</v>
      </c>
      <c r="E1935" s="180" t="s">
        <v>1702</v>
      </c>
      <c r="F1935" s="168">
        <v>-580</v>
      </c>
      <c r="G1935" s="165">
        <f t="shared" si="44"/>
        <v>15931.941000000006</v>
      </c>
      <c r="H1935" s="180"/>
      <c r="I1935" s="180" t="s">
        <v>283</v>
      </c>
      <c r="J1935" s="180"/>
      <c r="K1935" s="180"/>
      <c r="L1935" s="180" t="s">
        <v>485</v>
      </c>
      <c r="M1935" s="180"/>
      <c r="N1935" s="180" t="s">
        <v>978</v>
      </c>
      <c r="O1935" s="180"/>
      <c r="P1935" s="180"/>
      <c r="Q1935" s="180"/>
      <c r="R1935" s="180" t="s">
        <v>669</v>
      </c>
      <c r="S1935" s="180" t="s">
        <v>1492</v>
      </c>
      <c r="T1935" s="183">
        <f t="shared" si="45"/>
        <v>3</v>
      </c>
      <c r="U1935" s="184">
        <f t="shared" si="46"/>
        <v>45742</v>
      </c>
      <c r="V1935" s="183"/>
      <c r="W1935" s="43">
        <f t="shared" si="47"/>
        <v>3</v>
      </c>
      <c r="X1935" s="183" t="s">
        <v>1381</v>
      </c>
      <c r="Y1935" s="183" t="s">
        <v>25</v>
      </c>
      <c r="Z1935" s="183"/>
      <c r="AA1935" s="183"/>
      <c r="AB1935" s="183"/>
    </row>
    <row r="1936" spans="1:28" hidden="1">
      <c r="A1936" s="180" t="s">
        <v>1017</v>
      </c>
      <c r="B1936" s="181">
        <v>45742</v>
      </c>
      <c r="C1936" s="180" t="s">
        <v>1008</v>
      </c>
      <c r="D1936" s="180" t="s">
        <v>281</v>
      </c>
      <c r="E1936" s="180" t="s">
        <v>199</v>
      </c>
      <c r="F1936" s="182">
        <v>-2000</v>
      </c>
      <c r="G1936" s="165">
        <f t="shared" si="44"/>
        <v>13931.941000000006</v>
      </c>
      <c r="H1936" s="180"/>
      <c r="I1936" s="180" t="s">
        <v>283</v>
      </c>
      <c r="J1936" s="180"/>
      <c r="K1936" s="180"/>
      <c r="L1936" s="180" t="s">
        <v>485</v>
      </c>
      <c r="M1936" s="180"/>
      <c r="N1936" s="180" t="s">
        <v>978</v>
      </c>
      <c r="O1936" s="180"/>
      <c r="P1936" s="180"/>
      <c r="Q1936" s="180"/>
      <c r="R1936" s="180" t="s">
        <v>669</v>
      </c>
      <c r="S1936" s="180" t="s">
        <v>1492</v>
      </c>
      <c r="T1936" s="183">
        <f t="shared" si="45"/>
        <v>3</v>
      </c>
      <c r="U1936" s="184">
        <f t="shared" si="46"/>
        <v>45742</v>
      </c>
      <c r="V1936" s="145">
        <v>45742</v>
      </c>
      <c r="W1936" s="43">
        <f t="shared" si="47"/>
        <v>3</v>
      </c>
      <c r="X1936" s="206" t="s">
        <v>1478</v>
      </c>
      <c r="Y1936" s="206" t="s">
        <v>26</v>
      </c>
      <c r="Z1936" s="183"/>
      <c r="AA1936" s="183"/>
      <c r="AB1936" s="183"/>
    </row>
    <row r="1937" spans="1:28" hidden="1">
      <c r="A1937" s="163"/>
      <c r="B1937" s="164">
        <v>45742</v>
      </c>
      <c r="C1937" s="163" t="s">
        <v>346</v>
      </c>
      <c r="D1937" s="163"/>
      <c r="E1937" s="163"/>
      <c r="F1937" s="165">
        <v>0</v>
      </c>
      <c r="G1937" s="165">
        <f t="shared" si="44"/>
        <v>13931.941000000006</v>
      </c>
      <c r="H1937" s="163"/>
      <c r="I1937" s="163"/>
      <c r="J1937" s="163"/>
      <c r="K1937" s="163"/>
      <c r="L1937" s="163"/>
      <c r="M1937" s="163"/>
      <c r="N1937" s="163"/>
      <c r="O1937" s="163"/>
      <c r="P1937" s="163"/>
      <c r="Q1937" s="163"/>
      <c r="R1937" s="163"/>
      <c r="S1937" s="163"/>
      <c r="T1937" s="43">
        <f t="shared" si="45"/>
        <v>3</v>
      </c>
      <c r="U1937" s="167">
        <f t="shared" si="46"/>
        <v>45742</v>
      </c>
      <c r="W1937" s="43">
        <f t="shared" si="47"/>
        <v>3</v>
      </c>
    </row>
    <row r="1938" spans="1:28" hidden="1">
      <c r="A1938" s="163" t="s">
        <v>1174</v>
      </c>
      <c r="B1938" s="164">
        <v>45744</v>
      </c>
      <c r="C1938" s="163" t="s">
        <v>1597</v>
      </c>
      <c r="D1938" s="163" t="s">
        <v>281</v>
      </c>
      <c r="E1938" s="163" t="s">
        <v>407</v>
      </c>
      <c r="F1938" s="165">
        <v>1750</v>
      </c>
      <c r="G1938" s="165">
        <f t="shared" si="44"/>
        <v>15681.941000000006</v>
      </c>
      <c r="H1938" s="163"/>
      <c r="I1938" s="163" t="s">
        <v>1176</v>
      </c>
      <c r="J1938" s="163" t="s">
        <v>1598</v>
      </c>
      <c r="K1938" s="163"/>
      <c r="L1938" s="163" t="s">
        <v>305</v>
      </c>
      <c r="M1938" s="163"/>
      <c r="N1938" s="163" t="s">
        <v>1178</v>
      </c>
      <c r="O1938" s="163" t="s">
        <v>1598</v>
      </c>
      <c r="P1938" s="163" t="s">
        <v>1083</v>
      </c>
      <c r="Q1938" s="163"/>
      <c r="R1938" s="163" t="s">
        <v>1599</v>
      </c>
      <c r="S1938" s="163" t="s">
        <v>1600</v>
      </c>
      <c r="T1938" s="43">
        <f t="shared" si="45"/>
        <v>3</v>
      </c>
      <c r="U1938" s="167">
        <f t="shared" si="46"/>
        <v>45743</v>
      </c>
      <c r="V1938" s="145">
        <v>45743</v>
      </c>
      <c r="W1938" s="43">
        <f t="shared" si="47"/>
        <v>3</v>
      </c>
      <c r="X1938" s="43" t="s">
        <v>1484</v>
      </c>
      <c r="Y1938" s="43" t="s">
        <v>1485</v>
      </c>
    </row>
    <row r="1939" spans="1:28" ht="14.25" hidden="1" customHeight="1">
      <c r="A1939" s="180" t="s">
        <v>1017</v>
      </c>
      <c r="B1939" s="181">
        <v>45741</v>
      </c>
      <c r="C1939" s="180" t="s">
        <v>1756</v>
      </c>
      <c r="D1939" s="180" t="s">
        <v>281</v>
      </c>
      <c r="E1939" s="180" t="s">
        <v>356</v>
      </c>
      <c r="F1939" s="169">
        <v>-140</v>
      </c>
      <c r="G1939" s="165">
        <f t="shared" si="44"/>
        <v>15541.941000000006</v>
      </c>
      <c r="H1939" s="180"/>
      <c r="I1939" s="180" t="s">
        <v>283</v>
      </c>
      <c r="J1939" s="180"/>
      <c r="K1939" s="180"/>
      <c r="L1939" s="180" t="s">
        <v>305</v>
      </c>
      <c r="M1939" s="180"/>
      <c r="N1939" s="180" t="s">
        <v>978</v>
      </c>
      <c r="O1939" s="180"/>
      <c r="P1939" s="180"/>
      <c r="Q1939" s="180" t="s">
        <v>1067</v>
      </c>
      <c r="R1939" s="180" t="s">
        <v>1087</v>
      </c>
      <c r="S1939" s="180" t="s">
        <v>1089</v>
      </c>
      <c r="T1939" s="189">
        <f t="shared" si="45"/>
        <v>3</v>
      </c>
      <c r="U1939" s="211">
        <f t="shared" si="46"/>
        <v>45743</v>
      </c>
      <c r="V1939" s="145">
        <v>45743</v>
      </c>
      <c r="W1939" s="43">
        <f t="shared" si="47"/>
        <v>3</v>
      </c>
      <c r="X1939" s="183" t="s">
        <v>1689</v>
      </c>
      <c r="Y1939" s="183" t="s">
        <v>25</v>
      </c>
      <c r="Z1939" s="183" t="s">
        <v>1113</v>
      </c>
      <c r="AA1939" s="183" t="s">
        <v>1336</v>
      </c>
      <c r="AB1939" s="183"/>
    </row>
    <row r="1940" spans="1:28" hidden="1">
      <c r="A1940" s="180" t="s">
        <v>1017</v>
      </c>
      <c r="B1940" s="164">
        <v>45743</v>
      </c>
      <c r="C1940" s="180" t="s">
        <v>1757</v>
      </c>
      <c r="D1940" s="180" t="s">
        <v>281</v>
      </c>
      <c r="E1940" s="180" t="s">
        <v>356</v>
      </c>
      <c r="F1940" s="168">
        <v>-400</v>
      </c>
      <c r="G1940" s="165">
        <f t="shared" si="44"/>
        <v>15141.941000000006</v>
      </c>
      <c r="H1940" s="180"/>
      <c r="I1940" s="180" t="s">
        <v>283</v>
      </c>
      <c r="J1940" s="180"/>
      <c r="K1940" s="180"/>
      <c r="L1940" s="180" t="s">
        <v>1062</v>
      </c>
      <c r="M1940" s="180"/>
      <c r="N1940" s="180" t="s">
        <v>978</v>
      </c>
      <c r="O1940" s="180"/>
      <c r="P1940" s="180"/>
      <c r="Q1940" s="180"/>
      <c r="R1940" s="180" t="s">
        <v>765</v>
      </c>
      <c r="S1940" s="180" t="s">
        <v>768</v>
      </c>
      <c r="T1940" s="183">
        <f t="shared" si="45"/>
        <v>3</v>
      </c>
      <c r="U1940" s="184">
        <f t="shared" si="46"/>
        <v>45743</v>
      </c>
      <c r="V1940" s="145"/>
      <c r="W1940" s="43">
        <f t="shared" si="47"/>
        <v>3</v>
      </c>
      <c r="X1940" s="43" t="s">
        <v>1482</v>
      </c>
      <c r="Y1940" s="43" t="s">
        <v>78</v>
      </c>
      <c r="Z1940" s="183"/>
      <c r="AA1940" s="183"/>
      <c r="AB1940" s="183"/>
    </row>
    <row r="1941" spans="1:28" hidden="1">
      <c r="A1941" s="163" t="s">
        <v>1017</v>
      </c>
      <c r="B1941" s="164">
        <v>45743</v>
      </c>
      <c r="C1941" s="190" t="s">
        <v>330</v>
      </c>
      <c r="D1941" s="190" t="s">
        <v>281</v>
      </c>
      <c r="E1941" s="190" t="s">
        <v>330</v>
      </c>
      <c r="F1941" s="185">
        <f>-1.99-1</f>
        <v>-2.99</v>
      </c>
      <c r="G1941" s="165">
        <f t="shared" si="44"/>
        <v>15138.951000000006</v>
      </c>
      <c r="H1941" s="190"/>
      <c r="I1941" s="190" t="s">
        <v>342</v>
      </c>
      <c r="J1941" s="190"/>
      <c r="K1941" s="190"/>
      <c r="L1941" s="190" t="s">
        <v>805</v>
      </c>
      <c r="M1941" s="190"/>
      <c r="N1941" s="190" t="s">
        <v>978</v>
      </c>
      <c r="O1941" s="190"/>
      <c r="P1941" s="190"/>
      <c r="Q1941" s="190"/>
      <c r="R1941" s="190" t="s">
        <v>1292</v>
      </c>
      <c r="S1941" s="190" t="s">
        <v>1417</v>
      </c>
      <c r="T1941" s="43">
        <f t="shared" si="45"/>
        <v>3</v>
      </c>
      <c r="U1941" s="167">
        <f t="shared" si="46"/>
        <v>45743</v>
      </c>
      <c r="V1941" s="145"/>
      <c r="W1941" s="43">
        <f t="shared" si="47"/>
        <v>3</v>
      </c>
      <c r="X1941" s="43" t="s">
        <v>1483</v>
      </c>
      <c r="Y1941" s="43" t="s">
        <v>1443</v>
      </c>
      <c r="Z1941" s="43"/>
      <c r="AA1941" s="43"/>
    </row>
    <row r="1942" spans="1:28" hidden="1">
      <c r="A1942" s="163"/>
      <c r="B1942" s="164">
        <v>45743</v>
      </c>
      <c r="C1942" s="163" t="s">
        <v>346</v>
      </c>
      <c r="D1942" s="163"/>
      <c r="E1942" s="163"/>
      <c r="F1942" s="165">
        <v>0</v>
      </c>
      <c r="G1942" s="165">
        <f t="shared" si="44"/>
        <v>15138.951000000006</v>
      </c>
      <c r="H1942" s="163"/>
      <c r="I1942" s="163"/>
      <c r="J1942" s="163"/>
      <c r="K1942" s="163"/>
      <c r="L1942" s="163"/>
      <c r="M1942" s="163"/>
      <c r="N1942" s="163"/>
      <c r="O1942" s="163"/>
      <c r="P1942" s="163"/>
      <c r="Q1942" s="163"/>
      <c r="R1942" s="163"/>
      <c r="S1942" s="163"/>
      <c r="T1942" s="43">
        <f t="shared" si="45"/>
        <v>3</v>
      </c>
      <c r="U1942" s="167">
        <f t="shared" si="46"/>
        <v>45743</v>
      </c>
      <c r="W1942" s="43">
        <f t="shared" si="47"/>
        <v>3</v>
      </c>
    </row>
    <row r="1943" spans="1:28" hidden="1">
      <c r="A1943" s="180" t="s">
        <v>1174</v>
      </c>
      <c r="B1943" s="181">
        <v>45741</v>
      </c>
      <c r="C1943" s="180" t="s">
        <v>1602</v>
      </c>
      <c r="D1943" s="180" t="s">
        <v>281</v>
      </c>
      <c r="E1943" s="180" t="s">
        <v>407</v>
      </c>
      <c r="F1943" s="197">
        <v>1939.26</v>
      </c>
      <c r="G1943" s="165">
        <f t="shared" si="44"/>
        <v>17078.211000000007</v>
      </c>
      <c r="H1943" s="180"/>
      <c r="I1943" s="180" t="s">
        <v>1176</v>
      </c>
      <c r="J1943" s="180" t="s">
        <v>1459</v>
      </c>
      <c r="K1943" s="180"/>
      <c r="L1943" s="180" t="s">
        <v>305</v>
      </c>
      <c r="M1943" s="180"/>
      <c r="N1943" s="180" t="s">
        <v>1178</v>
      </c>
      <c r="O1943" s="180" t="s">
        <v>1459</v>
      </c>
      <c r="P1943" s="180" t="s">
        <v>57</v>
      </c>
      <c r="Q1943" s="180"/>
      <c r="R1943" s="180" t="s">
        <v>1245</v>
      </c>
      <c r="S1943" s="180" t="s">
        <v>1246</v>
      </c>
      <c r="T1943" s="183">
        <f t="shared" si="45"/>
        <v>3</v>
      </c>
      <c r="U1943" s="184">
        <f t="shared" si="46"/>
        <v>45744</v>
      </c>
      <c r="V1943" s="145">
        <v>45744</v>
      </c>
      <c r="W1943" s="43">
        <f t="shared" si="47"/>
        <v>3</v>
      </c>
      <c r="X1943" s="43" t="s">
        <v>1484</v>
      </c>
      <c r="Y1943" s="43" t="s">
        <v>1485</v>
      </c>
      <c r="Z1943" s="183"/>
      <c r="AA1943" s="183"/>
      <c r="AB1943" s="183"/>
    </row>
    <row r="1944" spans="1:28" hidden="1">
      <c r="A1944" s="163" t="s">
        <v>1174</v>
      </c>
      <c r="B1944" s="164">
        <v>45741</v>
      </c>
      <c r="C1944" s="163" t="s">
        <v>1205</v>
      </c>
      <c r="D1944" s="163" t="s">
        <v>281</v>
      </c>
      <c r="E1944" s="163" t="s">
        <v>407</v>
      </c>
      <c r="F1944" s="197">
        <v>1225.2</v>
      </c>
      <c r="G1944" s="165">
        <f t="shared" si="44"/>
        <v>18303.411000000007</v>
      </c>
      <c r="H1944" s="163"/>
      <c r="I1944" s="163" t="s">
        <v>1176</v>
      </c>
      <c r="J1944" s="163" t="s">
        <v>1206</v>
      </c>
      <c r="K1944" s="163"/>
      <c r="L1944" s="163" t="s">
        <v>305</v>
      </c>
      <c r="M1944" s="163"/>
      <c r="N1944" s="163" t="s">
        <v>1178</v>
      </c>
      <c r="O1944" s="163" t="s">
        <v>1206</v>
      </c>
      <c r="P1944" s="163" t="s">
        <v>351</v>
      </c>
      <c r="Q1944" s="163"/>
      <c r="R1944" s="163" t="s">
        <v>1207</v>
      </c>
      <c r="S1944" s="163" t="s">
        <v>1208</v>
      </c>
      <c r="T1944" s="43">
        <f t="shared" si="45"/>
        <v>3</v>
      </c>
      <c r="U1944" s="167">
        <f t="shared" si="46"/>
        <v>45744</v>
      </c>
      <c r="V1944" s="145">
        <v>45744</v>
      </c>
      <c r="W1944" s="43">
        <f t="shared" si="47"/>
        <v>3</v>
      </c>
      <c r="X1944" s="43" t="s">
        <v>1484</v>
      </c>
      <c r="Y1944" s="43" t="s">
        <v>1485</v>
      </c>
    </row>
    <row r="1945" spans="1:28" ht="14.25" hidden="1" customHeight="1">
      <c r="A1945" s="180" t="s">
        <v>1017</v>
      </c>
      <c r="B1945" s="181">
        <v>45733</v>
      </c>
      <c r="C1945" s="180" t="s">
        <v>1539</v>
      </c>
      <c r="D1945" s="180" t="s">
        <v>281</v>
      </c>
      <c r="E1945" s="180" t="s">
        <v>372</v>
      </c>
      <c r="F1945" s="168">
        <v>-817.23</v>
      </c>
      <c r="G1945" s="165">
        <f t="shared" si="44"/>
        <v>17486.181000000008</v>
      </c>
      <c r="H1945" s="180"/>
      <c r="I1945" s="180" t="s">
        <v>283</v>
      </c>
      <c r="J1945" s="180"/>
      <c r="K1945" s="180"/>
      <c r="L1945" s="180" t="s">
        <v>305</v>
      </c>
      <c r="M1945" s="180"/>
      <c r="N1945" s="180" t="s">
        <v>978</v>
      </c>
      <c r="O1945" s="180"/>
      <c r="P1945" s="180"/>
      <c r="Q1945" s="180" t="s">
        <v>1067</v>
      </c>
      <c r="R1945" s="180" t="s">
        <v>1087</v>
      </c>
      <c r="S1945" s="180" t="s">
        <v>1089</v>
      </c>
      <c r="T1945" s="189">
        <f t="shared" si="45"/>
        <v>3</v>
      </c>
      <c r="U1945" s="211">
        <f t="shared" si="46"/>
        <v>45744</v>
      </c>
      <c r="V1945" s="145">
        <v>45744</v>
      </c>
      <c r="W1945" s="43">
        <f t="shared" si="47"/>
        <v>3</v>
      </c>
      <c r="X1945" s="183" t="s">
        <v>1480</v>
      </c>
      <c r="Y1945" s="206" t="s">
        <v>86</v>
      </c>
      <c r="Z1945" s="183" t="s">
        <v>1113</v>
      </c>
      <c r="AA1945" s="183" t="s">
        <v>1336</v>
      </c>
      <c r="AB1945" s="183"/>
    </row>
    <row r="1946" spans="1:28" hidden="1">
      <c r="A1946" s="180" t="s">
        <v>1017</v>
      </c>
      <c r="B1946" s="181">
        <v>45744</v>
      </c>
      <c r="C1946" s="180" t="s">
        <v>1010</v>
      </c>
      <c r="D1946" s="180" t="s">
        <v>281</v>
      </c>
      <c r="E1946" s="180" t="s">
        <v>199</v>
      </c>
      <c r="F1946" s="168">
        <v>-2600</v>
      </c>
      <c r="G1946" s="165">
        <f t="shared" si="44"/>
        <v>14886.181000000008</v>
      </c>
      <c r="H1946" s="180"/>
      <c r="I1946" s="180" t="s">
        <v>283</v>
      </c>
      <c r="J1946" s="180"/>
      <c r="K1946" s="180"/>
      <c r="L1946" s="180" t="s">
        <v>485</v>
      </c>
      <c r="M1946" s="180"/>
      <c r="N1946" s="180" t="s">
        <v>978</v>
      </c>
      <c r="O1946" s="180"/>
      <c r="P1946" s="180"/>
      <c r="Q1946" s="180"/>
      <c r="R1946" s="180" t="s">
        <v>669</v>
      </c>
      <c r="S1946" s="180" t="s">
        <v>1492</v>
      </c>
      <c r="T1946" s="183">
        <f t="shared" si="45"/>
        <v>3</v>
      </c>
      <c r="U1946" s="184">
        <f t="shared" si="46"/>
        <v>45744</v>
      </c>
      <c r="V1946" s="183"/>
      <c r="W1946" s="43">
        <f t="shared" si="47"/>
        <v>3</v>
      </c>
      <c r="X1946" s="206" t="s">
        <v>1478</v>
      </c>
      <c r="Y1946" s="206" t="s">
        <v>26</v>
      </c>
      <c r="Z1946" s="183"/>
      <c r="AA1946" s="183"/>
      <c r="AB1946" s="183"/>
    </row>
    <row r="1947" spans="1:28" hidden="1">
      <c r="A1947" s="163" t="s">
        <v>1017</v>
      </c>
      <c r="B1947" s="164">
        <v>45743</v>
      </c>
      <c r="C1947" s="190" t="s">
        <v>330</v>
      </c>
      <c r="D1947" s="190" t="s">
        <v>281</v>
      </c>
      <c r="E1947" s="190" t="s">
        <v>330</v>
      </c>
      <c r="F1947" s="185">
        <f>-1.99-0.5</f>
        <v>-2.4900000000000002</v>
      </c>
      <c r="G1947" s="165">
        <f t="shared" si="44"/>
        <v>14883.691000000008</v>
      </c>
      <c r="H1947" s="190"/>
      <c r="I1947" s="190" t="s">
        <v>342</v>
      </c>
      <c r="J1947" s="190"/>
      <c r="K1947" s="190"/>
      <c r="L1947" s="190" t="s">
        <v>805</v>
      </c>
      <c r="M1947" s="190"/>
      <c r="N1947" s="190" t="s">
        <v>978</v>
      </c>
      <c r="O1947" s="190"/>
      <c r="P1947" s="190"/>
      <c r="Q1947" s="190"/>
      <c r="R1947" s="190" t="s">
        <v>1292</v>
      </c>
      <c r="S1947" s="190" t="s">
        <v>1417</v>
      </c>
      <c r="T1947" s="43">
        <f t="shared" si="45"/>
        <v>3</v>
      </c>
      <c r="U1947" s="167">
        <f t="shared" si="46"/>
        <v>45743</v>
      </c>
      <c r="V1947" s="145"/>
      <c r="W1947" s="43">
        <f t="shared" si="47"/>
        <v>3</v>
      </c>
      <c r="X1947" s="43" t="s">
        <v>1483</v>
      </c>
      <c r="Y1947" s="43" t="s">
        <v>1443</v>
      </c>
      <c r="Z1947" s="43"/>
      <c r="AA1947" s="43"/>
    </row>
    <row r="1948" spans="1:28" hidden="1">
      <c r="A1948" s="163"/>
      <c r="B1948" s="164">
        <v>45744</v>
      </c>
      <c r="C1948" s="163" t="s">
        <v>346</v>
      </c>
      <c r="D1948" s="163"/>
      <c r="E1948" s="163"/>
      <c r="F1948" s="165">
        <v>0</v>
      </c>
      <c r="G1948" s="165">
        <f t="shared" si="44"/>
        <v>14883.691000000008</v>
      </c>
      <c r="H1948" s="163"/>
      <c r="I1948" s="163"/>
      <c r="J1948" s="163"/>
      <c r="K1948" s="163"/>
      <c r="L1948" s="163"/>
      <c r="M1948" s="163"/>
      <c r="N1948" s="163"/>
      <c r="O1948" s="163"/>
      <c r="P1948" s="163"/>
      <c r="Q1948" s="163"/>
      <c r="R1948" s="163"/>
      <c r="S1948" s="163"/>
      <c r="T1948" s="43">
        <f t="shared" si="45"/>
        <v>3</v>
      </c>
      <c r="U1948" s="167">
        <f t="shared" si="46"/>
        <v>45744</v>
      </c>
      <c r="W1948" s="43">
        <f t="shared" si="47"/>
        <v>3</v>
      </c>
    </row>
    <row r="1949" spans="1:28" hidden="1">
      <c r="A1949" s="180" t="s">
        <v>1174</v>
      </c>
      <c r="B1949" s="181">
        <v>45742</v>
      </c>
      <c r="C1949" s="180" t="s">
        <v>1758</v>
      </c>
      <c r="D1949" s="180" t="s">
        <v>281</v>
      </c>
      <c r="E1949" s="180" t="s">
        <v>407</v>
      </c>
      <c r="F1949" s="278">
        <v>3000</v>
      </c>
      <c r="G1949" s="165">
        <f t="shared" si="44"/>
        <v>17883.691000000006</v>
      </c>
      <c r="H1949" s="180"/>
      <c r="I1949" s="180" t="s">
        <v>1176</v>
      </c>
      <c r="J1949" s="180" t="s">
        <v>1459</v>
      </c>
      <c r="K1949" s="180"/>
      <c r="L1949" s="180" t="s">
        <v>305</v>
      </c>
      <c r="M1949" s="180"/>
      <c r="N1949" s="180" t="s">
        <v>1178</v>
      </c>
      <c r="O1949" s="180" t="s">
        <v>1459</v>
      </c>
      <c r="P1949" s="180" t="s">
        <v>57</v>
      </c>
      <c r="Q1949" s="180"/>
      <c r="R1949" s="180" t="s">
        <v>1245</v>
      </c>
      <c r="S1949" s="180" t="s">
        <v>1246</v>
      </c>
      <c r="T1949" s="183">
        <f t="shared" si="45"/>
        <v>3</v>
      </c>
      <c r="U1949" s="184">
        <f t="shared" si="46"/>
        <v>45747</v>
      </c>
      <c r="V1949" s="166">
        <v>45747</v>
      </c>
      <c r="W1949" s="43">
        <f t="shared" si="47"/>
        <v>3</v>
      </c>
      <c r="X1949" s="43" t="s">
        <v>1484</v>
      </c>
      <c r="Y1949" s="43" t="s">
        <v>1485</v>
      </c>
      <c r="Z1949" s="183"/>
      <c r="AA1949" s="183"/>
      <c r="AB1949" s="183"/>
    </row>
    <row r="1950" spans="1:28" ht="14.25" hidden="1" customHeight="1">
      <c r="A1950" s="180" t="s">
        <v>1017</v>
      </c>
      <c r="B1950" s="181">
        <v>45747</v>
      </c>
      <c r="C1950" s="180" t="s">
        <v>1716</v>
      </c>
      <c r="D1950" s="180" t="s">
        <v>281</v>
      </c>
      <c r="E1950" s="180" t="s">
        <v>282</v>
      </c>
      <c r="F1950" s="278">
        <v>15000</v>
      </c>
      <c r="G1950" s="165">
        <f t="shared" si="44"/>
        <v>32883.691000000006</v>
      </c>
      <c r="H1950" s="180"/>
      <c r="I1950" s="180" t="s">
        <v>977</v>
      </c>
      <c r="J1950" s="180"/>
      <c r="K1950" s="180"/>
      <c r="L1950" s="180" t="s">
        <v>366</v>
      </c>
      <c r="M1950" s="180"/>
      <c r="N1950" s="180" t="s">
        <v>978</v>
      </c>
      <c r="O1950" s="180"/>
      <c r="P1950" s="180"/>
      <c r="Q1950" s="180"/>
      <c r="R1950" s="180" t="s">
        <v>990</v>
      </c>
      <c r="S1950" s="180" t="s">
        <v>991</v>
      </c>
      <c r="T1950" s="183">
        <f t="shared" si="45"/>
        <v>3</v>
      </c>
      <c r="U1950" s="184">
        <f t="shared" si="46"/>
        <v>45747</v>
      </c>
      <c r="V1950" s="272"/>
      <c r="W1950" s="43">
        <f t="shared" si="47"/>
        <v>3</v>
      </c>
      <c r="X1950" s="183" t="s">
        <v>282</v>
      </c>
      <c r="Y1950" s="183" t="s">
        <v>1443</v>
      </c>
      <c r="Z1950" s="183" t="s">
        <v>1113</v>
      </c>
      <c r="AA1950" s="183" t="s">
        <v>1113</v>
      </c>
      <c r="AB1950" s="183"/>
    </row>
    <row r="1951" spans="1:28" hidden="1">
      <c r="A1951" s="163" t="s">
        <v>1174</v>
      </c>
      <c r="B1951" s="164">
        <v>45741</v>
      </c>
      <c r="C1951" s="163" t="s">
        <v>1158</v>
      </c>
      <c r="D1951" s="163" t="s">
        <v>281</v>
      </c>
      <c r="E1951" s="163" t="s">
        <v>407</v>
      </c>
      <c r="F1951" s="278">
        <v>1500</v>
      </c>
      <c r="G1951" s="165">
        <f t="shared" si="44"/>
        <v>34383.691000000006</v>
      </c>
      <c r="H1951" s="163"/>
      <c r="I1951" s="163" t="s">
        <v>1176</v>
      </c>
      <c r="J1951" s="163" t="s">
        <v>1493</v>
      </c>
      <c r="K1951" s="163"/>
      <c r="L1951" s="163" t="s">
        <v>305</v>
      </c>
      <c r="M1951" s="163"/>
      <c r="N1951" s="163" t="s">
        <v>1178</v>
      </c>
      <c r="O1951" s="163" t="s">
        <v>1493</v>
      </c>
      <c r="P1951" s="163" t="s">
        <v>57</v>
      </c>
      <c r="Q1951" s="163"/>
      <c r="R1951" s="163" t="s">
        <v>1163</v>
      </c>
      <c r="S1951" s="163" t="s">
        <v>1164</v>
      </c>
      <c r="T1951" s="43">
        <f t="shared" si="45"/>
        <v>3</v>
      </c>
      <c r="U1951" s="167">
        <f t="shared" si="46"/>
        <v>45747</v>
      </c>
      <c r="V1951" s="145">
        <v>45747</v>
      </c>
      <c r="W1951" s="43">
        <f t="shared" si="47"/>
        <v>3</v>
      </c>
      <c r="X1951" s="43" t="s">
        <v>1484</v>
      </c>
      <c r="Y1951" s="43" t="s">
        <v>1485</v>
      </c>
    </row>
    <row r="1952" spans="1:28" hidden="1">
      <c r="A1952" s="163" t="s">
        <v>1174</v>
      </c>
      <c r="B1952" s="164">
        <v>45761</v>
      </c>
      <c r="C1952" s="163" t="s">
        <v>1759</v>
      </c>
      <c r="D1952" s="163" t="s">
        <v>281</v>
      </c>
      <c r="E1952" s="163" t="s">
        <v>407</v>
      </c>
      <c r="F1952" s="165">
        <v>1600</v>
      </c>
      <c r="G1952" s="165">
        <f t="shared" si="44"/>
        <v>35983.691000000006</v>
      </c>
      <c r="H1952" s="180"/>
      <c r="I1952" s="180"/>
      <c r="J1952" s="180"/>
      <c r="K1952" s="180"/>
      <c r="L1952" s="180"/>
      <c r="M1952" s="180"/>
      <c r="N1952" s="180"/>
      <c r="O1952" s="180"/>
      <c r="P1952" s="180"/>
      <c r="Q1952" s="180"/>
      <c r="R1952" s="180"/>
      <c r="S1952" s="180"/>
      <c r="T1952" s="43">
        <f t="shared" si="45"/>
        <v>4</v>
      </c>
      <c r="U1952" s="167">
        <f t="shared" si="46"/>
        <v>45747</v>
      </c>
      <c r="V1952" s="145">
        <v>45747</v>
      </c>
      <c r="W1952" s="43">
        <f t="shared" si="47"/>
        <v>3</v>
      </c>
      <c r="X1952" s="49"/>
      <c r="Y1952" s="49"/>
      <c r="Z1952" s="183"/>
      <c r="AA1952" s="183"/>
      <c r="AB1952" s="183"/>
    </row>
    <row r="1953" spans="1:28" hidden="1">
      <c r="A1953" s="163" t="s">
        <v>1017</v>
      </c>
      <c r="B1953" s="164">
        <v>45747</v>
      </c>
      <c r="C1953" s="190" t="s">
        <v>1760</v>
      </c>
      <c r="D1953" s="190" t="s">
        <v>281</v>
      </c>
      <c r="E1953" s="190" t="s">
        <v>1761</v>
      </c>
      <c r="F1953" s="185">
        <f>-17881.7-7050.48</f>
        <v>-24932.18</v>
      </c>
      <c r="G1953" s="165">
        <f t="shared" si="44"/>
        <v>11051.511000000006</v>
      </c>
      <c r="H1953" s="190"/>
      <c r="I1953" s="190" t="s">
        <v>342</v>
      </c>
      <c r="J1953" s="190"/>
      <c r="K1953" s="190"/>
      <c r="L1953" s="190" t="s">
        <v>805</v>
      </c>
      <c r="M1953" s="190"/>
      <c r="N1953" s="190" t="s">
        <v>978</v>
      </c>
      <c r="O1953" s="190"/>
      <c r="P1953" s="190"/>
      <c r="Q1953" s="190"/>
      <c r="R1953" s="190" t="s">
        <v>1292</v>
      </c>
      <c r="S1953" s="190" t="s">
        <v>1417</v>
      </c>
      <c r="T1953" s="43">
        <f t="shared" si="45"/>
        <v>3</v>
      </c>
      <c r="U1953" s="167">
        <f t="shared" si="46"/>
        <v>45747</v>
      </c>
      <c r="V1953" s="145"/>
      <c r="W1953" s="43">
        <f t="shared" si="47"/>
        <v>3</v>
      </c>
      <c r="X1953" s="43" t="s">
        <v>1483</v>
      </c>
      <c r="Y1953" s="43" t="s">
        <v>1443</v>
      </c>
      <c r="Z1953" s="43"/>
      <c r="AA1953" s="43"/>
    </row>
    <row r="1954" spans="1:28" hidden="1">
      <c r="A1954" s="163" t="s">
        <v>1017</v>
      </c>
      <c r="B1954" s="164">
        <v>45747</v>
      </c>
      <c r="C1954" s="190" t="s">
        <v>1762</v>
      </c>
      <c r="D1954" s="190" t="s">
        <v>281</v>
      </c>
      <c r="E1954" s="190" t="s">
        <v>1497</v>
      </c>
      <c r="F1954" s="185">
        <f>-7949.02</f>
        <v>-7949.02</v>
      </c>
      <c r="G1954" s="165">
        <f t="shared" si="44"/>
        <v>3102.4910000000054</v>
      </c>
      <c r="H1954" s="190"/>
      <c r="I1954" s="190" t="s">
        <v>342</v>
      </c>
      <c r="J1954" s="190"/>
      <c r="K1954" s="190"/>
      <c r="L1954" s="190" t="s">
        <v>805</v>
      </c>
      <c r="M1954" s="190"/>
      <c r="N1954" s="190" t="s">
        <v>978</v>
      </c>
      <c r="O1954" s="190"/>
      <c r="P1954" s="190"/>
      <c r="Q1954" s="190"/>
      <c r="R1954" s="190" t="s">
        <v>1292</v>
      </c>
      <c r="S1954" s="190" t="s">
        <v>1417</v>
      </c>
      <c r="T1954" s="43">
        <f t="shared" si="45"/>
        <v>3</v>
      </c>
      <c r="U1954" s="167">
        <f t="shared" si="46"/>
        <v>45747</v>
      </c>
      <c r="V1954" s="145"/>
      <c r="W1954" s="43">
        <f t="shared" si="47"/>
        <v>3</v>
      </c>
      <c r="X1954" s="43" t="s">
        <v>1483</v>
      </c>
      <c r="Y1954" s="43" t="s">
        <v>1443</v>
      </c>
      <c r="Z1954" s="43"/>
      <c r="AA1954" s="43"/>
    </row>
    <row r="1955" spans="1:28" hidden="1">
      <c r="A1955" s="163" t="s">
        <v>1017</v>
      </c>
      <c r="B1955" s="164">
        <v>45747</v>
      </c>
      <c r="C1955" s="163" t="s">
        <v>1763</v>
      </c>
      <c r="D1955" s="163" t="s">
        <v>281</v>
      </c>
      <c r="E1955" s="163" t="s">
        <v>121</v>
      </c>
      <c r="F1955" s="198">
        <v>-230</v>
      </c>
      <c r="G1955" s="165">
        <f t="shared" si="44"/>
        <v>2872.4910000000054</v>
      </c>
      <c r="H1955" s="163"/>
      <c r="I1955" s="163" t="s">
        <v>283</v>
      </c>
      <c r="J1955" s="163"/>
      <c r="K1955" s="163"/>
      <c r="L1955" s="163" t="s">
        <v>1030</v>
      </c>
      <c r="M1955" s="163"/>
      <c r="N1955" s="163" t="s">
        <v>978</v>
      </c>
      <c r="O1955" s="163"/>
      <c r="P1955" s="163"/>
      <c r="Q1955" s="163"/>
      <c r="R1955" s="163" t="s">
        <v>466</v>
      </c>
      <c r="S1955" s="163" t="s">
        <v>468</v>
      </c>
      <c r="T1955" s="43">
        <f t="shared" si="45"/>
        <v>3</v>
      </c>
      <c r="U1955" s="167">
        <f t="shared" si="46"/>
        <v>45747</v>
      </c>
      <c r="W1955" s="43">
        <f t="shared" si="47"/>
        <v>3</v>
      </c>
      <c r="X1955" s="49" t="s">
        <v>1498</v>
      </c>
      <c r="Y1955" s="43" t="s">
        <v>26</v>
      </c>
    </row>
    <row r="1956" spans="1:28" hidden="1">
      <c r="A1956" s="163" t="s">
        <v>1017</v>
      </c>
      <c r="B1956" s="164">
        <v>45744</v>
      </c>
      <c r="C1956" s="163" t="s">
        <v>321</v>
      </c>
      <c r="D1956" s="163" t="s">
        <v>281</v>
      </c>
      <c r="E1956" s="163" t="s">
        <v>121</v>
      </c>
      <c r="F1956" s="198"/>
      <c r="G1956" s="165">
        <f t="shared" si="44"/>
        <v>2872.4910000000054</v>
      </c>
      <c r="H1956" s="163"/>
      <c r="I1956" s="163" t="s">
        <v>283</v>
      </c>
      <c r="J1956" s="163"/>
      <c r="K1956" s="163"/>
      <c r="L1956" s="163" t="s">
        <v>1686</v>
      </c>
      <c r="M1956" s="163"/>
      <c r="N1956" s="163" t="s">
        <v>978</v>
      </c>
      <c r="O1956" s="163"/>
      <c r="P1956" s="163"/>
      <c r="Q1956" s="163"/>
      <c r="R1956" s="163" t="s">
        <v>321</v>
      </c>
      <c r="S1956" s="163" t="s">
        <v>323</v>
      </c>
      <c r="T1956" s="43">
        <f t="shared" si="45"/>
        <v>3</v>
      </c>
      <c r="U1956" s="167">
        <f t="shared" si="46"/>
        <v>45747</v>
      </c>
      <c r="V1956" s="166">
        <v>45747</v>
      </c>
      <c r="W1956" s="43">
        <f t="shared" si="47"/>
        <v>3</v>
      </c>
      <c r="X1956" s="49" t="s">
        <v>1498</v>
      </c>
      <c r="Y1956" s="43" t="s">
        <v>26</v>
      </c>
    </row>
    <row r="1957" spans="1:28" hidden="1">
      <c r="A1957" s="163" t="s">
        <v>1017</v>
      </c>
      <c r="B1957" s="164">
        <v>45744</v>
      </c>
      <c r="C1957" s="163" t="s">
        <v>447</v>
      </c>
      <c r="D1957" s="163" t="s">
        <v>281</v>
      </c>
      <c r="E1957" s="163" t="s">
        <v>121</v>
      </c>
      <c r="F1957" s="198">
        <v>-57.5</v>
      </c>
      <c r="G1957" s="165">
        <f t="shared" si="44"/>
        <v>2814.9910000000054</v>
      </c>
      <c r="H1957" s="163"/>
      <c r="I1957" s="163" t="s">
        <v>283</v>
      </c>
      <c r="J1957" s="163"/>
      <c r="K1957" s="163"/>
      <c r="L1957" s="163" t="s">
        <v>1686</v>
      </c>
      <c r="M1957" s="163"/>
      <c r="N1957" s="163" t="s">
        <v>978</v>
      </c>
      <c r="O1957" s="163"/>
      <c r="P1957" s="163"/>
      <c r="Q1957" s="163"/>
      <c r="R1957" s="163" t="s">
        <v>447</v>
      </c>
      <c r="S1957" s="163" t="s">
        <v>449</v>
      </c>
      <c r="T1957" s="43">
        <f t="shared" si="45"/>
        <v>3</v>
      </c>
      <c r="U1957" s="167">
        <f t="shared" si="46"/>
        <v>45747</v>
      </c>
      <c r="V1957" s="166">
        <v>45747</v>
      </c>
      <c r="W1957" s="43">
        <f t="shared" si="47"/>
        <v>3</v>
      </c>
      <c r="X1957" s="49" t="s">
        <v>1498</v>
      </c>
      <c r="Y1957" s="43" t="s">
        <v>1488</v>
      </c>
    </row>
    <row r="1958" spans="1:28" hidden="1">
      <c r="A1958" s="163" t="s">
        <v>1017</v>
      </c>
      <c r="B1958" s="164">
        <v>45744</v>
      </c>
      <c r="C1958" s="163" t="s">
        <v>463</v>
      </c>
      <c r="D1958" s="163" t="s">
        <v>281</v>
      </c>
      <c r="E1958" s="163" t="s">
        <v>121</v>
      </c>
      <c r="F1958" s="198">
        <v>-157.5</v>
      </c>
      <c r="G1958" s="165">
        <f t="shared" si="44"/>
        <v>2657.4910000000054</v>
      </c>
      <c r="H1958" s="163"/>
      <c r="I1958" s="163" t="s">
        <v>283</v>
      </c>
      <c r="J1958" s="163"/>
      <c r="K1958" s="163"/>
      <c r="L1958" s="163" t="s">
        <v>1686</v>
      </c>
      <c r="M1958" s="163"/>
      <c r="N1958" s="163" t="s">
        <v>978</v>
      </c>
      <c r="O1958" s="163"/>
      <c r="P1958" s="163"/>
      <c r="Q1958" s="163"/>
      <c r="R1958" s="163" t="s">
        <v>463</v>
      </c>
      <c r="S1958" s="163" t="s">
        <v>465</v>
      </c>
      <c r="T1958" s="43">
        <f t="shared" si="45"/>
        <v>3</v>
      </c>
      <c r="U1958" s="167">
        <f t="shared" si="46"/>
        <v>45747</v>
      </c>
      <c r="V1958" s="166">
        <v>45747</v>
      </c>
      <c r="W1958" s="43">
        <f t="shared" si="47"/>
        <v>3</v>
      </c>
      <c r="X1958" s="49" t="s">
        <v>1498</v>
      </c>
      <c r="Y1958" s="43" t="s">
        <v>1488</v>
      </c>
    </row>
    <row r="1959" spans="1:28" hidden="1">
      <c r="A1959" s="163" t="s">
        <v>1017</v>
      </c>
      <c r="B1959" s="164">
        <v>45747</v>
      </c>
      <c r="C1959" s="163" t="s">
        <v>466</v>
      </c>
      <c r="D1959" s="163" t="s">
        <v>281</v>
      </c>
      <c r="E1959" s="163" t="s">
        <v>121</v>
      </c>
      <c r="F1959" s="198">
        <v>-105</v>
      </c>
      <c r="G1959" s="165">
        <f t="shared" si="44"/>
        <v>2552.4910000000054</v>
      </c>
      <c r="H1959" s="163"/>
      <c r="I1959" s="163" t="s">
        <v>283</v>
      </c>
      <c r="J1959" s="163"/>
      <c r="K1959" s="163"/>
      <c r="L1959" s="163" t="s">
        <v>1030</v>
      </c>
      <c r="M1959" s="163"/>
      <c r="N1959" s="163" t="s">
        <v>978</v>
      </c>
      <c r="O1959" s="163"/>
      <c r="P1959" s="163"/>
      <c r="Q1959" s="163"/>
      <c r="R1959" s="163" t="s">
        <v>466</v>
      </c>
      <c r="S1959" s="163" t="s">
        <v>468</v>
      </c>
      <c r="T1959" s="43">
        <f t="shared" si="45"/>
        <v>3</v>
      </c>
      <c r="U1959" s="167">
        <f t="shared" si="46"/>
        <v>45747</v>
      </c>
      <c r="W1959" s="43">
        <f t="shared" si="47"/>
        <v>3</v>
      </c>
      <c r="X1959" s="49" t="s">
        <v>1498</v>
      </c>
      <c r="Y1959" s="43" t="s">
        <v>26</v>
      </c>
    </row>
    <row r="1960" spans="1:28" hidden="1">
      <c r="A1960" s="163" t="s">
        <v>1017</v>
      </c>
      <c r="B1960" s="164">
        <v>45747</v>
      </c>
      <c r="C1960" s="163" t="s">
        <v>484</v>
      </c>
      <c r="D1960" s="163" t="s">
        <v>281</v>
      </c>
      <c r="E1960" s="163" t="s">
        <v>121</v>
      </c>
      <c r="F1960" s="198">
        <v>-83</v>
      </c>
      <c r="G1960" s="165">
        <f t="shared" si="44"/>
        <v>2469.4910000000054</v>
      </c>
      <c r="H1960" s="163"/>
      <c r="I1960" s="163" t="s">
        <v>283</v>
      </c>
      <c r="J1960" s="163"/>
      <c r="K1960" s="163"/>
      <c r="L1960" s="163" t="s">
        <v>366</v>
      </c>
      <c r="M1960" s="163"/>
      <c r="N1960" s="163" t="s">
        <v>978</v>
      </c>
      <c r="O1960" s="163"/>
      <c r="P1960" s="163"/>
      <c r="Q1960" s="163"/>
      <c r="R1960" s="163" t="s">
        <v>484</v>
      </c>
      <c r="S1960" s="163" t="s">
        <v>487</v>
      </c>
      <c r="T1960" s="43">
        <f t="shared" si="45"/>
        <v>3</v>
      </c>
      <c r="U1960" s="167">
        <f t="shared" si="46"/>
        <v>45747</v>
      </c>
      <c r="W1960" s="43">
        <f t="shared" si="47"/>
        <v>3</v>
      </c>
      <c r="X1960" s="49" t="s">
        <v>1498</v>
      </c>
      <c r="Y1960" s="43" t="s">
        <v>86</v>
      </c>
    </row>
    <row r="1961" spans="1:28" hidden="1">
      <c r="A1961" s="163" t="s">
        <v>1017</v>
      </c>
      <c r="B1961" s="164">
        <v>45747</v>
      </c>
      <c r="C1961" s="163" t="s">
        <v>1764</v>
      </c>
      <c r="D1961" s="163" t="s">
        <v>281</v>
      </c>
      <c r="E1961" s="163" t="s">
        <v>121</v>
      </c>
      <c r="F1961" s="198">
        <v>-210</v>
      </c>
      <c r="G1961" s="165">
        <f t="shared" si="44"/>
        <v>2259.4910000000054</v>
      </c>
      <c r="H1961" s="163"/>
      <c r="I1961" s="163" t="s">
        <v>283</v>
      </c>
      <c r="J1961" s="163"/>
      <c r="K1961" s="163"/>
      <c r="L1961" s="163" t="s">
        <v>1030</v>
      </c>
      <c r="M1961" s="163"/>
      <c r="N1961" s="163" t="s">
        <v>978</v>
      </c>
      <c r="O1961" s="163"/>
      <c r="P1961" s="163"/>
      <c r="Q1961" s="163"/>
      <c r="R1961" s="163" t="s">
        <v>466</v>
      </c>
      <c r="S1961" s="163" t="s">
        <v>468</v>
      </c>
      <c r="T1961" s="43">
        <f t="shared" si="45"/>
        <v>3</v>
      </c>
      <c r="U1961" s="167">
        <f t="shared" si="46"/>
        <v>45747</v>
      </c>
      <c r="W1961" s="43">
        <f t="shared" si="47"/>
        <v>3</v>
      </c>
      <c r="X1961" s="49" t="s">
        <v>1498</v>
      </c>
      <c r="Y1961" s="43" t="s">
        <v>26</v>
      </c>
    </row>
    <row r="1962" spans="1:28" hidden="1">
      <c r="A1962" s="163" t="s">
        <v>1017</v>
      </c>
      <c r="B1962" s="164">
        <v>45747</v>
      </c>
      <c r="C1962" s="163" t="s">
        <v>1704</v>
      </c>
      <c r="D1962" s="163" t="s">
        <v>281</v>
      </c>
      <c r="E1962" s="163" t="s">
        <v>121</v>
      </c>
      <c r="F1962" s="198">
        <v>-210</v>
      </c>
      <c r="G1962" s="165">
        <f t="shared" si="44"/>
        <v>2049.4910000000054</v>
      </c>
      <c r="H1962" s="163"/>
      <c r="I1962" s="163" t="s">
        <v>283</v>
      </c>
      <c r="J1962" s="163"/>
      <c r="K1962" s="163"/>
      <c r="L1962" s="163" t="s">
        <v>1030</v>
      </c>
      <c r="M1962" s="163"/>
      <c r="N1962" s="163" t="s">
        <v>978</v>
      </c>
      <c r="O1962" s="163"/>
      <c r="P1962" s="163"/>
      <c r="Q1962" s="163"/>
      <c r="R1962" s="163" t="s">
        <v>466</v>
      </c>
      <c r="S1962" s="163" t="s">
        <v>468</v>
      </c>
      <c r="T1962" s="43">
        <f t="shared" si="45"/>
        <v>3</v>
      </c>
      <c r="U1962" s="167">
        <f t="shared" si="46"/>
        <v>45747</v>
      </c>
      <c r="W1962" s="43">
        <f t="shared" si="47"/>
        <v>3</v>
      </c>
      <c r="X1962" s="49" t="s">
        <v>1498</v>
      </c>
      <c r="Y1962" s="43" t="s">
        <v>26</v>
      </c>
    </row>
    <row r="1963" spans="1:28" hidden="1">
      <c r="A1963" s="180" t="s">
        <v>1017</v>
      </c>
      <c r="B1963" s="181">
        <v>45747</v>
      </c>
      <c r="C1963" s="180" t="s">
        <v>1010</v>
      </c>
      <c r="D1963" s="180" t="s">
        <v>281</v>
      </c>
      <c r="E1963" s="180" t="s">
        <v>199</v>
      </c>
      <c r="F1963" s="168">
        <v>-300</v>
      </c>
      <c r="G1963" s="165">
        <f t="shared" si="44"/>
        <v>1749.4910000000054</v>
      </c>
      <c r="H1963" s="180"/>
      <c r="I1963" s="180" t="s">
        <v>283</v>
      </c>
      <c r="J1963" s="180"/>
      <c r="K1963" s="180"/>
      <c r="L1963" s="180" t="s">
        <v>485</v>
      </c>
      <c r="M1963" s="180"/>
      <c r="N1963" s="180" t="s">
        <v>978</v>
      </c>
      <c r="O1963" s="180"/>
      <c r="P1963" s="180"/>
      <c r="Q1963" s="180"/>
      <c r="R1963" s="180" t="s">
        <v>669</v>
      </c>
      <c r="S1963" s="180" t="s">
        <v>1492</v>
      </c>
      <c r="T1963" s="183">
        <f t="shared" si="45"/>
        <v>3</v>
      </c>
      <c r="U1963" s="184">
        <f t="shared" si="46"/>
        <v>45747</v>
      </c>
      <c r="V1963" s="166">
        <v>45747</v>
      </c>
      <c r="W1963" s="43">
        <f t="shared" si="47"/>
        <v>3</v>
      </c>
      <c r="X1963" s="206" t="s">
        <v>1478</v>
      </c>
      <c r="Y1963" s="206" t="s">
        <v>26</v>
      </c>
      <c r="Z1963" s="183"/>
      <c r="AA1963" s="183"/>
      <c r="AB1963" s="183"/>
    </row>
    <row r="1964" spans="1:28" hidden="1">
      <c r="A1964" s="163" t="s">
        <v>1017</v>
      </c>
      <c r="B1964" s="164">
        <v>45747</v>
      </c>
      <c r="C1964" s="163" t="s">
        <v>1013</v>
      </c>
      <c r="D1964" s="163" t="s">
        <v>281</v>
      </c>
      <c r="E1964" s="163" t="s">
        <v>199</v>
      </c>
      <c r="F1964" s="198">
        <v>-140</v>
      </c>
      <c r="G1964" s="165">
        <f t="shared" si="44"/>
        <v>1609.4910000000054</v>
      </c>
      <c r="H1964" s="163"/>
      <c r="I1964" s="163" t="s">
        <v>977</v>
      </c>
      <c r="J1964" s="163"/>
      <c r="K1964" s="163"/>
      <c r="L1964" s="163" t="s">
        <v>1765</v>
      </c>
      <c r="M1964" s="163"/>
      <c r="N1964" s="163" t="s">
        <v>978</v>
      </c>
      <c r="O1964" s="163"/>
      <c r="P1964" s="163"/>
      <c r="Q1964" s="163"/>
      <c r="R1964" s="163" t="s">
        <v>1015</v>
      </c>
      <c r="S1964" s="163" t="s">
        <v>1016</v>
      </c>
      <c r="T1964" s="43">
        <f t="shared" si="45"/>
        <v>3</v>
      </c>
      <c r="U1964" s="167">
        <f t="shared" si="46"/>
        <v>45747</v>
      </c>
      <c r="W1964" s="43">
        <f t="shared" si="47"/>
        <v>3</v>
      </c>
      <c r="X1964" s="49" t="s">
        <v>1480</v>
      </c>
      <c r="Y1964" s="49" t="s">
        <v>26</v>
      </c>
    </row>
    <row r="1965" spans="1:28" hidden="1">
      <c r="A1965" s="163" t="s">
        <v>1017</v>
      </c>
      <c r="B1965" s="164">
        <v>45747</v>
      </c>
      <c r="C1965" s="163" t="s">
        <v>1028</v>
      </c>
      <c r="D1965" s="163" t="s">
        <v>281</v>
      </c>
      <c r="E1965" s="163" t="s">
        <v>1766</v>
      </c>
      <c r="F1965" s="198">
        <v>-1312.9</v>
      </c>
      <c r="G1965" s="165">
        <f t="shared" si="44"/>
        <v>296.59100000000535</v>
      </c>
      <c r="H1965" s="163"/>
      <c r="I1965" s="163" t="s">
        <v>283</v>
      </c>
      <c r="J1965" s="163"/>
      <c r="K1965" s="163"/>
      <c r="L1965" s="163" t="s">
        <v>1030</v>
      </c>
      <c r="M1965" s="163"/>
      <c r="N1965" s="163" t="s">
        <v>978</v>
      </c>
      <c r="O1965" s="163"/>
      <c r="P1965" s="163"/>
      <c r="Q1965" s="163"/>
      <c r="R1965" s="163" t="s">
        <v>466</v>
      </c>
      <c r="S1965" s="163" t="s">
        <v>468</v>
      </c>
      <c r="T1965" s="43">
        <f t="shared" si="45"/>
        <v>3</v>
      </c>
      <c r="U1965" s="167">
        <f t="shared" si="46"/>
        <v>45747</v>
      </c>
      <c r="W1965" s="43">
        <f t="shared" si="47"/>
        <v>3</v>
      </c>
      <c r="X1965" s="49" t="s">
        <v>1498</v>
      </c>
      <c r="Y1965" s="43" t="s">
        <v>26</v>
      </c>
    </row>
    <row r="1966" spans="1:28" hidden="1">
      <c r="A1966" s="180" t="s">
        <v>1017</v>
      </c>
      <c r="B1966" s="181">
        <v>45747</v>
      </c>
      <c r="C1966" s="180" t="s">
        <v>1750</v>
      </c>
      <c r="D1966" s="180" t="s">
        <v>281</v>
      </c>
      <c r="E1966" s="180" t="s">
        <v>1702</v>
      </c>
      <c r="F1966" s="168">
        <v>-250</v>
      </c>
      <c r="G1966" s="165">
        <f t="shared" si="44"/>
        <v>46.591000000005351</v>
      </c>
      <c r="H1966" s="180"/>
      <c r="I1966" s="180" t="s">
        <v>283</v>
      </c>
      <c r="J1966" s="180"/>
      <c r="K1966" s="180"/>
      <c r="L1966" s="180" t="s">
        <v>485</v>
      </c>
      <c r="M1966" s="180"/>
      <c r="N1966" s="180" t="s">
        <v>978</v>
      </c>
      <c r="O1966" s="180"/>
      <c r="P1966" s="180"/>
      <c r="Q1966" s="180"/>
      <c r="R1966" s="180" t="s">
        <v>669</v>
      </c>
      <c r="S1966" s="180" t="s">
        <v>1492</v>
      </c>
      <c r="T1966" s="183">
        <f t="shared" si="45"/>
        <v>3</v>
      </c>
      <c r="U1966" s="184">
        <f t="shared" si="46"/>
        <v>45747</v>
      </c>
      <c r="V1966" s="183"/>
      <c r="W1966" s="43">
        <f t="shared" si="47"/>
        <v>3</v>
      </c>
      <c r="X1966" s="183" t="s">
        <v>1381</v>
      </c>
      <c r="Y1966" s="183" t="s">
        <v>25</v>
      </c>
      <c r="Z1966" s="183"/>
      <c r="AA1966" s="183"/>
      <c r="AB1966" s="183"/>
    </row>
    <row r="1967" spans="1:28" hidden="1">
      <c r="A1967" s="163" t="s">
        <v>1017</v>
      </c>
      <c r="B1967" s="164">
        <v>45747</v>
      </c>
      <c r="C1967" s="190" t="s">
        <v>330</v>
      </c>
      <c r="D1967" s="190" t="s">
        <v>281</v>
      </c>
      <c r="E1967" s="190" t="s">
        <v>330</v>
      </c>
      <c r="F1967" s="185">
        <f>-1.99*2-6</f>
        <v>-9.98</v>
      </c>
      <c r="G1967" s="165">
        <f t="shared" si="44"/>
        <v>36.611000000005347</v>
      </c>
      <c r="H1967" s="190"/>
      <c r="I1967" s="190" t="s">
        <v>342</v>
      </c>
      <c r="J1967" s="190"/>
      <c r="K1967" s="190"/>
      <c r="L1967" s="190" t="s">
        <v>805</v>
      </c>
      <c r="M1967" s="190"/>
      <c r="N1967" s="190" t="s">
        <v>978</v>
      </c>
      <c r="O1967" s="190"/>
      <c r="P1967" s="190"/>
      <c r="Q1967" s="190"/>
      <c r="R1967" s="190" t="s">
        <v>1292</v>
      </c>
      <c r="S1967" s="190" t="s">
        <v>1417</v>
      </c>
      <c r="T1967" s="43">
        <f t="shared" si="45"/>
        <v>3</v>
      </c>
      <c r="U1967" s="167">
        <f t="shared" si="46"/>
        <v>45747</v>
      </c>
      <c r="V1967" s="145"/>
      <c r="W1967" s="43">
        <f t="shared" si="47"/>
        <v>3</v>
      </c>
      <c r="X1967" s="43" t="s">
        <v>1483</v>
      </c>
      <c r="Y1967" s="43" t="s">
        <v>1443</v>
      </c>
      <c r="Z1967" s="43"/>
      <c r="AA1967" s="43"/>
    </row>
    <row r="1968" spans="1:28" hidden="1">
      <c r="A1968" s="248" t="s">
        <v>1174</v>
      </c>
      <c r="B1968" s="249">
        <v>45730</v>
      </c>
      <c r="C1968" s="248" t="s">
        <v>1623</v>
      </c>
      <c r="D1968" s="248" t="s">
        <v>281</v>
      </c>
      <c r="E1968" s="248" t="s">
        <v>289</v>
      </c>
      <c r="F1968" s="278"/>
      <c r="G1968" s="165">
        <f t="shared" si="44"/>
        <v>36.611000000005347</v>
      </c>
      <c r="H1968" s="248"/>
      <c r="I1968" s="248" t="s">
        <v>1176</v>
      </c>
      <c r="J1968" s="248" t="s">
        <v>1617</v>
      </c>
      <c r="K1968" s="248"/>
      <c r="L1968" s="248" t="s">
        <v>305</v>
      </c>
      <c r="M1968" s="248"/>
      <c r="N1968" s="248" t="s">
        <v>1178</v>
      </c>
      <c r="O1968" s="248" t="s">
        <v>1617</v>
      </c>
      <c r="P1968" s="248" t="s">
        <v>1618</v>
      </c>
      <c r="Q1968" s="248"/>
      <c r="R1968" s="248" t="s">
        <v>1619</v>
      </c>
      <c r="S1968" s="248" t="s">
        <v>1620</v>
      </c>
      <c r="T1968" s="251">
        <f t="shared" si="45"/>
        <v>3</v>
      </c>
      <c r="U1968" s="252">
        <f t="shared" si="46"/>
        <v>45747</v>
      </c>
      <c r="V1968" s="145">
        <v>45747</v>
      </c>
      <c r="W1968" s="43">
        <f t="shared" si="47"/>
        <v>3</v>
      </c>
      <c r="X1968" s="49" t="s">
        <v>1484</v>
      </c>
      <c r="Y1968" s="49" t="s">
        <v>78</v>
      </c>
      <c r="Z1968" s="251"/>
      <c r="AA1968" s="251"/>
      <c r="AB1968" s="251"/>
    </row>
    <row r="1969" spans="1:28" hidden="1">
      <c r="A1969" s="163" t="s">
        <v>1174</v>
      </c>
      <c r="B1969" s="164">
        <v>45744</v>
      </c>
      <c r="C1969" s="163" t="s">
        <v>1601</v>
      </c>
      <c r="D1969" s="163" t="s">
        <v>281</v>
      </c>
      <c r="E1969" s="163" t="s">
        <v>407</v>
      </c>
      <c r="F1969" s="168"/>
      <c r="G1969" s="165">
        <f t="shared" si="44"/>
        <v>36.611000000005347</v>
      </c>
      <c r="H1969" s="163"/>
      <c r="I1969" s="163" t="s">
        <v>1176</v>
      </c>
      <c r="J1969" s="163" t="s">
        <v>1598</v>
      </c>
      <c r="K1969" s="163"/>
      <c r="L1969" s="163" t="s">
        <v>305</v>
      </c>
      <c r="M1969" s="163"/>
      <c r="N1969" s="163" t="s">
        <v>1178</v>
      </c>
      <c r="O1969" s="163" t="s">
        <v>1598</v>
      </c>
      <c r="P1969" s="163" t="s">
        <v>1083</v>
      </c>
      <c r="Q1969" s="163"/>
      <c r="R1969" s="163" t="s">
        <v>1599</v>
      </c>
      <c r="S1969" s="163" t="s">
        <v>1600</v>
      </c>
      <c r="T1969" s="43">
        <f t="shared" si="45"/>
        <v>3</v>
      </c>
      <c r="U1969" s="167">
        <f t="shared" si="46"/>
        <v>45744</v>
      </c>
      <c r="W1969" s="43">
        <f t="shared" si="47"/>
        <v>3</v>
      </c>
      <c r="X1969" s="43" t="s">
        <v>1484</v>
      </c>
      <c r="Y1969" s="43" t="s">
        <v>1485</v>
      </c>
    </row>
    <row r="1970" spans="1:28" hidden="1">
      <c r="A1970" s="163" t="s">
        <v>1174</v>
      </c>
      <c r="B1970" s="164">
        <v>45744</v>
      </c>
      <c r="C1970" s="163" t="s">
        <v>1616</v>
      </c>
      <c r="D1970" s="163" t="s">
        <v>281</v>
      </c>
      <c r="E1970" s="163" t="s">
        <v>289</v>
      </c>
      <c r="F1970" s="168"/>
      <c r="G1970" s="165">
        <f t="shared" si="44"/>
        <v>36.611000000005347</v>
      </c>
      <c r="H1970" s="163"/>
      <c r="I1970" s="163" t="s">
        <v>1176</v>
      </c>
      <c r="J1970" s="163" t="s">
        <v>1617</v>
      </c>
      <c r="K1970" s="163"/>
      <c r="L1970" s="163" t="s">
        <v>305</v>
      </c>
      <c r="M1970" s="163"/>
      <c r="N1970" s="163" t="s">
        <v>1178</v>
      </c>
      <c r="O1970" s="163" t="s">
        <v>1617</v>
      </c>
      <c r="P1970" s="163" t="s">
        <v>1618</v>
      </c>
      <c r="Q1970" s="163"/>
      <c r="R1970" s="163" t="s">
        <v>1619</v>
      </c>
      <c r="S1970" s="163" t="s">
        <v>1620</v>
      </c>
      <c r="T1970" s="43">
        <f t="shared" si="45"/>
        <v>3</v>
      </c>
      <c r="U1970" s="167">
        <f t="shared" si="46"/>
        <v>45744</v>
      </c>
      <c r="W1970" s="43">
        <f t="shared" si="47"/>
        <v>3</v>
      </c>
      <c r="X1970" s="49" t="s">
        <v>1484</v>
      </c>
      <c r="Y1970" s="49" t="s">
        <v>78</v>
      </c>
    </row>
    <row r="1971" spans="1:28" hidden="1">
      <c r="A1971" s="163" t="s">
        <v>1174</v>
      </c>
      <c r="B1971" s="164">
        <v>45741</v>
      </c>
      <c r="C1971" s="163" t="s">
        <v>1223</v>
      </c>
      <c r="D1971" s="163" t="s">
        <v>281</v>
      </c>
      <c r="E1971" s="163" t="s">
        <v>407</v>
      </c>
      <c r="F1971" s="168"/>
      <c r="G1971" s="165">
        <f t="shared" si="44"/>
        <v>36.611000000005347</v>
      </c>
      <c r="H1971" s="163"/>
      <c r="I1971" s="163" t="s">
        <v>1176</v>
      </c>
      <c r="J1971" s="163" t="s">
        <v>1449</v>
      </c>
      <c r="K1971" s="163"/>
      <c r="L1971" s="163" t="s">
        <v>305</v>
      </c>
      <c r="M1971" s="163"/>
      <c r="N1971" s="163" t="s">
        <v>1178</v>
      </c>
      <c r="O1971" s="163" t="s">
        <v>1449</v>
      </c>
      <c r="P1971" s="163" t="s">
        <v>57</v>
      </c>
      <c r="Q1971" s="163"/>
      <c r="R1971" s="163" t="s">
        <v>1228</v>
      </c>
      <c r="S1971" s="163" t="s">
        <v>1229</v>
      </c>
      <c r="T1971" s="43">
        <f t="shared" si="45"/>
        <v>3</v>
      </c>
      <c r="U1971" s="167">
        <f t="shared" si="46"/>
        <v>45741</v>
      </c>
      <c r="V1971" s="145"/>
      <c r="W1971" s="43">
        <f t="shared" si="47"/>
        <v>3</v>
      </c>
      <c r="X1971" s="43" t="s">
        <v>1484</v>
      </c>
      <c r="Y1971" s="43" t="s">
        <v>1485</v>
      </c>
    </row>
    <row r="1972" spans="1:28" hidden="1">
      <c r="A1972" s="163" t="s">
        <v>1174</v>
      </c>
      <c r="B1972" s="164">
        <v>45741</v>
      </c>
      <c r="C1972" s="163" t="s">
        <v>1123</v>
      </c>
      <c r="D1972" s="163" t="s">
        <v>281</v>
      </c>
      <c r="E1972" s="163" t="s">
        <v>407</v>
      </c>
      <c r="F1972" s="168"/>
      <c r="G1972" s="165">
        <f t="shared" si="44"/>
        <v>36.611000000005347</v>
      </c>
      <c r="H1972" s="163"/>
      <c r="I1972" s="163" t="s">
        <v>1176</v>
      </c>
      <c r="J1972" s="163" t="s">
        <v>1452</v>
      </c>
      <c r="K1972" s="163"/>
      <c r="L1972" s="163" t="s">
        <v>305</v>
      </c>
      <c r="M1972" s="163"/>
      <c r="N1972" s="163" t="s">
        <v>1178</v>
      </c>
      <c r="O1972" s="163" t="s">
        <v>1452</v>
      </c>
      <c r="P1972" s="163" t="s">
        <v>57</v>
      </c>
      <c r="Q1972" s="163"/>
      <c r="R1972" s="163" t="s">
        <v>1128</v>
      </c>
      <c r="S1972" s="163" t="s">
        <v>1129</v>
      </c>
      <c r="T1972" s="43">
        <f t="shared" si="45"/>
        <v>3</v>
      </c>
      <c r="U1972" s="167">
        <f t="shared" si="46"/>
        <v>45741</v>
      </c>
      <c r="V1972" s="145"/>
      <c r="W1972" s="43">
        <f t="shared" si="47"/>
        <v>3</v>
      </c>
      <c r="X1972" s="43" t="s">
        <v>1484</v>
      </c>
      <c r="Y1972" s="43" t="s">
        <v>1485</v>
      </c>
    </row>
    <row r="1973" spans="1:28" hidden="1">
      <c r="A1973" s="163" t="s">
        <v>1174</v>
      </c>
      <c r="B1973" s="164">
        <v>45741</v>
      </c>
      <c r="C1973" s="163" t="s">
        <v>1240</v>
      </c>
      <c r="D1973" s="163" t="s">
        <v>281</v>
      </c>
      <c r="E1973" s="163" t="s">
        <v>407</v>
      </c>
      <c r="F1973" s="168"/>
      <c r="G1973" s="165">
        <f t="shared" si="44"/>
        <v>36.611000000005347</v>
      </c>
      <c r="H1973" s="163"/>
      <c r="I1973" s="163" t="s">
        <v>1176</v>
      </c>
      <c r="J1973" s="163" t="s">
        <v>1459</v>
      </c>
      <c r="K1973" s="163"/>
      <c r="L1973" s="163" t="s">
        <v>305</v>
      </c>
      <c r="M1973" s="163"/>
      <c r="N1973" s="163" t="s">
        <v>1178</v>
      </c>
      <c r="O1973" s="163" t="s">
        <v>1459</v>
      </c>
      <c r="P1973" s="163" t="s">
        <v>57</v>
      </c>
      <c r="Q1973" s="163"/>
      <c r="R1973" s="163" t="s">
        <v>1245</v>
      </c>
      <c r="S1973" s="163" t="s">
        <v>1246</v>
      </c>
      <c r="T1973" s="43">
        <f t="shared" si="45"/>
        <v>3</v>
      </c>
      <c r="U1973" s="167">
        <f t="shared" si="46"/>
        <v>45741</v>
      </c>
      <c r="V1973" s="145"/>
      <c r="W1973" s="43">
        <f t="shared" si="47"/>
        <v>3</v>
      </c>
      <c r="X1973" s="43" t="s">
        <v>1484</v>
      </c>
      <c r="Y1973" s="43" t="s">
        <v>1485</v>
      </c>
    </row>
    <row r="1974" spans="1:28" ht="14.25" hidden="1" customHeight="1">
      <c r="A1974" s="180" t="s">
        <v>1017</v>
      </c>
      <c r="B1974" s="181">
        <v>45741</v>
      </c>
      <c r="C1974" s="180" t="s">
        <v>1603</v>
      </c>
      <c r="D1974" s="180" t="s">
        <v>281</v>
      </c>
      <c r="E1974" s="180" t="s">
        <v>193</v>
      </c>
      <c r="F1974" s="168"/>
      <c r="G1974" s="165">
        <f t="shared" si="44"/>
        <v>36.611000000005347</v>
      </c>
      <c r="H1974" s="180"/>
      <c r="I1974" s="180" t="s">
        <v>283</v>
      </c>
      <c r="J1974" s="180"/>
      <c r="K1974" s="180"/>
      <c r="L1974" s="180" t="s">
        <v>305</v>
      </c>
      <c r="M1974" s="180"/>
      <c r="N1974" s="180" t="s">
        <v>978</v>
      </c>
      <c r="O1974" s="180"/>
      <c r="P1974" s="180"/>
      <c r="Q1974" s="180" t="s">
        <v>1067</v>
      </c>
      <c r="R1974" s="180" t="s">
        <v>1087</v>
      </c>
      <c r="S1974" s="180" t="s">
        <v>1089</v>
      </c>
      <c r="T1974" s="183">
        <f t="shared" si="45"/>
        <v>3</v>
      </c>
      <c r="U1974" s="184">
        <f t="shared" si="46"/>
        <v>45741</v>
      </c>
      <c r="V1974" s="145"/>
      <c r="W1974" s="43">
        <f t="shared" si="47"/>
        <v>3</v>
      </c>
      <c r="X1974" s="43" t="s">
        <v>1552</v>
      </c>
      <c r="Y1974" s="43" t="s">
        <v>26</v>
      </c>
      <c r="Z1974" s="183" t="s">
        <v>1113</v>
      </c>
      <c r="AA1974" s="183" t="s">
        <v>1336</v>
      </c>
      <c r="AB1974" s="183"/>
    </row>
    <row r="1975" spans="1:28" hidden="1">
      <c r="A1975" s="180" t="s">
        <v>1017</v>
      </c>
      <c r="B1975" s="181">
        <v>45741</v>
      </c>
      <c r="C1975" s="180" t="s">
        <v>1596</v>
      </c>
      <c r="D1975" s="180" t="s">
        <v>281</v>
      </c>
      <c r="E1975" s="180" t="s">
        <v>301</v>
      </c>
      <c r="F1975" s="168"/>
      <c r="G1975" s="165">
        <f t="shared" si="44"/>
        <v>36.611000000005347</v>
      </c>
      <c r="H1975" s="180"/>
      <c r="I1975" s="180" t="s">
        <v>283</v>
      </c>
      <c r="J1975" s="180"/>
      <c r="K1975" s="180"/>
      <c r="L1975" s="180" t="s">
        <v>485</v>
      </c>
      <c r="M1975" s="180"/>
      <c r="N1975" s="180" t="s">
        <v>978</v>
      </c>
      <c r="O1975" s="180"/>
      <c r="P1975" s="180"/>
      <c r="Q1975" s="180"/>
      <c r="R1975" s="180" t="s">
        <v>1527</v>
      </c>
      <c r="S1975" s="180"/>
      <c r="T1975" s="183">
        <f t="shared" si="45"/>
        <v>3</v>
      </c>
      <c r="U1975" s="184">
        <f t="shared" si="46"/>
        <v>45741</v>
      </c>
      <c r="V1975" s="145"/>
      <c r="W1975" s="43">
        <f t="shared" si="47"/>
        <v>3</v>
      </c>
      <c r="X1975" s="49" t="s">
        <v>1333</v>
      </c>
      <c r="Y1975" s="49" t="s">
        <v>1336</v>
      </c>
      <c r="Z1975" s="183"/>
      <c r="AA1975" s="183"/>
      <c r="AB1975" s="183"/>
    </row>
    <row r="1976" spans="1:28" hidden="1">
      <c r="A1976" s="163" t="s">
        <v>1017</v>
      </c>
      <c r="B1976" s="164">
        <v>45742</v>
      </c>
      <c r="C1976" s="163" t="s">
        <v>1273</v>
      </c>
      <c r="D1976" s="163" t="s">
        <v>281</v>
      </c>
      <c r="E1976" s="163" t="s">
        <v>199</v>
      </c>
      <c r="F1976" s="168"/>
      <c r="G1976" s="165">
        <f t="shared" si="44"/>
        <v>36.611000000005347</v>
      </c>
      <c r="H1976" s="163"/>
      <c r="I1976" s="163" t="s">
        <v>342</v>
      </c>
      <c r="J1976" s="163"/>
      <c r="K1976" s="163"/>
      <c r="L1976" s="163" t="s">
        <v>766</v>
      </c>
      <c r="M1976" s="163"/>
      <c r="N1976" s="163" t="s">
        <v>978</v>
      </c>
      <c r="O1976" s="163"/>
      <c r="P1976" s="163"/>
      <c r="Q1976" s="163"/>
      <c r="R1976" s="163" t="s">
        <v>1274</v>
      </c>
      <c r="S1976" s="163" t="s">
        <v>1275</v>
      </c>
      <c r="T1976" s="43">
        <f t="shared" si="45"/>
        <v>3</v>
      </c>
      <c r="U1976" s="167">
        <f t="shared" si="46"/>
        <v>45742</v>
      </c>
      <c r="W1976" s="43">
        <f t="shared" si="47"/>
        <v>3</v>
      </c>
      <c r="X1976" s="49" t="s">
        <v>1480</v>
      </c>
      <c r="Y1976" s="49" t="s">
        <v>25</v>
      </c>
    </row>
    <row r="1977" spans="1:28" hidden="1">
      <c r="A1977" s="163" t="s">
        <v>1017</v>
      </c>
      <c r="B1977" s="164">
        <v>45744</v>
      </c>
      <c r="C1977" s="163" t="s">
        <v>469</v>
      </c>
      <c r="D1977" s="163" t="s">
        <v>281</v>
      </c>
      <c r="E1977" s="163" t="s">
        <v>121</v>
      </c>
      <c r="F1977" s="168"/>
      <c r="G1977" s="165">
        <f t="shared" si="44"/>
        <v>36.611000000005347</v>
      </c>
      <c r="H1977" s="163"/>
      <c r="I1977" s="163" t="s">
        <v>283</v>
      </c>
      <c r="J1977" s="163"/>
      <c r="K1977" s="163"/>
      <c r="L1977" s="163" t="s">
        <v>1686</v>
      </c>
      <c r="M1977" s="163"/>
      <c r="N1977" s="163" t="s">
        <v>978</v>
      </c>
      <c r="O1977" s="163"/>
      <c r="P1977" s="163"/>
      <c r="Q1977" s="163"/>
      <c r="R1977" s="163" t="s">
        <v>469</v>
      </c>
      <c r="S1977" s="163" t="s">
        <v>471</v>
      </c>
      <c r="T1977" s="43">
        <f t="shared" si="45"/>
        <v>3</v>
      </c>
      <c r="U1977" s="167">
        <f t="shared" si="46"/>
        <v>45744</v>
      </c>
      <c r="W1977" s="43">
        <f t="shared" si="47"/>
        <v>3</v>
      </c>
      <c r="X1977" s="49" t="s">
        <v>1498</v>
      </c>
      <c r="Y1977" s="43" t="s">
        <v>26</v>
      </c>
    </row>
    <row r="1978" spans="1:28" hidden="1">
      <c r="A1978" s="163" t="s">
        <v>1017</v>
      </c>
      <c r="B1978" s="164">
        <v>45744</v>
      </c>
      <c r="C1978" s="163" t="s">
        <v>358</v>
      </c>
      <c r="D1978" s="163" t="s">
        <v>281</v>
      </c>
      <c r="E1978" s="163" t="s">
        <v>121</v>
      </c>
      <c r="F1978" s="168"/>
      <c r="G1978" s="165">
        <f t="shared" si="44"/>
        <v>36.611000000005347</v>
      </c>
      <c r="H1978" s="163"/>
      <c r="I1978" s="163" t="s">
        <v>283</v>
      </c>
      <c r="J1978" s="163"/>
      <c r="K1978" s="163"/>
      <c r="L1978" s="163" t="s">
        <v>1571</v>
      </c>
      <c r="M1978" s="163"/>
      <c r="N1978" s="163" t="s">
        <v>978</v>
      </c>
      <c r="O1978" s="163"/>
      <c r="P1978" s="163"/>
      <c r="Q1978" s="163"/>
      <c r="R1978" s="163" t="s">
        <v>358</v>
      </c>
      <c r="S1978" s="163" t="s">
        <v>361</v>
      </c>
      <c r="T1978" s="43">
        <f t="shared" si="45"/>
        <v>3</v>
      </c>
      <c r="U1978" s="167">
        <f t="shared" si="46"/>
        <v>45744</v>
      </c>
      <c r="W1978" s="43">
        <f t="shared" si="47"/>
        <v>3</v>
      </c>
      <c r="X1978" s="49" t="s">
        <v>1498</v>
      </c>
      <c r="Y1978" s="43" t="s">
        <v>26</v>
      </c>
    </row>
    <row r="1979" spans="1:28" hidden="1">
      <c r="A1979" s="163" t="s">
        <v>1017</v>
      </c>
      <c r="B1979" s="164">
        <v>45744</v>
      </c>
      <c r="C1979" s="163" t="s">
        <v>451</v>
      </c>
      <c r="D1979" s="163" t="s">
        <v>281</v>
      </c>
      <c r="E1979" s="163" t="s">
        <v>121</v>
      </c>
      <c r="F1979" s="168"/>
      <c r="G1979" s="165">
        <f t="shared" si="44"/>
        <v>36.611000000005347</v>
      </c>
      <c r="H1979" s="163"/>
      <c r="I1979" s="163" t="s">
        <v>283</v>
      </c>
      <c r="J1979" s="163"/>
      <c r="K1979" s="163"/>
      <c r="L1979" s="163" t="s">
        <v>1686</v>
      </c>
      <c r="M1979" s="163"/>
      <c r="N1979" s="163" t="s">
        <v>978</v>
      </c>
      <c r="O1979" s="163"/>
      <c r="P1979" s="163"/>
      <c r="Q1979" s="163"/>
      <c r="R1979" s="163" t="s">
        <v>451</v>
      </c>
      <c r="S1979" s="163" t="s">
        <v>453</v>
      </c>
      <c r="T1979" s="43">
        <f t="shared" si="45"/>
        <v>3</v>
      </c>
      <c r="U1979" s="167">
        <f t="shared" si="46"/>
        <v>45744</v>
      </c>
      <c r="W1979" s="43">
        <f t="shared" si="47"/>
        <v>3</v>
      </c>
      <c r="X1979" s="49" t="s">
        <v>1498</v>
      </c>
      <c r="Y1979" s="43" t="s">
        <v>26</v>
      </c>
    </row>
    <row r="1980" spans="1:28" hidden="1">
      <c r="A1980" s="163" t="s">
        <v>1017</v>
      </c>
      <c r="B1980" s="164">
        <v>45747</v>
      </c>
      <c r="C1980" s="163" t="s">
        <v>1687</v>
      </c>
      <c r="D1980" s="163" t="s">
        <v>281</v>
      </c>
      <c r="E1980" s="163" t="s">
        <v>121</v>
      </c>
      <c r="F1980" s="168"/>
      <c r="G1980" s="165">
        <f t="shared" si="44"/>
        <v>36.611000000005347</v>
      </c>
      <c r="H1980" s="163"/>
      <c r="I1980" s="163" t="s">
        <v>283</v>
      </c>
      <c r="J1980" s="163"/>
      <c r="K1980" s="163"/>
      <c r="L1980" s="163" t="s">
        <v>1030</v>
      </c>
      <c r="M1980" s="163"/>
      <c r="N1980" s="163" t="s">
        <v>978</v>
      </c>
      <c r="O1980" s="163"/>
      <c r="P1980" s="163"/>
      <c r="Q1980" s="163"/>
      <c r="R1980" s="163" t="s">
        <v>466</v>
      </c>
      <c r="S1980" s="163" t="s">
        <v>468</v>
      </c>
      <c r="T1980" s="43">
        <f t="shared" si="45"/>
        <v>3</v>
      </c>
      <c r="U1980" s="167">
        <f t="shared" si="46"/>
        <v>45747</v>
      </c>
      <c r="W1980" s="43">
        <f t="shared" si="47"/>
        <v>3</v>
      </c>
      <c r="X1980" s="49" t="s">
        <v>1498</v>
      </c>
      <c r="Y1980" s="43" t="s">
        <v>26</v>
      </c>
    </row>
    <row r="1981" spans="1:28" hidden="1">
      <c r="A1981" s="163" t="s">
        <v>1017</v>
      </c>
      <c r="B1981" s="164">
        <v>45747</v>
      </c>
      <c r="C1981" s="163" t="s">
        <v>1688</v>
      </c>
      <c r="D1981" s="163" t="s">
        <v>281</v>
      </c>
      <c r="E1981" s="163" t="s">
        <v>121</v>
      </c>
      <c r="F1981" s="168"/>
      <c r="G1981" s="165">
        <f t="shared" si="44"/>
        <v>36.611000000005347</v>
      </c>
      <c r="H1981" s="163"/>
      <c r="I1981" s="163" t="s">
        <v>283</v>
      </c>
      <c r="J1981" s="163"/>
      <c r="K1981" s="163"/>
      <c r="L1981" s="163" t="s">
        <v>1030</v>
      </c>
      <c r="M1981" s="163"/>
      <c r="N1981" s="163" t="s">
        <v>978</v>
      </c>
      <c r="O1981" s="163"/>
      <c r="P1981" s="163"/>
      <c r="Q1981" s="163"/>
      <c r="R1981" s="163" t="s">
        <v>466</v>
      </c>
      <c r="S1981" s="163" t="s">
        <v>468</v>
      </c>
      <c r="T1981" s="43">
        <f t="shared" si="45"/>
        <v>3</v>
      </c>
      <c r="U1981" s="167">
        <f t="shared" si="46"/>
        <v>45747</v>
      </c>
      <c r="W1981" s="43">
        <f t="shared" si="47"/>
        <v>3</v>
      </c>
      <c r="X1981" s="49" t="s">
        <v>1498</v>
      </c>
      <c r="Y1981" s="43" t="s">
        <v>26</v>
      </c>
    </row>
    <row r="1982" spans="1:28" hidden="1">
      <c r="A1982" s="163" t="s">
        <v>1017</v>
      </c>
      <c r="B1982" s="164">
        <v>45747</v>
      </c>
      <c r="C1982" s="163" t="s">
        <v>505</v>
      </c>
      <c r="D1982" s="163" t="s">
        <v>281</v>
      </c>
      <c r="E1982" s="163" t="s">
        <v>121</v>
      </c>
      <c r="F1982" s="168"/>
      <c r="G1982" s="165">
        <f t="shared" si="44"/>
        <v>36.611000000005347</v>
      </c>
      <c r="H1982" s="163"/>
      <c r="I1982" s="163" t="s">
        <v>283</v>
      </c>
      <c r="J1982" s="163"/>
      <c r="K1982" s="163"/>
      <c r="L1982" s="163" t="s">
        <v>1030</v>
      </c>
      <c r="M1982" s="163"/>
      <c r="N1982" s="163" t="s">
        <v>978</v>
      </c>
      <c r="O1982" s="163"/>
      <c r="P1982" s="163"/>
      <c r="Q1982" s="163"/>
      <c r="R1982" s="163" t="s">
        <v>505</v>
      </c>
      <c r="S1982" s="163" t="s">
        <v>507</v>
      </c>
      <c r="T1982" s="43">
        <f t="shared" si="45"/>
        <v>3</v>
      </c>
      <c r="U1982" s="167">
        <f t="shared" si="46"/>
        <v>45747</v>
      </c>
      <c r="W1982" s="43">
        <f t="shared" si="47"/>
        <v>3</v>
      </c>
      <c r="X1982" s="49" t="s">
        <v>1498</v>
      </c>
      <c r="Y1982" s="43" t="s">
        <v>105</v>
      </c>
    </row>
    <row r="1983" spans="1:28" hidden="1">
      <c r="A1983" s="163" t="s">
        <v>1017</v>
      </c>
      <c r="B1983" s="164">
        <v>45747</v>
      </c>
      <c r="C1983" s="163" t="s">
        <v>436</v>
      </c>
      <c r="D1983" s="163" t="s">
        <v>281</v>
      </c>
      <c r="E1983" s="163" t="s">
        <v>121</v>
      </c>
      <c r="F1983" s="168"/>
      <c r="G1983" s="165">
        <f t="shared" si="44"/>
        <v>36.611000000005347</v>
      </c>
      <c r="H1983" s="163"/>
      <c r="I1983" s="163" t="s">
        <v>283</v>
      </c>
      <c r="J1983" s="163"/>
      <c r="K1983" s="163"/>
      <c r="L1983" s="163" t="s">
        <v>1424</v>
      </c>
      <c r="M1983" s="163"/>
      <c r="N1983" s="163" t="s">
        <v>978</v>
      </c>
      <c r="O1983" s="163"/>
      <c r="P1983" s="163"/>
      <c r="Q1983" s="163"/>
      <c r="R1983" s="163" t="s">
        <v>436</v>
      </c>
      <c r="S1983" s="163" t="s">
        <v>438</v>
      </c>
      <c r="T1983" s="43">
        <f t="shared" si="45"/>
        <v>3</v>
      </c>
      <c r="U1983" s="167">
        <f t="shared" si="46"/>
        <v>45747</v>
      </c>
      <c r="W1983" s="43">
        <f t="shared" si="47"/>
        <v>3</v>
      </c>
      <c r="X1983" s="49" t="s">
        <v>1498</v>
      </c>
      <c r="Y1983" s="43" t="s">
        <v>1488</v>
      </c>
    </row>
    <row r="1984" spans="1:28" hidden="1">
      <c r="A1984" s="180" t="s">
        <v>1017</v>
      </c>
      <c r="B1984" s="181">
        <v>45722</v>
      </c>
      <c r="C1984" s="180" t="s">
        <v>1767</v>
      </c>
      <c r="D1984" s="180" t="s">
        <v>281</v>
      </c>
      <c r="E1984" s="180" t="s">
        <v>1566</v>
      </c>
      <c r="F1984" s="168"/>
      <c r="G1984" s="165">
        <f t="shared" si="44"/>
        <v>36.611000000005347</v>
      </c>
      <c r="H1984" s="180"/>
      <c r="I1984" s="180" t="s">
        <v>342</v>
      </c>
      <c r="J1984" s="180"/>
      <c r="K1984" s="180"/>
      <c r="L1984" s="180" t="s">
        <v>766</v>
      </c>
      <c r="M1984" s="180"/>
      <c r="N1984" s="180" t="s">
        <v>978</v>
      </c>
      <c r="O1984" s="180"/>
      <c r="P1984" s="180"/>
      <c r="Q1984" s="180"/>
      <c r="R1984" s="180" t="s">
        <v>1007</v>
      </c>
      <c r="S1984" s="180" t="s">
        <v>982</v>
      </c>
      <c r="T1984" s="183">
        <f t="shared" si="45"/>
        <v>3</v>
      </c>
      <c r="U1984" s="184">
        <f t="shared" si="46"/>
        <v>45747</v>
      </c>
      <c r="V1984" s="145">
        <v>45747</v>
      </c>
      <c r="W1984" s="43">
        <f t="shared" si="47"/>
        <v>3</v>
      </c>
      <c r="X1984" s="183" t="s">
        <v>1552</v>
      </c>
      <c r="Y1984" s="183" t="s">
        <v>26</v>
      </c>
      <c r="Z1984" s="183"/>
      <c r="AA1984" s="183"/>
      <c r="AB1984" s="183"/>
    </row>
    <row r="1985" spans="1:28" hidden="1">
      <c r="A1985" s="163" t="s">
        <v>1017</v>
      </c>
      <c r="B1985" s="164">
        <v>45747</v>
      </c>
      <c r="C1985" s="163" t="s">
        <v>1442</v>
      </c>
      <c r="D1985" s="163" t="s">
        <v>281</v>
      </c>
      <c r="E1985" s="163" t="s">
        <v>1442</v>
      </c>
      <c r="F1985" s="168"/>
      <c r="G1985" s="165">
        <f t="shared" si="44"/>
        <v>36.611000000005347</v>
      </c>
      <c r="H1985" s="163"/>
      <c r="I1985" s="163" t="s">
        <v>994</v>
      </c>
      <c r="J1985" s="163"/>
      <c r="K1985" s="163"/>
      <c r="L1985" s="163" t="s">
        <v>1686</v>
      </c>
      <c r="M1985" s="163"/>
      <c r="N1985" s="163" t="s">
        <v>978</v>
      </c>
      <c r="O1985" s="163"/>
      <c r="P1985" s="163"/>
      <c r="Q1985" s="163"/>
      <c r="R1985" s="163" t="s">
        <v>1442</v>
      </c>
      <c r="S1985" s="163"/>
      <c r="T1985" s="43">
        <f t="shared" si="45"/>
        <v>3</v>
      </c>
      <c r="U1985" s="167">
        <f t="shared" si="46"/>
        <v>45747</v>
      </c>
      <c r="W1985" s="43">
        <f t="shared" si="47"/>
        <v>3</v>
      </c>
      <c r="X1985" s="43" t="s">
        <v>12</v>
      </c>
      <c r="Y1985" s="43" t="s">
        <v>1443</v>
      </c>
    </row>
    <row r="1986" spans="1:28" hidden="1">
      <c r="A1986" s="180" t="s">
        <v>1017</v>
      </c>
      <c r="B1986" s="181">
        <v>45723</v>
      </c>
      <c r="C1986" s="180" t="s">
        <v>1010</v>
      </c>
      <c r="D1986" s="180" t="s">
        <v>281</v>
      </c>
      <c r="E1986" s="180" t="s">
        <v>199</v>
      </c>
      <c r="F1986" s="168"/>
      <c r="G1986" s="165">
        <f t="shared" si="44"/>
        <v>36.611000000005347</v>
      </c>
      <c r="H1986" s="180"/>
      <c r="I1986" s="180" t="s">
        <v>283</v>
      </c>
      <c r="J1986" s="180"/>
      <c r="K1986" s="180"/>
      <c r="L1986" s="180" t="s">
        <v>485</v>
      </c>
      <c r="M1986" s="180"/>
      <c r="N1986" s="180" t="s">
        <v>978</v>
      </c>
      <c r="O1986" s="180"/>
      <c r="P1986" s="180"/>
      <c r="Q1986" s="180"/>
      <c r="R1986" s="180" t="s">
        <v>669</v>
      </c>
      <c r="S1986" s="180" t="s">
        <v>1492</v>
      </c>
      <c r="T1986" s="183">
        <f t="shared" si="45"/>
        <v>3</v>
      </c>
      <c r="U1986" s="167">
        <f t="shared" si="46"/>
        <v>45747</v>
      </c>
      <c r="V1986" s="276">
        <v>45747</v>
      </c>
      <c r="W1986" s="43">
        <f t="shared" si="47"/>
        <v>3</v>
      </c>
      <c r="X1986" s="206" t="s">
        <v>1478</v>
      </c>
      <c r="Y1986" s="206" t="s">
        <v>26</v>
      </c>
      <c r="Z1986" s="183"/>
      <c r="AA1986" s="183"/>
      <c r="AB1986" s="183"/>
    </row>
    <row r="1987" spans="1:28" hidden="1">
      <c r="A1987" s="180" t="s">
        <v>1017</v>
      </c>
      <c r="B1987" s="181">
        <v>45747</v>
      </c>
      <c r="C1987" s="180" t="s">
        <v>330</v>
      </c>
      <c r="D1987" s="180" t="s">
        <v>281</v>
      </c>
      <c r="E1987" s="180" t="s">
        <v>330</v>
      </c>
      <c r="F1987" s="168"/>
      <c r="G1987" s="165">
        <f t="shared" si="44"/>
        <v>36.611000000005347</v>
      </c>
      <c r="H1987" s="180"/>
      <c r="I1987" s="180" t="s">
        <v>342</v>
      </c>
      <c r="J1987" s="180"/>
      <c r="K1987" s="180"/>
      <c r="L1987" s="180" t="s">
        <v>805</v>
      </c>
      <c r="M1987" s="180"/>
      <c r="N1987" s="180" t="s">
        <v>978</v>
      </c>
      <c r="O1987" s="180"/>
      <c r="P1987" s="180"/>
      <c r="Q1987" s="180"/>
      <c r="R1987" s="180" t="s">
        <v>1292</v>
      </c>
      <c r="S1987" s="180" t="s">
        <v>1417</v>
      </c>
      <c r="T1987" s="183">
        <f t="shared" si="45"/>
        <v>3</v>
      </c>
      <c r="U1987" s="184">
        <f t="shared" si="46"/>
        <v>45747</v>
      </c>
      <c r="V1987" s="183"/>
      <c r="W1987" s="43">
        <f t="shared" si="47"/>
        <v>3</v>
      </c>
      <c r="X1987" s="43" t="s">
        <v>1483</v>
      </c>
      <c r="Y1987" s="43" t="s">
        <v>1443</v>
      </c>
      <c r="Z1987" s="183"/>
      <c r="AA1987" s="183"/>
      <c r="AB1987" s="183"/>
    </row>
    <row r="1988" spans="1:28" ht="14.25" hidden="1" customHeight="1">
      <c r="A1988" s="180" t="s">
        <v>1017</v>
      </c>
      <c r="B1988" s="181">
        <v>45713</v>
      </c>
      <c r="C1988" s="163" t="s">
        <v>1635</v>
      </c>
      <c r="D1988" s="180" t="s">
        <v>281</v>
      </c>
      <c r="E1988" s="180" t="s">
        <v>193</v>
      </c>
      <c r="F1988" s="168"/>
      <c r="G1988" s="165">
        <f t="shared" si="44"/>
        <v>36.611000000005347</v>
      </c>
      <c r="H1988" s="180"/>
      <c r="I1988" s="180" t="s">
        <v>283</v>
      </c>
      <c r="J1988" s="180"/>
      <c r="K1988" s="180"/>
      <c r="L1988" s="180" t="s">
        <v>305</v>
      </c>
      <c r="M1988" s="180"/>
      <c r="N1988" s="180" t="s">
        <v>978</v>
      </c>
      <c r="O1988" s="180"/>
      <c r="P1988" s="180"/>
      <c r="Q1988" s="180" t="s">
        <v>1067</v>
      </c>
      <c r="R1988" s="180" t="s">
        <v>1087</v>
      </c>
      <c r="S1988" s="180" t="s">
        <v>1089</v>
      </c>
      <c r="T1988" s="189">
        <f t="shared" si="45"/>
        <v>2</v>
      </c>
      <c r="U1988" s="211">
        <f t="shared" si="46"/>
        <v>45747</v>
      </c>
      <c r="V1988" s="184">
        <v>45747</v>
      </c>
      <c r="W1988" s="43">
        <f t="shared" si="47"/>
        <v>3</v>
      </c>
      <c r="X1988" s="43" t="s">
        <v>1552</v>
      </c>
      <c r="Y1988" s="43" t="s">
        <v>86</v>
      </c>
      <c r="Z1988" s="183" t="s">
        <v>1113</v>
      </c>
      <c r="AA1988" s="183" t="s">
        <v>1336</v>
      </c>
      <c r="AB1988" s="183"/>
    </row>
    <row r="1989" spans="1:28" hidden="1">
      <c r="A1989" s="248" t="s">
        <v>1017</v>
      </c>
      <c r="B1989" s="249">
        <v>45730</v>
      </c>
      <c r="C1989" s="248" t="s">
        <v>1441</v>
      </c>
      <c r="D1989" s="248" t="s">
        <v>281</v>
      </c>
      <c r="E1989" s="248" t="s">
        <v>760</v>
      </c>
      <c r="F1989" s="278"/>
      <c r="G1989" s="165">
        <f t="shared" si="44"/>
        <v>36.611000000005347</v>
      </c>
      <c r="H1989" s="248"/>
      <c r="I1989" s="248" t="s">
        <v>283</v>
      </c>
      <c r="J1989" s="248"/>
      <c r="K1989" s="248"/>
      <c r="L1989" s="248" t="s">
        <v>477</v>
      </c>
      <c r="M1989" s="248"/>
      <c r="N1989" s="248" t="s">
        <v>978</v>
      </c>
      <c r="O1989" s="248"/>
      <c r="P1989" s="248"/>
      <c r="Q1989" s="248"/>
      <c r="R1989" s="248" t="s">
        <v>1368</v>
      </c>
      <c r="S1989" s="248" t="s">
        <v>1369</v>
      </c>
      <c r="T1989" s="251">
        <f t="shared" si="45"/>
        <v>3</v>
      </c>
      <c r="U1989" s="252">
        <f t="shared" si="46"/>
        <v>45747</v>
      </c>
      <c r="V1989" s="145">
        <v>45747</v>
      </c>
      <c r="W1989" s="43">
        <f t="shared" si="47"/>
        <v>3</v>
      </c>
      <c r="X1989" s="236" t="s">
        <v>1482</v>
      </c>
      <c r="Y1989" s="236" t="s">
        <v>78</v>
      </c>
      <c r="Z1989" s="251"/>
      <c r="AA1989" s="251"/>
      <c r="AB1989" s="251"/>
    </row>
    <row r="1990" spans="1:28" hidden="1">
      <c r="A1990" s="248" t="s">
        <v>1174</v>
      </c>
      <c r="B1990" s="249">
        <v>45730</v>
      </c>
      <c r="C1990" s="248" t="s">
        <v>1614</v>
      </c>
      <c r="D1990" s="248" t="s">
        <v>281</v>
      </c>
      <c r="E1990" s="248" t="s">
        <v>407</v>
      </c>
      <c r="F1990" s="278"/>
      <c r="G1990" s="165">
        <f t="shared" si="44"/>
        <v>36.611000000005347</v>
      </c>
      <c r="H1990" s="248"/>
      <c r="I1990" s="248" t="s">
        <v>1176</v>
      </c>
      <c r="J1990" s="248" t="s">
        <v>1585</v>
      </c>
      <c r="K1990" s="248"/>
      <c r="L1990" s="248" t="s">
        <v>305</v>
      </c>
      <c r="M1990" s="248"/>
      <c r="N1990" s="248" t="s">
        <v>1178</v>
      </c>
      <c r="O1990" s="248" t="s">
        <v>1585</v>
      </c>
      <c r="P1990" s="248" t="s">
        <v>1586</v>
      </c>
      <c r="Q1990" s="248"/>
      <c r="R1990" s="248" t="s">
        <v>1587</v>
      </c>
      <c r="S1990" s="248" t="s">
        <v>1588</v>
      </c>
      <c r="T1990" s="251">
        <f t="shared" si="45"/>
        <v>3</v>
      </c>
      <c r="U1990" s="252">
        <f t="shared" si="46"/>
        <v>45747</v>
      </c>
      <c r="V1990" s="145">
        <v>45747</v>
      </c>
      <c r="W1990" s="43">
        <f t="shared" si="47"/>
        <v>3</v>
      </c>
      <c r="X1990" s="43" t="s">
        <v>1484</v>
      </c>
      <c r="Y1990" s="43" t="s">
        <v>1485</v>
      </c>
      <c r="Z1990" s="251"/>
      <c r="AA1990" s="251"/>
      <c r="AB1990" s="251"/>
    </row>
    <row r="1991" spans="1:28" hidden="1">
      <c r="A1991" s="248" t="s">
        <v>1174</v>
      </c>
      <c r="B1991" s="249">
        <v>45723</v>
      </c>
      <c r="C1991" s="248" t="s">
        <v>1614</v>
      </c>
      <c r="D1991" s="248" t="s">
        <v>281</v>
      </c>
      <c r="E1991" s="248" t="s">
        <v>407</v>
      </c>
      <c r="F1991" s="168"/>
      <c r="G1991" s="165">
        <f t="shared" si="44"/>
        <v>36.611000000005347</v>
      </c>
      <c r="H1991" s="248"/>
      <c r="I1991" s="248" t="s">
        <v>1176</v>
      </c>
      <c r="J1991" s="248" t="s">
        <v>1585</v>
      </c>
      <c r="K1991" s="248"/>
      <c r="L1991" s="248" t="s">
        <v>305</v>
      </c>
      <c r="M1991" s="248"/>
      <c r="N1991" s="248" t="s">
        <v>1178</v>
      </c>
      <c r="O1991" s="248" t="s">
        <v>1585</v>
      </c>
      <c r="P1991" s="248" t="s">
        <v>1586</v>
      </c>
      <c r="Q1991" s="248"/>
      <c r="R1991" s="248" t="s">
        <v>1587</v>
      </c>
      <c r="S1991" s="248" t="s">
        <v>1588</v>
      </c>
      <c r="T1991" s="251">
        <f t="shared" si="45"/>
        <v>3</v>
      </c>
      <c r="U1991" s="252">
        <f t="shared" si="46"/>
        <v>45747</v>
      </c>
      <c r="V1991" s="145">
        <v>45747</v>
      </c>
      <c r="W1991" s="43">
        <f t="shared" si="47"/>
        <v>3</v>
      </c>
      <c r="X1991" s="43" t="s">
        <v>1484</v>
      </c>
      <c r="Y1991" s="43" t="s">
        <v>1485</v>
      </c>
      <c r="Z1991" s="251"/>
      <c r="AA1991" s="251"/>
      <c r="AB1991" s="251"/>
    </row>
    <row r="1992" spans="1:28" hidden="1">
      <c r="A1992" s="248" t="s">
        <v>1174</v>
      </c>
      <c r="B1992" s="249">
        <v>45723</v>
      </c>
      <c r="C1992" s="248" t="s">
        <v>1623</v>
      </c>
      <c r="D1992" s="248" t="s">
        <v>281</v>
      </c>
      <c r="E1992" s="248" t="s">
        <v>289</v>
      </c>
      <c r="F1992" s="168"/>
      <c r="G1992" s="165">
        <f t="shared" si="44"/>
        <v>36.611000000005347</v>
      </c>
      <c r="H1992" s="248"/>
      <c r="I1992" s="248" t="s">
        <v>1176</v>
      </c>
      <c r="J1992" s="248" t="s">
        <v>1617</v>
      </c>
      <c r="K1992" s="248"/>
      <c r="L1992" s="248" t="s">
        <v>305</v>
      </c>
      <c r="M1992" s="248"/>
      <c r="N1992" s="248" t="s">
        <v>1178</v>
      </c>
      <c r="O1992" s="248" t="s">
        <v>1617</v>
      </c>
      <c r="P1992" s="248" t="s">
        <v>1618</v>
      </c>
      <c r="Q1992" s="248"/>
      <c r="R1992" s="248" t="s">
        <v>1619</v>
      </c>
      <c r="S1992" s="248" t="s">
        <v>1620</v>
      </c>
      <c r="T1992" s="251">
        <f t="shared" si="45"/>
        <v>3</v>
      </c>
      <c r="U1992" s="252">
        <f t="shared" si="46"/>
        <v>45747</v>
      </c>
      <c r="V1992" s="145">
        <v>45747</v>
      </c>
      <c r="W1992" s="43">
        <f t="shared" si="47"/>
        <v>3</v>
      </c>
      <c r="X1992" s="49" t="s">
        <v>1484</v>
      </c>
      <c r="Y1992" s="49" t="s">
        <v>78</v>
      </c>
      <c r="Z1992" s="251"/>
      <c r="AA1992" s="251"/>
      <c r="AB1992" s="251"/>
    </row>
    <row r="1993" spans="1:28" hidden="1">
      <c r="A1993" s="248" t="s">
        <v>1174</v>
      </c>
      <c r="B1993" s="249">
        <v>45744</v>
      </c>
      <c r="C1993" s="248" t="s">
        <v>1623</v>
      </c>
      <c r="D1993" s="248" t="s">
        <v>281</v>
      </c>
      <c r="E1993" s="248" t="s">
        <v>289</v>
      </c>
      <c r="F1993" s="168"/>
      <c r="G1993" s="165">
        <f t="shared" si="44"/>
        <v>36.611000000005347</v>
      </c>
      <c r="H1993" s="248"/>
      <c r="I1993" s="248" t="s">
        <v>1176</v>
      </c>
      <c r="J1993" s="248" t="s">
        <v>1617</v>
      </c>
      <c r="K1993" s="248"/>
      <c r="L1993" s="248" t="s">
        <v>305</v>
      </c>
      <c r="M1993" s="248"/>
      <c r="N1993" s="248" t="s">
        <v>1178</v>
      </c>
      <c r="O1993" s="248" t="s">
        <v>1617</v>
      </c>
      <c r="P1993" s="248" t="s">
        <v>1618</v>
      </c>
      <c r="Q1993" s="248"/>
      <c r="R1993" s="248" t="s">
        <v>1619</v>
      </c>
      <c r="S1993" s="248" t="s">
        <v>1620</v>
      </c>
      <c r="T1993" s="251">
        <f t="shared" si="45"/>
        <v>3</v>
      </c>
      <c r="U1993" s="252">
        <f t="shared" si="46"/>
        <v>45747</v>
      </c>
      <c r="V1993" s="145">
        <v>45747</v>
      </c>
      <c r="W1993" s="43">
        <f t="shared" si="47"/>
        <v>3</v>
      </c>
      <c r="X1993" s="49" t="s">
        <v>1484</v>
      </c>
      <c r="Y1993" s="49" t="s">
        <v>78</v>
      </c>
      <c r="Z1993" s="251"/>
      <c r="AA1993" s="251"/>
      <c r="AB1993" s="251"/>
    </row>
    <row r="1994" spans="1:28" hidden="1">
      <c r="A1994" s="248" t="s">
        <v>1174</v>
      </c>
      <c r="B1994" s="249">
        <v>45744</v>
      </c>
      <c r="C1994" s="248" t="s">
        <v>1710</v>
      </c>
      <c r="D1994" s="248" t="s">
        <v>281</v>
      </c>
      <c r="E1994" s="248" t="s">
        <v>289</v>
      </c>
      <c r="F1994" s="168"/>
      <c r="G1994" s="165">
        <f t="shared" si="44"/>
        <v>36.611000000005347</v>
      </c>
      <c r="H1994" s="248"/>
      <c r="I1994" s="248" t="s">
        <v>1176</v>
      </c>
      <c r="J1994" s="248" t="s">
        <v>1617</v>
      </c>
      <c r="K1994" s="248"/>
      <c r="L1994" s="248" t="s">
        <v>305</v>
      </c>
      <c r="M1994" s="248"/>
      <c r="N1994" s="248" t="s">
        <v>1178</v>
      </c>
      <c r="O1994" s="248" t="s">
        <v>1617</v>
      </c>
      <c r="P1994" s="248" t="s">
        <v>1618</v>
      </c>
      <c r="Q1994" s="248"/>
      <c r="R1994" s="248" t="s">
        <v>1619</v>
      </c>
      <c r="S1994" s="248" t="s">
        <v>1620</v>
      </c>
      <c r="T1994" s="251">
        <f t="shared" si="45"/>
        <v>3</v>
      </c>
      <c r="U1994" s="252">
        <f t="shared" si="46"/>
        <v>45747</v>
      </c>
      <c r="V1994" s="145">
        <v>45747</v>
      </c>
      <c r="W1994" s="43">
        <f t="shared" si="47"/>
        <v>3</v>
      </c>
      <c r="X1994" s="49" t="s">
        <v>1484</v>
      </c>
      <c r="Y1994" s="49" t="s">
        <v>78</v>
      </c>
      <c r="Z1994" s="251"/>
      <c r="AA1994" s="251"/>
      <c r="AB1994" s="251"/>
    </row>
    <row r="1995" spans="1:28" hidden="1">
      <c r="A1995" s="248" t="s">
        <v>1174</v>
      </c>
      <c r="B1995" s="249">
        <v>45744</v>
      </c>
      <c r="C1995" s="248" t="s">
        <v>1614</v>
      </c>
      <c r="D1995" s="248" t="s">
        <v>281</v>
      </c>
      <c r="E1995" s="248" t="s">
        <v>407</v>
      </c>
      <c r="F1995" s="168"/>
      <c r="G1995" s="165">
        <f t="shared" si="44"/>
        <v>36.611000000005347</v>
      </c>
      <c r="H1995" s="248"/>
      <c r="I1995" s="248" t="s">
        <v>1176</v>
      </c>
      <c r="J1995" s="248" t="s">
        <v>1585</v>
      </c>
      <c r="K1995" s="248"/>
      <c r="L1995" s="248" t="s">
        <v>305</v>
      </c>
      <c r="M1995" s="248"/>
      <c r="N1995" s="248" t="s">
        <v>1178</v>
      </c>
      <c r="O1995" s="248" t="s">
        <v>1585</v>
      </c>
      <c r="P1995" s="248" t="s">
        <v>1586</v>
      </c>
      <c r="Q1995" s="248"/>
      <c r="R1995" s="248" t="s">
        <v>1587</v>
      </c>
      <c r="S1995" s="248" t="s">
        <v>1588</v>
      </c>
      <c r="T1995" s="251">
        <f t="shared" si="45"/>
        <v>3</v>
      </c>
      <c r="U1995" s="252">
        <f t="shared" si="46"/>
        <v>45747</v>
      </c>
      <c r="V1995" s="145">
        <v>45747</v>
      </c>
      <c r="W1995" s="43">
        <f t="shared" si="47"/>
        <v>3</v>
      </c>
      <c r="X1995" s="43" t="s">
        <v>1484</v>
      </c>
      <c r="Y1995" s="43" t="s">
        <v>1485</v>
      </c>
      <c r="Z1995" s="251"/>
      <c r="AA1995" s="251"/>
      <c r="AB1995" s="251"/>
    </row>
    <row r="1996" spans="1:28" hidden="1">
      <c r="A1996" s="248" t="s">
        <v>1174</v>
      </c>
      <c r="B1996" s="249">
        <v>45736</v>
      </c>
      <c r="C1996" s="248" t="s">
        <v>1623</v>
      </c>
      <c r="D1996" s="248" t="s">
        <v>281</v>
      </c>
      <c r="E1996" s="248" t="s">
        <v>289</v>
      </c>
      <c r="F1996" s="168"/>
      <c r="G1996" s="165">
        <f t="shared" si="44"/>
        <v>36.611000000005347</v>
      </c>
      <c r="H1996" s="248"/>
      <c r="I1996" s="248" t="s">
        <v>1176</v>
      </c>
      <c r="J1996" s="248" t="s">
        <v>1617</v>
      </c>
      <c r="K1996" s="248"/>
      <c r="L1996" s="248" t="s">
        <v>305</v>
      </c>
      <c r="M1996" s="248"/>
      <c r="N1996" s="248" t="s">
        <v>1178</v>
      </c>
      <c r="O1996" s="248" t="s">
        <v>1617</v>
      </c>
      <c r="P1996" s="248" t="s">
        <v>1618</v>
      </c>
      <c r="Q1996" s="248"/>
      <c r="R1996" s="248" t="s">
        <v>1619</v>
      </c>
      <c r="S1996" s="248" t="s">
        <v>1620</v>
      </c>
      <c r="T1996" s="251">
        <f t="shared" si="45"/>
        <v>3</v>
      </c>
      <c r="U1996" s="252">
        <f t="shared" si="46"/>
        <v>45747</v>
      </c>
      <c r="V1996" s="145">
        <v>45747</v>
      </c>
      <c r="W1996" s="43">
        <f t="shared" si="47"/>
        <v>3</v>
      </c>
      <c r="X1996" s="49" t="s">
        <v>1484</v>
      </c>
      <c r="Y1996" s="49" t="s">
        <v>78</v>
      </c>
      <c r="Z1996" s="251"/>
      <c r="AA1996" s="251"/>
      <c r="AB1996" s="251"/>
    </row>
    <row r="1997" spans="1:28" hidden="1">
      <c r="A1997" s="248" t="s">
        <v>1174</v>
      </c>
      <c r="B1997" s="249">
        <v>45736</v>
      </c>
      <c r="C1997" s="248" t="s">
        <v>1614</v>
      </c>
      <c r="D1997" s="248" t="s">
        <v>281</v>
      </c>
      <c r="E1997" s="248" t="s">
        <v>407</v>
      </c>
      <c r="F1997" s="168"/>
      <c r="G1997" s="165">
        <f t="shared" si="44"/>
        <v>36.611000000005347</v>
      </c>
      <c r="H1997" s="248"/>
      <c r="I1997" s="248" t="s">
        <v>1176</v>
      </c>
      <c r="J1997" s="248" t="s">
        <v>1585</v>
      </c>
      <c r="K1997" s="248"/>
      <c r="L1997" s="248" t="s">
        <v>305</v>
      </c>
      <c r="M1997" s="248"/>
      <c r="N1997" s="248" t="s">
        <v>1178</v>
      </c>
      <c r="O1997" s="248" t="s">
        <v>1585</v>
      </c>
      <c r="P1997" s="248" t="s">
        <v>1586</v>
      </c>
      <c r="Q1997" s="248"/>
      <c r="R1997" s="248" t="s">
        <v>1587</v>
      </c>
      <c r="S1997" s="248" t="s">
        <v>1588</v>
      </c>
      <c r="T1997" s="251">
        <f t="shared" si="45"/>
        <v>3</v>
      </c>
      <c r="U1997" s="252">
        <f t="shared" si="46"/>
        <v>45747</v>
      </c>
      <c r="V1997" s="145">
        <v>45747</v>
      </c>
      <c r="W1997" s="43">
        <f t="shared" si="47"/>
        <v>3</v>
      </c>
      <c r="X1997" s="43" t="s">
        <v>1484</v>
      </c>
      <c r="Y1997" s="43" t="s">
        <v>1485</v>
      </c>
      <c r="Z1997" s="251"/>
      <c r="AA1997" s="251"/>
      <c r="AB1997" s="251"/>
    </row>
    <row r="1998" spans="1:28" hidden="1">
      <c r="A1998" s="163"/>
      <c r="B1998" s="164">
        <v>45747</v>
      </c>
      <c r="C1998" s="163" t="s">
        <v>346</v>
      </c>
      <c r="D1998" s="163"/>
      <c r="E1998" s="163"/>
      <c r="F1998" s="165">
        <v>0</v>
      </c>
      <c r="G1998" s="165">
        <f t="shared" si="44"/>
        <v>36.611000000005347</v>
      </c>
      <c r="H1998" s="163"/>
      <c r="I1998" s="163"/>
      <c r="J1998" s="163"/>
      <c r="K1998" s="163"/>
      <c r="L1998" s="163"/>
      <c r="M1998" s="163"/>
      <c r="N1998" s="163"/>
      <c r="O1998" s="163"/>
      <c r="P1998" s="163"/>
      <c r="Q1998" s="163"/>
      <c r="R1998" s="163"/>
      <c r="S1998" s="163"/>
      <c r="T1998" s="43">
        <f t="shared" si="45"/>
        <v>3</v>
      </c>
      <c r="U1998" s="167">
        <f t="shared" si="46"/>
        <v>45747</v>
      </c>
      <c r="W1998" s="43">
        <f t="shared" si="47"/>
        <v>3</v>
      </c>
    </row>
    <row r="1999" spans="1:28" hidden="1">
      <c r="A1999" s="180" t="s">
        <v>1174</v>
      </c>
      <c r="B1999" s="181">
        <v>45742</v>
      </c>
      <c r="C1999" s="180" t="s">
        <v>1768</v>
      </c>
      <c r="D1999" s="180" t="s">
        <v>281</v>
      </c>
      <c r="E1999" s="180" t="s">
        <v>407</v>
      </c>
      <c r="F1999" s="278">
        <v>750</v>
      </c>
      <c r="G1999" s="165">
        <f t="shared" si="44"/>
        <v>786.61100000000533</v>
      </c>
      <c r="H1999" s="180"/>
      <c r="I1999" s="180" t="s">
        <v>1176</v>
      </c>
      <c r="J1999" s="180" t="s">
        <v>1459</v>
      </c>
      <c r="K1999" s="180"/>
      <c r="L1999" s="180" t="s">
        <v>305</v>
      </c>
      <c r="M1999" s="180"/>
      <c r="N1999" s="180" t="s">
        <v>1178</v>
      </c>
      <c r="O1999" s="180" t="s">
        <v>1459</v>
      </c>
      <c r="P1999" s="180" t="s">
        <v>57</v>
      </c>
      <c r="Q1999" s="180"/>
      <c r="R1999" s="180" t="s">
        <v>1245</v>
      </c>
      <c r="S1999" s="180" t="s">
        <v>1246</v>
      </c>
      <c r="T1999" s="183">
        <f t="shared" si="45"/>
        <v>3</v>
      </c>
      <c r="U1999" s="184">
        <f t="shared" si="46"/>
        <v>45748</v>
      </c>
      <c r="V1999" s="166">
        <v>45748</v>
      </c>
      <c r="W1999" s="43">
        <f t="shared" si="47"/>
        <v>4</v>
      </c>
      <c r="X1999" s="43" t="s">
        <v>1484</v>
      </c>
      <c r="Y1999" s="43" t="s">
        <v>1485</v>
      </c>
      <c r="Z1999" s="183"/>
      <c r="AA1999" s="183"/>
      <c r="AB1999" s="183"/>
    </row>
    <row r="2000" spans="1:28" ht="14.25" hidden="1" customHeight="1">
      <c r="A2000" s="180" t="s">
        <v>1017</v>
      </c>
      <c r="B2000" s="181">
        <v>45748</v>
      </c>
      <c r="C2000" s="180" t="s">
        <v>1716</v>
      </c>
      <c r="D2000" s="180" t="s">
        <v>281</v>
      </c>
      <c r="E2000" s="180" t="s">
        <v>282</v>
      </c>
      <c r="F2000" s="278">
        <f>8500+17500</f>
        <v>26000</v>
      </c>
      <c r="G2000" s="165">
        <f t="shared" si="44"/>
        <v>26786.611000000004</v>
      </c>
      <c r="H2000" s="180"/>
      <c r="I2000" s="180" t="s">
        <v>977</v>
      </c>
      <c r="J2000" s="180"/>
      <c r="K2000" s="180"/>
      <c r="L2000" s="180" t="s">
        <v>366</v>
      </c>
      <c r="M2000" s="180"/>
      <c r="N2000" s="180" t="s">
        <v>978</v>
      </c>
      <c r="O2000" s="180"/>
      <c r="P2000" s="180"/>
      <c r="Q2000" s="180"/>
      <c r="R2000" s="180" t="s">
        <v>990</v>
      </c>
      <c r="S2000" s="180" t="s">
        <v>991</v>
      </c>
      <c r="T2000" s="183">
        <f t="shared" si="45"/>
        <v>4</v>
      </c>
      <c r="U2000" s="184">
        <f t="shared" si="46"/>
        <v>45748</v>
      </c>
      <c r="V2000" s="272"/>
      <c r="W2000" s="43">
        <f t="shared" si="47"/>
        <v>4</v>
      </c>
      <c r="X2000" s="183" t="s">
        <v>282</v>
      </c>
      <c r="Y2000" s="183" t="s">
        <v>1443</v>
      </c>
      <c r="Z2000" s="183" t="s">
        <v>1113</v>
      </c>
      <c r="AA2000" s="183" t="s">
        <v>1113</v>
      </c>
      <c r="AB2000" s="183"/>
    </row>
    <row r="2001" spans="1:28" hidden="1">
      <c r="A2001" s="180" t="s">
        <v>1174</v>
      </c>
      <c r="B2001" s="181">
        <v>45748</v>
      </c>
      <c r="C2001" s="180" t="s">
        <v>1769</v>
      </c>
      <c r="D2001" s="180" t="s">
        <v>281</v>
      </c>
      <c r="E2001" s="180" t="s">
        <v>407</v>
      </c>
      <c r="F2001" s="278">
        <f>2500+4500</f>
        <v>7000</v>
      </c>
      <c r="G2001" s="165">
        <f t="shared" si="44"/>
        <v>33786.611000000004</v>
      </c>
      <c r="H2001" s="180"/>
      <c r="I2001" s="180" t="s">
        <v>1176</v>
      </c>
      <c r="J2001" s="180" t="s">
        <v>1459</v>
      </c>
      <c r="K2001" s="180"/>
      <c r="L2001" s="180" t="s">
        <v>305</v>
      </c>
      <c r="M2001" s="180"/>
      <c r="N2001" s="180" t="s">
        <v>1178</v>
      </c>
      <c r="O2001" s="180" t="s">
        <v>1459</v>
      </c>
      <c r="P2001" s="180" t="s">
        <v>57</v>
      </c>
      <c r="Q2001" s="180"/>
      <c r="R2001" s="180" t="s">
        <v>1245</v>
      </c>
      <c r="S2001" s="180" t="s">
        <v>1246</v>
      </c>
      <c r="T2001" s="183">
        <f t="shared" si="45"/>
        <v>4</v>
      </c>
      <c r="U2001" s="184">
        <f t="shared" si="46"/>
        <v>45748</v>
      </c>
      <c r="V2001" s="166"/>
      <c r="W2001" s="43">
        <f t="shared" si="47"/>
        <v>4</v>
      </c>
      <c r="X2001" s="43" t="s">
        <v>1484</v>
      </c>
      <c r="Y2001" s="43" t="s">
        <v>1485</v>
      </c>
      <c r="Z2001" s="183"/>
      <c r="AA2001" s="183"/>
      <c r="AB2001" s="183"/>
    </row>
    <row r="2002" spans="1:28" hidden="1">
      <c r="A2002" s="163" t="s">
        <v>1017</v>
      </c>
      <c r="B2002" s="164">
        <v>45742</v>
      </c>
      <c r="C2002" s="163" t="s">
        <v>844</v>
      </c>
      <c r="D2002" s="163" t="s">
        <v>281</v>
      </c>
      <c r="E2002" s="163" t="s">
        <v>120</v>
      </c>
      <c r="F2002" s="198">
        <v>-16953</v>
      </c>
      <c r="G2002" s="165">
        <f t="shared" si="44"/>
        <v>16833.611000000004</v>
      </c>
      <c r="H2002" s="163"/>
      <c r="I2002" s="163" t="s">
        <v>342</v>
      </c>
      <c r="J2002" s="163"/>
      <c r="K2002" s="163"/>
      <c r="L2002" s="163" t="s">
        <v>1571</v>
      </c>
      <c r="M2002" s="163"/>
      <c r="N2002" s="163" t="s">
        <v>978</v>
      </c>
      <c r="O2002" s="163"/>
      <c r="P2002" s="163"/>
      <c r="Q2002" s="163"/>
      <c r="R2002" s="163" t="s">
        <v>846</v>
      </c>
      <c r="S2002" s="163" t="s">
        <v>847</v>
      </c>
      <c r="T2002" s="43">
        <f t="shared" si="45"/>
        <v>3</v>
      </c>
      <c r="U2002" s="167">
        <f t="shared" si="46"/>
        <v>45748</v>
      </c>
      <c r="V2002" s="166">
        <v>45748</v>
      </c>
      <c r="W2002" s="43">
        <f t="shared" si="47"/>
        <v>4</v>
      </c>
      <c r="X2002" s="49" t="s">
        <v>1498</v>
      </c>
      <c r="Y2002" s="43" t="s">
        <v>1336</v>
      </c>
    </row>
    <row r="2003" spans="1:28" hidden="1">
      <c r="A2003" s="163" t="s">
        <v>1017</v>
      </c>
      <c r="B2003" s="164">
        <v>45744</v>
      </c>
      <c r="C2003" s="163" t="s">
        <v>1033</v>
      </c>
      <c r="D2003" s="163" t="s">
        <v>281</v>
      </c>
      <c r="E2003" s="163" t="s">
        <v>120</v>
      </c>
      <c r="F2003" s="198">
        <v>-9258.9699999999993</v>
      </c>
      <c r="G2003" s="165">
        <f t="shared" si="44"/>
        <v>7574.6410000000051</v>
      </c>
      <c r="H2003" s="163"/>
      <c r="I2003" s="163" t="s">
        <v>342</v>
      </c>
      <c r="J2003" s="163"/>
      <c r="K2003" s="163"/>
      <c r="L2003" s="163" t="s">
        <v>1770</v>
      </c>
      <c r="M2003" s="163"/>
      <c r="N2003" s="163" t="s">
        <v>978</v>
      </c>
      <c r="O2003" s="163"/>
      <c r="P2003" s="163"/>
      <c r="Q2003" s="163"/>
      <c r="R2003" s="163" t="s">
        <v>1035</v>
      </c>
      <c r="S2003" s="163" t="s">
        <v>1036</v>
      </c>
      <c r="T2003" s="43">
        <f t="shared" si="45"/>
        <v>3</v>
      </c>
      <c r="U2003" s="167">
        <f t="shared" si="46"/>
        <v>45748</v>
      </c>
      <c r="V2003" s="166">
        <v>45748</v>
      </c>
      <c r="W2003" s="43">
        <f t="shared" si="47"/>
        <v>4</v>
      </c>
      <c r="X2003" s="49" t="s">
        <v>1498</v>
      </c>
      <c r="Y2003" s="43" t="s">
        <v>1336</v>
      </c>
    </row>
    <row r="2004" spans="1:28" hidden="1">
      <c r="A2004" s="163" t="s">
        <v>1017</v>
      </c>
      <c r="B2004" s="164">
        <v>45748</v>
      </c>
      <c r="C2004" s="190" t="s">
        <v>330</v>
      </c>
      <c r="D2004" s="190" t="s">
        <v>281</v>
      </c>
      <c r="E2004" s="190" t="s">
        <v>330</v>
      </c>
      <c r="F2004" s="185">
        <f>-1.99*3-1</f>
        <v>-6.97</v>
      </c>
      <c r="G2004" s="165">
        <f t="shared" si="44"/>
        <v>7567.6710000000048</v>
      </c>
      <c r="H2004" s="190"/>
      <c r="I2004" s="190" t="s">
        <v>342</v>
      </c>
      <c r="J2004" s="190"/>
      <c r="K2004" s="190"/>
      <c r="L2004" s="190" t="s">
        <v>805</v>
      </c>
      <c r="M2004" s="190"/>
      <c r="N2004" s="190" t="s">
        <v>978</v>
      </c>
      <c r="O2004" s="190"/>
      <c r="P2004" s="190"/>
      <c r="Q2004" s="190"/>
      <c r="R2004" s="190" t="s">
        <v>1292</v>
      </c>
      <c r="S2004" s="190" t="s">
        <v>1417</v>
      </c>
      <c r="T2004" s="43">
        <f t="shared" si="45"/>
        <v>4</v>
      </c>
      <c r="U2004" s="167">
        <f t="shared" si="46"/>
        <v>45748</v>
      </c>
      <c r="V2004" s="145"/>
      <c r="W2004" s="43">
        <f t="shared" si="47"/>
        <v>4</v>
      </c>
      <c r="X2004" s="43" t="s">
        <v>1483</v>
      </c>
      <c r="Y2004" s="43" t="s">
        <v>1443</v>
      </c>
      <c r="Z2004" s="43"/>
      <c r="AA2004" s="43"/>
    </row>
    <row r="2005" spans="1:28" hidden="1">
      <c r="A2005" s="163" t="s">
        <v>1017</v>
      </c>
      <c r="B2005" s="164">
        <v>45748</v>
      </c>
      <c r="C2005" s="163" t="s">
        <v>131</v>
      </c>
      <c r="D2005" s="163" t="s">
        <v>281</v>
      </c>
      <c r="E2005" s="163" t="s">
        <v>199</v>
      </c>
      <c r="F2005" s="168"/>
      <c r="G2005" s="165">
        <f t="shared" si="44"/>
        <v>7567.6710000000048</v>
      </c>
      <c r="H2005" s="180"/>
      <c r="I2005" s="180"/>
      <c r="J2005" s="180"/>
      <c r="K2005" s="180"/>
      <c r="L2005" s="180"/>
      <c r="M2005" s="180"/>
      <c r="N2005" s="180"/>
      <c r="O2005" s="180"/>
      <c r="P2005" s="180"/>
      <c r="Q2005" s="180"/>
      <c r="R2005" s="180"/>
      <c r="S2005" s="180"/>
      <c r="T2005" s="43">
        <f t="shared" si="45"/>
        <v>4</v>
      </c>
      <c r="U2005" s="167">
        <f t="shared" si="46"/>
        <v>45748</v>
      </c>
      <c r="V2005" s="145"/>
      <c r="W2005" s="43">
        <f t="shared" si="47"/>
        <v>4</v>
      </c>
      <c r="X2005" s="49"/>
      <c r="Y2005" s="49"/>
      <c r="Z2005" s="183"/>
      <c r="AA2005" s="183"/>
      <c r="AB2005" s="183"/>
    </row>
    <row r="2006" spans="1:28" hidden="1">
      <c r="A2006" s="163"/>
      <c r="B2006" s="164">
        <v>45748</v>
      </c>
      <c r="C2006" s="163" t="s">
        <v>346</v>
      </c>
      <c r="D2006" s="163"/>
      <c r="E2006" s="163"/>
      <c r="F2006" s="165">
        <v>0</v>
      </c>
      <c r="G2006" s="165">
        <f t="shared" si="44"/>
        <v>7567.6710000000048</v>
      </c>
      <c r="H2006" s="163"/>
      <c r="I2006" s="163"/>
      <c r="J2006" s="163"/>
      <c r="K2006" s="163"/>
      <c r="L2006" s="163"/>
      <c r="M2006" s="163"/>
      <c r="N2006" s="163"/>
      <c r="O2006" s="163"/>
      <c r="P2006" s="163"/>
      <c r="Q2006" s="163"/>
      <c r="R2006" s="163"/>
      <c r="S2006" s="163"/>
      <c r="T2006" s="43">
        <f t="shared" si="45"/>
        <v>4</v>
      </c>
      <c r="U2006" s="167">
        <f t="shared" si="46"/>
        <v>45748</v>
      </c>
      <c r="W2006" s="43">
        <f t="shared" si="47"/>
        <v>4</v>
      </c>
    </row>
    <row r="2007" spans="1:28" hidden="1">
      <c r="A2007" s="163" t="s">
        <v>1017</v>
      </c>
      <c r="B2007" s="164">
        <v>45749</v>
      </c>
      <c r="C2007" s="163" t="s">
        <v>1490</v>
      </c>
      <c r="D2007" s="163" t="s">
        <v>281</v>
      </c>
      <c r="E2007" s="163" t="s">
        <v>199</v>
      </c>
      <c r="F2007" s="168"/>
      <c r="G2007" s="165">
        <f t="shared" si="44"/>
        <v>7567.6710000000048</v>
      </c>
      <c r="H2007" s="180"/>
      <c r="I2007" s="180"/>
      <c r="J2007" s="180"/>
      <c r="K2007" s="180"/>
      <c r="L2007" s="180"/>
      <c r="M2007" s="180"/>
      <c r="N2007" s="180"/>
      <c r="O2007" s="180"/>
      <c r="P2007" s="180"/>
      <c r="Q2007" s="180"/>
      <c r="R2007" s="180"/>
      <c r="S2007" s="180"/>
      <c r="T2007" s="43">
        <f t="shared" si="45"/>
        <v>4</v>
      </c>
      <c r="U2007" s="167">
        <f t="shared" si="46"/>
        <v>45749</v>
      </c>
      <c r="V2007" s="145"/>
      <c r="W2007" s="43">
        <f t="shared" si="47"/>
        <v>4</v>
      </c>
      <c r="X2007" s="49"/>
      <c r="Y2007" s="49"/>
      <c r="Z2007" s="183"/>
      <c r="AA2007" s="183"/>
      <c r="AB2007" s="183"/>
    </row>
    <row r="2008" spans="1:28" hidden="1">
      <c r="A2008" s="180" t="s">
        <v>1017</v>
      </c>
      <c r="B2008" s="181">
        <v>45747</v>
      </c>
      <c r="C2008" s="180" t="s">
        <v>1010</v>
      </c>
      <c r="D2008" s="180" t="s">
        <v>281</v>
      </c>
      <c r="E2008" s="180" t="s">
        <v>199</v>
      </c>
      <c r="F2008" s="168">
        <v>-2710</v>
      </c>
      <c r="G2008" s="165">
        <f t="shared" si="44"/>
        <v>4857.6710000000048</v>
      </c>
      <c r="H2008" s="180"/>
      <c r="I2008" s="180" t="s">
        <v>283</v>
      </c>
      <c r="J2008" s="180"/>
      <c r="K2008" s="180"/>
      <c r="L2008" s="180" t="s">
        <v>485</v>
      </c>
      <c r="M2008" s="180"/>
      <c r="N2008" s="180" t="s">
        <v>978</v>
      </c>
      <c r="O2008" s="180"/>
      <c r="P2008" s="180"/>
      <c r="Q2008" s="180"/>
      <c r="R2008" s="180" t="s">
        <v>669</v>
      </c>
      <c r="S2008" s="180" t="s">
        <v>1492</v>
      </c>
      <c r="T2008" s="183">
        <f t="shared" si="45"/>
        <v>3</v>
      </c>
      <c r="U2008" s="184">
        <f t="shared" si="46"/>
        <v>45749</v>
      </c>
      <c r="V2008" s="167">
        <v>45749</v>
      </c>
      <c r="W2008" s="43">
        <f t="shared" si="47"/>
        <v>4</v>
      </c>
      <c r="X2008" s="206" t="s">
        <v>1478</v>
      </c>
      <c r="Y2008" s="206" t="s">
        <v>26</v>
      </c>
      <c r="Z2008" s="183"/>
      <c r="AA2008" s="183"/>
      <c r="AB2008" s="183"/>
    </row>
    <row r="2009" spans="1:28" hidden="1">
      <c r="A2009" s="163" t="s">
        <v>1017</v>
      </c>
      <c r="B2009" s="164">
        <v>45737</v>
      </c>
      <c r="C2009" s="163" t="s">
        <v>1098</v>
      </c>
      <c r="D2009" s="163" t="s">
        <v>281</v>
      </c>
      <c r="E2009" s="163" t="s">
        <v>199</v>
      </c>
      <c r="F2009" s="185">
        <v>-551.09</v>
      </c>
      <c r="G2009" s="165">
        <f t="shared" si="44"/>
        <v>4306.5810000000047</v>
      </c>
      <c r="H2009" s="163"/>
      <c r="I2009" s="163" t="s">
        <v>342</v>
      </c>
      <c r="J2009" s="163"/>
      <c r="K2009" s="163"/>
      <c r="L2009" s="163" t="s">
        <v>1062</v>
      </c>
      <c r="M2009" s="163"/>
      <c r="N2009" s="163" t="s">
        <v>978</v>
      </c>
      <c r="O2009" s="163"/>
      <c r="P2009" s="163"/>
      <c r="Q2009" s="163"/>
      <c r="R2009" s="163" t="s">
        <v>1099</v>
      </c>
      <c r="S2009" s="163" t="s">
        <v>1100</v>
      </c>
      <c r="T2009" s="43">
        <f t="shared" si="45"/>
        <v>3</v>
      </c>
      <c r="U2009" s="167">
        <f t="shared" si="46"/>
        <v>45749</v>
      </c>
      <c r="V2009" s="167">
        <v>45749</v>
      </c>
      <c r="W2009" s="43">
        <f t="shared" si="47"/>
        <v>4</v>
      </c>
      <c r="X2009" s="49" t="s">
        <v>1480</v>
      </c>
      <c r="Y2009" s="49" t="s">
        <v>86</v>
      </c>
    </row>
    <row r="2010" spans="1:28" hidden="1">
      <c r="A2010" s="163" t="s">
        <v>1017</v>
      </c>
      <c r="B2010" s="164">
        <v>45749</v>
      </c>
      <c r="C2010" s="190" t="s">
        <v>1762</v>
      </c>
      <c r="D2010" s="190" t="s">
        <v>281</v>
      </c>
      <c r="E2010" s="190" t="s">
        <v>1497</v>
      </c>
      <c r="F2010" s="230">
        <f>7949.02</f>
        <v>7949.02</v>
      </c>
      <c r="G2010" s="165">
        <f t="shared" si="44"/>
        <v>12255.601000000006</v>
      </c>
      <c r="H2010" s="190"/>
      <c r="I2010" s="190" t="s">
        <v>342</v>
      </c>
      <c r="J2010" s="190"/>
      <c r="K2010" s="190"/>
      <c r="L2010" s="190" t="s">
        <v>805</v>
      </c>
      <c r="M2010" s="190"/>
      <c r="N2010" s="190" t="s">
        <v>978</v>
      </c>
      <c r="O2010" s="190"/>
      <c r="P2010" s="190"/>
      <c r="Q2010" s="190"/>
      <c r="R2010" s="190" t="s">
        <v>1292</v>
      </c>
      <c r="S2010" s="190" t="s">
        <v>1417</v>
      </c>
      <c r="T2010" s="43">
        <f t="shared" si="45"/>
        <v>4</v>
      </c>
      <c r="U2010" s="167">
        <f t="shared" si="46"/>
        <v>45749</v>
      </c>
      <c r="V2010" s="145"/>
      <c r="W2010" s="43">
        <f t="shared" si="47"/>
        <v>4</v>
      </c>
      <c r="X2010" s="43" t="s">
        <v>1483</v>
      </c>
      <c r="Y2010" s="43" t="s">
        <v>1443</v>
      </c>
      <c r="Z2010" s="43"/>
      <c r="AA2010" s="43"/>
    </row>
    <row r="2011" spans="1:28" ht="14.25" hidden="1" customHeight="1">
      <c r="A2011" s="180" t="s">
        <v>1017</v>
      </c>
      <c r="B2011" s="181">
        <v>45747</v>
      </c>
      <c r="C2011" s="180" t="s">
        <v>1103</v>
      </c>
      <c r="D2011" s="180" t="s">
        <v>281</v>
      </c>
      <c r="E2011" s="180" t="s">
        <v>356</v>
      </c>
      <c r="F2011" s="185">
        <v>-112.5</v>
      </c>
      <c r="G2011" s="165">
        <f t="shared" si="44"/>
        <v>12143.101000000006</v>
      </c>
      <c r="H2011" s="180"/>
      <c r="I2011" s="180" t="s">
        <v>283</v>
      </c>
      <c r="J2011" s="180"/>
      <c r="K2011" s="180"/>
      <c r="L2011" s="180" t="s">
        <v>305</v>
      </c>
      <c r="M2011" s="180"/>
      <c r="N2011" s="180" t="s">
        <v>978</v>
      </c>
      <c r="O2011" s="180"/>
      <c r="P2011" s="180"/>
      <c r="Q2011" s="180" t="s">
        <v>1067</v>
      </c>
      <c r="R2011" s="180" t="s">
        <v>1087</v>
      </c>
      <c r="S2011" s="180" t="s">
        <v>1089</v>
      </c>
      <c r="T2011" s="189">
        <f t="shared" si="45"/>
        <v>3</v>
      </c>
      <c r="U2011" s="211">
        <f t="shared" si="46"/>
        <v>45749</v>
      </c>
      <c r="V2011" s="167">
        <v>45749</v>
      </c>
      <c r="W2011" s="43">
        <f t="shared" si="47"/>
        <v>4</v>
      </c>
      <c r="X2011" s="183" t="s">
        <v>1689</v>
      </c>
      <c r="Y2011" s="183" t="s">
        <v>25</v>
      </c>
      <c r="Z2011" s="183" t="s">
        <v>1113</v>
      </c>
      <c r="AA2011" s="183" t="s">
        <v>1336</v>
      </c>
      <c r="AB2011" s="183"/>
    </row>
    <row r="2012" spans="1:28" hidden="1">
      <c r="A2012" s="163" t="s">
        <v>1017</v>
      </c>
      <c r="B2012" s="164">
        <v>45744</v>
      </c>
      <c r="C2012" s="163" t="s">
        <v>1323</v>
      </c>
      <c r="D2012" s="163" t="s">
        <v>281</v>
      </c>
      <c r="E2012" s="163" t="s">
        <v>199</v>
      </c>
      <c r="F2012" s="185">
        <v>-2625.85</v>
      </c>
      <c r="G2012" s="165">
        <f t="shared" si="44"/>
        <v>9517.2510000000057</v>
      </c>
      <c r="H2012" s="163"/>
      <c r="I2012" s="163" t="s">
        <v>342</v>
      </c>
      <c r="J2012" s="163"/>
      <c r="K2012" s="163"/>
      <c r="L2012" s="163" t="s">
        <v>1571</v>
      </c>
      <c r="M2012" s="163"/>
      <c r="N2012" s="163" t="s">
        <v>978</v>
      </c>
      <c r="O2012" s="163"/>
      <c r="P2012" s="163"/>
      <c r="Q2012" s="163"/>
      <c r="R2012" s="163" t="s">
        <v>1324</v>
      </c>
      <c r="S2012" s="163" t="s">
        <v>1325</v>
      </c>
      <c r="T2012" s="43">
        <f t="shared" si="45"/>
        <v>3</v>
      </c>
      <c r="U2012" s="167">
        <f t="shared" si="46"/>
        <v>45749</v>
      </c>
      <c r="V2012" s="167">
        <v>45749</v>
      </c>
      <c r="W2012" s="43">
        <f t="shared" si="47"/>
        <v>4</v>
      </c>
      <c r="X2012" s="49" t="s">
        <v>1480</v>
      </c>
      <c r="Y2012" s="49" t="s">
        <v>86</v>
      </c>
    </row>
    <row r="2013" spans="1:28" hidden="1">
      <c r="A2013" s="180" t="s">
        <v>1017</v>
      </c>
      <c r="B2013" s="181">
        <v>45747</v>
      </c>
      <c r="C2013" s="180" t="s">
        <v>181</v>
      </c>
      <c r="D2013" s="180" t="s">
        <v>281</v>
      </c>
      <c r="E2013" s="180" t="s">
        <v>760</v>
      </c>
      <c r="F2013" s="168">
        <f>-150-800-4500*0.5-2500*0.2</f>
        <v>-3700</v>
      </c>
      <c r="G2013" s="165">
        <f t="shared" si="44"/>
        <v>5817.2510000000057</v>
      </c>
      <c r="H2013" s="180"/>
      <c r="I2013" s="180" t="s">
        <v>283</v>
      </c>
      <c r="J2013" s="180"/>
      <c r="K2013" s="180"/>
      <c r="L2013" s="180" t="s">
        <v>1062</v>
      </c>
      <c r="M2013" s="180"/>
      <c r="N2013" s="180" t="s">
        <v>978</v>
      </c>
      <c r="O2013" s="180"/>
      <c r="P2013" s="180"/>
      <c r="Q2013" s="180"/>
      <c r="R2013" s="180" t="s">
        <v>765</v>
      </c>
      <c r="S2013" s="180" t="s">
        <v>768</v>
      </c>
      <c r="T2013" s="183">
        <f t="shared" si="45"/>
        <v>3</v>
      </c>
      <c r="U2013" s="184">
        <f t="shared" si="46"/>
        <v>45749</v>
      </c>
      <c r="V2013" s="167">
        <v>45749</v>
      </c>
      <c r="W2013" s="43">
        <f t="shared" si="47"/>
        <v>4</v>
      </c>
      <c r="X2013" s="43" t="s">
        <v>1482</v>
      </c>
      <c r="Y2013" s="43" t="s">
        <v>78</v>
      </c>
      <c r="Z2013" s="183"/>
      <c r="AA2013" s="183"/>
      <c r="AB2013" s="183"/>
    </row>
    <row r="2014" spans="1:28" hidden="1">
      <c r="A2014" s="163" t="s">
        <v>1017</v>
      </c>
      <c r="B2014" s="164">
        <v>45741</v>
      </c>
      <c r="C2014" s="163" t="s">
        <v>1002</v>
      </c>
      <c r="D2014" s="163" t="s">
        <v>281</v>
      </c>
      <c r="E2014" s="163" t="s">
        <v>190</v>
      </c>
      <c r="F2014" s="185">
        <v>-511.33</v>
      </c>
      <c r="G2014" s="165">
        <f t="shared" si="44"/>
        <v>5305.9210000000057</v>
      </c>
      <c r="H2014" s="163"/>
      <c r="I2014" s="163" t="s">
        <v>342</v>
      </c>
      <c r="J2014" s="163"/>
      <c r="K2014" s="163"/>
      <c r="L2014" s="163" t="s">
        <v>1686</v>
      </c>
      <c r="M2014" s="163"/>
      <c r="N2014" s="163" t="s">
        <v>978</v>
      </c>
      <c r="O2014" s="163"/>
      <c r="P2014" s="163"/>
      <c r="Q2014" s="163"/>
      <c r="R2014" s="163" t="s">
        <v>1004</v>
      </c>
      <c r="S2014" s="163" t="s">
        <v>1005</v>
      </c>
      <c r="T2014" s="43">
        <f t="shared" si="45"/>
        <v>3</v>
      </c>
      <c r="U2014" s="167">
        <f t="shared" si="46"/>
        <v>45749</v>
      </c>
      <c r="V2014" s="167">
        <v>45749</v>
      </c>
      <c r="W2014" s="43">
        <f t="shared" si="47"/>
        <v>4</v>
      </c>
      <c r="X2014" s="49" t="s">
        <v>1498</v>
      </c>
      <c r="Y2014" s="49" t="s">
        <v>1336</v>
      </c>
    </row>
    <row r="2015" spans="1:28" hidden="1">
      <c r="A2015" s="163" t="s">
        <v>1017</v>
      </c>
      <c r="B2015" s="164">
        <v>45736</v>
      </c>
      <c r="C2015" s="163" t="s">
        <v>1678</v>
      </c>
      <c r="D2015" s="163" t="s">
        <v>281</v>
      </c>
      <c r="E2015" s="163" t="s">
        <v>199</v>
      </c>
      <c r="F2015" s="185">
        <v>-1150.27</v>
      </c>
      <c r="G2015" s="165">
        <f t="shared" si="44"/>
        <v>4155.6510000000053</v>
      </c>
      <c r="H2015" s="163"/>
      <c r="I2015" s="163" t="s">
        <v>342</v>
      </c>
      <c r="J2015" s="163"/>
      <c r="K2015" s="163"/>
      <c r="L2015" s="163" t="s">
        <v>1571</v>
      </c>
      <c r="M2015" s="163"/>
      <c r="N2015" s="163" t="s">
        <v>978</v>
      </c>
      <c r="O2015" s="163"/>
      <c r="P2015" s="163"/>
      <c r="Q2015" s="163"/>
      <c r="R2015" s="163" t="s">
        <v>999</v>
      </c>
      <c r="S2015" s="163" t="s">
        <v>1000</v>
      </c>
      <c r="T2015" s="43">
        <f t="shared" si="45"/>
        <v>3</v>
      </c>
      <c r="U2015" s="167">
        <f t="shared" si="46"/>
        <v>45749</v>
      </c>
      <c r="V2015" s="167">
        <v>45749</v>
      </c>
      <c r="W2015" s="43">
        <f t="shared" si="47"/>
        <v>4</v>
      </c>
      <c r="X2015" s="49" t="s">
        <v>1480</v>
      </c>
      <c r="Y2015" s="49" t="s">
        <v>1488</v>
      </c>
    </row>
    <row r="2016" spans="1:28" hidden="1">
      <c r="A2016" s="180" t="s">
        <v>1017</v>
      </c>
      <c r="B2016" s="181">
        <v>45749</v>
      </c>
      <c r="C2016" s="180" t="s">
        <v>1750</v>
      </c>
      <c r="D2016" s="180" t="s">
        <v>281</v>
      </c>
      <c r="E2016" s="180" t="s">
        <v>1702</v>
      </c>
      <c r="F2016" s="168">
        <v>-500</v>
      </c>
      <c r="G2016" s="165">
        <f t="shared" si="44"/>
        <v>3655.6510000000053</v>
      </c>
      <c r="H2016" s="180"/>
      <c r="I2016" s="180" t="s">
        <v>283</v>
      </c>
      <c r="J2016" s="180"/>
      <c r="K2016" s="180"/>
      <c r="L2016" s="180" t="s">
        <v>485</v>
      </c>
      <c r="M2016" s="180"/>
      <c r="N2016" s="180" t="s">
        <v>978</v>
      </c>
      <c r="O2016" s="180"/>
      <c r="P2016" s="180"/>
      <c r="Q2016" s="180"/>
      <c r="R2016" s="180" t="s">
        <v>669</v>
      </c>
      <c r="S2016" s="180" t="s">
        <v>1492</v>
      </c>
      <c r="T2016" s="183">
        <f t="shared" si="45"/>
        <v>4</v>
      </c>
      <c r="U2016" s="184">
        <f t="shared" si="46"/>
        <v>45749</v>
      </c>
      <c r="V2016" s="183"/>
      <c r="W2016" s="43">
        <f t="shared" si="47"/>
        <v>4</v>
      </c>
      <c r="X2016" s="183" t="s">
        <v>1381</v>
      </c>
      <c r="Y2016" s="183" t="s">
        <v>25</v>
      </c>
      <c r="Z2016" s="183"/>
      <c r="AA2016" s="183"/>
      <c r="AB2016" s="183"/>
    </row>
    <row r="2017" spans="1:28">
      <c r="A2017" s="180" t="s">
        <v>1017</v>
      </c>
      <c r="B2017" s="181">
        <v>45749</v>
      </c>
      <c r="C2017" s="180" t="s">
        <v>1087</v>
      </c>
      <c r="D2017" s="180" t="s">
        <v>281</v>
      </c>
      <c r="E2017" s="180" t="s">
        <v>18</v>
      </c>
      <c r="F2017" s="182">
        <v>-1000</v>
      </c>
      <c r="G2017" s="165">
        <f t="shared" si="44"/>
        <v>2655.6510000000053</v>
      </c>
      <c r="H2017" s="180"/>
      <c r="I2017" s="180"/>
      <c r="J2017" s="180"/>
      <c r="K2017" s="180"/>
      <c r="L2017" s="180"/>
      <c r="M2017" s="180"/>
      <c r="N2017" s="180"/>
      <c r="O2017" s="180"/>
      <c r="P2017" s="180"/>
      <c r="Q2017" s="180"/>
      <c r="R2017" s="180"/>
      <c r="S2017" s="180"/>
      <c r="T2017" s="183">
        <f t="shared" si="45"/>
        <v>4</v>
      </c>
      <c r="U2017" s="184">
        <f t="shared" si="46"/>
        <v>45749</v>
      </c>
      <c r="V2017" s="187"/>
      <c r="W2017" s="183">
        <f t="shared" si="47"/>
        <v>4</v>
      </c>
      <c r="X2017" s="183"/>
      <c r="Y2017" s="183"/>
      <c r="Z2017" s="183"/>
      <c r="AA2017" s="183"/>
      <c r="AB2017" s="183"/>
    </row>
    <row r="2018" spans="1:28" hidden="1">
      <c r="A2018" s="163" t="s">
        <v>1017</v>
      </c>
      <c r="B2018" s="164">
        <v>45749</v>
      </c>
      <c r="C2018" s="190" t="s">
        <v>330</v>
      </c>
      <c r="D2018" s="190" t="s">
        <v>281</v>
      </c>
      <c r="E2018" s="190" t="s">
        <v>330</v>
      </c>
      <c r="F2018" s="185">
        <v>-4.5</v>
      </c>
      <c r="G2018" s="165">
        <f t="shared" si="44"/>
        <v>2651.1510000000053</v>
      </c>
      <c r="H2018" s="190"/>
      <c r="I2018" s="190" t="s">
        <v>342</v>
      </c>
      <c r="J2018" s="190"/>
      <c r="K2018" s="190"/>
      <c r="L2018" s="190" t="s">
        <v>805</v>
      </c>
      <c r="M2018" s="190"/>
      <c r="N2018" s="190" t="s">
        <v>978</v>
      </c>
      <c r="O2018" s="190"/>
      <c r="P2018" s="190"/>
      <c r="Q2018" s="190"/>
      <c r="R2018" s="190" t="s">
        <v>1292</v>
      </c>
      <c r="S2018" s="190" t="s">
        <v>1417</v>
      </c>
      <c r="T2018" s="43">
        <f t="shared" si="45"/>
        <v>4</v>
      </c>
      <c r="U2018" s="167">
        <f t="shared" si="46"/>
        <v>45749</v>
      </c>
      <c r="V2018" s="145"/>
      <c r="W2018" s="43">
        <f t="shared" si="47"/>
        <v>4</v>
      </c>
      <c r="X2018" s="43" t="s">
        <v>1483</v>
      </c>
      <c r="Y2018" s="43" t="s">
        <v>1443</v>
      </c>
      <c r="Z2018" s="43"/>
      <c r="AA2018" s="43"/>
    </row>
    <row r="2019" spans="1:28" hidden="1">
      <c r="A2019" s="163"/>
      <c r="B2019" s="164">
        <v>45749</v>
      </c>
      <c r="C2019" s="163" t="s">
        <v>346</v>
      </c>
      <c r="D2019" s="163"/>
      <c r="E2019" s="163"/>
      <c r="F2019" s="165">
        <v>0</v>
      </c>
      <c r="G2019" s="165">
        <f t="shared" si="44"/>
        <v>2651.1510000000053</v>
      </c>
      <c r="H2019" s="163"/>
      <c r="I2019" s="163"/>
      <c r="J2019" s="163"/>
      <c r="K2019" s="163"/>
      <c r="L2019" s="163"/>
      <c r="M2019" s="163"/>
      <c r="N2019" s="163"/>
      <c r="O2019" s="163"/>
      <c r="P2019" s="163"/>
      <c r="Q2019" s="163"/>
      <c r="R2019" s="163"/>
      <c r="S2019" s="163"/>
      <c r="T2019" s="43">
        <f t="shared" si="45"/>
        <v>4</v>
      </c>
      <c r="U2019" s="167">
        <f t="shared" si="46"/>
        <v>45749</v>
      </c>
      <c r="W2019" s="43">
        <f t="shared" si="47"/>
        <v>4</v>
      </c>
    </row>
    <row r="2020" spans="1:28" ht="14.25" hidden="1" customHeight="1">
      <c r="A2020" s="180" t="s">
        <v>1017</v>
      </c>
      <c r="B2020" s="181">
        <v>45750</v>
      </c>
      <c r="C2020" s="180" t="s">
        <v>1716</v>
      </c>
      <c r="D2020" s="180" t="s">
        <v>281</v>
      </c>
      <c r="E2020" s="180" t="s">
        <v>282</v>
      </c>
      <c r="F2020" s="278">
        <v>60000</v>
      </c>
      <c r="G2020" s="165">
        <f t="shared" si="44"/>
        <v>62651.151000000005</v>
      </c>
      <c r="H2020" s="180"/>
      <c r="I2020" s="180" t="s">
        <v>977</v>
      </c>
      <c r="J2020" s="180"/>
      <c r="K2020" s="180"/>
      <c r="L2020" s="180" t="s">
        <v>366</v>
      </c>
      <c r="M2020" s="180"/>
      <c r="N2020" s="180" t="s">
        <v>978</v>
      </c>
      <c r="O2020" s="180"/>
      <c r="P2020" s="180"/>
      <c r="Q2020" s="180"/>
      <c r="R2020" s="180" t="s">
        <v>990</v>
      </c>
      <c r="S2020" s="180" t="s">
        <v>991</v>
      </c>
      <c r="T2020" s="183">
        <f t="shared" si="45"/>
        <v>4</v>
      </c>
      <c r="U2020" s="184">
        <f t="shared" si="46"/>
        <v>45750</v>
      </c>
      <c r="V2020" s="272"/>
      <c r="W2020" s="43">
        <f t="shared" si="47"/>
        <v>4</v>
      </c>
      <c r="X2020" s="183" t="s">
        <v>282</v>
      </c>
      <c r="Y2020" s="183" t="s">
        <v>1443</v>
      </c>
      <c r="Z2020" s="183" t="s">
        <v>1113</v>
      </c>
      <c r="AA2020" s="183" t="s">
        <v>1113</v>
      </c>
      <c r="AB2020" s="183"/>
    </row>
    <row r="2021" spans="1:28" hidden="1">
      <c r="A2021" s="163" t="s">
        <v>1174</v>
      </c>
      <c r="B2021" s="164">
        <v>45754</v>
      </c>
      <c r="C2021" s="163" t="s">
        <v>68</v>
      </c>
      <c r="D2021" s="163" t="s">
        <v>281</v>
      </c>
      <c r="E2021" s="163" t="s">
        <v>407</v>
      </c>
      <c r="F2021" s="165">
        <v>2500</v>
      </c>
      <c r="G2021" s="165">
        <f t="shared" si="44"/>
        <v>65151.151000000005</v>
      </c>
      <c r="H2021" s="180"/>
      <c r="I2021" s="180"/>
      <c r="J2021" s="180"/>
      <c r="K2021" s="180"/>
      <c r="L2021" s="180"/>
      <c r="M2021" s="180"/>
      <c r="N2021" s="180"/>
      <c r="O2021" s="180"/>
      <c r="P2021" s="180"/>
      <c r="Q2021" s="180"/>
      <c r="R2021" s="180"/>
      <c r="S2021" s="180"/>
      <c r="T2021" s="43">
        <f t="shared" si="45"/>
        <v>4</v>
      </c>
      <c r="U2021" s="167">
        <f t="shared" si="46"/>
        <v>45750</v>
      </c>
      <c r="V2021" s="145">
        <v>45750</v>
      </c>
      <c r="W2021" s="43">
        <f t="shared" si="47"/>
        <v>4</v>
      </c>
      <c r="X2021" s="49"/>
      <c r="Y2021" s="49"/>
      <c r="Z2021" s="183"/>
      <c r="AA2021" s="183"/>
      <c r="AB2021" s="183"/>
    </row>
    <row r="2022" spans="1:28" hidden="1">
      <c r="A2022" s="180" t="s">
        <v>1017</v>
      </c>
      <c r="B2022" s="181">
        <v>45750</v>
      </c>
      <c r="C2022" s="180" t="s">
        <v>1771</v>
      </c>
      <c r="D2022" s="180" t="s">
        <v>281</v>
      </c>
      <c r="E2022" s="180" t="s">
        <v>1702</v>
      </c>
      <c r="F2022" s="165">
        <f>-29-25.9-116.91</f>
        <v>-171.81</v>
      </c>
      <c r="G2022" s="165">
        <f t="shared" si="44"/>
        <v>64979.341000000008</v>
      </c>
      <c r="H2022" s="180"/>
      <c r="I2022" s="180" t="s">
        <v>283</v>
      </c>
      <c r="J2022" s="180"/>
      <c r="K2022" s="180"/>
      <c r="L2022" s="180" t="s">
        <v>485</v>
      </c>
      <c r="M2022" s="180"/>
      <c r="N2022" s="180" t="s">
        <v>978</v>
      </c>
      <c r="O2022" s="180"/>
      <c r="P2022" s="180"/>
      <c r="Q2022" s="180"/>
      <c r="R2022" s="180" t="s">
        <v>669</v>
      </c>
      <c r="S2022" s="180" t="s">
        <v>1492</v>
      </c>
      <c r="T2022" s="183">
        <f t="shared" si="45"/>
        <v>4</v>
      </c>
      <c r="U2022" s="184">
        <f t="shared" si="46"/>
        <v>45750</v>
      </c>
      <c r="V2022" s="183"/>
      <c r="W2022" s="43">
        <f t="shared" si="47"/>
        <v>4</v>
      </c>
      <c r="X2022" s="183" t="s">
        <v>1381</v>
      </c>
      <c r="Y2022" s="183" t="s">
        <v>25</v>
      </c>
      <c r="Z2022" s="183"/>
      <c r="AA2022" s="183"/>
      <c r="AB2022" s="183"/>
    </row>
    <row r="2023" spans="1:28" hidden="1">
      <c r="A2023" s="180" t="s">
        <v>1017</v>
      </c>
      <c r="B2023" s="181">
        <v>45750</v>
      </c>
      <c r="C2023" s="180" t="s">
        <v>1772</v>
      </c>
      <c r="D2023" s="180" t="s">
        <v>281</v>
      </c>
      <c r="E2023" s="180" t="s">
        <v>1702</v>
      </c>
      <c r="F2023" s="165">
        <f>-2855.41-237.8</f>
        <v>-3093.21</v>
      </c>
      <c r="G2023" s="165">
        <f t="shared" si="44"/>
        <v>61886.131000000008</v>
      </c>
      <c r="H2023" s="180"/>
      <c r="I2023" s="180" t="s">
        <v>342</v>
      </c>
      <c r="J2023" s="180"/>
      <c r="K2023" s="180"/>
      <c r="L2023" s="180" t="s">
        <v>1686</v>
      </c>
      <c r="M2023" s="180"/>
      <c r="N2023" s="180" t="s">
        <v>978</v>
      </c>
      <c r="O2023" s="180"/>
      <c r="P2023" s="180"/>
      <c r="Q2023" s="180"/>
      <c r="R2023" s="180" t="s">
        <v>389</v>
      </c>
      <c r="S2023" s="180" t="s">
        <v>390</v>
      </c>
      <c r="T2023" s="183">
        <f t="shared" si="45"/>
        <v>4</v>
      </c>
      <c r="U2023" s="184">
        <f t="shared" si="46"/>
        <v>45750</v>
      </c>
      <c r="V2023" s="145"/>
      <c r="W2023" s="43">
        <f t="shared" si="47"/>
        <v>4</v>
      </c>
      <c r="X2023" s="183" t="s">
        <v>1381</v>
      </c>
      <c r="Y2023" s="183" t="s">
        <v>86</v>
      </c>
      <c r="Z2023" s="183"/>
      <c r="AA2023" s="183"/>
      <c r="AB2023" s="183"/>
    </row>
    <row r="2024" spans="1:28" hidden="1">
      <c r="A2024" s="163" t="s">
        <v>1017</v>
      </c>
      <c r="B2024" s="164">
        <v>45749</v>
      </c>
      <c r="C2024" s="163" t="s">
        <v>1008</v>
      </c>
      <c r="D2024" s="163" t="s">
        <v>281</v>
      </c>
      <c r="E2024" s="163" t="s">
        <v>199</v>
      </c>
      <c r="F2024" s="165">
        <v>-1800</v>
      </c>
      <c r="G2024" s="165">
        <f t="shared" si="44"/>
        <v>60086.131000000008</v>
      </c>
      <c r="H2024" s="180"/>
      <c r="I2024" s="180"/>
      <c r="J2024" s="180"/>
      <c r="K2024" s="180"/>
      <c r="L2024" s="180"/>
      <c r="M2024" s="180"/>
      <c r="N2024" s="180"/>
      <c r="O2024" s="180"/>
      <c r="P2024" s="180"/>
      <c r="Q2024" s="180"/>
      <c r="R2024" s="180"/>
      <c r="S2024" s="180"/>
      <c r="T2024" s="43">
        <f t="shared" si="45"/>
        <v>4</v>
      </c>
      <c r="U2024" s="167">
        <f t="shared" si="46"/>
        <v>45750</v>
      </c>
      <c r="V2024" s="145">
        <v>45750</v>
      </c>
      <c r="W2024" s="43">
        <f t="shared" si="47"/>
        <v>4</v>
      </c>
      <c r="X2024" s="49"/>
      <c r="Y2024" s="49"/>
      <c r="Z2024" s="183"/>
      <c r="AA2024" s="183"/>
      <c r="AB2024" s="183"/>
    </row>
    <row r="2025" spans="1:28" hidden="1">
      <c r="A2025" s="163" t="s">
        <v>1017</v>
      </c>
      <c r="B2025" s="164">
        <v>45750</v>
      </c>
      <c r="C2025" s="190" t="s">
        <v>330</v>
      </c>
      <c r="D2025" s="190" t="s">
        <v>281</v>
      </c>
      <c r="E2025" s="190" t="s">
        <v>330</v>
      </c>
      <c r="F2025" s="185">
        <f>-1.99-3</f>
        <v>-4.99</v>
      </c>
      <c r="G2025" s="165">
        <f t="shared" si="44"/>
        <v>60081.141000000011</v>
      </c>
      <c r="H2025" s="190"/>
      <c r="I2025" s="190" t="s">
        <v>342</v>
      </c>
      <c r="J2025" s="190"/>
      <c r="K2025" s="190"/>
      <c r="L2025" s="190" t="s">
        <v>805</v>
      </c>
      <c r="M2025" s="190"/>
      <c r="N2025" s="190" t="s">
        <v>978</v>
      </c>
      <c r="O2025" s="190"/>
      <c r="P2025" s="190"/>
      <c r="Q2025" s="190"/>
      <c r="R2025" s="190" t="s">
        <v>1292</v>
      </c>
      <c r="S2025" s="190" t="s">
        <v>1417</v>
      </c>
      <c r="T2025" s="43">
        <f t="shared" si="45"/>
        <v>4</v>
      </c>
      <c r="U2025" s="167">
        <f t="shared" si="46"/>
        <v>45750</v>
      </c>
      <c r="V2025" s="145"/>
      <c r="W2025" s="43">
        <f t="shared" si="47"/>
        <v>4</v>
      </c>
      <c r="X2025" s="43" t="s">
        <v>1483</v>
      </c>
      <c r="Y2025" s="43" t="s">
        <v>1443</v>
      </c>
      <c r="Z2025" s="43"/>
      <c r="AA2025" s="43"/>
    </row>
    <row r="2026" spans="1:28" hidden="1">
      <c r="A2026" s="163"/>
      <c r="B2026" s="164">
        <v>45750</v>
      </c>
      <c r="C2026" s="163" t="s">
        <v>346</v>
      </c>
      <c r="D2026" s="163"/>
      <c r="E2026" s="163"/>
      <c r="F2026" s="165">
        <v>0</v>
      </c>
      <c r="G2026" s="165">
        <f t="shared" si="44"/>
        <v>60081.141000000011</v>
      </c>
      <c r="H2026" s="180"/>
      <c r="I2026" s="180"/>
      <c r="J2026" s="180"/>
      <c r="K2026" s="180"/>
      <c r="L2026" s="180"/>
      <c r="M2026" s="180"/>
      <c r="N2026" s="180"/>
      <c r="O2026" s="180"/>
      <c r="P2026" s="180"/>
      <c r="Q2026" s="180"/>
      <c r="R2026" s="180"/>
      <c r="S2026" s="180"/>
      <c r="T2026" s="43">
        <f t="shared" si="45"/>
        <v>4</v>
      </c>
      <c r="U2026" s="167">
        <f t="shared" si="46"/>
        <v>45750</v>
      </c>
      <c r="V2026" s="145"/>
      <c r="W2026" s="43">
        <f t="shared" si="47"/>
        <v>4</v>
      </c>
      <c r="X2026" s="49"/>
      <c r="Y2026" s="49"/>
      <c r="Z2026" s="183"/>
      <c r="AA2026" s="183"/>
      <c r="AB2026" s="183"/>
    </row>
    <row r="2027" spans="1:28" ht="14.25" hidden="1" customHeight="1">
      <c r="A2027" s="180" t="s">
        <v>1017</v>
      </c>
      <c r="B2027" s="181">
        <v>45751</v>
      </c>
      <c r="C2027" s="180" t="s">
        <v>1716</v>
      </c>
      <c r="D2027" s="180" t="s">
        <v>281</v>
      </c>
      <c r="E2027" s="180" t="s">
        <v>282</v>
      </c>
      <c r="F2027" s="278">
        <f>60000+1000+13775</f>
        <v>74775</v>
      </c>
      <c r="G2027" s="165">
        <f t="shared" si="44"/>
        <v>134856.141</v>
      </c>
      <c r="H2027" s="180"/>
      <c r="I2027" s="180" t="s">
        <v>977</v>
      </c>
      <c r="J2027" s="180"/>
      <c r="K2027" s="180"/>
      <c r="L2027" s="180" t="s">
        <v>366</v>
      </c>
      <c r="M2027" s="180"/>
      <c r="N2027" s="180" t="s">
        <v>978</v>
      </c>
      <c r="O2027" s="180"/>
      <c r="P2027" s="180"/>
      <c r="Q2027" s="180"/>
      <c r="R2027" s="180" t="s">
        <v>990</v>
      </c>
      <c r="S2027" s="180" t="s">
        <v>991</v>
      </c>
      <c r="T2027" s="183">
        <f t="shared" si="45"/>
        <v>4</v>
      </c>
      <c r="U2027" s="184">
        <f t="shared" si="46"/>
        <v>45751</v>
      </c>
      <c r="V2027" s="272"/>
      <c r="W2027" s="43">
        <f t="shared" si="47"/>
        <v>4</v>
      </c>
      <c r="X2027" s="183" t="s">
        <v>282</v>
      </c>
      <c r="Y2027" s="183" t="s">
        <v>1443</v>
      </c>
      <c r="Z2027" s="183" t="s">
        <v>1113</v>
      </c>
      <c r="AA2027" s="183" t="s">
        <v>1113</v>
      </c>
      <c r="AB2027" s="183"/>
    </row>
    <row r="2028" spans="1:28">
      <c r="A2028" s="163" t="s">
        <v>1017</v>
      </c>
      <c r="B2028" s="164">
        <v>45751</v>
      </c>
      <c r="C2028" s="163" t="s">
        <v>87</v>
      </c>
      <c r="D2028" s="163" t="s">
        <v>281</v>
      </c>
      <c r="E2028" s="163" t="s">
        <v>18</v>
      </c>
      <c r="F2028" s="169">
        <v>-5711.83</v>
      </c>
      <c r="G2028" s="165">
        <f t="shared" si="44"/>
        <v>129144.311</v>
      </c>
      <c r="H2028" s="180"/>
      <c r="I2028" s="180"/>
      <c r="J2028" s="180"/>
      <c r="K2028" s="180"/>
      <c r="L2028" s="180"/>
      <c r="M2028" s="180"/>
      <c r="N2028" s="180"/>
      <c r="O2028" s="180"/>
      <c r="P2028" s="180"/>
      <c r="Q2028" s="180"/>
      <c r="R2028" s="180"/>
      <c r="S2028" s="180"/>
      <c r="T2028" s="43">
        <f t="shared" si="45"/>
        <v>4</v>
      </c>
      <c r="U2028" s="167">
        <f t="shared" si="46"/>
        <v>45751</v>
      </c>
      <c r="V2028" s="145"/>
      <c r="W2028" s="43">
        <f t="shared" si="47"/>
        <v>4</v>
      </c>
      <c r="X2028" s="49"/>
      <c r="Y2028" s="49"/>
      <c r="Z2028" s="183"/>
      <c r="AA2028" s="183"/>
      <c r="AB2028" s="183"/>
    </row>
    <row r="2029" spans="1:28">
      <c r="A2029" s="163" t="s">
        <v>1017</v>
      </c>
      <c r="B2029" s="164">
        <v>45751</v>
      </c>
      <c r="C2029" s="163" t="s">
        <v>433</v>
      </c>
      <c r="D2029" s="163" t="s">
        <v>281</v>
      </c>
      <c r="E2029" s="163" t="s">
        <v>18</v>
      </c>
      <c r="F2029" s="169">
        <v>-3957.12</v>
      </c>
      <c r="G2029" s="165">
        <f t="shared" si="44"/>
        <v>125187.19100000001</v>
      </c>
      <c r="H2029" s="180"/>
      <c r="I2029" s="180"/>
      <c r="J2029" s="180"/>
      <c r="K2029" s="180"/>
      <c r="L2029" s="180"/>
      <c r="M2029" s="180"/>
      <c r="N2029" s="180"/>
      <c r="O2029" s="180"/>
      <c r="P2029" s="180"/>
      <c r="Q2029" s="180"/>
      <c r="R2029" s="180"/>
      <c r="S2029" s="180"/>
      <c r="T2029" s="43">
        <f t="shared" si="45"/>
        <v>4</v>
      </c>
      <c r="U2029" s="167">
        <f t="shared" si="46"/>
        <v>45751</v>
      </c>
      <c r="V2029" s="145"/>
      <c r="W2029" s="43">
        <f t="shared" si="47"/>
        <v>4</v>
      </c>
      <c r="X2029" s="49"/>
      <c r="Y2029" s="49"/>
      <c r="Z2029" s="183"/>
      <c r="AA2029" s="183"/>
      <c r="AB2029" s="183"/>
    </row>
    <row r="2030" spans="1:28">
      <c r="A2030" s="163" t="s">
        <v>1017</v>
      </c>
      <c r="B2030" s="164">
        <v>45751</v>
      </c>
      <c r="C2030" s="163" t="s">
        <v>113</v>
      </c>
      <c r="D2030" s="163" t="s">
        <v>281</v>
      </c>
      <c r="E2030" s="163" t="s">
        <v>18</v>
      </c>
      <c r="F2030" s="169">
        <v>-1615.27</v>
      </c>
      <c r="G2030" s="165">
        <f t="shared" si="44"/>
        <v>123571.921</v>
      </c>
      <c r="H2030" s="180"/>
      <c r="I2030" s="180"/>
      <c r="J2030" s="180"/>
      <c r="K2030" s="180"/>
      <c r="L2030" s="180"/>
      <c r="M2030" s="180"/>
      <c r="N2030" s="180"/>
      <c r="O2030" s="180"/>
      <c r="P2030" s="180"/>
      <c r="Q2030" s="180"/>
      <c r="R2030" s="180"/>
      <c r="S2030" s="180"/>
      <c r="T2030" s="43">
        <f t="shared" si="45"/>
        <v>4</v>
      </c>
      <c r="U2030" s="167">
        <f t="shared" si="46"/>
        <v>45751</v>
      </c>
      <c r="V2030" s="145"/>
      <c r="W2030" s="43">
        <f t="shared" si="47"/>
        <v>4</v>
      </c>
      <c r="X2030" s="49"/>
      <c r="Y2030" s="49"/>
      <c r="Z2030" s="183"/>
      <c r="AA2030" s="183"/>
      <c r="AB2030" s="183"/>
    </row>
    <row r="2031" spans="1:28">
      <c r="A2031" s="163" t="s">
        <v>1017</v>
      </c>
      <c r="B2031" s="164">
        <v>45751</v>
      </c>
      <c r="C2031" s="163" t="s">
        <v>95</v>
      </c>
      <c r="D2031" s="163" t="s">
        <v>281</v>
      </c>
      <c r="E2031" s="163" t="s">
        <v>18</v>
      </c>
      <c r="F2031" s="169">
        <v>-2157.5</v>
      </c>
      <c r="G2031" s="165">
        <f t="shared" si="44"/>
        <v>121414.421</v>
      </c>
      <c r="H2031" s="180"/>
      <c r="I2031" s="180"/>
      <c r="J2031" s="180"/>
      <c r="K2031" s="180"/>
      <c r="L2031" s="180"/>
      <c r="M2031" s="180"/>
      <c r="N2031" s="180"/>
      <c r="O2031" s="180"/>
      <c r="P2031" s="180"/>
      <c r="Q2031" s="180"/>
      <c r="R2031" s="180"/>
      <c r="S2031" s="180"/>
      <c r="T2031" s="43">
        <f t="shared" si="45"/>
        <v>4</v>
      </c>
      <c r="U2031" s="167">
        <f t="shared" si="46"/>
        <v>45751</v>
      </c>
      <c r="V2031" s="145"/>
      <c r="W2031" s="43">
        <f t="shared" si="47"/>
        <v>4</v>
      </c>
      <c r="X2031" s="49"/>
      <c r="Y2031" s="49"/>
      <c r="Z2031" s="183"/>
      <c r="AA2031" s="183"/>
      <c r="AB2031" s="183"/>
    </row>
    <row r="2032" spans="1:28">
      <c r="A2032" s="163" t="s">
        <v>1017</v>
      </c>
      <c r="B2032" s="164">
        <v>45751</v>
      </c>
      <c r="C2032" s="163" t="s">
        <v>472</v>
      </c>
      <c r="D2032" s="163" t="s">
        <v>281</v>
      </c>
      <c r="E2032" s="163" t="s">
        <v>18</v>
      </c>
      <c r="F2032" s="169">
        <v>-2295.41</v>
      </c>
      <c r="G2032" s="165">
        <f t="shared" si="44"/>
        <v>119119.011</v>
      </c>
      <c r="H2032" s="180"/>
      <c r="I2032" s="180"/>
      <c r="J2032" s="180"/>
      <c r="K2032" s="180"/>
      <c r="L2032" s="180"/>
      <c r="M2032" s="180"/>
      <c r="N2032" s="180"/>
      <c r="O2032" s="180"/>
      <c r="P2032" s="180"/>
      <c r="Q2032" s="180"/>
      <c r="R2032" s="180"/>
      <c r="S2032" s="180"/>
      <c r="T2032" s="43">
        <f t="shared" si="45"/>
        <v>4</v>
      </c>
      <c r="U2032" s="167">
        <f t="shared" si="46"/>
        <v>45751</v>
      </c>
      <c r="V2032" s="145"/>
      <c r="W2032" s="43">
        <f t="shared" si="47"/>
        <v>4</v>
      </c>
      <c r="X2032" s="49"/>
      <c r="Y2032" s="49"/>
      <c r="Z2032" s="183"/>
      <c r="AA2032" s="183"/>
      <c r="AB2032" s="183"/>
    </row>
    <row r="2033" spans="1:28">
      <c r="A2033" s="163" t="s">
        <v>1017</v>
      </c>
      <c r="B2033" s="164">
        <v>45751</v>
      </c>
      <c r="C2033" s="163" t="s">
        <v>447</v>
      </c>
      <c r="D2033" s="163" t="s">
        <v>281</v>
      </c>
      <c r="E2033" s="163" t="s">
        <v>18</v>
      </c>
      <c r="F2033" s="169">
        <v>-1642.32</v>
      </c>
      <c r="G2033" s="165">
        <f t="shared" si="44"/>
        <v>117476.69099999999</v>
      </c>
      <c r="H2033" s="180"/>
      <c r="I2033" s="180"/>
      <c r="J2033" s="180"/>
      <c r="K2033" s="180"/>
      <c r="L2033" s="180"/>
      <c r="M2033" s="180"/>
      <c r="N2033" s="180"/>
      <c r="O2033" s="180"/>
      <c r="P2033" s="180"/>
      <c r="Q2033" s="180"/>
      <c r="R2033" s="180"/>
      <c r="S2033" s="180"/>
      <c r="T2033" s="43">
        <f t="shared" si="45"/>
        <v>4</v>
      </c>
      <c r="U2033" s="167">
        <f t="shared" si="46"/>
        <v>45751</v>
      </c>
      <c r="V2033" s="145"/>
      <c r="W2033" s="43">
        <f t="shared" si="47"/>
        <v>4</v>
      </c>
      <c r="X2033" s="49"/>
      <c r="Y2033" s="49"/>
      <c r="Z2033" s="183"/>
      <c r="AA2033" s="183"/>
      <c r="AB2033" s="183"/>
    </row>
    <row r="2034" spans="1:28">
      <c r="A2034" s="163" t="s">
        <v>1017</v>
      </c>
      <c r="B2034" s="164">
        <v>45751</v>
      </c>
      <c r="C2034" s="163" t="s">
        <v>99</v>
      </c>
      <c r="D2034" s="163" t="s">
        <v>281</v>
      </c>
      <c r="E2034" s="163" t="s">
        <v>18</v>
      </c>
      <c r="F2034" s="169">
        <v>-4500.71</v>
      </c>
      <c r="G2034" s="165">
        <f t="shared" si="44"/>
        <v>112975.98099999999</v>
      </c>
      <c r="H2034" s="180"/>
      <c r="I2034" s="180"/>
      <c r="J2034" s="180"/>
      <c r="K2034" s="180"/>
      <c r="L2034" s="180"/>
      <c r="M2034" s="180"/>
      <c r="N2034" s="180"/>
      <c r="O2034" s="180"/>
      <c r="P2034" s="180"/>
      <c r="Q2034" s="180"/>
      <c r="R2034" s="180"/>
      <c r="S2034" s="180"/>
      <c r="T2034" s="43">
        <f t="shared" si="45"/>
        <v>4</v>
      </c>
      <c r="U2034" s="167">
        <f t="shared" si="46"/>
        <v>45751</v>
      </c>
      <c r="V2034" s="145"/>
      <c r="W2034" s="43">
        <f t="shared" si="47"/>
        <v>4</v>
      </c>
      <c r="X2034" s="49"/>
      <c r="Y2034" s="49"/>
      <c r="Z2034" s="183"/>
      <c r="AA2034" s="183"/>
      <c r="AB2034" s="183"/>
    </row>
    <row r="2035" spans="1:28">
      <c r="A2035" s="163" t="s">
        <v>1017</v>
      </c>
      <c r="B2035" s="164">
        <v>45751</v>
      </c>
      <c r="C2035" s="163" t="s">
        <v>457</v>
      </c>
      <c r="D2035" s="163" t="s">
        <v>281</v>
      </c>
      <c r="E2035" s="163" t="s">
        <v>18</v>
      </c>
      <c r="F2035" s="169">
        <v>-1680.4</v>
      </c>
      <c r="G2035" s="165">
        <f t="shared" si="44"/>
        <v>111295.58099999999</v>
      </c>
      <c r="H2035" s="180"/>
      <c r="I2035" s="180"/>
      <c r="J2035" s="180"/>
      <c r="K2035" s="180"/>
      <c r="L2035" s="180"/>
      <c r="M2035" s="180"/>
      <c r="N2035" s="180"/>
      <c r="O2035" s="180"/>
      <c r="P2035" s="180"/>
      <c r="Q2035" s="180"/>
      <c r="R2035" s="180"/>
      <c r="S2035" s="180"/>
      <c r="T2035" s="43">
        <f t="shared" si="45"/>
        <v>4</v>
      </c>
      <c r="U2035" s="167">
        <f t="shared" si="46"/>
        <v>45751</v>
      </c>
      <c r="V2035" s="145"/>
      <c r="W2035" s="43">
        <f t="shared" si="47"/>
        <v>4</v>
      </c>
      <c r="X2035" s="49"/>
      <c r="Y2035" s="49"/>
      <c r="Z2035" s="183"/>
      <c r="AA2035" s="183"/>
      <c r="AB2035" s="183"/>
    </row>
    <row r="2036" spans="1:28">
      <c r="A2036" s="163" t="s">
        <v>1017</v>
      </c>
      <c r="B2036" s="164">
        <v>45751</v>
      </c>
      <c r="C2036" s="163" t="s">
        <v>460</v>
      </c>
      <c r="D2036" s="163" t="s">
        <v>281</v>
      </c>
      <c r="E2036" s="163" t="s">
        <v>18</v>
      </c>
      <c r="F2036" s="169">
        <v>-2858.17</v>
      </c>
      <c r="G2036" s="165">
        <f t="shared" si="44"/>
        <v>108437.41099999999</v>
      </c>
      <c r="H2036" s="180"/>
      <c r="I2036" s="180"/>
      <c r="J2036" s="180"/>
      <c r="K2036" s="180"/>
      <c r="L2036" s="180"/>
      <c r="M2036" s="180"/>
      <c r="N2036" s="180"/>
      <c r="O2036" s="180"/>
      <c r="P2036" s="180"/>
      <c r="Q2036" s="180"/>
      <c r="R2036" s="180"/>
      <c r="S2036" s="180"/>
      <c r="T2036" s="43">
        <f t="shared" si="45"/>
        <v>4</v>
      </c>
      <c r="U2036" s="167">
        <f t="shared" si="46"/>
        <v>45751</v>
      </c>
      <c r="V2036" s="145"/>
      <c r="W2036" s="43">
        <f t="shared" si="47"/>
        <v>4</v>
      </c>
      <c r="X2036" s="49"/>
      <c r="Y2036" s="49"/>
      <c r="Z2036" s="183"/>
      <c r="AA2036" s="183"/>
      <c r="AB2036" s="183"/>
    </row>
    <row r="2037" spans="1:28">
      <c r="A2037" s="163" t="s">
        <v>1017</v>
      </c>
      <c r="B2037" s="164">
        <v>45751</v>
      </c>
      <c r="C2037" s="163" t="s">
        <v>463</v>
      </c>
      <c r="D2037" s="163" t="s">
        <v>281</v>
      </c>
      <c r="E2037" s="163" t="s">
        <v>18</v>
      </c>
      <c r="F2037" s="169">
        <v>-1642.79</v>
      </c>
      <c r="G2037" s="165">
        <f t="shared" si="44"/>
        <v>106794.621</v>
      </c>
      <c r="H2037" s="180"/>
      <c r="I2037" s="180"/>
      <c r="J2037" s="180"/>
      <c r="K2037" s="180"/>
      <c r="L2037" s="180"/>
      <c r="M2037" s="180"/>
      <c r="N2037" s="180"/>
      <c r="O2037" s="180"/>
      <c r="P2037" s="180"/>
      <c r="Q2037" s="180"/>
      <c r="R2037" s="180"/>
      <c r="S2037" s="180"/>
      <c r="T2037" s="43">
        <f t="shared" si="45"/>
        <v>4</v>
      </c>
      <c r="U2037" s="167">
        <f t="shared" si="46"/>
        <v>45751</v>
      </c>
      <c r="V2037" s="145"/>
      <c r="W2037" s="43">
        <f t="shared" si="47"/>
        <v>4</v>
      </c>
      <c r="X2037" s="49"/>
      <c r="Y2037" s="49"/>
      <c r="Z2037" s="183"/>
      <c r="AA2037" s="183"/>
      <c r="AB2037" s="183"/>
    </row>
    <row r="2038" spans="1:28">
      <c r="A2038" s="163" t="s">
        <v>1017</v>
      </c>
      <c r="B2038" s="164">
        <v>45751</v>
      </c>
      <c r="C2038" s="163" t="s">
        <v>466</v>
      </c>
      <c r="D2038" s="163" t="s">
        <v>281</v>
      </c>
      <c r="E2038" s="163" t="s">
        <v>18</v>
      </c>
      <c r="F2038" s="169">
        <v>-1398.99</v>
      </c>
      <c r="G2038" s="165">
        <f t="shared" si="44"/>
        <v>105395.63099999999</v>
      </c>
      <c r="H2038" s="180"/>
      <c r="I2038" s="180"/>
      <c r="J2038" s="180"/>
      <c r="K2038" s="180"/>
      <c r="L2038" s="180"/>
      <c r="M2038" s="180"/>
      <c r="N2038" s="180"/>
      <c r="O2038" s="180"/>
      <c r="P2038" s="180"/>
      <c r="Q2038" s="180"/>
      <c r="R2038" s="180"/>
      <c r="S2038" s="180"/>
      <c r="T2038" s="43">
        <f t="shared" si="45"/>
        <v>4</v>
      </c>
      <c r="U2038" s="167">
        <f t="shared" si="46"/>
        <v>45751</v>
      </c>
      <c r="V2038" s="145"/>
      <c r="W2038" s="43">
        <f t="shared" si="47"/>
        <v>4</v>
      </c>
      <c r="X2038" s="49"/>
      <c r="Y2038" s="49"/>
      <c r="Z2038" s="183"/>
      <c r="AA2038" s="183"/>
      <c r="AB2038" s="183"/>
    </row>
    <row r="2039" spans="1:28">
      <c r="A2039" s="163" t="s">
        <v>1017</v>
      </c>
      <c r="B2039" s="164">
        <v>45751</v>
      </c>
      <c r="C2039" s="163" t="s">
        <v>481</v>
      </c>
      <c r="D2039" s="163" t="s">
        <v>281</v>
      </c>
      <c r="E2039" s="163" t="s">
        <v>18</v>
      </c>
      <c r="F2039" s="169">
        <v>-3492.76</v>
      </c>
      <c r="G2039" s="165">
        <f t="shared" si="44"/>
        <v>101902.871</v>
      </c>
      <c r="H2039" s="180"/>
      <c r="I2039" s="180"/>
      <c r="J2039" s="180"/>
      <c r="K2039" s="180"/>
      <c r="L2039" s="180"/>
      <c r="M2039" s="180"/>
      <c r="N2039" s="180"/>
      <c r="O2039" s="180"/>
      <c r="P2039" s="180"/>
      <c r="Q2039" s="180"/>
      <c r="R2039" s="180"/>
      <c r="S2039" s="180"/>
      <c r="T2039" s="43">
        <f t="shared" si="45"/>
        <v>4</v>
      </c>
      <c r="U2039" s="167">
        <f t="shared" si="46"/>
        <v>45751</v>
      </c>
      <c r="V2039" s="145"/>
      <c r="W2039" s="43">
        <f t="shared" si="47"/>
        <v>4</v>
      </c>
      <c r="X2039" s="49"/>
      <c r="Y2039" s="49"/>
      <c r="Z2039" s="183"/>
      <c r="AA2039" s="183"/>
      <c r="AB2039" s="183"/>
    </row>
    <row r="2040" spans="1:28">
      <c r="A2040" s="163" t="s">
        <v>1017</v>
      </c>
      <c r="B2040" s="164">
        <v>45751</v>
      </c>
      <c r="C2040" s="163" t="s">
        <v>484</v>
      </c>
      <c r="D2040" s="163" t="s">
        <v>281</v>
      </c>
      <c r="E2040" s="163" t="s">
        <v>18</v>
      </c>
      <c r="F2040" s="169">
        <v>-1359.77</v>
      </c>
      <c r="G2040" s="165">
        <f t="shared" si="44"/>
        <v>100543.101</v>
      </c>
      <c r="H2040" s="180"/>
      <c r="I2040" s="180"/>
      <c r="J2040" s="180"/>
      <c r="K2040" s="180"/>
      <c r="L2040" s="180"/>
      <c r="M2040" s="180"/>
      <c r="N2040" s="180"/>
      <c r="O2040" s="180"/>
      <c r="P2040" s="180"/>
      <c r="Q2040" s="180"/>
      <c r="R2040" s="180"/>
      <c r="S2040" s="180"/>
      <c r="T2040" s="43">
        <f t="shared" si="45"/>
        <v>4</v>
      </c>
      <c r="U2040" s="167">
        <f t="shared" si="46"/>
        <v>45751</v>
      </c>
      <c r="V2040" s="145"/>
      <c r="W2040" s="43">
        <f t="shared" si="47"/>
        <v>4</v>
      </c>
      <c r="X2040" s="49"/>
      <c r="Y2040" s="49"/>
      <c r="Z2040" s="183"/>
      <c r="AA2040" s="183"/>
      <c r="AB2040" s="183"/>
    </row>
    <row r="2041" spans="1:28">
      <c r="A2041" s="163" t="s">
        <v>1017</v>
      </c>
      <c r="B2041" s="164">
        <v>45751</v>
      </c>
      <c r="C2041" s="163" t="s">
        <v>491</v>
      </c>
      <c r="D2041" s="163" t="s">
        <v>281</v>
      </c>
      <c r="E2041" s="163" t="s">
        <v>18</v>
      </c>
      <c r="F2041" s="169">
        <v>-3575.05</v>
      </c>
      <c r="G2041" s="165">
        <f t="shared" si="44"/>
        <v>96968.050999999992</v>
      </c>
      <c r="H2041" s="180"/>
      <c r="I2041" s="180"/>
      <c r="J2041" s="180"/>
      <c r="K2041" s="180"/>
      <c r="L2041" s="180"/>
      <c r="M2041" s="180"/>
      <c r="N2041" s="180"/>
      <c r="O2041" s="180"/>
      <c r="P2041" s="180"/>
      <c r="Q2041" s="180"/>
      <c r="R2041" s="180"/>
      <c r="S2041" s="180"/>
      <c r="T2041" s="43">
        <f t="shared" si="45"/>
        <v>4</v>
      </c>
      <c r="U2041" s="167">
        <f t="shared" si="46"/>
        <v>45751</v>
      </c>
      <c r="V2041" s="145"/>
      <c r="W2041" s="43">
        <f t="shared" si="47"/>
        <v>4</v>
      </c>
      <c r="X2041" s="49"/>
      <c r="Y2041" s="49"/>
      <c r="Z2041" s="183"/>
      <c r="AA2041" s="183"/>
      <c r="AB2041" s="183"/>
    </row>
    <row r="2042" spans="1:28">
      <c r="A2042" s="163" t="s">
        <v>1017</v>
      </c>
      <c r="B2042" s="164">
        <v>45751</v>
      </c>
      <c r="C2042" s="163" t="s">
        <v>494</v>
      </c>
      <c r="D2042" s="163" t="s">
        <v>281</v>
      </c>
      <c r="E2042" s="163" t="s">
        <v>18</v>
      </c>
      <c r="F2042" s="169">
        <v>-1842.77</v>
      </c>
      <c r="G2042" s="165">
        <f t="shared" si="44"/>
        <v>95125.280999999988</v>
      </c>
      <c r="H2042" s="180"/>
      <c r="I2042" s="180"/>
      <c r="J2042" s="180"/>
      <c r="K2042" s="180"/>
      <c r="L2042" s="180"/>
      <c r="M2042" s="180"/>
      <c r="N2042" s="180"/>
      <c r="O2042" s="180"/>
      <c r="P2042" s="180"/>
      <c r="Q2042" s="180"/>
      <c r="R2042" s="180"/>
      <c r="S2042" s="180"/>
      <c r="T2042" s="43">
        <f t="shared" si="45"/>
        <v>4</v>
      </c>
      <c r="U2042" s="167">
        <f t="shared" si="46"/>
        <v>45751</v>
      </c>
      <c r="V2042" s="145"/>
      <c r="W2042" s="43">
        <f t="shared" si="47"/>
        <v>4</v>
      </c>
      <c r="X2042" s="49"/>
      <c r="Y2042" s="49"/>
      <c r="Z2042" s="183"/>
      <c r="AA2042" s="183"/>
      <c r="AB2042" s="183"/>
    </row>
    <row r="2043" spans="1:28">
      <c r="A2043" s="163" t="s">
        <v>1017</v>
      </c>
      <c r="B2043" s="164">
        <v>45751</v>
      </c>
      <c r="C2043" s="163" t="s">
        <v>505</v>
      </c>
      <c r="D2043" s="163" t="s">
        <v>281</v>
      </c>
      <c r="E2043" s="163" t="s">
        <v>18</v>
      </c>
      <c r="F2043" s="169">
        <v>-1450.6</v>
      </c>
      <c r="G2043" s="165">
        <f t="shared" ref="G2043:G2297" si="48">F2043+G2042</f>
        <v>93674.680999999982</v>
      </c>
      <c r="H2043" s="180"/>
      <c r="I2043" s="180"/>
      <c r="J2043" s="180"/>
      <c r="K2043" s="180"/>
      <c r="L2043" s="180"/>
      <c r="M2043" s="180"/>
      <c r="N2043" s="180"/>
      <c r="O2043" s="180"/>
      <c r="P2043" s="180"/>
      <c r="Q2043" s="180"/>
      <c r="R2043" s="180"/>
      <c r="S2043" s="180"/>
      <c r="T2043" s="43">
        <f t="shared" si="45"/>
        <v>4</v>
      </c>
      <c r="U2043" s="167">
        <f t="shared" si="46"/>
        <v>45751</v>
      </c>
      <c r="V2043" s="145"/>
      <c r="W2043" s="43">
        <f t="shared" si="47"/>
        <v>4</v>
      </c>
      <c r="X2043" s="49"/>
      <c r="Y2043" s="49"/>
      <c r="Z2043" s="183"/>
      <c r="AA2043" s="183"/>
      <c r="AB2043" s="183"/>
    </row>
    <row r="2044" spans="1:28">
      <c r="A2044" s="163" t="s">
        <v>1017</v>
      </c>
      <c r="B2044" s="164">
        <v>45751</v>
      </c>
      <c r="C2044" s="163" t="s">
        <v>111</v>
      </c>
      <c r="D2044" s="163" t="s">
        <v>281</v>
      </c>
      <c r="E2044" s="163" t="s">
        <v>18</v>
      </c>
      <c r="F2044" s="169">
        <v>-2202.27</v>
      </c>
      <c r="G2044" s="165">
        <f t="shared" si="48"/>
        <v>91472.410999999978</v>
      </c>
      <c r="H2044" s="180"/>
      <c r="I2044" s="180"/>
      <c r="J2044" s="180"/>
      <c r="K2044" s="180"/>
      <c r="L2044" s="180"/>
      <c r="M2044" s="180"/>
      <c r="N2044" s="180"/>
      <c r="O2044" s="180"/>
      <c r="P2044" s="180"/>
      <c r="Q2044" s="180"/>
      <c r="R2044" s="180"/>
      <c r="S2044" s="180"/>
      <c r="T2044" s="43">
        <f t="shared" si="45"/>
        <v>4</v>
      </c>
      <c r="U2044" s="167">
        <f t="shared" si="46"/>
        <v>45751</v>
      </c>
      <c r="V2044" s="145"/>
      <c r="W2044" s="43">
        <f t="shared" si="47"/>
        <v>4</v>
      </c>
      <c r="X2044" s="49"/>
      <c r="Y2044" s="49"/>
      <c r="Z2044" s="183"/>
      <c r="AA2044" s="183"/>
      <c r="AB2044" s="183"/>
    </row>
    <row r="2045" spans="1:28">
      <c r="A2045" s="163" t="s">
        <v>1017</v>
      </c>
      <c r="B2045" s="164">
        <v>45751</v>
      </c>
      <c r="C2045" s="163" t="s">
        <v>510</v>
      </c>
      <c r="D2045" s="163" t="s">
        <v>281</v>
      </c>
      <c r="E2045" s="163" t="s">
        <v>18</v>
      </c>
      <c r="F2045" s="169">
        <v>-2833.22</v>
      </c>
      <c r="G2045" s="165">
        <f t="shared" si="48"/>
        <v>88639.190999999977</v>
      </c>
      <c r="H2045" s="180"/>
      <c r="I2045" s="180"/>
      <c r="J2045" s="180"/>
      <c r="K2045" s="180"/>
      <c r="L2045" s="180"/>
      <c r="M2045" s="180"/>
      <c r="N2045" s="180"/>
      <c r="O2045" s="180"/>
      <c r="P2045" s="180"/>
      <c r="Q2045" s="180"/>
      <c r="R2045" s="180"/>
      <c r="S2045" s="180"/>
      <c r="T2045" s="43">
        <f t="shared" si="45"/>
        <v>4</v>
      </c>
      <c r="U2045" s="167">
        <f t="shared" si="46"/>
        <v>45751</v>
      </c>
      <c r="V2045" s="145"/>
      <c r="W2045" s="43">
        <f t="shared" si="47"/>
        <v>4</v>
      </c>
      <c r="X2045" s="49"/>
      <c r="Y2045" s="49"/>
      <c r="Z2045" s="183"/>
      <c r="AA2045" s="183"/>
      <c r="AB2045" s="183"/>
    </row>
    <row r="2046" spans="1:28">
      <c r="A2046" s="163" t="s">
        <v>1017</v>
      </c>
      <c r="B2046" s="164">
        <v>45751</v>
      </c>
      <c r="C2046" s="163" t="s">
        <v>513</v>
      </c>
      <c r="D2046" s="163" t="s">
        <v>281</v>
      </c>
      <c r="E2046" s="163" t="s">
        <v>18</v>
      </c>
      <c r="F2046" s="169">
        <v>-1797.77</v>
      </c>
      <c r="G2046" s="165">
        <f t="shared" si="48"/>
        <v>86841.420999999973</v>
      </c>
      <c r="H2046" s="180"/>
      <c r="I2046" s="180"/>
      <c r="J2046" s="180"/>
      <c r="K2046" s="180"/>
      <c r="L2046" s="180"/>
      <c r="M2046" s="180"/>
      <c r="N2046" s="180"/>
      <c r="O2046" s="180"/>
      <c r="P2046" s="180"/>
      <c r="Q2046" s="180"/>
      <c r="R2046" s="180"/>
      <c r="S2046" s="180"/>
      <c r="T2046" s="43">
        <f t="shared" si="45"/>
        <v>4</v>
      </c>
      <c r="U2046" s="167">
        <f t="shared" si="46"/>
        <v>45751</v>
      </c>
      <c r="V2046" s="145"/>
      <c r="W2046" s="43">
        <f t="shared" si="47"/>
        <v>4</v>
      </c>
      <c r="X2046" s="49"/>
      <c r="Y2046" s="49"/>
      <c r="Z2046" s="183"/>
      <c r="AA2046" s="183"/>
      <c r="AB2046" s="183"/>
    </row>
    <row r="2047" spans="1:28">
      <c r="A2047" s="163" t="s">
        <v>1017</v>
      </c>
      <c r="B2047" s="164">
        <v>45751</v>
      </c>
      <c r="C2047" s="163" t="s">
        <v>528</v>
      </c>
      <c r="D2047" s="163" t="s">
        <v>281</v>
      </c>
      <c r="E2047" s="163" t="s">
        <v>18</v>
      </c>
      <c r="F2047" s="169">
        <v>-2297.77</v>
      </c>
      <c r="G2047" s="165">
        <f t="shared" si="48"/>
        <v>84543.650999999969</v>
      </c>
      <c r="H2047" s="180"/>
      <c r="I2047" s="180"/>
      <c r="J2047" s="180"/>
      <c r="K2047" s="180"/>
      <c r="L2047" s="180"/>
      <c r="M2047" s="180"/>
      <c r="N2047" s="180"/>
      <c r="O2047" s="180"/>
      <c r="P2047" s="180"/>
      <c r="Q2047" s="180"/>
      <c r="R2047" s="180"/>
      <c r="S2047" s="180"/>
      <c r="T2047" s="43">
        <f t="shared" si="45"/>
        <v>4</v>
      </c>
      <c r="U2047" s="167">
        <f t="shared" si="46"/>
        <v>45751</v>
      </c>
      <c r="V2047" s="145"/>
      <c r="W2047" s="43">
        <f t="shared" si="47"/>
        <v>4</v>
      </c>
      <c r="X2047" s="49"/>
      <c r="Y2047" s="49"/>
      <c r="Z2047" s="183"/>
      <c r="AA2047" s="183"/>
      <c r="AB2047" s="183"/>
    </row>
    <row r="2048" spans="1:28">
      <c r="A2048" s="163" t="s">
        <v>1017</v>
      </c>
      <c r="B2048" s="164">
        <v>45751</v>
      </c>
      <c r="C2048" s="163" t="s">
        <v>516</v>
      </c>
      <c r="D2048" s="163" t="s">
        <v>281</v>
      </c>
      <c r="E2048" s="163" t="s">
        <v>18</v>
      </c>
      <c r="F2048" s="169">
        <v>-1442.77</v>
      </c>
      <c r="G2048" s="165">
        <f t="shared" si="48"/>
        <v>83100.880999999965</v>
      </c>
      <c r="H2048" s="180"/>
      <c r="I2048" s="180"/>
      <c r="J2048" s="180"/>
      <c r="K2048" s="180"/>
      <c r="L2048" s="180"/>
      <c r="M2048" s="180"/>
      <c r="N2048" s="180"/>
      <c r="O2048" s="180"/>
      <c r="P2048" s="180"/>
      <c r="Q2048" s="180"/>
      <c r="R2048" s="180"/>
      <c r="S2048" s="180"/>
      <c r="T2048" s="43">
        <f t="shared" si="45"/>
        <v>4</v>
      </c>
      <c r="U2048" s="167">
        <f t="shared" si="46"/>
        <v>45751</v>
      </c>
      <c r="V2048" s="145"/>
      <c r="W2048" s="43">
        <f t="shared" si="47"/>
        <v>4</v>
      </c>
      <c r="X2048" s="49"/>
      <c r="Y2048" s="49"/>
      <c r="Z2048" s="183"/>
      <c r="AA2048" s="183"/>
      <c r="AB2048" s="183"/>
    </row>
    <row r="2049" spans="1:28">
      <c r="A2049" s="163" t="s">
        <v>1017</v>
      </c>
      <c r="B2049" s="164">
        <v>45751</v>
      </c>
      <c r="C2049" s="163" t="s">
        <v>522</v>
      </c>
      <c r="D2049" s="163" t="s">
        <v>281</v>
      </c>
      <c r="E2049" s="163" t="s">
        <v>18</v>
      </c>
      <c r="F2049" s="169">
        <v>-3127.76</v>
      </c>
      <c r="G2049" s="165">
        <f t="shared" si="48"/>
        <v>79973.12099999997</v>
      </c>
      <c r="H2049" s="180"/>
      <c r="I2049" s="180"/>
      <c r="J2049" s="180"/>
      <c r="K2049" s="180"/>
      <c r="L2049" s="180"/>
      <c r="M2049" s="180"/>
      <c r="N2049" s="180"/>
      <c r="O2049" s="180"/>
      <c r="P2049" s="180"/>
      <c r="Q2049" s="180"/>
      <c r="R2049" s="180"/>
      <c r="S2049" s="180"/>
      <c r="T2049" s="43">
        <f t="shared" si="45"/>
        <v>4</v>
      </c>
      <c r="U2049" s="167">
        <f t="shared" si="46"/>
        <v>45751</v>
      </c>
      <c r="V2049" s="145"/>
      <c r="W2049" s="43">
        <f t="shared" si="47"/>
        <v>4</v>
      </c>
      <c r="X2049" s="49"/>
      <c r="Y2049" s="49"/>
      <c r="Z2049" s="183"/>
      <c r="AA2049" s="183"/>
      <c r="AB2049" s="183"/>
    </row>
    <row r="2050" spans="1:28">
      <c r="A2050" s="163" t="s">
        <v>1017</v>
      </c>
      <c r="B2050" s="164">
        <v>45751</v>
      </c>
      <c r="C2050" s="163" t="s">
        <v>525</v>
      </c>
      <c r="D2050" s="163" t="s">
        <v>281</v>
      </c>
      <c r="E2050" s="163" t="s">
        <v>18</v>
      </c>
      <c r="F2050" s="169">
        <v>-2427.7600000000002</v>
      </c>
      <c r="G2050" s="165">
        <f t="shared" si="48"/>
        <v>77545.360999999975</v>
      </c>
      <c r="H2050" s="180"/>
      <c r="I2050" s="180"/>
      <c r="J2050" s="180"/>
      <c r="K2050" s="180"/>
      <c r="L2050" s="180"/>
      <c r="M2050" s="180"/>
      <c r="N2050" s="180"/>
      <c r="O2050" s="180"/>
      <c r="P2050" s="180"/>
      <c r="Q2050" s="180"/>
      <c r="R2050" s="180"/>
      <c r="S2050" s="180"/>
      <c r="T2050" s="43">
        <f t="shared" si="45"/>
        <v>4</v>
      </c>
      <c r="U2050" s="167">
        <f t="shared" si="46"/>
        <v>45751</v>
      </c>
      <c r="V2050" s="145"/>
      <c r="W2050" s="43">
        <f t="shared" si="47"/>
        <v>4</v>
      </c>
      <c r="X2050" s="49"/>
      <c r="Y2050" s="49"/>
      <c r="Z2050" s="183"/>
      <c r="AA2050" s="183"/>
      <c r="AB2050" s="183"/>
    </row>
    <row r="2051" spans="1:28">
      <c r="A2051" s="163" t="s">
        <v>1017</v>
      </c>
      <c r="B2051" s="164">
        <v>45751</v>
      </c>
      <c r="C2051" s="163" t="s">
        <v>112</v>
      </c>
      <c r="D2051" s="163" t="s">
        <v>281</v>
      </c>
      <c r="E2051" s="163" t="s">
        <v>18</v>
      </c>
      <c r="F2051" s="169">
        <v>-1797.77</v>
      </c>
      <c r="G2051" s="165">
        <f t="shared" si="48"/>
        <v>75747.590999999971</v>
      </c>
      <c r="H2051" s="180"/>
      <c r="I2051" s="180"/>
      <c r="J2051" s="180"/>
      <c r="K2051" s="180"/>
      <c r="L2051" s="180"/>
      <c r="M2051" s="180"/>
      <c r="N2051" s="180"/>
      <c r="O2051" s="180"/>
      <c r="P2051" s="180"/>
      <c r="Q2051" s="180"/>
      <c r="R2051" s="180"/>
      <c r="S2051" s="180"/>
      <c r="T2051" s="43">
        <f t="shared" si="45"/>
        <v>4</v>
      </c>
      <c r="U2051" s="167">
        <f t="shared" si="46"/>
        <v>45751</v>
      </c>
      <c r="V2051" s="145"/>
      <c r="W2051" s="43">
        <f t="shared" si="47"/>
        <v>4</v>
      </c>
      <c r="X2051" s="49"/>
      <c r="Y2051" s="49"/>
      <c r="Z2051" s="183"/>
      <c r="AA2051" s="183"/>
      <c r="AB2051" s="183"/>
    </row>
    <row r="2052" spans="1:28">
      <c r="A2052" s="163" t="s">
        <v>1017</v>
      </c>
      <c r="B2052" s="164">
        <v>45751</v>
      </c>
      <c r="C2052" s="163" t="s">
        <v>533</v>
      </c>
      <c r="D2052" s="163" t="s">
        <v>281</v>
      </c>
      <c r="E2052" s="163" t="s">
        <v>18</v>
      </c>
      <c r="F2052" s="169">
        <v>-1842.77</v>
      </c>
      <c r="G2052" s="165">
        <f t="shared" si="48"/>
        <v>73904.820999999967</v>
      </c>
      <c r="H2052" s="180"/>
      <c r="I2052" s="180"/>
      <c r="J2052" s="180"/>
      <c r="K2052" s="180"/>
      <c r="L2052" s="180"/>
      <c r="M2052" s="180"/>
      <c r="N2052" s="180"/>
      <c r="O2052" s="180"/>
      <c r="P2052" s="180"/>
      <c r="Q2052" s="180"/>
      <c r="R2052" s="180"/>
      <c r="S2052" s="180"/>
      <c r="T2052" s="43">
        <f t="shared" si="45"/>
        <v>4</v>
      </c>
      <c r="U2052" s="167">
        <f t="shared" si="46"/>
        <v>45751</v>
      </c>
      <c r="V2052" s="145"/>
      <c r="W2052" s="43">
        <f t="shared" si="47"/>
        <v>4</v>
      </c>
      <c r="X2052" s="49"/>
      <c r="Y2052" s="49"/>
      <c r="Z2052" s="183"/>
      <c r="AA2052" s="183"/>
      <c r="AB2052" s="183"/>
    </row>
    <row r="2053" spans="1:28">
      <c r="A2053" s="163" t="s">
        <v>1017</v>
      </c>
      <c r="B2053" s="164">
        <v>45751</v>
      </c>
      <c r="C2053" s="163" t="s">
        <v>536</v>
      </c>
      <c r="D2053" s="163" t="s">
        <v>281</v>
      </c>
      <c r="E2053" s="163" t="s">
        <v>18</v>
      </c>
      <c r="F2053" s="169">
        <v>-1842.77</v>
      </c>
      <c r="G2053" s="165">
        <f t="shared" si="48"/>
        <v>72062.050999999963</v>
      </c>
      <c r="H2053" s="180"/>
      <c r="I2053" s="180"/>
      <c r="J2053" s="180"/>
      <c r="K2053" s="180"/>
      <c r="L2053" s="180"/>
      <c r="M2053" s="180"/>
      <c r="N2053" s="180"/>
      <c r="O2053" s="180"/>
      <c r="P2053" s="180"/>
      <c r="Q2053" s="180"/>
      <c r="R2053" s="180"/>
      <c r="S2053" s="180"/>
      <c r="T2053" s="43">
        <f t="shared" si="45"/>
        <v>4</v>
      </c>
      <c r="U2053" s="167">
        <f t="shared" si="46"/>
        <v>45751</v>
      </c>
      <c r="V2053" s="145"/>
      <c r="W2053" s="43">
        <f t="shared" si="47"/>
        <v>4</v>
      </c>
      <c r="X2053" s="49"/>
      <c r="Y2053" s="49"/>
      <c r="Z2053" s="183"/>
      <c r="AA2053" s="183"/>
      <c r="AB2053" s="183"/>
    </row>
    <row r="2054" spans="1:28">
      <c r="A2054" s="163" t="s">
        <v>1017</v>
      </c>
      <c r="B2054" s="164">
        <v>45751</v>
      </c>
      <c r="C2054" s="163" t="s">
        <v>93</v>
      </c>
      <c r="D2054" s="163" t="s">
        <v>281</v>
      </c>
      <c r="E2054" s="163" t="s">
        <v>18</v>
      </c>
      <c r="F2054" s="169">
        <v>-4106.08</v>
      </c>
      <c r="G2054" s="165">
        <f t="shared" si="48"/>
        <v>67955.970999999961</v>
      </c>
      <c r="H2054" s="180"/>
      <c r="I2054" s="180"/>
      <c r="J2054" s="180"/>
      <c r="K2054" s="180"/>
      <c r="L2054" s="180"/>
      <c r="M2054" s="180"/>
      <c r="N2054" s="180"/>
      <c r="O2054" s="180"/>
      <c r="P2054" s="180"/>
      <c r="Q2054" s="180"/>
      <c r="R2054" s="180"/>
      <c r="S2054" s="180"/>
      <c r="T2054" s="43">
        <f t="shared" si="45"/>
        <v>4</v>
      </c>
      <c r="U2054" s="167">
        <f t="shared" si="46"/>
        <v>45751</v>
      </c>
      <c r="V2054" s="145"/>
      <c r="W2054" s="43">
        <f t="shared" si="47"/>
        <v>4</v>
      </c>
      <c r="X2054" s="49"/>
      <c r="Y2054" s="49"/>
      <c r="Z2054" s="183"/>
      <c r="AA2054" s="183"/>
      <c r="AB2054" s="183"/>
    </row>
    <row r="2055" spans="1:28">
      <c r="A2055" s="163" t="s">
        <v>1017</v>
      </c>
      <c r="B2055" s="164">
        <v>45751</v>
      </c>
      <c r="C2055" s="163" t="s">
        <v>88</v>
      </c>
      <c r="D2055" s="163" t="s">
        <v>281</v>
      </c>
      <c r="E2055" s="163" t="s">
        <v>18</v>
      </c>
      <c r="F2055" s="169">
        <v>-3837.77</v>
      </c>
      <c r="G2055" s="165">
        <f t="shared" si="48"/>
        <v>64118.200999999965</v>
      </c>
      <c r="H2055" s="180"/>
      <c r="I2055" s="180"/>
      <c r="J2055" s="180"/>
      <c r="K2055" s="180"/>
      <c r="L2055" s="180"/>
      <c r="M2055" s="180"/>
      <c r="N2055" s="180"/>
      <c r="O2055" s="180"/>
      <c r="P2055" s="180"/>
      <c r="Q2055" s="180"/>
      <c r="R2055" s="180"/>
      <c r="S2055" s="180"/>
      <c r="T2055" s="43">
        <f t="shared" si="45"/>
        <v>4</v>
      </c>
      <c r="U2055" s="167">
        <f t="shared" si="46"/>
        <v>45751</v>
      </c>
      <c r="V2055" s="145"/>
      <c r="W2055" s="43">
        <f t="shared" si="47"/>
        <v>4</v>
      </c>
      <c r="X2055" s="49"/>
      <c r="Y2055" s="49"/>
      <c r="Z2055" s="183"/>
      <c r="AA2055" s="183"/>
      <c r="AB2055" s="183"/>
    </row>
    <row r="2056" spans="1:28">
      <c r="A2056" s="163" t="s">
        <v>1017</v>
      </c>
      <c r="B2056" s="164">
        <v>45751</v>
      </c>
      <c r="C2056" s="163" t="s">
        <v>546</v>
      </c>
      <c r="D2056" s="163" t="s">
        <v>281</v>
      </c>
      <c r="E2056" s="163" t="s">
        <v>18</v>
      </c>
      <c r="F2056" s="169">
        <v>-1422.96</v>
      </c>
      <c r="G2056" s="165">
        <f t="shared" si="48"/>
        <v>62695.240999999965</v>
      </c>
      <c r="H2056" s="180"/>
      <c r="I2056" s="180"/>
      <c r="J2056" s="180"/>
      <c r="K2056" s="180"/>
      <c r="L2056" s="180"/>
      <c r="M2056" s="180"/>
      <c r="N2056" s="180"/>
      <c r="O2056" s="180"/>
      <c r="P2056" s="180"/>
      <c r="Q2056" s="180"/>
      <c r="R2056" s="180"/>
      <c r="S2056" s="180"/>
      <c r="T2056" s="43">
        <f t="shared" si="45"/>
        <v>4</v>
      </c>
      <c r="U2056" s="167">
        <f t="shared" si="46"/>
        <v>45751</v>
      </c>
      <c r="V2056" s="145"/>
      <c r="W2056" s="43">
        <f t="shared" si="47"/>
        <v>4</v>
      </c>
      <c r="X2056" s="49"/>
      <c r="Y2056" s="49"/>
      <c r="Z2056" s="183"/>
      <c r="AA2056" s="183"/>
      <c r="AB2056" s="183"/>
    </row>
    <row r="2057" spans="1:28">
      <c r="A2057" s="163" t="s">
        <v>1017</v>
      </c>
      <c r="B2057" s="164">
        <v>45751</v>
      </c>
      <c r="C2057" s="163" t="s">
        <v>549</v>
      </c>
      <c r="D2057" s="163" t="s">
        <v>281</v>
      </c>
      <c r="E2057" s="163" t="s">
        <v>18</v>
      </c>
      <c r="F2057" s="169">
        <v>-2486.8000000000002</v>
      </c>
      <c r="G2057" s="165">
        <f t="shared" si="48"/>
        <v>60208.440999999963</v>
      </c>
      <c r="H2057" s="180"/>
      <c r="I2057" s="180"/>
      <c r="J2057" s="180"/>
      <c r="K2057" s="180"/>
      <c r="L2057" s="180"/>
      <c r="M2057" s="180"/>
      <c r="N2057" s="180"/>
      <c r="O2057" s="180"/>
      <c r="P2057" s="180"/>
      <c r="Q2057" s="180"/>
      <c r="R2057" s="180"/>
      <c r="S2057" s="180"/>
      <c r="T2057" s="43">
        <f t="shared" si="45"/>
        <v>4</v>
      </c>
      <c r="U2057" s="167">
        <f t="shared" si="46"/>
        <v>45751</v>
      </c>
      <c r="V2057" s="145"/>
      <c r="W2057" s="43">
        <f t="shared" si="47"/>
        <v>4</v>
      </c>
      <c r="X2057" s="49"/>
      <c r="Y2057" s="49"/>
      <c r="Z2057" s="183"/>
      <c r="AA2057" s="183"/>
      <c r="AB2057" s="183"/>
    </row>
    <row r="2058" spans="1:28">
      <c r="A2058" s="279" t="s">
        <v>1017</v>
      </c>
      <c r="B2058" s="280">
        <v>45751</v>
      </c>
      <c r="C2058" s="279" t="s">
        <v>1773</v>
      </c>
      <c r="D2058" s="279" t="s">
        <v>281</v>
      </c>
      <c r="E2058" s="279" t="s">
        <v>18</v>
      </c>
      <c r="F2058" s="259">
        <v>-812.8</v>
      </c>
      <c r="G2058" s="165">
        <f t="shared" si="48"/>
        <v>59395.64099999996</v>
      </c>
      <c r="H2058" s="279"/>
      <c r="I2058" s="279"/>
      <c r="J2058" s="279"/>
      <c r="K2058" s="279"/>
      <c r="L2058" s="279"/>
      <c r="M2058" s="279"/>
      <c r="N2058" s="279"/>
      <c r="O2058" s="279"/>
      <c r="P2058" s="279"/>
      <c r="Q2058" s="279"/>
      <c r="R2058" s="279"/>
      <c r="S2058" s="279"/>
      <c r="T2058" s="281">
        <f t="shared" si="45"/>
        <v>4</v>
      </c>
      <c r="U2058" s="282">
        <f t="shared" si="46"/>
        <v>45751</v>
      </c>
      <c r="V2058" s="145"/>
      <c r="W2058" s="43">
        <f t="shared" si="47"/>
        <v>4</v>
      </c>
      <c r="X2058" s="281"/>
      <c r="Y2058" s="281"/>
      <c r="Z2058" s="281"/>
      <c r="AA2058" s="281"/>
      <c r="AB2058" s="281"/>
    </row>
    <row r="2059" spans="1:28">
      <c r="A2059" s="163" t="s">
        <v>1017</v>
      </c>
      <c r="B2059" s="164">
        <v>45751</v>
      </c>
      <c r="C2059" s="163" t="s">
        <v>1266</v>
      </c>
      <c r="D2059" s="163" t="s">
        <v>281</v>
      </c>
      <c r="E2059" s="163" t="s">
        <v>18</v>
      </c>
      <c r="F2059" s="169">
        <v>-2024.77</v>
      </c>
      <c r="G2059" s="165">
        <f t="shared" si="48"/>
        <v>57370.870999999963</v>
      </c>
      <c r="H2059" s="180"/>
      <c r="I2059" s="180"/>
      <c r="J2059" s="180"/>
      <c r="K2059" s="180"/>
      <c r="L2059" s="180"/>
      <c r="M2059" s="180"/>
      <c r="N2059" s="180"/>
      <c r="O2059" s="180"/>
      <c r="P2059" s="180"/>
      <c r="Q2059" s="180"/>
      <c r="R2059" s="180"/>
      <c r="S2059" s="180"/>
      <c r="T2059" s="43">
        <f t="shared" si="45"/>
        <v>4</v>
      </c>
      <c r="U2059" s="167">
        <f t="shared" si="46"/>
        <v>45751</v>
      </c>
      <c r="V2059" s="145"/>
      <c r="W2059" s="43">
        <f t="shared" si="47"/>
        <v>4</v>
      </c>
      <c r="X2059" s="49"/>
      <c r="Y2059" s="49"/>
      <c r="Z2059" s="183"/>
      <c r="AA2059" s="183"/>
      <c r="AB2059" s="183"/>
    </row>
    <row r="2060" spans="1:28">
      <c r="A2060" s="163" t="s">
        <v>1017</v>
      </c>
      <c r="B2060" s="164">
        <v>45751</v>
      </c>
      <c r="C2060" s="163" t="s">
        <v>1774</v>
      </c>
      <c r="D2060" s="163" t="s">
        <v>281</v>
      </c>
      <c r="E2060" s="163" t="s">
        <v>18</v>
      </c>
      <c r="F2060" s="169">
        <v>-3837.77</v>
      </c>
      <c r="G2060" s="165">
        <f t="shared" si="48"/>
        <v>53533.100999999966</v>
      </c>
      <c r="H2060" s="180"/>
      <c r="I2060" s="180"/>
      <c r="J2060" s="180"/>
      <c r="K2060" s="180"/>
      <c r="L2060" s="180"/>
      <c r="M2060" s="180"/>
      <c r="N2060" s="180"/>
      <c r="O2060" s="180"/>
      <c r="P2060" s="180"/>
      <c r="Q2060" s="180"/>
      <c r="R2060" s="180"/>
      <c r="S2060" s="180"/>
      <c r="T2060" s="43">
        <f t="shared" si="45"/>
        <v>4</v>
      </c>
      <c r="U2060" s="167">
        <f t="shared" si="46"/>
        <v>45751</v>
      </c>
      <c r="V2060" s="145"/>
      <c r="W2060" s="43">
        <f t="shared" si="47"/>
        <v>4</v>
      </c>
      <c r="X2060" s="49"/>
      <c r="Y2060" s="49"/>
      <c r="Z2060" s="183"/>
      <c r="AA2060" s="183"/>
      <c r="AB2060" s="183"/>
    </row>
    <row r="2061" spans="1:28">
      <c r="A2061" s="163" t="s">
        <v>1017</v>
      </c>
      <c r="B2061" s="164">
        <v>45751</v>
      </c>
      <c r="C2061" s="163" t="s">
        <v>108</v>
      </c>
      <c r="D2061" s="163" t="s">
        <v>281</v>
      </c>
      <c r="E2061" s="163" t="s">
        <v>18</v>
      </c>
      <c r="F2061" s="169">
        <v>-2702.83</v>
      </c>
      <c r="G2061" s="165">
        <f t="shared" si="48"/>
        <v>50830.270999999964</v>
      </c>
      <c r="H2061" s="180"/>
      <c r="I2061" s="180"/>
      <c r="J2061" s="180"/>
      <c r="K2061" s="180"/>
      <c r="L2061" s="180"/>
      <c r="M2061" s="180"/>
      <c r="N2061" s="180"/>
      <c r="O2061" s="180"/>
      <c r="P2061" s="180"/>
      <c r="Q2061" s="180"/>
      <c r="R2061" s="180"/>
      <c r="S2061" s="180"/>
      <c r="T2061" s="43">
        <f t="shared" si="45"/>
        <v>4</v>
      </c>
      <c r="U2061" s="167">
        <f t="shared" si="46"/>
        <v>45751</v>
      </c>
      <c r="V2061" s="145"/>
      <c r="W2061" s="43">
        <f t="shared" si="47"/>
        <v>4</v>
      </c>
      <c r="X2061" s="49"/>
      <c r="Y2061" s="49"/>
      <c r="Z2061" s="183"/>
      <c r="AA2061" s="183"/>
      <c r="AB2061" s="183"/>
    </row>
    <row r="2062" spans="1:28">
      <c r="A2062" s="163" t="s">
        <v>1017</v>
      </c>
      <c r="B2062" s="164">
        <v>45751</v>
      </c>
      <c r="C2062" s="163" t="s">
        <v>1775</v>
      </c>
      <c r="D2062" s="163" t="s">
        <v>281</v>
      </c>
      <c r="E2062" s="163" t="s">
        <v>18</v>
      </c>
      <c r="F2062" s="169">
        <v>-3492.76</v>
      </c>
      <c r="G2062" s="165">
        <f t="shared" si="48"/>
        <v>47337.510999999962</v>
      </c>
      <c r="H2062" s="180"/>
      <c r="I2062" s="180"/>
      <c r="J2062" s="180"/>
      <c r="K2062" s="180"/>
      <c r="L2062" s="180"/>
      <c r="M2062" s="180"/>
      <c r="N2062" s="180"/>
      <c r="O2062" s="180"/>
      <c r="P2062" s="180"/>
      <c r="Q2062" s="180"/>
      <c r="R2062" s="180"/>
      <c r="S2062" s="180"/>
      <c r="T2062" s="43">
        <f t="shared" si="45"/>
        <v>4</v>
      </c>
      <c r="U2062" s="167">
        <f t="shared" si="46"/>
        <v>45751</v>
      </c>
      <c r="V2062" s="145"/>
      <c r="W2062" s="43">
        <f t="shared" si="47"/>
        <v>4</v>
      </c>
      <c r="X2062" s="49"/>
      <c r="Y2062" s="49"/>
      <c r="Z2062" s="183"/>
      <c r="AA2062" s="183"/>
      <c r="AB2062" s="183"/>
    </row>
    <row r="2063" spans="1:28">
      <c r="A2063" s="163" t="s">
        <v>1017</v>
      </c>
      <c r="B2063" s="164">
        <v>45751</v>
      </c>
      <c r="C2063" s="163" t="s">
        <v>1776</v>
      </c>
      <c r="D2063" s="163" t="s">
        <v>281</v>
      </c>
      <c r="E2063" s="163" t="s">
        <v>18</v>
      </c>
      <c r="F2063" s="169">
        <v>-2733.4</v>
      </c>
      <c r="G2063" s="165">
        <f t="shared" si="48"/>
        <v>44604.110999999961</v>
      </c>
      <c r="H2063" s="180"/>
      <c r="I2063" s="180"/>
      <c r="J2063" s="180"/>
      <c r="K2063" s="180"/>
      <c r="L2063" s="180"/>
      <c r="M2063" s="180"/>
      <c r="N2063" s="180"/>
      <c r="O2063" s="180"/>
      <c r="P2063" s="180"/>
      <c r="Q2063" s="180"/>
      <c r="R2063" s="180"/>
      <c r="S2063" s="180"/>
      <c r="T2063" s="43">
        <f t="shared" si="45"/>
        <v>4</v>
      </c>
      <c r="U2063" s="167">
        <f t="shared" si="46"/>
        <v>45751</v>
      </c>
      <c r="V2063" s="145"/>
      <c r="W2063" s="43">
        <f t="shared" si="47"/>
        <v>4</v>
      </c>
      <c r="X2063" s="49"/>
      <c r="Y2063" s="49"/>
      <c r="Z2063" s="183"/>
      <c r="AA2063" s="183"/>
      <c r="AB2063" s="183"/>
    </row>
    <row r="2064" spans="1:28" hidden="1">
      <c r="A2064" s="163" t="s">
        <v>1017</v>
      </c>
      <c r="B2064" s="164">
        <v>45751</v>
      </c>
      <c r="C2064" s="163" t="s">
        <v>447</v>
      </c>
      <c r="D2064" s="163" t="s">
        <v>281</v>
      </c>
      <c r="E2064" s="163" t="s">
        <v>1314</v>
      </c>
      <c r="F2064" s="168">
        <v>-2243.17</v>
      </c>
      <c r="G2064" s="165">
        <f t="shared" si="48"/>
        <v>42360.940999999963</v>
      </c>
      <c r="H2064" s="180"/>
      <c r="I2064" s="180"/>
      <c r="J2064" s="180"/>
      <c r="K2064" s="180"/>
      <c r="L2064" s="180"/>
      <c r="M2064" s="180"/>
      <c r="N2064" s="180"/>
      <c r="O2064" s="180"/>
      <c r="P2064" s="180"/>
      <c r="Q2064" s="180"/>
      <c r="R2064" s="180"/>
      <c r="S2064" s="180"/>
      <c r="T2064" s="43">
        <f t="shared" si="45"/>
        <v>4</v>
      </c>
      <c r="U2064" s="167">
        <f t="shared" si="46"/>
        <v>45751</v>
      </c>
      <c r="V2064" s="145"/>
      <c r="W2064" s="43">
        <f t="shared" si="47"/>
        <v>4</v>
      </c>
      <c r="X2064" s="49"/>
      <c r="Y2064" s="49"/>
      <c r="Z2064" s="183"/>
      <c r="AA2064" s="183"/>
      <c r="AB2064" s="183"/>
    </row>
    <row r="2065" spans="1:28">
      <c r="A2065" s="163" t="s">
        <v>1017</v>
      </c>
      <c r="B2065" s="164">
        <v>45754</v>
      </c>
      <c r="C2065" s="163" t="s">
        <v>1777</v>
      </c>
      <c r="D2065" s="163" t="s">
        <v>281</v>
      </c>
      <c r="E2065" s="163" t="s">
        <v>18</v>
      </c>
      <c r="F2065" s="169">
        <v>-3492.76</v>
      </c>
      <c r="G2065" s="165">
        <f t="shared" si="48"/>
        <v>38868.18099999996</v>
      </c>
      <c r="H2065" s="180"/>
      <c r="I2065" s="180"/>
      <c r="J2065" s="180"/>
      <c r="K2065" s="180"/>
      <c r="L2065" s="180"/>
      <c r="M2065" s="180"/>
      <c r="N2065" s="180"/>
      <c r="O2065" s="180"/>
      <c r="P2065" s="180"/>
      <c r="Q2065" s="180"/>
      <c r="R2065" s="180"/>
      <c r="S2065" s="180"/>
      <c r="T2065" s="43">
        <f t="shared" si="45"/>
        <v>4</v>
      </c>
      <c r="U2065" s="167">
        <f t="shared" si="46"/>
        <v>45751</v>
      </c>
      <c r="V2065" s="145">
        <v>45751</v>
      </c>
      <c r="W2065" s="43">
        <f t="shared" si="47"/>
        <v>4</v>
      </c>
      <c r="X2065" s="49"/>
      <c r="Y2065" s="49"/>
      <c r="Z2065" s="183"/>
      <c r="AA2065" s="183"/>
      <c r="AB2065" s="183"/>
    </row>
    <row r="2066" spans="1:28">
      <c r="A2066" s="163" t="s">
        <v>1017</v>
      </c>
      <c r="B2066" s="164">
        <v>45754</v>
      </c>
      <c r="C2066" s="163" t="s">
        <v>1778</v>
      </c>
      <c r="D2066" s="163" t="s">
        <v>281</v>
      </c>
      <c r="E2066" s="163" t="s">
        <v>18</v>
      </c>
      <c r="F2066" s="169">
        <v>-3127.76</v>
      </c>
      <c r="G2066" s="165">
        <f t="shared" si="48"/>
        <v>35740.420999999958</v>
      </c>
      <c r="H2066" s="180"/>
      <c r="I2066" s="180"/>
      <c r="J2066" s="180"/>
      <c r="K2066" s="180"/>
      <c r="L2066" s="180"/>
      <c r="M2066" s="180"/>
      <c r="N2066" s="180"/>
      <c r="O2066" s="180"/>
      <c r="P2066" s="180"/>
      <c r="Q2066" s="180"/>
      <c r="R2066" s="180"/>
      <c r="S2066" s="180"/>
      <c r="T2066" s="43">
        <f t="shared" si="45"/>
        <v>4</v>
      </c>
      <c r="U2066" s="167">
        <f t="shared" si="46"/>
        <v>45751</v>
      </c>
      <c r="V2066" s="145">
        <v>45751</v>
      </c>
      <c r="W2066" s="43">
        <f t="shared" si="47"/>
        <v>4</v>
      </c>
      <c r="X2066" s="49"/>
      <c r="Y2066" s="49"/>
      <c r="Z2066" s="183"/>
      <c r="AA2066" s="183"/>
      <c r="AB2066" s="183"/>
    </row>
    <row r="2067" spans="1:28">
      <c r="A2067" s="163" t="s">
        <v>1017</v>
      </c>
      <c r="B2067" s="164">
        <v>45754</v>
      </c>
      <c r="C2067" s="163" t="s">
        <v>1779</v>
      </c>
      <c r="D2067" s="163" t="s">
        <v>281</v>
      </c>
      <c r="E2067" s="163" t="s">
        <v>18</v>
      </c>
      <c r="F2067" s="169">
        <v>-3127.76</v>
      </c>
      <c r="G2067" s="165">
        <f t="shared" si="48"/>
        <v>32612.660999999956</v>
      </c>
      <c r="H2067" s="180"/>
      <c r="I2067" s="180"/>
      <c r="J2067" s="180"/>
      <c r="K2067" s="180"/>
      <c r="L2067" s="180"/>
      <c r="M2067" s="180"/>
      <c r="N2067" s="180"/>
      <c r="O2067" s="180"/>
      <c r="P2067" s="180"/>
      <c r="Q2067" s="180"/>
      <c r="R2067" s="180"/>
      <c r="S2067" s="180"/>
      <c r="T2067" s="43">
        <f t="shared" si="45"/>
        <v>4</v>
      </c>
      <c r="U2067" s="167">
        <f t="shared" si="46"/>
        <v>45751</v>
      </c>
      <c r="V2067" s="145">
        <v>45751</v>
      </c>
      <c r="W2067" s="43">
        <f t="shared" si="47"/>
        <v>4</v>
      </c>
      <c r="X2067" s="49"/>
      <c r="Y2067" s="49"/>
      <c r="Z2067" s="183"/>
      <c r="AA2067" s="183"/>
      <c r="AB2067" s="183"/>
    </row>
    <row r="2068" spans="1:28">
      <c r="A2068" s="163" t="s">
        <v>1017</v>
      </c>
      <c r="B2068" s="164">
        <v>45754</v>
      </c>
      <c r="C2068" s="163" t="s">
        <v>1780</v>
      </c>
      <c r="D2068" s="163" t="s">
        <v>281</v>
      </c>
      <c r="E2068" s="163" t="s">
        <v>18</v>
      </c>
      <c r="F2068" s="169">
        <v>-2297.77</v>
      </c>
      <c r="G2068" s="165">
        <f t="shared" si="48"/>
        <v>30314.890999999956</v>
      </c>
      <c r="H2068" s="180"/>
      <c r="I2068" s="180"/>
      <c r="J2068" s="180"/>
      <c r="K2068" s="180"/>
      <c r="L2068" s="180"/>
      <c r="M2068" s="180"/>
      <c r="N2068" s="180"/>
      <c r="O2068" s="180"/>
      <c r="P2068" s="180"/>
      <c r="Q2068" s="180"/>
      <c r="R2068" s="180"/>
      <c r="S2068" s="180"/>
      <c r="T2068" s="43">
        <f t="shared" si="45"/>
        <v>4</v>
      </c>
      <c r="U2068" s="167">
        <f t="shared" si="46"/>
        <v>45751</v>
      </c>
      <c r="V2068" s="145">
        <v>45751</v>
      </c>
      <c r="W2068" s="43">
        <f t="shared" si="47"/>
        <v>4</v>
      </c>
      <c r="X2068" s="49"/>
      <c r="Y2068" s="49"/>
      <c r="Z2068" s="183"/>
      <c r="AA2068" s="183"/>
      <c r="AB2068" s="183"/>
    </row>
    <row r="2069" spans="1:28">
      <c r="A2069" s="163" t="s">
        <v>1017</v>
      </c>
      <c r="B2069" s="164">
        <v>45754</v>
      </c>
      <c r="C2069" s="163" t="s">
        <v>1781</v>
      </c>
      <c r="D2069" s="163" t="s">
        <v>281</v>
      </c>
      <c r="E2069" s="163" t="s">
        <v>18</v>
      </c>
      <c r="F2069" s="169">
        <v>-3127.76</v>
      </c>
      <c r="G2069" s="165">
        <f t="shared" si="48"/>
        <v>27187.130999999958</v>
      </c>
      <c r="H2069" s="180"/>
      <c r="I2069" s="180"/>
      <c r="J2069" s="180"/>
      <c r="K2069" s="180"/>
      <c r="L2069" s="180"/>
      <c r="M2069" s="180"/>
      <c r="N2069" s="180"/>
      <c r="O2069" s="180"/>
      <c r="P2069" s="180"/>
      <c r="Q2069" s="180"/>
      <c r="R2069" s="180"/>
      <c r="S2069" s="180"/>
      <c r="T2069" s="43">
        <f t="shared" si="45"/>
        <v>4</v>
      </c>
      <c r="U2069" s="167">
        <f t="shared" si="46"/>
        <v>45751</v>
      </c>
      <c r="V2069" s="145">
        <v>45751</v>
      </c>
      <c r="W2069" s="43">
        <f t="shared" si="47"/>
        <v>4</v>
      </c>
      <c r="X2069" s="49"/>
      <c r="Y2069" s="49"/>
      <c r="Z2069" s="183"/>
      <c r="AA2069" s="183"/>
      <c r="AB2069" s="183"/>
    </row>
    <row r="2070" spans="1:28">
      <c r="A2070" s="163" t="s">
        <v>1017</v>
      </c>
      <c r="B2070" s="164">
        <v>45754</v>
      </c>
      <c r="C2070" s="163" t="s">
        <v>1782</v>
      </c>
      <c r="D2070" s="163" t="s">
        <v>281</v>
      </c>
      <c r="E2070" s="163" t="s">
        <v>18</v>
      </c>
      <c r="F2070" s="169">
        <v>-2054.85</v>
      </c>
      <c r="G2070" s="165">
        <f t="shared" si="48"/>
        <v>25132.280999999959</v>
      </c>
      <c r="H2070" s="180"/>
      <c r="I2070" s="180"/>
      <c r="J2070" s="180"/>
      <c r="K2070" s="180"/>
      <c r="L2070" s="180"/>
      <c r="M2070" s="180"/>
      <c r="N2070" s="180"/>
      <c r="O2070" s="180"/>
      <c r="P2070" s="180"/>
      <c r="Q2070" s="180"/>
      <c r="R2070" s="180"/>
      <c r="S2070" s="180"/>
      <c r="T2070" s="43">
        <f t="shared" si="45"/>
        <v>4</v>
      </c>
      <c r="U2070" s="167">
        <f t="shared" si="46"/>
        <v>45751</v>
      </c>
      <c r="V2070" s="145">
        <v>45751</v>
      </c>
      <c r="W2070" s="43">
        <f t="shared" si="47"/>
        <v>4</v>
      </c>
      <c r="X2070" s="49"/>
      <c r="Y2070" s="49"/>
      <c r="Z2070" s="183"/>
      <c r="AA2070" s="183"/>
      <c r="AB2070" s="183"/>
    </row>
    <row r="2071" spans="1:28">
      <c r="A2071" s="163" t="s">
        <v>1017</v>
      </c>
      <c r="B2071" s="164">
        <v>45754</v>
      </c>
      <c r="C2071" s="163" t="s">
        <v>1704</v>
      </c>
      <c r="D2071" s="163" t="s">
        <v>281</v>
      </c>
      <c r="E2071" s="163" t="s">
        <v>18</v>
      </c>
      <c r="F2071" s="169">
        <v>-1861.02</v>
      </c>
      <c r="G2071" s="165">
        <f t="shared" si="48"/>
        <v>23271.260999999959</v>
      </c>
      <c r="H2071" s="180"/>
      <c r="I2071" s="180"/>
      <c r="J2071" s="180"/>
      <c r="K2071" s="180"/>
      <c r="L2071" s="180"/>
      <c r="M2071" s="180"/>
      <c r="N2071" s="180"/>
      <c r="O2071" s="180"/>
      <c r="P2071" s="180"/>
      <c r="Q2071" s="180"/>
      <c r="R2071" s="180"/>
      <c r="S2071" s="180"/>
      <c r="T2071" s="43">
        <f t="shared" si="45"/>
        <v>4</v>
      </c>
      <c r="U2071" s="167">
        <f t="shared" si="46"/>
        <v>45751</v>
      </c>
      <c r="V2071" s="145">
        <v>45751</v>
      </c>
      <c r="W2071" s="43">
        <f t="shared" si="47"/>
        <v>4</v>
      </c>
      <c r="X2071" s="49"/>
      <c r="Y2071" s="49"/>
      <c r="Z2071" s="183"/>
      <c r="AA2071" s="183"/>
      <c r="AB2071" s="183"/>
    </row>
    <row r="2072" spans="1:28">
      <c r="A2072" s="163" t="s">
        <v>1017</v>
      </c>
      <c r="B2072" s="164">
        <v>45754</v>
      </c>
      <c r="C2072" s="163" t="s">
        <v>91</v>
      </c>
      <c r="D2072" s="163" t="s">
        <v>281</v>
      </c>
      <c r="E2072" s="163" t="s">
        <v>18</v>
      </c>
      <c r="F2072" s="169">
        <v>-3127.76</v>
      </c>
      <c r="G2072" s="165">
        <f t="shared" si="48"/>
        <v>20143.50099999996</v>
      </c>
      <c r="H2072" s="180"/>
      <c r="I2072" s="180"/>
      <c r="J2072" s="180"/>
      <c r="K2072" s="180"/>
      <c r="L2072" s="180"/>
      <c r="M2072" s="180"/>
      <c r="N2072" s="180"/>
      <c r="O2072" s="180"/>
      <c r="P2072" s="180"/>
      <c r="Q2072" s="180"/>
      <c r="R2072" s="180"/>
      <c r="S2072" s="180"/>
      <c r="T2072" s="43">
        <f t="shared" si="45"/>
        <v>4</v>
      </c>
      <c r="U2072" s="167">
        <f t="shared" si="46"/>
        <v>45751</v>
      </c>
      <c r="V2072" s="145">
        <v>45751</v>
      </c>
      <c r="W2072" s="43">
        <f t="shared" si="47"/>
        <v>4</v>
      </c>
      <c r="X2072" s="49"/>
      <c r="Y2072" s="49"/>
      <c r="Z2072" s="183"/>
      <c r="AA2072" s="183"/>
      <c r="AB2072" s="183"/>
    </row>
    <row r="2073" spans="1:28">
      <c r="A2073" s="163" t="s">
        <v>1017</v>
      </c>
      <c r="B2073" s="164">
        <v>45754</v>
      </c>
      <c r="C2073" s="163" t="s">
        <v>1783</v>
      </c>
      <c r="D2073" s="163" t="s">
        <v>281</v>
      </c>
      <c r="E2073" s="163" t="s">
        <v>18</v>
      </c>
      <c r="F2073" s="169">
        <v>-2428.81</v>
      </c>
      <c r="G2073" s="165">
        <f t="shared" si="48"/>
        <v>17714.690999999959</v>
      </c>
      <c r="H2073" s="180"/>
      <c r="I2073" s="180"/>
      <c r="J2073" s="180"/>
      <c r="K2073" s="180"/>
      <c r="L2073" s="180"/>
      <c r="M2073" s="180"/>
      <c r="N2073" s="180"/>
      <c r="O2073" s="180"/>
      <c r="P2073" s="180"/>
      <c r="Q2073" s="180"/>
      <c r="R2073" s="180"/>
      <c r="S2073" s="180"/>
      <c r="T2073" s="43">
        <f t="shared" si="45"/>
        <v>4</v>
      </c>
      <c r="U2073" s="167">
        <f t="shared" si="46"/>
        <v>45751</v>
      </c>
      <c r="V2073" s="145">
        <v>45751</v>
      </c>
      <c r="W2073" s="43">
        <f t="shared" si="47"/>
        <v>4</v>
      </c>
      <c r="X2073" s="49"/>
      <c r="Y2073" s="49"/>
      <c r="Z2073" s="183"/>
      <c r="AA2073" s="183"/>
      <c r="AB2073" s="183"/>
    </row>
    <row r="2074" spans="1:28">
      <c r="A2074" s="163" t="s">
        <v>1017</v>
      </c>
      <c r="B2074" s="164">
        <v>45754</v>
      </c>
      <c r="C2074" s="163" t="s">
        <v>1784</v>
      </c>
      <c r="D2074" s="163" t="s">
        <v>281</v>
      </c>
      <c r="E2074" s="163" t="s">
        <v>18</v>
      </c>
      <c r="F2074" s="169">
        <v>-3837.77</v>
      </c>
      <c r="G2074" s="165">
        <f t="shared" si="48"/>
        <v>13876.920999999958</v>
      </c>
      <c r="H2074" s="180"/>
      <c r="I2074" s="180"/>
      <c r="J2074" s="180"/>
      <c r="K2074" s="180"/>
      <c r="L2074" s="180"/>
      <c r="M2074" s="180"/>
      <c r="N2074" s="180"/>
      <c r="O2074" s="180"/>
      <c r="P2074" s="180"/>
      <c r="Q2074" s="180"/>
      <c r="R2074" s="180"/>
      <c r="S2074" s="180"/>
      <c r="T2074" s="43">
        <f t="shared" si="45"/>
        <v>4</v>
      </c>
      <c r="U2074" s="167">
        <f t="shared" si="46"/>
        <v>45751</v>
      </c>
      <c r="V2074" s="145">
        <v>45751</v>
      </c>
      <c r="W2074" s="43">
        <f t="shared" si="47"/>
        <v>4</v>
      </c>
      <c r="X2074" s="49"/>
      <c r="Y2074" s="49"/>
      <c r="Z2074" s="183"/>
      <c r="AA2074" s="183"/>
      <c r="AB2074" s="183"/>
    </row>
    <row r="2075" spans="1:28" hidden="1">
      <c r="A2075" s="163" t="s">
        <v>1017</v>
      </c>
      <c r="B2075" s="164">
        <v>45747</v>
      </c>
      <c r="C2075" s="163" t="s">
        <v>1568</v>
      </c>
      <c r="D2075" s="163" t="s">
        <v>281</v>
      </c>
      <c r="E2075" s="163" t="s">
        <v>1569</v>
      </c>
      <c r="F2075" s="185">
        <f>-1866.54-515.5</f>
        <v>-2382.04</v>
      </c>
      <c r="G2075" s="165">
        <f t="shared" si="48"/>
        <v>11494.880999999958</v>
      </c>
      <c r="H2075" s="163"/>
      <c r="I2075" s="163" t="s">
        <v>342</v>
      </c>
      <c r="J2075" s="163"/>
      <c r="K2075" s="163"/>
      <c r="L2075" s="163" t="s">
        <v>1571</v>
      </c>
      <c r="M2075" s="163"/>
      <c r="N2075" s="163" t="s">
        <v>978</v>
      </c>
      <c r="O2075" s="163"/>
      <c r="P2075" s="163"/>
      <c r="Q2075" s="163"/>
      <c r="R2075" s="163" t="s">
        <v>999</v>
      </c>
      <c r="S2075" s="163" t="s">
        <v>1000</v>
      </c>
      <c r="T2075" s="43">
        <f t="shared" si="45"/>
        <v>3</v>
      </c>
      <c r="U2075" s="167">
        <f t="shared" si="46"/>
        <v>45751</v>
      </c>
      <c r="V2075" s="166">
        <v>45751</v>
      </c>
      <c r="W2075" s="43">
        <f t="shared" si="47"/>
        <v>4</v>
      </c>
      <c r="X2075" s="49" t="s">
        <v>1480</v>
      </c>
      <c r="Y2075" s="49" t="s">
        <v>1488</v>
      </c>
    </row>
    <row r="2076" spans="1:28" hidden="1">
      <c r="A2076" s="163" t="s">
        <v>1017</v>
      </c>
      <c r="B2076" s="164">
        <v>45716</v>
      </c>
      <c r="C2076" s="163" t="s">
        <v>131</v>
      </c>
      <c r="D2076" s="163" t="s">
        <v>281</v>
      </c>
      <c r="E2076" s="163" t="s">
        <v>199</v>
      </c>
      <c r="F2076" s="165">
        <v>-5110</v>
      </c>
      <c r="G2076" s="165">
        <f t="shared" si="48"/>
        <v>6384.8809999999576</v>
      </c>
      <c r="H2076" s="163"/>
      <c r="I2076" s="163" t="s">
        <v>977</v>
      </c>
      <c r="J2076" s="163"/>
      <c r="K2076" s="163"/>
      <c r="L2076" s="163" t="s">
        <v>1424</v>
      </c>
      <c r="M2076" s="163"/>
      <c r="N2076" s="163" t="s">
        <v>978</v>
      </c>
      <c r="O2076" s="163"/>
      <c r="P2076" s="163"/>
      <c r="Q2076" s="163"/>
      <c r="R2076" s="163" t="s">
        <v>131</v>
      </c>
      <c r="S2076" s="163"/>
      <c r="T2076" s="43">
        <f t="shared" si="45"/>
        <v>2</v>
      </c>
      <c r="U2076" s="167">
        <f t="shared" si="46"/>
        <v>45751</v>
      </c>
      <c r="V2076" s="166">
        <v>45751</v>
      </c>
      <c r="W2076" s="43">
        <f t="shared" si="47"/>
        <v>4</v>
      </c>
      <c r="X2076" s="49" t="s">
        <v>1480</v>
      </c>
      <c r="Y2076" s="49" t="s">
        <v>105</v>
      </c>
    </row>
    <row r="2077" spans="1:28" hidden="1">
      <c r="A2077" s="163" t="s">
        <v>1017</v>
      </c>
      <c r="B2077" s="164">
        <v>45740</v>
      </c>
      <c r="C2077" s="163" t="s">
        <v>1606</v>
      </c>
      <c r="D2077" s="163" t="s">
        <v>281</v>
      </c>
      <c r="E2077" s="163" t="s">
        <v>199</v>
      </c>
      <c r="F2077" s="165">
        <f>-2625.85+214.2</f>
        <v>-2411.65</v>
      </c>
      <c r="G2077" s="165">
        <f t="shared" si="48"/>
        <v>3973.2309999999575</v>
      </c>
      <c r="H2077" s="163"/>
      <c r="I2077" s="163" t="s">
        <v>977</v>
      </c>
      <c r="J2077" s="163"/>
      <c r="K2077" s="163"/>
      <c r="L2077" s="163" t="s">
        <v>766</v>
      </c>
      <c r="M2077" s="163"/>
      <c r="N2077" s="163" t="s">
        <v>978</v>
      </c>
      <c r="O2077" s="163"/>
      <c r="P2077" s="163"/>
      <c r="Q2077" s="163"/>
      <c r="R2077" s="163" t="s">
        <v>1606</v>
      </c>
      <c r="S2077" s="163"/>
      <c r="T2077" s="43">
        <f t="shared" si="45"/>
        <v>3</v>
      </c>
      <c r="U2077" s="167">
        <f t="shared" si="46"/>
        <v>45751</v>
      </c>
      <c r="V2077" s="166">
        <v>45751</v>
      </c>
      <c r="W2077" s="43">
        <f t="shared" si="47"/>
        <v>4</v>
      </c>
      <c r="X2077" s="49" t="s">
        <v>1480</v>
      </c>
      <c r="Y2077" s="49" t="s">
        <v>86</v>
      </c>
    </row>
    <row r="2078" spans="1:28" hidden="1">
      <c r="A2078" s="163" t="s">
        <v>1017</v>
      </c>
      <c r="B2078" s="164">
        <v>45744</v>
      </c>
      <c r="C2078" s="163" t="s">
        <v>133</v>
      </c>
      <c r="D2078" s="163" t="s">
        <v>281</v>
      </c>
      <c r="E2078" s="163" t="s">
        <v>199</v>
      </c>
      <c r="F2078" s="165">
        <v>-870</v>
      </c>
      <c r="G2078" s="165">
        <f t="shared" si="48"/>
        <v>3103.2309999999575</v>
      </c>
      <c r="H2078" s="163"/>
      <c r="I2078" s="163" t="s">
        <v>977</v>
      </c>
      <c r="J2078" s="163"/>
      <c r="K2078" s="163"/>
      <c r="L2078" s="163" t="s">
        <v>1571</v>
      </c>
      <c r="M2078" s="163"/>
      <c r="N2078" s="163" t="s">
        <v>978</v>
      </c>
      <c r="O2078" s="163"/>
      <c r="P2078" s="163"/>
      <c r="Q2078" s="163"/>
      <c r="R2078" s="163" t="s">
        <v>133</v>
      </c>
      <c r="S2078" s="163"/>
      <c r="T2078" s="43">
        <f t="shared" si="45"/>
        <v>3</v>
      </c>
      <c r="U2078" s="167">
        <f t="shared" si="46"/>
        <v>45754</v>
      </c>
      <c r="V2078" s="145">
        <v>45754</v>
      </c>
      <c r="W2078" s="43">
        <f t="shared" si="47"/>
        <v>4</v>
      </c>
      <c r="X2078" s="49" t="s">
        <v>1480</v>
      </c>
      <c r="Y2078" s="49" t="s">
        <v>94</v>
      </c>
    </row>
    <row r="2079" spans="1:28" hidden="1">
      <c r="A2079" s="163" t="s">
        <v>1017</v>
      </c>
      <c r="B2079" s="164">
        <v>45751</v>
      </c>
      <c r="C2079" s="163" t="s">
        <v>1010</v>
      </c>
      <c r="D2079" s="163" t="s">
        <v>281</v>
      </c>
      <c r="E2079" s="163" t="s">
        <v>199</v>
      </c>
      <c r="F2079" s="168">
        <v>-2608.35</v>
      </c>
      <c r="G2079" s="165">
        <f t="shared" si="48"/>
        <v>494.88099999995757</v>
      </c>
      <c r="H2079" s="180"/>
      <c r="I2079" s="180"/>
      <c r="J2079" s="180"/>
      <c r="K2079" s="180"/>
      <c r="L2079" s="180"/>
      <c r="M2079" s="180"/>
      <c r="N2079" s="180"/>
      <c r="O2079" s="180"/>
      <c r="P2079" s="180"/>
      <c r="Q2079" s="180"/>
      <c r="R2079" s="180"/>
      <c r="S2079" s="180"/>
      <c r="T2079" s="43">
        <f t="shared" si="45"/>
        <v>4</v>
      </c>
      <c r="U2079" s="167">
        <f t="shared" si="46"/>
        <v>45751</v>
      </c>
      <c r="V2079" s="145"/>
      <c r="W2079" s="43">
        <f t="shared" si="47"/>
        <v>4</v>
      </c>
      <c r="X2079" s="49"/>
      <c r="Y2079" s="49"/>
      <c r="Z2079" s="183"/>
      <c r="AA2079" s="183"/>
      <c r="AB2079" s="183"/>
    </row>
    <row r="2080" spans="1:28" hidden="1">
      <c r="A2080" s="163" t="s">
        <v>1017</v>
      </c>
      <c r="B2080" s="164">
        <v>45751</v>
      </c>
      <c r="C2080" s="190" t="s">
        <v>330</v>
      </c>
      <c r="D2080" s="190" t="s">
        <v>281</v>
      </c>
      <c r="E2080" s="190" t="s">
        <v>330</v>
      </c>
      <c r="F2080" s="185">
        <v>-24</v>
      </c>
      <c r="G2080" s="165">
        <f t="shared" si="48"/>
        <v>470.88099999995757</v>
      </c>
      <c r="H2080" s="190"/>
      <c r="I2080" s="190" t="s">
        <v>342</v>
      </c>
      <c r="J2080" s="190"/>
      <c r="K2080" s="190"/>
      <c r="L2080" s="190" t="s">
        <v>805</v>
      </c>
      <c r="M2080" s="190"/>
      <c r="N2080" s="190" t="s">
        <v>978</v>
      </c>
      <c r="O2080" s="190"/>
      <c r="P2080" s="190"/>
      <c r="Q2080" s="190"/>
      <c r="R2080" s="190" t="s">
        <v>1292</v>
      </c>
      <c r="S2080" s="190" t="s">
        <v>1417</v>
      </c>
      <c r="T2080" s="43">
        <f t="shared" si="45"/>
        <v>4</v>
      </c>
      <c r="U2080" s="167">
        <f t="shared" si="46"/>
        <v>45751</v>
      </c>
      <c r="V2080" s="145"/>
      <c r="W2080" s="43">
        <f t="shared" si="47"/>
        <v>4</v>
      </c>
      <c r="X2080" s="43" t="s">
        <v>1483</v>
      </c>
      <c r="Y2080" s="43" t="s">
        <v>1443</v>
      </c>
      <c r="Z2080" s="43"/>
      <c r="AA2080" s="43"/>
    </row>
    <row r="2081" spans="1:28" hidden="1">
      <c r="A2081" s="163" t="s">
        <v>1017</v>
      </c>
      <c r="B2081" s="164">
        <v>45748</v>
      </c>
      <c r="C2081" s="163" t="s">
        <v>351</v>
      </c>
      <c r="D2081" s="163" t="s">
        <v>281</v>
      </c>
      <c r="E2081" s="163" t="s">
        <v>359</v>
      </c>
      <c r="F2081" s="168"/>
      <c r="G2081" s="165">
        <f t="shared" si="48"/>
        <v>470.88099999995757</v>
      </c>
      <c r="H2081" s="180"/>
      <c r="I2081" s="180"/>
      <c r="J2081" s="180"/>
      <c r="K2081" s="180"/>
      <c r="L2081" s="180"/>
      <c r="M2081" s="180"/>
      <c r="N2081" s="180"/>
      <c r="O2081" s="180"/>
      <c r="P2081" s="180"/>
      <c r="Q2081" s="180"/>
      <c r="R2081" s="180"/>
      <c r="S2081" s="180"/>
      <c r="T2081" s="43">
        <f t="shared" si="45"/>
        <v>4</v>
      </c>
      <c r="U2081" s="167">
        <f t="shared" si="46"/>
        <v>45751</v>
      </c>
      <c r="V2081" s="166">
        <v>45751</v>
      </c>
      <c r="W2081" s="43">
        <f t="shared" si="47"/>
        <v>4</v>
      </c>
      <c r="X2081" s="49"/>
      <c r="Y2081" s="49"/>
      <c r="Z2081" s="183"/>
      <c r="AA2081" s="183"/>
      <c r="AB2081" s="183"/>
    </row>
    <row r="2082" spans="1:28" hidden="1">
      <c r="A2082" s="163"/>
      <c r="B2082" s="164">
        <v>45751</v>
      </c>
      <c r="C2082" s="163" t="s">
        <v>346</v>
      </c>
      <c r="D2082" s="163"/>
      <c r="E2082" s="163"/>
      <c r="F2082" s="165">
        <v>0</v>
      </c>
      <c r="G2082" s="165">
        <f t="shared" si="48"/>
        <v>470.88099999995757</v>
      </c>
      <c r="H2082" s="163"/>
      <c r="I2082" s="163"/>
      <c r="J2082" s="163"/>
      <c r="K2082" s="163"/>
      <c r="L2082" s="163"/>
      <c r="M2082" s="163"/>
      <c r="N2082" s="163"/>
      <c r="O2082" s="163"/>
      <c r="P2082" s="163"/>
      <c r="Q2082" s="163"/>
      <c r="R2082" s="163"/>
      <c r="S2082" s="163"/>
      <c r="T2082" s="43">
        <f t="shared" si="45"/>
        <v>4</v>
      </c>
      <c r="U2082" s="167">
        <f t="shared" si="46"/>
        <v>45751</v>
      </c>
      <c r="W2082" s="43">
        <f t="shared" si="47"/>
        <v>4</v>
      </c>
    </row>
    <row r="2083" spans="1:28" ht="14.25" hidden="1" customHeight="1">
      <c r="A2083" s="180" t="s">
        <v>1017</v>
      </c>
      <c r="B2083" s="181">
        <v>45754</v>
      </c>
      <c r="C2083" s="180" t="s">
        <v>1496</v>
      </c>
      <c r="D2083" s="180" t="s">
        <v>281</v>
      </c>
      <c r="E2083" s="180" t="s">
        <v>1785</v>
      </c>
      <c r="F2083" s="278"/>
      <c r="G2083" s="165">
        <f t="shared" si="48"/>
        <v>470.88099999995757</v>
      </c>
      <c r="H2083" s="180"/>
      <c r="I2083" s="180" t="s">
        <v>977</v>
      </c>
      <c r="J2083" s="180"/>
      <c r="K2083" s="180"/>
      <c r="L2083" s="180" t="s">
        <v>366</v>
      </c>
      <c r="M2083" s="180"/>
      <c r="N2083" s="180" t="s">
        <v>978</v>
      </c>
      <c r="O2083" s="180"/>
      <c r="P2083" s="180"/>
      <c r="Q2083" s="180"/>
      <c r="R2083" s="180" t="s">
        <v>990</v>
      </c>
      <c r="S2083" s="180" t="s">
        <v>991</v>
      </c>
      <c r="T2083" s="183">
        <f t="shared" si="45"/>
        <v>4</v>
      </c>
      <c r="U2083" s="184">
        <f t="shared" si="46"/>
        <v>45754</v>
      </c>
      <c r="V2083" s="272"/>
      <c r="W2083" s="43">
        <f t="shared" si="47"/>
        <v>4</v>
      </c>
      <c r="X2083" s="183" t="s">
        <v>282</v>
      </c>
      <c r="Y2083" s="183" t="s">
        <v>1443</v>
      </c>
      <c r="Z2083" s="183" t="s">
        <v>1113</v>
      </c>
      <c r="AA2083" s="183" t="s">
        <v>1113</v>
      </c>
      <c r="AB2083" s="183"/>
    </row>
    <row r="2084" spans="1:28" hidden="1">
      <c r="A2084" s="163" t="s">
        <v>1174</v>
      </c>
      <c r="B2084" s="164">
        <v>45754</v>
      </c>
      <c r="C2084" s="163" t="s">
        <v>1501</v>
      </c>
      <c r="D2084" s="163" t="s">
        <v>281</v>
      </c>
      <c r="E2084" s="163" t="s">
        <v>407</v>
      </c>
      <c r="F2084" s="165">
        <v>1529.15</v>
      </c>
      <c r="G2084" s="165">
        <f t="shared" si="48"/>
        <v>2000.0309999999577</v>
      </c>
      <c r="H2084" s="180"/>
      <c r="I2084" s="180"/>
      <c r="J2084" s="180"/>
      <c r="K2084" s="180"/>
      <c r="L2084" s="180"/>
      <c r="M2084" s="180"/>
      <c r="N2084" s="180"/>
      <c r="O2084" s="180"/>
      <c r="P2084" s="180"/>
      <c r="Q2084" s="180"/>
      <c r="R2084" s="180"/>
      <c r="S2084" s="180"/>
      <c r="T2084" s="43">
        <f t="shared" si="45"/>
        <v>4</v>
      </c>
      <c r="U2084" s="167">
        <f t="shared" si="46"/>
        <v>45754</v>
      </c>
      <c r="V2084" s="145"/>
      <c r="W2084" s="43">
        <f t="shared" si="47"/>
        <v>4</v>
      </c>
      <c r="X2084" s="49"/>
      <c r="Y2084" s="49"/>
      <c r="Z2084" s="183"/>
      <c r="AA2084" s="183"/>
      <c r="AB2084" s="183"/>
    </row>
    <row r="2085" spans="1:28" hidden="1">
      <c r="A2085" s="163" t="s">
        <v>1174</v>
      </c>
      <c r="B2085" s="164">
        <v>45754</v>
      </c>
      <c r="C2085" s="163" t="s">
        <v>67</v>
      </c>
      <c r="D2085" s="163" t="s">
        <v>281</v>
      </c>
      <c r="E2085" s="163" t="s">
        <v>407</v>
      </c>
      <c r="F2085" s="165">
        <v>2950</v>
      </c>
      <c r="G2085" s="165">
        <f t="shared" si="48"/>
        <v>4950.0309999999572</v>
      </c>
      <c r="H2085" s="180"/>
      <c r="I2085" s="180"/>
      <c r="J2085" s="180"/>
      <c r="K2085" s="180"/>
      <c r="L2085" s="180"/>
      <c r="M2085" s="180"/>
      <c r="N2085" s="180"/>
      <c r="O2085" s="180"/>
      <c r="P2085" s="180"/>
      <c r="Q2085" s="180"/>
      <c r="R2085" s="180"/>
      <c r="S2085" s="180"/>
      <c r="T2085" s="43">
        <f t="shared" si="45"/>
        <v>4</v>
      </c>
      <c r="U2085" s="167">
        <f t="shared" si="46"/>
        <v>45754</v>
      </c>
      <c r="V2085" s="145"/>
      <c r="W2085" s="43">
        <f t="shared" si="47"/>
        <v>4</v>
      </c>
      <c r="X2085" s="49"/>
      <c r="Y2085" s="49"/>
      <c r="Z2085" s="183"/>
      <c r="AA2085" s="183"/>
      <c r="AB2085" s="183"/>
    </row>
    <row r="2086" spans="1:28" hidden="1">
      <c r="A2086" s="163" t="s">
        <v>1174</v>
      </c>
      <c r="B2086" s="164">
        <v>45754</v>
      </c>
      <c r="C2086" s="163" t="s">
        <v>1786</v>
      </c>
      <c r="D2086" s="163" t="s">
        <v>281</v>
      </c>
      <c r="E2086" s="163" t="s">
        <v>407</v>
      </c>
      <c r="F2086" s="165">
        <v>1000</v>
      </c>
      <c r="G2086" s="165">
        <f t="shared" si="48"/>
        <v>5950.0309999999572</v>
      </c>
      <c r="H2086" s="180"/>
      <c r="I2086" s="180"/>
      <c r="J2086" s="180"/>
      <c r="K2086" s="180"/>
      <c r="L2086" s="180"/>
      <c r="M2086" s="180"/>
      <c r="N2086" s="180"/>
      <c r="O2086" s="180"/>
      <c r="P2086" s="180"/>
      <c r="Q2086" s="180"/>
      <c r="R2086" s="180"/>
      <c r="S2086" s="180"/>
      <c r="T2086" s="43">
        <f t="shared" si="45"/>
        <v>4</v>
      </c>
      <c r="U2086" s="167">
        <f t="shared" si="46"/>
        <v>45754</v>
      </c>
      <c r="V2086" s="145"/>
      <c r="W2086" s="43">
        <f t="shared" si="47"/>
        <v>4</v>
      </c>
      <c r="X2086" s="49"/>
      <c r="Y2086" s="49"/>
      <c r="Z2086" s="183"/>
      <c r="AA2086" s="183"/>
      <c r="AB2086" s="183"/>
    </row>
    <row r="2087" spans="1:28" hidden="1">
      <c r="A2087" s="163" t="s">
        <v>1017</v>
      </c>
      <c r="B2087" s="164">
        <v>45754</v>
      </c>
      <c r="C2087" s="190" t="s">
        <v>330</v>
      </c>
      <c r="D2087" s="190" t="s">
        <v>281</v>
      </c>
      <c r="E2087" s="190" t="s">
        <v>330</v>
      </c>
      <c r="F2087" s="185">
        <f>-1.99*2</f>
        <v>-3.98</v>
      </c>
      <c r="G2087" s="165">
        <f t="shared" si="48"/>
        <v>5946.0509999999576</v>
      </c>
      <c r="H2087" s="190"/>
      <c r="I2087" s="190" t="s">
        <v>342</v>
      </c>
      <c r="J2087" s="190"/>
      <c r="K2087" s="190"/>
      <c r="L2087" s="190" t="s">
        <v>805</v>
      </c>
      <c r="M2087" s="190"/>
      <c r="N2087" s="190" t="s">
        <v>978</v>
      </c>
      <c r="O2087" s="190"/>
      <c r="P2087" s="190"/>
      <c r="Q2087" s="190"/>
      <c r="R2087" s="190" t="s">
        <v>1292</v>
      </c>
      <c r="S2087" s="190" t="s">
        <v>1417</v>
      </c>
      <c r="T2087" s="43">
        <f t="shared" si="45"/>
        <v>4</v>
      </c>
      <c r="U2087" s="167">
        <f t="shared" si="46"/>
        <v>45754</v>
      </c>
      <c r="V2087" s="145"/>
      <c r="W2087" s="43">
        <f t="shared" si="47"/>
        <v>4</v>
      </c>
      <c r="X2087" s="43" t="s">
        <v>1483</v>
      </c>
      <c r="Y2087" s="43" t="s">
        <v>1443</v>
      </c>
      <c r="Z2087" s="43"/>
      <c r="AA2087" s="43"/>
    </row>
    <row r="2088" spans="1:28" hidden="1">
      <c r="A2088" s="163"/>
      <c r="B2088" s="164">
        <v>45754</v>
      </c>
      <c r="C2088" s="163" t="s">
        <v>346</v>
      </c>
      <c r="D2088" s="163"/>
      <c r="E2088" s="163"/>
      <c r="F2088" s="165">
        <v>0</v>
      </c>
      <c r="G2088" s="165">
        <f t="shared" si="48"/>
        <v>5946.0509999999576</v>
      </c>
      <c r="H2088" s="163"/>
      <c r="I2088" s="163"/>
      <c r="J2088" s="163"/>
      <c r="K2088" s="163"/>
      <c r="L2088" s="163"/>
      <c r="M2088" s="163"/>
      <c r="N2088" s="163"/>
      <c r="O2088" s="163"/>
      <c r="P2088" s="163"/>
      <c r="Q2088" s="163"/>
      <c r="R2088" s="163"/>
      <c r="S2088" s="163"/>
      <c r="T2088" s="43">
        <f t="shared" si="45"/>
        <v>4</v>
      </c>
      <c r="U2088" s="167">
        <f t="shared" si="46"/>
        <v>45754</v>
      </c>
      <c r="W2088" s="43">
        <f t="shared" si="47"/>
        <v>4</v>
      </c>
    </row>
    <row r="2089" spans="1:28" hidden="1">
      <c r="A2089" s="180" t="s">
        <v>1174</v>
      </c>
      <c r="B2089" s="181">
        <v>45754</v>
      </c>
      <c r="C2089" s="180" t="s">
        <v>1787</v>
      </c>
      <c r="D2089" s="180" t="s">
        <v>281</v>
      </c>
      <c r="E2089" s="180" t="s">
        <v>407</v>
      </c>
      <c r="F2089" s="278">
        <v>6700</v>
      </c>
      <c r="G2089" s="165">
        <f t="shared" si="48"/>
        <v>12646.050999999958</v>
      </c>
      <c r="H2089" s="180"/>
      <c r="I2089" s="180" t="s">
        <v>1176</v>
      </c>
      <c r="J2089" s="180" t="s">
        <v>1459</v>
      </c>
      <c r="K2089" s="180"/>
      <c r="L2089" s="180" t="s">
        <v>305</v>
      </c>
      <c r="M2089" s="180"/>
      <c r="N2089" s="180" t="s">
        <v>1178</v>
      </c>
      <c r="O2089" s="180" t="s">
        <v>1459</v>
      </c>
      <c r="P2089" s="180" t="s">
        <v>57</v>
      </c>
      <c r="Q2089" s="180"/>
      <c r="R2089" s="180" t="s">
        <v>1245</v>
      </c>
      <c r="S2089" s="180" t="s">
        <v>1246</v>
      </c>
      <c r="T2089" s="183">
        <f t="shared" si="45"/>
        <v>4</v>
      </c>
      <c r="U2089" s="184">
        <f t="shared" si="46"/>
        <v>45754</v>
      </c>
      <c r="V2089" s="166"/>
      <c r="W2089" s="43">
        <f t="shared" si="47"/>
        <v>4</v>
      </c>
      <c r="X2089" s="43" t="s">
        <v>1484</v>
      </c>
      <c r="Y2089" s="43" t="s">
        <v>1485</v>
      </c>
      <c r="Z2089" s="183"/>
      <c r="AA2089" s="183"/>
      <c r="AB2089" s="183"/>
    </row>
    <row r="2090" spans="1:28" hidden="1">
      <c r="A2090" s="163" t="s">
        <v>1017</v>
      </c>
      <c r="B2090" s="164">
        <v>45751</v>
      </c>
      <c r="C2090" s="163" t="s">
        <v>436</v>
      </c>
      <c r="D2090" s="163" t="s">
        <v>281</v>
      </c>
      <c r="E2090" s="163" t="s">
        <v>301</v>
      </c>
      <c r="F2090" s="168">
        <v>-11158.34</v>
      </c>
      <c r="G2090" s="165">
        <f t="shared" si="48"/>
        <v>1487.7109999999575</v>
      </c>
      <c r="H2090" s="180"/>
      <c r="I2090" s="180"/>
      <c r="J2090" s="180"/>
      <c r="K2090" s="180"/>
      <c r="L2090" s="180"/>
      <c r="M2090" s="180"/>
      <c r="N2090" s="180"/>
      <c r="O2090" s="180"/>
      <c r="P2090" s="180"/>
      <c r="Q2090" s="180"/>
      <c r="R2090" s="180"/>
      <c r="S2090" s="180"/>
      <c r="T2090" s="43">
        <f t="shared" si="45"/>
        <v>4</v>
      </c>
      <c r="U2090" s="167">
        <f t="shared" si="46"/>
        <v>45755</v>
      </c>
      <c r="V2090" s="145">
        <v>45755</v>
      </c>
      <c r="W2090" s="43">
        <f t="shared" si="47"/>
        <v>4</v>
      </c>
      <c r="X2090" s="49"/>
      <c r="Y2090" s="49"/>
      <c r="Z2090" s="183"/>
      <c r="AA2090" s="183"/>
      <c r="AB2090" s="183"/>
    </row>
    <row r="2091" spans="1:28" hidden="1">
      <c r="A2091" s="180" t="s">
        <v>1017</v>
      </c>
      <c r="B2091" s="181">
        <v>45751</v>
      </c>
      <c r="C2091" s="180" t="s">
        <v>1725</v>
      </c>
      <c r="D2091" s="180" t="s">
        <v>281</v>
      </c>
      <c r="E2091" s="180" t="s">
        <v>1702</v>
      </c>
      <c r="F2091" s="165">
        <f>-500</f>
        <v>-500</v>
      </c>
      <c r="G2091" s="165">
        <f t="shared" si="48"/>
        <v>987.71099999995749</v>
      </c>
      <c r="H2091" s="180"/>
      <c r="I2091" s="180" t="s">
        <v>283</v>
      </c>
      <c r="J2091" s="180"/>
      <c r="K2091" s="180"/>
      <c r="L2091" s="180" t="s">
        <v>485</v>
      </c>
      <c r="M2091" s="180"/>
      <c r="N2091" s="180" t="s">
        <v>978</v>
      </c>
      <c r="O2091" s="180"/>
      <c r="P2091" s="180"/>
      <c r="Q2091" s="180"/>
      <c r="R2091" s="180" t="s">
        <v>669</v>
      </c>
      <c r="S2091" s="180" t="s">
        <v>1492</v>
      </c>
      <c r="T2091" s="183">
        <f t="shared" ref="T2091:T2298" si="49">MONTH(B2091)</f>
        <v>4</v>
      </c>
      <c r="U2091" s="184">
        <f t="shared" si="46"/>
        <v>45755</v>
      </c>
      <c r="V2091" s="145">
        <v>45755</v>
      </c>
      <c r="W2091" s="43">
        <f t="shared" si="47"/>
        <v>4</v>
      </c>
      <c r="X2091" s="183" t="s">
        <v>1381</v>
      </c>
      <c r="Y2091" s="183" t="s">
        <v>1488</v>
      </c>
      <c r="Z2091" s="183"/>
      <c r="AA2091" s="183"/>
      <c r="AB2091" s="183"/>
    </row>
    <row r="2092" spans="1:28" hidden="1">
      <c r="A2092" s="180" t="s">
        <v>1017</v>
      </c>
      <c r="B2092" s="181">
        <v>45754</v>
      </c>
      <c r="C2092" s="180" t="s">
        <v>1788</v>
      </c>
      <c r="D2092" s="180" t="s">
        <v>281</v>
      </c>
      <c r="E2092" s="180" t="s">
        <v>120</v>
      </c>
      <c r="F2092" s="182">
        <v>-288</v>
      </c>
      <c r="G2092" s="165">
        <f t="shared" si="48"/>
        <v>699.71099999995749</v>
      </c>
      <c r="H2092" s="180"/>
      <c r="I2092" s="180"/>
      <c r="J2092" s="180"/>
      <c r="K2092" s="180"/>
      <c r="L2092" s="180"/>
      <c r="M2092" s="180"/>
      <c r="N2092" s="180"/>
      <c r="O2092" s="180"/>
      <c r="P2092" s="180"/>
      <c r="Q2092" s="180"/>
      <c r="R2092" s="180"/>
      <c r="S2092" s="180"/>
      <c r="T2092" s="183">
        <f t="shared" si="49"/>
        <v>4</v>
      </c>
      <c r="U2092" s="184">
        <f t="shared" si="46"/>
        <v>45755</v>
      </c>
      <c r="V2092" s="145">
        <v>45755</v>
      </c>
      <c r="W2092" s="183">
        <f t="shared" si="47"/>
        <v>4</v>
      </c>
      <c r="X2092" s="183"/>
      <c r="Y2092" s="183"/>
      <c r="Z2092" s="183"/>
      <c r="AA2092" s="183"/>
      <c r="AB2092" s="183"/>
    </row>
    <row r="2093" spans="1:28" hidden="1">
      <c r="A2093" s="180" t="s">
        <v>1017</v>
      </c>
      <c r="B2093" s="181">
        <v>45754</v>
      </c>
      <c r="C2093" s="180" t="s">
        <v>1789</v>
      </c>
      <c r="D2093" s="180" t="s">
        <v>281</v>
      </c>
      <c r="E2093" s="180" t="s">
        <v>120</v>
      </c>
      <c r="F2093" s="182">
        <v>-288</v>
      </c>
      <c r="G2093" s="165">
        <f t="shared" si="48"/>
        <v>411.71099999995749</v>
      </c>
      <c r="H2093" s="180"/>
      <c r="I2093" s="180"/>
      <c r="J2093" s="180"/>
      <c r="K2093" s="180"/>
      <c r="L2093" s="180"/>
      <c r="M2093" s="180"/>
      <c r="N2093" s="180"/>
      <c r="O2093" s="180"/>
      <c r="P2093" s="180"/>
      <c r="Q2093" s="180"/>
      <c r="R2093" s="180"/>
      <c r="S2093" s="180"/>
      <c r="T2093" s="183">
        <f t="shared" si="49"/>
        <v>4</v>
      </c>
      <c r="U2093" s="184">
        <f t="shared" si="46"/>
        <v>45755</v>
      </c>
      <c r="V2093" s="145">
        <v>45755</v>
      </c>
      <c r="W2093" s="183">
        <f t="shared" si="47"/>
        <v>4</v>
      </c>
      <c r="X2093" s="183"/>
      <c r="Y2093" s="183"/>
      <c r="Z2093" s="183"/>
      <c r="AA2093" s="183"/>
      <c r="AB2093" s="183"/>
    </row>
    <row r="2094" spans="1:28" hidden="1">
      <c r="A2094" s="163" t="s">
        <v>1017</v>
      </c>
      <c r="B2094" s="164">
        <v>45755</v>
      </c>
      <c r="C2094" s="190" t="s">
        <v>330</v>
      </c>
      <c r="D2094" s="190" t="s">
        <v>281</v>
      </c>
      <c r="E2094" s="190" t="s">
        <v>330</v>
      </c>
      <c r="F2094" s="185">
        <f>-1.99-2</f>
        <v>-3.99</v>
      </c>
      <c r="G2094" s="165">
        <f t="shared" si="48"/>
        <v>407.72099999995748</v>
      </c>
      <c r="H2094" s="190"/>
      <c r="I2094" s="190" t="s">
        <v>342</v>
      </c>
      <c r="J2094" s="190"/>
      <c r="K2094" s="190"/>
      <c r="L2094" s="190" t="s">
        <v>805</v>
      </c>
      <c r="M2094" s="190"/>
      <c r="N2094" s="190" t="s">
        <v>978</v>
      </c>
      <c r="O2094" s="190"/>
      <c r="P2094" s="190"/>
      <c r="Q2094" s="190"/>
      <c r="R2094" s="190" t="s">
        <v>1292</v>
      </c>
      <c r="S2094" s="190" t="s">
        <v>1417</v>
      </c>
      <c r="T2094" s="43">
        <f t="shared" si="49"/>
        <v>4</v>
      </c>
      <c r="U2094" s="167">
        <f t="shared" si="46"/>
        <v>45755</v>
      </c>
      <c r="V2094" s="145"/>
      <c r="W2094" s="43">
        <f t="shared" si="47"/>
        <v>4</v>
      </c>
      <c r="X2094" s="43" t="s">
        <v>1483</v>
      </c>
      <c r="Y2094" s="43" t="s">
        <v>1443</v>
      </c>
      <c r="Z2094" s="43"/>
      <c r="AA2094" s="43"/>
    </row>
    <row r="2095" spans="1:28" hidden="1">
      <c r="A2095" s="163"/>
      <c r="B2095" s="164">
        <v>45755</v>
      </c>
      <c r="C2095" s="163" t="s">
        <v>346</v>
      </c>
      <c r="D2095" s="163"/>
      <c r="E2095" s="163"/>
      <c r="F2095" s="165">
        <v>0</v>
      </c>
      <c r="G2095" s="165">
        <f t="shared" si="48"/>
        <v>407.72099999995748</v>
      </c>
      <c r="H2095" s="163"/>
      <c r="I2095" s="163"/>
      <c r="J2095" s="163"/>
      <c r="K2095" s="163"/>
      <c r="L2095" s="163"/>
      <c r="M2095" s="163"/>
      <c r="N2095" s="163"/>
      <c r="O2095" s="163"/>
      <c r="P2095" s="163"/>
      <c r="Q2095" s="163"/>
      <c r="R2095" s="163"/>
      <c r="S2095" s="163"/>
      <c r="T2095" s="43">
        <f t="shared" si="49"/>
        <v>4</v>
      </c>
      <c r="U2095" s="167">
        <f t="shared" si="46"/>
        <v>45755</v>
      </c>
      <c r="W2095" s="43">
        <f t="shared" si="47"/>
        <v>4</v>
      </c>
    </row>
    <row r="2096" spans="1:28" ht="14.25" hidden="1" customHeight="1">
      <c r="A2096" s="180" t="s">
        <v>1017</v>
      </c>
      <c r="B2096" s="181">
        <v>45755</v>
      </c>
      <c r="C2096" s="180" t="s">
        <v>1716</v>
      </c>
      <c r="D2096" s="180" t="s">
        <v>281</v>
      </c>
      <c r="E2096" s="180" t="s">
        <v>282</v>
      </c>
      <c r="F2096" s="278">
        <v>5000</v>
      </c>
      <c r="G2096" s="165">
        <f t="shared" si="48"/>
        <v>5407.7209999999577</v>
      </c>
      <c r="H2096" s="180"/>
      <c r="I2096" s="180" t="s">
        <v>977</v>
      </c>
      <c r="J2096" s="180"/>
      <c r="K2096" s="180"/>
      <c r="L2096" s="180" t="s">
        <v>366</v>
      </c>
      <c r="M2096" s="180"/>
      <c r="N2096" s="180" t="s">
        <v>978</v>
      </c>
      <c r="O2096" s="180"/>
      <c r="P2096" s="180"/>
      <c r="Q2096" s="180"/>
      <c r="R2096" s="180" t="s">
        <v>990</v>
      </c>
      <c r="S2096" s="180" t="s">
        <v>991</v>
      </c>
      <c r="T2096" s="183">
        <f t="shared" si="49"/>
        <v>4</v>
      </c>
      <c r="U2096" s="184">
        <f t="shared" si="46"/>
        <v>45755</v>
      </c>
      <c r="V2096" s="272"/>
      <c r="W2096" s="43">
        <f t="shared" si="47"/>
        <v>4</v>
      </c>
      <c r="X2096" s="183" t="s">
        <v>282</v>
      </c>
      <c r="Y2096" s="183" t="s">
        <v>1443</v>
      </c>
      <c r="Z2096" s="183" t="s">
        <v>1113</v>
      </c>
      <c r="AA2096" s="183" t="s">
        <v>1113</v>
      </c>
      <c r="AB2096" s="183"/>
    </row>
    <row r="2097" spans="1:28" hidden="1">
      <c r="A2097" s="163" t="s">
        <v>1017</v>
      </c>
      <c r="B2097" s="164">
        <v>45754</v>
      </c>
      <c r="C2097" s="163" t="s">
        <v>1010</v>
      </c>
      <c r="D2097" s="163" t="s">
        <v>281</v>
      </c>
      <c r="E2097" s="163" t="s">
        <v>199</v>
      </c>
      <c r="F2097" s="168">
        <v>-3000</v>
      </c>
      <c r="G2097" s="165">
        <f t="shared" si="48"/>
        <v>2407.7209999999577</v>
      </c>
      <c r="H2097" s="180"/>
      <c r="I2097" s="180"/>
      <c r="J2097" s="180"/>
      <c r="K2097" s="180"/>
      <c r="L2097" s="180"/>
      <c r="M2097" s="180"/>
      <c r="N2097" s="180"/>
      <c r="O2097" s="180"/>
      <c r="P2097" s="180"/>
      <c r="Q2097" s="180"/>
      <c r="R2097" s="180"/>
      <c r="S2097" s="180"/>
      <c r="T2097" s="43">
        <f t="shared" si="49"/>
        <v>4</v>
      </c>
      <c r="U2097" s="167">
        <f t="shared" si="46"/>
        <v>45756</v>
      </c>
      <c r="V2097" s="145">
        <v>45756</v>
      </c>
      <c r="W2097" s="43">
        <f t="shared" si="47"/>
        <v>4</v>
      </c>
      <c r="X2097" s="49"/>
      <c r="Y2097" s="49"/>
      <c r="Z2097" s="183"/>
      <c r="AA2097" s="183"/>
      <c r="AB2097" s="183"/>
    </row>
    <row r="2098" spans="1:28" hidden="1">
      <c r="A2098" s="163" t="s">
        <v>1017</v>
      </c>
      <c r="B2098" s="164">
        <v>45756</v>
      </c>
      <c r="C2098" s="163" t="s">
        <v>1008</v>
      </c>
      <c r="D2098" s="163" t="s">
        <v>281</v>
      </c>
      <c r="E2098" s="163" t="s">
        <v>199</v>
      </c>
      <c r="F2098" s="168">
        <v>-2000</v>
      </c>
      <c r="G2098" s="165">
        <f t="shared" si="48"/>
        <v>407.72099999995771</v>
      </c>
      <c r="H2098" s="180"/>
      <c r="I2098" s="180"/>
      <c r="J2098" s="180"/>
      <c r="K2098" s="180"/>
      <c r="L2098" s="180"/>
      <c r="M2098" s="180"/>
      <c r="N2098" s="180"/>
      <c r="O2098" s="180"/>
      <c r="P2098" s="180"/>
      <c r="Q2098" s="180"/>
      <c r="R2098" s="180"/>
      <c r="S2098" s="180"/>
      <c r="T2098" s="43">
        <f t="shared" si="49"/>
        <v>4</v>
      </c>
      <c r="U2098" s="167">
        <f t="shared" si="46"/>
        <v>45756</v>
      </c>
      <c r="V2098" s="145"/>
      <c r="W2098" s="43">
        <f t="shared" si="47"/>
        <v>4</v>
      </c>
      <c r="X2098" s="49"/>
      <c r="Y2098" s="49"/>
      <c r="Z2098" s="183"/>
      <c r="AA2098" s="183"/>
      <c r="AB2098" s="183"/>
    </row>
    <row r="2099" spans="1:28" hidden="1">
      <c r="A2099" s="163" t="s">
        <v>1017</v>
      </c>
      <c r="B2099" s="164">
        <v>45756</v>
      </c>
      <c r="C2099" s="163" t="s">
        <v>1371</v>
      </c>
      <c r="D2099" s="163" t="s">
        <v>281</v>
      </c>
      <c r="E2099" s="163" t="s">
        <v>199</v>
      </c>
      <c r="F2099" s="168"/>
      <c r="G2099" s="165">
        <f t="shared" si="48"/>
        <v>407.72099999995771</v>
      </c>
      <c r="H2099" s="180"/>
      <c r="I2099" s="180"/>
      <c r="J2099" s="180"/>
      <c r="K2099" s="180"/>
      <c r="L2099" s="180"/>
      <c r="M2099" s="180"/>
      <c r="N2099" s="180"/>
      <c r="O2099" s="180"/>
      <c r="P2099" s="180"/>
      <c r="Q2099" s="180"/>
      <c r="R2099" s="180"/>
      <c r="S2099" s="180"/>
      <c r="T2099" s="43">
        <f t="shared" si="49"/>
        <v>4</v>
      </c>
      <c r="U2099" s="167">
        <f t="shared" si="46"/>
        <v>45756</v>
      </c>
      <c r="V2099" s="145"/>
      <c r="W2099" s="43">
        <f t="shared" si="47"/>
        <v>4</v>
      </c>
      <c r="X2099" s="49"/>
      <c r="Y2099" s="49"/>
      <c r="Z2099" s="183"/>
      <c r="AA2099" s="183"/>
      <c r="AB2099" s="183"/>
    </row>
    <row r="2100" spans="1:28" hidden="1">
      <c r="A2100" s="163" t="s">
        <v>1017</v>
      </c>
      <c r="B2100" s="164">
        <v>45756</v>
      </c>
      <c r="C2100" s="190" t="s">
        <v>330</v>
      </c>
      <c r="D2100" s="190" t="s">
        <v>281</v>
      </c>
      <c r="E2100" s="190" t="s">
        <v>330</v>
      </c>
      <c r="F2100" s="185">
        <v>-0.5</v>
      </c>
      <c r="G2100" s="165">
        <f t="shared" si="48"/>
        <v>407.22099999995771</v>
      </c>
      <c r="H2100" s="190"/>
      <c r="I2100" s="190" t="s">
        <v>342</v>
      </c>
      <c r="J2100" s="190"/>
      <c r="K2100" s="190"/>
      <c r="L2100" s="190" t="s">
        <v>805</v>
      </c>
      <c r="M2100" s="190"/>
      <c r="N2100" s="190" t="s">
        <v>978</v>
      </c>
      <c r="O2100" s="190"/>
      <c r="P2100" s="190"/>
      <c r="Q2100" s="190"/>
      <c r="R2100" s="190" t="s">
        <v>1292</v>
      </c>
      <c r="S2100" s="190" t="s">
        <v>1417</v>
      </c>
      <c r="T2100" s="43">
        <f t="shared" si="49"/>
        <v>4</v>
      </c>
      <c r="U2100" s="167">
        <f t="shared" si="46"/>
        <v>45756</v>
      </c>
      <c r="V2100" s="145"/>
      <c r="W2100" s="43">
        <f t="shared" si="47"/>
        <v>4</v>
      </c>
      <c r="X2100" s="43" t="s">
        <v>1483</v>
      </c>
      <c r="Y2100" s="43" t="s">
        <v>1443</v>
      </c>
      <c r="Z2100" s="43"/>
      <c r="AA2100" s="43"/>
    </row>
    <row r="2101" spans="1:28" hidden="1">
      <c r="A2101" s="163"/>
      <c r="B2101" s="164">
        <v>45756</v>
      </c>
      <c r="C2101" s="163" t="s">
        <v>346</v>
      </c>
      <c r="D2101" s="163"/>
      <c r="E2101" s="163"/>
      <c r="F2101" s="165">
        <v>0</v>
      </c>
      <c r="G2101" s="165">
        <f t="shared" si="48"/>
        <v>407.22099999995771</v>
      </c>
      <c r="H2101" s="163"/>
      <c r="I2101" s="163"/>
      <c r="J2101" s="163"/>
      <c r="K2101" s="163"/>
      <c r="L2101" s="163"/>
      <c r="M2101" s="163"/>
      <c r="N2101" s="163"/>
      <c r="O2101" s="163"/>
      <c r="P2101" s="163"/>
      <c r="Q2101" s="163"/>
      <c r="R2101" s="163"/>
      <c r="S2101" s="163"/>
      <c r="T2101" s="43">
        <f t="shared" si="49"/>
        <v>4</v>
      </c>
      <c r="U2101" s="167">
        <f t="shared" si="46"/>
        <v>45756</v>
      </c>
      <c r="W2101" s="43">
        <f t="shared" si="47"/>
        <v>4</v>
      </c>
    </row>
    <row r="2102" spans="1:28" hidden="1">
      <c r="A2102" s="163" t="s">
        <v>1174</v>
      </c>
      <c r="B2102" s="164">
        <v>45757</v>
      </c>
      <c r="C2102" s="163" t="s">
        <v>1790</v>
      </c>
      <c r="D2102" s="163" t="s">
        <v>281</v>
      </c>
      <c r="E2102" s="163" t="s">
        <v>407</v>
      </c>
      <c r="F2102" s="165">
        <v>2997</v>
      </c>
      <c r="G2102" s="165">
        <f t="shared" si="48"/>
        <v>3404.2209999999577</v>
      </c>
      <c r="H2102" s="180"/>
      <c r="I2102" s="180"/>
      <c r="J2102" s="180"/>
      <c r="K2102" s="180"/>
      <c r="L2102" s="180"/>
      <c r="M2102" s="180"/>
      <c r="N2102" s="180"/>
      <c r="O2102" s="180"/>
      <c r="P2102" s="180"/>
      <c r="Q2102" s="180"/>
      <c r="R2102" s="180"/>
      <c r="S2102" s="180"/>
      <c r="T2102" s="43">
        <f t="shared" si="49"/>
        <v>4</v>
      </c>
      <c r="U2102" s="167">
        <f t="shared" si="46"/>
        <v>45757</v>
      </c>
      <c r="V2102" s="145"/>
      <c r="W2102" s="43">
        <f t="shared" si="47"/>
        <v>4</v>
      </c>
      <c r="X2102" s="49"/>
      <c r="Y2102" s="49"/>
      <c r="Z2102" s="183"/>
      <c r="AA2102" s="183"/>
      <c r="AB2102" s="183"/>
    </row>
    <row r="2103" spans="1:28">
      <c r="A2103" s="180" t="s">
        <v>1017</v>
      </c>
      <c r="B2103" s="181">
        <v>45757</v>
      </c>
      <c r="C2103" s="180" t="s">
        <v>1087</v>
      </c>
      <c r="D2103" s="180" t="s">
        <v>281</v>
      </c>
      <c r="E2103" s="180" t="s">
        <v>18</v>
      </c>
      <c r="F2103" s="182">
        <v>-400</v>
      </c>
      <c r="G2103" s="165">
        <f t="shared" si="48"/>
        <v>3004.2209999999577</v>
      </c>
      <c r="H2103" s="180"/>
      <c r="I2103" s="180"/>
      <c r="J2103" s="180"/>
      <c r="K2103" s="180"/>
      <c r="L2103" s="180"/>
      <c r="M2103" s="180"/>
      <c r="N2103" s="180"/>
      <c r="O2103" s="180"/>
      <c r="P2103" s="180"/>
      <c r="Q2103" s="180"/>
      <c r="R2103" s="180"/>
      <c r="S2103" s="180"/>
      <c r="T2103" s="183">
        <f t="shared" si="49"/>
        <v>4</v>
      </c>
      <c r="U2103" s="184">
        <f t="shared" si="46"/>
        <v>45757</v>
      </c>
      <c r="V2103" s="187"/>
      <c r="W2103" s="183">
        <f t="shared" si="47"/>
        <v>4</v>
      </c>
      <c r="X2103" s="183"/>
      <c r="Y2103" s="183"/>
      <c r="Z2103" s="183"/>
      <c r="AA2103" s="183"/>
      <c r="AB2103" s="183"/>
    </row>
    <row r="2104" spans="1:28" hidden="1">
      <c r="A2104" s="180" t="s">
        <v>1017</v>
      </c>
      <c r="B2104" s="181">
        <v>45755</v>
      </c>
      <c r="C2104" s="180" t="s">
        <v>181</v>
      </c>
      <c r="D2104" s="180" t="s">
        <v>281</v>
      </c>
      <c r="E2104" s="180" t="s">
        <v>760</v>
      </c>
      <c r="F2104" s="168">
        <f>-5500/2-1200*0.2</f>
        <v>-2990</v>
      </c>
      <c r="G2104" s="165">
        <f t="shared" si="48"/>
        <v>14.220999999957712</v>
      </c>
      <c r="H2104" s="180"/>
      <c r="I2104" s="180" t="s">
        <v>283</v>
      </c>
      <c r="J2104" s="180"/>
      <c r="K2104" s="180"/>
      <c r="L2104" s="180" t="s">
        <v>1062</v>
      </c>
      <c r="M2104" s="180"/>
      <c r="N2104" s="180" t="s">
        <v>978</v>
      </c>
      <c r="O2104" s="180"/>
      <c r="P2104" s="180"/>
      <c r="Q2104" s="180"/>
      <c r="R2104" s="180" t="s">
        <v>765</v>
      </c>
      <c r="S2104" s="180" t="s">
        <v>768</v>
      </c>
      <c r="T2104" s="183">
        <f t="shared" si="49"/>
        <v>4</v>
      </c>
      <c r="U2104" s="184">
        <f t="shared" si="46"/>
        <v>45757</v>
      </c>
      <c r="V2104" s="145">
        <v>45757</v>
      </c>
      <c r="W2104" s="43">
        <f t="shared" si="47"/>
        <v>4</v>
      </c>
      <c r="X2104" s="43" t="s">
        <v>1482</v>
      </c>
      <c r="Y2104" s="43" t="s">
        <v>78</v>
      </c>
      <c r="Z2104" s="183"/>
      <c r="AA2104" s="183"/>
      <c r="AB2104" s="183"/>
    </row>
    <row r="2105" spans="1:28" hidden="1">
      <c r="A2105" s="163" t="s">
        <v>1174</v>
      </c>
      <c r="B2105" s="164">
        <v>45757</v>
      </c>
      <c r="C2105" s="163" t="s">
        <v>1356</v>
      </c>
      <c r="D2105" s="163" t="s">
        <v>281</v>
      </c>
      <c r="E2105" s="163" t="s">
        <v>289</v>
      </c>
      <c r="F2105" s="165"/>
      <c r="G2105" s="165">
        <f t="shared" si="48"/>
        <v>14.220999999957712</v>
      </c>
      <c r="H2105" s="180"/>
      <c r="I2105" s="180"/>
      <c r="J2105" s="180"/>
      <c r="K2105" s="180"/>
      <c r="L2105" s="180"/>
      <c r="M2105" s="180"/>
      <c r="N2105" s="180"/>
      <c r="O2105" s="180"/>
      <c r="P2105" s="180"/>
      <c r="Q2105" s="180"/>
      <c r="R2105" s="180"/>
      <c r="S2105" s="180"/>
      <c r="T2105" s="43">
        <f t="shared" si="49"/>
        <v>4</v>
      </c>
      <c r="U2105" s="167">
        <f t="shared" si="46"/>
        <v>45757</v>
      </c>
      <c r="V2105" s="145"/>
      <c r="W2105" s="43">
        <f t="shared" si="47"/>
        <v>4</v>
      </c>
      <c r="X2105" s="49"/>
      <c r="Y2105" s="49"/>
      <c r="Z2105" s="183"/>
      <c r="AA2105" s="183"/>
      <c r="AB2105" s="183"/>
    </row>
    <row r="2106" spans="1:28" hidden="1">
      <c r="A2106" s="163" t="s">
        <v>1017</v>
      </c>
      <c r="B2106" s="164">
        <v>45757</v>
      </c>
      <c r="C2106" s="190" t="s">
        <v>330</v>
      </c>
      <c r="D2106" s="190" t="s">
        <v>281</v>
      </c>
      <c r="E2106" s="190" t="s">
        <v>330</v>
      </c>
      <c r="F2106" s="185">
        <f>-1-1.99</f>
        <v>-2.99</v>
      </c>
      <c r="G2106" s="165">
        <f t="shared" si="48"/>
        <v>11.230999999957712</v>
      </c>
      <c r="H2106" s="190"/>
      <c r="I2106" s="190" t="s">
        <v>342</v>
      </c>
      <c r="J2106" s="190"/>
      <c r="K2106" s="190"/>
      <c r="L2106" s="190" t="s">
        <v>805</v>
      </c>
      <c r="M2106" s="190"/>
      <c r="N2106" s="190" t="s">
        <v>978</v>
      </c>
      <c r="O2106" s="190"/>
      <c r="P2106" s="190"/>
      <c r="Q2106" s="190"/>
      <c r="R2106" s="190" t="s">
        <v>1292</v>
      </c>
      <c r="S2106" s="190" t="s">
        <v>1417</v>
      </c>
      <c r="T2106" s="43">
        <f t="shared" si="49"/>
        <v>4</v>
      </c>
      <c r="U2106" s="167">
        <f t="shared" si="46"/>
        <v>45757</v>
      </c>
      <c r="V2106" s="145"/>
      <c r="W2106" s="43">
        <f t="shared" si="47"/>
        <v>4</v>
      </c>
      <c r="X2106" s="43" t="s">
        <v>1483</v>
      </c>
      <c r="Y2106" s="43" t="s">
        <v>1443</v>
      </c>
      <c r="Z2106" s="43"/>
      <c r="AA2106" s="43"/>
    </row>
    <row r="2107" spans="1:28" hidden="1">
      <c r="A2107" s="163"/>
      <c r="B2107" s="164">
        <v>45757</v>
      </c>
      <c r="C2107" s="163" t="s">
        <v>346</v>
      </c>
      <c r="D2107" s="163"/>
      <c r="E2107" s="163"/>
      <c r="F2107" s="165">
        <v>0</v>
      </c>
      <c r="G2107" s="165">
        <f t="shared" si="48"/>
        <v>11.230999999957712</v>
      </c>
      <c r="H2107" s="163"/>
      <c r="I2107" s="163"/>
      <c r="J2107" s="163"/>
      <c r="K2107" s="163"/>
      <c r="L2107" s="163"/>
      <c r="M2107" s="163"/>
      <c r="N2107" s="163"/>
      <c r="O2107" s="163"/>
      <c r="P2107" s="163"/>
      <c r="Q2107" s="163"/>
      <c r="R2107" s="163"/>
      <c r="S2107" s="163"/>
      <c r="T2107" s="43">
        <f t="shared" si="49"/>
        <v>4</v>
      </c>
      <c r="U2107" s="167">
        <f t="shared" si="46"/>
        <v>45757</v>
      </c>
      <c r="W2107" s="43">
        <f t="shared" si="47"/>
        <v>4</v>
      </c>
    </row>
    <row r="2108" spans="1:28" hidden="1">
      <c r="A2108" s="163" t="s">
        <v>1174</v>
      </c>
      <c r="B2108" s="164">
        <v>45757</v>
      </c>
      <c r="C2108" s="163" t="s">
        <v>71</v>
      </c>
      <c r="D2108" s="163" t="s">
        <v>281</v>
      </c>
      <c r="E2108" s="163" t="s">
        <v>407</v>
      </c>
      <c r="F2108" s="165">
        <v>3000</v>
      </c>
      <c r="G2108" s="165">
        <f t="shared" si="48"/>
        <v>3011.2309999999579</v>
      </c>
      <c r="H2108" s="180"/>
      <c r="I2108" s="180"/>
      <c r="J2108" s="180"/>
      <c r="K2108" s="180"/>
      <c r="L2108" s="180"/>
      <c r="M2108" s="180"/>
      <c r="N2108" s="180"/>
      <c r="O2108" s="180"/>
      <c r="P2108" s="180"/>
      <c r="Q2108" s="180"/>
      <c r="R2108" s="180"/>
      <c r="S2108" s="180"/>
      <c r="T2108" s="43">
        <f t="shared" si="49"/>
        <v>4</v>
      </c>
      <c r="U2108" s="167">
        <f t="shared" si="46"/>
        <v>45758</v>
      </c>
      <c r="V2108" s="166">
        <v>45758</v>
      </c>
      <c r="W2108" s="43">
        <f t="shared" si="47"/>
        <v>4</v>
      </c>
      <c r="X2108" s="49"/>
      <c r="Y2108" s="49"/>
      <c r="Z2108" s="183"/>
      <c r="AA2108" s="183"/>
      <c r="AB2108" s="183"/>
    </row>
    <row r="2109" spans="1:28" hidden="1">
      <c r="A2109" s="163" t="s">
        <v>1174</v>
      </c>
      <c r="B2109" s="164">
        <v>45757</v>
      </c>
      <c r="C2109" s="163" t="s">
        <v>625</v>
      </c>
      <c r="D2109" s="163" t="s">
        <v>281</v>
      </c>
      <c r="E2109" s="163" t="s">
        <v>407</v>
      </c>
      <c r="F2109" s="165">
        <v>4200</v>
      </c>
      <c r="G2109" s="165">
        <f t="shared" si="48"/>
        <v>7211.2309999999579</v>
      </c>
      <c r="H2109" s="180"/>
      <c r="I2109" s="180"/>
      <c r="J2109" s="180"/>
      <c r="K2109" s="180"/>
      <c r="L2109" s="180"/>
      <c r="M2109" s="180"/>
      <c r="N2109" s="180"/>
      <c r="O2109" s="180"/>
      <c r="P2109" s="180"/>
      <c r="Q2109" s="180"/>
      <c r="R2109" s="180"/>
      <c r="S2109" s="180"/>
      <c r="T2109" s="43">
        <f t="shared" si="49"/>
        <v>4</v>
      </c>
      <c r="U2109" s="167">
        <f t="shared" si="46"/>
        <v>45758</v>
      </c>
      <c r="V2109" s="166">
        <v>45758</v>
      </c>
      <c r="W2109" s="43">
        <f t="shared" si="47"/>
        <v>4</v>
      </c>
      <c r="X2109" s="49"/>
      <c r="Y2109" s="49"/>
      <c r="Z2109" s="183"/>
      <c r="AA2109" s="183"/>
      <c r="AB2109" s="183"/>
    </row>
    <row r="2110" spans="1:28" hidden="1">
      <c r="A2110" s="163" t="s">
        <v>1174</v>
      </c>
      <c r="B2110" s="164">
        <v>45757</v>
      </c>
      <c r="C2110" s="163" t="s">
        <v>288</v>
      </c>
      <c r="D2110" s="163" t="s">
        <v>281</v>
      </c>
      <c r="E2110" s="163" t="s">
        <v>407</v>
      </c>
      <c r="F2110" s="165">
        <v>4200</v>
      </c>
      <c r="G2110" s="165">
        <f t="shared" si="48"/>
        <v>11411.230999999958</v>
      </c>
      <c r="H2110" s="180"/>
      <c r="I2110" s="180"/>
      <c r="J2110" s="180"/>
      <c r="K2110" s="180"/>
      <c r="L2110" s="180"/>
      <c r="M2110" s="180"/>
      <c r="N2110" s="180"/>
      <c r="O2110" s="180"/>
      <c r="P2110" s="180"/>
      <c r="Q2110" s="180"/>
      <c r="R2110" s="180"/>
      <c r="S2110" s="180"/>
      <c r="T2110" s="43">
        <f t="shared" si="49"/>
        <v>4</v>
      </c>
      <c r="U2110" s="167">
        <f t="shared" si="46"/>
        <v>45758</v>
      </c>
      <c r="V2110" s="166">
        <v>45758</v>
      </c>
      <c r="W2110" s="43">
        <f t="shared" si="47"/>
        <v>4</v>
      </c>
      <c r="X2110" s="49"/>
      <c r="Y2110" s="49"/>
      <c r="Z2110" s="183"/>
      <c r="AA2110" s="183"/>
      <c r="AB2110" s="183"/>
    </row>
    <row r="2111" spans="1:28" hidden="1">
      <c r="A2111" s="163" t="s">
        <v>1174</v>
      </c>
      <c r="B2111" s="164">
        <v>45757</v>
      </c>
      <c r="C2111" s="163" t="s">
        <v>952</v>
      </c>
      <c r="D2111" s="163" t="s">
        <v>281</v>
      </c>
      <c r="E2111" s="163" t="s">
        <v>407</v>
      </c>
      <c r="F2111" s="165">
        <v>5500</v>
      </c>
      <c r="G2111" s="165">
        <f t="shared" si="48"/>
        <v>16911.230999999956</v>
      </c>
      <c r="H2111" s="180"/>
      <c r="I2111" s="180"/>
      <c r="J2111" s="180"/>
      <c r="K2111" s="180"/>
      <c r="L2111" s="180"/>
      <c r="M2111" s="180"/>
      <c r="N2111" s="180"/>
      <c r="O2111" s="180"/>
      <c r="P2111" s="180"/>
      <c r="Q2111" s="180"/>
      <c r="R2111" s="180"/>
      <c r="S2111" s="180"/>
      <c r="T2111" s="43">
        <f t="shared" si="49"/>
        <v>4</v>
      </c>
      <c r="U2111" s="167">
        <f t="shared" ref="U2111:U2337" si="50">IF(V2111="",B2111,V2111)</f>
        <v>45758</v>
      </c>
      <c r="V2111" s="166">
        <v>45758</v>
      </c>
      <c r="W2111" s="43">
        <f t="shared" si="47"/>
        <v>4</v>
      </c>
      <c r="X2111" s="49"/>
      <c r="Y2111" s="49"/>
      <c r="Z2111" s="183"/>
      <c r="AA2111" s="183"/>
      <c r="AB2111" s="183"/>
    </row>
    <row r="2112" spans="1:28" hidden="1">
      <c r="A2112" s="163" t="s">
        <v>1017</v>
      </c>
      <c r="B2112" s="164">
        <v>45758</v>
      </c>
      <c r="C2112" s="190" t="s">
        <v>330</v>
      </c>
      <c r="D2112" s="190" t="s">
        <v>281</v>
      </c>
      <c r="E2112" s="190" t="s">
        <v>330</v>
      </c>
      <c r="F2112" s="185">
        <f>-3-1.99*3</f>
        <v>-8.9699999999999989</v>
      </c>
      <c r="G2112" s="165">
        <f t="shared" si="48"/>
        <v>16902.260999999955</v>
      </c>
      <c r="H2112" s="190"/>
      <c r="I2112" s="190" t="s">
        <v>342</v>
      </c>
      <c r="J2112" s="190"/>
      <c r="K2112" s="190"/>
      <c r="L2112" s="190" t="s">
        <v>805</v>
      </c>
      <c r="M2112" s="190"/>
      <c r="N2112" s="190" t="s">
        <v>978</v>
      </c>
      <c r="O2112" s="190"/>
      <c r="P2112" s="190"/>
      <c r="Q2112" s="190"/>
      <c r="R2112" s="190" t="s">
        <v>1292</v>
      </c>
      <c r="S2112" s="190" t="s">
        <v>1417</v>
      </c>
      <c r="T2112" s="43">
        <f t="shared" si="49"/>
        <v>4</v>
      </c>
      <c r="U2112" s="167">
        <f t="shared" si="50"/>
        <v>45758</v>
      </c>
      <c r="V2112" s="145"/>
      <c r="W2112" s="43">
        <f t="shared" si="47"/>
        <v>4</v>
      </c>
      <c r="X2112" s="43" t="s">
        <v>1483</v>
      </c>
      <c r="Y2112" s="43" t="s">
        <v>1443</v>
      </c>
      <c r="Z2112" s="43"/>
      <c r="AA2112" s="43"/>
    </row>
    <row r="2113" spans="1:28">
      <c r="A2113" s="180" t="s">
        <v>1017</v>
      </c>
      <c r="B2113" s="181">
        <v>45758</v>
      </c>
      <c r="C2113" s="180" t="s">
        <v>1087</v>
      </c>
      <c r="D2113" s="180" t="s">
        <v>281</v>
      </c>
      <c r="E2113" s="180" t="s">
        <v>18</v>
      </c>
      <c r="F2113" s="182">
        <v>-1000</v>
      </c>
      <c r="G2113" s="165">
        <f t="shared" si="48"/>
        <v>15902.260999999955</v>
      </c>
      <c r="H2113" s="180"/>
      <c r="I2113" s="180"/>
      <c r="J2113" s="180"/>
      <c r="K2113" s="180"/>
      <c r="L2113" s="180"/>
      <c r="M2113" s="180"/>
      <c r="N2113" s="180"/>
      <c r="O2113" s="180"/>
      <c r="P2113" s="180"/>
      <c r="Q2113" s="180"/>
      <c r="R2113" s="180"/>
      <c r="S2113" s="180"/>
      <c r="T2113" s="183">
        <f t="shared" si="49"/>
        <v>4</v>
      </c>
      <c r="U2113" s="184">
        <f t="shared" si="50"/>
        <v>45758</v>
      </c>
      <c r="V2113" s="145"/>
      <c r="W2113" s="183">
        <f t="shared" si="47"/>
        <v>4</v>
      </c>
      <c r="X2113" s="183"/>
      <c r="Y2113" s="183"/>
      <c r="Z2113" s="183"/>
      <c r="AA2113" s="183"/>
      <c r="AB2113" s="183"/>
    </row>
    <row r="2114" spans="1:28" hidden="1">
      <c r="A2114" s="163" t="s">
        <v>1017</v>
      </c>
      <c r="B2114" s="164">
        <v>45755</v>
      </c>
      <c r="C2114" s="163" t="s">
        <v>698</v>
      </c>
      <c r="D2114" s="163" t="s">
        <v>281</v>
      </c>
      <c r="E2114" s="163" t="s">
        <v>199</v>
      </c>
      <c r="F2114" s="168">
        <v>-897.45</v>
      </c>
      <c r="G2114" s="165">
        <f t="shared" si="48"/>
        <v>15004.810999999954</v>
      </c>
      <c r="H2114" s="180"/>
      <c r="I2114" s="180"/>
      <c r="J2114" s="180"/>
      <c r="K2114" s="180"/>
      <c r="L2114" s="180"/>
      <c r="M2114" s="180"/>
      <c r="N2114" s="180"/>
      <c r="O2114" s="180"/>
      <c r="P2114" s="180"/>
      <c r="Q2114" s="180"/>
      <c r="R2114" s="180"/>
      <c r="S2114" s="180"/>
      <c r="T2114" s="43">
        <f t="shared" si="49"/>
        <v>4</v>
      </c>
      <c r="U2114" s="167">
        <f t="shared" si="50"/>
        <v>45758</v>
      </c>
      <c r="V2114" s="145">
        <v>45758</v>
      </c>
      <c r="W2114" s="43">
        <f t="shared" si="47"/>
        <v>4</v>
      </c>
      <c r="X2114" s="49"/>
      <c r="Y2114" s="49"/>
      <c r="Z2114" s="183"/>
      <c r="AA2114" s="183"/>
      <c r="AB2114" s="183"/>
    </row>
    <row r="2115" spans="1:28" hidden="1">
      <c r="A2115" s="163" t="s">
        <v>1017</v>
      </c>
      <c r="B2115" s="164">
        <v>45751</v>
      </c>
      <c r="C2115" s="163" t="s">
        <v>1295</v>
      </c>
      <c r="D2115" s="163" t="s">
        <v>281</v>
      </c>
      <c r="E2115" s="163" t="s">
        <v>199</v>
      </c>
      <c r="F2115" s="168">
        <v>-880</v>
      </c>
      <c r="G2115" s="165">
        <f t="shared" si="48"/>
        <v>14124.810999999954</v>
      </c>
      <c r="H2115" s="180"/>
      <c r="I2115" s="180"/>
      <c r="J2115" s="180"/>
      <c r="K2115" s="180"/>
      <c r="L2115" s="180"/>
      <c r="M2115" s="180"/>
      <c r="N2115" s="180"/>
      <c r="O2115" s="180"/>
      <c r="P2115" s="180"/>
      <c r="Q2115" s="180"/>
      <c r="R2115" s="180"/>
      <c r="S2115" s="180"/>
      <c r="T2115" s="43">
        <f t="shared" si="49"/>
        <v>4</v>
      </c>
      <c r="U2115" s="167">
        <f t="shared" si="50"/>
        <v>45758</v>
      </c>
      <c r="V2115" s="145">
        <v>45758</v>
      </c>
      <c r="W2115" s="43">
        <f t="shared" si="47"/>
        <v>4</v>
      </c>
      <c r="X2115" s="49"/>
      <c r="Y2115" s="49"/>
      <c r="Z2115" s="183"/>
      <c r="AA2115" s="183"/>
      <c r="AB2115" s="183"/>
    </row>
    <row r="2116" spans="1:28" hidden="1">
      <c r="A2116" s="163" t="s">
        <v>1017</v>
      </c>
      <c r="B2116" s="164">
        <v>45758</v>
      </c>
      <c r="C2116" s="163" t="s">
        <v>1010</v>
      </c>
      <c r="D2116" s="163" t="s">
        <v>281</v>
      </c>
      <c r="E2116" s="163" t="s">
        <v>199</v>
      </c>
      <c r="F2116" s="168">
        <v>-2500</v>
      </c>
      <c r="G2116" s="165">
        <f t="shared" si="48"/>
        <v>11624.810999999954</v>
      </c>
      <c r="H2116" s="180"/>
      <c r="I2116" s="180"/>
      <c r="J2116" s="180"/>
      <c r="K2116" s="180"/>
      <c r="L2116" s="180"/>
      <c r="M2116" s="180"/>
      <c r="N2116" s="180"/>
      <c r="O2116" s="180"/>
      <c r="P2116" s="180"/>
      <c r="Q2116" s="180"/>
      <c r="R2116" s="180"/>
      <c r="S2116" s="180"/>
      <c r="T2116" s="43">
        <f t="shared" si="49"/>
        <v>4</v>
      </c>
      <c r="U2116" s="167">
        <f t="shared" si="50"/>
        <v>45758</v>
      </c>
      <c r="V2116" s="145"/>
      <c r="W2116" s="43">
        <f t="shared" si="47"/>
        <v>4</v>
      </c>
      <c r="X2116" s="49"/>
      <c r="Y2116" s="49"/>
      <c r="Z2116" s="183"/>
      <c r="AA2116" s="183"/>
      <c r="AB2116" s="183"/>
    </row>
    <row r="2117" spans="1:28" hidden="1">
      <c r="A2117" s="163" t="s">
        <v>1017</v>
      </c>
      <c r="B2117" s="164">
        <v>45757</v>
      </c>
      <c r="C2117" s="163" t="s">
        <v>1791</v>
      </c>
      <c r="D2117" s="163" t="s">
        <v>281</v>
      </c>
      <c r="E2117" s="163" t="s">
        <v>202</v>
      </c>
      <c r="F2117" s="168">
        <v>-2333.33</v>
      </c>
      <c r="G2117" s="165">
        <f t="shared" si="48"/>
        <v>9291.4809999999543</v>
      </c>
      <c r="H2117" s="180"/>
      <c r="I2117" s="180"/>
      <c r="J2117" s="180"/>
      <c r="K2117" s="180"/>
      <c r="L2117" s="180"/>
      <c r="M2117" s="180"/>
      <c r="N2117" s="180"/>
      <c r="O2117" s="180"/>
      <c r="P2117" s="180"/>
      <c r="Q2117" s="180"/>
      <c r="R2117" s="180"/>
      <c r="S2117" s="180"/>
      <c r="T2117" s="43">
        <f t="shared" si="49"/>
        <v>4</v>
      </c>
      <c r="U2117" s="167">
        <f t="shared" si="50"/>
        <v>45758</v>
      </c>
      <c r="V2117" s="166">
        <v>45758</v>
      </c>
      <c r="W2117" s="43">
        <f t="shared" si="47"/>
        <v>4</v>
      </c>
      <c r="X2117" s="49"/>
      <c r="Y2117" s="49"/>
      <c r="Z2117" s="183"/>
      <c r="AA2117" s="183"/>
      <c r="AB2117" s="183"/>
    </row>
    <row r="2118" spans="1:28" hidden="1">
      <c r="A2118" s="163" t="s">
        <v>1017</v>
      </c>
      <c r="B2118" s="164">
        <v>45758</v>
      </c>
      <c r="C2118" s="163" t="s">
        <v>57</v>
      </c>
      <c r="D2118" s="163" t="s">
        <v>281</v>
      </c>
      <c r="E2118" s="163" t="s">
        <v>760</v>
      </c>
      <c r="F2118" s="168">
        <f>-10113.3+1200</f>
        <v>-8913.2999999999993</v>
      </c>
      <c r="G2118" s="165">
        <f t="shared" si="48"/>
        <v>378.18099999995502</v>
      </c>
      <c r="H2118" s="180"/>
      <c r="I2118" s="180"/>
      <c r="J2118" s="180"/>
      <c r="K2118" s="180"/>
      <c r="L2118" s="180"/>
      <c r="M2118" s="180"/>
      <c r="N2118" s="180"/>
      <c r="O2118" s="180"/>
      <c r="P2118" s="180"/>
      <c r="Q2118" s="180"/>
      <c r="R2118" s="180"/>
      <c r="S2118" s="180"/>
      <c r="T2118" s="43">
        <f t="shared" si="49"/>
        <v>4</v>
      </c>
      <c r="U2118" s="167">
        <f t="shared" si="50"/>
        <v>45758</v>
      </c>
      <c r="V2118" s="145"/>
      <c r="W2118" s="43">
        <f t="shared" si="47"/>
        <v>4</v>
      </c>
      <c r="X2118" s="49"/>
      <c r="Y2118" s="49"/>
      <c r="Z2118" s="183"/>
      <c r="AA2118" s="183"/>
      <c r="AB2118" s="183"/>
    </row>
    <row r="2119" spans="1:28" hidden="1">
      <c r="A2119" s="180" t="s">
        <v>1017</v>
      </c>
      <c r="B2119" s="181">
        <v>45758</v>
      </c>
      <c r="C2119" s="180" t="s">
        <v>1792</v>
      </c>
      <c r="D2119" s="180" t="s">
        <v>281</v>
      </c>
      <c r="E2119" s="180" t="s">
        <v>1702</v>
      </c>
      <c r="F2119" s="165">
        <v>-76.66</v>
      </c>
      <c r="G2119" s="165">
        <f t="shared" si="48"/>
        <v>301.52099999995505</v>
      </c>
      <c r="H2119" s="180"/>
      <c r="I2119" s="180" t="s">
        <v>283</v>
      </c>
      <c r="J2119" s="180"/>
      <c r="K2119" s="180"/>
      <c r="L2119" s="180" t="s">
        <v>485</v>
      </c>
      <c r="M2119" s="180"/>
      <c r="N2119" s="180" t="s">
        <v>978</v>
      </c>
      <c r="O2119" s="180"/>
      <c r="P2119" s="180"/>
      <c r="Q2119" s="180"/>
      <c r="R2119" s="180" t="s">
        <v>669</v>
      </c>
      <c r="S2119" s="180" t="s">
        <v>1492</v>
      </c>
      <c r="T2119" s="183">
        <f t="shared" si="49"/>
        <v>4</v>
      </c>
      <c r="U2119" s="184">
        <f t="shared" si="50"/>
        <v>45758</v>
      </c>
      <c r="V2119" s="145"/>
      <c r="W2119" s="43">
        <f t="shared" si="47"/>
        <v>4</v>
      </c>
      <c r="X2119" s="183" t="s">
        <v>1381</v>
      </c>
      <c r="Y2119" s="183" t="s">
        <v>1488</v>
      </c>
      <c r="Z2119" s="183"/>
      <c r="AA2119" s="183"/>
      <c r="AB2119" s="183"/>
    </row>
    <row r="2120" spans="1:28" hidden="1">
      <c r="A2120" s="163"/>
      <c r="B2120" s="164">
        <v>45758</v>
      </c>
      <c r="C2120" s="163" t="s">
        <v>346</v>
      </c>
      <c r="D2120" s="163"/>
      <c r="E2120" s="163"/>
      <c r="F2120" s="165">
        <v>0</v>
      </c>
      <c r="G2120" s="165">
        <f t="shared" si="48"/>
        <v>301.52099999995505</v>
      </c>
      <c r="H2120" s="180"/>
      <c r="I2120" s="180"/>
      <c r="J2120" s="180"/>
      <c r="K2120" s="180"/>
      <c r="L2120" s="180"/>
      <c r="M2120" s="180"/>
      <c r="N2120" s="180"/>
      <c r="O2120" s="180"/>
      <c r="P2120" s="180"/>
      <c r="Q2120" s="180"/>
      <c r="R2120" s="180"/>
      <c r="S2120" s="180"/>
      <c r="T2120" s="43">
        <f t="shared" si="49"/>
        <v>4</v>
      </c>
      <c r="U2120" s="167">
        <f t="shared" si="50"/>
        <v>45758</v>
      </c>
      <c r="V2120" s="145"/>
      <c r="W2120" s="43">
        <f t="shared" si="47"/>
        <v>4</v>
      </c>
      <c r="X2120" s="49"/>
      <c r="Y2120" s="49"/>
      <c r="Z2120" s="183"/>
      <c r="AA2120" s="183"/>
      <c r="AB2120" s="183"/>
    </row>
    <row r="2121" spans="1:28" hidden="1">
      <c r="A2121" s="163" t="s">
        <v>1017</v>
      </c>
      <c r="B2121" s="164">
        <v>45754</v>
      </c>
      <c r="C2121" s="163" t="s">
        <v>1013</v>
      </c>
      <c r="D2121" s="163" t="s">
        <v>281</v>
      </c>
      <c r="E2121" s="163" t="s">
        <v>199</v>
      </c>
      <c r="F2121" s="168">
        <v>-100</v>
      </c>
      <c r="G2121" s="165">
        <f t="shared" si="48"/>
        <v>201.52099999995505</v>
      </c>
      <c r="H2121" s="180"/>
      <c r="I2121" s="180"/>
      <c r="J2121" s="180"/>
      <c r="K2121" s="180"/>
      <c r="L2121" s="180"/>
      <c r="M2121" s="180"/>
      <c r="N2121" s="180"/>
      <c r="O2121" s="180"/>
      <c r="P2121" s="180"/>
      <c r="Q2121" s="180"/>
      <c r="R2121" s="180"/>
      <c r="S2121" s="180"/>
      <c r="T2121" s="43">
        <f t="shared" si="49"/>
        <v>4</v>
      </c>
      <c r="U2121" s="167">
        <f t="shared" si="50"/>
        <v>45761</v>
      </c>
      <c r="V2121" s="145">
        <v>45761</v>
      </c>
      <c r="W2121" s="43">
        <f t="shared" si="47"/>
        <v>4</v>
      </c>
      <c r="X2121" s="49"/>
      <c r="Y2121" s="49"/>
      <c r="Z2121" s="183"/>
      <c r="AA2121" s="183"/>
      <c r="AB2121" s="183"/>
    </row>
    <row r="2122" spans="1:28" hidden="1">
      <c r="A2122" s="163" t="s">
        <v>1017</v>
      </c>
      <c r="B2122" s="164">
        <v>45758</v>
      </c>
      <c r="C2122" s="163" t="s">
        <v>615</v>
      </c>
      <c r="D2122" s="163" t="s">
        <v>281</v>
      </c>
      <c r="E2122" s="163" t="s">
        <v>407</v>
      </c>
      <c r="F2122" s="165">
        <v>10500</v>
      </c>
      <c r="G2122" s="165">
        <f t="shared" si="48"/>
        <v>10701.520999999955</v>
      </c>
      <c r="H2122" s="180"/>
      <c r="I2122" s="180"/>
      <c r="J2122" s="180"/>
      <c r="K2122" s="180"/>
      <c r="L2122" s="180"/>
      <c r="M2122" s="180"/>
      <c r="N2122" s="180"/>
      <c r="O2122" s="180"/>
      <c r="P2122" s="180"/>
      <c r="Q2122" s="180"/>
      <c r="R2122" s="180"/>
      <c r="S2122" s="180"/>
      <c r="T2122" s="43">
        <f t="shared" si="49"/>
        <v>4</v>
      </c>
      <c r="U2122" s="167">
        <f t="shared" si="50"/>
        <v>45761</v>
      </c>
      <c r="V2122" s="145">
        <v>45761</v>
      </c>
      <c r="W2122" s="43">
        <f t="shared" si="47"/>
        <v>4</v>
      </c>
      <c r="X2122" s="49"/>
      <c r="Y2122" s="49"/>
      <c r="Z2122" s="183"/>
      <c r="AA2122" s="183"/>
      <c r="AB2122" s="183"/>
    </row>
    <row r="2123" spans="1:28" hidden="1">
      <c r="A2123" s="163" t="s">
        <v>1174</v>
      </c>
      <c r="B2123" s="164">
        <v>45713</v>
      </c>
      <c r="C2123" s="163" t="s">
        <v>1158</v>
      </c>
      <c r="D2123" s="163" t="s">
        <v>281</v>
      </c>
      <c r="E2123" s="163" t="s">
        <v>407</v>
      </c>
      <c r="F2123" s="278">
        <f>1654.4</f>
        <v>1654.4</v>
      </c>
      <c r="G2123" s="165">
        <f t="shared" si="48"/>
        <v>12355.920999999955</v>
      </c>
      <c r="H2123" s="163"/>
      <c r="I2123" s="163" t="s">
        <v>1176</v>
      </c>
      <c r="J2123" s="163" t="s">
        <v>1493</v>
      </c>
      <c r="K2123" s="163"/>
      <c r="L2123" s="163" t="s">
        <v>305</v>
      </c>
      <c r="M2123" s="163"/>
      <c r="N2123" s="163" t="s">
        <v>1178</v>
      </c>
      <c r="O2123" s="163" t="s">
        <v>1493</v>
      </c>
      <c r="P2123" s="163" t="s">
        <v>57</v>
      </c>
      <c r="Q2123" s="163"/>
      <c r="R2123" s="163" t="s">
        <v>1163</v>
      </c>
      <c r="S2123" s="163" t="s">
        <v>1164</v>
      </c>
      <c r="T2123" s="43">
        <f t="shared" si="49"/>
        <v>2</v>
      </c>
      <c r="U2123" s="167">
        <f t="shared" si="50"/>
        <v>45761</v>
      </c>
      <c r="V2123" s="166">
        <v>45761</v>
      </c>
      <c r="W2123" s="43">
        <f t="shared" si="47"/>
        <v>4</v>
      </c>
      <c r="X2123" s="43" t="s">
        <v>1484</v>
      </c>
      <c r="Y2123" s="43" t="s">
        <v>1485</v>
      </c>
      <c r="AB2123" s="49" t="s">
        <v>1793</v>
      </c>
    </row>
    <row r="2124" spans="1:28" hidden="1">
      <c r="A2124" s="163" t="s">
        <v>1017</v>
      </c>
      <c r="B2124" s="164">
        <v>45761</v>
      </c>
      <c r="C2124" s="163" t="s">
        <v>1010</v>
      </c>
      <c r="D2124" s="163" t="s">
        <v>281</v>
      </c>
      <c r="E2124" s="163" t="s">
        <v>199</v>
      </c>
      <c r="F2124" s="168">
        <v>-750</v>
      </c>
      <c r="G2124" s="165">
        <f t="shared" si="48"/>
        <v>11605.920999999955</v>
      </c>
      <c r="H2124" s="180"/>
      <c r="I2124" s="180"/>
      <c r="J2124" s="180"/>
      <c r="K2124" s="180"/>
      <c r="L2124" s="180"/>
      <c r="M2124" s="180"/>
      <c r="N2124" s="180"/>
      <c r="O2124" s="180"/>
      <c r="P2124" s="180"/>
      <c r="Q2124" s="180"/>
      <c r="R2124" s="180"/>
      <c r="S2124" s="180"/>
      <c r="T2124" s="43">
        <f t="shared" si="49"/>
        <v>4</v>
      </c>
      <c r="U2124" s="167">
        <f t="shared" si="50"/>
        <v>45761</v>
      </c>
      <c r="V2124" s="145"/>
      <c r="W2124" s="43">
        <f t="shared" si="47"/>
        <v>4</v>
      </c>
      <c r="X2124" s="49"/>
      <c r="Y2124" s="49"/>
      <c r="Z2124" s="183"/>
      <c r="AA2124" s="183"/>
      <c r="AB2124" s="183"/>
    </row>
    <row r="2125" spans="1:28" hidden="1">
      <c r="A2125" s="163" t="s">
        <v>1017</v>
      </c>
      <c r="B2125" s="164">
        <v>45754</v>
      </c>
      <c r="C2125" s="163" t="s">
        <v>552</v>
      </c>
      <c r="D2125" s="163" t="s">
        <v>281</v>
      </c>
      <c r="E2125" s="163" t="s">
        <v>199</v>
      </c>
      <c r="F2125" s="168">
        <v>-251.1</v>
      </c>
      <c r="G2125" s="165">
        <f t="shared" si="48"/>
        <v>11354.820999999954</v>
      </c>
      <c r="H2125" s="180"/>
      <c r="I2125" s="180"/>
      <c r="J2125" s="180"/>
      <c r="K2125" s="180"/>
      <c r="L2125" s="180"/>
      <c r="M2125" s="180"/>
      <c r="N2125" s="180"/>
      <c r="O2125" s="180"/>
      <c r="P2125" s="180"/>
      <c r="Q2125" s="180"/>
      <c r="R2125" s="180"/>
      <c r="S2125" s="180"/>
      <c r="T2125" s="43">
        <f t="shared" si="49"/>
        <v>4</v>
      </c>
      <c r="U2125" s="167">
        <f t="shared" si="50"/>
        <v>45761</v>
      </c>
      <c r="V2125" s="145">
        <v>45761</v>
      </c>
      <c r="W2125" s="43">
        <f t="shared" si="47"/>
        <v>4</v>
      </c>
      <c r="X2125" s="49"/>
      <c r="Y2125" s="49"/>
      <c r="Z2125" s="183"/>
      <c r="AA2125" s="183"/>
      <c r="AB2125" s="183"/>
    </row>
    <row r="2126" spans="1:28" hidden="1">
      <c r="A2126" s="180" t="s">
        <v>1017</v>
      </c>
      <c r="B2126" s="181">
        <v>45758</v>
      </c>
      <c r="C2126" s="180" t="s">
        <v>1725</v>
      </c>
      <c r="D2126" s="180" t="s">
        <v>281</v>
      </c>
      <c r="E2126" s="180" t="s">
        <v>1702</v>
      </c>
      <c r="F2126" s="165">
        <f>-668.98-836</f>
        <v>-1504.98</v>
      </c>
      <c r="G2126" s="165">
        <f t="shared" si="48"/>
        <v>9849.8409999999549</v>
      </c>
      <c r="H2126" s="180"/>
      <c r="I2126" s="180" t="s">
        <v>283</v>
      </c>
      <c r="J2126" s="180"/>
      <c r="K2126" s="180"/>
      <c r="L2126" s="180" t="s">
        <v>485</v>
      </c>
      <c r="M2126" s="180"/>
      <c r="N2126" s="180" t="s">
        <v>978</v>
      </c>
      <c r="O2126" s="180"/>
      <c r="P2126" s="180"/>
      <c r="Q2126" s="180"/>
      <c r="R2126" s="180" t="s">
        <v>669</v>
      </c>
      <c r="S2126" s="180" t="s">
        <v>1492</v>
      </c>
      <c r="T2126" s="183">
        <f t="shared" si="49"/>
        <v>4</v>
      </c>
      <c r="U2126" s="184">
        <f t="shared" si="50"/>
        <v>45761</v>
      </c>
      <c r="V2126" s="145">
        <v>45761</v>
      </c>
      <c r="W2126" s="43">
        <f t="shared" si="47"/>
        <v>4</v>
      </c>
      <c r="X2126" s="183" t="s">
        <v>1381</v>
      </c>
      <c r="Y2126" s="183" t="s">
        <v>1488</v>
      </c>
      <c r="Z2126" s="183"/>
      <c r="AA2126" s="183"/>
      <c r="AB2126" s="183"/>
    </row>
    <row r="2127" spans="1:28" hidden="1">
      <c r="A2127" s="180" t="s">
        <v>1017</v>
      </c>
      <c r="B2127" s="181">
        <v>45761</v>
      </c>
      <c r="C2127" s="180" t="s">
        <v>1788</v>
      </c>
      <c r="D2127" s="180" t="s">
        <v>281</v>
      </c>
      <c r="E2127" s="180" t="s">
        <v>120</v>
      </c>
      <c r="F2127" s="182">
        <v>-352</v>
      </c>
      <c r="G2127" s="165">
        <f t="shared" si="48"/>
        <v>9497.8409999999549</v>
      </c>
      <c r="H2127" s="180"/>
      <c r="I2127" s="180"/>
      <c r="J2127" s="180"/>
      <c r="K2127" s="180"/>
      <c r="L2127" s="180"/>
      <c r="M2127" s="180"/>
      <c r="N2127" s="180"/>
      <c r="O2127" s="180"/>
      <c r="P2127" s="180"/>
      <c r="Q2127" s="180"/>
      <c r="R2127" s="180"/>
      <c r="S2127" s="180"/>
      <c r="T2127" s="183">
        <f t="shared" si="49"/>
        <v>4</v>
      </c>
      <c r="U2127" s="184">
        <f t="shared" si="50"/>
        <v>45761</v>
      </c>
      <c r="V2127" s="187"/>
      <c r="W2127" s="183">
        <f t="shared" si="47"/>
        <v>4</v>
      </c>
      <c r="X2127" s="183"/>
      <c r="Y2127" s="183"/>
      <c r="Z2127" s="183"/>
      <c r="AA2127" s="183"/>
      <c r="AB2127" s="183"/>
    </row>
    <row r="2128" spans="1:28" hidden="1">
      <c r="A2128" s="180" t="s">
        <v>1017</v>
      </c>
      <c r="B2128" s="181">
        <v>45758</v>
      </c>
      <c r="C2128" s="180" t="s">
        <v>481</v>
      </c>
      <c r="D2128" s="180" t="s">
        <v>281</v>
      </c>
      <c r="E2128" s="180" t="s">
        <v>1702</v>
      </c>
      <c r="F2128" s="165">
        <v>-130</v>
      </c>
      <c r="G2128" s="165">
        <f t="shared" si="48"/>
        <v>9367.8409999999549</v>
      </c>
      <c r="H2128" s="180"/>
      <c r="I2128" s="180" t="s">
        <v>283</v>
      </c>
      <c r="J2128" s="180"/>
      <c r="K2128" s="180"/>
      <c r="L2128" s="180" t="s">
        <v>485</v>
      </c>
      <c r="M2128" s="180"/>
      <c r="N2128" s="180" t="s">
        <v>978</v>
      </c>
      <c r="O2128" s="180"/>
      <c r="P2128" s="180"/>
      <c r="Q2128" s="180"/>
      <c r="R2128" s="180" t="s">
        <v>669</v>
      </c>
      <c r="S2128" s="180" t="s">
        <v>1492</v>
      </c>
      <c r="T2128" s="183">
        <f t="shared" si="49"/>
        <v>4</v>
      </c>
      <c r="U2128" s="184">
        <f t="shared" si="50"/>
        <v>45761</v>
      </c>
      <c r="V2128" s="145">
        <v>45761</v>
      </c>
      <c r="W2128" s="43">
        <f t="shared" si="47"/>
        <v>4</v>
      </c>
      <c r="X2128" s="183" t="s">
        <v>1381</v>
      </c>
      <c r="Y2128" s="183" t="s">
        <v>1488</v>
      </c>
      <c r="Z2128" s="183"/>
      <c r="AA2128" s="183"/>
      <c r="AB2128" s="183"/>
    </row>
    <row r="2129" spans="1:28" hidden="1">
      <c r="A2129" s="163" t="s">
        <v>1017</v>
      </c>
      <c r="B2129" s="164">
        <v>45761</v>
      </c>
      <c r="C2129" s="163" t="s">
        <v>460</v>
      </c>
      <c r="D2129" s="163" t="s">
        <v>281</v>
      </c>
      <c r="E2129" s="163" t="s">
        <v>301</v>
      </c>
      <c r="F2129" s="168">
        <v>-3556.63</v>
      </c>
      <c r="G2129" s="165">
        <f t="shared" si="48"/>
        <v>5811.2109999999548</v>
      </c>
      <c r="H2129" s="180"/>
      <c r="I2129" s="180"/>
      <c r="J2129" s="180"/>
      <c r="K2129" s="180"/>
      <c r="L2129" s="180"/>
      <c r="M2129" s="180"/>
      <c r="N2129" s="180"/>
      <c r="O2129" s="180"/>
      <c r="P2129" s="180"/>
      <c r="Q2129" s="180"/>
      <c r="R2129" s="180"/>
      <c r="S2129" s="180"/>
      <c r="T2129" s="43">
        <f t="shared" si="49"/>
        <v>4</v>
      </c>
      <c r="U2129" s="167">
        <f t="shared" si="50"/>
        <v>45761</v>
      </c>
      <c r="V2129" s="145"/>
      <c r="W2129" s="43">
        <f t="shared" si="47"/>
        <v>4</v>
      </c>
      <c r="X2129" s="49"/>
      <c r="Y2129" s="49"/>
      <c r="Z2129" s="183"/>
      <c r="AA2129" s="183"/>
      <c r="AB2129" s="183"/>
    </row>
    <row r="2130" spans="1:28" hidden="1">
      <c r="A2130" s="163" t="s">
        <v>1017</v>
      </c>
      <c r="B2130" s="164">
        <v>45758</v>
      </c>
      <c r="C2130" s="163" t="s">
        <v>183</v>
      </c>
      <c r="D2130" s="163" t="s">
        <v>281</v>
      </c>
      <c r="E2130" s="163" t="s">
        <v>760</v>
      </c>
      <c r="F2130" s="168">
        <v>-669.9</v>
      </c>
      <c r="G2130" s="165">
        <f t="shared" si="48"/>
        <v>5141.3109999999551</v>
      </c>
      <c r="H2130" s="180"/>
      <c r="I2130" s="180"/>
      <c r="J2130" s="180"/>
      <c r="K2130" s="180"/>
      <c r="L2130" s="180"/>
      <c r="M2130" s="180"/>
      <c r="N2130" s="180"/>
      <c r="O2130" s="180"/>
      <c r="P2130" s="180"/>
      <c r="Q2130" s="180"/>
      <c r="R2130" s="180"/>
      <c r="S2130" s="180"/>
      <c r="T2130" s="43">
        <f t="shared" si="49"/>
        <v>4</v>
      </c>
      <c r="U2130" s="167">
        <f t="shared" si="50"/>
        <v>45761</v>
      </c>
      <c r="V2130" s="145">
        <v>45761</v>
      </c>
      <c r="W2130" s="43">
        <f t="shared" si="47"/>
        <v>4</v>
      </c>
      <c r="X2130" s="49"/>
      <c r="Y2130" s="49"/>
      <c r="Z2130" s="183"/>
      <c r="AA2130" s="183"/>
      <c r="AB2130" s="183"/>
    </row>
    <row r="2131" spans="1:28" hidden="1">
      <c r="A2131" s="163" t="s">
        <v>1017</v>
      </c>
      <c r="B2131" s="164">
        <v>45758</v>
      </c>
      <c r="C2131" s="163" t="s">
        <v>184</v>
      </c>
      <c r="D2131" s="163" t="s">
        <v>281</v>
      </c>
      <c r="E2131" s="163" t="s">
        <v>760</v>
      </c>
      <c r="F2131" s="168">
        <v>-570.83000000000004</v>
      </c>
      <c r="G2131" s="165">
        <f t="shared" si="48"/>
        <v>4570.4809999999552</v>
      </c>
      <c r="H2131" s="180"/>
      <c r="I2131" s="180"/>
      <c r="J2131" s="180"/>
      <c r="K2131" s="180"/>
      <c r="L2131" s="180"/>
      <c r="M2131" s="180"/>
      <c r="N2131" s="180"/>
      <c r="O2131" s="180"/>
      <c r="P2131" s="180"/>
      <c r="Q2131" s="180"/>
      <c r="R2131" s="180"/>
      <c r="S2131" s="180"/>
      <c r="T2131" s="43">
        <f t="shared" si="49"/>
        <v>4</v>
      </c>
      <c r="U2131" s="167">
        <f t="shared" si="50"/>
        <v>45761</v>
      </c>
      <c r="V2131" s="145">
        <v>45761</v>
      </c>
      <c r="W2131" s="43">
        <f t="shared" si="47"/>
        <v>4</v>
      </c>
      <c r="X2131" s="49"/>
      <c r="Y2131" s="49"/>
      <c r="Z2131" s="183"/>
      <c r="AA2131" s="183"/>
      <c r="AB2131" s="183"/>
    </row>
    <row r="2132" spans="1:28" hidden="1">
      <c r="A2132" s="163" t="s">
        <v>1017</v>
      </c>
      <c r="B2132" s="164">
        <v>45758</v>
      </c>
      <c r="C2132" s="163" t="s">
        <v>57</v>
      </c>
      <c r="D2132" s="163" t="s">
        <v>281</v>
      </c>
      <c r="E2132" s="163" t="s">
        <v>760</v>
      </c>
      <c r="F2132" s="168">
        <v>-1200</v>
      </c>
      <c r="G2132" s="165">
        <f t="shared" si="48"/>
        <v>3370.4809999999552</v>
      </c>
      <c r="H2132" s="180"/>
      <c r="I2132" s="180"/>
      <c r="J2132" s="180"/>
      <c r="K2132" s="180"/>
      <c r="L2132" s="180"/>
      <c r="M2132" s="180"/>
      <c r="N2132" s="180"/>
      <c r="O2132" s="180"/>
      <c r="P2132" s="180"/>
      <c r="Q2132" s="180"/>
      <c r="R2132" s="180"/>
      <c r="S2132" s="180"/>
      <c r="T2132" s="43">
        <f t="shared" si="49"/>
        <v>4</v>
      </c>
      <c r="U2132" s="167">
        <f t="shared" si="50"/>
        <v>45761</v>
      </c>
      <c r="V2132" s="145">
        <v>45761</v>
      </c>
      <c r="W2132" s="43">
        <f t="shared" si="47"/>
        <v>4</v>
      </c>
      <c r="X2132" s="49"/>
      <c r="Y2132" s="49"/>
      <c r="Z2132" s="183"/>
      <c r="AA2132" s="183"/>
      <c r="AB2132" s="183"/>
    </row>
    <row r="2133" spans="1:28" hidden="1">
      <c r="A2133" s="163" t="s">
        <v>1017</v>
      </c>
      <c r="B2133" s="164">
        <v>45757</v>
      </c>
      <c r="C2133" s="163" t="s">
        <v>840</v>
      </c>
      <c r="D2133" s="163" t="s">
        <v>281</v>
      </c>
      <c r="E2133" s="163" t="s">
        <v>841</v>
      </c>
      <c r="F2133" s="168">
        <v>-1867.98</v>
      </c>
      <c r="G2133" s="165">
        <f t="shared" si="48"/>
        <v>1502.5009999999552</v>
      </c>
      <c r="H2133" s="180"/>
      <c r="I2133" s="180"/>
      <c r="J2133" s="180"/>
      <c r="K2133" s="180"/>
      <c r="L2133" s="180"/>
      <c r="M2133" s="180"/>
      <c r="N2133" s="180"/>
      <c r="O2133" s="180"/>
      <c r="P2133" s="180"/>
      <c r="Q2133" s="180"/>
      <c r="R2133" s="180"/>
      <c r="S2133" s="180"/>
      <c r="T2133" s="43">
        <f t="shared" si="49"/>
        <v>4</v>
      </c>
      <c r="U2133" s="167">
        <f t="shared" si="50"/>
        <v>45761</v>
      </c>
      <c r="V2133" s="145">
        <v>45761</v>
      </c>
      <c r="W2133" s="43">
        <f t="shared" si="47"/>
        <v>4</v>
      </c>
      <c r="X2133" s="49"/>
      <c r="Y2133" s="49"/>
      <c r="Z2133" s="183"/>
      <c r="AA2133" s="183"/>
      <c r="AB2133" s="183"/>
    </row>
    <row r="2134" spans="1:28" hidden="1">
      <c r="A2134" s="163" t="s">
        <v>1017</v>
      </c>
      <c r="B2134" s="164">
        <v>45754</v>
      </c>
      <c r="C2134" s="163" t="s">
        <v>1210</v>
      </c>
      <c r="D2134" s="163" t="s">
        <v>281</v>
      </c>
      <c r="E2134" s="163" t="s">
        <v>196</v>
      </c>
      <c r="F2134" s="168">
        <v>-881.6</v>
      </c>
      <c r="G2134" s="165">
        <f t="shared" si="48"/>
        <v>620.90099999995516</v>
      </c>
      <c r="H2134" s="180"/>
      <c r="I2134" s="180"/>
      <c r="J2134" s="180"/>
      <c r="K2134" s="180"/>
      <c r="L2134" s="180"/>
      <c r="M2134" s="180"/>
      <c r="N2134" s="180"/>
      <c r="O2134" s="180"/>
      <c r="P2134" s="180"/>
      <c r="Q2134" s="180"/>
      <c r="R2134" s="180"/>
      <c r="S2134" s="180"/>
      <c r="T2134" s="43">
        <f t="shared" si="49"/>
        <v>4</v>
      </c>
      <c r="U2134" s="167">
        <f t="shared" si="50"/>
        <v>45761</v>
      </c>
      <c r="V2134" s="145">
        <v>45761</v>
      </c>
      <c r="W2134" s="43">
        <f t="shared" si="47"/>
        <v>4</v>
      </c>
      <c r="X2134" s="49"/>
      <c r="Y2134" s="49"/>
      <c r="Z2134" s="183"/>
      <c r="AA2134" s="183"/>
      <c r="AB2134" s="183"/>
    </row>
    <row r="2135" spans="1:28">
      <c r="A2135" s="180" t="s">
        <v>1017</v>
      </c>
      <c r="B2135" s="181">
        <v>45761</v>
      </c>
      <c r="C2135" s="180" t="s">
        <v>1087</v>
      </c>
      <c r="D2135" s="180" t="s">
        <v>281</v>
      </c>
      <c r="E2135" s="180" t="s">
        <v>18</v>
      </c>
      <c r="F2135" s="182">
        <v>-500</v>
      </c>
      <c r="G2135" s="165">
        <f t="shared" si="48"/>
        <v>120.90099999995516</v>
      </c>
      <c r="H2135" s="180"/>
      <c r="I2135" s="180"/>
      <c r="J2135" s="180"/>
      <c r="K2135" s="180"/>
      <c r="L2135" s="180"/>
      <c r="M2135" s="180"/>
      <c r="N2135" s="180"/>
      <c r="O2135" s="180"/>
      <c r="P2135" s="180"/>
      <c r="Q2135" s="180"/>
      <c r="R2135" s="180"/>
      <c r="S2135" s="180"/>
      <c r="T2135" s="183">
        <f t="shared" si="49"/>
        <v>4</v>
      </c>
      <c r="U2135" s="184">
        <f t="shared" si="50"/>
        <v>45761</v>
      </c>
      <c r="V2135" s="145"/>
      <c r="W2135" s="183">
        <f t="shared" si="47"/>
        <v>4</v>
      </c>
      <c r="X2135" s="183"/>
      <c r="Y2135" s="183"/>
      <c r="Z2135" s="183"/>
      <c r="AA2135" s="183"/>
      <c r="AB2135" s="183"/>
    </row>
    <row r="2136" spans="1:28" hidden="1">
      <c r="A2136" s="163" t="s">
        <v>1017</v>
      </c>
      <c r="B2136" s="164">
        <v>45761</v>
      </c>
      <c r="C2136" s="190" t="s">
        <v>330</v>
      </c>
      <c r="D2136" s="190" t="s">
        <v>281</v>
      </c>
      <c r="E2136" s="190" t="s">
        <v>330</v>
      </c>
      <c r="F2136" s="185">
        <v>-6</v>
      </c>
      <c r="G2136" s="165">
        <f t="shared" si="48"/>
        <v>114.90099999995516</v>
      </c>
      <c r="H2136" s="190"/>
      <c r="I2136" s="190" t="s">
        <v>342</v>
      </c>
      <c r="J2136" s="190"/>
      <c r="K2136" s="190"/>
      <c r="L2136" s="190" t="s">
        <v>805</v>
      </c>
      <c r="M2136" s="190"/>
      <c r="N2136" s="190" t="s">
        <v>978</v>
      </c>
      <c r="O2136" s="190"/>
      <c r="P2136" s="190"/>
      <c r="Q2136" s="190"/>
      <c r="R2136" s="190" t="s">
        <v>1292</v>
      </c>
      <c r="S2136" s="190" t="s">
        <v>1417</v>
      </c>
      <c r="T2136" s="43">
        <f t="shared" si="49"/>
        <v>4</v>
      </c>
      <c r="U2136" s="167">
        <f t="shared" si="50"/>
        <v>45761</v>
      </c>
      <c r="V2136" s="145"/>
      <c r="W2136" s="43">
        <f t="shared" si="47"/>
        <v>4</v>
      </c>
      <c r="X2136" s="43" t="s">
        <v>1483</v>
      </c>
      <c r="Y2136" s="43" t="s">
        <v>1443</v>
      </c>
      <c r="Z2136" s="43"/>
      <c r="AA2136" s="43"/>
    </row>
    <row r="2137" spans="1:28" hidden="1">
      <c r="A2137" s="163"/>
      <c r="B2137" s="164">
        <v>45761</v>
      </c>
      <c r="C2137" s="163" t="s">
        <v>346</v>
      </c>
      <c r="D2137" s="163"/>
      <c r="E2137" s="163"/>
      <c r="F2137" s="165">
        <v>0</v>
      </c>
      <c r="G2137" s="165">
        <f t="shared" si="48"/>
        <v>114.90099999995516</v>
      </c>
      <c r="H2137" s="180"/>
      <c r="I2137" s="180"/>
      <c r="J2137" s="180"/>
      <c r="K2137" s="180"/>
      <c r="L2137" s="180"/>
      <c r="M2137" s="180"/>
      <c r="N2137" s="180"/>
      <c r="O2137" s="180"/>
      <c r="P2137" s="180"/>
      <c r="Q2137" s="180"/>
      <c r="R2137" s="180"/>
      <c r="S2137" s="180"/>
      <c r="T2137" s="43">
        <f t="shared" si="49"/>
        <v>4</v>
      </c>
      <c r="U2137" s="167">
        <f t="shared" si="50"/>
        <v>45761</v>
      </c>
      <c r="V2137" s="145"/>
      <c r="W2137" s="43">
        <f t="shared" si="47"/>
        <v>4</v>
      </c>
      <c r="X2137" s="49"/>
      <c r="Y2137" s="49"/>
      <c r="Z2137" s="183"/>
      <c r="AA2137" s="183"/>
      <c r="AB2137" s="183"/>
    </row>
    <row r="2138" spans="1:28" hidden="1">
      <c r="A2138" s="163" t="s">
        <v>1174</v>
      </c>
      <c r="B2138" s="164">
        <v>45762</v>
      </c>
      <c r="C2138" s="163" t="s">
        <v>1794</v>
      </c>
      <c r="D2138" s="163" t="s">
        <v>281</v>
      </c>
      <c r="E2138" s="163" t="s">
        <v>407</v>
      </c>
      <c r="F2138" s="165">
        <v>4216.67</v>
      </c>
      <c r="G2138" s="165">
        <f t="shared" si="48"/>
        <v>4331.5709999999553</v>
      </c>
      <c r="H2138" s="180"/>
      <c r="I2138" s="180"/>
      <c r="J2138" s="180"/>
      <c r="K2138" s="180"/>
      <c r="L2138" s="180"/>
      <c r="M2138" s="180"/>
      <c r="N2138" s="180"/>
      <c r="O2138" s="180"/>
      <c r="P2138" s="180"/>
      <c r="Q2138" s="180"/>
      <c r="R2138" s="180"/>
      <c r="S2138" s="180"/>
      <c r="T2138" s="43">
        <f t="shared" si="49"/>
        <v>4</v>
      </c>
      <c r="U2138" s="167">
        <f t="shared" si="50"/>
        <v>45762</v>
      </c>
      <c r="V2138" s="145"/>
      <c r="W2138" s="43">
        <f t="shared" si="47"/>
        <v>4</v>
      </c>
      <c r="X2138" s="49"/>
      <c r="Y2138" s="49"/>
      <c r="Z2138" s="183"/>
      <c r="AA2138" s="183"/>
      <c r="AB2138" s="183"/>
    </row>
    <row r="2139" spans="1:28" hidden="1">
      <c r="A2139" s="283" t="s">
        <v>1174</v>
      </c>
      <c r="B2139" s="284">
        <v>45762</v>
      </c>
      <c r="C2139" s="283" t="s">
        <v>1795</v>
      </c>
      <c r="D2139" s="283" t="s">
        <v>281</v>
      </c>
      <c r="E2139" s="283" t="s">
        <v>82</v>
      </c>
      <c r="F2139" s="285">
        <v>10000</v>
      </c>
      <c r="G2139" s="165">
        <f t="shared" si="48"/>
        <v>14331.570999999956</v>
      </c>
      <c r="H2139" s="283"/>
      <c r="I2139" s="283"/>
      <c r="J2139" s="283"/>
      <c r="K2139" s="283"/>
      <c r="L2139" s="283"/>
      <c r="M2139" s="283"/>
      <c r="N2139" s="283"/>
      <c r="O2139" s="283"/>
      <c r="P2139" s="283"/>
      <c r="Q2139" s="283"/>
      <c r="R2139" s="283"/>
      <c r="S2139" s="283"/>
      <c r="T2139" s="286">
        <f t="shared" si="49"/>
        <v>4</v>
      </c>
      <c r="U2139" s="287">
        <f t="shared" si="50"/>
        <v>45762</v>
      </c>
      <c r="V2139" s="288"/>
      <c r="W2139" s="286">
        <f t="shared" si="47"/>
        <v>4</v>
      </c>
      <c r="X2139" s="286"/>
      <c r="Y2139" s="286"/>
      <c r="Z2139" s="286"/>
      <c r="AA2139" s="286"/>
      <c r="AB2139" s="286"/>
    </row>
    <row r="2140" spans="1:28" hidden="1">
      <c r="A2140" s="163" t="s">
        <v>1174</v>
      </c>
      <c r="B2140" s="164">
        <v>45762</v>
      </c>
      <c r="C2140" s="163" t="s">
        <v>1796</v>
      </c>
      <c r="D2140" s="163" t="s">
        <v>281</v>
      </c>
      <c r="E2140" s="163" t="s">
        <v>407</v>
      </c>
      <c r="F2140" s="165">
        <v>3999</v>
      </c>
      <c r="G2140" s="165">
        <f t="shared" si="48"/>
        <v>18330.570999999956</v>
      </c>
      <c r="H2140" s="180"/>
      <c r="I2140" s="180"/>
      <c r="J2140" s="180"/>
      <c r="K2140" s="180"/>
      <c r="L2140" s="180"/>
      <c r="M2140" s="180"/>
      <c r="N2140" s="180"/>
      <c r="O2140" s="180"/>
      <c r="P2140" s="180"/>
      <c r="Q2140" s="180"/>
      <c r="R2140" s="180"/>
      <c r="S2140" s="180"/>
      <c r="T2140" s="43">
        <f t="shared" si="49"/>
        <v>4</v>
      </c>
      <c r="U2140" s="167">
        <f t="shared" si="50"/>
        <v>45762</v>
      </c>
      <c r="V2140" s="145"/>
      <c r="W2140" s="43">
        <f t="shared" si="47"/>
        <v>4</v>
      </c>
      <c r="X2140" s="49"/>
      <c r="Y2140" s="49"/>
      <c r="Z2140" s="183"/>
      <c r="AA2140" s="183"/>
      <c r="AB2140" s="183"/>
    </row>
    <row r="2141" spans="1:28" hidden="1">
      <c r="A2141" s="163" t="s">
        <v>1174</v>
      </c>
      <c r="B2141" s="164">
        <v>45754</v>
      </c>
      <c r="C2141" s="163" t="s">
        <v>406</v>
      </c>
      <c r="D2141" s="163" t="s">
        <v>281</v>
      </c>
      <c r="E2141" s="163" t="s">
        <v>407</v>
      </c>
      <c r="F2141" s="165">
        <v>3067</v>
      </c>
      <c r="G2141" s="165">
        <f t="shared" si="48"/>
        <v>21397.570999999956</v>
      </c>
      <c r="H2141" s="180"/>
      <c r="I2141" s="180"/>
      <c r="J2141" s="180"/>
      <c r="K2141" s="180"/>
      <c r="L2141" s="180"/>
      <c r="M2141" s="180"/>
      <c r="N2141" s="180"/>
      <c r="O2141" s="180"/>
      <c r="P2141" s="180"/>
      <c r="Q2141" s="180"/>
      <c r="R2141" s="180"/>
      <c r="S2141" s="180"/>
      <c r="T2141" s="43">
        <f t="shared" si="49"/>
        <v>4</v>
      </c>
      <c r="U2141" s="167">
        <f t="shared" si="50"/>
        <v>45762</v>
      </c>
      <c r="V2141" s="145">
        <v>45762</v>
      </c>
      <c r="W2141" s="43">
        <f t="shared" si="47"/>
        <v>4</v>
      </c>
      <c r="X2141" s="49"/>
      <c r="Y2141" s="49"/>
      <c r="Z2141" s="183"/>
      <c r="AA2141" s="183"/>
      <c r="AB2141" s="183"/>
    </row>
    <row r="2142" spans="1:28" hidden="1">
      <c r="A2142" s="163" t="s">
        <v>1174</v>
      </c>
      <c r="B2142" s="164">
        <v>45762</v>
      </c>
      <c r="C2142" s="163" t="s">
        <v>1636</v>
      </c>
      <c r="D2142" s="163" t="s">
        <v>281</v>
      </c>
      <c r="E2142" s="163" t="s">
        <v>407</v>
      </c>
      <c r="F2142" s="165">
        <v>1900</v>
      </c>
      <c r="G2142" s="165">
        <f t="shared" si="48"/>
        <v>23297.570999999956</v>
      </c>
      <c r="H2142" s="180"/>
      <c r="I2142" s="180"/>
      <c r="J2142" s="180"/>
      <c r="K2142" s="180"/>
      <c r="L2142" s="180"/>
      <c r="M2142" s="180"/>
      <c r="N2142" s="180"/>
      <c r="O2142" s="180"/>
      <c r="P2142" s="180"/>
      <c r="Q2142" s="180"/>
      <c r="R2142" s="180"/>
      <c r="S2142" s="180"/>
      <c r="T2142" s="43">
        <f t="shared" si="49"/>
        <v>4</v>
      </c>
      <c r="U2142" s="167">
        <f t="shared" si="50"/>
        <v>45762</v>
      </c>
      <c r="V2142" s="145"/>
      <c r="W2142" s="43">
        <f t="shared" si="47"/>
        <v>4</v>
      </c>
      <c r="X2142" s="49"/>
      <c r="Y2142" s="49"/>
      <c r="Z2142" s="183"/>
      <c r="AA2142" s="183"/>
      <c r="AB2142" s="183"/>
    </row>
    <row r="2143" spans="1:28" hidden="1">
      <c r="A2143" s="163" t="s">
        <v>1174</v>
      </c>
      <c r="B2143" s="164">
        <v>45762</v>
      </c>
      <c r="C2143" s="163" t="s">
        <v>969</v>
      </c>
      <c r="D2143" s="163" t="s">
        <v>281</v>
      </c>
      <c r="E2143" s="163" t="s">
        <v>407</v>
      </c>
      <c r="F2143" s="165">
        <v>3150</v>
      </c>
      <c r="G2143" s="165">
        <f t="shared" si="48"/>
        <v>26447.570999999956</v>
      </c>
      <c r="H2143" s="180"/>
      <c r="I2143" s="180"/>
      <c r="J2143" s="180"/>
      <c r="K2143" s="180"/>
      <c r="L2143" s="180"/>
      <c r="M2143" s="180"/>
      <c r="N2143" s="180"/>
      <c r="O2143" s="180"/>
      <c r="P2143" s="180"/>
      <c r="Q2143" s="180"/>
      <c r="R2143" s="180"/>
      <c r="S2143" s="180"/>
      <c r="T2143" s="43">
        <f t="shared" si="49"/>
        <v>4</v>
      </c>
      <c r="U2143" s="167">
        <f t="shared" si="50"/>
        <v>45762</v>
      </c>
      <c r="V2143" s="145"/>
      <c r="W2143" s="43">
        <f t="shared" si="47"/>
        <v>4</v>
      </c>
      <c r="X2143" s="49"/>
      <c r="Y2143" s="49"/>
      <c r="Z2143" s="183"/>
      <c r="AA2143" s="183"/>
      <c r="AB2143" s="183"/>
    </row>
    <row r="2144" spans="1:28" hidden="1">
      <c r="A2144" s="163" t="s">
        <v>1174</v>
      </c>
      <c r="B2144" s="164">
        <v>45762</v>
      </c>
      <c r="C2144" s="163" t="s">
        <v>1546</v>
      </c>
      <c r="D2144" s="163" t="s">
        <v>281</v>
      </c>
      <c r="E2144" s="163" t="s">
        <v>407</v>
      </c>
      <c r="F2144" s="165">
        <v>5000</v>
      </c>
      <c r="G2144" s="165">
        <f t="shared" si="48"/>
        <v>31447.570999999956</v>
      </c>
      <c r="H2144" s="180"/>
      <c r="I2144" s="180"/>
      <c r="J2144" s="180"/>
      <c r="K2144" s="180"/>
      <c r="L2144" s="180"/>
      <c r="M2144" s="180"/>
      <c r="N2144" s="180"/>
      <c r="O2144" s="180"/>
      <c r="P2144" s="180"/>
      <c r="Q2144" s="180"/>
      <c r="R2144" s="180"/>
      <c r="S2144" s="180"/>
      <c r="T2144" s="43">
        <f t="shared" si="49"/>
        <v>4</v>
      </c>
      <c r="U2144" s="167">
        <f t="shared" si="50"/>
        <v>45762</v>
      </c>
      <c r="V2144" s="145"/>
      <c r="W2144" s="43">
        <f t="shared" si="47"/>
        <v>4</v>
      </c>
      <c r="X2144" s="49"/>
      <c r="Y2144" s="49"/>
      <c r="Z2144" s="183"/>
      <c r="AA2144" s="183"/>
      <c r="AB2144" s="183"/>
    </row>
    <row r="2145" spans="1:28" hidden="1">
      <c r="A2145" s="163" t="s">
        <v>1174</v>
      </c>
      <c r="B2145" s="164">
        <v>45762</v>
      </c>
      <c r="C2145" s="163" t="s">
        <v>1797</v>
      </c>
      <c r="D2145" s="163" t="s">
        <v>281</v>
      </c>
      <c r="E2145" s="163" t="s">
        <v>407</v>
      </c>
      <c r="F2145" s="165">
        <v>2800</v>
      </c>
      <c r="G2145" s="165">
        <f t="shared" si="48"/>
        <v>34247.570999999953</v>
      </c>
      <c r="H2145" s="180"/>
      <c r="I2145" s="180"/>
      <c r="J2145" s="180"/>
      <c r="K2145" s="180"/>
      <c r="L2145" s="180"/>
      <c r="M2145" s="180"/>
      <c r="N2145" s="180"/>
      <c r="O2145" s="180"/>
      <c r="P2145" s="180"/>
      <c r="Q2145" s="180"/>
      <c r="R2145" s="180"/>
      <c r="S2145" s="180"/>
      <c r="T2145" s="43">
        <f t="shared" si="49"/>
        <v>4</v>
      </c>
      <c r="U2145" s="167">
        <f t="shared" si="50"/>
        <v>45762</v>
      </c>
      <c r="V2145" s="145"/>
      <c r="W2145" s="43">
        <f t="shared" si="47"/>
        <v>4</v>
      </c>
      <c r="X2145" s="49"/>
      <c r="Y2145" s="49"/>
      <c r="Z2145" s="183"/>
      <c r="AA2145" s="183"/>
      <c r="AB2145" s="183"/>
    </row>
    <row r="2146" spans="1:28" hidden="1">
      <c r="A2146" s="180" t="s">
        <v>1017</v>
      </c>
      <c r="B2146" s="181">
        <v>45722</v>
      </c>
      <c r="C2146" s="180" t="s">
        <v>1798</v>
      </c>
      <c r="D2146" s="180" t="s">
        <v>281</v>
      </c>
      <c r="E2146" s="180" t="s">
        <v>1799</v>
      </c>
      <c r="F2146" s="168">
        <v>-7000</v>
      </c>
      <c r="G2146" s="165">
        <f t="shared" si="48"/>
        <v>27247.570999999953</v>
      </c>
      <c r="H2146" s="180"/>
      <c r="I2146" s="180" t="s">
        <v>342</v>
      </c>
      <c r="J2146" s="180"/>
      <c r="K2146" s="180"/>
      <c r="L2146" s="180" t="s">
        <v>766</v>
      </c>
      <c r="M2146" s="180"/>
      <c r="N2146" s="180" t="s">
        <v>978</v>
      </c>
      <c r="O2146" s="180"/>
      <c r="P2146" s="180"/>
      <c r="Q2146" s="180"/>
      <c r="R2146" s="180" t="s">
        <v>1007</v>
      </c>
      <c r="S2146" s="180" t="s">
        <v>982</v>
      </c>
      <c r="T2146" s="183">
        <f t="shared" si="49"/>
        <v>3</v>
      </c>
      <c r="U2146" s="184">
        <f t="shared" si="50"/>
        <v>45762</v>
      </c>
      <c r="V2146" s="145">
        <v>45762</v>
      </c>
      <c r="W2146" s="43">
        <f t="shared" si="47"/>
        <v>4</v>
      </c>
      <c r="X2146" s="183" t="s">
        <v>1552</v>
      </c>
      <c r="Y2146" s="183" t="s">
        <v>26</v>
      </c>
      <c r="Z2146" s="183"/>
      <c r="AA2146" s="183"/>
      <c r="AB2146" s="183"/>
    </row>
    <row r="2147" spans="1:28" hidden="1">
      <c r="A2147" s="180" t="s">
        <v>1017</v>
      </c>
      <c r="B2147" s="181">
        <v>45762</v>
      </c>
      <c r="C2147" s="180" t="s">
        <v>1087</v>
      </c>
      <c r="D2147" s="180" t="s">
        <v>281</v>
      </c>
      <c r="E2147" s="180" t="s">
        <v>1800</v>
      </c>
      <c r="F2147" s="182">
        <v>-3500</v>
      </c>
      <c r="G2147" s="165">
        <f t="shared" si="48"/>
        <v>23747.570999999953</v>
      </c>
      <c r="H2147" s="180"/>
      <c r="I2147" s="180"/>
      <c r="J2147" s="180"/>
      <c r="K2147" s="180"/>
      <c r="L2147" s="180"/>
      <c r="M2147" s="180"/>
      <c r="N2147" s="180"/>
      <c r="O2147" s="180"/>
      <c r="P2147" s="180"/>
      <c r="Q2147" s="180"/>
      <c r="R2147" s="180"/>
      <c r="S2147" s="180"/>
      <c r="T2147" s="183">
        <f t="shared" si="49"/>
        <v>4</v>
      </c>
      <c r="U2147" s="184">
        <f t="shared" si="50"/>
        <v>45762</v>
      </c>
      <c r="V2147" s="145"/>
      <c r="W2147" s="183">
        <f t="shared" si="47"/>
        <v>4</v>
      </c>
      <c r="X2147" s="183"/>
      <c r="Y2147" s="183"/>
      <c r="Z2147" s="183"/>
      <c r="AA2147" s="183"/>
      <c r="AB2147" s="183"/>
    </row>
    <row r="2148" spans="1:28" hidden="1">
      <c r="A2148" s="163" t="s">
        <v>1017</v>
      </c>
      <c r="B2148" s="164">
        <v>45762</v>
      </c>
      <c r="C2148" s="190" t="s">
        <v>330</v>
      </c>
      <c r="D2148" s="190" t="s">
        <v>281</v>
      </c>
      <c r="E2148" s="190" t="s">
        <v>330</v>
      </c>
      <c r="F2148" s="185">
        <f>-1.99*7-1</f>
        <v>-14.93</v>
      </c>
      <c r="G2148" s="165">
        <f t="shared" si="48"/>
        <v>23732.640999999952</v>
      </c>
      <c r="H2148" s="190"/>
      <c r="I2148" s="190" t="s">
        <v>342</v>
      </c>
      <c r="J2148" s="190"/>
      <c r="K2148" s="190"/>
      <c r="L2148" s="190" t="s">
        <v>805</v>
      </c>
      <c r="M2148" s="190"/>
      <c r="N2148" s="190" t="s">
        <v>978</v>
      </c>
      <c r="O2148" s="190"/>
      <c r="P2148" s="190"/>
      <c r="Q2148" s="190"/>
      <c r="R2148" s="190" t="s">
        <v>1292</v>
      </c>
      <c r="S2148" s="190" t="s">
        <v>1417</v>
      </c>
      <c r="T2148" s="43">
        <f t="shared" si="49"/>
        <v>4</v>
      </c>
      <c r="U2148" s="167">
        <f t="shared" si="50"/>
        <v>45762</v>
      </c>
      <c r="V2148" s="145"/>
      <c r="W2148" s="43">
        <f t="shared" si="47"/>
        <v>4</v>
      </c>
      <c r="X2148" s="43" t="s">
        <v>1483</v>
      </c>
      <c r="Y2148" s="43" t="s">
        <v>1443</v>
      </c>
      <c r="Z2148" s="43"/>
      <c r="AA2148" s="43"/>
    </row>
    <row r="2149" spans="1:28" hidden="1">
      <c r="A2149" s="163"/>
      <c r="B2149" s="164">
        <v>45762</v>
      </c>
      <c r="C2149" s="163" t="s">
        <v>346</v>
      </c>
      <c r="D2149" s="163"/>
      <c r="E2149" s="163"/>
      <c r="F2149" s="165">
        <v>0</v>
      </c>
      <c r="G2149" s="165">
        <f t="shared" si="48"/>
        <v>23732.640999999952</v>
      </c>
      <c r="H2149" s="180"/>
      <c r="I2149" s="180"/>
      <c r="J2149" s="180"/>
      <c r="K2149" s="180"/>
      <c r="L2149" s="180"/>
      <c r="M2149" s="180"/>
      <c r="N2149" s="180"/>
      <c r="O2149" s="180"/>
      <c r="P2149" s="180"/>
      <c r="Q2149" s="180"/>
      <c r="R2149" s="180"/>
      <c r="S2149" s="180"/>
      <c r="T2149" s="43">
        <f t="shared" si="49"/>
        <v>4</v>
      </c>
      <c r="U2149" s="167">
        <f t="shared" si="50"/>
        <v>45762</v>
      </c>
      <c r="V2149" s="145"/>
      <c r="W2149" s="43">
        <f t="shared" si="47"/>
        <v>4</v>
      </c>
      <c r="X2149" s="49"/>
      <c r="Y2149" s="49"/>
      <c r="Z2149" s="183"/>
      <c r="AA2149" s="183"/>
      <c r="AB2149" s="183"/>
    </row>
    <row r="2150" spans="1:28" hidden="1">
      <c r="A2150" s="163" t="s">
        <v>1174</v>
      </c>
      <c r="B2150" s="164">
        <v>45762</v>
      </c>
      <c r="C2150" s="163" t="s">
        <v>1683</v>
      </c>
      <c r="D2150" s="163" t="s">
        <v>281</v>
      </c>
      <c r="E2150" s="163" t="s">
        <v>407</v>
      </c>
      <c r="F2150" s="165">
        <v>5000</v>
      </c>
      <c r="G2150" s="165">
        <f t="shared" si="48"/>
        <v>28732.640999999952</v>
      </c>
      <c r="H2150" s="180"/>
      <c r="I2150" s="180"/>
      <c r="J2150" s="180"/>
      <c r="K2150" s="180"/>
      <c r="L2150" s="180"/>
      <c r="M2150" s="180"/>
      <c r="N2150" s="180"/>
      <c r="O2150" s="180"/>
      <c r="P2150" s="180"/>
      <c r="Q2150" s="180"/>
      <c r="R2150" s="180"/>
      <c r="S2150" s="180"/>
      <c r="T2150" s="43">
        <f t="shared" si="49"/>
        <v>4</v>
      </c>
      <c r="U2150" s="167">
        <f t="shared" si="50"/>
        <v>45763</v>
      </c>
      <c r="V2150" s="145">
        <v>45763</v>
      </c>
      <c r="W2150" s="43">
        <f t="shared" si="47"/>
        <v>4</v>
      </c>
      <c r="X2150" s="49"/>
      <c r="Y2150" s="49"/>
      <c r="Z2150" s="183"/>
      <c r="AA2150" s="183"/>
      <c r="AB2150" s="183"/>
    </row>
    <row r="2151" spans="1:28" hidden="1">
      <c r="A2151" s="163" t="s">
        <v>1174</v>
      </c>
      <c r="B2151" s="164">
        <v>45762</v>
      </c>
      <c r="C2151" s="163" t="s">
        <v>1584</v>
      </c>
      <c r="D2151" s="163" t="s">
        <v>281</v>
      </c>
      <c r="E2151" s="163" t="s">
        <v>407</v>
      </c>
      <c r="F2151" s="165">
        <v>5000</v>
      </c>
      <c r="G2151" s="165">
        <f t="shared" si="48"/>
        <v>33732.640999999952</v>
      </c>
      <c r="H2151" s="180"/>
      <c r="I2151" s="180"/>
      <c r="J2151" s="180"/>
      <c r="K2151" s="180"/>
      <c r="L2151" s="180"/>
      <c r="M2151" s="180"/>
      <c r="N2151" s="180"/>
      <c r="O2151" s="180"/>
      <c r="P2151" s="180"/>
      <c r="Q2151" s="180"/>
      <c r="R2151" s="180"/>
      <c r="S2151" s="180"/>
      <c r="T2151" s="43">
        <f t="shared" si="49"/>
        <v>4</v>
      </c>
      <c r="U2151" s="167">
        <f t="shared" si="50"/>
        <v>45763</v>
      </c>
      <c r="V2151" s="145">
        <v>45763</v>
      </c>
      <c r="W2151" s="43">
        <f t="shared" si="47"/>
        <v>4</v>
      </c>
      <c r="X2151" s="49"/>
      <c r="Y2151" s="49"/>
      <c r="Z2151" s="183"/>
      <c r="AA2151" s="183"/>
      <c r="AB2151" s="183"/>
    </row>
    <row r="2152" spans="1:28" hidden="1">
      <c r="A2152" s="283" t="s">
        <v>1174</v>
      </c>
      <c r="B2152" s="284">
        <v>45762</v>
      </c>
      <c r="C2152" s="283" t="s">
        <v>1801</v>
      </c>
      <c r="D2152" s="283" t="s">
        <v>281</v>
      </c>
      <c r="E2152" s="283" t="s">
        <v>82</v>
      </c>
      <c r="F2152" s="285">
        <v>34990</v>
      </c>
      <c r="G2152" s="165">
        <f t="shared" si="48"/>
        <v>68722.640999999945</v>
      </c>
      <c r="H2152" s="283"/>
      <c r="I2152" s="283"/>
      <c r="J2152" s="283"/>
      <c r="K2152" s="283"/>
      <c r="L2152" s="283"/>
      <c r="M2152" s="283"/>
      <c r="N2152" s="283"/>
      <c r="O2152" s="283"/>
      <c r="P2152" s="283"/>
      <c r="Q2152" s="283"/>
      <c r="R2152" s="283"/>
      <c r="S2152" s="283"/>
      <c r="T2152" s="286">
        <f t="shared" si="49"/>
        <v>4</v>
      </c>
      <c r="U2152" s="287">
        <f t="shared" si="50"/>
        <v>45763</v>
      </c>
      <c r="V2152" s="145">
        <v>45763</v>
      </c>
      <c r="W2152" s="286">
        <f t="shared" si="47"/>
        <v>4</v>
      </c>
      <c r="X2152" s="286"/>
      <c r="Y2152" s="286"/>
      <c r="Z2152" s="286"/>
      <c r="AA2152" s="286"/>
      <c r="AB2152" s="286"/>
    </row>
    <row r="2153" spans="1:28" hidden="1">
      <c r="A2153" s="283" t="s">
        <v>1174</v>
      </c>
      <c r="B2153" s="284">
        <v>45763</v>
      </c>
      <c r="C2153" s="283" t="s">
        <v>1802</v>
      </c>
      <c r="D2153" s="283" t="s">
        <v>281</v>
      </c>
      <c r="E2153" s="283" t="s">
        <v>82</v>
      </c>
      <c r="F2153" s="285">
        <v>30000</v>
      </c>
      <c r="G2153" s="165">
        <f t="shared" si="48"/>
        <v>98722.640999999945</v>
      </c>
      <c r="H2153" s="283"/>
      <c r="I2153" s="283"/>
      <c r="J2153" s="283"/>
      <c r="K2153" s="283"/>
      <c r="L2153" s="283"/>
      <c r="M2153" s="283"/>
      <c r="N2153" s="283"/>
      <c r="O2153" s="283"/>
      <c r="P2153" s="283"/>
      <c r="Q2153" s="283"/>
      <c r="R2153" s="283"/>
      <c r="S2153" s="283"/>
      <c r="T2153" s="286">
        <f t="shared" si="49"/>
        <v>4</v>
      </c>
      <c r="U2153" s="287">
        <f t="shared" si="50"/>
        <v>45763</v>
      </c>
      <c r="V2153" s="288"/>
      <c r="W2153" s="286">
        <f t="shared" si="47"/>
        <v>4</v>
      </c>
      <c r="X2153" s="286"/>
      <c r="Y2153" s="286"/>
      <c r="Z2153" s="286"/>
      <c r="AA2153" s="286"/>
      <c r="AB2153" s="286"/>
    </row>
    <row r="2154" spans="1:28" hidden="1">
      <c r="A2154" s="180" t="s">
        <v>1017</v>
      </c>
      <c r="B2154" s="181">
        <v>45763</v>
      </c>
      <c r="C2154" s="180" t="s">
        <v>1087</v>
      </c>
      <c r="D2154" s="180" t="s">
        <v>281</v>
      </c>
      <c r="E2154" s="180" t="s">
        <v>1800</v>
      </c>
      <c r="F2154" s="182">
        <f>-12246.5-10500</f>
        <v>-22746.5</v>
      </c>
      <c r="G2154" s="165">
        <f t="shared" si="48"/>
        <v>75976.140999999945</v>
      </c>
      <c r="H2154" s="180"/>
      <c r="I2154" s="180"/>
      <c r="J2154" s="180"/>
      <c r="K2154" s="180"/>
      <c r="L2154" s="180"/>
      <c r="M2154" s="180"/>
      <c r="N2154" s="180"/>
      <c r="O2154" s="180"/>
      <c r="P2154" s="180"/>
      <c r="Q2154" s="180"/>
      <c r="R2154" s="180"/>
      <c r="S2154" s="180"/>
      <c r="T2154" s="183">
        <f t="shared" si="49"/>
        <v>4</v>
      </c>
      <c r="U2154" s="184">
        <f t="shared" si="50"/>
        <v>45763</v>
      </c>
      <c r="V2154" s="145"/>
      <c r="W2154" s="183">
        <f t="shared" si="47"/>
        <v>4</v>
      </c>
      <c r="X2154" s="183"/>
      <c r="Y2154" s="183"/>
      <c r="Z2154" s="183"/>
      <c r="AA2154" s="183"/>
      <c r="AB2154" s="183"/>
    </row>
    <row r="2155" spans="1:28" hidden="1">
      <c r="A2155" s="180" t="s">
        <v>1017</v>
      </c>
      <c r="B2155" s="181">
        <v>45722</v>
      </c>
      <c r="C2155" s="180" t="s">
        <v>1803</v>
      </c>
      <c r="D2155" s="180" t="s">
        <v>281</v>
      </c>
      <c r="E2155" s="180" t="s">
        <v>1566</v>
      </c>
      <c r="F2155" s="168">
        <v>-7385.85</v>
      </c>
      <c r="G2155" s="165">
        <f t="shared" si="48"/>
        <v>68590.290999999939</v>
      </c>
      <c r="H2155" s="180"/>
      <c r="I2155" s="180" t="s">
        <v>342</v>
      </c>
      <c r="J2155" s="180"/>
      <c r="K2155" s="180"/>
      <c r="L2155" s="180" t="s">
        <v>766</v>
      </c>
      <c r="M2155" s="180"/>
      <c r="N2155" s="180" t="s">
        <v>978</v>
      </c>
      <c r="O2155" s="180"/>
      <c r="P2155" s="180"/>
      <c r="Q2155" s="180"/>
      <c r="R2155" s="180" t="s">
        <v>1007</v>
      </c>
      <c r="S2155" s="180" t="s">
        <v>982</v>
      </c>
      <c r="T2155" s="183">
        <f t="shared" si="49"/>
        <v>3</v>
      </c>
      <c r="U2155" s="184">
        <f t="shared" si="50"/>
        <v>45763</v>
      </c>
      <c r="V2155" s="145">
        <v>45763</v>
      </c>
      <c r="W2155" s="43">
        <f t="shared" si="47"/>
        <v>4</v>
      </c>
      <c r="X2155" s="183" t="s">
        <v>1552</v>
      </c>
      <c r="Y2155" s="183" t="s">
        <v>26</v>
      </c>
      <c r="Z2155" s="183"/>
      <c r="AA2155" s="183"/>
      <c r="AB2155" s="183"/>
    </row>
    <row r="2156" spans="1:28" hidden="1">
      <c r="A2156" s="163" t="s">
        <v>1017</v>
      </c>
      <c r="B2156" s="164">
        <v>45763</v>
      </c>
      <c r="C2156" s="163" t="s">
        <v>1008</v>
      </c>
      <c r="D2156" s="163" t="s">
        <v>281</v>
      </c>
      <c r="E2156" s="163" t="s">
        <v>199</v>
      </c>
      <c r="F2156" s="168">
        <v>-2000</v>
      </c>
      <c r="G2156" s="165">
        <f t="shared" si="48"/>
        <v>66590.290999999939</v>
      </c>
      <c r="H2156" s="180"/>
      <c r="I2156" s="180"/>
      <c r="J2156" s="180"/>
      <c r="K2156" s="180"/>
      <c r="L2156" s="180"/>
      <c r="M2156" s="180"/>
      <c r="N2156" s="180"/>
      <c r="O2156" s="180"/>
      <c r="P2156" s="180"/>
      <c r="Q2156" s="180"/>
      <c r="R2156" s="180"/>
      <c r="S2156" s="180"/>
      <c r="T2156" s="43">
        <f t="shared" si="49"/>
        <v>4</v>
      </c>
      <c r="U2156" s="167">
        <f t="shared" si="50"/>
        <v>45763</v>
      </c>
      <c r="V2156" s="145"/>
      <c r="W2156" s="43">
        <f t="shared" si="47"/>
        <v>4</v>
      </c>
      <c r="X2156" s="49"/>
      <c r="Y2156" s="49"/>
      <c r="Z2156" s="183"/>
      <c r="AA2156" s="183"/>
      <c r="AB2156" s="183"/>
    </row>
    <row r="2157" spans="1:28" hidden="1">
      <c r="A2157" s="163" t="s">
        <v>1017</v>
      </c>
      <c r="B2157" s="164">
        <v>45763</v>
      </c>
      <c r="C2157" s="163" t="s">
        <v>457</v>
      </c>
      <c r="D2157" s="163" t="s">
        <v>281</v>
      </c>
      <c r="E2157" s="163" t="s">
        <v>1333</v>
      </c>
      <c r="F2157" s="168">
        <v>-3901.82</v>
      </c>
      <c r="G2157" s="165">
        <f t="shared" si="48"/>
        <v>62688.47099999994</v>
      </c>
      <c r="H2157" s="180"/>
      <c r="I2157" s="180"/>
      <c r="J2157" s="180"/>
      <c r="K2157" s="180"/>
      <c r="L2157" s="180"/>
      <c r="M2157" s="180"/>
      <c r="N2157" s="180"/>
      <c r="O2157" s="180"/>
      <c r="P2157" s="180"/>
      <c r="Q2157" s="180"/>
      <c r="R2157" s="180"/>
      <c r="S2157" s="180"/>
      <c r="T2157" s="43">
        <f t="shared" si="49"/>
        <v>4</v>
      </c>
      <c r="U2157" s="167">
        <f t="shared" si="50"/>
        <v>45763</v>
      </c>
      <c r="V2157" s="145"/>
      <c r="W2157" s="43">
        <f t="shared" ref="W2157:W2337" si="51">MONTH(U2157)</f>
        <v>4</v>
      </c>
      <c r="X2157" s="49"/>
      <c r="Y2157" s="49"/>
      <c r="Z2157" s="183"/>
      <c r="AA2157" s="183"/>
      <c r="AB2157" s="183"/>
    </row>
    <row r="2158" spans="1:28" hidden="1">
      <c r="A2158" s="180" t="s">
        <v>1017</v>
      </c>
      <c r="B2158" s="181">
        <v>45758</v>
      </c>
      <c r="C2158" s="180" t="s">
        <v>372</v>
      </c>
      <c r="D2158" s="180" t="s">
        <v>281</v>
      </c>
      <c r="E2158" s="180" t="s">
        <v>372</v>
      </c>
      <c r="F2158" s="168">
        <v>-300</v>
      </c>
      <c r="G2158" s="165">
        <f t="shared" si="48"/>
        <v>62388.47099999994</v>
      </c>
      <c r="H2158" s="180"/>
      <c r="I2158" s="180" t="s">
        <v>283</v>
      </c>
      <c r="J2158" s="180"/>
      <c r="K2158" s="180"/>
      <c r="L2158" s="180" t="s">
        <v>485</v>
      </c>
      <c r="M2158" s="180"/>
      <c r="N2158" s="180" t="s">
        <v>978</v>
      </c>
      <c r="O2158" s="180"/>
      <c r="P2158" s="180"/>
      <c r="Q2158" s="180"/>
      <c r="R2158" s="180" t="s">
        <v>669</v>
      </c>
      <c r="S2158" s="180" t="s">
        <v>1492</v>
      </c>
      <c r="T2158" s="183">
        <f t="shared" si="49"/>
        <v>4</v>
      </c>
      <c r="U2158" s="184">
        <f t="shared" si="50"/>
        <v>45763</v>
      </c>
      <c r="V2158" s="145">
        <v>45763</v>
      </c>
      <c r="W2158" s="43">
        <f t="shared" si="51"/>
        <v>4</v>
      </c>
      <c r="X2158" s="183"/>
      <c r="Y2158" s="183"/>
      <c r="Z2158" s="183"/>
      <c r="AA2158" s="183"/>
      <c r="AB2158" s="183"/>
    </row>
    <row r="2159" spans="1:28" hidden="1">
      <c r="A2159" s="163" t="s">
        <v>1017</v>
      </c>
      <c r="B2159" s="164">
        <v>45757</v>
      </c>
      <c r="C2159" s="163" t="s">
        <v>1804</v>
      </c>
      <c r="D2159" s="163" t="s">
        <v>281</v>
      </c>
      <c r="E2159" s="163" t="s">
        <v>193</v>
      </c>
      <c r="F2159" s="168">
        <v>-1466.66</v>
      </c>
      <c r="G2159" s="165">
        <f t="shared" si="48"/>
        <v>60921.810999999936</v>
      </c>
      <c r="H2159" s="180"/>
      <c r="I2159" s="180"/>
      <c r="J2159" s="180"/>
      <c r="K2159" s="180"/>
      <c r="L2159" s="180"/>
      <c r="M2159" s="180"/>
      <c r="N2159" s="180"/>
      <c r="O2159" s="180"/>
      <c r="P2159" s="180"/>
      <c r="Q2159" s="180"/>
      <c r="R2159" s="180"/>
      <c r="S2159" s="180"/>
      <c r="T2159" s="43">
        <f t="shared" si="49"/>
        <v>4</v>
      </c>
      <c r="U2159" s="167">
        <f t="shared" si="50"/>
        <v>45763</v>
      </c>
      <c r="V2159" s="145">
        <v>45763</v>
      </c>
      <c r="W2159" s="43">
        <f t="shared" si="51"/>
        <v>4</v>
      </c>
      <c r="X2159" s="49"/>
      <c r="Y2159" s="49"/>
      <c r="Z2159" s="183"/>
      <c r="AA2159" s="183"/>
      <c r="AB2159" s="183"/>
    </row>
    <row r="2160" spans="1:28" hidden="1">
      <c r="A2160" s="163" t="s">
        <v>1017</v>
      </c>
      <c r="B2160" s="164">
        <v>45763</v>
      </c>
      <c r="C2160" s="163" t="s">
        <v>1013</v>
      </c>
      <c r="D2160" s="163" t="s">
        <v>281</v>
      </c>
      <c r="E2160" s="163" t="s">
        <v>199</v>
      </c>
      <c r="F2160" s="168">
        <v>-200</v>
      </c>
      <c r="G2160" s="165">
        <f t="shared" si="48"/>
        <v>60721.810999999936</v>
      </c>
      <c r="H2160" s="180"/>
      <c r="I2160" s="180"/>
      <c r="J2160" s="180"/>
      <c r="K2160" s="180"/>
      <c r="L2160" s="180"/>
      <c r="M2160" s="180"/>
      <c r="N2160" s="180"/>
      <c r="O2160" s="180"/>
      <c r="P2160" s="180"/>
      <c r="Q2160" s="180"/>
      <c r="R2160" s="180"/>
      <c r="S2160" s="180"/>
      <c r="T2160" s="43">
        <f t="shared" si="49"/>
        <v>4</v>
      </c>
      <c r="U2160" s="167">
        <f t="shared" si="50"/>
        <v>45763</v>
      </c>
      <c r="V2160" s="145"/>
      <c r="W2160" s="43">
        <f t="shared" si="51"/>
        <v>4</v>
      </c>
      <c r="X2160" s="49"/>
      <c r="Y2160" s="49"/>
      <c r="Z2160" s="183"/>
      <c r="AA2160" s="183"/>
      <c r="AB2160" s="183"/>
    </row>
    <row r="2161" spans="1:28" hidden="1">
      <c r="A2161" s="163" t="s">
        <v>1017</v>
      </c>
      <c r="B2161" s="164">
        <v>45763</v>
      </c>
      <c r="C2161" s="190" t="s">
        <v>330</v>
      </c>
      <c r="D2161" s="190" t="s">
        <v>281</v>
      </c>
      <c r="E2161" s="190" t="s">
        <v>330</v>
      </c>
      <c r="F2161" s="185">
        <f>-1.99*2-3.5</f>
        <v>-7.48</v>
      </c>
      <c r="G2161" s="165">
        <f t="shared" si="48"/>
        <v>60714.330999999933</v>
      </c>
      <c r="H2161" s="190"/>
      <c r="I2161" s="190" t="s">
        <v>342</v>
      </c>
      <c r="J2161" s="190"/>
      <c r="K2161" s="190"/>
      <c r="L2161" s="190" t="s">
        <v>805</v>
      </c>
      <c r="M2161" s="190"/>
      <c r="N2161" s="190" t="s">
        <v>978</v>
      </c>
      <c r="O2161" s="190"/>
      <c r="P2161" s="190"/>
      <c r="Q2161" s="190"/>
      <c r="R2161" s="190" t="s">
        <v>1292</v>
      </c>
      <c r="S2161" s="190" t="s">
        <v>1417</v>
      </c>
      <c r="T2161" s="43">
        <f t="shared" si="49"/>
        <v>4</v>
      </c>
      <c r="U2161" s="167">
        <f t="shared" si="50"/>
        <v>45763</v>
      </c>
      <c r="V2161" s="145"/>
      <c r="W2161" s="43">
        <f t="shared" si="51"/>
        <v>4</v>
      </c>
      <c r="X2161" s="43" t="s">
        <v>1483</v>
      </c>
      <c r="Y2161" s="43" t="s">
        <v>1443</v>
      </c>
      <c r="Z2161" s="43"/>
      <c r="AA2161" s="43"/>
    </row>
    <row r="2162" spans="1:28" hidden="1">
      <c r="A2162" s="163"/>
      <c r="B2162" s="164">
        <v>45763</v>
      </c>
      <c r="C2162" s="163" t="s">
        <v>346</v>
      </c>
      <c r="D2162" s="163"/>
      <c r="E2162" s="163"/>
      <c r="F2162" s="165">
        <v>0</v>
      </c>
      <c r="G2162" s="165">
        <f t="shared" si="48"/>
        <v>60714.330999999933</v>
      </c>
      <c r="H2162" s="180"/>
      <c r="I2162" s="180"/>
      <c r="J2162" s="180"/>
      <c r="K2162" s="180"/>
      <c r="L2162" s="180"/>
      <c r="M2162" s="180"/>
      <c r="N2162" s="180"/>
      <c r="O2162" s="180"/>
      <c r="P2162" s="180"/>
      <c r="Q2162" s="180"/>
      <c r="R2162" s="180"/>
      <c r="S2162" s="180"/>
      <c r="T2162" s="43">
        <f t="shared" si="49"/>
        <v>4</v>
      </c>
      <c r="U2162" s="167">
        <f t="shared" si="50"/>
        <v>45763</v>
      </c>
      <c r="V2162" s="145"/>
      <c r="W2162" s="43">
        <f t="shared" si="51"/>
        <v>4</v>
      </c>
      <c r="X2162" s="49"/>
      <c r="Y2162" s="49"/>
      <c r="Z2162" s="183"/>
      <c r="AA2162" s="183"/>
      <c r="AB2162" s="183"/>
    </row>
    <row r="2163" spans="1:28" hidden="1">
      <c r="A2163" s="163" t="s">
        <v>1174</v>
      </c>
      <c r="B2163" s="164">
        <v>45762</v>
      </c>
      <c r="C2163" s="163" t="s">
        <v>962</v>
      </c>
      <c r="D2163" s="163" t="s">
        <v>281</v>
      </c>
      <c r="E2163" s="163" t="s">
        <v>407</v>
      </c>
      <c r="F2163" s="191">
        <v>8162.66</v>
      </c>
      <c r="G2163" s="165">
        <f t="shared" si="48"/>
        <v>68876.990999999936</v>
      </c>
      <c r="H2163" s="180"/>
      <c r="I2163" s="180"/>
      <c r="J2163" s="180"/>
      <c r="K2163" s="180"/>
      <c r="L2163" s="180"/>
      <c r="M2163" s="180"/>
      <c r="N2163" s="180"/>
      <c r="O2163" s="180"/>
      <c r="P2163" s="180"/>
      <c r="Q2163" s="180"/>
      <c r="R2163" s="180"/>
      <c r="S2163" s="180"/>
      <c r="T2163" s="43">
        <f t="shared" si="49"/>
        <v>4</v>
      </c>
      <c r="U2163" s="167">
        <f t="shared" si="50"/>
        <v>45764</v>
      </c>
      <c r="V2163" s="145">
        <v>45764</v>
      </c>
      <c r="W2163" s="43">
        <f t="shared" si="51"/>
        <v>4</v>
      </c>
      <c r="X2163" s="49"/>
      <c r="Y2163" s="49"/>
      <c r="Z2163" s="183"/>
      <c r="AA2163" s="183"/>
      <c r="AB2163" s="183"/>
    </row>
    <row r="2164" spans="1:28" hidden="1">
      <c r="A2164" s="163" t="s">
        <v>1017</v>
      </c>
      <c r="B2164" s="164">
        <v>45764</v>
      </c>
      <c r="C2164" s="163" t="s">
        <v>95</v>
      </c>
      <c r="D2164" s="163" t="s">
        <v>281</v>
      </c>
      <c r="E2164" s="163" t="s">
        <v>1031</v>
      </c>
      <c r="F2164" s="185">
        <v>-1240.44</v>
      </c>
      <c r="G2164" s="165">
        <f t="shared" si="48"/>
        <v>67636.550999999934</v>
      </c>
      <c r="H2164" s="180"/>
      <c r="I2164" s="180"/>
      <c r="J2164" s="180"/>
      <c r="K2164" s="180"/>
      <c r="L2164" s="180"/>
      <c r="M2164" s="180"/>
      <c r="N2164" s="180"/>
      <c r="O2164" s="180"/>
      <c r="P2164" s="180"/>
      <c r="Q2164" s="180"/>
      <c r="R2164" s="180"/>
      <c r="S2164" s="180"/>
      <c r="T2164" s="43">
        <f t="shared" si="49"/>
        <v>4</v>
      </c>
      <c r="U2164" s="167">
        <f t="shared" si="50"/>
        <v>45764</v>
      </c>
      <c r="V2164" s="145"/>
      <c r="W2164" s="43">
        <f t="shared" si="51"/>
        <v>4</v>
      </c>
      <c r="X2164" s="49"/>
      <c r="Y2164" s="49"/>
      <c r="Z2164" s="183"/>
      <c r="AA2164" s="183"/>
      <c r="AB2164" s="183"/>
    </row>
    <row r="2165" spans="1:28" hidden="1">
      <c r="A2165" s="163" t="s">
        <v>1017</v>
      </c>
      <c r="B2165" s="164">
        <v>45764</v>
      </c>
      <c r="C2165" s="163" t="s">
        <v>466</v>
      </c>
      <c r="D2165" s="163" t="s">
        <v>281</v>
      </c>
      <c r="E2165" s="163" t="s">
        <v>1031</v>
      </c>
      <c r="F2165" s="185">
        <v>-1021.1</v>
      </c>
      <c r="G2165" s="165">
        <f t="shared" si="48"/>
        <v>66615.450999999928</v>
      </c>
      <c r="H2165" s="180"/>
      <c r="I2165" s="180"/>
      <c r="J2165" s="180"/>
      <c r="K2165" s="180"/>
      <c r="L2165" s="180"/>
      <c r="M2165" s="180"/>
      <c r="N2165" s="180"/>
      <c r="O2165" s="180"/>
      <c r="P2165" s="180"/>
      <c r="Q2165" s="180"/>
      <c r="R2165" s="180"/>
      <c r="S2165" s="180"/>
      <c r="T2165" s="43">
        <f t="shared" si="49"/>
        <v>4</v>
      </c>
      <c r="U2165" s="167">
        <f t="shared" si="50"/>
        <v>45764</v>
      </c>
      <c r="V2165" s="145"/>
      <c r="W2165" s="43">
        <f t="shared" si="51"/>
        <v>4</v>
      </c>
      <c r="X2165" s="49"/>
      <c r="Y2165" s="49"/>
      <c r="Z2165" s="183"/>
      <c r="AA2165" s="183"/>
      <c r="AB2165" s="183"/>
    </row>
    <row r="2166" spans="1:28" hidden="1">
      <c r="A2166" s="163" t="s">
        <v>1017</v>
      </c>
      <c r="B2166" s="164">
        <v>45764</v>
      </c>
      <c r="C2166" s="163" t="s">
        <v>111</v>
      </c>
      <c r="D2166" s="163" t="s">
        <v>281</v>
      </c>
      <c r="E2166" s="163" t="s">
        <v>1031</v>
      </c>
      <c r="F2166" s="185">
        <v>-2080</v>
      </c>
      <c r="G2166" s="165">
        <f t="shared" si="48"/>
        <v>64535.450999999928</v>
      </c>
      <c r="H2166" s="180"/>
      <c r="I2166" s="180"/>
      <c r="J2166" s="180"/>
      <c r="K2166" s="180"/>
      <c r="L2166" s="180"/>
      <c r="M2166" s="180"/>
      <c r="N2166" s="180"/>
      <c r="O2166" s="180"/>
      <c r="P2166" s="180"/>
      <c r="Q2166" s="180"/>
      <c r="R2166" s="180"/>
      <c r="S2166" s="180"/>
      <c r="T2166" s="43">
        <f t="shared" si="49"/>
        <v>4</v>
      </c>
      <c r="U2166" s="167">
        <f t="shared" si="50"/>
        <v>45764</v>
      </c>
      <c r="V2166" s="145"/>
      <c r="W2166" s="43">
        <f t="shared" si="51"/>
        <v>4</v>
      </c>
      <c r="X2166" s="49"/>
      <c r="Y2166" s="49"/>
      <c r="Z2166" s="183"/>
      <c r="AA2166" s="183"/>
      <c r="AB2166" s="183"/>
    </row>
    <row r="2167" spans="1:28" hidden="1">
      <c r="A2167" s="163" t="s">
        <v>1017</v>
      </c>
      <c r="B2167" s="164">
        <v>45764</v>
      </c>
      <c r="C2167" s="163" t="s">
        <v>93</v>
      </c>
      <c r="D2167" s="163" t="s">
        <v>281</v>
      </c>
      <c r="E2167" s="163" t="s">
        <v>1031</v>
      </c>
      <c r="F2167" s="185">
        <v>-4800</v>
      </c>
      <c r="G2167" s="165">
        <f t="shared" si="48"/>
        <v>59735.450999999928</v>
      </c>
      <c r="H2167" s="180"/>
      <c r="I2167" s="180"/>
      <c r="J2167" s="180"/>
      <c r="K2167" s="180"/>
      <c r="L2167" s="180"/>
      <c r="M2167" s="180"/>
      <c r="N2167" s="180"/>
      <c r="O2167" s="180"/>
      <c r="P2167" s="180"/>
      <c r="Q2167" s="180"/>
      <c r="R2167" s="180"/>
      <c r="S2167" s="180"/>
      <c r="T2167" s="43">
        <f t="shared" si="49"/>
        <v>4</v>
      </c>
      <c r="U2167" s="167">
        <f t="shared" si="50"/>
        <v>45764</v>
      </c>
      <c r="V2167" s="145"/>
      <c r="W2167" s="43">
        <f t="shared" si="51"/>
        <v>4</v>
      </c>
      <c r="X2167" s="49"/>
      <c r="Y2167" s="49"/>
      <c r="Z2167" s="183"/>
      <c r="AA2167" s="183"/>
      <c r="AB2167" s="183"/>
    </row>
    <row r="2168" spans="1:28" hidden="1">
      <c r="A2168" s="163" t="s">
        <v>1017</v>
      </c>
      <c r="B2168" s="164">
        <v>45764</v>
      </c>
      <c r="C2168" s="163" t="s">
        <v>546</v>
      </c>
      <c r="D2168" s="163" t="s">
        <v>281</v>
      </c>
      <c r="E2168" s="163" t="s">
        <v>1031</v>
      </c>
      <c r="F2168" s="185">
        <v>-1021.1</v>
      </c>
      <c r="G2168" s="165">
        <f t="shared" si="48"/>
        <v>58714.35099999993</v>
      </c>
      <c r="H2168" s="180"/>
      <c r="I2168" s="180"/>
      <c r="J2168" s="180"/>
      <c r="K2168" s="180"/>
      <c r="L2168" s="180"/>
      <c r="M2168" s="180"/>
      <c r="N2168" s="180"/>
      <c r="O2168" s="180"/>
      <c r="P2168" s="180"/>
      <c r="Q2168" s="180"/>
      <c r="R2168" s="180"/>
      <c r="S2168" s="180"/>
      <c r="T2168" s="43">
        <f t="shared" si="49"/>
        <v>4</v>
      </c>
      <c r="U2168" s="167">
        <f t="shared" si="50"/>
        <v>45764</v>
      </c>
      <c r="V2168" s="145"/>
      <c r="W2168" s="43">
        <f t="shared" si="51"/>
        <v>4</v>
      </c>
      <c r="X2168" s="49"/>
      <c r="Y2168" s="49"/>
      <c r="Z2168" s="183"/>
      <c r="AA2168" s="183"/>
      <c r="AB2168" s="183"/>
    </row>
    <row r="2169" spans="1:28" hidden="1">
      <c r="A2169" s="163" t="s">
        <v>1017</v>
      </c>
      <c r="B2169" s="164">
        <v>45764</v>
      </c>
      <c r="C2169" s="163" t="s">
        <v>484</v>
      </c>
      <c r="D2169" s="163" t="s">
        <v>281</v>
      </c>
      <c r="E2169" s="163" t="s">
        <v>1031</v>
      </c>
      <c r="F2169" s="185">
        <v>-400</v>
      </c>
      <c r="G2169" s="165">
        <f t="shared" si="48"/>
        <v>58314.35099999993</v>
      </c>
      <c r="H2169" s="180"/>
      <c r="I2169" s="180"/>
      <c r="J2169" s="180"/>
      <c r="K2169" s="180"/>
      <c r="L2169" s="180"/>
      <c r="M2169" s="180"/>
      <c r="N2169" s="180"/>
      <c r="O2169" s="180"/>
      <c r="P2169" s="180"/>
      <c r="Q2169" s="180"/>
      <c r="R2169" s="180"/>
      <c r="S2169" s="180"/>
      <c r="T2169" s="43">
        <f t="shared" si="49"/>
        <v>4</v>
      </c>
      <c r="U2169" s="167">
        <f t="shared" si="50"/>
        <v>45764</v>
      </c>
      <c r="V2169" s="145"/>
      <c r="W2169" s="43">
        <f t="shared" si="51"/>
        <v>4</v>
      </c>
      <c r="X2169" s="49"/>
      <c r="Y2169" s="49"/>
      <c r="Z2169" s="183"/>
      <c r="AA2169" s="183"/>
      <c r="AB2169" s="183"/>
    </row>
    <row r="2170" spans="1:28" hidden="1">
      <c r="A2170" s="163" t="s">
        <v>1017</v>
      </c>
      <c r="B2170" s="164">
        <v>45764</v>
      </c>
      <c r="C2170" s="163" t="s">
        <v>491</v>
      </c>
      <c r="D2170" s="163" t="s">
        <v>281</v>
      </c>
      <c r="E2170" s="163" t="s">
        <v>1031</v>
      </c>
      <c r="F2170" s="185">
        <v>-1200</v>
      </c>
      <c r="G2170" s="165">
        <f t="shared" si="48"/>
        <v>57114.35099999993</v>
      </c>
      <c r="H2170" s="180"/>
      <c r="I2170" s="180"/>
      <c r="J2170" s="180"/>
      <c r="K2170" s="180"/>
      <c r="L2170" s="180"/>
      <c r="M2170" s="180"/>
      <c r="N2170" s="180"/>
      <c r="O2170" s="180"/>
      <c r="P2170" s="180"/>
      <c r="Q2170" s="180"/>
      <c r="R2170" s="180"/>
      <c r="S2170" s="180"/>
      <c r="T2170" s="43">
        <f t="shared" si="49"/>
        <v>4</v>
      </c>
      <c r="U2170" s="167">
        <f t="shared" si="50"/>
        <v>45764</v>
      </c>
      <c r="V2170" s="145"/>
      <c r="W2170" s="43">
        <f t="shared" si="51"/>
        <v>4</v>
      </c>
      <c r="X2170" s="49"/>
      <c r="Y2170" s="49"/>
      <c r="Z2170" s="183"/>
      <c r="AA2170" s="183"/>
      <c r="AB2170" s="183"/>
    </row>
    <row r="2171" spans="1:28" hidden="1">
      <c r="A2171" s="163" t="s">
        <v>1017</v>
      </c>
      <c r="B2171" s="164">
        <v>45764</v>
      </c>
      <c r="C2171" s="163" t="s">
        <v>516</v>
      </c>
      <c r="D2171" s="163" t="s">
        <v>281</v>
      </c>
      <c r="E2171" s="163" t="s">
        <v>1031</v>
      </c>
      <c r="F2171" s="185">
        <v>-400</v>
      </c>
      <c r="G2171" s="165">
        <f t="shared" si="48"/>
        <v>56714.35099999993</v>
      </c>
      <c r="H2171" s="180"/>
      <c r="I2171" s="180"/>
      <c r="J2171" s="180"/>
      <c r="K2171" s="180"/>
      <c r="L2171" s="180"/>
      <c r="M2171" s="180"/>
      <c r="N2171" s="180"/>
      <c r="O2171" s="180"/>
      <c r="P2171" s="180"/>
      <c r="Q2171" s="180"/>
      <c r="R2171" s="180"/>
      <c r="S2171" s="180"/>
      <c r="T2171" s="43">
        <f t="shared" si="49"/>
        <v>4</v>
      </c>
      <c r="U2171" s="167">
        <f t="shared" si="50"/>
        <v>45764</v>
      </c>
      <c r="V2171" s="145"/>
      <c r="W2171" s="43">
        <f t="shared" si="51"/>
        <v>4</v>
      </c>
      <c r="X2171" s="49"/>
      <c r="Y2171" s="49"/>
      <c r="Z2171" s="183"/>
      <c r="AA2171" s="183"/>
      <c r="AB2171" s="183"/>
    </row>
    <row r="2172" spans="1:28" hidden="1">
      <c r="A2172" s="163" t="s">
        <v>1017</v>
      </c>
      <c r="B2172" s="164">
        <v>45764</v>
      </c>
      <c r="C2172" s="163" t="s">
        <v>525</v>
      </c>
      <c r="D2172" s="163" t="s">
        <v>281</v>
      </c>
      <c r="E2172" s="163" t="s">
        <v>1031</v>
      </c>
      <c r="F2172" s="185">
        <v>-700</v>
      </c>
      <c r="G2172" s="165">
        <f t="shared" si="48"/>
        <v>56014.35099999993</v>
      </c>
      <c r="H2172" s="180"/>
      <c r="I2172" s="180"/>
      <c r="J2172" s="180"/>
      <c r="K2172" s="180"/>
      <c r="L2172" s="180"/>
      <c r="M2172" s="180"/>
      <c r="N2172" s="180"/>
      <c r="O2172" s="180"/>
      <c r="P2172" s="180"/>
      <c r="Q2172" s="180"/>
      <c r="R2172" s="180"/>
      <c r="S2172" s="180"/>
      <c r="T2172" s="43">
        <f t="shared" si="49"/>
        <v>4</v>
      </c>
      <c r="U2172" s="167">
        <f t="shared" si="50"/>
        <v>45764</v>
      </c>
      <c r="V2172" s="145"/>
      <c r="W2172" s="43">
        <f t="shared" si="51"/>
        <v>4</v>
      </c>
      <c r="X2172" s="49"/>
      <c r="Y2172" s="49"/>
      <c r="Z2172" s="183"/>
      <c r="AA2172" s="183"/>
      <c r="AB2172" s="183"/>
    </row>
    <row r="2173" spans="1:28" hidden="1">
      <c r="A2173" s="163" t="s">
        <v>1017</v>
      </c>
      <c r="B2173" s="164">
        <v>45764</v>
      </c>
      <c r="C2173" s="163" t="s">
        <v>549</v>
      </c>
      <c r="D2173" s="163" t="s">
        <v>281</v>
      </c>
      <c r="E2173" s="163" t="s">
        <v>1031</v>
      </c>
      <c r="F2173" s="185">
        <v>-2600</v>
      </c>
      <c r="G2173" s="165">
        <f t="shared" si="48"/>
        <v>53414.35099999993</v>
      </c>
      <c r="H2173" s="180"/>
      <c r="I2173" s="180"/>
      <c r="J2173" s="180"/>
      <c r="K2173" s="180"/>
      <c r="L2173" s="180"/>
      <c r="M2173" s="180"/>
      <c r="N2173" s="180"/>
      <c r="O2173" s="180"/>
      <c r="P2173" s="180"/>
      <c r="Q2173" s="180"/>
      <c r="R2173" s="180"/>
      <c r="S2173" s="180"/>
      <c r="T2173" s="43">
        <f t="shared" si="49"/>
        <v>4</v>
      </c>
      <c r="U2173" s="167">
        <f t="shared" si="50"/>
        <v>45764</v>
      </c>
      <c r="V2173" s="145"/>
      <c r="W2173" s="43">
        <f t="shared" si="51"/>
        <v>4</v>
      </c>
      <c r="X2173" s="49"/>
      <c r="Y2173" s="49"/>
      <c r="Z2173" s="183"/>
      <c r="AA2173" s="183"/>
      <c r="AB2173" s="183"/>
    </row>
    <row r="2174" spans="1:28" hidden="1">
      <c r="A2174" s="163" t="s">
        <v>1017</v>
      </c>
      <c r="B2174" s="164">
        <v>45764</v>
      </c>
      <c r="C2174" s="163" t="s">
        <v>513</v>
      </c>
      <c r="D2174" s="163" t="s">
        <v>281</v>
      </c>
      <c r="E2174" s="163" t="s">
        <v>1031</v>
      </c>
      <c r="F2174" s="185">
        <v>-500</v>
      </c>
      <c r="G2174" s="165">
        <f t="shared" si="48"/>
        <v>52914.35099999993</v>
      </c>
      <c r="H2174" s="180"/>
      <c r="I2174" s="180"/>
      <c r="J2174" s="180"/>
      <c r="K2174" s="180"/>
      <c r="L2174" s="180"/>
      <c r="M2174" s="180"/>
      <c r="N2174" s="180"/>
      <c r="O2174" s="180"/>
      <c r="P2174" s="180"/>
      <c r="Q2174" s="180"/>
      <c r="R2174" s="180"/>
      <c r="S2174" s="180"/>
      <c r="T2174" s="43">
        <f t="shared" si="49"/>
        <v>4</v>
      </c>
      <c r="U2174" s="167">
        <f t="shared" si="50"/>
        <v>45764</v>
      </c>
      <c r="V2174" s="145"/>
      <c r="W2174" s="43">
        <f t="shared" si="51"/>
        <v>4</v>
      </c>
      <c r="X2174" s="49"/>
      <c r="Y2174" s="49"/>
      <c r="Z2174" s="183"/>
      <c r="AA2174" s="183"/>
      <c r="AB2174" s="183"/>
    </row>
    <row r="2175" spans="1:28" hidden="1">
      <c r="A2175" s="163" t="s">
        <v>1017</v>
      </c>
      <c r="B2175" s="164">
        <v>45764</v>
      </c>
      <c r="C2175" s="163" t="s">
        <v>112</v>
      </c>
      <c r="D2175" s="163" t="s">
        <v>281</v>
      </c>
      <c r="E2175" s="163" t="s">
        <v>1031</v>
      </c>
      <c r="F2175" s="185">
        <v>-500</v>
      </c>
      <c r="G2175" s="165">
        <f t="shared" si="48"/>
        <v>52414.35099999993</v>
      </c>
      <c r="H2175" s="180"/>
      <c r="I2175" s="180"/>
      <c r="J2175" s="180"/>
      <c r="K2175" s="180"/>
      <c r="L2175" s="180"/>
      <c r="M2175" s="180"/>
      <c r="N2175" s="180"/>
      <c r="O2175" s="180"/>
      <c r="P2175" s="180"/>
      <c r="Q2175" s="180"/>
      <c r="R2175" s="180"/>
      <c r="S2175" s="180"/>
      <c r="T2175" s="43">
        <f t="shared" si="49"/>
        <v>4</v>
      </c>
      <c r="U2175" s="167">
        <f t="shared" si="50"/>
        <v>45764</v>
      </c>
      <c r="V2175" s="145"/>
      <c r="W2175" s="43">
        <f t="shared" si="51"/>
        <v>4</v>
      </c>
      <c r="X2175" s="49"/>
      <c r="Y2175" s="49"/>
      <c r="Z2175" s="183"/>
      <c r="AA2175" s="183"/>
      <c r="AB2175" s="183"/>
    </row>
    <row r="2176" spans="1:28" hidden="1">
      <c r="A2176" s="163" t="s">
        <v>1017</v>
      </c>
      <c r="B2176" s="164">
        <v>45764</v>
      </c>
      <c r="C2176" s="163" t="s">
        <v>505</v>
      </c>
      <c r="D2176" s="163" t="s">
        <v>281</v>
      </c>
      <c r="E2176" s="163" t="s">
        <v>1031</v>
      </c>
      <c r="F2176" s="185">
        <v>-1120</v>
      </c>
      <c r="G2176" s="165">
        <f t="shared" si="48"/>
        <v>51294.35099999993</v>
      </c>
      <c r="H2176" s="180"/>
      <c r="I2176" s="180"/>
      <c r="J2176" s="180"/>
      <c r="K2176" s="180"/>
      <c r="L2176" s="180"/>
      <c r="M2176" s="180"/>
      <c r="N2176" s="180"/>
      <c r="O2176" s="180"/>
      <c r="P2176" s="180"/>
      <c r="Q2176" s="180"/>
      <c r="R2176" s="180"/>
      <c r="S2176" s="180"/>
      <c r="T2176" s="43">
        <f t="shared" si="49"/>
        <v>4</v>
      </c>
      <c r="U2176" s="167">
        <f t="shared" si="50"/>
        <v>45764</v>
      </c>
      <c r="V2176" s="145"/>
      <c r="W2176" s="43">
        <f t="shared" si="51"/>
        <v>4</v>
      </c>
      <c r="X2176" s="49"/>
      <c r="Y2176" s="49"/>
      <c r="Z2176" s="183"/>
      <c r="AA2176" s="183"/>
      <c r="AB2176" s="183"/>
    </row>
    <row r="2177" spans="1:28" hidden="1">
      <c r="A2177" s="163" t="s">
        <v>1017</v>
      </c>
      <c r="B2177" s="164">
        <v>45764</v>
      </c>
      <c r="C2177" s="163" t="s">
        <v>108</v>
      </c>
      <c r="D2177" s="163" t="s">
        <v>281</v>
      </c>
      <c r="E2177" s="163" t="s">
        <v>1031</v>
      </c>
      <c r="F2177" s="185">
        <v>-2800</v>
      </c>
      <c r="G2177" s="165">
        <f t="shared" si="48"/>
        <v>48494.35099999993</v>
      </c>
      <c r="H2177" s="180"/>
      <c r="I2177" s="180"/>
      <c r="J2177" s="180"/>
      <c r="K2177" s="180"/>
      <c r="L2177" s="180"/>
      <c r="M2177" s="180"/>
      <c r="N2177" s="180"/>
      <c r="O2177" s="180"/>
      <c r="P2177" s="180"/>
      <c r="Q2177" s="180"/>
      <c r="R2177" s="180"/>
      <c r="S2177" s="180"/>
      <c r="T2177" s="43">
        <f t="shared" si="49"/>
        <v>4</v>
      </c>
      <c r="U2177" s="167">
        <f t="shared" si="50"/>
        <v>45764</v>
      </c>
      <c r="V2177" s="145"/>
      <c r="W2177" s="43">
        <f t="shared" si="51"/>
        <v>4</v>
      </c>
      <c r="X2177" s="49"/>
      <c r="Y2177" s="49"/>
      <c r="Z2177" s="183"/>
      <c r="AA2177" s="183"/>
      <c r="AB2177" s="183"/>
    </row>
    <row r="2178" spans="1:28" hidden="1">
      <c r="A2178" s="163" t="s">
        <v>1017</v>
      </c>
      <c r="B2178" s="164">
        <v>45764</v>
      </c>
      <c r="C2178" s="163" t="s">
        <v>91</v>
      </c>
      <c r="D2178" s="163" t="s">
        <v>281</v>
      </c>
      <c r="E2178" s="163" t="s">
        <v>1031</v>
      </c>
      <c r="F2178" s="185">
        <v>-1400</v>
      </c>
      <c r="G2178" s="165">
        <f t="shared" si="48"/>
        <v>47094.35099999993</v>
      </c>
      <c r="H2178" s="180"/>
      <c r="I2178" s="180"/>
      <c r="J2178" s="180"/>
      <c r="K2178" s="180"/>
      <c r="L2178" s="180"/>
      <c r="M2178" s="180"/>
      <c r="N2178" s="180"/>
      <c r="O2178" s="180"/>
      <c r="P2178" s="180"/>
      <c r="Q2178" s="180"/>
      <c r="R2178" s="180"/>
      <c r="S2178" s="180"/>
      <c r="T2178" s="43">
        <f t="shared" si="49"/>
        <v>4</v>
      </c>
      <c r="U2178" s="167">
        <f t="shared" si="50"/>
        <v>45764</v>
      </c>
      <c r="V2178" s="145"/>
      <c r="W2178" s="43">
        <f t="shared" si="51"/>
        <v>4</v>
      </c>
      <c r="X2178" s="49"/>
      <c r="Y2178" s="49"/>
      <c r="Z2178" s="183"/>
      <c r="AA2178" s="183"/>
      <c r="AB2178" s="183"/>
    </row>
    <row r="2179" spans="1:28" hidden="1">
      <c r="A2179" s="163" t="s">
        <v>1017</v>
      </c>
      <c r="B2179" s="164">
        <v>45764</v>
      </c>
      <c r="C2179" s="163" t="s">
        <v>1784</v>
      </c>
      <c r="D2179" s="163" t="s">
        <v>281</v>
      </c>
      <c r="E2179" s="163" t="s">
        <v>1031</v>
      </c>
      <c r="F2179" s="185">
        <v>-1800</v>
      </c>
      <c r="G2179" s="165">
        <f t="shared" si="48"/>
        <v>45294.35099999993</v>
      </c>
      <c r="H2179" s="180"/>
      <c r="I2179" s="180"/>
      <c r="J2179" s="180"/>
      <c r="K2179" s="180"/>
      <c r="L2179" s="180"/>
      <c r="M2179" s="180"/>
      <c r="N2179" s="180"/>
      <c r="O2179" s="180"/>
      <c r="P2179" s="180"/>
      <c r="Q2179" s="180"/>
      <c r="R2179" s="180"/>
      <c r="S2179" s="180"/>
      <c r="T2179" s="43">
        <f t="shared" si="49"/>
        <v>4</v>
      </c>
      <c r="U2179" s="167">
        <f t="shared" si="50"/>
        <v>45764</v>
      </c>
      <c r="V2179" s="145"/>
      <c r="W2179" s="43">
        <f t="shared" si="51"/>
        <v>4</v>
      </c>
      <c r="X2179" s="49"/>
      <c r="Y2179" s="49"/>
      <c r="Z2179" s="183"/>
      <c r="AA2179" s="183"/>
      <c r="AB2179" s="183"/>
    </row>
    <row r="2180" spans="1:28" hidden="1">
      <c r="A2180" s="163" t="s">
        <v>1017</v>
      </c>
      <c r="B2180" s="164">
        <v>45765</v>
      </c>
      <c r="C2180" s="163" t="s">
        <v>1781</v>
      </c>
      <c r="D2180" s="163" t="s">
        <v>281</v>
      </c>
      <c r="E2180" s="163" t="s">
        <v>301</v>
      </c>
      <c r="F2180" s="185">
        <f>-1774.74</f>
        <v>-1774.74</v>
      </c>
      <c r="G2180" s="165">
        <f t="shared" si="48"/>
        <v>43519.610999999932</v>
      </c>
      <c r="H2180" s="180"/>
      <c r="I2180" s="180"/>
      <c r="J2180" s="180"/>
      <c r="K2180" s="180"/>
      <c r="L2180" s="180"/>
      <c r="M2180" s="180"/>
      <c r="N2180" s="180"/>
      <c r="O2180" s="180"/>
      <c r="P2180" s="180"/>
      <c r="Q2180" s="180"/>
      <c r="R2180" s="180"/>
      <c r="S2180" s="180"/>
      <c r="T2180" s="43">
        <f t="shared" si="49"/>
        <v>4</v>
      </c>
      <c r="U2180" s="167">
        <f t="shared" si="50"/>
        <v>45764</v>
      </c>
      <c r="V2180" s="145">
        <v>45764</v>
      </c>
      <c r="W2180" s="43">
        <f t="shared" si="51"/>
        <v>4</v>
      </c>
      <c r="X2180" s="49"/>
      <c r="Y2180" s="49"/>
      <c r="Z2180" s="183"/>
      <c r="AA2180" s="183"/>
      <c r="AB2180" s="183"/>
    </row>
    <row r="2181" spans="1:28" ht="14.25" hidden="1" customHeight="1">
      <c r="A2181" s="163" t="s">
        <v>1017</v>
      </c>
      <c r="B2181" s="164">
        <v>45765</v>
      </c>
      <c r="C2181" s="163" t="s">
        <v>1781</v>
      </c>
      <c r="D2181" s="163" t="s">
        <v>281</v>
      </c>
      <c r="E2181" s="163" t="s">
        <v>1337</v>
      </c>
      <c r="F2181" s="185">
        <v>-184</v>
      </c>
      <c r="G2181" s="165">
        <f t="shared" si="48"/>
        <v>43335.610999999932</v>
      </c>
      <c r="H2181" s="180"/>
      <c r="I2181" s="180"/>
      <c r="J2181" s="180"/>
      <c r="K2181" s="180"/>
      <c r="L2181" s="180"/>
      <c r="M2181" s="180"/>
      <c r="N2181" s="180"/>
      <c r="O2181" s="180"/>
      <c r="P2181" s="180"/>
      <c r="Q2181" s="180"/>
      <c r="R2181" s="180"/>
      <c r="S2181" s="180"/>
      <c r="T2181" s="43">
        <f t="shared" si="49"/>
        <v>4</v>
      </c>
      <c r="U2181" s="167">
        <f t="shared" si="50"/>
        <v>45764</v>
      </c>
      <c r="V2181" s="145">
        <v>45764</v>
      </c>
      <c r="W2181" s="43">
        <f t="shared" si="51"/>
        <v>4</v>
      </c>
      <c r="X2181" s="49"/>
      <c r="Y2181" s="49"/>
      <c r="Z2181" s="183"/>
      <c r="AA2181" s="183"/>
      <c r="AB2181" s="183"/>
    </row>
    <row r="2182" spans="1:28" hidden="1">
      <c r="A2182" s="163" t="s">
        <v>1017</v>
      </c>
      <c r="B2182" s="164">
        <v>45757</v>
      </c>
      <c r="C2182" s="163" t="s">
        <v>1805</v>
      </c>
      <c r="D2182" s="163" t="s">
        <v>281</v>
      </c>
      <c r="E2182" s="163" t="s">
        <v>202</v>
      </c>
      <c r="F2182" s="185">
        <v>-6000</v>
      </c>
      <c r="G2182" s="165">
        <f t="shared" si="48"/>
        <v>37335.610999999932</v>
      </c>
      <c r="H2182" s="180"/>
      <c r="I2182" s="180"/>
      <c r="J2182" s="180"/>
      <c r="K2182" s="180"/>
      <c r="L2182" s="180"/>
      <c r="M2182" s="180"/>
      <c r="N2182" s="180"/>
      <c r="O2182" s="180"/>
      <c r="P2182" s="180"/>
      <c r="Q2182" s="180"/>
      <c r="R2182" s="180"/>
      <c r="S2182" s="180"/>
      <c r="T2182" s="43">
        <f t="shared" si="49"/>
        <v>4</v>
      </c>
      <c r="U2182" s="167">
        <f t="shared" si="50"/>
        <v>45764</v>
      </c>
      <c r="V2182" s="145">
        <v>45764</v>
      </c>
      <c r="W2182" s="43">
        <f t="shared" si="51"/>
        <v>4</v>
      </c>
      <c r="X2182" s="49"/>
      <c r="Y2182" s="49"/>
      <c r="Z2182" s="183"/>
      <c r="AA2182" s="183"/>
      <c r="AB2182" s="183"/>
    </row>
    <row r="2183" spans="1:28" hidden="1">
      <c r="A2183" s="163" t="s">
        <v>1017</v>
      </c>
      <c r="B2183" s="164">
        <v>45764</v>
      </c>
      <c r="C2183" s="163" t="s">
        <v>1010</v>
      </c>
      <c r="D2183" s="163" t="s">
        <v>281</v>
      </c>
      <c r="E2183" s="163" t="s">
        <v>199</v>
      </c>
      <c r="F2183" s="185">
        <v>-2000</v>
      </c>
      <c r="G2183" s="165">
        <f t="shared" si="48"/>
        <v>35335.610999999932</v>
      </c>
      <c r="H2183" s="180"/>
      <c r="I2183" s="180"/>
      <c r="J2183" s="180"/>
      <c r="K2183" s="180"/>
      <c r="L2183" s="180"/>
      <c r="M2183" s="180"/>
      <c r="N2183" s="180"/>
      <c r="O2183" s="180"/>
      <c r="P2183" s="180"/>
      <c r="Q2183" s="180"/>
      <c r="R2183" s="180"/>
      <c r="S2183" s="180"/>
      <c r="T2183" s="43">
        <f t="shared" si="49"/>
        <v>4</v>
      </c>
      <c r="U2183" s="167">
        <f t="shared" si="50"/>
        <v>45764</v>
      </c>
      <c r="V2183" s="145"/>
      <c r="W2183" s="43">
        <f t="shared" si="51"/>
        <v>4</v>
      </c>
      <c r="X2183" s="49"/>
      <c r="Y2183" s="49"/>
      <c r="Z2183" s="183"/>
      <c r="AA2183" s="183"/>
      <c r="AB2183" s="183"/>
    </row>
    <row r="2184" spans="1:28">
      <c r="A2184" s="180" t="s">
        <v>1017</v>
      </c>
      <c r="B2184" s="181">
        <v>45764</v>
      </c>
      <c r="C2184" s="180" t="s">
        <v>1087</v>
      </c>
      <c r="D2184" s="180" t="s">
        <v>281</v>
      </c>
      <c r="E2184" s="180" t="s">
        <v>18</v>
      </c>
      <c r="F2184" s="185">
        <v>-18500</v>
      </c>
      <c r="G2184" s="165">
        <f t="shared" si="48"/>
        <v>16835.610999999932</v>
      </c>
      <c r="H2184" s="180"/>
      <c r="I2184" s="180"/>
      <c r="J2184" s="180"/>
      <c r="K2184" s="180"/>
      <c r="L2184" s="180"/>
      <c r="M2184" s="180"/>
      <c r="N2184" s="180"/>
      <c r="O2184" s="180"/>
      <c r="P2184" s="180"/>
      <c r="Q2184" s="180"/>
      <c r="R2184" s="180"/>
      <c r="S2184" s="180"/>
      <c r="T2184" s="183">
        <f t="shared" si="49"/>
        <v>4</v>
      </c>
      <c r="U2184" s="184">
        <f t="shared" si="50"/>
        <v>45764</v>
      </c>
      <c r="V2184" s="145"/>
      <c r="W2184" s="183">
        <f t="shared" si="51"/>
        <v>4</v>
      </c>
      <c r="X2184" s="183"/>
      <c r="Y2184" s="183"/>
      <c r="Z2184" s="183"/>
      <c r="AA2184" s="183"/>
      <c r="AB2184" s="183"/>
    </row>
    <row r="2185" spans="1:28" hidden="1">
      <c r="A2185" s="163" t="s">
        <v>1017</v>
      </c>
      <c r="B2185" s="164">
        <v>45765</v>
      </c>
      <c r="C2185" s="163" t="s">
        <v>1781</v>
      </c>
      <c r="D2185" s="163" t="s">
        <v>281</v>
      </c>
      <c r="E2185" s="163" t="s">
        <v>122</v>
      </c>
      <c r="F2185" s="185">
        <f>-116.66</f>
        <v>-116.66</v>
      </c>
      <c r="G2185" s="165">
        <f t="shared" si="48"/>
        <v>16718.950999999932</v>
      </c>
      <c r="H2185" s="180"/>
      <c r="I2185" s="180"/>
      <c r="J2185" s="180"/>
      <c r="K2185" s="180"/>
      <c r="L2185" s="180"/>
      <c r="M2185" s="180"/>
      <c r="N2185" s="180"/>
      <c r="O2185" s="180"/>
      <c r="P2185" s="180"/>
      <c r="Q2185" s="180"/>
      <c r="R2185" s="180"/>
      <c r="S2185" s="180"/>
      <c r="T2185" s="43">
        <f t="shared" si="49"/>
        <v>4</v>
      </c>
      <c r="U2185" s="167">
        <f t="shared" si="50"/>
        <v>45764</v>
      </c>
      <c r="V2185" s="145">
        <v>45764</v>
      </c>
      <c r="W2185" s="43">
        <f t="shared" si="51"/>
        <v>4</v>
      </c>
      <c r="X2185" s="49"/>
      <c r="Y2185" s="49"/>
      <c r="Z2185" s="183"/>
      <c r="AA2185" s="183"/>
      <c r="AB2185" s="183"/>
    </row>
    <row r="2186" spans="1:28" hidden="1">
      <c r="A2186" s="163" t="s">
        <v>1017</v>
      </c>
      <c r="B2186" s="164">
        <v>45736</v>
      </c>
      <c r="C2186" s="163" t="s">
        <v>351</v>
      </c>
      <c r="D2186" s="163" t="s">
        <v>281</v>
      </c>
      <c r="E2186" s="163" t="s">
        <v>122</v>
      </c>
      <c r="F2186" s="185">
        <v>-14714.62</v>
      </c>
      <c r="G2186" s="165">
        <f t="shared" si="48"/>
        <v>2004.330999999931</v>
      </c>
      <c r="H2186" s="163"/>
      <c r="I2186" s="163" t="s">
        <v>283</v>
      </c>
      <c r="J2186" s="163"/>
      <c r="K2186" s="163"/>
      <c r="L2186" s="163" t="s">
        <v>1686</v>
      </c>
      <c r="M2186" s="163"/>
      <c r="N2186" s="163" t="s">
        <v>978</v>
      </c>
      <c r="O2186" s="163"/>
      <c r="P2186" s="163"/>
      <c r="Q2186" s="163"/>
      <c r="R2186" s="163" t="s">
        <v>353</v>
      </c>
      <c r="S2186" s="163" t="s">
        <v>354</v>
      </c>
      <c r="T2186" s="43">
        <f t="shared" si="49"/>
        <v>3</v>
      </c>
      <c r="U2186" s="167">
        <f t="shared" si="50"/>
        <v>45764</v>
      </c>
      <c r="V2186" s="145">
        <v>45764</v>
      </c>
      <c r="W2186" s="43">
        <f t="shared" si="51"/>
        <v>4</v>
      </c>
      <c r="X2186" s="43" t="s">
        <v>1543</v>
      </c>
      <c r="Y2186" s="43" t="s">
        <v>1336</v>
      </c>
    </row>
    <row r="2187" spans="1:28" ht="14.25" hidden="1" customHeight="1">
      <c r="A2187" s="163" t="s">
        <v>1017</v>
      </c>
      <c r="B2187" s="181">
        <v>45763</v>
      </c>
      <c r="C2187" s="163" t="s">
        <v>1806</v>
      </c>
      <c r="D2187" s="163" t="s">
        <v>281</v>
      </c>
      <c r="E2187" s="163" t="s">
        <v>1807</v>
      </c>
      <c r="F2187" s="185">
        <v>-240</v>
      </c>
      <c r="G2187" s="165">
        <f t="shared" si="48"/>
        <v>1764.330999999931</v>
      </c>
      <c r="H2187" s="163"/>
      <c r="I2187" s="163" t="s">
        <v>994</v>
      </c>
      <c r="J2187" s="163"/>
      <c r="K2187" s="163"/>
      <c r="L2187" s="163" t="s">
        <v>305</v>
      </c>
      <c r="M2187" s="163"/>
      <c r="N2187" s="163" t="s">
        <v>978</v>
      </c>
      <c r="O2187" s="163"/>
      <c r="P2187" s="163"/>
      <c r="Q2187" s="163"/>
      <c r="R2187" s="163" t="s">
        <v>1808</v>
      </c>
      <c r="S2187" s="163" t="s">
        <v>1809</v>
      </c>
      <c r="T2187" s="43">
        <f t="shared" si="49"/>
        <v>4</v>
      </c>
      <c r="U2187" s="167">
        <f t="shared" si="50"/>
        <v>45764</v>
      </c>
      <c r="V2187" s="145">
        <v>45764</v>
      </c>
      <c r="W2187" s="43">
        <f t="shared" si="51"/>
        <v>4</v>
      </c>
      <c r="X2187" s="49" t="s">
        <v>1483</v>
      </c>
      <c r="Y2187" s="49" t="s">
        <v>1443</v>
      </c>
      <c r="Z2187" s="43"/>
      <c r="AA2187" s="43"/>
      <c r="AB2187" s="43"/>
    </row>
    <row r="2188" spans="1:28" hidden="1">
      <c r="A2188" s="163" t="s">
        <v>1017</v>
      </c>
      <c r="B2188" s="164">
        <v>45764</v>
      </c>
      <c r="C2188" s="190" t="s">
        <v>330</v>
      </c>
      <c r="D2188" s="190" t="s">
        <v>281</v>
      </c>
      <c r="E2188" s="190" t="s">
        <v>330</v>
      </c>
      <c r="F2188" s="185">
        <f>-1.99-12</f>
        <v>-13.99</v>
      </c>
      <c r="G2188" s="165">
        <f t="shared" si="48"/>
        <v>1750.340999999931</v>
      </c>
      <c r="H2188" s="190"/>
      <c r="I2188" s="190" t="s">
        <v>342</v>
      </c>
      <c r="J2188" s="190"/>
      <c r="K2188" s="190"/>
      <c r="L2188" s="190" t="s">
        <v>805</v>
      </c>
      <c r="M2188" s="190"/>
      <c r="N2188" s="190" t="s">
        <v>978</v>
      </c>
      <c r="O2188" s="190"/>
      <c r="P2188" s="190"/>
      <c r="Q2188" s="190"/>
      <c r="R2188" s="190" t="s">
        <v>1292</v>
      </c>
      <c r="S2188" s="190" t="s">
        <v>1417</v>
      </c>
      <c r="T2188" s="43">
        <f t="shared" si="49"/>
        <v>4</v>
      </c>
      <c r="U2188" s="167">
        <f t="shared" si="50"/>
        <v>45764</v>
      </c>
      <c r="V2188" s="145"/>
      <c r="W2188" s="43">
        <f t="shared" si="51"/>
        <v>4</v>
      </c>
      <c r="X2188" s="43" t="s">
        <v>1483</v>
      </c>
      <c r="Y2188" s="43" t="s">
        <v>1443</v>
      </c>
      <c r="Z2188" s="43"/>
      <c r="AA2188" s="43"/>
    </row>
    <row r="2189" spans="1:28" hidden="1">
      <c r="A2189" s="163"/>
      <c r="B2189" s="164">
        <v>45764</v>
      </c>
      <c r="C2189" s="163" t="s">
        <v>346</v>
      </c>
      <c r="D2189" s="163"/>
      <c r="E2189" s="163"/>
      <c r="F2189" s="165">
        <v>0</v>
      </c>
      <c r="G2189" s="165">
        <f t="shared" si="48"/>
        <v>1750.340999999931</v>
      </c>
      <c r="H2189" s="180"/>
      <c r="I2189" s="180"/>
      <c r="J2189" s="180"/>
      <c r="K2189" s="180"/>
      <c r="L2189" s="180"/>
      <c r="M2189" s="180"/>
      <c r="N2189" s="180"/>
      <c r="O2189" s="180"/>
      <c r="P2189" s="180"/>
      <c r="Q2189" s="180"/>
      <c r="R2189" s="180"/>
      <c r="S2189" s="180"/>
      <c r="T2189" s="43">
        <f t="shared" si="49"/>
        <v>4</v>
      </c>
      <c r="U2189" s="167">
        <f t="shared" si="50"/>
        <v>45764</v>
      </c>
      <c r="V2189" s="145"/>
      <c r="W2189" s="43">
        <f t="shared" si="51"/>
        <v>4</v>
      </c>
      <c r="X2189" s="49"/>
      <c r="Y2189" s="49"/>
      <c r="Z2189" s="183"/>
      <c r="AA2189" s="183"/>
      <c r="AB2189" s="183"/>
    </row>
    <row r="2190" spans="1:28" hidden="1">
      <c r="A2190" s="163" t="s">
        <v>1174</v>
      </c>
      <c r="B2190" s="164">
        <v>45769</v>
      </c>
      <c r="C2190" s="163" t="s">
        <v>1106</v>
      </c>
      <c r="D2190" s="163" t="s">
        <v>281</v>
      </c>
      <c r="E2190" s="163" t="s">
        <v>407</v>
      </c>
      <c r="F2190" s="165"/>
      <c r="G2190" s="165">
        <f t="shared" si="48"/>
        <v>1750.340999999931</v>
      </c>
      <c r="H2190" s="180"/>
      <c r="I2190" s="180"/>
      <c r="J2190" s="180"/>
      <c r="K2190" s="180"/>
      <c r="L2190" s="180"/>
      <c r="M2190" s="180"/>
      <c r="N2190" s="180"/>
      <c r="O2190" s="180"/>
      <c r="P2190" s="180"/>
      <c r="Q2190" s="180"/>
      <c r="R2190" s="180"/>
      <c r="S2190" s="180"/>
      <c r="T2190" s="43">
        <f t="shared" si="49"/>
        <v>4</v>
      </c>
      <c r="U2190" s="167">
        <f t="shared" si="50"/>
        <v>45769</v>
      </c>
      <c r="V2190" s="145"/>
      <c r="W2190" s="43">
        <f t="shared" si="51"/>
        <v>4</v>
      </c>
      <c r="X2190" s="49"/>
      <c r="Y2190" s="49"/>
      <c r="Z2190" s="183"/>
      <c r="AA2190" s="183"/>
      <c r="AB2190" s="183"/>
    </row>
    <row r="2191" spans="1:28" hidden="1">
      <c r="A2191" s="163" t="s">
        <v>1174</v>
      </c>
      <c r="B2191" s="164">
        <v>45769</v>
      </c>
      <c r="C2191" s="163" t="s">
        <v>72</v>
      </c>
      <c r="D2191" s="163" t="s">
        <v>281</v>
      </c>
      <c r="E2191" s="163" t="s">
        <v>407</v>
      </c>
      <c r="F2191" s="165">
        <v>2950</v>
      </c>
      <c r="G2191" s="165">
        <f t="shared" si="48"/>
        <v>4700.3409999999312</v>
      </c>
      <c r="H2191" s="180"/>
      <c r="I2191" s="180"/>
      <c r="J2191" s="180"/>
      <c r="K2191" s="180"/>
      <c r="L2191" s="180"/>
      <c r="M2191" s="180"/>
      <c r="N2191" s="180"/>
      <c r="O2191" s="180"/>
      <c r="P2191" s="180"/>
      <c r="Q2191" s="180"/>
      <c r="R2191" s="180"/>
      <c r="S2191" s="180"/>
      <c r="T2191" s="43">
        <f t="shared" si="49"/>
        <v>4</v>
      </c>
      <c r="U2191" s="167">
        <f t="shared" si="50"/>
        <v>45769</v>
      </c>
      <c r="V2191" s="145"/>
      <c r="W2191" s="43">
        <f t="shared" si="51"/>
        <v>4</v>
      </c>
      <c r="X2191" s="49"/>
      <c r="Y2191" s="49"/>
      <c r="Z2191" s="183"/>
      <c r="AA2191" s="183"/>
      <c r="AB2191" s="183"/>
    </row>
    <row r="2192" spans="1:28" hidden="1">
      <c r="A2192" s="163" t="s">
        <v>1174</v>
      </c>
      <c r="B2192" s="164">
        <v>45769</v>
      </c>
      <c r="C2192" s="163" t="s">
        <v>1018</v>
      </c>
      <c r="D2192" s="163" t="s">
        <v>281</v>
      </c>
      <c r="E2192" s="163" t="s">
        <v>407</v>
      </c>
      <c r="F2192" s="165">
        <v>4199</v>
      </c>
      <c r="G2192" s="165">
        <f t="shared" si="48"/>
        <v>8899.3409999999312</v>
      </c>
      <c r="H2192" s="180"/>
      <c r="I2192" s="180"/>
      <c r="J2192" s="180"/>
      <c r="K2192" s="180"/>
      <c r="L2192" s="180"/>
      <c r="M2192" s="180"/>
      <c r="N2192" s="180"/>
      <c r="O2192" s="180"/>
      <c r="P2192" s="180"/>
      <c r="Q2192" s="180"/>
      <c r="R2192" s="180"/>
      <c r="S2192" s="180"/>
      <c r="T2192" s="43">
        <f t="shared" si="49"/>
        <v>4</v>
      </c>
      <c r="U2192" s="167">
        <f t="shared" si="50"/>
        <v>45769</v>
      </c>
      <c r="V2192" s="145"/>
      <c r="W2192" s="43">
        <f t="shared" si="51"/>
        <v>4</v>
      </c>
      <c r="X2192" s="49"/>
      <c r="Y2192" s="49"/>
      <c r="Z2192" s="183"/>
      <c r="AA2192" s="183"/>
      <c r="AB2192" s="183"/>
    </row>
    <row r="2193" spans="1:28" hidden="1">
      <c r="A2193" s="283" t="s">
        <v>1174</v>
      </c>
      <c r="B2193" s="284">
        <v>45769</v>
      </c>
      <c r="C2193" s="283" t="s">
        <v>1795</v>
      </c>
      <c r="D2193" s="283" t="s">
        <v>281</v>
      </c>
      <c r="E2193" s="283" t="s">
        <v>82</v>
      </c>
      <c r="F2193" s="285">
        <v>24990</v>
      </c>
      <c r="G2193" s="165">
        <f t="shared" si="48"/>
        <v>33889.340999999928</v>
      </c>
      <c r="H2193" s="283"/>
      <c r="I2193" s="283"/>
      <c r="J2193" s="283"/>
      <c r="K2193" s="283"/>
      <c r="L2193" s="283"/>
      <c r="M2193" s="283"/>
      <c r="N2193" s="283"/>
      <c r="O2193" s="283"/>
      <c r="P2193" s="283"/>
      <c r="Q2193" s="283"/>
      <c r="R2193" s="283"/>
      <c r="S2193" s="283"/>
      <c r="T2193" s="286">
        <f t="shared" si="49"/>
        <v>4</v>
      </c>
      <c r="U2193" s="287">
        <f t="shared" si="50"/>
        <v>45769</v>
      </c>
      <c r="V2193" s="288"/>
      <c r="W2193" s="286">
        <f t="shared" si="51"/>
        <v>4</v>
      </c>
      <c r="X2193" s="286"/>
      <c r="Y2193" s="286"/>
      <c r="Z2193" s="286"/>
      <c r="AA2193" s="286"/>
      <c r="AB2193" s="286"/>
    </row>
    <row r="2194" spans="1:28" hidden="1">
      <c r="A2194" s="283" t="s">
        <v>1174</v>
      </c>
      <c r="B2194" s="284">
        <v>45769</v>
      </c>
      <c r="C2194" s="283" t="s">
        <v>1795</v>
      </c>
      <c r="D2194" s="283" t="s">
        <v>281</v>
      </c>
      <c r="E2194" s="283" t="s">
        <v>1810</v>
      </c>
      <c r="F2194" s="285">
        <v>-8746.5</v>
      </c>
      <c r="G2194" s="165">
        <f t="shared" si="48"/>
        <v>25142.840999999928</v>
      </c>
      <c r="H2194" s="283"/>
      <c r="I2194" s="283"/>
      <c r="J2194" s="283"/>
      <c r="K2194" s="283"/>
      <c r="L2194" s="283"/>
      <c r="M2194" s="283"/>
      <c r="N2194" s="283"/>
      <c r="O2194" s="283"/>
      <c r="P2194" s="283"/>
      <c r="Q2194" s="283"/>
      <c r="R2194" s="283"/>
      <c r="S2194" s="283"/>
      <c r="T2194" s="289">
        <f t="shared" si="49"/>
        <v>4</v>
      </c>
      <c r="U2194" s="290">
        <f t="shared" si="50"/>
        <v>45769</v>
      </c>
      <c r="V2194" s="288"/>
      <c r="W2194" s="289">
        <f t="shared" si="51"/>
        <v>4</v>
      </c>
      <c r="X2194" s="286"/>
      <c r="Y2194" s="286"/>
      <c r="Z2194" s="286"/>
      <c r="AA2194" s="286"/>
      <c r="AB2194" s="286"/>
    </row>
    <row r="2195" spans="1:28" ht="14.25" hidden="1" customHeight="1">
      <c r="A2195" s="180" t="s">
        <v>1017</v>
      </c>
      <c r="B2195" s="181">
        <v>45747</v>
      </c>
      <c r="C2195" s="180" t="s">
        <v>1811</v>
      </c>
      <c r="D2195" s="180" t="s">
        <v>281</v>
      </c>
      <c r="E2195" s="180" t="s">
        <v>202</v>
      </c>
      <c r="F2195" s="185">
        <v>-5000</v>
      </c>
      <c r="G2195" s="165">
        <f t="shared" si="48"/>
        <v>20142.840999999928</v>
      </c>
      <c r="H2195" s="180"/>
      <c r="I2195" s="180" t="s">
        <v>283</v>
      </c>
      <c r="J2195" s="180"/>
      <c r="K2195" s="180"/>
      <c r="L2195" s="180" t="s">
        <v>686</v>
      </c>
      <c r="M2195" s="180"/>
      <c r="N2195" s="180" t="s">
        <v>978</v>
      </c>
      <c r="O2195" s="180"/>
      <c r="P2195" s="180"/>
      <c r="Q2195" s="180"/>
      <c r="R2195" s="180" t="s">
        <v>710</v>
      </c>
      <c r="S2195" s="180" t="s">
        <v>711</v>
      </c>
      <c r="T2195" s="189">
        <f t="shared" si="49"/>
        <v>3</v>
      </c>
      <c r="U2195" s="211">
        <f t="shared" si="50"/>
        <v>45769</v>
      </c>
      <c r="V2195" s="145">
        <v>45769</v>
      </c>
      <c r="W2195" s="43">
        <f t="shared" si="51"/>
        <v>4</v>
      </c>
      <c r="X2195" s="43" t="s">
        <v>1526</v>
      </c>
      <c r="Y2195" s="43" t="s">
        <v>86</v>
      </c>
      <c r="Z2195" s="183"/>
      <c r="AA2195" s="183"/>
      <c r="AB2195" s="183"/>
    </row>
    <row r="2196" spans="1:28" hidden="1">
      <c r="A2196" s="163" t="s">
        <v>1017</v>
      </c>
      <c r="B2196" s="164">
        <v>45769</v>
      </c>
      <c r="C2196" s="163" t="s">
        <v>1010</v>
      </c>
      <c r="D2196" s="163" t="s">
        <v>281</v>
      </c>
      <c r="E2196" s="163" t="s">
        <v>199</v>
      </c>
      <c r="F2196" s="291">
        <v>-3000</v>
      </c>
      <c r="G2196" s="165">
        <f t="shared" si="48"/>
        <v>17142.840999999928</v>
      </c>
      <c r="H2196" s="180"/>
      <c r="I2196" s="180"/>
      <c r="J2196" s="180"/>
      <c r="K2196" s="180"/>
      <c r="L2196" s="180"/>
      <c r="M2196" s="180"/>
      <c r="N2196" s="180"/>
      <c r="O2196" s="180"/>
      <c r="P2196" s="180"/>
      <c r="Q2196" s="180"/>
      <c r="R2196" s="180"/>
      <c r="S2196" s="180"/>
      <c r="T2196" s="43">
        <f t="shared" si="49"/>
        <v>4</v>
      </c>
      <c r="U2196" s="167">
        <f t="shared" si="50"/>
        <v>45769</v>
      </c>
      <c r="V2196" s="145"/>
      <c r="W2196" s="43">
        <f t="shared" si="51"/>
        <v>4</v>
      </c>
      <c r="X2196" s="49"/>
      <c r="Y2196" s="49"/>
      <c r="Z2196" s="183"/>
      <c r="AA2196" s="183"/>
      <c r="AB2196" s="183"/>
    </row>
    <row r="2197" spans="1:28" hidden="1">
      <c r="A2197" s="163" t="s">
        <v>1017</v>
      </c>
      <c r="B2197" s="164">
        <v>45736</v>
      </c>
      <c r="C2197" s="163" t="s">
        <v>293</v>
      </c>
      <c r="D2197" s="163" t="s">
        <v>281</v>
      </c>
      <c r="E2197" s="163" t="s">
        <v>294</v>
      </c>
      <c r="F2197" s="291">
        <v>-6588.61</v>
      </c>
      <c r="G2197" s="165">
        <f t="shared" si="48"/>
        <v>10554.230999999927</v>
      </c>
      <c r="H2197" s="163"/>
      <c r="I2197" s="163" t="s">
        <v>342</v>
      </c>
      <c r="J2197" s="163"/>
      <c r="K2197" s="163"/>
      <c r="L2197" s="163" t="s">
        <v>1812</v>
      </c>
      <c r="M2197" s="163"/>
      <c r="N2197" s="163" t="s">
        <v>978</v>
      </c>
      <c r="O2197" s="163"/>
      <c r="P2197" s="163"/>
      <c r="Q2197" s="163"/>
      <c r="R2197" s="163" t="s">
        <v>298</v>
      </c>
      <c r="S2197" s="163" t="s">
        <v>299</v>
      </c>
      <c r="T2197" s="43">
        <f t="shared" si="49"/>
        <v>3</v>
      </c>
      <c r="U2197" s="167">
        <f t="shared" si="50"/>
        <v>45769</v>
      </c>
      <c r="V2197" s="145">
        <v>45769</v>
      </c>
      <c r="W2197" s="43">
        <f t="shared" si="51"/>
        <v>4</v>
      </c>
      <c r="X2197" s="49" t="s">
        <v>1483</v>
      </c>
      <c r="Y2197" s="49" t="s">
        <v>1443</v>
      </c>
    </row>
    <row r="2198" spans="1:28" hidden="1">
      <c r="A2198" s="283" t="s">
        <v>1174</v>
      </c>
      <c r="B2198" s="284">
        <v>45769</v>
      </c>
      <c r="C2198" s="283" t="s">
        <v>1813</v>
      </c>
      <c r="D2198" s="283" t="s">
        <v>281</v>
      </c>
      <c r="E2198" s="283" t="s">
        <v>1810</v>
      </c>
      <c r="F2198" s="285">
        <v>-3000</v>
      </c>
      <c r="G2198" s="165">
        <f t="shared" si="48"/>
        <v>7554.230999999927</v>
      </c>
      <c r="H2198" s="283"/>
      <c r="I2198" s="283"/>
      <c r="J2198" s="283"/>
      <c r="K2198" s="283"/>
      <c r="L2198" s="283"/>
      <c r="M2198" s="283"/>
      <c r="N2198" s="283"/>
      <c r="O2198" s="283"/>
      <c r="P2198" s="283"/>
      <c r="Q2198" s="283"/>
      <c r="R2198" s="283"/>
      <c r="S2198" s="283"/>
      <c r="T2198" s="289">
        <f t="shared" si="49"/>
        <v>4</v>
      </c>
      <c r="U2198" s="290">
        <f t="shared" si="50"/>
        <v>45769</v>
      </c>
      <c r="V2198" s="288"/>
      <c r="W2198" s="289">
        <f t="shared" si="51"/>
        <v>4</v>
      </c>
      <c r="X2198" s="286"/>
      <c r="Y2198" s="286"/>
      <c r="Z2198" s="286"/>
      <c r="AA2198" s="286"/>
      <c r="AB2198" s="286"/>
    </row>
    <row r="2199" spans="1:28" hidden="1">
      <c r="A2199" s="163" t="s">
        <v>1017</v>
      </c>
      <c r="B2199" s="164">
        <v>45769</v>
      </c>
      <c r="C2199" s="190" t="s">
        <v>330</v>
      </c>
      <c r="D2199" s="190" t="s">
        <v>281</v>
      </c>
      <c r="E2199" s="190" t="s">
        <v>330</v>
      </c>
      <c r="F2199" s="185">
        <f>-1.99-2</f>
        <v>-3.99</v>
      </c>
      <c r="G2199" s="165">
        <f t="shared" si="48"/>
        <v>7550.2409999999272</v>
      </c>
      <c r="H2199" s="190"/>
      <c r="I2199" s="190" t="s">
        <v>342</v>
      </c>
      <c r="J2199" s="190"/>
      <c r="K2199" s="190"/>
      <c r="L2199" s="190" t="s">
        <v>805</v>
      </c>
      <c r="M2199" s="190"/>
      <c r="N2199" s="190" t="s">
        <v>978</v>
      </c>
      <c r="O2199" s="190"/>
      <c r="P2199" s="190"/>
      <c r="Q2199" s="190"/>
      <c r="R2199" s="190" t="s">
        <v>1292</v>
      </c>
      <c r="S2199" s="190" t="s">
        <v>1417</v>
      </c>
      <c r="T2199" s="43">
        <f t="shared" si="49"/>
        <v>4</v>
      </c>
      <c r="U2199" s="167">
        <f t="shared" si="50"/>
        <v>45769</v>
      </c>
      <c r="V2199" s="145"/>
      <c r="W2199" s="43">
        <f t="shared" si="51"/>
        <v>4</v>
      </c>
      <c r="X2199" s="43" t="s">
        <v>1483</v>
      </c>
      <c r="Y2199" s="43" t="s">
        <v>1443</v>
      </c>
      <c r="Z2199" s="43"/>
      <c r="AA2199" s="43"/>
    </row>
    <row r="2200" spans="1:28" hidden="1">
      <c r="A2200" s="163"/>
      <c r="B2200" s="164">
        <v>45769</v>
      </c>
      <c r="C2200" s="163" t="s">
        <v>346</v>
      </c>
      <c r="D2200" s="163"/>
      <c r="E2200" s="163"/>
      <c r="F2200" s="165">
        <v>0</v>
      </c>
      <c r="G2200" s="165">
        <f t="shared" si="48"/>
        <v>7550.2409999999272</v>
      </c>
      <c r="H2200" s="180"/>
      <c r="I2200" s="180"/>
      <c r="J2200" s="180"/>
      <c r="K2200" s="180"/>
      <c r="L2200" s="180"/>
      <c r="M2200" s="180"/>
      <c r="N2200" s="180"/>
      <c r="O2200" s="180"/>
      <c r="P2200" s="180"/>
      <c r="Q2200" s="180"/>
      <c r="R2200" s="180"/>
      <c r="S2200" s="180"/>
      <c r="T2200" s="43">
        <f t="shared" si="49"/>
        <v>4</v>
      </c>
      <c r="U2200" s="167">
        <f t="shared" si="50"/>
        <v>45769</v>
      </c>
      <c r="V2200" s="145"/>
      <c r="W2200" s="43">
        <f t="shared" si="51"/>
        <v>4</v>
      </c>
      <c r="X2200" s="49"/>
      <c r="Y2200" s="49"/>
      <c r="Z2200" s="183"/>
      <c r="AA2200" s="183"/>
      <c r="AB2200" s="183"/>
    </row>
    <row r="2201" spans="1:28" ht="14.25" hidden="1" customHeight="1">
      <c r="A2201" s="180" t="s">
        <v>1017</v>
      </c>
      <c r="B2201" s="181">
        <v>45736</v>
      </c>
      <c r="C2201" s="240" t="s">
        <v>1428</v>
      </c>
      <c r="D2201" s="180" t="s">
        <v>281</v>
      </c>
      <c r="E2201" s="180" t="s">
        <v>196</v>
      </c>
      <c r="F2201" s="291">
        <v>-7536.66</v>
      </c>
      <c r="G2201" s="165">
        <f t="shared" si="48"/>
        <v>13.580999999927371</v>
      </c>
      <c r="H2201" s="180"/>
      <c r="I2201" s="180" t="s">
        <v>283</v>
      </c>
      <c r="J2201" s="180"/>
      <c r="K2201" s="180"/>
      <c r="L2201" s="180" t="s">
        <v>305</v>
      </c>
      <c r="M2201" s="180"/>
      <c r="N2201" s="180" t="s">
        <v>978</v>
      </c>
      <c r="O2201" s="180"/>
      <c r="P2201" s="180"/>
      <c r="Q2201" s="180" t="s">
        <v>1067</v>
      </c>
      <c r="R2201" s="180" t="s">
        <v>1087</v>
      </c>
      <c r="S2201" s="180" t="s">
        <v>1089</v>
      </c>
      <c r="T2201" s="183">
        <f t="shared" si="49"/>
        <v>3</v>
      </c>
      <c r="U2201" s="184">
        <f t="shared" si="50"/>
        <v>45769</v>
      </c>
      <c r="V2201" s="145">
        <v>45769</v>
      </c>
      <c r="W2201" s="43">
        <f t="shared" si="51"/>
        <v>4</v>
      </c>
      <c r="X2201" s="43" t="s">
        <v>196</v>
      </c>
      <c r="Y2201" s="43" t="s">
        <v>1443</v>
      </c>
      <c r="Z2201" s="183" t="s">
        <v>1113</v>
      </c>
      <c r="AA2201" s="183" t="s">
        <v>1336</v>
      </c>
      <c r="AB2201" s="183"/>
    </row>
    <row r="2202" spans="1:28" hidden="1">
      <c r="A2202" s="283" t="s">
        <v>1174</v>
      </c>
      <c r="B2202" s="284">
        <v>45770</v>
      </c>
      <c r="C2202" s="283" t="s">
        <v>1813</v>
      </c>
      <c r="D2202" s="283" t="s">
        <v>281</v>
      </c>
      <c r="E2202" s="283" t="s">
        <v>82</v>
      </c>
      <c r="F2202" s="285">
        <v>45000</v>
      </c>
      <c r="G2202" s="165">
        <f t="shared" si="48"/>
        <v>45013.580999999926</v>
      </c>
      <c r="H2202" s="283"/>
      <c r="I2202" s="283"/>
      <c r="J2202" s="283"/>
      <c r="K2202" s="283"/>
      <c r="L2202" s="283"/>
      <c r="M2202" s="283"/>
      <c r="N2202" s="283"/>
      <c r="O2202" s="283"/>
      <c r="P2202" s="283"/>
      <c r="Q2202" s="283"/>
      <c r="R2202" s="283"/>
      <c r="S2202" s="283"/>
      <c r="T2202" s="286">
        <f t="shared" si="49"/>
        <v>4</v>
      </c>
      <c r="U2202" s="287">
        <f t="shared" si="50"/>
        <v>45770</v>
      </c>
      <c r="V2202" s="288"/>
      <c r="W2202" s="286">
        <f t="shared" si="51"/>
        <v>4</v>
      </c>
      <c r="X2202" s="286"/>
      <c r="Y2202" s="286"/>
      <c r="Z2202" s="286"/>
      <c r="AA2202" s="286"/>
      <c r="AB2202" s="286"/>
    </row>
    <row r="2203" spans="1:28" hidden="1">
      <c r="A2203" s="283" t="s">
        <v>1174</v>
      </c>
      <c r="B2203" s="284">
        <v>45770</v>
      </c>
      <c r="C2203" s="283" t="s">
        <v>1813</v>
      </c>
      <c r="D2203" s="283" t="s">
        <v>281</v>
      </c>
      <c r="E2203" s="283" t="s">
        <v>330</v>
      </c>
      <c r="F2203" s="285">
        <v>-3154.5</v>
      </c>
      <c r="G2203" s="165">
        <f t="shared" si="48"/>
        <v>41859.080999999926</v>
      </c>
      <c r="H2203" s="283"/>
      <c r="I2203" s="283"/>
      <c r="J2203" s="283"/>
      <c r="K2203" s="283"/>
      <c r="L2203" s="283"/>
      <c r="M2203" s="283"/>
      <c r="N2203" s="283"/>
      <c r="O2203" s="283"/>
      <c r="P2203" s="283"/>
      <c r="Q2203" s="283"/>
      <c r="R2203" s="283"/>
      <c r="S2203" s="283"/>
      <c r="T2203" s="289">
        <f t="shared" si="49"/>
        <v>4</v>
      </c>
      <c r="U2203" s="290">
        <f t="shared" si="50"/>
        <v>45770</v>
      </c>
      <c r="V2203" s="288"/>
      <c r="W2203" s="289">
        <f t="shared" si="51"/>
        <v>4</v>
      </c>
      <c r="X2203" s="286"/>
      <c r="Y2203" s="286"/>
      <c r="Z2203" s="286"/>
      <c r="AA2203" s="286"/>
      <c r="AB2203" s="286"/>
    </row>
    <row r="2204" spans="1:28" hidden="1">
      <c r="A2204" s="283" t="s">
        <v>1174</v>
      </c>
      <c r="B2204" s="284">
        <v>45770</v>
      </c>
      <c r="C2204" s="283" t="s">
        <v>1813</v>
      </c>
      <c r="D2204" s="283" t="s">
        <v>281</v>
      </c>
      <c r="E2204" s="283" t="s">
        <v>1810</v>
      </c>
      <c r="F2204" s="285">
        <f>-11645.92</f>
        <v>-11645.92</v>
      </c>
      <c r="G2204" s="165">
        <f t="shared" si="48"/>
        <v>30213.160999999927</v>
      </c>
      <c r="H2204" s="283"/>
      <c r="I2204" s="283"/>
      <c r="J2204" s="283"/>
      <c r="K2204" s="283"/>
      <c r="L2204" s="283"/>
      <c r="M2204" s="283"/>
      <c r="N2204" s="283"/>
      <c r="O2204" s="283"/>
      <c r="P2204" s="283"/>
      <c r="Q2204" s="283"/>
      <c r="R2204" s="283"/>
      <c r="S2204" s="283"/>
      <c r="T2204" s="289">
        <f t="shared" si="49"/>
        <v>4</v>
      </c>
      <c r="U2204" s="290">
        <f t="shared" si="50"/>
        <v>45770</v>
      </c>
      <c r="V2204" s="288"/>
      <c r="W2204" s="289">
        <f t="shared" si="51"/>
        <v>4</v>
      </c>
      <c r="X2204" s="286"/>
      <c r="Y2204" s="286"/>
      <c r="Z2204" s="286"/>
      <c r="AA2204" s="286"/>
      <c r="AB2204" s="286"/>
    </row>
    <row r="2205" spans="1:28" hidden="1">
      <c r="A2205" s="180" t="s">
        <v>1017</v>
      </c>
      <c r="B2205" s="181">
        <v>45770</v>
      </c>
      <c r="C2205" s="180" t="s">
        <v>1087</v>
      </c>
      <c r="D2205" s="180" t="s">
        <v>281</v>
      </c>
      <c r="E2205" s="180" t="s">
        <v>1337</v>
      </c>
      <c r="F2205" s="185">
        <v>-450</v>
      </c>
      <c r="G2205" s="165">
        <f t="shared" si="48"/>
        <v>29763.160999999927</v>
      </c>
      <c r="H2205" s="180"/>
      <c r="I2205" s="180"/>
      <c r="J2205" s="180"/>
      <c r="K2205" s="180"/>
      <c r="L2205" s="180"/>
      <c r="M2205" s="180"/>
      <c r="N2205" s="180"/>
      <c r="O2205" s="180"/>
      <c r="P2205" s="180"/>
      <c r="Q2205" s="180"/>
      <c r="R2205" s="180"/>
      <c r="S2205" s="180"/>
      <c r="T2205" s="183">
        <f t="shared" si="49"/>
        <v>4</v>
      </c>
      <c r="U2205" s="184">
        <f t="shared" si="50"/>
        <v>45770</v>
      </c>
      <c r="V2205" s="145"/>
      <c r="W2205" s="183">
        <f t="shared" si="51"/>
        <v>4</v>
      </c>
      <c r="X2205" s="183"/>
      <c r="Y2205" s="183"/>
      <c r="Z2205" s="183"/>
      <c r="AA2205" s="183"/>
      <c r="AB2205" s="183"/>
    </row>
    <row r="2206" spans="1:28" hidden="1">
      <c r="A2206" s="163" t="s">
        <v>1174</v>
      </c>
      <c r="B2206" s="164">
        <v>45772</v>
      </c>
      <c r="C2206" s="163" t="s">
        <v>1732</v>
      </c>
      <c r="D2206" s="163" t="s">
        <v>281</v>
      </c>
      <c r="E2206" s="163" t="s">
        <v>407</v>
      </c>
      <c r="F2206" s="165">
        <v>4500</v>
      </c>
      <c r="G2206" s="165">
        <f t="shared" si="48"/>
        <v>34263.160999999927</v>
      </c>
      <c r="H2206" s="180"/>
      <c r="I2206" s="180"/>
      <c r="J2206" s="180"/>
      <c r="K2206" s="180"/>
      <c r="L2206" s="180"/>
      <c r="M2206" s="180"/>
      <c r="N2206" s="180"/>
      <c r="O2206" s="180"/>
      <c r="P2206" s="180"/>
      <c r="Q2206" s="180"/>
      <c r="R2206" s="180"/>
      <c r="S2206" s="180"/>
      <c r="T2206" s="43">
        <f t="shared" si="49"/>
        <v>4</v>
      </c>
      <c r="U2206" s="167">
        <f t="shared" si="50"/>
        <v>45770</v>
      </c>
      <c r="V2206" s="145">
        <v>45770</v>
      </c>
      <c r="W2206" s="43">
        <f t="shared" si="51"/>
        <v>4</v>
      </c>
      <c r="X2206" s="49"/>
      <c r="Y2206" s="49"/>
      <c r="Z2206" s="183"/>
      <c r="AA2206" s="183"/>
      <c r="AB2206" s="183"/>
    </row>
    <row r="2207" spans="1:28" hidden="1">
      <c r="A2207" s="163" t="s">
        <v>1017</v>
      </c>
      <c r="B2207" s="164">
        <v>45744</v>
      </c>
      <c r="C2207" s="163" t="s">
        <v>989</v>
      </c>
      <c r="D2207" s="163" t="s">
        <v>281</v>
      </c>
      <c r="E2207" s="163" t="s">
        <v>199</v>
      </c>
      <c r="F2207" s="292">
        <v>-1119</v>
      </c>
      <c r="G2207" s="165">
        <f t="shared" si="48"/>
        <v>33144.160999999927</v>
      </c>
      <c r="H2207" s="163"/>
      <c r="I2207" s="163" t="s">
        <v>977</v>
      </c>
      <c r="J2207" s="163"/>
      <c r="K2207" s="163"/>
      <c r="L2207" s="163" t="s">
        <v>1571</v>
      </c>
      <c r="M2207" s="163"/>
      <c r="N2207" s="163" t="s">
        <v>978</v>
      </c>
      <c r="O2207" s="163"/>
      <c r="P2207" s="163"/>
      <c r="Q2207" s="163"/>
      <c r="R2207" s="163" t="s">
        <v>990</v>
      </c>
      <c r="S2207" s="163" t="s">
        <v>991</v>
      </c>
      <c r="T2207" s="43">
        <f t="shared" si="49"/>
        <v>3</v>
      </c>
      <c r="U2207" s="167">
        <f t="shared" si="50"/>
        <v>45770</v>
      </c>
      <c r="V2207" s="145">
        <v>45770</v>
      </c>
      <c r="W2207" s="43">
        <f t="shared" si="51"/>
        <v>4</v>
      </c>
      <c r="X2207" s="43" t="s">
        <v>1480</v>
      </c>
      <c r="Y2207" s="43" t="s">
        <v>86</v>
      </c>
    </row>
    <row r="2208" spans="1:28" hidden="1">
      <c r="A2208" s="163" t="s">
        <v>1017</v>
      </c>
      <c r="B2208" s="164">
        <v>45751</v>
      </c>
      <c r="C2208" s="163" t="s">
        <v>989</v>
      </c>
      <c r="D2208" s="163" t="s">
        <v>281</v>
      </c>
      <c r="E2208" s="163" t="s">
        <v>199</v>
      </c>
      <c r="F2208" s="277">
        <f>-1900-81-1200</f>
        <v>-3181</v>
      </c>
      <c r="G2208" s="165">
        <f t="shared" si="48"/>
        <v>29963.160999999927</v>
      </c>
      <c r="H2208" s="180"/>
      <c r="I2208" s="180"/>
      <c r="J2208" s="180"/>
      <c r="K2208" s="180"/>
      <c r="L2208" s="180"/>
      <c r="M2208" s="180"/>
      <c r="N2208" s="180"/>
      <c r="O2208" s="180"/>
      <c r="P2208" s="180"/>
      <c r="Q2208" s="180"/>
      <c r="R2208" s="180"/>
      <c r="S2208" s="180"/>
      <c r="T2208" s="43">
        <f t="shared" si="49"/>
        <v>4</v>
      </c>
      <c r="U2208" s="167">
        <f t="shared" si="50"/>
        <v>45770</v>
      </c>
      <c r="V2208" s="145">
        <v>45770</v>
      </c>
      <c r="W2208" s="43">
        <f t="shared" si="51"/>
        <v>4</v>
      </c>
      <c r="X2208" s="49"/>
      <c r="Y2208" s="49"/>
      <c r="Z2208" s="183"/>
      <c r="AA2208" s="183"/>
      <c r="AB2208" s="183"/>
    </row>
    <row r="2209" spans="1:28" hidden="1">
      <c r="A2209" s="163" t="s">
        <v>1017</v>
      </c>
      <c r="B2209" s="164">
        <v>45762</v>
      </c>
      <c r="C2209" s="163" t="s">
        <v>293</v>
      </c>
      <c r="D2209" s="163" t="s">
        <v>281</v>
      </c>
      <c r="E2209" s="163" t="s">
        <v>294</v>
      </c>
      <c r="F2209" s="291">
        <v>-3914.26</v>
      </c>
      <c r="G2209" s="165">
        <f t="shared" si="48"/>
        <v>26048.900999999925</v>
      </c>
      <c r="H2209" s="180"/>
      <c r="I2209" s="180"/>
      <c r="J2209" s="180"/>
      <c r="K2209" s="180"/>
      <c r="L2209" s="180"/>
      <c r="M2209" s="180"/>
      <c r="N2209" s="180"/>
      <c r="O2209" s="180"/>
      <c r="P2209" s="180"/>
      <c r="Q2209" s="180"/>
      <c r="R2209" s="180"/>
      <c r="S2209" s="180"/>
      <c r="T2209" s="43">
        <f t="shared" si="49"/>
        <v>4</v>
      </c>
      <c r="U2209" s="167">
        <f t="shared" si="50"/>
        <v>45770</v>
      </c>
      <c r="V2209" s="145">
        <v>45770</v>
      </c>
      <c r="W2209" s="43">
        <f t="shared" si="51"/>
        <v>4</v>
      </c>
      <c r="X2209" s="49"/>
      <c r="Y2209" s="49"/>
      <c r="Z2209" s="183"/>
      <c r="AA2209" s="183"/>
      <c r="AB2209" s="183"/>
    </row>
    <row r="2210" spans="1:28" hidden="1">
      <c r="A2210" s="163" t="s">
        <v>1017</v>
      </c>
      <c r="B2210" s="164">
        <v>45762</v>
      </c>
      <c r="C2210" s="163" t="s">
        <v>293</v>
      </c>
      <c r="D2210" s="163" t="s">
        <v>281</v>
      </c>
      <c r="E2210" s="163" t="s">
        <v>294</v>
      </c>
      <c r="F2210" s="291">
        <v>-2315.61</v>
      </c>
      <c r="G2210" s="165">
        <f t="shared" si="48"/>
        <v>23733.290999999925</v>
      </c>
      <c r="H2210" s="180"/>
      <c r="I2210" s="180"/>
      <c r="J2210" s="180"/>
      <c r="K2210" s="180"/>
      <c r="L2210" s="180"/>
      <c r="M2210" s="180"/>
      <c r="N2210" s="180"/>
      <c r="O2210" s="180"/>
      <c r="P2210" s="180"/>
      <c r="Q2210" s="180"/>
      <c r="R2210" s="180"/>
      <c r="S2210" s="180"/>
      <c r="T2210" s="43">
        <f t="shared" si="49"/>
        <v>4</v>
      </c>
      <c r="U2210" s="167">
        <f t="shared" si="50"/>
        <v>45770</v>
      </c>
      <c r="V2210" s="145">
        <v>45770</v>
      </c>
      <c r="W2210" s="43">
        <f t="shared" si="51"/>
        <v>4</v>
      </c>
      <c r="X2210" s="49"/>
      <c r="Y2210" s="49"/>
      <c r="Z2210" s="183"/>
      <c r="AA2210" s="183"/>
      <c r="AB2210" s="183"/>
    </row>
    <row r="2211" spans="1:28" hidden="1">
      <c r="A2211" s="163" t="s">
        <v>1017</v>
      </c>
      <c r="B2211" s="164">
        <v>45736</v>
      </c>
      <c r="C2211" s="163" t="s">
        <v>293</v>
      </c>
      <c r="D2211" s="163" t="s">
        <v>281</v>
      </c>
      <c r="E2211" s="163" t="s">
        <v>294</v>
      </c>
      <c r="F2211" s="291">
        <v>-3009.71</v>
      </c>
      <c r="G2211" s="165">
        <f t="shared" si="48"/>
        <v>20723.580999999926</v>
      </c>
      <c r="H2211" s="163"/>
      <c r="I2211" s="163" t="s">
        <v>342</v>
      </c>
      <c r="J2211" s="163"/>
      <c r="K2211" s="163"/>
      <c r="L2211" s="163" t="s">
        <v>1812</v>
      </c>
      <c r="M2211" s="163"/>
      <c r="N2211" s="163" t="s">
        <v>978</v>
      </c>
      <c r="O2211" s="163"/>
      <c r="P2211" s="163"/>
      <c r="Q2211" s="163"/>
      <c r="R2211" s="163" t="s">
        <v>298</v>
      </c>
      <c r="S2211" s="163" t="s">
        <v>299</v>
      </c>
      <c r="T2211" s="43">
        <f t="shared" si="49"/>
        <v>3</v>
      </c>
      <c r="U2211" s="167">
        <f t="shared" si="50"/>
        <v>45770</v>
      </c>
      <c r="V2211" s="145">
        <v>45770</v>
      </c>
      <c r="W2211" s="43">
        <f t="shared" si="51"/>
        <v>4</v>
      </c>
      <c r="X2211" s="49" t="s">
        <v>1483</v>
      </c>
      <c r="Y2211" s="49" t="s">
        <v>1443</v>
      </c>
    </row>
    <row r="2212" spans="1:28" hidden="1">
      <c r="A2212" s="163" t="s">
        <v>1017</v>
      </c>
      <c r="B2212" s="164">
        <v>45736</v>
      </c>
      <c r="C2212" s="163" t="s">
        <v>293</v>
      </c>
      <c r="D2212" s="163" t="s">
        <v>281</v>
      </c>
      <c r="E2212" s="163" t="s">
        <v>294</v>
      </c>
      <c r="F2212" s="291">
        <f>-1904.23-211.6</f>
        <v>-2115.83</v>
      </c>
      <c r="G2212" s="165">
        <f t="shared" si="48"/>
        <v>18607.750999999924</v>
      </c>
      <c r="H2212" s="163"/>
      <c r="I2212" s="163" t="s">
        <v>342</v>
      </c>
      <c r="J2212" s="163"/>
      <c r="K2212" s="163"/>
      <c r="L2212" s="163" t="s">
        <v>1812</v>
      </c>
      <c r="M2212" s="163"/>
      <c r="N2212" s="163" t="s">
        <v>978</v>
      </c>
      <c r="O2212" s="163"/>
      <c r="P2212" s="163"/>
      <c r="Q2212" s="163"/>
      <c r="R2212" s="163" t="s">
        <v>298</v>
      </c>
      <c r="S2212" s="163" t="s">
        <v>299</v>
      </c>
      <c r="T2212" s="43">
        <f t="shared" si="49"/>
        <v>3</v>
      </c>
      <c r="U2212" s="167">
        <f t="shared" si="50"/>
        <v>45770</v>
      </c>
      <c r="V2212" s="145">
        <v>45770</v>
      </c>
      <c r="W2212" s="43">
        <f t="shared" si="51"/>
        <v>4</v>
      </c>
      <c r="X2212" s="49" t="s">
        <v>1483</v>
      </c>
      <c r="Y2212" s="49" t="s">
        <v>1443</v>
      </c>
    </row>
    <row r="2213" spans="1:28" hidden="1">
      <c r="A2213" s="163" t="s">
        <v>1017</v>
      </c>
      <c r="B2213" s="164">
        <v>45736</v>
      </c>
      <c r="C2213" s="163" t="s">
        <v>293</v>
      </c>
      <c r="D2213" s="163" t="s">
        <v>281</v>
      </c>
      <c r="E2213" s="163" t="s">
        <v>294</v>
      </c>
      <c r="F2213" s="291">
        <f>-1114.98-2331.35</f>
        <v>-3446.33</v>
      </c>
      <c r="G2213" s="165">
        <f t="shared" si="48"/>
        <v>15161.420999999924</v>
      </c>
      <c r="H2213" s="163"/>
      <c r="I2213" s="163" t="s">
        <v>342</v>
      </c>
      <c r="J2213" s="163"/>
      <c r="K2213" s="163"/>
      <c r="L2213" s="163" t="s">
        <v>1812</v>
      </c>
      <c r="M2213" s="163"/>
      <c r="N2213" s="163" t="s">
        <v>978</v>
      </c>
      <c r="O2213" s="163"/>
      <c r="P2213" s="163"/>
      <c r="Q2213" s="163"/>
      <c r="R2213" s="163" t="s">
        <v>298</v>
      </c>
      <c r="S2213" s="163" t="s">
        <v>299</v>
      </c>
      <c r="T2213" s="43">
        <f t="shared" si="49"/>
        <v>3</v>
      </c>
      <c r="U2213" s="167">
        <f t="shared" si="50"/>
        <v>45770</v>
      </c>
      <c r="V2213" s="145">
        <v>45770</v>
      </c>
      <c r="W2213" s="43">
        <f t="shared" si="51"/>
        <v>4</v>
      </c>
      <c r="X2213" s="49" t="s">
        <v>1483</v>
      </c>
      <c r="Y2213" s="49" t="s">
        <v>1443</v>
      </c>
    </row>
    <row r="2214" spans="1:28" ht="14.25" hidden="1" customHeight="1">
      <c r="A2214" s="180" t="s">
        <v>1017</v>
      </c>
      <c r="B2214" s="181">
        <v>45769</v>
      </c>
      <c r="C2214" s="180" t="s">
        <v>1033</v>
      </c>
      <c r="D2214" s="180" t="s">
        <v>281</v>
      </c>
      <c r="E2214" s="180" t="s">
        <v>120</v>
      </c>
      <c r="F2214" s="277">
        <v>-224</v>
      </c>
      <c r="G2214" s="165">
        <f t="shared" si="48"/>
        <v>14937.420999999924</v>
      </c>
      <c r="H2214" s="180"/>
      <c r="I2214" s="180"/>
      <c r="J2214" s="180"/>
      <c r="K2214" s="180"/>
      <c r="L2214" s="180"/>
      <c r="M2214" s="180"/>
      <c r="N2214" s="180"/>
      <c r="O2214" s="180"/>
      <c r="P2214" s="180"/>
      <c r="Q2214" s="180"/>
      <c r="R2214" s="180"/>
      <c r="S2214" s="180"/>
      <c r="T2214" s="183">
        <f t="shared" si="49"/>
        <v>4</v>
      </c>
      <c r="U2214" s="184">
        <f t="shared" si="50"/>
        <v>45770</v>
      </c>
      <c r="V2214" s="145">
        <v>45770</v>
      </c>
      <c r="W2214" s="43">
        <f t="shared" si="51"/>
        <v>4</v>
      </c>
      <c r="X2214" s="49"/>
      <c r="Y2214" s="49"/>
      <c r="Z2214" s="43"/>
      <c r="AA2214" s="183"/>
      <c r="AB2214" s="183"/>
    </row>
    <row r="2215" spans="1:28" hidden="1">
      <c r="A2215" s="163" t="s">
        <v>1017</v>
      </c>
      <c r="B2215" s="164">
        <v>45770</v>
      </c>
      <c r="C2215" s="163" t="s">
        <v>1008</v>
      </c>
      <c r="D2215" s="163" t="s">
        <v>281</v>
      </c>
      <c r="E2215" s="163" t="s">
        <v>199</v>
      </c>
      <c r="F2215" s="291">
        <v>-2000</v>
      </c>
      <c r="G2215" s="165">
        <f t="shared" si="48"/>
        <v>12937.420999999924</v>
      </c>
      <c r="H2215" s="180"/>
      <c r="I2215" s="180"/>
      <c r="J2215" s="180"/>
      <c r="K2215" s="180"/>
      <c r="L2215" s="180"/>
      <c r="M2215" s="180"/>
      <c r="N2215" s="180"/>
      <c r="O2215" s="180"/>
      <c r="P2215" s="180"/>
      <c r="Q2215" s="180"/>
      <c r="R2215" s="180"/>
      <c r="S2215" s="180"/>
      <c r="T2215" s="43">
        <f t="shared" si="49"/>
        <v>4</v>
      </c>
      <c r="U2215" s="167">
        <f t="shared" si="50"/>
        <v>45770</v>
      </c>
      <c r="V2215" s="145">
        <v>45770</v>
      </c>
      <c r="W2215" s="43">
        <f t="shared" si="51"/>
        <v>4</v>
      </c>
      <c r="X2215" s="49"/>
      <c r="Y2215" s="49"/>
      <c r="Z2215" s="183"/>
      <c r="AA2215" s="183"/>
      <c r="AB2215" s="183"/>
    </row>
    <row r="2216" spans="1:28" hidden="1">
      <c r="A2216" s="163" t="s">
        <v>1017</v>
      </c>
      <c r="B2216" s="164">
        <v>45769</v>
      </c>
      <c r="C2216" s="163" t="s">
        <v>1013</v>
      </c>
      <c r="D2216" s="163" t="s">
        <v>281</v>
      </c>
      <c r="E2216" s="163" t="s">
        <v>199</v>
      </c>
      <c r="F2216" s="291">
        <v>-100</v>
      </c>
      <c r="G2216" s="165">
        <f t="shared" si="48"/>
        <v>12837.420999999924</v>
      </c>
      <c r="H2216" s="180"/>
      <c r="I2216" s="180"/>
      <c r="J2216" s="180"/>
      <c r="K2216" s="180"/>
      <c r="L2216" s="180"/>
      <c r="M2216" s="180"/>
      <c r="N2216" s="180"/>
      <c r="O2216" s="180"/>
      <c r="P2216" s="180"/>
      <c r="Q2216" s="180"/>
      <c r="R2216" s="180"/>
      <c r="S2216" s="180"/>
      <c r="T2216" s="43">
        <f t="shared" si="49"/>
        <v>4</v>
      </c>
      <c r="U2216" s="167">
        <f t="shared" si="50"/>
        <v>45770</v>
      </c>
      <c r="V2216" s="145">
        <v>45770</v>
      </c>
      <c r="W2216" s="43">
        <f t="shared" si="51"/>
        <v>4</v>
      </c>
      <c r="X2216" s="49"/>
      <c r="Y2216" s="49"/>
      <c r="Z2216" s="183"/>
      <c r="AA2216" s="183"/>
      <c r="AB2216" s="183"/>
    </row>
    <row r="2217" spans="1:28" hidden="1">
      <c r="A2217" s="163" t="s">
        <v>1017</v>
      </c>
      <c r="B2217" s="164">
        <v>45762</v>
      </c>
      <c r="C2217" s="163" t="s">
        <v>1814</v>
      </c>
      <c r="D2217" s="163" t="s">
        <v>281</v>
      </c>
      <c r="E2217" s="163" t="s">
        <v>392</v>
      </c>
      <c r="F2217" s="291">
        <v>-5000</v>
      </c>
      <c r="G2217" s="165">
        <f t="shared" si="48"/>
        <v>7837.4209999999239</v>
      </c>
      <c r="H2217" s="180"/>
      <c r="I2217" s="180"/>
      <c r="J2217" s="180"/>
      <c r="K2217" s="180"/>
      <c r="L2217" s="180"/>
      <c r="M2217" s="180"/>
      <c r="N2217" s="180"/>
      <c r="O2217" s="180"/>
      <c r="P2217" s="180"/>
      <c r="Q2217" s="180"/>
      <c r="R2217" s="180"/>
      <c r="S2217" s="180"/>
      <c r="T2217" s="43">
        <f t="shared" si="49"/>
        <v>4</v>
      </c>
      <c r="U2217" s="167">
        <f t="shared" si="50"/>
        <v>45770</v>
      </c>
      <c r="V2217" s="145">
        <v>45770</v>
      </c>
      <c r="W2217" s="43">
        <f t="shared" si="51"/>
        <v>4</v>
      </c>
      <c r="X2217" s="49"/>
      <c r="Y2217" s="49"/>
      <c r="Z2217" s="183"/>
      <c r="AA2217" s="183"/>
      <c r="AB2217" s="183"/>
    </row>
    <row r="2218" spans="1:28" hidden="1">
      <c r="A2218" s="163" t="s">
        <v>1017</v>
      </c>
      <c r="B2218" s="164">
        <v>45770</v>
      </c>
      <c r="C2218" s="190" t="s">
        <v>330</v>
      </c>
      <c r="D2218" s="190" t="s">
        <v>281</v>
      </c>
      <c r="E2218" s="190" t="s">
        <v>330</v>
      </c>
      <c r="F2218" s="185">
        <f>-1.99-3</f>
        <v>-4.99</v>
      </c>
      <c r="G2218" s="165">
        <f t="shared" si="48"/>
        <v>7832.4309999999241</v>
      </c>
      <c r="H2218" s="190"/>
      <c r="I2218" s="190" t="s">
        <v>342</v>
      </c>
      <c r="J2218" s="190"/>
      <c r="K2218" s="190"/>
      <c r="L2218" s="190" t="s">
        <v>805</v>
      </c>
      <c r="M2218" s="190"/>
      <c r="N2218" s="190" t="s">
        <v>978</v>
      </c>
      <c r="O2218" s="190"/>
      <c r="P2218" s="190"/>
      <c r="Q2218" s="190"/>
      <c r="R2218" s="190" t="s">
        <v>1292</v>
      </c>
      <c r="S2218" s="190" t="s">
        <v>1417</v>
      </c>
      <c r="T2218" s="43">
        <f t="shared" si="49"/>
        <v>4</v>
      </c>
      <c r="U2218" s="167">
        <f t="shared" si="50"/>
        <v>45770</v>
      </c>
      <c r="V2218" s="145"/>
      <c r="W2218" s="43">
        <f t="shared" si="51"/>
        <v>4</v>
      </c>
      <c r="X2218" s="43" t="s">
        <v>1483</v>
      </c>
      <c r="Y2218" s="43" t="s">
        <v>1443</v>
      </c>
      <c r="Z2218" s="43"/>
      <c r="AA2218" s="43"/>
    </row>
    <row r="2219" spans="1:28" hidden="1">
      <c r="A2219" s="163"/>
      <c r="B2219" s="164">
        <v>45770</v>
      </c>
      <c r="C2219" s="163" t="s">
        <v>346</v>
      </c>
      <c r="D2219" s="163"/>
      <c r="E2219" s="163"/>
      <c r="F2219" s="165">
        <v>0</v>
      </c>
      <c r="G2219" s="165">
        <f t="shared" si="48"/>
        <v>7832.4309999999241</v>
      </c>
      <c r="H2219" s="180"/>
      <c r="I2219" s="180"/>
      <c r="J2219" s="180"/>
      <c r="K2219" s="180"/>
      <c r="L2219" s="180"/>
      <c r="M2219" s="180"/>
      <c r="N2219" s="180"/>
      <c r="O2219" s="180"/>
      <c r="P2219" s="180"/>
      <c r="Q2219" s="180"/>
      <c r="R2219" s="180"/>
      <c r="S2219" s="180"/>
      <c r="T2219" s="43">
        <f t="shared" si="49"/>
        <v>4</v>
      </c>
      <c r="U2219" s="167">
        <f t="shared" si="50"/>
        <v>45770</v>
      </c>
      <c r="V2219" s="145"/>
      <c r="W2219" s="43">
        <f t="shared" si="51"/>
        <v>4</v>
      </c>
      <c r="X2219" s="49"/>
      <c r="Y2219" s="49"/>
      <c r="Z2219" s="183"/>
      <c r="AA2219" s="183"/>
      <c r="AB2219" s="183"/>
    </row>
    <row r="2220" spans="1:28" hidden="1">
      <c r="A2220" s="163" t="s">
        <v>1174</v>
      </c>
      <c r="B2220" s="164">
        <v>45769</v>
      </c>
      <c r="C2220" s="163" t="s">
        <v>1592</v>
      </c>
      <c r="D2220" s="163" t="s">
        <v>281</v>
      </c>
      <c r="E2220" s="163" t="s">
        <v>407</v>
      </c>
      <c r="F2220" s="165">
        <v>1836.18</v>
      </c>
      <c r="G2220" s="165">
        <f t="shared" si="48"/>
        <v>9668.6109999999244</v>
      </c>
      <c r="H2220" s="180"/>
      <c r="I2220" s="180"/>
      <c r="J2220" s="180"/>
      <c r="K2220" s="180"/>
      <c r="L2220" s="180"/>
      <c r="M2220" s="180"/>
      <c r="N2220" s="180"/>
      <c r="O2220" s="180"/>
      <c r="P2220" s="180"/>
      <c r="Q2220" s="180"/>
      <c r="R2220" s="180"/>
      <c r="S2220" s="180"/>
      <c r="T2220" s="43">
        <f t="shared" si="49"/>
        <v>4</v>
      </c>
      <c r="U2220" s="167">
        <f t="shared" si="50"/>
        <v>45771</v>
      </c>
      <c r="V2220" s="145">
        <v>45771</v>
      </c>
      <c r="W2220" s="43">
        <f t="shared" si="51"/>
        <v>4</v>
      </c>
      <c r="X2220" s="49"/>
      <c r="Y2220" s="49"/>
      <c r="Z2220" s="183"/>
      <c r="AA2220" s="183"/>
      <c r="AB2220" s="183"/>
    </row>
    <row r="2221" spans="1:28" hidden="1">
      <c r="A2221" s="163" t="s">
        <v>1174</v>
      </c>
      <c r="B2221" s="164">
        <v>45771</v>
      </c>
      <c r="C2221" s="163" t="s">
        <v>1279</v>
      </c>
      <c r="D2221" s="163" t="s">
        <v>281</v>
      </c>
      <c r="E2221" s="163" t="s">
        <v>407</v>
      </c>
      <c r="F2221" s="264">
        <v>1198.55</v>
      </c>
      <c r="G2221" s="165">
        <f t="shared" si="48"/>
        <v>10867.160999999924</v>
      </c>
      <c r="H2221" s="180"/>
      <c r="I2221" s="180"/>
      <c r="J2221" s="180"/>
      <c r="K2221" s="180"/>
      <c r="L2221" s="180"/>
      <c r="M2221" s="180"/>
      <c r="N2221" s="180"/>
      <c r="O2221" s="180"/>
      <c r="P2221" s="180"/>
      <c r="Q2221" s="180"/>
      <c r="R2221" s="180"/>
      <c r="S2221" s="180"/>
      <c r="T2221" s="43">
        <f t="shared" si="49"/>
        <v>4</v>
      </c>
      <c r="U2221" s="167">
        <f t="shared" si="50"/>
        <v>45771</v>
      </c>
      <c r="V2221" s="145"/>
      <c r="W2221" s="43">
        <f t="shared" si="51"/>
        <v>4</v>
      </c>
      <c r="X2221" s="49"/>
      <c r="Y2221" s="49"/>
      <c r="Z2221" s="183"/>
      <c r="AA2221" s="183"/>
      <c r="AB2221" s="183"/>
    </row>
    <row r="2222" spans="1:28" hidden="1">
      <c r="A2222" s="163" t="s">
        <v>1174</v>
      </c>
      <c r="B2222" s="164">
        <v>45771</v>
      </c>
      <c r="C2222" s="163" t="s">
        <v>1758</v>
      </c>
      <c r="D2222" s="163" t="s">
        <v>281</v>
      </c>
      <c r="E2222" s="163" t="s">
        <v>1815</v>
      </c>
      <c r="F2222" s="185">
        <v>-90</v>
      </c>
      <c r="G2222" s="165">
        <f t="shared" si="48"/>
        <v>10777.160999999924</v>
      </c>
      <c r="H2222" s="180"/>
      <c r="I2222" s="180"/>
      <c r="J2222" s="180"/>
      <c r="K2222" s="180"/>
      <c r="L2222" s="180"/>
      <c r="M2222" s="180"/>
      <c r="N2222" s="180"/>
      <c r="O2222" s="180"/>
      <c r="P2222" s="180"/>
      <c r="Q2222" s="180"/>
      <c r="R2222" s="180"/>
      <c r="S2222" s="180"/>
      <c r="T2222" s="43">
        <f t="shared" si="49"/>
        <v>4</v>
      </c>
      <c r="U2222" s="167">
        <f t="shared" si="50"/>
        <v>45771</v>
      </c>
      <c r="V2222" s="145"/>
      <c r="W2222" s="43">
        <f t="shared" si="51"/>
        <v>4</v>
      </c>
      <c r="X2222" s="49"/>
      <c r="Y2222" s="49"/>
      <c r="Z2222" s="183"/>
      <c r="AA2222" s="183"/>
      <c r="AB2222" s="183"/>
    </row>
    <row r="2223" spans="1:28" hidden="1">
      <c r="A2223" s="163" t="s">
        <v>1017</v>
      </c>
      <c r="B2223" s="164">
        <v>45736</v>
      </c>
      <c r="C2223" s="163" t="s">
        <v>124</v>
      </c>
      <c r="D2223" s="163" t="s">
        <v>281</v>
      </c>
      <c r="E2223" s="163" t="s">
        <v>199</v>
      </c>
      <c r="F2223" s="165">
        <v>-95</v>
      </c>
      <c r="G2223" s="165">
        <f t="shared" si="48"/>
        <v>10682.160999999924</v>
      </c>
      <c r="H2223" s="163"/>
      <c r="I2223" s="163" t="s">
        <v>977</v>
      </c>
      <c r="J2223" s="163"/>
      <c r="K2223" s="163"/>
      <c r="L2223" s="163" t="s">
        <v>1424</v>
      </c>
      <c r="M2223" s="163"/>
      <c r="N2223" s="163" t="s">
        <v>978</v>
      </c>
      <c r="O2223" s="163"/>
      <c r="P2223" s="163"/>
      <c r="Q2223" s="163"/>
      <c r="R2223" s="163" t="s">
        <v>124</v>
      </c>
      <c r="S2223" s="163"/>
      <c r="T2223" s="43">
        <f t="shared" si="49"/>
        <v>3</v>
      </c>
      <c r="U2223" s="167">
        <f t="shared" si="50"/>
        <v>45771</v>
      </c>
      <c r="V2223" s="145">
        <v>45771</v>
      </c>
      <c r="W2223" s="43">
        <f t="shared" si="51"/>
        <v>4</v>
      </c>
      <c r="X2223" s="49" t="s">
        <v>1480</v>
      </c>
      <c r="Y2223" s="49" t="s">
        <v>25</v>
      </c>
    </row>
    <row r="2224" spans="1:28" hidden="1">
      <c r="A2224" s="163" t="s">
        <v>1017</v>
      </c>
      <c r="B2224" s="164">
        <v>45771</v>
      </c>
      <c r="C2224" s="163" t="s">
        <v>1013</v>
      </c>
      <c r="D2224" s="163" t="s">
        <v>281</v>
      </c>
      <c r="E2224" s="163" t="s">
        <v>199</v>
      </c>
      <c r="F2224" s="168">
        <v>-155</v>
      </c>
      <c r="G2224" s="165">
        <f t="shared" si="48"/>
        <v>10527.160999999924</v>
      </c>
      <c r="H2224" s="180"/>
      <c r="I2224" s="180"/>
      <c r="J2224" s="180"/>
      <c r="K2224" s="180"/>
      <c r="L2224" s="180"/>
      <c r="M2224" s="180"/>
      <c r="N2224" s="180"/>
      <c r="O2224" s="180"/>
      <c r="P2224" s="180"/>
      <c r="Q2224" s="180"/>
      <c r="R2224" s="180"/>
      <c r="S2224" s="180"/>
      <c r="T2224" s="43">
        <f t="shared" si="49"/>
        <v>4</v>
      </c>
      <c r="U2224" s="167">
        <f t="shared" si="50"/>
        <v>45771</v>
      </c>
      <c r="V2224" s="145"/>
      <c r="W2224" s="43">
        <f t="shared" si="51"/>
        <v>4</v>
      </c>
      <c r="X2224" s="49"/>
      <c r="Y2224" s="49"/>
      <c r="Z2224" s="183"/>
      <c r="AA2224" s="183"/>
      <c r="AB2224" s="183"/>
    </row>
    <row r="2225" spans="1:28" hidden="1">
      <c r="A2225" s="163" t="s">
        <v>1017</v>
      </c>
      <c r="B2225" s="164">
        <v>45737</v>
      </c>
      <c r="C2225" s="163" t="s">
        <v>1098</v>
      </c>
      <c r="D2225" s="163" t="s">
        <v>281</v>
      </c>
      <c r="E2225" s="163" t="s">
        <v>199</v>
      </c>
      <c r="F2225" s="185">
        <v>-552</v>
      </c>
      <c r="G2225" s="165">
        <f t="shared" si="48"/>
        <v>9975.1609999999237</v>
      </c>
      <c r="H2225" s="163"/>
      <c r="I2225" s="163" t="s">
        <v>342</v>
      </c>
      <c r="J2225" s="163"/>
      <c r="K2225" s="163"/>
      <c r="L2225" s="163" t="s">
        <v>1062</v>
      </c>
      <c r="M2225" s="163"/>
      <c r="N2225" s="163" t="s">
        <v>978</v>
      </c>
      <c r="O2225" s="163"/>
      <c r="P2225" s="163"/>
      <c r="Q2225" s="163"/>
      <c r="R2225" s="163" t="s">
        <v>1099</v>
      </c>
      <c r="S2225" s="163" t="s">
        <v>1100</v>
      </c>
      <c r="T2225" s="43">
        <f t="shared" si="49"/>
        <v>3</v>
      </c>
      <c r="U2225" s="167">
        <f t="shared" si="50"/>
        <v>45771</v>
      </c>
      <c r="V2225" s="145">
        <v>45771</v>
      </c>
      <c r="W2225" s="43">
        <f t="shared" si="51"/>
        <v>4</v>
      </c>
      <c r="X2225" s="49" t="s">
        <v>1480</v>
      </c>
      <c r="Y2225" s="49" t="s">
        <v>86</v>
      </c>
    </row>
    <row r="2226" spans="1:28" hidden="1">
      <c r="A2226" s="163" t="s">
        <v>1017</v>
      </c>
      <c r="B2226" s="164">
        <v>45769</v>
      </c>
      <c r="C2226" s="163" t="s">
        <v>385</v>
      </c>
      <c r="D2226" s="163" t="s">
        <v>281</v>
      </c>
      <c r="E2226" s="163" t="s">
        <v>1061</v>
      </c>
      <c r="F2226" s="291">
        <v>-5523.93</v>
      </c>
      <c r="G2226" s="165">
        <f t="shared" si="48"/>
        <v>4451.2309999999234</v>
      </c>
      <c r="H2226" s="180"/>
      <c r="I2226" s="180"/>
      <c r="J2226" s="180"/>
      <c r="K2226" s="180"/>
      <c r="L2226" s="180"/>
      <c r="M2226" s="180"/>
      <c r="N2226" s="180"/>
      <c r="O2226" s="180"/>
      <c r="P2226" s="180"/>
      <c r="Q2226" s="180"/>
      <c r="R2226" s="180"/>
      <c r="S2226" s="180"/>
      <c r="T2226" s="43">
        <f t="shared" si="49"/>
        <v>4</v>
      </c>
      <c r="U2226" s="167">
        <f t="shared" si="50"/>
        <v>45771</v>
      </c>
      <c r="V2226" s="145">
        <v>45771</v>
      </c>
      <c r="W2226" s="43">
        <f t="shared" si="51"/>
        <v>4</v>
      </c>
      <c r="X2226" s="49"/>
      <c r="Y2226" s="49"/>
      <c r="Z2226" s="183"/>
      <c r="AA2226" s="183"/>
      <c r="AB2226" s="183"/>
    </row>
    <row r="2227" spans="1:28" hidden="1">
      <c r="A2227" s="163" t="s">
        <v>1017</v>
      </c>
      <c r="B2227" s="164">
        <v>45771</v>
      </c>
      <c r="C2227" s="190" t="s">
        <v>330</v>
      </c>
      <c r="D2227" s="190" t="s">
        <v>281</v>
      </c>
      <c r="E2227" s="190" t="s">
        <v>330</v>
      </c>
      <c r="F2227" s="185">
        <v>-1.5</v>
      </c>
      <c r="G2227" s="165">
        <f t="shared" si="48"/>
        <v>4449.7309999999234</v>
      </c>
      <c r="H2227" s="190"/>
      <c r="I2227" s="190" t="s">
        <v>342</v>
      </c>
      <c r="J2227" s="190"/>
      <c r="K2227" s="190"/>
      <c r="L2227" s="190" t="s">
        <v>805</v>
      </c>
      <c r="M2227" s="190"/>
      <c r="N2227" s="190" t="s">
        <v>978</v>
      </c>
      <c r="O2227" s="190"/>
      <c r="P2227" s="190"/>
      <c r="Q2227" s="190"/>
      <c r="R2227" s="190" t="s">
        <v>1292</v>
      </c>
      <c r="S2227" s="190" t="s">
        <v>1417</v>
      </c>
      <c r="T2227" s="43">
        <f t="shared" si="49"/>
        <v>4</v>
      </c>
      <c r="U2227" s="167">
        <f t="shared" si="50"/>
        <v>45771</v>
      </c>
      <c r="V2227" s="145"/>
      <c r="W2227" s="43">
        <f t="shared" si="51"/>
        <v>4</v>
      </c>
      <c r="X2227" s="43" t="s">
        <v>1483</v>
      </c>
      <c r="Y2227" s="43" t="s">
        <v>1443</v>
      </c>
      <c r="Z2227" s="43"/>
      <c r="AA2227" s="43"/>
    </row>
    <row r="2228" spans="1:28" hidden="1">
      <c r="A2228" s="163"/>
      <c r="B2228" s="164">
        <v>45771</v>
      </c>
      <c r="C2228" s="163" t="s">
        <v>346</v>
      </c>
      <c r="D2228" s="163"/>
      <c r="E2228" s="163"/>
      <c r="F2228" s="165">
        <v>0</v>
      </c>
      <c r="G2228" s="165">
        <f t="shared" si="48"/>
        <v>4449.7309999999234</v>
      </c>
      <c r="H2228" s="180"/>
      <c r="I2228" s="180"/>
      <c r="J2228" s="180"/>
      <c r="K2228" s="180"/>
      <c r="L2228" s="180"/>
      <c r="M2228" s="180"/>
      <c r="N2228" s="180"/>
      <c r="O2228" s="180"/>
      <c r="P2228" s="180"/>
      <c r="Q2228" s="180"/>
      <c r="R2228" s="180"/>
      <c r="S2228" s="180"/>
      <c r="T2228" s="43">
        <f t="shared" si="49"/>
        <v>4</v>
      </c>
      <c r="U2228" s="167">
        <f t="shared" si="50"/>
        <v>45771</v>
      </c>
      <c r="V2228" s="145"/>
      <c r="W2228" s="43">
        <f t="shared" si="51"/>
        <v>4</v>
      </c>
      <c r="X2228" s="49"/>
      <c r="Y2228" s="49"/>
      <c r="Z2228" s="183"/>
      <c r="AA2228" s="183"/>
      <c r="AB2228" s="183"/>
    </row>
    <row r="2229" spans="1:28" hidden="1">
      <c r="A2229" s="163" t="s">
        <v>1174</v>
      </c>
      <c r="B2229" s="164">
        <v>45772</v>
      </c>
      <c r="C2229" s="163" t="s">
        <v>1205</v>
      </c>
      <c r="D2229" s="163" t="s">
        <v>281</v>
      </c>
      <c r="E2229" s="163" t="s">
        <v>407</v>
      </c>
      <c r="F2229" s="224">
        <v>1200</v>
      </c>
      <c r="G2229" s="165">
        <f t="shared" si="48"/>
        <v>5649.7309999999234</v>
      </c>
      <c r="H2229" s="180"/>
      <c r="I2229" s="180"/>
      <c r="J2229" s="180"/>
      <c r="K2229" s="180"/>
      <c r="L2229" s="180"/>
      <c r="M2229" s="180"/>
      <c r="N2229" s="180"/>
      <c r="O2229" s="180"/>
      <c r="P2229" s="180"/>
      <c r="Q2229" s="180"/>
      <c r="R2229" s="180"/>
      <c r="S2229" s="180"/>
      <c r="T2229" s="43">
        <f t="shared" si="49"/>
        <v>4</v>
      </c>
      <c r="U2229" s="167">
        <f t="shared" si="50"/>
        <v>45772</v>
      </c>
      <c r="V2229" s="145"/>
      <c r="W2229" s="43">
        <f t="shared" si="51"/>
        <v>4</v>
      </c>
      <c r="X2229" s="49"/>
      <c r="Y2229" s="49"/>
      <c r="Z2229" s="183"/>
      <c r="AA2229" s="183"/>
      <c r="AB2229" s="183"/>
    </row>
    <row r="2230" spans="1:28" hidden="1">
      <c r="A2230" s="163" t="s">
        <v>1174</v>
      </c>
      <c r="B2230" s="164">
        <v>45772</v>
      </c>
      <c r="C2230" s="163" t="s">
        <v>1816</v>
      </c>
      <c r="D2230" s="163" t="s">
        <v>281</v>
      </c>
      <c r="E2230" s="163" t="s">
        <v>407</v>
      </c>
      <c r="F2230" s="224">
        <v>3416.67</v>
      </c>
      <c r="G2230" s="165">
        <f t="shared" si="48"/>
        <v>9066.4009999999234</v>
      </c>
      <c r="H2230" s="180"/>
      <c r="I2230" s="180"/>
      <c r="J2230" s="180"/>
      <c r="K2230" s="180"/>
      <c r="L2230" s="180"/>
      <c r="M2230" s="180"/>
      <c r="N2230" s="180"/>
      <c r="O2230" s="180"/>
      <c r="P2230" s="180"/>
      <c r="Q2230" s="180"/>
      <c r="R2230" s="180"/>
      <c r="S2230" s="180"/>
      <c r="T2230" s="43">
        <f t="shared" si="49"/>
        <v>4</v>
      </c>
      <c r="U2230" s="167">
        <f t="shared" si="50"/>
        <v>45772</v>
      </c>
      <c r="V2230" s="145"/>
      <c r="W2230" s="43">
        <f t="shared" si="51"/>
        <v>4</v>
      </c>
      <c r="X2230" s="49"/>
      <c r="Y2230" s="49"/>
      <c r="Z2230" s="183"/>
      <c r="AA2230" s="183"/>
      <c r="AB2230" s="183"/>
    </row>
    <row r="2231" spans="1:28" hidden="1">
      <c r="A2231" s="163" t="s">
        <v>1174</v>
      </c>
      <c r="B2231" s="164">
        <v>45772</v>
      </c>
      <c r="C2231" s="163" t="s">
        <v>1279</v>
      </c>
      <c r="D2231" s="163" t="s">
        <v>281</v>
      </c>
      <c r="E2231" s="163" t="s">
        <v>407</v>
      </c>
      <c r="F2231" s="264"/>
      <c r="G2231" s="165">
        <f t="shared" si="48"/>
        <v>9066.4009999999234</v>
      </c>
      <c r="H2231" s="180"/>
      <c r="I2231" s="180"/>
      <c r="J2231" s="180"/>
      <c r="K2231" s="180"/>
      <c r="L2231" s="180"/>
      <c r="M2231" s="180"/>
      <c r="N2231" s="180"/>
      <c r="O2231" s="180"/>
      <c r="P2231" s="180"/>
      <c r="Q2231" s="180"/>
      <c r="R2231" s="180"/>
      <c r="S2231" s="180"/>
      <c r="T2231" s="43">
        <f t="shared" si="49"/>
        <v>4</v>
      </c>
      <c r="U2231" s="167">
        <f t="shared" si="50"/>
        <v>45772</v>
      </c>
      <c r="V2231" s="145"/>
      <c r="W2231" s="43">
        <f t="shared" si="51"/>
        <v>4</v>
      </c>
      <c r="X2231" s="49"/>
      <c r="Y2231" s="49"/>
      <c r="Z2231" s="183"/>
      <c r="AA2231" s="183"/>
      <c r="AB2231" s="183"/>
    </row>
    <row r="2232" spans="1:28" hidden="1">
      <c r="A2232" s="163" t="s">
        <v>1174</v>
      </c>
      <c r="B2232" s="164">
        <v>45772</v>
      </c>
      <c r="C2232" s="163" t="s">
        <v>1115</v>
      </c>
      <c r="D2232" s="163" t="s">
        <v>281</v>
      </c>
      <c r="E2232" s="163" t="s">
        <v>407</v>
      </c>
      <c r="F2232" s="195">
        <v>4390</v>
      </c>
      <c r="G2232" s="165">
        <f t="shared" si="48"/>
        <v>13456.400999999923</v>
      </c>
      <c r="H2232" s="180"/>
      <c r="I2232" s="180"/>
      <c r="J2232" s="180"/>
      <c r="K2232" s="180"/>
      <c r="L2232" s="180"/>
      <c r="M2232" s="180"/>
      <c r="N2232" s="180"/>
      <c r="O2232" s="180"/>
      <c r="P2232" s="180"/>
      <c r="Q2232" s="180"/>
      <c r="R2232" s="180"/>
      <c r="S2232" s="180"/>
      <c r="T2232" s="43">
        <f t="shared" si="49"/>
        <v>4</v>
      </c>
      <c r="U2232" s="167">
        <f t="shared" si="50"/>
        <v>45772</v>
      </c>
      <c r="V2232" s="145"/>
      <c r="W2232" s="43">
        <f t="shared" si="51"/>
        <v>4</v>
      </c>
      <c r="X2232" s="49"/>
      <c r="Y2232" s="49"/>
      <c r="Z2232" s="183"/>
      <c r="AA2232" s="183"/>
      <c r="AB2232" s="183"/>
    </row>
    <row r="2233" spans="1:28" hidden="1">
      <c r="A2233" s="163" t="s">
        <v>1174</v>
      </c>
      <c r="B2233" s="164">
        <v>45772</v>
      </c>
      <c r="C2233" s="163" t="s">
        <v>1817</v>
      </c>
      <c r="D2233" s="163" t="s">
        <v>281</v>
      </c>
      <c r="E2233" s="163" t="s">
        <v>407</v>
      </c>
      <c r="F2233" s="224">
        <v>1600</v>
      </c>
      <c r="G2233" s="165">
        <f t="shared" si="48"/>
        <v>15056.400999999923</v>
      </c>
      <c r="H2233" s="180"/>
      <c r="I2233" s="180"/>
      <c r="J2233" s="180"/>
      <c r="K2233" s="180"/>
      <c r="L2233" s="180"/>
      <c r="M2233" s="180"/>
      <c r="N2233" s="180"/>
      <c r="O2233" s="180"/>
      <c r="P2233" s="180"/>
      <c r="Q2233" s="180"/>
      <c r="R2233" s="180"/>
      <c r="S2233" s="180"/>
      <c r="T2233" s="43">
        <f t="shared" si="49"/>
        <v>4</v>
      </c>
      <c r="U2233" s="167">
        <f t="shared" si="50"/>
        <v>45772</v>
      </c>
      <c r="V2233" s="145"/>
      <c r="W2233" s="43">
        <f t="shared" si="51"/>
        <v>4</v>
      </c>
      <c r="X2233" s="49"/>
      <c r="Y2233" s="49"/>
      <c r="Z2233" s="183"/>
      <c r="AA2233" s="183"/>
      <c r="AB2233" s="183"/>
    </row>
    <row r="2234" spans="1:28" hidden="1">
      <c r="A2234" s="163" t="s">
        <v>1017</v>
      </c>
      <c r="B2234" s="164">
        <v>45772</v>
      </c>
      <c r="C2234" s="190" t="s">
        <v>330</v>
      </c>
      <c r="D2234" s="190" t="s">
        <v>281</v>
      </c>
      <c r="E2234" s="190" t="s">
        <v>330</v>
      </c>
      <c r="F2234" s="185">
        <f>-1.99*2-1</f>
        <v>-4.9800000000000004</v>
      </c>
      <c r="G2234" s="165">
        <f t="shared" si="48"/>
        <v>15051.420999999924</v>
      </c>
      <c r="H2234" s="190"/>
      <c r="I2234" s="190" t="s">
        <v>342</v>
      </c>
      <c r="J2234" s="190"/>
      <c r="K2234" s="190"/>
      <c r="L2234" s="190" t="s">
        <v>805</v>
      </c>
      <c r="M2234" s="190"/>
      <c r="N2234" s="190" t="s">
        <v>978</v>
      </c>
      <c r="O2234" s="190"/>
      <c r="P2234" s="190"/>
      <c r="Q2234" s="190"/>
      <c r="R2234" s="190" t="s">
        <v>1292</v>
      </c>
      <c r="S2234" s="190" t="s">
        <v>1417</v>
      </c>
      <c r="T2234" s="43">
        <f t="shared" si="49"/>
        <v>4</v>
      </c>
      <c r="U2234" s="167">
        <f t="shared" si="50"/>
        <v>45772</v>
      </c>
      <c r="V2234" s="145"/>
      <c r="W2234" s="43">
        <f t="shared" si="51"/>
        <v>4</v>
      </c>
      <c r="X2234" s="43" t="s">
        <v>1483</v>
      </c>
      <c r="Y2234" s="43" t="s">
        <v>1443</v>
      </c>
      <c r="Z2234" s="43"/>
      <c r="AA2234" s="43"/>
    </row>
    <row r="2235" spans="1:28" hidden="1">
      <c r="A2235" s="180" t="s">
        <v>1017</v>
      </c>
      <c r="B2235" s="181">
        <v>45772</v>
      </c>
      <c r="C2235" s="180" t="s">
        <v>433</v>
      </c>
      <c r="D2235" s="180" t="s">
        <v>281</v>
      </c>
      <c r="E2235" s="180" t="s">
        <v>1314</v>
      </c>
      <c r="F2235" s="291">
        <v>-5609.71</v>
      </c>
      <c r="G2235" s="165">
        <f t="shared" si="48"/>
        <v>9441.7109999999229</v>
      </c>
      <c r="H2235" s="180"/>
      <c r="I2235" s="180"/>
      <c r="J2235" s="180"/>
      <c r="K2235" s="180"/>
      <c r="L2235" s="180"/>
      <c r="M2235" s="180"/>
      <c r="N2235" s="180"/>
      <c r="O2235" s="180"/>
      <c r="P2235" s="180"/>
      <c r="Q2235" s="180"/>
      <c r="R2235" s="180"/>
      <c r="S2235" s="180"/>
      <c r="T2235" s="183">
        <f t="shared" si="49"/>
        <v>4</v>
      </c>
      <c r="U2235" s="184">
        <f t="shared" si="50"/>
        <v>45772</v>
      </c>
      <c r="V2235" s="187"/>
      <c r="W2235" s="183">
        <f t="shared" si="51"/>
        <v>4</v>
      </c>
      <c r="X2235" s="183"/>
      <c r="Y2235" s="183"/>
      <c r="Z2235" s="183"/>
      <c r="AA2235" s="183"/>
      <c r="AB2235" s="183"/>
    </row>
    <row r="2236" spans="1:28" hidden="1">
      <c r="A2236" s="163" t="s">
        <v>1017</v>
      </c>
      <c r="B2236" s="164">
        <v>45754</v>
      </c>
      <c r="C2236" s="163" t="s">
        <v>385</v>
      </c>
      <c r="D2236" s="163" t="s">
        <v>281</v>
      </c>
      <c r="E2236" s="163" t="s">
        <v>622</v>
      </c>
      <c r="F2236" s="168">
        <v>-283.32</v>
      </c>
      <c r="G2236" s="165">
        <f t="shared" si="48"/>
        <v>9158.3909999999232</v>
      </c>
      <c r="H2236" s="180"/>
      <c r="I2236" s="180"/>
      <c r="J2236" s="180"/>
      <c r="K2236" s="180"/>
      <c r="L2236" s="180"/>
      <c r="M2236" s="180"/>
      <c r="N2236" s="180"/>
      <c r="O2236" s="180"/>
      <c r="P2236" s="180"/>
      <c r="Q2236" s="180"/>
      <c r="R2236" s="180"/>
      <c r="S2236" s="180"/>
      <c r="T2236" s="43">
        <f t="shared" si="49"/>
        <v>4</v>
      </c>
      <c r="U2236" s="167">
        <f t="shared" si="50"/>
        <v>45772</v>
      </c>
      <c r="V2236" s="145">
        <v>45772</v>
      </c>
      <c r="W2236" s="43">
        <f t="shared" si="51"/>
        <v>4</v>
      </c>
      <c r="X2236" s="49"/>
      <c r="Y2236" s="49"/>
      <c r="Z2236" s="183"/>
      <c r="AA2236" s="183"/>
      <c r="AB2236" s="183"/>
    </row>
    <row r="2237" spans="1:28" hidden="1">
      <c r="A2237" s="163" t="s">
        <v>1017</v>
      </c>
      <c r="B2237" s="164">
        <v>45754</v>
      </c>
      <c r="C2237" s="163" t="s">
        <v>385</v>
      </c>
      <c r="D2237" s="163" t="s">
        <v>281</v>
      </c>
      <c r="E2237" s="163" t="s">
        <v>622</v>
      </c>
      <c r="F2237" s="168">
        <v>-499.17</v>
      </c>
      <c r="G2237" s="165">
        <f t="shared" si="48"/>
        <v>8659.2209999999232</v>
      </c>
      <c r="H2237" s="180"/>
      <c r="I2237" s="180"/>
      <c r="J2237" s="180"/>
      <c r="K2237" s="180"/>
      <c r="L2237" s="180"/>
      <c r="M2237" s="180"/>
      <c r="N2237" s="180"/>
      <c r="O2237" s="180"/>
      <c r="P2237" s="180"/>
      <c r="Q2237" s="180"/>
      <c r="R2237" s="180"/>
      <c r="S2237" s="180"/>
      <c r="T2237" s="43">
        <f t="shared" si="49"/>
        <v>4</v>
      </c>
      <c r="U2237" s="167">
        <f t="shared" si="50"/>
        <v>45772</v>
      </c>
      <c r="V2237" s="145">
        <v>45772</v>
      </c>
      <c r="W2237" s="43">
        <f t="shared" si="51"/>
        <v>4</v>
      </c>
      <c r="X2237" s="49"/>
      <c r="Y2237" s="49"/>
      <c r="Z2237" s="183"/>
      <c r="AA2237" s="183"/>
      <c r="AB2237" s="183"/>
    </row>
    <row r="2238" spans="1:28" hidden="1">
      <c r="A2238" s="163" t="s">
        <v>1017</v>
      </c>
      <c r="B2238" s="164">
        <v>45772</v>
      </c>
      <c r="C2238" s="163" t="s">
        <v>1010</v>
      </c>
      <c r="D2238" s="163" t="s">
        <v>281</v>
      </c>
      <c r="E2238" s="163" t="s">
        <v>199</v>
      </c>
      <c r="F2238" s="291">
        <v>0</v>
      </c>
      <c r="G2238" s="165">
        <f t="shared" si="48"/>
        <v>8659.2209999999232</v>
      </c>
      <c r="H2238" s="180"/>
      <c r="I2238" s="180"/>
      <c r="J2238" s="180"/>
      <c r="K2238" s="180"/>
      <c r="L2238" s="180"/>
      <c r="M2238" s="180"/>
      <c r="N2238" s="180"/>
      <c r="O2238" s="180"/>
      <c r="P2238" s="180"/>
      <c r="Q2238" s="180"/>
      <c r="R2238" s="180"/>
      <c r="S2238" s="180"/>
      <c r="T2238" s="43">
        <f t="shared" si="49"/>
        <v>4</v>
      </c>
      <c r="U2238" s="167">
        <f t="shared" si="50"/>
        <v>45772</v>
      </c>
      <c r="V2238" s="145"/>
      <c r="W2238" s="43">
        <f t="shared" si="51"/>
        <v>4</v>
      </c>
      <c r="X2238" s="49" t="s">
        <v>1818</v>
      </c>
      <c r="Y2238" s="49">
        <v>-2500</v>
      </c>
      <c r="Z2238" s="183"/>
      <c r="AA2238" s="183"/>
      <c r="AB2238" s="183"/>
    </row>
    <row r="2239" spans="1:28" hidden="1">
      <c r="A2239" s="180" t="s">
        <v>1017</v>
      </c>
      <c r="B2239" s="181">
        <v>45772</v>
      </c>
      <c r="C2239" s="180" t="s">
        <v>1819</v>
      </c>
      <c r="D2239" s="180" t="s">
        <v>281</v>
      </c>
      <c r="E2239" s="180" t="s">
        <v>1140</v>
      </c>
      <c r="F2239" s="291">
        <v>0</v>
      </c>
      <c r="G2239" s="165">
        <f t="shared" si="48"/>
        <v>8659.2209999999232</v>
      </c>
      <c r="H2239" s="180"/>
      <c r="I2239" s="180"/>
      <c r="J2239" s="180"/>
      <c r="K2239" s="180"/>
      <c r="L2239" s="180"/>
      <c r="M2239" s="180"/>
      <c r="N2239" s="180"/>
      <c r="O2239" s="180"/>
      <c r="P2239" s="180"/>
      <c r="Q2239" s="180"/>
      <c r="R2239" s="180"/>
      <c r="S2239" s="180"/>
      <c r="T2239" s="183">
        <f t="shared" si="49"/>
        <v>4</v>
      </c>
      <c r="U2239" s="184">
        <f t="shared" si="50"/>
        <v>45772</v>
      </c>
      <c r="V2239" s="187"/>
      <c r="W2239" s="183">
        <f t="shared" si="51"/>
        <v>4</v>
      </c>
      <c r="X2239" s="183" t="s">
        <v>1818</v>
      </c>
      <c r="Y2239" s="183">
        <v>-7330</v>
      </c>
      <c r="Z2239" s="183"/>
      <c r="AA2239" s="183"/>
      <c r="AB2239" s="183"/>
    </row>
    <row r="2240" spans="1:28" hidden="1">
      <c r="A2240" s="163" t="s">
        <v>1017</v>
      </c>
      <c r="B2240" s="164">
        <v>45769</v>
      </c>
      <c r="C2240" s="163" t="s">
        <v>88</v>
      </c>
      <c r="D2240" s="163" t="s">
        <v>281</v>
      </c>
      <c r="E2240" s="163" t="s">
        <v>359</v>
      </c>
      <c r="F2240" s="168">
        <v>-100</v>
      </c>
      <c r="G2240" s="165">
        <f t="shared" si="48"/>
        <v>8559.2209999999232</v>
      </c>
      <c r="H2240" s="180"/>
      <c r="I2240" s="180"/>
      <c r="J2240" s="180"/>
      <c r="K2240" s="180"/>
      <c r="L2240" s="180"/>
      <c r="M2240" s="180"/>
      <c r="N2240" s="180"/>
      <c r="O2240" s="180"/>
      <c r="P2240" s="180"/>
      <c r="Q2240" s="180"/>
      <c r="R2240" s="180"/>
      <c r="S2240" s="180"/>
      <c r="T2240" s="43">
        <f t="shared" si="49"/>
        <v>4</v>
      </c>
      <c r="U2240" s="167">
        <f t="shared" si="50"/>
        <v>45772</v>
      </c>
      <c r="V2240" s="145">
        <v>45772</v>
      </c>
      <c r="W2240" s="43">
        <f t="shared" si="51"/>
        <v>4</v>
      </c>
      <c r="X2240" s="49"/>
      <c r="Y2240" s="49"/>
      <c r="Z2240" s="183"/>
      <c r="AA2240" s="183"/>
      <c r="AB2240" s="183"/>
    </row>
    <row r="2241" spans="1:28" hidden="1">
      <c r="A2241" s="163"/>
      <c r="B2241" s="164">
        <v>45772</v>
      </c>
      <c r="C2241" s="163" t="s">
        <v>346</v>
      </c>
      <c r="D2241" s="163"/>
      <c r="E2241" s="163"/>
      <c r="F2241" s="165">
        <v>0</v>
      </c>
      <c r="G2241" s="165">
        <f t="shared" si="48"/>
        <v>8559.2209999999232</v>
      </c>
      <c r="H2241" s="180"/>
      <c r="I2241" s="180"/>
      <c r="J2241" s="180"/>
      <c r="K2241" s="180"/>
      <c r="L2241" s="180"/>
      <c r="M2241" s="180"/>
      <c r="N2241" s="180"/>
      <c r="O2241" s="180"/>
      <c r="P2241" s="180"/>
      <c r="Q2241" s="180"/>
      <c r="R2241" s="180"/>
      <c r="S2241" s="180"/>
      <c r="T2241" s="43">
        <f t="shared" si="49"/>
        <v>4</v>
      </c>
      <c r="U2241" s="167">
        <f t="shared" si="50"/>
        <v>45772</v>
      </c>
      <c r="V2241" s="145"/>
      <c r="W2241" s="43">
        <f t="shared" si="51"/>
        <v>4</v>
      </c>
      <c r="X2241" s="49"/>
      <c r="Y2241" s="49"/>
      <c r="Z2241" s="183"/>
      <c r="AA2241" s="183"/>
      <c r="AB2241" s="183"/>
    </row>
    <row r="2242" spans="1:28" hidden="1">
      <c r="A2242" s="163" t="s">
        <v>1174</v>
      </c>
      <c r="B2242" s="164">
        <v>45772</v>
      </c>
      <c r="C2242" s="163" t="s">
        <v>1753</v>
      </c>
      <c r="D2242" s="163" t="s">
        <v>281</v>
      </c>
      <c r="E2242" s="163" t="s">
        <v>407</v>
      </c>
      <c r="F2242" s="165">
        <v>4800</v>
      </c>
      <c r="G2242" s="165">
        <f t="shared" si="48"/>
        <v>13359.220999999923</v>
      </c>
      <c r="H2242" s="180"/>
      <c r="I2242" s="180"/>
      <c r="J2242" s="180"/>
      <c r="K2242" s="180"/>
      <c r="L2242" s="180"/>
      <c r="M2242" s="180"/>
      <c r="N2242" s="180"/>
      <c r="O2242" s="180"/>
      <c r="P2242" s="180"/>
      <c r="Q2242" s="180"/>
      <c r="R2242" s="180"/>
      <c r="S2242" s="180"/>
      <c r="T2242" s="43">
        <f t="shared" si="49"/>
        <v>4</v>
      </c>
      <c r="U2242" s="167">
        <f t="shared" si="50"/>
        <v>45775</v>
      </c>
      <c r="V2242" s="145">
        <v>45775</v>
      </c>
      <c r="W2242" s="43">
        <f t="shared" si="51"/>
        <v>4</v>
      </c>
      <c r="X2242" s="49"/>
      <c r="Y2242" s="49"/>
      <c r="Z2242" s="183"/>
      <c r="AA2242" s="183"/>
      <c r="AB2242" s="183"/>
    </row>
    <row r="2243" spans="1:28" hidden="1">
      <c r="A2243" s="163" t="s">
        <v>1174</v>
      </c>
      <c r="B2243" s="164">
        <v>45772</v>
      </c>
      <c r="C2243" s="163" t="s">
        <v>1175</v>
      </c>
      <c r="D2243" s="163" t="s">
        <v>281</v>
      </c>
      <c r="E2243" s="163" t="s">
        <v>407</v>
      </c>
      <c r="F2243" s="165">
        <v>2500</v>
      </c>
      <c r="G2243" s="165">
        <f t="shared" si="48"/>
        <v>15859.220999999923</v>
      </c>
      <c r="H2243" s="180"/>
      <c r="I2243" s="180"/>
      <c r="J2243" s="180"/>
      <c r="K2243" s="180"/>
      <c r="L2243" s="180"/>
      <c r="M2243" s="180"/>
      <c r="N2243" s="180"/>
      <c r="O2243" s="180"/>
      <c r="P2243" s="180"/>
      <c r="Q2243" s="180"/>
      <c r="R2243" s="180"/>
      <c r="S2243" s="180"/>
      <c r="T2243" s="43">
        <f t="shared" si="49"/>
        <v>4</v>
      </c>
      <c r="U2243" s="167">
        <f t="shared" si="50"/>
        <v>45775</v>
      </c>
      <c r="V2243" s="145">
        <v>45775</v>
      </c>
      <c r="W2243" s="43">
        <f t="shared" si="51"/>
        <v>4</v>
      </c>
      <c r="X2243" s="49"/>
      <c r="Y2243" s="49"/>
      <c r="Z2243" s="183"/>
      <c r="AA2243" s="183"/>
      <c r="AB2243" s="183"/>
    </row>
    <row r="2244" spans="1:28" hidden="1">
      <c r="A2244" s="163" t="s">
        <v>1174</v>
      </c>
      <c r="B2244" s="164">
        <v>45772</v>
      </c>
      <c r="C2244" s="163" t="s">
        <v>1166</v>
      </c>
      <c r="D2244" s="163" t="s">
        <v>281</v>
      </c>
      <c r="E2244" s="163" t="s">
        <v>407</v>
      </c>
      <c r="F2244" s="165">
        <v>4199</v>
      </c>
      <c r="G2244" s="165">
        <f t="shared" si="48"/>
        <v>20058.220999999925</v>
      </c>
      <c r="H2244" s="180"/>
      <c r="I2244" s="180"/>
      <c r="J2244" s="180"/>
      <c r="K2244" s="180"/>
      <c r="L2244" s="180"/>
      <c r="M2244" s="180"/>
      <c r="N2244" s="180"/>
      <c r="O2244" s="180"/>
      <c r="P2244" s="180"/>
      <c r="Q2244" s="180"/>
      <c r="R2244" s="180"/>
      <c r="S2244" s="180"/>
      <c r="T2244" s="43">
        <f t="shared" si="49"/>
        <v>4</v>
      </c>
      <c r="U2244" s="167">
        <f t="shared" si="50"/>
        <v>45775</v>
      </c>
      <c r="V2244" s="145">
        <v>45775</v>
      </c>
      <c r="W2244" s="43">
        <f t="shared" si="51"/>
        <v>4</v>
      </c>
      <c r="X2244" s="49"/>
      <c r="Y2244" s="49"/>
      <c r="Z2244" s="183"/>
      <c r="AA2244" s="183"/>
      <c r="AB2244" s="183"/>
    </row>
    <row r="2245" spans="1:28" hidden="1">
      <c r="A2245" s="163" t="s">
        <v>1174</v>
      </c>
      <c r="B2245" s="164">
        <v>45772</v>
      </c>
      <c r="C2245" s="163" t="s">
        <v>1182</v>
      </c>
      <c r="D2245" s="163" t="s">
        <v>281</v>
      </c>
      <c r="E2245" s="163" t="s">
        <v>407</v>
      </c>
      <c r="F2245" s="165">
        <v>4365</v>
      </c>
      <c r="G2245" s="165">
        <f t="shared" si="48"/>
        <v>24423.220999999925</v>
      </c>
      <c r="H2245" s="180"/>
      <c r="I2245" s="180"/>
      <c r="J2245" s="180"/>
      <c r="K2245" s="180"/>
      <c r="L2245" s="180"/>
      <c r="M2245" s="180"/>
      <c r="N2245" s="180"/>
      <c r="O2245" s="180"/>
      <c r="P2245" s="180"/>
      <c r="Q2245" s="180"/>
      <c r="R2245" s="180"/>
      <c r="S2245" s="180"/>
      <c r="T2245" s="43">
        <f t="shared" si="49"/>
        <v>4</v>
      </c>
      <c r="U2245" s="167">
        <f t="shared" si="50"/>
        <v>45775</v>
      </c>
      <c r="V2245" s="145">
        <v>45775</v>
      </c>
      <c r="W2245" s="43">
        <f t="shared" si="51"/>
        <v>4</v>
      </c>
      <c r="X2245" s="49"/>
      <c r="Y2245" s="49"/>
      <c r="Z2245" s="183"/>
      <c r="AA2245" s="183"/>
      <c r="AB2245" s="183"/>
    </row>
    <row r="2246" spans="1:28" hidden="1">
      <c r="A2246" s="163" t="s">
        <v>1174</v>
      </c>
      <c r="B2246" s="164">
        <v>45772</v>
      </c>
      <c r="C2246" s="163" t="s">
        <v>1820</v>
      </c>
      <c r="D2246" s="163" t="s">
        <v>281</v>
      </c>
      <c r="E2246" s="163" t="s">
        <v>407</v>
      </c>
      <c r="F2246" s="165">
        <v>1599</v>
      </c>
      <c r="G2246" s="165">
        <f t="shared" si="48"/>
        <v>26022.220999999925</v>
      </c>
      <c r="H2246" s="180"/>
      <c r="I2246" s="180"/>
      <c r="J2246" s="180"/>
      <c r="K2246" s="180"/>
      <c r="L2246" s="180"/>
      <c r="M2246" s="180"/>
      <c r="N2246" s="180"/>
      <c r="O2246" s="180"/>
      <c r="P2246" s="180"/>
      <c r="Q2246" s="180"/>
      <c r="R2246" s="180"/>
      <c r="S2246" s="180"/>
      <c r="T2246" s="43">
        <f t="shared" si="49"/>
        <v>4</v>
      </c>
      <c r="U2246" s="167">
        <f t="shared" si="50"/>
        <v>45775</v>
      </c>
      <c r="V2246" s="145">
        <v>45775</v>
      </c>
      <c r="W2246" s="43">
        <f t="shared" si="51"/>
        <v>4</v>
      </c>
      <c r="X2246" s="49"/>
      <c r="Y2246" s="49"/>
      <c r="Z2246" s="183"/>
      <c r="AA2246" s="183"/>
      <c r="AB2246" s="183"/>
    </row>
    <row r="2247" spans="1:28" hidden="1">
      <c r="A2247" s="163" t="s">
        <v>1017</v>
      </c>
      <c r="B2247" s="164">
        <v>45771</v>
      </c>
      <c r="C2247" s="163" t="s">
        <v>1821</v>
      </c>
      <c r="D2247" s="163" t="s">
        <v>281</v>
      </c>
      <c r="E2247" s="163" t="s">
        <v>1822</v>
      </c>
      <c r="F2247" s="185">
        <f>-5013.49</f>
        <v>-5013.49</v>
      </c>
      <c r="G2247" s="165">
        <f t="shared" si="48"/>
        <v>21008.730999999927</v>
      </c>
      <c r="H2247" s="180"/>
      <c r="I2247" s="180"/>
      <c r="J2247" s="180"/>
      <c r="K2247" s="180"/>
      <c r="L2247" s="180"/>
      <c r="M2247" s="180"/>
      <c r="N2247" s="180"/>
      <c r="O2247" s="180"/>
      <c r="P2247" s="180"/>
      <c r="Q2247" s="180"/>
      <c r="R2247" s="180"/>
      <c r="S2247" s="180"/>
      <c r="T2247" s="43">
        <f t="shared" si="49"/>
        <v>4</v>
      </c>
      <c r="U2247" s="167">
        <f t="shared" si="50"/>
        <v>45775</v>
      </c>
      <c r="V2247" s="145">
        <v>45775</v>
      </c>
      <c r="W2247" s="43">
        <f t="shared" si="51"/>
        <v>4</v>
      </c>
      <c r="X2247" s="49"/>
      <c r="Y2247" s="49"/>
      <c r="Z2247" s="183"/>
      <c r="AA2247" s="183"/>
      <c r="AB2247" s="183"/>
    </row>
    <row r="2248" spans="1:28" hidden="1">
      <c r="A2248" s="163" t="s">
        <v>1017</v>
      </c>
      <c r="B2248" s="164">
        <v>45775</v>
      </c>
      <c r="C2248" s="163" t="s">
        <v>1823</v>
      </c>
      <c r="D2248" s="163" t="s">
        <v>281</v>
      </c>
      <c r="E2248" s="163" t="s">
        <v>199</v>
      </c>
      <c r="F2248" s="185">
        <v>0</v>
      </c>
      <c r="G2248" s="165">
        <f t="shared" si="48"/>
        <v>21008.730999999927</v>
      </c>
      <c r="H2248" s="180"/>
      <c r="I2248" s="180"/>
      <c r="J2248" s="180"/>
      <c r="K2248" s="180"/>
      <c r="L2248" s="180"/>
      <c r="M2248" s="180"/>
      <c r="N2248" s="180"/>
      <c r="O2248" s="180"/>
      <c r="P2248" s="180"/>
      <c r="Q2248" s="180"/>
      <c r="R2248" s="180"/>
      <c r="S2248" s="180"/>
      <c r="T2248" s="43">
        <f t="shared" si="49"/>
        <v>4</v>
      </c>
      <c r="U2248" s="167">
        <f t="shared" si="50"/>
        <v>45775</v>
      </c>
      <c r="V2248" s="145"/>
      <c r="W2248" s="43">
        <f t="shared" si="51"/>
        <v>4</v>
      </c>
      <c r="X2248" s="49" t="s">
        <v>1818</v>
      </c>
      <c r="Y2248" s="49">
        <v>-1500</v>
      </c>
      <c r="Z2248" s="183"/>
      <c r="AA2248" s="183"/>
      <c r="AB2248" s="183"/>
    </row>
    <row r="2249" spans="1:28" hidden="1">
      <c r="A2249" s="163" t="s">
        <v>1017</v>
      </c>
      <c r="B2249" s="164">
        <v>45775</v>
      </c>
      <c r="C2249" s="190" t="s">
        <v>330</v>
      </c>
      <c r="D2249" s="190" t="s">
        <v>281</v>
      </c>
      <c r="E2249" s="190" t="s">
        <v>330</v>
      </c>
      <c r="F2249" s="185">
        <f>-1.99*4-0.5</f>
        <v>-8.4600000000000009</v>
      </c>
      <c r="G2249" s="165">
        <f t="shared" si="48"/>
        <v>21000.270999999928</v>
      </c>
      <c r="H2249" s="190"/>
      <c r="I2249" s="190" t="s">
        <v>342</v>
      </c>
      <c r="J2249" s="190"/>
      <c r="K2249" s="190"/>
      <c r="L2249" s="190" t="s">
        <v>805</v>
      </c>
      <c r="M2249" s="190"/>
      <c r="N2249" s="190" t="s">
        <v>978</v>
      </c>
      <c r="O2249" s="190"/>
      <c r="P2249" s="190"/>
      <c r="Q2249" s="190"/>
      <c r="R2249" s="190" t="s">
        <v>1292</v>
      </c>
      <c r="S2249" s="190" t="s">
        <v>1417</v>
      </c>
      <c r="T2249" s="43">
        <f t="shared" si="49"/>
        <v>4</v>
      </c>
      <c r="U2249" s="167">
        <f t="shared" si="50"/>
        <v>45775</v>
      </c>
      <c r="V2249" s="145"/>
      <c r="W2249" s="43">
        <f t="shared" si="51"/>
        <v>4</v>
      </c>
      <c r="X2249" s="43" t="s">
        <v>1483</v>
      </c>
      <c r="Y2249" s="43" t="s">
        <v>1443</v>
      </c>
      <c r="Z2249" s="43"/>
      <c r="AA2249" s="43"/>
    </row>
    <row r="2250" spans="1:28" hidden="1">
      <c r="A2250" s="163"/>
      <c r="B2250" s="164">
        <v>45775</v>
      </c>
      <c r="C2250" s="163" t="s">
        <v>346</v>
      </c>
      <c r="D2250" s="163"/>
      <c r="E2250" s="163"/>
      <c r="F2250" s="191">
        <v>0</v>
      </c>
      <c r="G2250" s="165">
        <f t="shared" si="48"/>
        <v>21000.270999999928</v>
      </c>
      <c r="H2250" s="180"/>
      <c r="I2250" s="180"/>
      <c r="J2250" s="180"/>
      <c r="K2250" s="180"/>
      <c r="L2250" s="180"/>
      <c r="M2250" s="180"/>
      <c r="N2250" s="180"/>
      <c r="O2250" s="180"/>
      <c r="P2250" s="180"/>
      <c r="Q2250" s="180"/>
      <c r="R2250" s="180"/>
      <c r="S2250" s="180"/>
      <c r="T2250" s="43">
        <f t="shared" si="49"/>
        <v>4</v>
      </c>
      <c r="U2250" s="167">
        <f t="shared" si="50"/>
        <v>45775</v>
      </c>
      <c r="V2250" s="145"/>
      <c r="W2250" s="43">
        <f t="shared" si="51"/>
        <v>4</v>
      </c>
      <c r="X2250" s="49"/>
      <c r="Y2250" s="49"/>
      <c r="Z2250" s="183"/>
      <c r="AA2250" s="183"/>
      <c r="AB2250" s="183"/>
    </row>
    <row r="2251" spans="1:28" hidden="1">
      <c r="A2251" s="163" t="s">
        <v>1174</v>
      </c>
      <c r="B2251" s="164">
        <v>45772</v>
      </c>
      <c r="C2251" s="163" t="s">
        <v>1824</v>
      </c>
      <c r="D2251" s="163" t="s">
        <v>281</v>
      </c>
      <c r="E2251" s="163" t="s">
        <v>407</v>
      </c>
      <c r="F2251" s="191">
        <v>4594.49</v>
      </c>
      <c r="G2251" s="165">
        <f t="shared" si="48"/>
        <v>25594.760999999926</v>
      </c>
      <c r="H2251" s="180"/>
      <c r="I2251" s="180"/>
      <c r="J2251" s="180"/>
      <c r="K2251" s="180"/>
      <c r="L2251" s="180"/>
      <c r="M2251" s="180"/>
      <c r="N2251" s="180"/>
      <c r="O2251" s="180"/>
      <c r="P2251" s="180"/>
      <c r="Q2251" s="180"/>
      <c r="R2251" s="180"/>
      <c r="S2251" s="180"/>
      <c r="T2251" s="43">
        <f t="shared" si="49"/>
        <v>4</v>
      </c>
      <c r="U2251" s="167">
        <f t="shared" si="50"/>
        <v>45776</v>
      </c>
      <c r="V2251" s="145">
        <v>45776</v>
      </c>
      <c r="W2251" s="43">
        <f t="shared" si="51"/>
        <v>4</v>
      </c>
      <c r="X2251" s="49"/>
      <c r="Y2251" s="49"/>
      <c r="Z2251" s="183"/>
      <c r="AA2251" s="183"/>
      <c r="AB2251" s="183"/>
    </row>
    <row r="2252" spans="1:28" hidden="1">
      <c r="A2252" s="163" t="s">
        <v>1174</v>
      </c>
      <c r="B2252" s="164">
        <v>45772</v>
      </c>
      <c r="C2252" s="163" t="s">
        <v>1825</v>
      </c>
      <c r="D2252" s="163" t="s">
        <v>281</v>
      </c>
      <c r="E2252" s="163" t="s">
        <v>407</v>
      </c>
      <c r="F2252" s="191">
        <v>3200</v>
      </c>
      <c r="G2252" s="165">
        <f t="shared" si="48"/>
        <v>28794.760999999926</v>
      </c>
      <c r="H2252" s="180"/>
      <c r="I2252" s="180"/>
      <c r="J2252" s="180"/>
      <c r="K2252" s="180"/>
      <c r="L2252" s="180"/>
      <c r="M2252" s="180"/>
      <c r="N2252" s="180"/>
      <c r="O2252" s="180"/>
      <c r="P2252" s="180"/>
      <c r="Q2252" s="180"/>
      <c r="R2252" s="180"/>
      <c r="S2252" s="180"/>
      <c r="T2252" s="43">
        <f t="shared" si="49"/>
        <v>4</v>
      </c>
      <c r="U2252" s="167">
        <f t="shared" si="50"/>
        <v>45776</v>
      </c>
      <c r="V2252" s="145">
        <v>45776</v>
      </c>
      <c r="W2252" s="43">
        <f t="shared" si="51"/>
        <v>4</v>
      </c>
      <c r="X2252" s="49"/>
      <c r="Y2252" s="49"/>
      <c r="Z2252" s="183"/>
      <c r="AA2252" s="183"/>
      <c r="AB2252" s="183"/>
    </row>
    <row r="2253" spans="1:28" hidden="1">
      <c r="A2253" s="163" t="s">
        <v>1174</v>
      </c>
      <c r="B2253" s="164">
        <v>45772</v>
      </c>
      <c r="C2253" s="163" t="s">
        <v>76</v>
      </c>
      <c r="D2253" s="163" t="s">
        <v>281</v>
      </c>
      <c r="E2253" s="163" t="s">
        <v>1826</v>
      </c>
      <c r="F2253" s="191">
        <v>750</v>
      </c>
      <c r="G2253" s="165">
        <f t="shared" si="48"/>
        <v>29544.760999999926</v>
      </c>
      <c r="H2253" s="180"/>
      <c r="I2253" s="180"/>
      <c r="J2253" s="180"/>
      <c r="K2253" s="180"/>
      <c r="L2253" s="180"/>
      <c r="M2253" s="180"/>
      <c r="N2253" s="180"/>
      <c r="O2253" s="180"/>
      <c r="P2253" s="180"/>
      <c r="Q2253" s="180"/>
      <c r="R2253" s="180"/>
      <c r="S2253" s="180"/>
      <c r="T2253" s="43">
        <f t="shared" si="49"/>
        <v>4</v>
      </c>
      <c r="U2253" s="167">
        <f t="shared" si="50"/>
        <v>45776</v>
      </c>
      <c r="V2253" s="145">
        <v>45776</v>
      </c>
      <c r="W2253" s="43">
        <f t="shared" si="51"/>
        <v>4</v>
      </c>
      <c r="X2253" s="49"/>
      <c r="Y2253" s="49"/>
      <c r="Z2253" s="183"/>
      <c r="AA2253" s="183"/>
      <c r="AB2253" s="183"/>
    </row>
    <row r="2254" spans="1:28" hidden="1">
      <c r="A2254" s="163" t="s">
        <v>1174</v>
      </c>
      <c r="B2254" s="164">
        <v>45772</v>
      </c>
      <c r="C2254" s="163" t="s">
        <v>1827</v>
      </c>
      <c r="D2254" s="163" t="s">
        <v>281</v>
      </c>
      <c r="E2254" s="163" t="s">
        <v>1826</v>
      </c>
      <c r="F2254" s="191">
        <v>750</v>
      </c>
      <c r="G2254" s="165">
        <f t="shared" si="48"/>
        <v>30294.760999999926</v>
      </c>
      <c r="H2254" s="180"/>
      <c r="I2254" s="180"/>
      <c r="J2254" s="180"/>
      <c r="K2254" s="180"/>
      <c r="L2254" s="180"/>
      <c r="M2254" s="180"/>
      <c r="N2254" s="180"/>
      <c r="O2254" s="180"/>
      <c r="P2254" s="180"/>
      <c r="Q2254" s="180"/>
      <c r="R2254" s="180"/>
      <c r="S2254" s="180"/>
      <c r="T2254" s="43">
        <f t="shared" si="49"/>
        <v>4</v>
      </c>
      <c r="U2254" s="167">
        <f t="shared" si="50"/>
        <v>45776</v>
      </c>
      <c r="V2254" s="145">
        <v>45776</v>
      </c>
      <c r="W2254" s="43">
        <f t="shared" si="51"/>
        <v>4</v>
      </c>
      <c r="X2254" s="49"/>
      <c r="Y2254" s="49"/>
      <c r="Z2254" s="183"/>
      <c r="AA2254" s="183"/>
      <c r="AB2254" s="183"/>
    </row>
    <row r="2255" spans="1:28" hidden="1">
      <c r="A2255" s="163" t="s">
        <v>1017</v>
      </c>
      <c r="B2255" s="164">
        <v>45771</v>
      </c>
      <c r="C2255" s="163" t="s">
        <v>1821</v>
      </c>
      <c r="D2255" s="163" t="s">
        <v>281</v>
      </c>
      <c r="E2255" s="163" t="s">
        <v>1828</v>
      </c>
      <c r="F2255" s="185">
        <v>-863.96</v>
      </c>
      <c r="G2255" s="165">
        <f t="shared" si="48"/>
        <v>29430.800999999927</v>
      </c>
      <c r="H2255" s="180"/>
      <c r="I2255" s="180"/>
      <c r="J2255" s="180"/>
      <c r="K2255" s="180"/>
      <c r="L2255" s="180"/>
      <c r="M2255" s="180"/>
      <c r="N2255" s="180"/>
      <c r="O2255" s="180"/>
      <c r="P2255" s="180"/>
      <c r="Q2255" s="180"/>
      <c r="R2255" s="180"/>
      <c r="S2255" s="180"/>
      <c r="T2255" s="43">
        <f t="shared" si="49"/>
        <v>4</v>
      </c>
      <c r="U2255" s="167">
        <f t="shared" si="50"/>
        <v>45776</v>
      </c>
      <c r="V2255" s="145">
        <v>45776</v>
      </c>
      <c r="W2255" s="43">
        <f t="shared" si="51"/>
        <v>4</v>
      </c>
      <c r="X2255" s="49"/>
      <c r="Y2255" s="49"/>
      <c r="Z2255" s="183"/>
      <c r="AA2255" s="183"/>
      <c r="AB2255" s="183"/>
    </row>
    <row r="2256" spans="1:28" hidden="1">
      <c r="A2256" s="163" t="s">
        <v>1017</v>
      </c>
      <c r="B2256" s="164">
        <v>45775</v>
      </c>
      <c r="C2256" s="163" t="s">
        <v>1010</v>
      </c>
      <c r="D2256" s="163" t="s">
        <v>281</v>
      </c>
      <c r="E2256" s="163" t="s">
        <v>199</v>
      </c>
      <c r="F2256" s="168">
        <v>0</v>
      </c>
      <c r="G2256" s="165">
        <f t="shared" si="48"/>
        <v>29430.800999999927</v>
      </c>
      <c r="H2256" s="180"/>
      <c r="I2256" s="180"/>
      <c r="J2256" s="180"/>
      <c r="K2256" s="180"/>
      <c r="L2256" s="180"/>
      <c r="M2256" s="180"/>
      <c r="N2256" s="180"/>
      <c r="O2256" s="180"/>
      <c r="P2256" s="180"/>
      <c r="Q2256" s="180"/>
      <c r="R2256" s="180"/>
      <c r="S2256" s="180"/>
      <c r="T2256" s="43">
        <f t="shared" si="49"/>
        <v>4</v>
      </c>
      <c r="U2256" s="167">
        <f t="shared" si="50"/>
        <v>45776</v>
      </c>
      <c r="V2256" s="145">
        <v>45776</v>
      </c>
      <c r="W2256" s="43">
        <f t="shared" si="51"/>
        <v>4</v>
      </c>
      <c r="X2256" s="49" t="s">
        <v>1818</v>
      </c>
      <c r="Y2256" s="49">
        <v>-2500</v>
      </c>
      <c r="Z2256" s="183"/>
      <c r="AA2256" s="183"/>
      <c r="AB2256" s="183"/>
    </row>
    <row r="2257" spans="1:28" hidden="1">
      <c r="A2257" s="163" t="s">
        <v>1017</v>
      </c>
      <c r="B2257" s="164">
        <v>45776</v>
      </c>
      <c r="C2257" s="190" t="s">
        <v>330</v>
      </c>
      <c r="D2257" s="190" t="s">
        <v>281</v>
      </c>
      <c r="E2257" s="190" t="s">
        <v>330</v>
      </c>
      <c r="F2257" s="185">
        <f>-1.99*2-0.5</f>
        <v>-4.4800000000000004</v>
      </c>
      <c r="G2257" s="165">
        <f t="shared" si="48"/>
        <v>29426.320999999927</v>
      </c>
      <c r="H2257" s="190"/>
      <c r="I2257" s="190" t="s">
        <v>342</v>
      </c>
      <c r="J2257" s="190"/>
      <c r="K2257" s="190"/>
      <c r="L2257" s="190" t="s">
        <v>805</v>
      </c>
      <c r="M2257" s="190"/>
      <c r="N2257" s="190" t="s">
        <v>978</v>
      </c>
      <c r="O2257" s="190"/>
      <c r="P2257" s="190"/>
      <c r="Q2257" s="190"/>
      <c r="R2257" s="190" t="s">
        <v>1292</v>
      </c>
      <c r="S2257" s="190" t="s">
        <v>1417</v>
      </c>
      <c r="T2257" s="43">
        <f t="shared" si="49"/>
        <v>4</v>
      </c>
      <c r="U2257" s="167">
        <f t="shared" si="50"/>
        <v>45776</v>
      </c>
      <c r="V2257" s="145"/>
      <c r="W2257" s="43">
        <f t="shared" si="51"/>
        <v>4</v>
      </c>
      <c r="X2257" s="43" t="s">
        <v>1483</v>
      </c>
      <c r="Y2257" s="43" t="s">
        <v>1443</v>
      </c>
      <c r="Z2257" s="43"/>
      <c r="AA2257" s="43"/>
    </row>
    <row r="2258" spans="1:28" hidden="1">
      <c r="A2258" s="163" t="s">
        <v>1017</v>
      </c>
      <c r="B2258" s="164">
        <v>45776</v>
      </c>
      <c r="C2258" s="163" t="s">
        <v>1287</v>
      </c>
      <c r="D2258" s="163" t="s">
        <v>281</v>
      </c>
      <c r="E2258" s="163" t="s">
        <v>1288</v>
      </c>
      <c r="F2258" s="168"/>
      <c r="G2258" s="165">
        <f t="shared" si="48"/>
        <v>29426.320999999927</v>
      </c>
      <c r="H2258" s="180"/>
      <c r="I2258" s="180"/>
      <c r="J2258" s="180"/>
      <c r="K2258" s="180"/>
      <c r="L2258" s="180"/>
      <c r="M2258" s="180"/>
      <c r="N2258" s="180"/>
      <c r="O2258" s="180"/>
      <c r="P2258" s="180"/>
      <c r="Q2258" s="180"/>
      <c r="R2258" s="180"/>
      <c r="S2258" s="180"/>
      <c r="T2258" s="43">
        <f t="shared" si="49"/>
        <v>4</v>
      </c>
      <c r="U2258" s="167">
        <f t="shared" si="50"/>
        <v>45776</v>
      </c>
      <c r="V2258" s="145"/>
      <c r="W2258" s="43">
        <f t="shared" si="51"/>
        <v>4</v>
      </c>
      <c r="X2258" s="49"/>
      <c r="Y2258" s="49"/>
      <c r="Z2258" s="183"/>
      <c r="AA2258" s="183"/>
      <c r="AB2258" s="183"/>
    </row>
    <row r="2259" spans="1:28" hidden="1">
      <c r="A2259" s="163"/>
      <c r="B2259" s="164">
        <v>45776</v>
      </c>
      <c r="C2259" s="163" t="s">
        <v>346</v>
      </c>
      <c r="D2259" s="163"/>
      <c r="E2259" s="163"/>
      <c r="F2259" s="165">
        <v>0</v>
      </c>
      <c r="G2259" s="165">
        <f t="shared" si="48"/>
        <v>29426.320999999927</v>
      </c>
      <c r="H2259" s="180"/>
      <c r="I2259" s="180"/>
      <c r="J2259" s="180"/>
      <c r="K2259" s="180"/>
      <c r="L2259" s="180"/>
      <c r="M2259" s="180"/>
      <c r="N2259" s="180"/>
      <c r="O2259" s="180"/>
      <c r="P2259" s="180"/>
      <c r="Q2259" s="180"/>
      <c r="R2259" s="180"/>
      <c r="S2259" s="180"/>
      <c r="T2259" s="43">
        <f t="shared" si="49"/>
        <v>4</v>
      </c>
      <c r="U2259" s="167">
        <f t="shared" si="50"/>
        <v>45776</v>
      </c>
      <c r="V2259" s="145"/>
      <c r="W2259" s="43">
        <f t="shared" si="51"/>
        <v>4</v>
      </c>
      <c r="X2259" s="49"/>
      <c r="Y2259" s="49"/>
      <c r="Z2259" s="183"/>
      <c r="AA2259" s="183"/>
      <c r="AB2259" s="183"/>
    </row>
    <row r="2260" spans="1:28" hidden="1">
      <c r="A2260" s="163" t="s">
        <v>1174</v>
      </c>
      <c r="B2260" s="164">
        <v>45775</v>
      </c>
      <c r="C2260" s="163" t="s">
        <v>1215</v>
      </c>
      <c r="D2260" s="163" t="s">
        <v>281</v>
      </c>
      <c r="E2260" s="163" t="s">
        <v>407</v>
      </c>
      <c r="F2260" s="165">
        <v>1750</v>
      </c>
      <c r="G2260" s="165">
        <f t="shared" si="48"/>
        <v>31176.320999999927</v>
      </c>
      <c r="H2260" s="180"/>
      <c r="I2260" s="180"/>
      <c r="J2260" s="180"/>
      <c r="K2260" s="180"/>
      <c r="L2260" s="180"/>
      <c r="M2260" s="180"/>
      <c r="N2260" s="180"/>
      <c r="O2260" s="180"/>
      <c r="P2260" s="180"/>
      <c r="Q2260" s="180"/>
      <c r="R2260" s="180"/>
      <c r="S2260" s="180"/>
      <c r="T2260" s="43">
        <f t="shared" si="49"/>
        <v>4</v>
      </c>
      <c r="U2260" s="167">
        <f t="shared" si="50"/>
        <v>45777</v>
      </c>
      <c r="V2260" s="166">
        <v>45777</v>
      </c>
      <c r="W2260" s="43">
        <f t="shared" si="51"/>
        <v>4</v>
      </c>
      <c r="X2260" s="49"/>
      <c r="Y2260" s="49"/>
      <c r="Z2260" s="183"/>
      <c r="AA2260" s="183"/>
      <c r="AB2260" s="183"/>
    </row>
    <row r="2261" spans="1:28" hidden="1">
      <c r="A2261" s="163" t="s">
        <v>1174</v>
      </c>
      <c r="B2261" s="164">
        <v>45775</v>
      </c>
      <c r="C2261" s="163" t="s">
        <v>1829</v>
      </c>
      <c r="D2261" s="163" t="s">
        <v>281</v>
      </c>
      <c r="E2261" s="163" t="s">
        <v>407</v>
      </c>
      <c r="F2261" s="165">
        <v>3099</v>
      </c>
      <c r="G2261" s="165">
        <f t="shared" si="48"/>
        <v>34275.320999999924</v>
      </c>
      <c r="H2261" s="180"/>
      <c r="I2261" s="180"/>
      <c r="J2261" s="180"/>
      <c r="K2261" s="180"/>
      <c r="L2261" s="180"/>
      <c r="M2261" s="180"/>
      <c r="N2261" s="180"/>
      <c r="O2261" s="180"/>
      <c r="P2261" s="180"/>
      <c r="Q2261" s="180"/>
      <c r="R2261" s="180"/>
      <c r="S2261" s="180"/>
      <c r="T2261" s="43">
        <f t="shared" si="49"/>
        <v>4</v>
      </c>
      <c r="U2261" s="167">
        <f t="shared" si="50"/>
        <v>45777</v>
      </c>
      <c r="V2261" s="166">
        <v>45777</v>
      </c>
      <c r="W2261" s="43">
        <f t="shared" si="51"/>
        <v>4</v>
      </c>
      <c r="X2261" s="49"/>
      <c r="Y2261" s="49"/>
      <c r="Z2261" s="183"/>
      <c r="AA2261" s="183"/>
      <c r="AB2261" s="183"/>
    </row>
    <row r="2262" spans="1:28" hidden="1">
      <c r="A2262" s="163" t="s">
        <v>1174</v>
      </c>
      <c r="B2262" s="164">
        <v>45772</v>
      </c>
      <c r="C2262" s="163" t="s">
        <v>1733</v>
      </c>
      <c r="D2262" s="163" t="s">
        <v>281</v>
      </c>
      <c r="E2262" s="163" t="s">
        <v>407</v>
      </c>
      <c r="F2262" s="191">
        <v>3063.99</v>
      </c>
      <c r="G2262" s="165">
        <f t="shared" si="48"/>
        <v>37339.310999999921</v>
      </c>
      <c r="H2262" s="180"/>
      <c r="I2262" s="180"/>
      <c r="J2262" s="180"/>
      <c r="K2262" s="180"/>
      <c r="L2262" s="180"/>
      <c r="M2262" s="180"/>
      <c r="N2262" s="180"/>
      <c r="O2262" s="180"/>
      <c r="P2262" s="180"/>
      <c r="Q2262" s="180"/>
      <c r="R2262" s="180"/>
      <c r="S2262" s="180"/>
      <c r="T2262" s="43">
        <f t="shared" si="49"/>
        <v>4</v>
      </c>
      <c r="U2262" s="167">
        <f t="shared" si="50"/>
        <v>45777</v>
      </c>
      <c r="V2262" s="166">
        <v>45777</v>
      </c>
      <c r="W2262" s="43">
        <f t="shared" si="51"/>
        <v>4</v>
      </c>
      <c r="X2262" s="49"/>
      <c r="Y2262" s="49"/>
      <c r="Z2262" s="183"/>
      <c r="AA2262" s="183"/>
      <c r="AB2262" s="183"/>
    </row>
    <row r="2263" spans="1:28" hidden="1">
      <c r="A2263" s="163" t="s">
        <v>1174</v>
      </c>
      <c r="B2263" s="164">
        <v>45772</v>
      </c>
      <c r="C2263" s="163" t="s">
        <v>1830</v>
      </c>
      <c r="D2263" s="163" t="s">
        <v>281</v>
      </c>
      <c r="E2263" s="163" t="s">
        <v>407</v>
      </c>
      <c r="F2263" s="191">
        <v>3063.99</v>
      </c>
      <c r="G2263" s="165">
        <f t="shared" si="48"/>
        <v>40403.300999999919</v>
      </c>
      <c r="H2263" s="180"/>
      <c r="I2263" s="180"/>
      <c r="J2263" s="180"/>
      <c r="K2263" s="180"/>
      <c r="L2263" s="180"/>
      <c r="M2263" s="180"/>
      <c r="N2263" s="180"/>
      <c r="O2263" s="180"/>
      <c r="P2263" s="180"/>
      <c r="Q2263" s="180"/>
      <c r="R2263" s="180"/>
      <c r="S2263" s="180"/>
      <c r="T2263" s="43">
        <f t="shared" si="49"/>
        <v>4</v>
      </c>
      <c r="U2263" s="167">
        <f t="shared" si="50"/>
        <v>45777</v>
      </c>
      <c r="V2263" s="166">
        <v>45777</v>
      </c>
      <c r="W2263" s="43">
        <f t="shared" si="51"/>
        <v>4</v>
      </c>
      <c r="X2263" s="49"/>
      <c r="Y2263" s="49"/>
      <c r="Z2263" s="183"/>
      <c r="AA2263" s="183"/>
      <c r="AB2263" s="183"/>
    </row>
    <row r="2264" spans="1:28" hidden="1">
      <c r="A2264" s="163" t="s">
        <v>1017</v>
      </c>
      <c r="B2264" s="164">
        <v>45777</v>
      </c>
      <c r="C2264" s="163" t="s">
        <v>1831</v>
      </c>
      <c r="D2264" s="163" t="s">
        <v>281</v>
      </c>
      <c r="E2264" s="163" t="s">
        <v>760</v>
      </c>
      <c r="F2264" s="185">
        <v>-799.5</v>
      </c>
      <c r="G2264" s="165">
        <f t="shared" si="48"/>
        <v>39603.800999999919</v>
      </c>
      <c r="H2264" s="180"/>
      <c r="I2264" s="180"/>
      <c r="J2264" s="180"/>
      <c r="K2264" s="180"/>
      <c r="L2264" s="180"/>
      <c r="M2264" s="180"/>
      <c r="N2264" s="180"/>
      <c r="O2264" s="180"/>
      <c r="P2264" s="180"/>
      <c r="Q2264" s="180"/>
      <c r="R2264" s="180"/>
      <c r="S2264" s="180"/>
      <c r="T2264" s="43">
        <f t="shared" si="49"/>
        <v>4</v>
      </c>
      <c r="U2264" s="167">
        <f t="shared" si="50"/>
        <v>45777</v>
      </c>
      <c r="V2264" s="166"/>
      <c r="W2264" s="43">
        <f t="shared" si="51"/>
        <v>4</v>
      </c>
      <c r="X2264" s="49"/>
      <c r="Y2264" s="49"/>
      <c r="Z2264" s="183"/>
      <c r="AA2264" s="183"/>
      <c r="AB2264" s="183"/>
    </row>
    <row r="2265" spans="1:28" hidden="1">
      <c r="A2265" s="163" t="s">
        <v>1017</v>
      </c>
      <c r="B2265" s="164">
        <v>45777</v>
      </c>
      <c r="C2265" s="163" t="s">
        <v>1831</v>
      </c>
      <c r="D2265" s="163" t="s">
        <v>281</v>
      </c>
      <c r="E2265" s="163" t="s">
        <v>760</v>
      </c>
      <c r="F2265" s="185">
        <f>-2799*0.5-299*0.2</f>
        <v>-1459.3</v>
      </c>
      <c r="G2265" s="165">
        <f t="shared" si="48"/>
        <v>38144.500999999917</v>
      </c>
      <c r="H2265" s="180"/>
      <c r="I2265" s="180"/>
      <c r="J2265" s="180"/>
      <c r="K2265" s="180"/>
      <c r="L2265" s="180"/>
      <c r="M2265" s="180"/>
      <c r="N2265" s="180"/>
      <c r="O2265" s="180"/>
      <c r="P2265" s="180"/>
      <c r="Q2265" s="180"/>
      <c r="R2265" s="180"/>
      <c r="S2265" s="180"/>
      <c r="T2265" s="43">
        <f t="shared" si="49"/>
        <v>4</v>
      </c>
      <c r="U2265" s="167">
        <f t="shared" si="50"/>
        <v>45777</v>
      </c>
      <c r="V2265" s="166"/>
      <c r="W2265" s="43">
        <f t="shared" si="51"/>
        <v>4</v>
      </c>
      <c r="X2265" s="49"/>
      <c r="Y2265" s="49"/>
      <c r="Z2265" s="183"/>
      <c r="AA2265" s="183"/>
      <c r="AB2265" s="183"/>
    </row>
    <row r="2266" spans="1:28" hidden="1">
      <c r="A2266" s="163" t="s">
        <v>1017</v>
      </c>
      <c r="B2266" s="164">
        <v>45777</v>
      </c>
      <c r="C2266" s="163" t="s">
        <v>1610</v>
      </c>
      <c r="D2266" s="163" t="s">
        <v>281</v>
      </c>
      <c r="E2266" s="163" t="s">
        <v>760</v>
      </c>
      <c r="F2266" s="185">
        <f>-3200/2</f>
        <v>-1600</v>
      </c>
      <c r="G2266" s="165">
        <f t="shared" si="48"/>
        <v>36544.500999999917</v>
      </c>
      <c r="H2266" s="180"/>
      <c r="I2266" s="180"/>
      <c r="J2266" s="180"/>
      <c r="K2266" s="180"/>
      <c r="L2266" s="180"/>
      <c r="M2266" s="180"/>
      <c r="N2266" s="180"/>
      <c r="O2266" s="180"/>
      <c r="P2266" s="180"/>
      <c r="Q2266" s="180"/>
      <c r="R2266" s="180"/>
      <c r="S2266" s="180"/>
      <c r="T2266" s="43">
        <f t="shared" si="49"/>
        <v>4</v>
      </c>
      <c r="U2266" s="167">
        <f t="shared" si="50"/>
        <v>45777</v>
      </c>
      <c r="V2266" s="166"/>
      <c r="W2266" s="43">
        <f t="shared" si="51"/>
        <v>4</v>
      </c>
      <c r="X2266" s="49"/>
      <c r="Y2266" s="49"/>
      <c r="Z2266" s="183"/>
      <c r="AA2266" s="183"/>
      <c r="AB2266" s="183"/>
    </row>
    <row r="2267" spans="1:28" hidden="1">
      <c r="A2267" s="163" t="s">
        <v>1017</v>
      </c>
      <c r="B2267" s="164">
        <v>45758</v>
      </c>
      <c r="C2267" s="163" t="s">
        <v>185</v>
      </c>
      <c r="D2267" s="163" t="s">
        <v>281</v>
      </c>
      <c r="E2267" s="163" t="s">
        <v>760</v>
      </c>
      <c r="F2267" s="185">
        <v>-724.85</v>
      </c>
      <c r="G2267" s="165">
        <f t="shared" si="48"/>
        <v>35819.650999999918</v>
      </c>
      <c r="H2267" s="180"/>
      <c r="I2267" s="180"/>
      <c r="J2267" s="180"/>
      <c r="K2267" s="180"/>
      <c r="L2267" s="180"/>
      <c r="M2267" s="180"/>
      <c r="N2267" s="180"/>
      <c r="O2267" s="180"/>
      <c r="P2267" s="180"/>
      <c r="Q2267" s="180"/>
      <c r="R2267" s="180"/>
      <c r="S2267" s="180"/>
      <c r="T2267" s="43">
        <f t="shared" si="49"/>
        <v>4</v>
      </c>
      <c r="U2267" s="167">
        <f t="shared" si="50"/>
        <v>45777</v>
      </c>
      <c r="V2267" s="166">
        <v>45777</v>
      </c>
      <c r="W2267" s="43">
        <f t="shared" si="51"/>
        <v>4</v>
      </c>
      <c r="X2267" s="49"/>
      <c r="Y2267" s="49"/>
      <c r="Z2267" s="183"/>
      <c r="AA2267" s="183"/>
      <c r="AB2267" s="183"/>
    </row>
    <row r="2268" spans="1:28" hidden="1">
      <c r="A2268" s="163" t="s">
        <v>1017</v>
      </c>
      <c r="B2268" s="164">
        <v>45757</v>
      </c>
      <c r="C2268" s="163" t="s">
        <v>664</v>
      </c>
      <c r="D2268" s="163" t="s">
        <v>281</v>
      </c>
      <c r="E2268" s="163" t="s">
        <v>202</v>
      </c>
      <c r="F2268" s="185">
        <v>-5500</v>
      </c>
      <c r="G2268" s="165">
        <f t="shared" si="48"/>
        <v>30319.650999999918</v>
      </c>
      <c r="H2268" s="180"/>
      <c r="I2268" s="180"/>
      <c r="J2268" s="180"/>
      <c r="K2268" s="180"/>
      <c r="L2268" s="180"/>
      <c r="M2268" s="180"/>
      <c r="N2268" s="180"/>
      <c r="O2268" s="180"/>
      <c r="P2268" s="180"/>
      <c r="Q2268" s="180"/>
      <c r="R2268" s="180"/>
      <c r="S2268" s="180"/>
      <c r="T2268" s="43">
        <f t="shared" si="49"/>
        <v>4</v>
      </c>
      <c r="U2268" s="167">
        <f t="shared" si="50"/>
        <v>45777</v>
      </c>
      <c r="V2268" s="166">
        <v>45777</v>
      </c>
      <c r="W2268" s="43">
        <f t="shared" si="51"/>
        <v>4</v>
      </c>
      <c r="X2268" s="49"/>
      <c r="Y2268" s="49"/>
      <c r="Z2268" s="183"/>
      <c r="AA2268" s="183"/>
      <c r="AB2268" s="183"/>
    </row>
    <row r="2269" spans="1:28" hidden="1">
      <c r="A2269" s="163" t="s">
        <v>1017</v>
      </c>
      <c r="B2269" s="164">
        <v>45757</v>
      </c>
      <c r="C2269" s="163" t="s">
        <v>673</v>
      </c>
      <c r="D2269" s="163" t="s">
        <v>281</v>
      </c>
      <c r="E2269" s="163" t="s">
        <v>202</v>
      </c>
      <c r="F2269" s="185">
        <v>-2500</v>
      </c>
      <c r="G2269" s="165">
        <f t="shared" si="48"/>
        <v>27819.650999999918</v>
      </c>
      <c r="H2269" s="180"/>
      <c r="I2269" s="180"/>
      <c r="J2269" s="180"/>
      <c r="K2269" s="180"/>
      <c r="L2269" s="180"/>
      <c r="M2269" s="180"/>
      <c r="N2269" s="180"/>
      <c r="O2269" s="180"/>
      <c r="P2269" s="180"/>
      <c r="Q2269" s="180"/>
      <c r="R2269" s="180"/>
      <c r="S2269" s="180"/>
      <c r="T2269" s="43">
        <f t="shared" si="49"/>
        <v>4</v>
      </c>
      <c r="U2269" s="167">
        <f t="shared" si="50"/>
        <v>45777</v>
      </c>
      <c r="V2269" s="166">
        <v>45777</v>
      </c>
      <c r="W2269" s="43">
        <f t="shared" si="51"/>
        <v>4</v>
      </c>
      <c r="X2269" s="49"/>
      <c r="Y2269" s="49"/>
      <c r="Z2269" s="183"/>
      <c r="AA2269" s="183"/>
      <c r="AB2269" s="183"/>
    </row>
    <row r="2270" spans="1:28" hidden="1">
      <c r="A2270" s="163" t="s">
        <v>1017</v>
      </c>
      <c r="B2270" s="164">
        <v>45757</v>
      </c>
      <c r="C2270" s="163" t="s">
        <v>685</v>
      </c>
      <c r="D2270" s="163" t="s">
        <v>281</v>
      </c>
      <c r="E2270" s="163" t="s">
        <v>202</v>
      </c>
      <c r="F2270" s="185">
        <v>-3500</v>
      </c>
      <c r="G2270" s="165">
        <f t="shared" si="48"/>
        <v>24319.650999999918</v>
      </c>
      <c r="H2270" s="180"/>
      <c r="I2270" s="180"/>
      <c r="J2270" s="180"/>
      <c r="K2270" s="180"/>
      <c r="L2270" s="180"/>
      <c r="M2270" s="180"/>
      <c r="N2270" s="180"/>
      <c r="O2270" s="180"/>
      <c r="P2270" s="180"/>
      <c r="Q2270" s="180"/>
      <c r="R2270" s="180"/>
      <c r="S2270" s="180"/>
      <c r="T2270" s="43">
        <f t="shared" si="49"/>
        <v>4</v>
      </c>
      <c r="U2270" s="167">
        <f t="shared" si="50"/>
        <v>45777</v>
      </c>
      <c r="V2270" s="166">
        <v>45777</v>
      </c>
      <c r="W2270" s="43">
        <f t="shared" si="51"/>
        <v>4</v>
      </c>
      <c r="X2270" s="49"/>
      <c r="Y2270" s="49"/>
      <c r="Z2270" s="183"/>
      <c r="AA2270" s="183"/>
      <c r="AB2270" s="183"/>
    </row>
    <row r="2271" spans="1:28" hidden="1">
      <c r="A2271" s="163" t="s">
        <v>1017</v>
      </c>
      <c r="B2271" s="164">
        <v>45757</v>
      </c>
      <c r="C2271" s="163" t="s">
        <v>690</v>
      </c>
      <c r="D2271" s="163" t="s">
        <v>281</v>
      </c>
      <c r="E2271" s="163" t="s">
        <v>202</v>
      </c>
      <c r="F2271" s="185">
        <v>-3000</v>
      </c>
      <c r="G2271" s="165">
        <f t="shared" si="48"/>
        <v>21319.650999999918</v>
      </c>
      <c r="H2271" s="180"/>
      <c r="I2271" s="180"/>
      <c r="J2271" s="180"/>
      <c r="K2271" s="180"/>
      <c r="L2271" s="180"/>
      <c r="M2271" s="180"/>
      <c r="N2271" s="180"/>
      <c r="O2271" s="180"/>
      <c r="P2271" s="180"/>
      <c r="Q2271" s="180"/>
      <c r="R2271" s="180"/>
      <c r="S2271" s="180"/>
      <c r="T2271" s="43">
        <f t="shared" si="49"/>
        <v>4</v>
      </c>
      <c r="U2271" s="167">
        <f t="shared" si="50"/>
        <v>45777</v>
      </c>
      <c r="V2271" s="166">
        <v>45777</v>
      </c>
      <c r="W2271" s="43">
        <f t="shared" si="51"/>
        <v>4</v>
      </c>
      <c r="X2271" s="49"/>
      <c r="Y2271" s="49"/>
      <c r="Z2271" s="183"/>
      <c r="AA2271" s="183"/>
      <c r="AB2271" s="183"/>
    </row>
    <row r="2272" spans="1:28" hidden="1">
      <c r="A2272" s="163" t="s">
        <v>1017</v>
      </c>
      <c r="B2272" s="164">
        <v>45757</v>
      </c>
      <c r="C2272" s="163" t="s">
        <v>154</v>
      </c>
      <c r="D2272" s="163" t="s">
        <v>281</v>
      </c>
      <c r="E2272" s="163" t="s">
        <v>202</v>
      </c>
      <c r="F2272" s="185">
        <v>-3500</v>
      </c>
      <c r="G2272" s="165">
        <f t="shared" si="48"/>
        <v>17819.650999999918</v>
      </c>
      <c r="H2272" s="180"/>
      <c r="I2272" s="180"/>
      <c r="J2272" s="180"/>
      <c r="K2272" s="180"/>
      <c r="L2272" s="180"/>
      <c r="M2272" s="180"/>
      <c r="N2272" s="180"/>
      <c r="O2272" s="180"/>
      <c r="P2272" s="180"/>
      <c r="Q2272" s="180"/>
      <c r="R2272" s="180"/>
      <c r="S2272" s="180"/>
      <c r="T2272" s="43">
        <f t="shared" si="49"/>
        <v>4</v>
      </c>
      <c r="U2272" s="167">
        <f t="shared" si="50"/>
        <v>45777</v>
      </c>
      <c r="V2272" s="166">
        <v>45777</v>
      </c>
      <c r="W2272" s="43">
        <f t="shared" si="51"/>
        <v>4</v>
      </c>
      <c r="X2272" s="49"/>
      <c r="Y2272" s="49"/>
      <c r="Z2272" s="183"/>
      <c r="AA2272" s="183"/>
      <c r="AB2272" s="183"/>
    </row>
    <row r="2273" spans="1:28" hidden="1">
      <c r="A2273" s="163" t="s">
        <v>1017</v>
      </c>
      <c r="B2273" s="164">
        <v>45757</v>
      </c>
      <c r="C2273" s="163" t="s">
        <v>704</v>
      </c>
      <c r="D2273" s="163" t="s">
        <v>281</v>
      </c>
      <c r="E2273" s="163" t="s">
        <v>202</v>
      </c>
      <c r="F2273" s="185">
        <v>-4520</v>
      </c>
      <c r="G2273" s="165">
        <f t="shared" si="48"/>
        <v>13299.650999999918</v>
      </c>
      <c r="H2273" s="180"/>
      <c r="I2273" s="180"/>
      <c r="J2273" s="180"/>
      <c r="K2273" s="180"/>
      <c r="L2273" s="180"/>
      <c r="M2273" s="180"/>
      <c r="N2273" s="180"/>
      <c r="O2273" s="180"/>
      <c r="P2273" s="180"/>
      <c r="Q2273" s="180"/>
      <c r="R2273" s="180"/>
      <c r="S2273" s="180"/>
      <c r="T2273" s="43">
        <f t="shared" si="49"/>
        <v>4</v>
      </c>
      <c r="U2273" s="167">
        <f t="shared" si="50"/>
        <v>45777</v>
      </c>
      <c r="V2273" s="166">
        <v>45777</v>
      </c>
      <c r="W2273" s="43">
        <f t="shared" si="51"/>
        <v>4</v>
      </c>
      <c r="X2273" s="49"/>
      <c r="Y2273" s="49"/>
      <c r="Z2273" s="183"/>
      <c r="AA2273" s="183"/>
      <c r="AB2273" s="183"/>
    </row>
    <row r="2274" spans="1:28" hidden="1">
      <c r="A2274" s="163" t="s">
        <v>1017</v>
      </c>
      <c r="B2274" s="164">
        <v>45757</v>
      </c>
      <c r="C2274" s="163" t="s">
        <v>708</v>
      </c>
      <c r="D2274" s="163" t="s">
        <v>281</v>
      </c>
      <c r="E2274" s="163" t="s">
        <v>202</v>
      </c>
      <c r="F2274" s="185">
        <v>-8217.0300000000007</v>
      </c>
      <c r="G2274" s="165">
        <f t="shared" si="48"/>
        <v>5082.6209999999173</v>
      </c>
      <c r="H2274" s="180"/>
      <c r="I2274" s="180"/>
      <c r="J2274" s="180"/>
      <c r="K2274" s="180"/>
      <c r="L2274" s="180"/>
      <c r="M2274" s="180"/>
      <c r="N2274" s="180"/>
      <c r="O2274" s="180"/>
      <c r="P2274" s="180"/>
      <c r="Q2274" s="180"/>
      <c r="R2274" s="180"/>
      <c r="S2274" s="180"/>
      <c r="T2274" s="43">
        <f t="shared" si="49"/>
        <v>4</v>
      </c>
      <c r="U2274" s="167">
        <f t="shared" si="50"/>
        <v>45777</v>
      </c>
      <c r="V2274" s="166">
        <v>45777</v>
      </c>
      <c r="W2274" s="43">
        <f t="shared" si="51"/>
        <v>4</v>
      </c>
      <c r="X2274" s="49"/>
      <c r="Y2274" s="49"/>
      <c r="Z2274" s="183"/>
      <c r="AA2274" s="183"/>
      <c r="AB2274" s="183"/>
    </row>
    <row r="2275" spans="1:28" hidden="1">
      <c r="A2275" s="163" t="s">
        <v>1017</v>
      </c>
      <c r="B2275" s="164">
        <v>45757</v>
      </c>
      <c r="C2275" s="163" t="s">
        <v>1725</v>
      </c>
      <c r="D2275" s="163" t="s">
        <v>281</v>
      </c>
      <c r="E2275" s="163" t="s">
        <v>202</v>
      </c>
      <c r="F2275" s="185">
        <f>-13000-13000/30*17-13000*(2%+0.5%/30*20)</f>
        <v>-20669.999999999996</v>
      </c>
      <c r="G2275" s="165">
        <f t="shared" si="48"/>
        <v>-15587.379000000079</v>
      </c>
      <c r="H2275" s="180"/>
      <c r="I2275" s="180"/>
      <c r="J2275" s="180"/>
      <c r="K2275" s="180"/>
      <c r="L2275" s="180"/>
      <c r="M2275" s="180"/>
      <c r="N2275" s="180"/>
      <c r="O2275" s="180"/>
      <c r="P2275" s="180"/>
      <c r="Q2275" s="180"/>
      <c r="R2275" s="180"/>
      <c r="S2275" s="180"/>
      <c r="T2275" s="43">
        <f t="shared" si="49"/>
        <v>4</v>
      </c>
      <c r="U2275" s="167">
        <f t="shared" si="50"/>
        <v>45777</v>
      </c>
      <c r="V2275" s="166">
        <v>45777</v>
      </c>
      <c r="W2275" s="43">
        <f t="shared" si="51"/>
        <v>4</v>
      </c>
      <c r="X2275" s="49"/>
      <c r="Y2275" s="49"/>
      <c r="Z2275" s="183"/>
      <c r="AA2275" s="183"/>
      <c r="AB2275" s="183"/>
    </row>
    <row r="2276" spans="1:28" hidden="1">
      <c r="A2276" s="163" t="s">
        <v>1017</v>
      </c>
      <c r="B2276" s="164">
        <v>45775</v>
      </c>
      <c r="C2276" s="163" t="s">
        <v>844</v>
      </c>
      <c r="D2276" s="163" t="s">
        <v>281</v>
      </c>
      <c r="E2276" s="163" t="s">
        <v>120</v>
      </c>
      <c r="F2276" s="185">
        <v>-17146.400000000001</v>
      </c>
      <c r="G2276" s="165">
        <f t="shared" si="48"/>
        <v>-32733.779000000082</v>
      </c>
      <c r="H2276" s="180"/>
      <c r="I2276" s="180"/>
      <c r="J2276" s="180"/>
      <c r="K2276" s="180"/>
      <c r="L2276" s="180"/>
      <c r="M2276" s="180"/>
      <c r="N2276" s="180"/>
      <c r="O2276" s="180"/>
      <c r="P2276" s="180"/>
      <c r="Q2276" s="180"/>
      <c r="R2276" s="180"/>
      <c r="S2276" s="180"/>
      <c r="T2276" s="43">
        <f t="shared" si="49"/>
        <v>4</v>
      </c>
      <c r="U2276" s="167">
        <f t="shared" si="50"/>
        <v>45777</v>
      </c>
      <c r="V2276" s="166">
        <v>45777</v>
      </c>
      <c r="W2276" s="43">
        <f t="shared" si="51"/>
        <v>4</v>
      </c>
      <c r="X2276" s="49"/>
      <c r="Y2276" s="49"/>
      <c r="Z2276" s="183"/>
      <c r="AA2276" s="183"/>
      <c r="AB2276" s="183"/>
    </row>
    <row r="2277" spans="1:28" hidden="1">
      <c r="A2277" s="163" t="s">
        <v>1017</v>
      </c>
      <c r="B2277" s="164">
        <v>45775</v>
      </c>
      <c r="C2277" s="163" t="s">
        <v>1033</v>
      </c>
      <c r="D2277" s="163" t="s">
        <v>281</v>
      </c>
      <c r="E2277" s="163" t="s">
        <v>120</v>
      </c>
      <c r="F2277" s="168">
        <v>-8892.52</v>
      </c>
      <c r="G2277" s="165">
        <f t="shared" si="48"/>
        <v>-41626.299000000086</v>
      </c>
      <c r="H2277" s="180"/>
      <c r="I2277" s="180"/>
      <c r="J2277" s="180"/>
      <c r="K2277" s="180"/>
      <c r="L2277" s="180"/>
      <c r="M2277" s="180"/>
      <c r="N2277" s="180"/>
      <c r="O2277" s="180"/>
      <c r="P2277" s="180"/>
      <c r="Q2277" s="180"/>
      <c r="R2277" s="180"/>
      <c r="S2277" s="180"/>
      <c r="T2277" s="43">
        <f t="shared" si="49"/>
        <v>4</v>
      </c>
      <c r="U2277" s="167">
        <f t="shared" si="50"/>
        <v>45777</v>
      </c>
      <c r="V2277" s="166">
        <v>45777</v>
      </c>
      <c r="W2277" s="43">
        <f t="shared" si="51"/>
        <v>4</v>
      </c>
      <c r="X2277" s="49"/>
      <c r="Y2277" s="49"/>
      <c r="Z2277" s="183"/>
      <c r="AA2277" s="183"/>
      <c r="AB2277" s="183"/>
    </row>
    <row r="2278" spans="1:28" hidden="1">
      <c r="A2278" s="163" t="s">
        <v>1017</v>
      </c>
      <c r="B2278" s="164">
        <v>45777</v>
      </c>
      <c r="C2278" s="163" t="s">
        <v>447</v>
      </c>
      <c r="D2278" s="163" t="s">
        <v>281</v>
      </c>
      <c r="E2278" s="163" t="s">
        <v>121</v>
      </c>
      <c r="F2278" s="168">
        <v>-230</v>
      </c>
      <c r="G2278" s="165">
        <f t="shared" si="48"/>
        <v>-41856.299000000086</v>
      </c>
      <c r="H2278" s="180"/>
      <c r="I2278" s="180"/>
      <c r="J2278" s="180"/>
      <c r="K2278" s="180"/>
      <c r="L2278" s="180"/>
      <c r="M2278" s="180"/>
      <c r="N2278" s="180"/>
      <c r="O2278" s="180"/>
      <c r="P2278" s="180"/>
      <c r="Q2278" s="180"/>
      <c r="R2278" s="180"/>
      <c r="S2278" s="180"/>
      <c r="T2278" s="43">
        <f t="shared" si="49"/>
        <v>4</v>
      </c>
      <c r="U2278" s="167">
        <f t="shared" si="50"/>
        <v>45777</v>
      </c>
      <c r="V2278" s="145"/>
      <c r="W2278" s="43">
        <f t="shared" si="51"/>
        <v>4</v>
      </c>
      <c r="X2278" s="49"/>
      <c r="Y2278" s="49"/>
      <c r="Z2278" s="183"/>
      <c r="AA2278" s="183"/>
      <c r="AB2278" s="183"/>
    </row>
    <row r="2279" spans="1:28" hidden="1">
      <c r="A2279" s="163" t="s">
        <v>1017</v>
      </c>
      <c r="B2279" s="164">
        <v>45777</v>
      </c>
      <c r="C2279" s="163" t="s">
        <v>463</v>
      </c>
      <c r="D2279" s="163" t="s">
        <v>281</v>
      </c>
      <c r="E2279" s="163" t="s">
        <v>121</v>
      </c>
      <c r="F2279" s="168">
        <v>-126</v>
      </c>
      <c r="G2279" s="165">
        <f t="shared" si="48"/>
        <v>-41982.299000000086</v>
      </c>
      <c r="H2279" s="180"/>
      <c r="I2279" s="180"/>
      <c r="J2279" s="180"/>
      <c r="K2279" s="180"/>
      <c r="L2279" s="180"/>
      <c r="M2279" s="180"/>
      <c r="N2279" s="180"/>
      <c r="O2279" s="180"/>
      <c r="P2279" s="180"/>
      <c r="Q2279" s="180"/>
      <c r="R2279" s="180"/>
      <c r="S2279" s="180"/>
      <c r="T2279" s="43">
        <f t="shared" si="49"/>
        <v>4</v>
      </c>
      <c r="U2279" s="167">
        <f t="shared" si="50"/>
        <v>45777</v>
      </c>
      <c r="V2279" s="145"/>
      <c r="W2279" s="43">
        <f t="shared" si="51"/>
        <v>4</v>
      </c>
      <c r="X2279" s="49"/>
      <c r="Y2279" s="49"/>
      <c r="Z2279" s="183"/>
      <c r="AA2279" s="183"/>
      <c r="AB2279" s="183"/>
    </row>
    <row r="2280" spans="1:28" hidden="1">
      <c r="A2280" s="163" t="s">
        <v>1017</v>
      </c>
      <c r="B2280" s="164">
        <v>45777</v>
      </c>
      <c r="C2280" s="163" t="s">
        <v>505</v>
      </c>
      <c r="D2280" s="163" t="s">
        <v>281</v>
      </c>
      <c r="E2280" s="163" t="s">
        <v>121</v>
      </c>
      <c r="F2280" s="168">
        <v>-126</v>
      </c>
      <c r="G2280" s="165">
        <f t="shared" si="48"/>
        <v>-42108.299000000086</v>
      </c>
      <c r="H2280" s="180"/>
      <c r="I2280" s="180"/>
      <c r="J2280" s="180"/>
      <c r="K2280" s="180"/>
      <c r="L2280" s="180"/>
      <c r="M2280" s="180"/>
      <c r="N2280" s="180"/>
      <c r="O2280" s="180"/>
      <c r="P2280" s="180"/>
      <c r="Q2280" s="180"/>
      <c r="R2280" s="180"/>
      <c r="S2280" s="180"/>
      <c r="T2280" s="43">
        <f t="shared" si="49"/>
        <v>4</v>
      </c>
      <c r="U2280" s="167">
        <f t="shared" si="50"/>
        <v>45777</v>
      </c>
      <c r="V2280" s="145"/>
      <c r="W2280" s="43">
        <f t="shared" si="51"/>
        <v>4</v>
      </c>
      <c r="X2280" s="49"/>
      <c r="Y2280" s="49"/>
      <c r="Z2280" s="183"/>
      <c r="AA2280" s="183"/>
      <c r="AB2280" s="183"/>
    </row>
    <row r="2281" spans="1:28" hidden="1">
      <c r="A2281" s="163" t="s">
        <v>1017</v>
      </c>
      <c r="B2281" s="164">
        <v>45777</v>
      </c>
      <c r="C2281" s="163" t="s">
        <v>466</v>
      </c>
      <c r="D2281" s="163" t="s">
        <v>281</v>
      </c>
      <c r="E2281" s="163" t="s">
        <v>121</v>
      </c>
      <c r="F2281" s="168">
        <v>-84</v>
      </c>
      <c r="G2281" s="165">
        <f t="shared" si="48"/>
        <v>-42192.299000000086</v>
      </c>
      <c r="H2281" s="180"/>
      <c r="I2281" s="180"/>
      <c r="J2281" s="180"/>
      <c r="K2281" s="180"/>
      <c r="L2281" s="180"/>
      <c r="M2281" s="180"/>
      <c r="N2281" s="180"/>
      <c r="O2281" s="180"/>
      <c r="P2281" s="180"/>
      <c r="Q2281" s="180"/>
      <c r="R2281" s="180"/>
      <c r="S2281" s="180"/>
      <c r="T2281" s="43">
        <f t="shared" si="49"/>
        <v>4</v>
      </c>
      <c r="U2281" s="167">
        <f t="shared" si="50"/>
        <v>45777</v>
      </c>
      <c r="V2281" s="145"/>
      <c r="W2281" s="43">
        <f t="shared" si="51"/>
        <v>4</v>
      </c>
      <c r="X2281" s="49"/>
      <c r="Y2281" s="49"/>
      <c r="Z2281" s="183"/>
      <c r="AA2281" s="183"/>
      <c r="AB2281" s="183"/>
    </row>
    <row r="2282" spans="1:28" hidden="1">
      <c r="A2282" s="163" t="s">
        <v>1017</v>
      </c>
      <c r="B2282" s="164">
        <v>45777</v>
      </c>
      <c r="C2282" s="163" t="s">
        <v>484</v>
      </c>
      <c r="D2282" s="163" t="s">
        <v>281</v>
      </c>
      <c r="E2282" s="163" t="s">
        <v>121</v>
      </c>
      <c r="F2282" s="168">
        <v>-99.6</v>
      </c>
      <c r="G2282" s="165">
        <f t="shared" si="48"/>
        <v>-42291.899000000085</v>
      </c>
      <c r="H2282" s="180"/>
      <c r="I2282" s="180"/>
      <c r="J2282" s="180"/>
      <c r="K2282" s="180"/>
      <c r="L2282" s="180"/>
      <c r="M2282" s="180"/>
      <c r="N2282" s="180"/>
      <c r="O2282" s="180"/>
      <c r="P2282" s="180"/>
      <c r="Q2282" s="180"/>
      <c r="R2282" s="180"/>
      <c r="S2282" s="180"/>
      <c r="T2282" s="43">
        <f t="shared" si="49"/>
        <v>4</v>
      </c>
      <c r="U2282" s="167">
        <f t="shared" si="50"/>
        <v>45777</v>
      </c>
      <c r="V2282" s="145"/>
      <c r="W2282" s="43">
        <f t="shared" si="51"/>
        <v>4</v>
      </c>
      <c r="X2282" s="49"/>
      <c r="Y2282" s="49"/>
      <c r="Z2282" s="183"/>
      <c r="AA2282" s="183"/>
      <c r="AB2282" s="183"/>
    </row>
    <row r="2283" spans="1:28" hidden="1">
      <c r="A2283" s="163" t="s">
        <v>1017</v>
      </c>
      <c r="B2283" s="164">
        <v>45777</v>
      </c>
      <c r="C2283" s="163" t="s">
        <v>1782</v>
      </c>
      <c r="D2283" s="163" t="s">
        <v>281</v>
      </c>
      <c r="E2283" s="163" t="s">
        <v>121</v>
      </c>
      <c r="F2283" s="168">
        <v>-210</v>
      </c>
      <c r="G2283" s="165">
        <f t="shared" si="48"/>
        <v>-42501.899000000085</v>
      </c>
      <c r="H2283" s="180"/>
      <c r="I2283" s="180"/>
      <c r="J2283" s="180"/>
      <c r="K2283" s="180"/>
      <c r="L2283" s="180"/>
      <c r="M2283" s="180"/>
      <c r="N2283" s="180"/>
      <c r="O2283" s="180"/>
      <c r="P2283" s="180"/>
      <c r="Q2283" s="180"/>
      <c r="R2283" s="180"/>
      <c r="S2283" s="180"/>
      <c r="T2283" s="43">
        <f t="shared" si="49"/>
        <v>4</v>
      </c>
      <c r="U2283" s="167">
        <f t="shared" si="50"/>
        <v>45777</v>
      </c>
      <c r="V2283" s="145"/>
      <c r="W2283" s="43">
        <f t="shared" si="51"/>
        <v>4</v>
      </c>
      <c r="X2283" s="49"/>
      <c r="Y2283" s="49"/>
      <c r="Z2283" s="183"/>
      <c r="AA2283" s="183"/>
      <c r="AB2283" s="183"/>
    </row>
    <row r="2284" spans="1:28" hidden="1">
      <c r="A2284" s="163" t="s">
        <v>1017</v>
      </c>
      <c r="B2284" s="164">
        <v>45777</v>
      </c>
      <c r="C2284" s="163" t="s">
        <v>1704</v>
      </c>
      <c r="D2284" s="163" t="s">
        <v>281</v>
      </c>
      <c r="E2284" s="163" t="s">
        <v>121</v>
      </c>
      <c r="F2284" s="168">
        <v>-220.5</v>
      </c>
      <c r="G2284" s="165">
        <f t="shared" si="48"/>
        <v>-42722.399000000085</v>
      </c>
      <c r="H2284" s="180"/>
      <c r="I2284" s="180"/>
      <c r="J2284" s="180"/>
      <c r="K2284" s="180"/>
      <c r="L2284" s="180"/>
      <c r="M2284" s="180"/>
      <c r="N2284" s="180"/>
      <c r="O2284" s="180"/>
      <c r="P2284" s="180"/>
      <c r="Q2284" s="180"/>
      <c r="R2284" s="180"/>
      <c r="S2284" s="180"/>
      <c r="T2284" s="43">
        <f t="shared" si="49"/>
        <v>4</v>
      </c>
      <c r="U2284" s="167">
        <f t="shared" si="50"/>
        <v>45777</v>
      </c>
      <c r="V2284" s="145"/>
      <c r="W2284" s="43">
        <f t="shared" si="51"/>
        <v>4</v>
      </c>
      <c r="X2284" s="49"/>
      <c r="Y2284" s="49"/>
      <c r="Z2284" s="183"/>
      <c r="AA2284" s="183"/>
      <c r="AB2284" s="183"/>
    </row>
    <row r="2285" spans="1:28" hidden="1">
      <c r="A2285" s="163" t="s">
        <v>1017</v>
      </c>
      <c r="B2285" s="164">
        <v>45777</v>
      </c>
      <c r="C2285" s="163" t="s">
        <v>1832</v>
      </c>
      <c r="D2285" s="163" t="s">
        <v>281</v>
      </c>
      <c r="E2285" s="163" t="s">
        <v>121</v>
      </c>
      <c r="F2285" s="168">
        <v>-241.5</v>
      </c>
      <c r="G2285" s="165">
        <f t="shared" si="48"/>
        <v>-42963.899000000085</v>
      </c>
      <c r="H2285" s="180"/>
      <c r="I2285" s="180"/>
      <c r="J2285" s="180"/>
      <c r="K2285" s="180"/>
      <c r="L2285" s="180"/>
      <c r="M2285" s="180"/>
      <c r="N2285" s="180"/>
      <c r="O2285" s="180"/>
      <c r="P2285" s="180"/>
      <c r="Q2285" s="180"/>
      <c r="R2285" s="180"/>
      <c r="S2285" s="180"/>
      <c r="T2285" s="43">
        <f t="shared" si="49"/>
        <v>4</v>
      </c>
      <c r="U2285" s="167">
        <f t="shared" si="50"/>
        <v>45777</v>
      </c>
      <c r="V2285" s="145"/>
      <c r="W2285" s="43">
        <f t="shared" si="51"/>
        <v>4</v>
      </c>
      <c r="X2285" s="49"/>
      <c r="Y2285" s="49"/>
      <c r="Z2285" s="183"/>
      <c r="AA2285" s="183"/>
      <c r="AB2285" s="183"/>
    </row>
    <row r="2286" spans="1:28" hidden="1">
      <c r="A2286" s="163" t="s">
        <v>1017</v>
      </c>
      <c r="B2286" s="164">
        <v>45775</v>
      </c>
      <c r="C2286" s="163" t="s">
        <v>1013</v>
      </c>
      <c r="D2286" s="163" t="s">
        <v>281</v>
      </c>
      <c r="E2286" s="163" t="s">
        <v>199</v>
      </c>
      <c r="F2286" s="168">
        <v>-500</v>
      </c>
      <c r="G2286" s="165">
        <f t="shared" si="48"/>
        <v>-43463.899000000085</v>
      </c>
      <c r="H2286" s="180"/>
      <c r="I2286" s="180"/>
      <c r="J2286" s="180"/>
      <c r="K2286" s="180"/>
      <c r="L2286" s="180"/>
      <c r="M2286" s="180"/>
      <c r="N2286" s="180"/>
      <c r="O2286" s="180"/>
      <c r="P2286" s="180"/>
      <c r="Q2286" s="180"/>
      <c r="R2286" s="180"/>
      <c r="S2286" s="180"/>
      <c r="T2286" s="43">
        <f t="shared" si="49"/>
        <v>4</v>
      </c>
      <c r="U2286" s="167">
        <f t="shared" si="50"/>
        <v>45777</v>
      </c>
      <c r="V2286" s="145">
        <v>45777</v>
      </c>
      <c r="W2286" s="43">
        <f t="shared" si="51"/>
        <v>4</v>
      </c>
      <c r="X2286" s="49"/>
      <c r="Y2286" s="49"/>
      <c r="Z2286" s="183"/>
      <c r="AA2286" s="183"/>
      <c r="AB2286" s="183"/>
    </row>
    <row r="2287" spans="1:28" hidden="1">
      <c r="A2287" s="163" t="s">
        <v>1017</v>
      </c>
      <c r="B2287" s="164">
        <v>45777</v>
      </c>
      <c r="C2287" s="163" t="s">
        <v>1008</v>
      </c>
      <c r="D2287" s="163" t="s">
        <v>281</v>
      </c>
      <c r="E2287" s="163" t="s">
        <v>199</v>
      </c>
      <c r="F2287" s="168">
        <v>0</v>
      </c>
      <c r="G2287" s="165">
        <f t="shared" si="48"/>
        <v>-43463.899000000085</v>
      </c>
      <c r="H2287" s="180"/>
      <c r="I2287" s="180"/>
      <c r="J2287" s="180"/>
      <c r="K2287" s="180"/>
      <c r="L2287" s="180"/>
      <c r="M2287" s="180"/>
      <c r="N2287" s="180"/>
      <c r="O2287" s="180"/>
      <c r="P2287" s="180"/>
      <c r="Q2287" s="180"/>
      <c r="R2287" s="180"/>
      <c r="S2287" s="180"/>
      <c r="T2287" s="43">
        <f t="shared" si="49"/>
        <v>4</v>
      </c>
      <c r="U2287" s="167">
        <f t="shared" si="50"/>
        <v>45777</v>
      </c>
      <c r="V2287" s="145"/>
      <c r="W2287" s="43">
        <f t="shared" si="51"/>
        <v>4</v>
      </c>
      <c r="X2287" s="49" t="s">
        <v>1818</v>
      </c>
      <c r="Y2287" s="49">
        <v>-2000</v>
      </c>
      <c r="Z2287" s="183"/>
      <c r="AA2287" s="183"/>
      <c r="AB2287" s="183"/>
    </row>
    <row r="2288" spans="1:28" hidden="1">
      <c r="A2288" s="180" t="s">
        <v>1017</v>
      </c>
      <c r="B2288" s="181">
        <v>45765</v>
      </c>
      <c r="C2288" s="180" t="s">
        <v>372</v>
      </c>
      <c r="D2288" s="180" t="s">
        <v>281</v>
      </c>
      <c r="E2288" s="180" t="s">
        <v>372</v>
      </c>
      <c r="F2288" s="191">
        <v>-300</v>
      </c>
      <c r="G2288" s="165">
        <f t="shared" si="48"/>
        <v>-43763.899000000085</v>
      </c>
      <c r="H2288" s="180"/>
      <c r="I2288" s="180" t="s">
        <v>283</v>
      </c>
      <c r="J2288" s="180"/>
      <c r="K2288" s="180"/>
      <c r="L2288" s="180" t="s">
        <v>485</v>
      </c>
      <c r="M2288" s="180"/>
      <c r="N2288" s="180" t="s">
        <v>978</v>
      </c>
      <c r="O2288" s="180"/>
      <c r="P2288" s="180"/>
      <c r="Q2288" s="180"/>
      <c r="R2288" s="180" t="s">
        <v>669</v>
      </c>
      <c r="S2288" s="180" t="s">
        <v>1492</v>
      </c>
      <c r="T2288" s="183">
        <f t="shared" si="49"/>
        <v>4</v>
      </c>
      <c r="U2288" s="184">
        <f t="shared" si="50"/>
        <v>45777</v>
      </c>
      <c r="V2288" s="145">
        <v>45777</v>
      </c>
      <c r="W2288" s="43">
        <f t="shared" si="51"/>
        <v>4</v>
      </c>
      <c r="X2288" s="183"/>
      <c r="Y2288" s="183"/>
      <c r="Z2288" s="183"/>
      <c r="AA2288" s="183"/>
      <c r="AB2288" s="183"/>
    </row>
    <row r="2289" spans="1:28" hidden="1">
      <c r="A2289" s="180" t="s">
        <v>1017</v>
      </c>
      <c r="B2289" s="181">
        <v>45758</v>
      </c>
      <c r="C2289" s="180" t="s">
        <v>708</v>
      </c>
      <c r="D2289" s="180" t="s">
        <v>281</v>
      </c>
      <c r="E2289" s="180" t="s">
        <v>1702</v>
      </c>
      <c r="F2289" s="191">
        <v>-1068.0899999999999</v>
      </c>
      <c r="G2289" s="165">
        <f t="shared" si="48"/>
        <v>-44831.989000000081</v>
      </c>
      <c r="H2289" s="180"/>
      <c r="I2289" s="180" t="s">
        <v>283</v>
      </c>
      <c r="J2289" s="180"/>
      <c r="K2289" s="180"/>
      <c r="L2289" s="180" t="s">
        <v>485</v>
      </c>
      <c r="M2289" s="180"/>
      <c r="N2289" s="180" t="s">
        <v>978</v>
      </c>
      <c r="O2289" s="180"/>
      <c r="P2289" s="180"/>
      <c r="Q2289" s="180"/>
      <c r="R2289" s="180" t="s">
        <v>669</v>
      </c>
      <c r="S2289" s="180" t="s">
        <v>1492</v>
      </c>
      <c r="T2289" s="183">
        <f t="shared" si="49"/>
        <v>4</v>
      </c>
      <c r="U2289" s="184">
        <f t="shared" si="50"/>
        <v>45777</v>
      </c>
      <c r="V2289" s="166">
        <v>45777</v>
      </c>
      <c r="W2289" s="43">
        <f t="shared" si="51"/>
        <v>4</v>
      </c>
      <c r="X2289" s="183" t="s">
        <v>1381</v>
      </c>
      <c r="Y2289" s="183" t="s">
        <v>1488</v>
      </c>
      <c r="Z2289" s="183"/>
      <c r="AA2289" s="183"/>
      <c r="AB2289" s="183"/>
    </row>
    <row r="2290" spans="1:28" hidden="1">
      <c r="A2290" s="163" t="s">
        <v>1017</v>
      </c>
      <c r="B2290" s="164">
        <v>45762</v>
      </c>
      <c r="C2290" s="163" t="s">
        <v>992</v>
      </c>
      <c r="D2290" s="163" t="s">
        <v>281</v>
      </c>
      <c r="E2290" s="163" t="s">
        <v>993</v>
      </c>
      <c r="F2290" s="185">
        <v>-1737.53</v>
      </c>
      <c r="G2290" s="165">
        <f t="shared" si="48"/>
        <v>-46569.51900000008</v>
      </c>
      <c r="H2290" s="180"/>
      <c r="I2290" s="180"/>
      <c r="J2290" s="180"/>
      <c r="K2290" s="180"/>
      <c r="L2290" s="180"/>
      <c r="M2290" s="180"/>
      <c r="N2290" s="180"/>
      <c r="O2290" s="180"/>
      <c r="P2290" s="180"/>
      <c r="Q2290" s="180"/>
      <c r="R2290" s="180"/>
      <c r="S2290" s="180"/>
      <c r="T2290" s="43">
        <f t="shared" si="49"/>
        <v>4</v>
      </c>
      <c r="U2290" s="167">
        <f t="shared" si="50"/>
        <v>45777</v>
      </c>
      <c r="V2290" s="145">
        <v>45777</v>
      </c>
      <c r="W2290" s="43">
        <f t="shared" si="51"/>
        <v>4</v>
      </c>
      <c r="X2290" s="49"/>
      <c r="Y2290" s="49"/>
      <c r="Z2290" s="183"/>
      <c r="AA2290" s="183"/>
      <c r="AB2290" s="183"/>
    </row>
    <row r="2291" spans="1:28" hidden="1">
      <c r="A2291" s="163" t="s">
        <v>1017</v>
      </c>
      <c r="B2291" s="164">
        <v>45747</v>
      </c>
      <c r="C2291" s="163" t="s">
        <v>1833</v>
      </c>
      <c r="D2291" s="163" t="s">
        <v>281</v>
      </c>
      <c r="E2291" s="163" t="s">
        <v>993</v>
      </c>
      <c r="F2291" s="185">
        <v>-10000</v>
      </c>
      <c r="G2291" s="165">
        <f t="shared" si="48"/>
        <v>-56569.51900000008</v>
      </c>
      <c r="H2291" s="163"/>
      <c r="I2291" s="163" t="s">
        <v>283</v>
      </c>
      <c r="J2291" s="163"/>
      <c r="K2291" s="163"/>
      <c r="L2291" s="163" t="s">
        <v>305</v>
      </c>
      <c r="M2291" s="163"/>
      <c r="N2291" s="163" t="s">
        <v>978</v>
      </c>
      <c r="O2291" s="163"/>
      <c r="P2291" s="163"/>
      <c r="Q2291" s="163"/>
      <c r="R2291" s="163" t="s">
        <v>1834</v>
      </c>
      <c r="S2291" s="163" t="s">
        <v>1835</v>
      </c>
      <c r="T2291" s="43">
        <f t="shared" si="49"/>
        <v>3</v>
      </c>
      <c r="U2291" s="167">
        <f t="shared" si="50"/>
        <v>45777</v>
      </c>
      <c r="V2291" s="145">
        <v>45777</v>
      </c>
      <c r="W2291" s="43">
        <f t="shared" si="51"/>
        <v>4</v>
      </c>
      <c r="X2291" s="49" t="s">
        <v>1559</v>
      </c>
      <c r="Y2291" s="49" t="s">
        <v>78</v>
      </c>
      <c r="AB2291" s="49" t="s">
        <v>1642</v>
      </c>
    </row>
    <row r="2292" spans="1:28" hidden="1">
      <c r="A2292" s="180" t="s">
        <v>1017</v>
      </c>
      <c r="B2292" s="181">
        <v>45747</v>
      </c>
      <c r="C2292" s="180" t="s">
        <v>1622</v>
      </c>
      <c r="D2292" s="180" t="s">
        <v>281</v>
      </c>
      <c r="E2292" s="180" t="s">
        <v>993</v>
      </c>
      <c r="F2292" s="185">
        <v>-8549.99</v>
      </c>
      <c r="G2292" s="165">
        <f t="shared" si="48"/>
        <v>-65119.509000000078</v>
      </c>
      <c r="H2292" s="180"/>
      <c r="I2292" s="180" t="s">
        <v>342</v>
      </c>
      <c r="J2292" s="180"/>
      <c r="K2292" s="180"/>
      <c r="L2292" s="180" t="s">
        <v>805</v>
      </c>
      <c r="M2292" s="180"/>
      <c r="N2292" s="180" t="s">
        <v>978</v>
      </c>
      <c r="O2292" s="180"/>
      <c r="P2292" s="180"/>
      <c r="Q2292" s="180"/>
      <c r="R2292" s="180" t="s">
        <v>1292</v>
      </c>
      <c r="S2292" s="180" t="s">
        <v>1417</v>
      </c>
      <c r="T2292" s="183">
        <f t="shared" si="49"/>
        <v>3</v>
      </c>
      <c r="U2292" s="184">
        <f t="shared" si="50"/>
        <v>45777</v>
      </c>
      <c r="V2292" s="145">
        <v>45777</v>
      </c>
      <c r="W2292" s="43">
        <f t="shared" si="51"/>
        <v>4</v>
      </c>
      <c r="X2292" s="49" t="s">
        <v>1559</v>
      </c>
      <c r="Y2292" s="49" t="s">
        <v>78</v>
      </c>
      <c r="Z2292" s="183"/>
      <c r="AA2292" s="183"/>
      <c r="AB2292" s="183"/>
    </row>
    <row r="2293" spans="1:28" hidden="1">
      <c r="A2293" s="163" t="s">
        <v>1017</v>
      </c>
      <c r="B2293" s="164">
        <v>45775</v>
      </c>
      <c r="C2293" s="163" t="s">
        <v>1323</v>
      </c>
      <c r="D2293" s="163" t="s">
        <v>281</v>
      </c>
      <c r="E2293" s="163" t="s">
        <v>199</v>
      </c>
      <c r="F2293" s="168">
        <v>-2854.83</v>
      </c>
      <c r="G2293" s="165">
        <f t="shared" si="48"/>
        <v>-67974.33900000008</v>
      </c>
      <c r="H2293" s="180"/>
      <c r="I2293" s="180"/>
      <c r="J2293" s="180"/>
      <c r="K2293" s="180"/>
      <c r="L2293" s="180"/>
      <c r="M2293" s="180"/>
      <c r="N2293" s="180"/>
      <c r="O2293" s="180"/>
      <c r="P2293" s="180"/>
      <c r="Q2293" s="180"/>
      <c r="R2293" s="180"/>
      <c r="S2293" s="180"/>
      <c r="T2293" s="43">
        <f t="shared" si="49"/>
        <v>4</v>
      </c>
      <c r="U2293" s="167">
        <f t="shared" si="50"/>
        <v>45777</v>
      </c>
      <c r="V2293" s="145">
        <v>45777</v>
      </c>
      <c r="W2293" s="43">
        <f t="shared" si="51"/>
        <v>4</v>
      </c>
      <c r="X2293" s="49"/>
      <c r="Y2293" s="49"/>
      <c r="Z2293" s="183"/>
      <c r="AA2293" s="183"/>
      <c r="AB2293" s="183"/>
    </row>
    <row r="2294" spans="1:28" hidden="1">
      <c r="A2294" s="163" t="s">
        <v>1017</v>
      </c>
      <c r="B2294" s="164">
        <v>45761</v>
      </c>
      <c r="C2294" s="163" t="s">
        <v>1393</v>
      </c>
      <c r="D2294" s="163" t="s">
        <v>281</v>
      </c>
      <c r="E2294" s="163" t="s">
        <v>199</v>
      </c>
      <c r="F2294" s="168">
        <v>-120</v>
      </c>
      <c r="G2294" s="165">
        <f t="shared" si="48"/>
        <v>-68094.33900000008</v>
      </c>
      <c r="H2294" s="180"/>
      <c r="I2294" s="180"/>
      <c r="J2294" s="180"/>
      <c r="K2294" s="180"/>
      <c r="L2294" s="180"/>
      <c r="M2294" s="180"/>
      <c r="N2294" s="180"/>
      <c r="O2294" s="180"/>
      <c r="P2294" s="180"/>
      <c r="Q2294" s="180"/>
      <c r="R2294" s="180"/>
      <c r="S2294" s="180"/>
      <c r="T2294" s="43">
        <f t="shared" si="49"/>
        <v>4</v>
      </c>
      <c r="U2294" s="167">
        <f t="shared" si="50"/>
        <v>45777</v>
      </c>
      <c r="V2294" s="145">
        <v>45777</v>
      </c>
      <c r="W2294" s="43">
        <f t="shared" si="51"/>
        <v>4</v>
      </c>
      <c r="X2294" s="49"/>
      <c r="Y2294" s="49"/>
      <c r="Z2294" s="183"/>
      <c r="AA2294" s="183"/>
      <c r="AB2294" s="183"/>
    </row>
    <row r="2295" spans="1:28" hidden="1">
      <c r="A2295" s="163" t="s">
        <v>1017</v>
      </c>
      <c r="B2295" s="164">
        <v>45769</v>
      </c>
      <c r="C2295" s="163" t="s">
        <v>1678</v>
      </c>
      <c r="D2295" s="163" t="s">
        <v>281</v>
      </c>
      <c r="E2295" s="163" t="s">
        <v>199</v>
      </c>
      <c r="F2295" s="168">
        <v>-1123</v>
      </c>
      <c r="G2295" s="165">
        <f t="shared" si="48"/>
        <v>-69217.33900000008</v>
      </c>
      <c r="H2295" s="180"/>
      <c r="I2295" s="180"/>
      <c r="J2295" s="180"/>
      <c r="K2295" s="180"/>
      <c r="L2295" s="180"/>
      <c r="M2295" s="180"/>
      <c r="N2295" s="180"/>
      <c r="O2295" s="180"/>
      <c r="P2295" s="180"/>
      <c r="Q2295" s="180"/>
      <c r="R2295" s="180"/>
      <c r="S2295" s="180"/>
      <c r="T2295" s="43">
        <f t="shared" si="49"/>
        <v>4</v>
      </c>
      <c r="U2295" s="167">
        <f t="shared" si="50"/>
        <v>45777</v>
      </c>
      <c r="V2295" s="145">
        <v>45777</v>
      </c>
      <c r="W2295" s="43">
        <f t="shared" si="51"/>
        <v>4</v>
      </c>
      <c r="X2295" s="49"/>
      <c r="Y2295" s="49"/>
      <c r="Z2295" s="183"/>
      <c r="AA2295" s="183"/>
      <c r="AB2295" s="183"/>
    </row>
    <row r="2296" spans="1:28" hidden="1">
      <c r="A2296" s="163" t="s">
        <v>1017</v>
      </c>
      <c r="B2296" s="164">
        <v>45754</v>
      </c>
      <c r="C2296" s="163" t="s">
        <v>1836</v>
      </c>
      <c r="D2296" s="163" t="s">
        <v>281</v>
      </c>
      <c r="E2296" s="163" t="s">
        <v>196</v>
      </c>
      <c r="F2296" s="185">
        <v>-9084.9599999999991</v>
      </c>
      <c r="G2296" s="165">
        <f t="shared" si="48"/>
        <v>-78302.299000000086</v>
      </c>
      <c r="H2296" s="180"/>
      <c r="I2296" s="180"/>
      <c r="J2296" s="180"/>
      <c r="K2296" s="180"/>
      <c r="L2296" s="180"/>
      <c r="M2296" s="180"/>
      <c r="N2296" s="180"/>
      <c r="O2296" s="180"/>
      <c r="P2296" s="180"/>
      <c r="Q2296" s="180"/>
      <c r="R2296" s="180"/>
      <c r="S2296" s="180"/>
      <c r="T2296" s="43">
        <f t="shared" si="49"/>
        <v>4</v>
      </c>
      <c r="U2296" s="167">
        <f t="shared" si="50"/>
        <v>45777</v>
      </c>
      <c r="V2296" s="145">
        <v>45777</v>
      </c>
      <c r="W2296" s="43">
        <f t="shared" si="51"/>
        <v>4</v>
      </c>
      <c r="X2296" s="49"/>
      <c r="Y2296" s="49"/>
      <c r="Z2296" s="183"/>
      <c r="AA2296" s="183"/>
      <c r="AB2296" s="183"/>
    </row>
    <row r="2297" spans="1:28" ht="14.25" hidden="1" customHeight="1">
      <c r="A2297" s="163" t="s">
        <v>976</v>
      </c>
      <c r="B2297" s="225">
        <v>45624</v>
      </c>
      <c r="C2297" s="190" t="s">
        <v>1837</v>
      </c>
      <c r="D2297" s="163" t="s">
        <v>281</v>
      </c>
      <c r="E2297" s="163" t="s">
        <v>399</v>
      </c>
      <c r="F2297" s="185">
        <v>-6976.18</v>
      </c>
      <c r="G2297" s="165">
        <f t="shared" si="48"/>
        <v>-85278.479000000079</v>
      </c>
      <c r="H2297" s="163"/>
      <c r="I2297" s="163" t="s">
        <v>342</v>
      </c>
      <c r="J2297" s="163"/>
      <c r="K2297" s="163"/>
      <c r="L2297" s="163" t="s">
        <v>686</v>
      </c>
      <c r="M2297" s="163"/>
      <c r="N2297" s="163" t="s">
        <v>978</v>
      </c>
      <c r="O2297" s="163"/>
      <c r="P2297" s="163"/>
      <c r="Q2297" s="163"/>
      <c r="R2297" s="163" t="s">
        <v>396</v>
      </c>
      <c r="S2297" s="163" t="s">
        <v>398</v>
      </c>
      <c r="T2297" s="43">
        <f t="shared" si="49"/>
        <v>11</v>
      </c>
      <c r="U2297" s="167">
        <f t="shared" si="50"/>
        <v>45777</v>
      </c>
      <c r="V2297" s="166">
        <v>45777</v>
      </c>
      <c r="W2297" s="43">
        <f t="shared" si="51"/>
        <v>4</v>
      </c>
      <c r="X2297" s="43" t="s">
        <v>196</v>
      </c>
      <c r="Y2297" s="43" t="s">
        <v>1443</v>
      </c>
      <c r="Z2297" s="43" t="s">
        <v>1113</v>
      </c>
      <c r="AA2297" s="43" t="s">
        <v>1113</v>
      </c>
      <c r="AB2297" s="43" t="s">
        <v>1838</v>
      </c>
    </row>
    <row r="2298" spans="1:28" hidden="1">
      <c r="A2298" s="180" t="s">
        <v>1017</v>
      </c>
      <c r="B2298" s="181">
        <v>45770</v>
      </c>
      <c r="C2298" s="180" t="s">
        <v>1839</v>
      </c>
      <c r="D2298" s="180" t="s">
        <v>281</v>
      </c>
      <c r="E2298" s="180" t="s">
        <v>199</v>
      </c>
      <c r="F2298" s="191"/>
      <c r="G2298" s="165">
        <f t="shared" ref="G2298:G2552" si="52">F2298+G2297</f>
        <v>-85278.479000000079</v>
      </c>
      <c r="H2298" s="180"/>
      <c r="I2298" s="180" t="s">
        <v>283</v>
      </c>
      <c r="J2298" s="180"/>
      <c r="K2298" s="180"/>
      <c r="L2298" s="180" t="s">
        <v>485</v>
      </c>
      <c r="M2298" s="180"/>
      <c r="N2298" s="180" t="s">
        <v>978</v>
      </c>
      <c r="O2298" s="180"/>
      <c r="P2298" s="180"/>
      <c r="Q2298" s="180"/>
      <c r="R2298" s="180" t="s">
        <v>669</v>
      </c>
      <c r="S2298" s="180" t="s">
        <v>1492</v>
      </c>
      <c r="T2298" s="183">
        <f t="shared" si="49"/>
        <v>4</v>
      </c>
      <c r="U2298" s="184">
        <f t="shared" si="50"/>
        <v>45777</v>
      </c>
      <c r="V2298" s="166">
        <v>45777</v>
      </c>
      <c r="W2298" s="43">
        <f t="shared" si="51"/>
        <v>4</v>
      </c>
      <c r="X2298" s="183"/>
      <c r="Y2298" s="183"/>
      <c r="Z2298" s="183"/>
      <c r="AA2298" s="183"/>
      <c r="AB2298" s="183"/>
    </row>
    <row r="2299" spans="1:28" ht="14.25" hidden="1" customHeight="1">
      <c r="A2299" s="180" t="s">
        <v>1017</v>
      </c>
      <c r="B2299" s="181">
        <v>45746</v>
      </c>
      <c r="C2299" s="240" t="s">
        <v>1840</v>
      </c>
      <c r="D2299" s="180" t="s">
        <v>281</v>
      </c>
      <c r="E2299" s="180" t="s">
        <v>193</v>
      </c>
      <c r="F2299" s="185">
        <v>-6500</v>
      </c>
      <c r="G2299" s="165">
        <f t="shared" si="52"/>
        <v>-91778.479000000079</v>
      </c>
      <c r="H2299" s="180"/>
      <c r="I2299" s="180" t="s">
        <v>342</v>
      </c>
      <c r="J2299" s="180"/>
      <c r="K2299" s="180"/>
      <c r="L2299" s="180" t="s">
        <v>1301</v>
      </c>
      <c r="M2299" s="180"/>
      <c r="N2299" s="180" t="s">
        <v>978</v>
      </c>
      <c r="O2299" s="180"/>
      <c r="P2299" s="180"/>
      <c r="Q2299" s="180"/>
      <c r="R2299" s="180" t="s">
        <v>1463</v>
      </c>
      <c r="S2299" s="180" t="s">
        <v>345</v>
      </c>
      <c r="T2299" s="183">
        <f>MONTH(U2299)</f>
        <v>4</v>
      </c>
      <c r="U2299" s="184">
        <f t="shared" si="50"/>
        <v>45777</v>
      </c>
      <c r="V2299" s="145">
        <v>45777</v>
      </c>
      <c r="W2299" s="43">
        <f t="shared" si="51"/>
        <v>4</v>
      </c>
      <c r="X2299" s="43" t="s">
        <v>1552</v>
      </c>
      <c r="Y2299" s="43" t="s">
        <v>26</v>
      </c>
      <c r="Z2299" s="183"/>
      <c r="AA2299" s="183"/>
      <c r="AB2299" s="183"/>
    </row>
    <row r="2300" spans="1:28" hidden="1">
      <c r="A2300" s="163" t="s">
        <v>1017</v>
      </c>
      <c r="B2300" s="164">
        <v>45761</v>
      </c>
      <c r="C2300" s="163" t="s">
        <v>1803</v>
      </c>
      <c r="D2300" s="163" t="s">
        <v>281</v>
      </c>
      <c r="E2300" s="163" t="s">
        <v>1140</v>
      </c>
      <c r="F2300" s="185">
        <v>-7385.85</v>
      </c>
      <c r="G2300" s="165">
        <f t="shared" si="52"/>
        <v>-99164.329000000085</v>
      </c>
      <c r="H2300" s="180"/>
      <c r="I2300" s="180"/>
      <c r="J2300" s="180"/>
      <c r="K2300" s="180"/>
      <c r="L2300" s="180"/>
      <c r="M2300" s="180"/>
      <c r="N2300" s="180"/>
      <c r="O2300" s="180"/>
      <c r="P2300" s="180"/>
      <c r="Q2300" s="180"/>
      <c r="R2300" s="180"/>
      <c r="S2300" s="180"/>
      <c r="T2300" s="43">
        <f t="shared" ref="T2300:T2337" si="53">MONTH(B2300)</f>
        <v>4</v>
      </c>
      <c r="U2300" s="167">
        <f t="shared" si="50"/>
        <v>45777</v>
      </c>
      <c r="V2300" s="145">
        <v>45777</v>
      </c>
      <c r="W2300" s="43">
        <f t="shared" si="51"/>
        <v>4</v>
      </c>
      <c r="X2300" s="49"/>
      <c r="Y2300" s="49"/>
      <c r="Z2300" s="183"/>
      <c r="AA2300" s="183"/>
      <c r="AB2300" s="183"/>
    </row>
    <row r="2301" spans="1:28" hidden="1">
      <c r="A2301" s="163" t="s">
        <v>1017</v>
      </c>
      <c r="B2301" s="164">
        <v>45777</v>
      </c>
      <c r="C2301" s="163" t="s">
        <v>1811</v>
      </c>
      <c r="D2301" s="163" t="s">
        <v>281</v>
      </c>
      <c r="E2301" s="163" t="s">
        <v>202</v>
      </c>
      <c r="F2301" s="268">
        <v>-5000</v>
      </c>
      <c r="G2301" s="165">
        <f t="shared" si="52"/>
        <v>-104164.32900000009</v>
      </c>
      <c r="H2301" s="180"/>
      <c r="I2301" s="180"/>
      <c r="J2301" s="180"/>
      <c r="K2301" s="180"/>
      <c r="L2301" s="180"/>
      <c r="M2301" s="180"/>
      <c r="N2301" s="180"/>
      <c r="O2301" s="180"/>
      <c r="P2301" s="180"/>
      <c r="Q2301" s="180"/>
      <c r="R2301" s="180"/>
      <c r="S2301" s="180"/>
      <c r="T2301" s="43">
        <f t="shared" si="53"/>
        <v>4</v>
      </c>
      <c r="U2301" s="167">
        <f t="shared" si="50"/>
        <v>45777</v>
      </c>
      <c r="V2301" s="145"/>
      <c r="W2301" s="43">
        <f t="shared" si="51"/>
        <v>4</v>
      </c>
      <c r="X2301" s="49"/>
      <c r="Y2301" s="49"/>
      <c r="Z2301" s="183"/>
      <c r="AA2301" s="183"/>
      <c r="AB2301" s="183"/>
    </row>
    <row r="2302" spans="1:28" hidden="1">
      <c r="A2302" s="163" t="s">
        <v>1017</v>
      </c>
      <c r="B2302" s="164">
        <v>45705</v>
      </c>
      <c r="C2302" s="163" t="s">
        <v>307</v>
      </c>
      <c r="D2302" s="163" t="s">
        <v>281</v>
      </c>
      <c r="E2302" s="163" t="s">
        <v>791</v>
      </c>
      <c r="F2302" s="185">
        <v>-7000</v>
      </c>
      <c r="G2302" s="165">
        <f t="shared" si="52"/>
        <v>-111164.32900000009</v>
      </c>
      <c r="H2302" s="163"/>
      <c r="I2302" s="163" t="s">
        <v>283</v>
      </c>
      <c r="J2302" s="163"/>
      <c r="K2302" s="163"/>
      <c r="L2302" s="163" t="s">
        <v>366</v>
      </c>
      <c r="M2302" s="163"/>
      <c r="N2302" s="163" t="s">
        <v>978</v>
      </c>
      <c r="O2302" s="163"/>
      <c r="P2302" s="163"/>
      <c r="Q2302" s="163"/>
      <c r="R2302" s="163" t="s">
        <v>310</v>
      </c>
      <c r="S2302" s="163" t="s">
        <v>311</v>
      </c>
      <c r="T2302" s="43">
        <f t="shared" si="53"/>
        <v>2</v>
      </c>
      <c r="U2302" s="167">
        <f t="shared" si="50"/>
        <v>45777</v>
      </c>
      <c r="V2302" s="166">
        <v>45777</v>
      </c>
      <c r="W2302" s="43">
        <f t="shared" si="51"/>
        <v>4</v>
      </c>
      <c r="X2302" s="49" t="s">
        <v>1333</v>
      </c>
      <c r="Y2302" s="49" t="s">
        <v>26</v>
      </c>
    </row>
    <row r="2303" spans="1:28" hidden="1">
      <c r="A2303" s="163" t="s">
        <v>1017</v>
      </c>
      <c r="B2303" s="164">
        <v>45765</v>
      </c>
      <c r="C2303" s="163" t="s">
        <v>1841</v>
      </c>
      <c r="D2303" s="163" t="s">
        <v>281</v>
      </c>
      <c r="E2303" s="163" t="s">
        <v>791</v>
      </c>
      <c r="F2303" s="185">
        <f>-9977.52</f>
        <v>-9977.52</v>
      </c>
      <c r="G2303" s="165">
        <f t="shared" si="52"/>
        <v>-121141.84900000009</v>
      </c>
      <c r="H2303" s="180"/>
      <c r="I2303" s="180"/>
      <c r="J2303" s="180"/>
      <c r="K2303" s="180"/>
      <c r="L2303" s="180"/>
      <c r="M2303" s="180"/>
      <c r="N2303" s="180"/>
      <c r="O2303" s="180"/>
      <c r="P2303" s="180"/>
      <c r="Q2303" s="180"/>
      <c r="R2303" s="180"/>
      <c r="S2303" s="180"/>
      <c r="T2303" s="43">
        <f t="shared" si="53"/>
        <v>4</v>
      </c>
      <c r="U2303" s="167">
        <f t="shared" si="50"/>
        <v>45777</v>
      </c>
      <c r="V2303" s="145">
        <v>45777</v>
      </c>
      <c r="W2303" s="43">
        <f t="shared" si="51"/>
        <v>4</v>
      </c>
      <c r="X2303" s="49"/>
      <c r="Y2303" s="49"/>
      <c r="Z2303" s="183"/>
      <c r="AA2303" s="183"/>
      <c r="AB2303" s="183"/>
    </row>
    <row r="2304" spans="1:28" hidden="1">
      <c r="A2304" s="163" t="s">
        <v>1017</v>
      </c>
      <c r="B2304" s="164">
        <v>45762</v>
      </c>
      <c r="C2304" s="163" t="s">
        <v>1842</v>
      </c>
      <c r="D2304" s="163" t="s">
        <v>281</v>
      </c>
      <c r="E2304" s="163" t="s">
        <v>1140</v>
      </c>
      <c r="F2304" s="185">
        <v>-8000</v>
      </c>
      <c r="G2304" s="165">
        <f t="shared" si="52"/>
        <v>-129141.84900000009</v>
      </c>
      <c r="H2304" s="180"/>
      <c r="I2304" s="180"/>
      <c r="J2304" s="180"/>
      <c r="K2304" s="180"/>
      <c r="L2304" s="180"/>
      <c r="M2304" s="180"/>
      <c r="N2304" s="180"/>
      <c r="O2304" s="180"/>
      <c r="P2304" s="180"/>
      <c r="Q2304" s="180"/>
      <c r="R2304" s="180"/>
      <c r="S2304" s="180"/>
      <c r="T2304" s="43">
        <f t="shared" si="53"/>
        <v>4</v>
      </c>
      <c r="U2304" s="167">
        <f t="shared" si="50"/>
        <v>45777</v>
      </c>
      <c r="V2304" s="145">
        <v>45777</v>
      </c>
      <c r="W2304" s="43">
        <f t="shared" si="51"/>
        <v>4</v>
      </c>
      <c r="X2304" s="49"/>
      <c r="Y2304" s="49"/>
      <c r="Z2304" s="183"/>
      <c r="AA2304" s="183"/>
      <c r="AB2304" s="183"/>
    </row>
    <row r="2305" spans="1:28" hidden="1">
      <c r="A2305" s="163" t="s">
        <v>1017</v>
      </c>
      <c r="B2305" s="164">
        <v>45769</v>
      </c>
      <c r="C2305" s="163" t="s">
        <v>1296</v>
      </c>
      <c r="D2305" s="163" t="s">
        <v>281</v>
      </c>
      <c r="E2305" s="163" t="s">
        <v>196</v>
      </c>
      <c r="F2305" s="185">
        <v>-17000</v>
      </c>
      <c r="G2305" s="165">
        <f t="shared" si="52"/>
        <v>-146141.8490000001</v>
      </c>
      <c r="H2305" s="180"/>
      <c r="I2305" s="180"/>
      <c r="J2305" s="180"/>
      <c r="K2305" s="180"/>
      <c r="L2305" s="180"/>
      <c r="M2305" s="180"/>
      <c r="N2305" s="180"/>
      <c r="O2305" s="180"/>
      <c r="P2305" s="180"/>
      <c r="Q2305" s="180"/>
      <c r="R2305" s="180"/>
      <c r="S2305" s="180"/>
      <c r="T2305" s="43">
        <f t="shared" si="53"/>
        <v>4</v>
      </c>
      <c r="U2305" s="167">
        <f t="shared" si="50"/>
        <v>45777</v>
      </c>
      <c r="V2305" s="145">
        <v>45777</v>
      </c>
      <c r="W2305" s="43">
        <f t="shared" si="51"/>
        <v>4</v>
      </c>
      <c r="X2305" s="49"/>
      <c r="Y2305" s="49"/>
      <c r="Z2305" s="183"/>
      <c r="AA2305" s="183"/>
      <c r="AB2305" s="183"/>
    </row>
    <row r="2306" spans="1:28" hidden="1">
      <c r="A2306" s="163" t="s">
        <v>1017</v>
      </c>
      <c r="B2306" s="164">
        <v>45754</v>
      </c>
      <c r="C2306" s="163" t="s">
        <v>209</v>
      </c>
      <c r="D2306" s="163" t="s">
        <v>281</v>
      </c>
      <c r="E2306" s="163" t="s">
        <v>209</v>
      </c>
      <c r="F2306" s="185">
        <v>-860.29</v>
      </c>
      <c r="G2306" s="165">
        <f t="shared" si="52"/>
        <v>-147002.13900000011</v>
      </c>
      <c r="H2306" s="180"/>
      <c r="I2306" s="180"/>
      <c r="J2306" s="180"/>
      <c r="K2306" s="180"/>
      <c r="L2306" s="180"/>
      <c r="M2306" s="180"/>
      <c r="N2306" s="180"/>
      <c r="O2306" s="180"/>
      <c r="P2306" s="180"/>
      <c r="Q2306" s="180"/>
      <c r="R2306" s="180"/>
      <c r="S2306" s="180"/>
      <c r="T2306" s="43">
        <f t="shared" si="53"/>
        <v>4</v>
      </c>
      <c r="U2306" s="167">
        <f t="shared" si="50"/>
        <v>45777</v>
      </c>
      <c r="V2306" s="166">
        <v>45777</v>
      </c>
      <c r="W2306" s="43">
        <f t="shared" si="51"/>
        <v>4</v>
      </c>
      <c r="X2306" s="49"/>
      <c r="Y2306" s="49"/>
      <c r="Z2306" s="183"/>
      <c r="AA2306" s="183"/>
      <c r="AB2306" s="183"/>
    </row>
    <row r="2307" spans="1:28" hidden="1">
      <c r="A2307" s="163" t="s">
        <v>1017</v>
      </c>
      <c r="B2307" s="164">
        <v>45754</v>
      </c>
      <c r="C2307" s="163" t="s">
        <v>1843</v>
      </c>
      <c r="D2307" s="163" t="s">
        <v>281</v>
      </c>
      <c r="E2307" s="163" t="s">
        <v>196</v>
      </c>
      <c r="F2307" s="185">
        <v>-487.5</v>
      </c>
      <c r="G2307" s="165">
        <f t="shared" si="52"/>
        <v>-147489.63900000011</v>
      </c>
      <c r="H2307" s="180"/>
      <c r="I2307" s="180"/>
      <c r="J2307" s="180"/>
      <c r="K2307" s="180"/>
      <c r="L2307" s="180"/>
      <c r="M2307" s="180"/>
      <c r="N2307" s="180"/>
      <c r="O2307" s="180"/>
      <c r="P2307" s="180"/>
      <c r="Q2307" s="180"/>
      <c r="R2307" s="180"/>
      <c r="S2307" s="180"/>
      <c r="T2307" s="43">
        <f t="shared" si="53"/>
        <v>4</v>
      </c>
      <c r="U2307" s="167">
        <f t="shared" si="50"/>
        <v>45777</v>
      </c>
      <c r="V2307" s="166">
        <v>45777</v>
      </c>
      <c r="W2307" s="43">
        <f t="shared" si="51"/>
        <v>4</v>
      </c>
      <c r="X2307" s="49"/>
      <c r="Y2307" s="49"/>
      <c r="Z2307" s="183"/>
      <c r="AA2307" s="183"/>
      <c r="AB2307" s="183"/>
    </row>
    <row r="2308" spans="1:28" hidden="1">
      <c r="A2308" s="180" t="s">
        <v>1017</v>
      </c>
      <c r="B2308" s="181">
        <v>45770</v>
      </c>
      <c r="C2308" s="180" t="s">
        <v>186</v>
      </c>
      <c r="D2308" s="180" t="s">
        <v>281</v>
      </c>
      <c r="E2308" s="180" t="s">
        <v>187</v>
      </c>
      <c r="F2308" s="185">
        <v>-418</v>
      </c>
      <c r="G2308" s="165">
        <f t="shared" si="52"/>
        <v>-147907.63900000011</v>
      </c>
      <c r="H2308" s="180"/>
      <c r="I2308" s="180" t="s">
        <v>283</v>
      </c>
      <c r="J2308" s="180"/>
      <c r="K2308" s="180"/>
      <c r="L2308" s="180" t="s">
        <v>485</v>
      </c>
      <c r="M2308" s="180"/>
      <c r="N2308" s="180" t="s">
        <v>978</v>
      </c>
      <c r="O2308" s="180"/>
      <c r="P2308" s="180"/>
      <c r="Q2308" s="180"/>
      <c r="R2308" s="180" t="s">
        <v>1527</v>
      </c>
      <c r="S2308" s="180"/>
      <c r="T2308" s="183">
        <f t="shared" si="53"/>
        <v>4</v>
      </c>
      <c r="U2308" s="184">
        <f t="shared" si="50"/>
        <v>45777</v>
      </c>
      <c r="V2308" s="145">
        <v>45777</v>
      </c>
      <c r="W2308" s="43">
        <f t="shared" si="51"/>
        <v>4</v>
      </c>
      <c r="X2308" s="183"/>
      <c r="Y2308" s="183"/>
      <c r="Z2308" s="183"/>
      <c r="AA2308" s="183"/>
      <c r="AB2308" s="183"/>
    </row>
    <row r="2309" spans="1:28" hidden="1">
      <c r="A2309" s="163" t="s">
        <v>1017</v>
      </c>
      <c r="B2309" s="164">
        <v>45754</v>
      </c>
      <c r="C2309" s="163" t="s">
        <v>1844</v>
      </c>
      <c r="D2309" s="163" t="s">
        <v>281</v>
      </c>
      <c r="E2309" s="163" t="s">
        <v>1845</v>
      </c>
      <c r="F2309" s="185">
        <v>-103.6</v>
      </c>
      <c r="G2309" s="165">
        <f t="shared" si="52"/>
        <v>-148011.23900000012</v>
      </c>
      <c r="H2309" s="180"/>
      <c r="I2309" s="180"/>
      <c r="J2309" s="180"/>
      <c r="K2309" s="180"/>
      <c r="L2309" s="180"/>
      <c r="M2309" s="180"/>
      <c r="N2309" s="180"/>
      <c r="O2309" s="180"/>
      <c r="P2309" s="180"/>
      <c r="Q2309" s="180"/>
      <c r="R2309" s="180"/>
      <c r="S2309" s="180"/>
      <c r="T2309" s="43">
        <f t="shared" si="53"/>
        <v>4</v>
      </c>
      <c r="U2309" s="167">
        <f t="shared" si="50"/>
        <v>45777</v>
      </c>
      <c r="V2309" s="145">
        <v>45777</v>
      </c>
      <c r="W2309" s="43">
        <f t="shared" si="51"/>
        <v>4</v>
      </c>
      <c r="X2309" s="49"/>
      <c r="Y2309" s="49"/>
      <c r="Z2309" s="183"/>
      <c r="AA2309" s="183"/>
      <c r="AB2309" s="183"/>
    </row>
    <row r="2310" spans="1:28" hidden="1">
      <c r="A2310" s="163" t="s">
        <v>1017</v>
      </c>
      <c r="B2310" s="164">
        <v>45757</v>
      </c>
      <c r="C2310" s="163" t="s">
        <v>872</v>
      </c>
      <c r="D2310" s="163" t="s">
        <v>281</v>
      </c>
      <c r="E2310" s="163" t="s">
        <v>190</v>
      </c>
      <c r="F2310" s="185">
        <v>-305.12</v>
      </c>
      <c r="G2310" s="165">
        <f t="shared" si="52"/>
        <v>-148316.35900000011</v>
      </c>
      <c r="H2310" s="180"/>
      <c r="I2310" s="180"/>
      <c r="J2310" s="180"/>
      <c r="K2310" s="180"/>
      <c r="L2310" s="180"/>
      <c r="M2310" s="180"/>
      <c r="N2310" s="180"/>
      <c r="O2310" s="180"/>
      <c r="P2310" s="180"/>
      <c r="Q2310" s="180"/>
      <c r="R2310" s="180"/>
      <c r="S2310" s="180"/>
      <c r="T2310" s="43">
        <f t="shared" si="53"/>
        <v>4</v>
      </c>
      <c r="U2310" s="167">
        <f t="shared" si="50"/>
        <v>45777</v>
      </c>
      <c r="V2310" s="166">
        <v>45777</v>
      </c>
      <c r="W2310" s="43">
        <f t="shared" si="51"/>
        <v>4</v>
      </c>
      <c r="X2310" s="49"/>
      <c r="Y2310" s="49"/>
      <c r="Z2310" s="183"/>
      <c r="AA2310" s="183"/>
      <c r="AB2310" s="183"/>
    </row>
    <row r="2311" spans="1:28" hidden="1">
      <c r="A2311" s="163" t="s">
        <v>1017</v>
      </c>
      <c r="B2311" s="164">
        <v>45772</v>
      </c>
      <c r="C2311" s="163" t="s">
        <v>1002</v>
      </c>
      <c r="D2311" s="163" t="s">
        <v>281</v>
      </c>
      <c r="E2311" s="163" t="s">
        <v>190</v>
      </c>
      <c r="F2311" s="185">
        <v>-650</v>
      </c>
      <c r="G2311" s="165">
        <f t="shared" si="52"/>
        <v>-148966.35900000011</v>
      </c>
      <c r="H2311" s="180"/>
      <c r="I2311" s="180"/>
      <c r="J2311" s="180"/>
      <c r="K2311" s="180"/>
      <c r="L2311" s="180"/>
      <c r="M2311" s="180"/>
      <c r="N2311" s="180"/>
      <c r="O2311" s="180"/>
      <c r="P2311" s="180"/>
      <c r="Q2311" s="180"/>
      <c r="R2311" s="180"/>
      <c r="S2311" s="180"/>
      <c r="T2311" s="43">
        <f t="shared" si="53"/>
        <v>4</v>
      </c>
      <c r="U2311" s="167">
        <f t="shared" si="50"/>
        <v>45777</v>
      </c>
      <c r="V2311" s="166">
        <v>45777</v>
      </c>
      <c r="W2311" s="43">
        <f t="shared" si="51"/>
        <v>4</v>
      </c>
      <c r="X2311" s="49"/>
      <c r="Y2311" s="49"/>
      <c r="Z2311" s="183"/>
      <c r="AA2311" s="183"/>
      <c r="AB2311" s="183"/>
    </row>
    <row r="2312" spans="1:28" hidden="1">
      <c r="A2312" s="163" t="s">
        <v>1017</v>
      </c>
      <c r="B2312" s="164">
        <v>45733</v>
      </c>
      <c r="C2312" s="163" t="s">
        <v>919</v>
      </c>
      <c r="D2312" s="163" t="s">
        <v>281</v>
      </c>
      <c r="E2312" s="163" t="s">
        <v>129</v>
      </c>
      <c r="F2312" s="185">
        <v>-3880</v>
      </c>
      <c r="G2312" s="165">
        <f t="shared" si="52"/>
        <v>-152846.35900000011</v>
      </c>
      <c r="H2312" s="163"/>
      <c r="I2312" s="163" t="s">
        <v>342</v>
      </c>
      <c r="J2312" s="163"/>
      <c r="K2312" s="163"/>
      <c r="L2312" s="163" t="s">
        <v>1424</v>
      </c>
      <c r="M2312" s="163"/>
      <c r="N2312" s="163" t="s">
        <v>978</v>
      </c>
      <c r="O2312" s="163"/>
      <c r="P2312" s="163"/>
      <c r="Q2312" s="163"/>
      <c r="R2312" s="163" t="s">
        <v>922</v>
      </c>
      <c r="S2312" s="163" t="s">
        <v>923</v>
      </c>
      <c r="T2312" s="43">
        <f t="shared" si="53"/>
        <v>3</v>
      </c>
      <c r="U2312" s="167">
        <f t="shared" si="50"/>
        <v>45777</v>
      </c>
      <c r="V2312" s="145">
        <v>45777</v>
      </c>
      <c r="W2312" s="43">
        <f t="shared" si="51"/>
        <v>4</v>
      </c>
      <c r="X2312" s="49" t="s">
        <v>1552</v>
      </c>
      <c r="Y2312" s="49" t="s">
        <v>1443</v>
      </c>
    </row>
    <row r="2313" spans="1:28" ht="14.25" hidden="1" customHeight="1">
      <c r="A2313" s="180" t="s">
        <v>976</v>
      </c>
      <c r="B2313" s="181">
        <v>45733</v>
      </c>
      <c r="C2313" s="180" t="s">
        <v>919</v>
      </c>
      <c r="D2313" s="180" t="s">
        <v>281</v>
      </c>
      <c r="E2313" s="180" t="s">
        <v>129</v>
      </c>
      <c r="F2313" s="185">
        <v>-520</v>
      </c>
      <c r="G2313" s="165">
        <f t="shared" si="52"/>
        <v>-153366.35900000011</v>
      </c>
      <c r="H2313" s="180"/>
      <c r="I2313" s="180" t="s">
        <v>342</v>
      </c>
      <c r="J2313" s="180"/>
      <c r="K2313" s="180"/>
      <c r="L2313" s="180" t="s">
        <v>508</v>
      </c>
      <c r="M2313" s="180"/>
      <c r="N2313" s="180" t="s">
        <v>978</v>
      </c>
      <c r="O2313" s="180"/>
      <c r="P2313" s="180"/>
      <c r="Q2313" s="180"/>
      <c r="R2313" s="180" t="s">
        <v>922</v>
      </c>
      <c r="S2313" s="180" t="s">
        <v>923</v>
      </c>
      <c r="T2313" s="183">
        <f t="shared" si="53"/>
        <v>3</v>
      </c>
      <c r="U2313" s="184">
        <f t="shared" si="50"/>
        <v>45777</v>
      </c>
      <c r="V2313" s="145">
        <v>45777</v>
      </c>
      <c r="W2313" s="43">
        <f t="shared" si="51"/>
        <v>4</v>
      </c>
      <c r="X2313" s="49" t="s">
        <v>1552</v>
      </c>
      <c r="Y2313" s="49" t="s">
        <v>1443</v>
      </c>
      <c r="Z2313" s="43"/>
      <c r="AA2313" s="183"/>
      <c r="AB2313" s="183" t="s">
        <v>1541</v>
      </c>
    </row>
    <row r="2314" spans="1:28" hidden="1">
      <c r="A2314" s="163" t="s">
        <v>1017</v>
      </c>
      <c r="B2314" s="164">
        <v>45733</v>
      </c>
      <c r="C2314" s="163" t="s">
        <v>919</v>
      </c>
      <c r="D2314" s="163" t="s">
        <v>281</v>
      </c>
      <c r="E2314" s="163" t="s">
        <v>129</v>
      </c>
      <c r="F2314" s="185">
        <v>-1518</v>
      </c>
      <c r="G2314" s="165">
        <f t="shared" si="52"/>
        <v>-154884.35900000011</v>
      </c>
      <c r="H2314" s="163"/>
      <c r="I2314" s="163" t="s">
        <v>342</v>
      </c>
      <c r="J2314" s="163"/>
      <c r="K2314" s="163"/>
      <c r="L2314" s="163" t="s">
        <v>686</v>
      </c>
      <c r="M2314" s="163"/>
      <c r="N2314" s="163" t="s">
        <v>978</v>
      </c>
      <c r="O2314" s="163"/>
      <c r="P2314" s="163"/>
      <c r="Q2314" s="163"/>
      <c r="R2314" s="163" t="s">
        <v>922</v>
      </c>
      <c r="S2314" s="163" t="s">
        <v>923</v>
      </c>
      <c r="T2314" s="43">
        <f t="shared" si="53"/>
        <v>3</v>
      </c>
      <c r="U2314" s="167">
        <f t="shared" si="50"/>
        <v>45777</v>
      </c>
      <c r="V2314" s="145">
        <v>45777</v>
      </c>
      <c r="W2314" s="43">
        <f t="shared" si="51"/>
        <v>4</v>
      </c>
      <c r="X2314" s="49" t="s">
        <v>1552</v>
      </c>
      <c r="Y2314" s="49" t="s">
        <v>1443</v>
      </c>
    </row>
    <row r="2315" spans="1:28" hidden="1">
      <c r="A2315" s="163" t="s">
        <v>1017</v>
      </c>
      <c r="B2315" s="164">
        <v>45744</v>
      </c>
      <c r="C2315" s="163" t="s">
        <v>131</v>
      </c>
      <c r="D2315" s="163" t="s">
        <v>281</v>
      </c>
      <c r="E2315" s="163" t="s">
        <v>199</v>
      </c>
      <c r="F2315" s="185">
        <v>-5110</v>
      </c>
      <c r="G2315" s="165">
        <f t="shared" si="52"/>
        <v>-159994.35900000011</v>
      </c>
      <c r="H2315" s="163"/>
      <c r="I2315" s="163" t="s">
        <v>977</v>
      </c>
      <c r="J2315" s="163"/>
      <c r="K2315" s="163"/>
      <c r="L2315" s="163" t="s">
        <v>1424</v>
      </c>
      <c r="M2315" s="163"/>
      <c r="N2315" s="163" t="s">
        <v>978</v>
      </c>
      <c r="O2315" s="163"/>
      <c r="P2315" s="163"/>
      <c r="Q2315" s="163"/>
      <c r="R2315" s="163" t="s">
        <v>131</v>
      </c>
      <c r="S2315" s="163"/>
      <c r="T2315" s="43">
        <f t="shared" si="53"/>
        <v>3</v>
      </c>
      <c r="U2315" s="167">
        <f t="shared" si="50"/>
        <v>45777</v>
      </c>
      <c r="V2315" s="145">
        <v>45777</v>
      </c>
      <c r="W2315" s="43">
        <f t="shared" si="51"/>
        <v>4</v>
      </c>
      <c r="X2315" s="49" t="s">
        <v>1480</v>
      </c>
      <c r="Y2315" s="49" t="s">
        <v>105</v>
      </c>
    </row>
    <row r="2316" spans="1:28" hidden="1">
      <c r="A2316" s="163" t="s">
        <v>1017</v>
      </c>
      <c r="B2316" s="164">
        <v>45775</v>
      </c>
      <c r="C2316" s="163" t="s">
        <v>989</v>
      </c>
      <c r="D2316" s="163" t="s">
        <v>281</v>
      </c>
      <c r="E2316" s="163" t="s">
        <v>199</v>
      </c>
      <c r="F2316" s="168"/>
      <c r="G2316" s="165">
        <f t="shared" si="52"/>
        <v>-159994.35900000011</v>
      </c>
      <c r="H2316" s="180"/>
      <c r="I2316" s="180"/>
      <c r="J2316" s="180"/>
      <c r="K2316" s="180"/>
      <c r="L2316" s="180"/>
      <c r="M2316" s="180"/>
      <c r="N2316" s="180"/>
      <c r="O2316" s="180"/>
      <c r="P2316" s="180"/>
      <c r="Q2316" s="180"/>
      <c r="R2316" s="180"/>
      <c r="S2316" s="180"/>
      <c r="T2316" s="43">
        <f t="shared" si="53"/>
        <v>4</v>
      </c>
      <c r="U2316" s="167">
        <f t="shared" si="50"/>
        <v>45777</v>
      </c>
      <c r="V2316" s="145">
        <v>45777</v>
      </c>
      <c r="W2316" s="43">
        <f t="shared" si="51"/>
        <v>4</v>
      </c>
      <c r="X2316" s="49"/>
      <c r="Y2316" s="49"/>
      <c r="Z2316" s="183"/>
      <c r="AA2316" s="183"/>
      <c r="AB2316" s="183"/>
    </row>
    <row r="2317" spans="1:28" hidden="1">
      <c r="A2317" s="163" t="s">
        <v>1017</v>
      </c>
      <c r="B2317" s="164">
        <v>45775</v>
      </c>
      <c r="C2317" s="163" t="s">
        <v>133</v>
      </c>
      <c r="D2317" s="163" t="s">
        <v>281</v>
      </c>
      <c r="E2317" s="163" t="s">
        <v>199</v>
      </c>
      <c r="F2317" s="168">
        <v>-870</v>
      </c>
      <c r="G2317" s="165">
        <f t="shared" si="52"/>
        <v>-160864.35900000011</v>
      </c>
      <c r="H2317" s="180"/>
      <c r="I2317" s="180"/>
      <c r="J2317" s="180"/>
      <c r="K2317" s="180"/>
      <c r="L2317" s="180"/>
      <c r="M2317" s="180"/>
      <c r="N2317" s="180"/>
      <c r="O2317" s="180"/>
      <c r="P2317" s="180"/>
      <c r="Q2317" s="180"/>
      <c r="R2317" s="180"/>
      <c r="S2317" s="180"/>
      <c r="T2317" s="43">
        <f t="shared" si="53"/>
        <v>4</v>
      </c>
      <c r="U2317" s="167">
        <f t="shared" si="50"/>
        <v>45777</v>
      </c>
      <c r="V2317" s="145">
        <v>45777</v>
      </c>
      <c r="W2317" s="43">
        <f t="shared" si="51"/>
        <v>4</v>
      </c>
      <c r="X2317" s="49"/>
      <c r="Y2317" s="49"/>
      <c r="Z2317" s="183"/>
      <c r="AA2317" s="183"/>
      <c r="AB2317" s="183"/>
    </row>
    <row r="2318" spans="1:28" hidden="1">
      <c r="A2318" s="163" t="s">
        <v>1017</v>
      </c>
      <c r="B2318" s="164">
        <v>45771</v>
      </c>
      <c r="C2318" s="163" t="s">
        <v>127</v>
      </c>
      <c r="D2318" s="163" t="s">
        <v>281</v>
      </c>
      <c r="E2318" s="163" t="s">
        <v>199</v>
      </c>
      <c r="F2318" s="168">
        <v>-130</v>
      </c>
      <c r="G2318" s="165">
        <f t="shared" si="52"/>
        <v>-160994.35900000011</v>
      </c>
      <c r="H2318" s="180"/>
      <c r="I2318" s="180"/>
      <c r="J2318" s="180"/>
      <c r="K2318" s="180"/>
      <c r="L2318" s="180"/>
      <c r="M2318" s="180"/>
      <c r="N2318" s="180"/>
      <c r="O2318" s="180"/>
      <c r="P2318" s="180"/>
      <c r="Q2318" s="180"/>
      <c r="R2318" s="180"/>
      <c r="S2318" s="180"/>
      <c r="T2318" s="43">
        <f t="shared" si="53"/>
        <v>4</v>
      </c>
      <c r="U2318" s="167">
        <f t="shared" si="50"/>
        <v>45777</v>
      </c>
      <c r="V2318" s="166">
        <v>45777</v>
      </c>
      <c r="W2318" s="43">
        <f t="shared" si="51"/>
        <v>4</v>
      </c>
      <c r="X2318" s="49"/>
      <c r="Y2318" s="49"/>
      <c r="Z2318" s="183"/>
      <c r="AA2318" s="183"/>
      <c r="AB2318" s="183"/>
    </row>
    <row r="2319" spans="1:28" hidden="1">
      <c r="A2319" s="163" t="s">
        <v>1017</v>
      </c>
      <c r="B2319" s="164">
        <v>45771</v>
      </c>
      <c r="C2319" s="163" t="s">
        <v>1606</v>
      </c>
      <c r="D2319" s="163" t="s">
        <v>281</v>
      </c>
      <c r="E2319" s="163" t="s">
        <v>199</v>
      </c>
      <c r="F2319" s="168">
        <f>-200*6</f>
        <v>-1200</v>
      </c>
      <c r="G2319" s="165">
        <f t="shared" si="52"/>
        <v>-162194.35900000011</v>
      </c>
      <c r="H2319" s="180"/>
      <c r="I2319" s="180"/>
      <c r="J2319" s="180"/>
      <c r="K2319" s="180"/>
      <c r="L2319" s="180"/>
      <c r="M2319" s="180"/>
      <c r="N2319" s="180"/>
      <c r="O2319" s="180"/>
      <c r="P2319" s="180"/>
      <c r="Q2319" s="180"/>
      <c r="R2319" s="180"/>
      <c r="S2319" s="180"/>
      <c r="T2319" s="43">
        <f t="shared" si="53"/>
        <v>4</v>
      </c>
      <c r="U2319" s="167">
        <f t="shared" si="50"/>
        <v>45777</v>
      </c>
      <c r="V2319" s="166">
        <v>45777</v>
      </c>
      <c r="W2319" s="43">
        <f t="shared" si="51"/>
        <v>4</v>
      </c>
      <c r="X2319" s="49"/>
      <c r="Y2319" s="49"/>
      <c r="Z2319" s="183"/>
      <c r="AA2319" s="183"/>
      <c r="AB2319" s="183"/>
    </row>
    <row r="2320" spans="1:28" hidden="1">
      <c r="A2320" s="163" t="s">
        <v>1017</v>
      </c>
      <c r="B2320" s="164">
        <v>45771</v>
      </c>
      <c r="C2320" s="163" t="s">
        <v>1539</v>
      </c>
      <c r="D2320" s="163" t="s">
        <v>281</v>
      </c>
      <c r="E2320" s="163" t="s">
        <v>372</v>
      </c>
      <c r="F2320" s="168">
        <v>-734.05</v>
      </c>
      <c r="G2320" s="165">
        <f t="shared" si="52"/>
        <v>-162928.4090000001</v>
      </c>
      <c r="H2320" s="180"/>
      <c r="I2320" s="180"/>
      <c r="J2320" s="180"/>
      <c r="K2320" s="180"/>
      <c r="L2320" s="180"/>
      <c r="M2320" s="180"/>
      <c r="N2320" s="180"/>
      <c r="O2320" s="180"/>
      <c r="P2320" s="180"/>
      <c r="Q2320" s="180"/>
      <c r="R2320" s="180"/>
      <c r="S2320" s="180"/>
      <c r="T2320" s="43">
        <f t="shared" si="53"/>
        <v>4</v>
      </c>
      <c r="U2320" s="167">
        <f t="shared" si="50"/>
        <v>45777</v>
      </c>
      <c r="V2320" s="166">
        <v>45777</v>
      </c>
      <c r="W2320" s="43">
        <f t="shared" si="51"/>
        <v>4</v>
      </c>
      <c r="X2320" s="49"/>
      <c r="Y2320" s="49"/>
      <c r="Z2320" s="183"/>
      <c r="AA2320" s="183"/>
      <c r="AB2320" s="183"/>
    </row>
    <row r="2321" spans="1:28" hidden="1">
      <c r="A2321" s="163" t="s">
        <v>1017</v>
      </c>
      <c r="B2321" s="164">
        <v>45733</v>
      </c>
      <c r="C2321" s="163" t="s">
        <v>130</v>
      </c>
      <c r="D2321" s="163" t="s">
        <v>281</v>
      </c>
      <c r="E2321" s="163" t="s">
        <v>199</v>
      </c>
      <c r="F2321" s="165">
        <v>-205</v>
      </c>
      <c r="G2321" s="165">
        <f t="shared" si="52"/>
        <v>-163133.4090000001</v>
      </c>
      <c r="H2321" s="163"/>
      <c r="I2321" s="163" t="s">
        <v>977</v>
      </c>
      <c r="J2321" s="163"/>
      <c r="K2321" s="163"/>
      <c r="L2321" s="163" t="s">
        <v>1424</v>
      </c>
      <c r="M2321" s="163"/>
      <c r="N2321" s="163" t="s">
        <v>978</v>
      </c>
      <c r="O2321" s="163"/>
      <c r="P2321" s="163"/>
      <c r="Q2321" s="163"/>
      <c r="R2321" s="163" t="s">
        <v>130</v>
      </c>
      <c r="S2321" s="163"/>
      <c r="T2321" s="43">
        <f t="shared" si="53"/>
        <v>3</v>
      </c>
      <c r="U2321" s="167">
        <f t="shared" si="50"/>
        <v>45777</v>
      </c>
      <c r="V2321" s="145">
        <v>45777</v>
      </c>
      <c r="W2321" s="43">
        <f t="shared" si="51"/>
        <v>4</v>
      </c>
      <c r="X2321" s="49" t="s">
        <v>1480</v>
      </c>
      <c r="Y2321" s="49" t="s">
        <v>86</v>
      </c>
    </row>
    <row r="2322" spans="1:28" hidden="1">
      <c r="A2322" s="163" t="s">
        <v>1017</v>
      </c>
      <c r="B2322" s="164">
        <v>45763</v>
      </c>
      <c r="C2322" s="163" t="s">
        <v>130</v>
      </c>
      <c r="D2322" s="163" t="s">
        <v>281</v>
      </c>
      <c r="E2322" s="163" t="s">
        <v>199</v>
      </c>
      <c r="F2322" s="168">
        <v>-205</v>
      </c>
      <c r="G2322" s="165">
        <f t="shared" si="52"/>
        <v>-163338.4090000001</v>
      </c>
      <c r="H2322" s="180"/>
      <c r="I2322" s="180"/>
      <c r="J2322" s="180"/>
      <c r="K2322" s="180"/>
      <c r="L2322" s="180"/>
      <c r="M2322" s="180"/>
      <c r="N2322" s="180"/>
      <c r="O2322" s="180"/>
      <c r="P2322" s="180"/>
      <c r="Q2322" s="180"/>
      <c r="R2322" s="180"/>
      <c r="S2322" s="180"/>
      <c r="T2322" s="43">
        <f t="shared" si="53"/>
        <v>4</v>
      </c>
      <c r="U2322" s="167">
        <f t="shared" si="50"/>
        <v>45777</v>
      </c>
      <c r="V2322" s="145">
        <v>45777</v>
      </c>
      <c r="W2322" s="43">
        <f t="shared" si="51"/>
        <v>4</v>
      </c>
      <c r="X2322" s="49"/>
      <c r="Y2322" s="49"/>
      <c r="Z2322" s="183"/>
      <c r="AA2322" s="183"/>
      <c r="AB2322" s="183"/>
    </row>
    <row r="2323" spans="1:28" hidden="1">
      <c r="A2323" s="163" t="s">
        <v>1017</v>
      </c>
      <c r="B2323" s="164">
        <v>45737</v>
      </c>
      <c r="C2323" s="163" t="s">
        <v>124</v>
      </c>
      <c r="D2323" s="163" t="s">
        <v>281</v>
      </c>
      <c r="E2323" s="163" t="s">
        <v>199</v>
      </c>
      <c r="F2323" s="165">
        <v>-227.73</v>
      </c>
      <c r="G2323" s="165">
        <f t="shared" si="52"/>
        <v>-163566.13900000011</v>
      </c>
      <c r="H2323" s="163"/>
      <c r="I2323" s="163" t="s">
        <v>977</v>
      </c>
      <c r="J2323" s="163"/>
      <c r="K2323" s="163"/>
      <c r="L2323" s="163" t="s">
        <v>766</v>
      </c>
      <c r="M2323" s="163"/>
      <c r="N2323" s="163" t="s">
        <v>978</v>
      </c>
      <c r="O2323" s="163"/>
      <c r="P2323" s="163"/>
      <c r="Q2323" s="163"/>
      <c r="R2323" s="163" t="s">
        <v>124</v>
      </c>
      <c r="S2323" s="163"/>
      <c r="T2323" s="43">
        <f t="shared" si="53"/>
        <v>3</v>
      </c>
      <c r="U2323" s="167">
        <f t="shared" si="50"/>
        <v>45777</v>
      </c>
      <c r="V2323" s="145">
        <v>45777</v>
      </c>
      <c r="W2323" s="43">
        <f t="shared" si="51"/>
        <v>4</v>
      </c>
      <c r="X2323" s="49" t="s">
        <v>1480</v>
      </c>
      <c r="Y2323" s="49" t="s">
        <v>25</v>
      </c>
    </row>
    <row r="2324" spans="1:28" hidden="1">
      <c r="A2324" s="163" t="s">
        <v>1017</v>
      </c>
      <c r="B2324" s="164">
        <v>45764</v>
      </c>
      <c r="C2324" s="163" t="s">
        <v>124</v>
      </c>
      <c r="D2324" s="163" t="s">
        <v>281</v>
      </c>
      <c r="E2324" s="163" t="s">
        <v>199</v>
      </c>
      <c r="F2324" s="168">
        <v>-227.73</v>
      </c>
      <c r="G2324" s="165">
        <f t="shared" si="52"/>
        <v>-163793.86900000012</v>
      </c>
      <c r="H2324" s="180"/>
      <c r="I2324" s="180"/>
      <c r="J2324" s="180"/>
      <c r="K2324" s="180"/>
      <c r="L2324" s="180"/>
      <c r="M2324" s="180"/>
      <c r="N2324" s="180"/>
      <c r="O2324" s="180"/>
      <c r="P2324" s="180"/>
      <c r="Q2324" s="180"/>
      <c r="R2324" s="180"/>
      <c r="S2324" s="180"/>
      <c r="T2324" s="43">
        <f t="shared" si="53"/>
        <v>4</v>
      </c>
      <c r="U2324" s="167">
        <f t="shared" si="50"/>
        <v>45777</v>
      </c>
      <c r="V2324" s="145">
        <v>45777</v>
      </c>
      <c r="W2324" s="43">
        <f t="shared" si="51"/>
        <v>4</v>
      </c>
      <c r="X2324" s="49"/>
      <c r="Y2324" s="49"/>
      <c r="Z2324" s="183"/>
      <c r="AA2324" s="183"/>
      <c r="AB2324" s="183"/>
    </row>
    <row r="2325" spans="1:28" hidden="1">
      <c r="A2325" s="163" t="s">
        <v>1017</v>
      </c>
      <c r="B2325" s="164">
        <v>45769</v>
      </c>
      <c r="C2325" s="163" t="s">
        <v>124</v>
      </c>
      <c r="D2325" s="163" t="s">
        <v>281</v>
      </c>
      <c r="E2325" s="163" t="s">
        <v>199</v>
      </c>
      <c r="F2325" s="168"/>
      <c r="G2325" s="165">
        <f t="shared" si="52"/>
        <v>-163793.86900000012</v>
      </c>
      <c r="H2325" s="180"/>
      <c r="I2325" s="180"/>
      <c r="J2325" s="180"/>
      <c r="K2325" s="180"/>
      <c r="L2325" s="180"/>
      <c r="M2325" s="180"/>
      <c r="N2325" s="180"/>
      <c r="O2325" s="180"/>
      <c r="P2325" s="180"/>
      <c r="Q2325" s="180"/>
      <c r="R2325" s="180"/>
      <c r="S2325" s="180"/>
      <c r="T2325" s="43">
        <f t="shared" si="53"/>
        <v>4</v>
      </c>
      <c r="U2325" s="167">
        <f t="shared" si="50"/>
        <v>45777</v>
      </c>
      <c r="V2325" s="145">
        <v>45777</v>
      </c>
      <c r="W2325" s="43">
        <f t="shared" si="51"/>
        <v>4</v>
      </c>
      <c r="X2325" s="49"/>
      <c r="Y2325" s="49"/>
      <c r="Z2325" s="183"/>
      <c r="AA2325" s="183"/>
      <c r="AB2325" s="183"/>
    </row>
    <row r="2326" spans="1:28" hidden="1">
      <c r="A2326" s="163" t="s">
        <v>1017</v>
      </c>
      <c r="B2326" s="164">
        <v>45737</v>
      </c>
      <c r="C2326" s="163" t="s">
        <v>127</v>
      </c>
      <c r="D2326" s="163" t="s">
        <v>281</v>
      </c>
      <c r="E2326" s="163" t="s">
        <v>199</v>
      </c>
      <c r="F2326" s="165"/>
      <c r="G2326" s="165">
        <f t="shared" si="52"/>
        <v>-163793.86900000012</v>
      </c>
      <c r="H2326" s="163"/>
      <c r="I2326" s="163" t="s">
        <v>977</v>
      </c>
      <c r="J2326" s="163"/>
      <c r="K2326" s="163"/>
      <c r="L2326" s="163" t="s">
        <v>766</v>
      </c>
      <c r="M2326" s="163"/>
      <c r="N2326" s="163" t="s">
        <v>978</v>
      </c>
      <c r="O2326" s="163"/>
      <c r="P2326" s="163"/>
      <c r="Q2326" s="163"/>
      <c r="R2326" s="163" t="s">
        <v>127</v>
      </c>
      <c r="S2326" s="163"/>
      <c r="T2326" s="43">
        <f t="shared" si="53"/>
        <v>3</v>
      </c>
      <c r="U2326" s="167">
        <f t="shared" si="50"/>
        <v>45777</v>
      </c>
      <c r="V2326" s="145">
        <v>45777</v>
      </c>
      <c r="W2326" s="43">
        <f t="shared" si="51"/>
        <v>4</v>
      </c>
      <c r="X2326" s="49" t="s">
        <v>1480</v>
      </c>
      <c r="Y2326" s="49" t="s">
        <v>86</v>
      </c>
    </row>
    <row r="2327" spans="1:28" hidden="1">
      <c r="A2327" s="163" t="s">
        <v>1017</v>
      </c>
      <c r="B2327" s="164">
        <v>45740</v>
      </c>
      <c r="C2327" s="163" t="s">
        <v>127</v>
      </c>
      <c r="D2327" s="163" t="s">
        <v>281</v>
      </c>
      <c r="E2327" s="163" t="s">
        <v>199</v>
      </c>
      <c r="F2327" s="165">
        <v>-130</v>
      </c>
      <c r="G2327" s="165">
        <f t="shared" si="52"/>
        <v>-163923.86900000012</v>
      </c>
      <c r="H2327" s="163"/>
      <c r="I2327" s="163" t="s">
        <v>977</v>
      </c>
      <c r="J2327" s="163"/>
      <c r="K2327" s="163"/>
      <c r="L2327" s="163" t="s">
        <v>766</v>
      </c>
      <c r="M2327" s="163"/>
      <c r="N2327" s="163" t="s">
        <v>978</v>
      </c>
      <c r="O2327" s="163"/>
      <c r="P2327" s="163"/>
      <c r="Q2327" s="163"/>
      <c r="R2327" s="163" t="s">
        <v>127</v>
      </c>
      <c r="S2327" s="163"/>
      <c r="T2327" s="43">
        <f t="shared" si="53"/>
        <v>3</v>
      </c>
      <c r="U2327" s="167">
        <f t="shared" si="50"/>
        <v>45777</v>
      </c>
      <c r="V2327" s="145">
        <v>45777</v>
      </c>
      <c r="W2327" s="43">
        <f t="shared" si="51"/>
        <v>4</v>
      </c>
      <c r="X2327" s="49" t="s">
        <v>1480</v>
      </c>
      <c r="Y2327" s="49" t="s">
        <v>25</v>
      </c>
    </row>
    <row r="2328" spans="1:28" hidden="1">
      <c r="A2328" s="163" t="s">
        <v>1017</v>
      </c>
      <c r="B2328" s="164">
        <v>45769</v>
      </c>
      <c r="C2328" s="163" t="s">
        <v>127</v>
      </c>
      <c r="D2328" s="163" t="s">
        <v>281</v>
      </c>
      <c r="E2328" s="163" t="s">
        <v>199</v>
      </c>
      <c r="F2328" s="168">
        <v>-130</v>
      </c>
      <c r="G2328" s="165">
        <f t="shared" si="52"/>
        <v>-164053.86900000012</v>
      </c>
      <c r="H2328" s="180"/>
      <c r="I2328" s="180"/>
      <c r="J2328" s="180"/>
      <c r="K2328" s="180"/>
      <c r="L2328" s="180"/>
      <c r="M2328" s="180"/>
      <c r="N2328" s="180"/>
      <c r="O2328" s="180"/>
      <c r="P2328" s="180"/>
      <c r="Q2328" s="180"/>
      <c r="R2328" s="180"/>
      <c r="S2328" s="180"/>
      <c r="T2328" s="43">
        <f t="shared" si="53"/>
        <v>4</v>
      </c>
      <c r="U2328" s="167">
        <f t="shared" si="50"/>
        <v>45777</v>
      </c>
      <c r="V2328" s="145">
        <v>45777</v>
      </c>
      <c r="W2328" s="43">
        <f t="shared" si="51"/>
        <v>4</v>
      </c>
      <c r="X2328" s="49"/>
      <c r="Y2328" s="49"/>
      <c r="Z2328" s="183"/>
      <c r="AA2328" s="183"/>
      <c r="AB2328" s="183"/>
    </row>
    <row r="2329" spans="1:28" hidden="1">
      <c r="A2329" s="163" t="s">
        <v>1017</v>
      </c>
      <c r="B2329" s="164">
        <v>45750</v>
      </c>
      <c r="C2329" s="163" t="s">
        <v>132</v>
      </c>
      <c r="D2329" s="163" t="s">
        <v>281</v>
      </c>
      <c r="E2329" s="163" t="s">
        <v>199</v>
      </c>
      <c r="F2329" s="165"/>
      <c r="G2329" s="165">
        <f t="shared" si="52"/>
        <v>-164053.86900000012</v>
      </c>
      <c r="H2329" s="180"/>
      <c r="I2329" s="180"/>
      <c r="J2329" s="180"/>
      <c r="K2329" s="180"/>
      <c r="L2329" s="180"/>
      <c r="M2329" s="180"/>
      <c r="N2329" s="180"/>
      <c r="O2329" s="180"/>
      <c r="P2329" s="180"/>
      <c r="Q2329" s="180"/>
      <c r="R2329" s="180"/>
      <c r="S2329" s="180"/>
      <c r="T2329" s="43">
        <f t="shared" si="53"/>
        <v>4</v>
      </c>
      <c r="U2329" s="167">
        <f t="shared" si="50"/>
        <v>45777</v>
      </c>
      <c r="V2329" s="145">
        <v>45777</v>
      </c>
      <c r="W2329" s="43">
        <f t="shared" si="51"/>
        <v>4</v>
      </c>
      <c r="X2329" s="49"/>
      <c r="Y2329" s="49"/>
      <c r="Z2329" s="183"/>
      <c r="AA2329" s="183"/>
      <c r="AB2329" s="183"/>
    </row>
    <row r="2330" spans="1:28" hidden="1">
      <c r="A2330" s="163" t="s">
        <v>1017</v>
      </c>
      <c r="B2330" s="164">
        <v>45754</v>
      </c>
      <c r="C2330" s="163" t="s">
        <v>1370</v>
      </c>
      <c r="D2330" s="163" t="s">
        <v>281</v>
      </c>
      <c r="E2330" s="163" t="s">
        <v>199</v>
      </c>
      <c r="F2330" s="168"/>
      <c r="G2330" s="165">
        <f t="shared" si="52"/>
        <v>-164053.86900000012</v>
      </c>
      <c r="H2330" s="180"/>
      <c r="I2330" s="180"/>
      <c r="J2330" s="180"/>
      <c r="K2330" s="180"/>
      <c r="L2330" s="180"/>
      <c r="M2330" s="180"/>
      <c r="N2330" s="180"/>
      <c r="O2330" s="180"/>
      <c r="P2330" s="180"/>
      <c r="Q2330" s="180"/>
      <c r="R2330" s="180"/>
      <c r="S2330" s="180"/>
      <c r="T2330" s="43">
        <f t="shared" si="53"/>
        <v>4</v>
      </c>
      <c r="U2330" s="167">
        <f t="shared" si="50"/>
        <v>45763</v>
      </c>
      <c r="V2330" s="145">
        <v>45763</v>
      </c>
      <c r="W2330" s="43">
        <f t="shared" si="51"/>
        <v>4</v>
      </c>
      <c r="X2330" s="49"/>
      <c r="Y2330" s="49"/>
      <c r="Z2330" s="183"/>
      <c r="AA2330" s="183"/>
      <c r="AB2330" s="183"/>
    </row>
    <row r="2331" spans="1:28" hidden="1">
      <c r="A2331" s="163" t="s">
        <v>1017</v>
      </c>
      <c r="B2331" s="164">
        <v>45751</v>
      </c>
      <c r="C2331" s="163" t="s">
        <v>126</v>
      </c>
      <c r="D2331" s="163" t="s">
        <v>281</v>
      </c>
      <c r="E2331" s="163" t="s">
        <v>199</v>
      </c>
      <c r="F2331" s="168">
        <v>-120</v>
      </c>
      <c r="G2331" s="165">
        <f t="shared" si="52"/>
        <v>-164173.86900000012</v>
      </c>
      <c r="H2331" s="180"/>
      <c r="I2331" s="180"/>
      <c r="J2331" s="180"/>
      <c r="K2331" s="180"/>
      <c r="L2331" s="180"/>
      <c r="M2331" s="180"/>
      <c r="N2331" s="180"/>
      <c r="O2331" s="180"/>
      <c r="P2331" s="180"/>
      <c r="Q2331" s="180"/>
      <c r="R2331" s="180"/>
      <c r="S2331" s="180"/>
      <c r="T2331" s="43">
        <f t="shared" si="53"/>
        <v>4</v>
      </c>
      <c r="U2331" s="167">
        <f t="shared" si="50"/>
        <v>45777</v>
      </c>
      <c r="V2331" s="145">
        <v>45777</v>
      </c>
      <c r="W2331" s="43">
        <f t="shared" si="51"/>
        <v>4</v>
      </c>
      <c r="X2331" s="49"/>
      <c r="Y2331" s="49"/>
      <c r="Z2331" s="183"/>
      <c r="AA2331" s="183"/>
      <c r="AB2331" s="183"/>
    </row>
    <row r="2332" spans="1:28" hidden="1">
      <c r="A2332" s="163" t="s">
        <v>1017</v>
      </c>
      <c r="B2332" s="164">
        <v>45761</v>
      </c>
      <c r="C2332" s="163" t="s">
        <v>1846</v>
      </c>
      <c r="D2332" s="163" t="s">
        <v>281</v>
      </c>
      <c r="E2332" s="163" t="s">
        <v>199</v>
      </c>
      <c r="F2332" s="168">
        <v>-74.5</v>
      </c>
      <c r="G2332" s="165">
        <f t="shared" si="52"/>
        <v>-164248.36900000012</v>
      </c>
      <c r="H2332" s="180"/>
      <c r="I2332" s="180"/>
      <c r="J2332" s="180"/>
      <c r="K2332" s="180"/>
      <c r="L2332" s="180"/>
      <c r="M2332" s="180"/>
      <c r="N2332" s="180"/>
      <c r="O2332" s="180"/>
      <c r="P2332" s="180"/>
      <c r="Q2332" s="180"/>
      <c r="R2332" s="180"/>
      <c r="S2332" s="180"/>
      <c r="T2332" s="43">
        <f t="shared" si="53"/>
        <v>4</v>
      </c>
      <c r="U2332" s="167">
        <f t="shared" si="50"/>
        <v>45777</v>
      </c>
      <c r="V2332" s="145">
        <v>45777</v>
      </c>
      <c r="W2332" s="43">
        <f t="shared" si="51"/>
        <v>4</v>
      </c>
      <c r="X2332" s="49"/>
      <c r="Y2332" s="49"/>
      <c r="Z2332" s="183"/>
      <c r="AA2332" s="183"/>
      <c r="AB2332" s="183"/>
    </row>
    <row r="2333" spans="1:28" hidden="1">
      <c r="A2333" s="163" t="s">
        <v>1017</v>
      </c>
      <c r="B2333" s="164">
        <v>45761</v>
      </c>
      <c r="C2333" s="163" t="s">
        <v>1389</v>
      </c>
      <c r="D2333" s="163" t="s">
        <v>281</v>
      </c>
      <c r="E2333" s="163" t="s">
        <v>199</v>
      </c>
      <c r="F2333" s="168">
        <v>-22</v>
      </c>
      <c r="G2333" s="165">
        <f t="shared" si="52"/>
        <v>-164270.36900000012</v>
      </c>
      <c r="H2333" s="180"/>
      <c r="I2333" s="180"/>
      <c r="J2333" s="180"/>
      <c r="K2333" s="180"/>
      <c r="L2333" s="180"/>
      <c r="M2333" s="180"/>
      <c r="N2333" s="180"/>
      <c r="O2333" s="180"/>
      <c r="P2333" s="180"/>
      <c r="Q2333" s="180"/>
      <c r="R2333" s="180"/>
      <c r="S2333" s="180"/>
      <c r="T2333" s="43">
        <f t="shared" si="53"/>
        <v>4</v>
      </c>
      <c r="U2333" s="167">
        <f t="shared" si="50"/>
        <v>45777</v>
      </c>
      <c r="V2333" s="145">
        <v>45777</v>
      </c>
      <c r="W2333" s="43">
        <f t="shared" si="51"/>
        <v>4</v>
      </c>
      <c r="X2333" s="49"/>
      <c r="Y2333" s="49"/>
      <c r="Z2333" s="183"/>
      <c r="AA2333" s="183"/>
      <c r="AB2333" s="183"/>
    </row>
    <row r="2334" spans="1:28" hidden="1">
      <c r="A2334" s="163" t="s">
        <v>1017</v>
      </c>
      <c r="B2334" s="164">
        <v>45733</v>
      </c>
      <c r="C2334" s="163" t="s">
        <v>1407</v>
      </c>
      <c r="D2334" s="163" t="s">
        <v>281</v>
      </c>
      <c r="E2334" s="163" t="s">
        <v>199</v>
      </c>
      <c r="F2334" s="168">
        <v>-130</v>
      </c>
      <c r="G2334" s="165">
        <f t="shared" si="52"/>
        <v>-164400.36900000012</v>
      </c>
      <c r="H2334" s="163"/>
      <c r="I2334" s="163" t="s">
        <v>977</v>
      </c>
      <c r="J2334" s="163"/>
      <c r="K2334" s="163"/>
      <c r="L2334" s="163" t="s">
        <v>766</v>
      </c>
      <c r="M2334" s="163"/>
      <c r="N2334" s="163" t="s">
        <v>978</v>
      </c>
      <c r="O2334" s="163"/>
      <c r="P2334" s="163"/>
      <c r="Q2334" s="163"/>
      <c r="R2334" s="163" t="s">
        <v>1560</v>
      </c>
      <c r="S2334" s="163"/>
      <c r="T2334" s="43">
        <f t="shared" si="53"/>
        <v>3</v>
      </c>
      <c r="U2334" s="167">
        <f t="shared" si="50"/>
        <v>45777</v>
      </c>
      <c r="V2334" s="145">
        <v>45777</v>
      </c>
      <c r="W2334" s="43">
        <f t="shared" si="51"/>
        <v>4</v>
      </c>
      <c r="X2334" s="49" t="s">
        <v>1480</v>
      </c>
      <c r="Y2334" s="49" t="s">
        <v>105</v>
      </c>
    </row>
    <row r="2335" spans="1:28" hidden="1">
      <c r="A2335" s="163" t="s">
        <v>1017</v>
      </c>
      <c r="B2335" s="164">
        <v>45762</v>
      </c>
      <c r="C2335" s="163" t="s">
        <v>1407</v>
      </c>
      <c r="D2335" s="163" t="s">
        <v>281</v>
      </c>
      <c r="E2335" s="163" t="s">
        <v>199</v>
      </c>
      <c r="F2335" s="168">
        <v>-130</v>
      </c>
      <c r="G2335" s="165">
        <f t="shared" si="52"/>
        <v>-164530.36900000012</v>
      </c>
      <c r="H2335" s="180"/>
      <c r="I2335" s="180"/>
      <c r="J2335" s="180"/>
      <c r="K2335" s="180"/>
      <c r="L2335" s="180"/>
      <c r="M2335" s="180"/>
      <c r="N2335" s="180"/>
      <c r="O2335" s="180"/>
      <c r="P2335" s="180"/>
      <c r="Q2335" s="180"/>
      <c r="R2335" s="180"/>
      <c r="S2335" s="180"/>
      <c r="T2335" s="43">
        <f t="shared" si="53"/>
        <v>4</v>
      </c>
      <c r="U2335" s="167">
        <f t="shared" si="50"/>
        <v>45777</v>
      </c>
      <c r="V2335" s="145">
        <v>45777</v>
      </c>
      <c r="W2335" s="43">
        <f t="shared" si="51"/>
        <v>4</v>
      </c>
      <c r="X2335" s="49"/>
      <c r="Y2335" s="49"/>
      <c r="Z2335" s="183"/>
      <c r="AA2335" s="183"/>
      <c r="AB2335" s="183"/>
    </row>
    <row r="2336" spans="1:28" hidden="1">
      <c r="A2336" s="180" t="s">
        <v>1017</v>
      </c>
      <c r="B2336" s="181">
        <v>45741</v>
      </c>
      <c r="C2336" s="180" t="s">
        <v>1595</v>
      </c>
      <c r="D2336" s="180" t="s">
        <v>281</v>
      </c>
      <c r="E2336" s="180" t="s">
        <v>199</v>
      </c>
      <c r="F2336" s="185">
        <v>-187.9</v>
      </c>
      <c r="G2336" s="165">
        <f t="shared" si="52"/>
        <v>-164718.26900000012</v>
      </c>
      <c r="H2336" s="180"/>
      <c r="I2336" s="180" t="s">
        <v>283</v>
      </c>
      <c r="J2336" s="180"/>
      <c r="K2336" s="180"/>
      <c r="L2336" s="180" t="s">
        <v>485</v>
      </c>
      <c r="M2336" s="180"/>
      <c r="N2336" s="180" t="s">
        <v>978</v>
      </c>
      <c r="O2336" s="180"/>
      <c r="P2336" s="180"/>
      <c r="Q2336" s="180"/>
      <c r="R2336" s="180" t="s">
        <v>1527</v>
      </c>
      <c r="S2336" s="180"/>
      <c r="T2336" s="183">
        <f t="shared" si="53"/>
        <v>3</v>
      </c>
      <c r="U2336" s="184">
        <f t="shared" si="50"/>
        <v>45777</v>
      </c>
      <c r="V2336" s="145">
        <v>45777</v>
      </c>
      <c r="W2336" s="43">
        <f t="shared" si="51"/>
        <v>4</v>
      </c>
      <c r="X2336" s="183"/>
      <c r="Y2336" s="183"/>
      <c r="Z2336" s="183"/>
      <c r="AA2336" s="183"/>
      <c r="AB2336" s="183"/>
    </row>
    <row r="2337" spans="1:28" hidden="1">
      <c r="A2337" s="163" t="s">
        <v>1017</v>
      </c>
      <c r="B2337" s="164">
        <v>45764</v>
      </c>
      <c r="C2337" s="163" t="s">
        <v>351</v>
      </c>
      <c r="D2337" s="163" t="s">
        <v>281</v>
      </c>
      <c r="E2337" s="163" t="s">
        <v>122</v>
      </c>
      <c r="F2337" s="168">
        <v>-14507.88</v>
      </c>
      <c r="G2337" s="165">
        <f t="shared" si="52"/>
        <v>-179226.14900000012</v>
      </c>
      <c r="H2337" s="180"/>
      <c r="I2337" s="180"/>
      <c r="J2337" s="180"/>
      <c r="K2337" s="180"/>
      <c r="L2337" s="180"/>
      <c r="M2337" s="180"/>
      <c r="N2337" s="180"/>
      <c r="O2337" s="180"/>
      <c r="P2337" s="180"/>
      <c r="Q2337" s="180"/>
      <c r="R2337" s="180"/>
      <c r="S2337" s="180"/>
      <c r="T2337" s="43">
        <f t="shared" si="53"/>
        <v>4</v>
      </c>
      <c r="U2337" s="167">
        <f t="shared" si="50"/>
        <v>45777</v>
      </c>
      <c r="V2337" s="145">
        <v>45777</v>
      </c>
      <c r="W2337" s="43">
        <f t="shared" si="51"/>
        <v>4</v>
      </c>
      <c r="X2337" s="49"/>
      <c r="Y2337" s="49"/>
      <c r="Z2337" s="183"/>
      <c r="AA2337" s="183"/>
      <c r="AB2337" s="183"/>
    </row>
    <row r="2338" spans="1:28" hidden="1">
      <c r="F2338" s="49">
        <v>0</v>
      </c>
      <c r="G2338" s="165">
        <f t="shared" si="52"/>
        <v>-179226.14900000012</v>
      </c>
    </row>
    <row r="2339" spans="1:28" hidden="1">
      <c r="A2339" s="163" t="s">
        <v>1017</v>
      </c>
      <c r="B2339" s="164">
        <v>45769</v>
      </c>
      <c r="C2339" s="163" t="s">
        <v>293</v>
      </c>
      <c r="D2339" s="163" t="s">
        <v>281</v>
      </c>
      <c r="E2339" s="163" t="s">
        <v>294</v>
      </c>
      <c r="F2339" s="185">
        <v>-6413.27</v>
      </c>
      <c r="G2339" s="165">
        <f t="shared" si="52"/>
        <v>-185639.41900000011</v>
      </c>
      <c r="H2339" s="180"/>
      <c r="I2339" s="180"/>
      <c r="J2339" s="180"/>
      <c r="K2339" s="180"/>
      <c r="L2339" s="180"/>
      <c r="M2339" s="180"/>
      <c r="N2339" s="180"/>
      <c r="O2339" s="180"/>
      <c r="P2339" s="180"/>
      <c r="Q2339" s="180"/>
      <c r="R2339" s="180"/>
      <c r="S2339" s="180"/>
      <c r="T2339" s="43">
        <f t="shared" ref="T2339:T2347" si="54">MONTH(B2339)</f>
        <v>4</v>
      </c>
      <c r="U2339" s="167">
        <f t="shared" ref="U2339:U2593" si="55">IF(V2339="",B2339,V2339)</f>
        <v>45777</v>
      </c>
      <c r="V2339" s="145">
        <v>45777</v>
      </c>
      <c r="W2339" s="43">
        <f t="shared" ref="W2339:W2593" si="56">MONTH(U2339)</f>
        <v>4</v>
      </c>
      <c r="X2339" s="49"/>
      <c r="Y2339" s="49"/>
      <c r="Z2339" s="183"/>
      <c r="AA2339" s="183"/>
      <c r="AB2339" s="183"/>
    </row>
    <row r="2340" spans="1:28" hidden="1">
      <c r="A2340" s="163" t="s">
        <v>1017</v>
      </c>
      <c r="B2340" s="164">
        <v>45769</v>
      </c>
      <c r="C2340" s="163" t="s">
        <v>293</v>
      </c>
      <c r="D2340" s="163" t="s">
        <v>281</v>
      </c>
      <c r="E2340" s="163" t="s">
        <v>294</v>
      </c>
      <c r="F2340" s="185">
        <v>-3808.88</v>
      </c>
      <c r="G2340" s="165">
        <f t="shared" si="52"/>
        <v>-189448.29900000012</v>
      </c>
      <c r="H2340" s="180"/>
      <c r="I2340" s="180"/>
      <c r="J2340" s="180"/>
      <c r="K2340" s="180"/>
      <c r="L2340" s="180"/>
      <c r="M2340" s="180"/>
      <c r="N2340" s="180"/>
      <c r="O2340" s="180"/>
      <c r="P2340" s="180"/>
      <c r="Q2340" s="180"/>
      <c r="R2340" s="180"/>
      <c r="S2340" s="180"/>
      <c r="T2340" s="43">
        <f t="shared" si="54"/>
        <v>4</v>
      </c>
      <c r="U2340" s="167">
        <f t="shared" si="55"/>
        <v>45777</v>
      </c>
      <c r="V2340" s="145">
        <v>45777</v>
      </c>
      <c r="W2340" s="43">
        <f t="shared" si="56"/>
        <v>4</v>
      </c>
      <c r="X2340" s="49"/>
      <c r="Y2340" s="49"/>
      <c r="Z2340" s="183"/>
      <c r="AA2340" s="183"/>
      <c r="AB2340" s="183"/>
    </row>
    <row r="2341" spans="1:28" hidden="1">
      <c r="A2341" s="163" t="s">
        <v>1017</v>
      </c>
      <c r="B2341" s="164">
        <v>45769</v>
      </c>
      <c r="C2341" s="163" t="s">
        <v>293</v>
      </c>
      <c r="D2341" s="163" t="s">
        <v>281</v>
      </c>
      <c r="E2341" s="163" t="s">
        <v>294</v>
      </c>
      <c r="F2341" s="185">
        <f>-205.88-1852.92-2928.6-882-1887.5</f>
        <v>-7756.9</v>
      </c>
      <c r="G2341" s="165">
        <f t="shared" si="52"/>
        <v>-197205.19900000011</v>
      </c>
      <c r="H2341" s="180"/>
      <c r="I2341" s="180"/>
      <c r="J2341" s="180"/>
      <c r="K2341" s="180"/>
      <c r="L2341" s="180"/>
      <c r="M2341" s="180"/>
      <c r="N2341" s="180"/>
      <c r="O2341" s="180"/>
      <c r="P2341" s="180"/>
      <c r="Q2341" s="180"/>
      <c r="R2341" s="180"/>
      <c r="S2341" s="180"/>
      <c r="T2341" s="43">
        <f t="shared" si="54"/>
        <v>4</v>
      </c>
      <c r="U2341" s="167">
        <f t="shared" si="55"/>
        <v>45777</v>
      </c>
      <c r="V2341" s="145">
        <v>45777</v>
      </c>
      <c r="W2341" s="43">
        <f t="shared" si="56"/>
        <v>4</v>
      </c>
      <c r="X2341" s="49"/>
      <c r="Y2341" s="49"/>
      <c r="Z2341" s="183"/>
      <c r="AA2341" s="183"/>
      <c r="AB2341" s="183"/>
    </row>
    <row r="2342" spans="1:28" hidden="1">
      <c r="A2342" s="163" t="s">
        <v>1017</v>
      </c>
      <c r="B2342" s="164">
        <v>45769</v>
      </c>
      <c r="C2342" s="163" t="s">
        <v>293</v>
      </c>
      <c r="D2342" s="163" t="s">
        <v>281</v>
      </c>
      <c r="E2342" s="163" t="s">
        <v>294</v>
      </c>
      <c r="F2342" s="185">
        <v>-2253.3000000000002</v>
      </c>
      <c r="G2342" s="165">
        <f t="shared" si="52"/>
        <v>-199458.4990000001</v>
      </c>
      <c r="H2342" s="180"/>
      <c r="I2342" s="180"/>
      <c r="J2342" s="180"/>
      <c r="K2342" s="180"/>
      <c r="L2342" s="180"/>
      <c r="M2342" s="180"/>
      <c r="N2342" s="180"/>
      <c r="O2342" s="180"/>
      <c r="P2342" s="180"/>
      <c r="Q2342" s="180"/>
      <c r="R2342" s="180"/>
      <c r="S2342" s="180"/>
      <c r="T2342" s="43">
        <f t="shared" si="54"/>
        <v>4</v>
      </c>
      <c r="U2342" s="167">
        <f t="shared" si="55"/>
        <v>45777</v>
      </c>
      <c r="V2342" s="145">
        <v>45777</v>
      </c>
      <c r="W2342" s="43">
        <f t="shared" si="56"/>
        <v>4</v>
      </c>
      <c r="X2342" s="49"/>
      <c r="Y2342" s="49"/>
      <c r="Z2342" s="183"/>
      <c r="AA2342" s="183"/>
      <c r="AB2342" s="183"/>
    </row>
    <row r="2343" spans="1:28" hidden="1">
      <c r="A2343" s="163" t="s">
        <v>1017</v>
      </c>
      <c r="B2343" s="164">
        <v>45777</v>
      </c>
      <c r="C2343" s="163" t="s">
        <v>293</v>
      </c>
      <c r="D2343" s="163" t="s">
        <v>281</v>
      </c>
      <c r="E2343" s="163" t="s">
        <v>294</v>
      </c>
      <c r="F2343" s="168">
        <v>-1085</v>
      </c>
      <c r="G2343" s="165">
        <f t="shared" si="52"/>
        <v>-200543.4990000001</v>
      </c>
      <c r="H2343" s="180"/>
      <c r="I2343" s="180"/>
      <c r="J2343" s="180"/>
      <c r="K2343" s="180"/>
      <c r="L2343" s="180"/>
      <c r="M2343" s="180"/>
      <c r="N2343" s="180"/>
      <c r="O2343" s="180"/>
      <c r="P2343" s="180"/>
      <c r="Q2343" s="180"/>
      <c r="R2343" s="180"/>
      <c r="S2343" s="180"/>
      <c r="T2343" s="43">
        <f t="shared" si="54"/>
        <v>4</v>
      </c>
      <c r="U2343" s="167">
        <f t="shared" si="55"/>
        <v>45777</v>
      </c>
      <c r="V2343" s="145"/>
      <c r="W2343" s="43">
        <f t="shared" si="56"/>
        <v>4</v>
      </c>
      <c r="X2343" s="49"/>
      <c r="Y2343" s="49"/>
      <c r="Z2343" s="183"/>
      <c r="AA2343" s="183"/>
      <c r="AB2343" s="183"/>
    </row>
    <row r="2344" spans="1:28" hidden="1">
      <c r="A2344" s="163" t="s">
        <v>1017</v>
      </c>
      <c r="B2344" s="164">
        <v>45777</v>
      </c>
      <c r="C2344" s="163" t="s">
        <v>293</v>
      </c>
      <c r="D2344" s="163" t="s">
        <v>281</v>
      </c>
      <c r="E2344" s="163" t="s">
        <v>294</v>
      </c>
      <c r="F2344" s="168">
        <v>-2268.5</v>
      </c>
      <c r="G2344" s="165">
        <f t="shared" si="52"/>
        <v>-202811.9990000001</v>
      </c>
      <c r="H2344" s="180"/>
      <c r="I2344" s="180"/>
      <c r="J2344" s="180"/>
      <c r="K2344" s="180"/>
      <c r="L2344" s="180"/>
      <c r="M2344" s="180"/>
      <c r="N2344" s="180"/>
      <c r="O2344" s="180"/>
      <c r="P2344" s="180"/>
      <c r="Q2344" s="180"/>
      <c r="R2344" s="180"/>
      <c r="S2344" s="180"/>
      <c r="T2344" s="43">
        <f t="shared" si="54"/>
        <v>4</v>
      </c>
      <c r="U2344" s="167">
        <f t="shared" si="55"/>
        <v>45777</v>
      </c>
      <c r="V2344" s="145"/>
      <c r="W2344" s="43">
        <f t="shared" si="56"/>
        <v>4</v>
      </c>
      <c r="X2344" s="49"/>
      <c r="Y2344" s="49"/>
      <c r="Z2344" s="183"/>
      <c r="AA2344" s="183"/>
      <c r="AB2344" s="183"/>
    </row>
    <row r="2345" spans="1:28" hidden="1">
      <c r="A2345" s="163" t="s">
        <v>1017</v>
      </c>
      <c r="B2345" s="164">
        <v>45770</v>
      </c>
      <c r="C2345" s="163" t="s">
        <v>1326</v>
      </c>
      <c r="D2345" s="163" t="s">
        <v>281</v>
      </c>
      <c r="E2345" s="163" t="s">
        <v>199</v>
      </c>
      <c r="F2345" s="168">
        <v>-544</v>
      </c>
      <c r="G2345" s="165">
        <f t="shared" si="52"/>
        <v>-203355.9990000001</v>
      </c>
      <c r="H2345" s="180"/>
      <c r="I2345" s="180"/>
      <c r="J2345" s="180"/>
      <c r="K2345" s="180"/>
      <c r="L2345" s="180"/>
      <c r="M2345" s="180"/>
      <c r="N2345" s="180"/>
      <c r="O2345" s="180"/>
      <c r="P2345" s="180"/>
      <c r="Q2345" s="180"/>
      <c r="R2345" s="180"/>
      <c r="S2345" s="180"/>
      <c r="T2345" s="43">
        <f t="shared" si="54"/>
        <v>4</v>
      </c>
      <c r="U2345" s="167">
        <f t="shared" si="55"/>
        <v>45777</v>
      </c>
      <c r="V2345" s="145">
        <v>45777</v>
      </c>
      <c r="W2345" s="43">
        <f t="shared" si="56"/>
        <v>4</v>
      </c>
      <c r="X2345" s="49"/>
      <c r="Y2345" s="49"/>
      <c r="Z2345" s="183"/>
      <c r="AA2345" s="183"/>
      <c r="AB2345" s="183"/>
    </row>
    <row r="2346" spans="1:28" hidden="1">
      <c r="A2346" s="163" t="s">
        <v>1017</v>
      </c>
      <c r="B2346" s="164">
        <v>45721</v>
      </c>
      <c r="C2346" s="190" t="s">
        <v>1847</v>
      </c>
      <c r="D2346" s="163" t="s">
        <v>281</v>
      </c>
      <c r="E2346" s="163" t="s">
        <v>399</v>
      </c>
      <c r="F2346" s="168">
        <v>-5154.99</v>
      </c>
      <c r="G2346" s="165">
        <f t="shared" si="52"/>
        <v>-208510.98900000009</v>
      </c>
      <c r="H2346" s="163"/>
      <c r="I2346" s="163" t="s">
        <v>342</v>
      </c>
      <c r="J2346" s="163"/>
      <c r="K2346" s="163"/>
      <c r="L2346" s="163" t="s">
        <v>1571</v>
      </c>
      <c r="M2346" s="163"/>
      <c r="N2346" s="163" t="s">
        <v>978</v>
      </c>
      <c r="O2346" s="163"/>
      <c r="P2346" s="163"/>
      <c r="Q2346" s="163"/>
      <c r="R2346" s="163" t="s">
        <v>396</v>
      </c>
      <c r="S2346" s="163" t="s">
        <v>398</v>
      </c>
      <c r="T2346" s="43">
        <f t="shared" si="54"/>
        <v>3</v>
      </c>
      <c r="U2346" s="167">
        <f t="shared" si="55"/>
        <v>45777</v>
      </c>
      <c r="V2346" s="145">
        <v>45777</v>
      </c>
      <c r="W2346" s="43">
        <f t="shared" si="56"/>
        <v>4</v>
      </c>
      <c r="X2346" s="43" t="s">
        <v>196</v>
      </c>
      <c r="Y2346" s="43" t="s">
        <v>1443</v>
      </c>
    </row>
    <row r="2347" spans="1:28" hidden="1">
      <c r="A2347" s="163" t="s">
        <v>1017</v>
      </c>
      <c r="B2347" s="164">
        <v>45754</v>
      </c>
      <c r="C2347" s="163" t="s">
        <v>1848</v>
      </c>
      <c r="D2347" s="163" t="s">
        <v>281</v>
      </c>
      <c r="E2347" s="163" t="s">
        <v>399</v>
      </c>
      <c r="F2347" s="168">
        <v>-5582.51</v>
      </c>
      <c r="G2347" s="165">
        <f t="shared" si="52"/>
        <v>-214093.4990000001</v>
      </c>
      <c r="H2347" s="180"/>
      <c r="I2347" s="180"/>
      <c r="J2347" s="180"/>
      <c r="K2347" s="180"/>
      <c r="L2347" s="180"/>
      <c r="M2347" s="180"/>
      <c r="N2347" s="180"/>
      <c r="O2347" s="180"/>
      <c r="P2347" s="180"/>
      <c r="Q2347" s="180"/>
      <c r="R2347" s="180"/>
      <c r="S2347" s="180"/>
      <c r="T2347" s="43">
        <f t="shared" si="54"/>
        <v>4</v>
      </c>
      <c r="U2347" s="167">
        <f t="shared" si="55"/>
        <v>45777</v>
      </c>
      <c r="V2347" s="145">
        <v>45777</v>
      </c>
      <c r="W2347" s="43">
        <f t="shared" si="56"/>
        <v>4</v>
      </c>
      <c r="X2347" s="49"/>
      <c r="Y2347" s="49"/>
      <c r="Z2347" s="183"/>
      <c r="AA2347" s="183"/>
      <c r="AB2347" s="183"/>
    </row>
    <row r="2348" spans="1:28" ht="14.25" hidden="1" customHeight="1">
      <c r="A2348" s="180" t="s">
        <v>1017</v>
      </c>
      <c r="B2348" s="181">
        <v>45758</v>
      </c>
      <c r="C2348" s="180" t="s">
        <v>1849</v>
      </c>
      <c r="D2348" s="180" t="s">
        <v>281</v>
      </c>
      <c r="E2348" s="180" t="s">
        <v>193</v>
      </c>
      <c r="F2348" s="168">
        <v>-3000</v>
      </c>
      <c r="G2348" s="165">
        <f t="shared" si="52"/>
        <v>-217093.4990000001</v>
      </c>
      <c r="H2348" s="180"/>
      <c r="I2348" s="180" t="s">
        <v>342</v>
      </c>
      <c r="J2348" s="180"/>
      <c r="K2348" s="180"/>
      <c r="L2348" s="180" t="s">
        <v>1301</v>
      </c>
      <c r="M2348" s="180"/>
      <c r="N2348" s="180" t="s">
        <v>978</v>
      </c>
      <c r="O2348" s="180"/>
      <c r="P2348" s="180"/>
      <c r="Q2348" s="180"/>
      <c r="R2348" s="180" t="s">
        <v>1463</v>
      </c>
      <c r="S2348" s="180" t="s">
        <v>345</v>
      </c>
      <c r="T2348" s="183">
        <f>MONTH(U2348)</f>
        <v>4</v>
      </c>
      <c r="U2348" s="184">
        <f t="shared" si="55"/>
        <v>45777</v>
      </c>
      <c r="V2348" s="145">
        <v>45777</v>
      </c>
      <c r="W2348" s="43">
        <f t="shared" si="56"/>
        <v>4</v>
      </c>
      <c r="X2348" s="43" t="s">
        <v>1552</v>
      </c>
      <c r="Y2348" s="43" t="s">
        <v>26</v>
      </c>
      <c r="Z2348" s="183"/>
      <c r="AA2348" s="183"/>
      <c r="AB2348" s="183"/>
    </row>
    <row r="2349" spans="1:28" hidden="1">
      <c r="A2349" s="163" t="s">
        <v>1017</v>
      </c>
      <c r="B2349" s="164">
        <v>45754</v>
      </c>
      <c r="C2349" s="163" t="s">
        <v>391</v>
      </c>
      <c r="D2349" s="163" t="s">
        <v>281</v>
      </c>
      <c r="E2349" s="163" t="s">
        <v>392</v>
      </c>
      <c r="F2349" s="168">
        <f>-5000/30*13</f>
        <v>-2166.6666666666665</v>
      </c>
      <c r="G2349" s="165">
        <f t="shared" si="52"/>
        <v>-219260.16566666675</v>
      </c>
      <c r="H2349" s="180"/>
      <c r="I2349" s="180"/>
      <c r="J2349" s="180"/>
      <c r="K2349" s="180"/>
      <c r="L2349" s="180"/>
      <c r="M2349" s="180"/>
      <c r="N2349" s="180"/>
      <c r="O2349" s="180"/>
      <c r="P2349" s="180"/>
      <c r="Q2349" s="180"/>
      <c r="R2349" s="180"/>
      <c r="S2349" s="180"/>
      <c r="T2349" s="43">
        <f t="shared" ref="T2349:T2369" si="57">MONTH(B2349)</f>
        <v>4</v>
      </c>
      <c r="U2349" s="167">
        <f t="shared" si="55"/>
        <v>45777</v>
      </c>
      <c r="V2349" s="145">
        <v>45777</v>
      </c>
      <c r="W2349" s="43">
        <f t="shared" si="56"/>
        <v>4</v>
      </c>
      <c r="X2349" s="49"/>
      <c r="Y2349" s="49"/>
      <c r="Z2349" s="183"/>
      <c r="AA2349" s="183"/>
      <c r="AB2349" s="183"/>
    </row>
    <row r="2350" spans="1:28" hidden="1">
      <c r="A2350" s="163" t="s">
        <v>1017</v>
      </c>
      <c r="B2350" s="164">
        <v>45762</v>
      </c>
      <c r="C2350" s="163" t="s">
        <v>919</v>
      </c>
      <c r="D2350" s="163" t="s">
        <v>281</v>
      </c>
      <c r="E2350" s="163" t="s">
        <v>129</v>
      </c>
      <c r="F2350" s="168">
        <v>-3880</v>
      </c>
      <c r="G2350" s="165">
        <f t="shared" si="52"/>
        <v>-223140.16566666675</v>
      </c>
      <c r="H2350" s="180"/>
      <c r="I2350" s="180"/>
      <c r="J2350" s="180"/>
      <c r="K2350" s="180"/>
      <c r="L2350" s="180"/>
      <c r="M2350" s="180"/>
      <c r="N2350" s="180"/>
      <c r="O2350" s="180"/>
      <c r="P2350" s="180"/>
      <c r="Q2350" s="180"/>
      <c r="R2350" s="180"/>
      <c r="S2350" s="180"/>
      <c r="T2350" s="43">
        <f t="shared" si="57"/>
        <v>4</v>
      </c>
      <c r="U2350" s="167">
        <f t="shared" si="55"/>
        <v>45777</v>
      </c>
      <c r="V2350" s="145">
        <v>45777</v>
      </c>
      <c r="W2350" s="43">
        <f t="shared" si="56"/>
        <v>4</v>
      </c>
      <c r="X2350" s="49"/>
      <c r="Y2350" s="49"/>
      <c r="Z2350" s="183"/>
      <c r="AA2350" s="183"/>
      <c r="AB2350" s="183"/>
    </row>
    <row r="2351" spans="1:28" hidden="1">
      <c r="A2351" s="163" t="s">
        <v>1017</v>
      </c>
      <c r="B2351" s="164">
        <v>45762</v>
      </c>
      <c r="C2351" s="163" t="s">
        <v>919</v>
      </c>
      <c r="D2351" s="163" t="s">
        <v>281</v>
      </c>
      <c r="E2351" s="163" t="s">
        <v>129</v>
      </c>
      <c r="F2351" s="168">
        <v>-1518</v>
      </c>
      <c r="G2351" s="165">
        <f t="shared" si="52"/>
        <v>-224658.16566666675</v>
      </c>
      <c r="H2351" s="180"/>
      <c r="I2351" s="180"/>
      <c r="J2351" s="180"/>
      <c r="K2351" s="180"/>
      <c r="L2351" s="180"/>
      <c r="M2351" s="180"/>
      <c r="N2351" s="180"/>
      <c r="O2351" s="180"/>
      <c r="P2351" s="180"/>
      <c r="Q2351" s="180"/>
      <c r="R2351" s="180"/>
      <c r="S2351" s="180"/>
      <c r="T2351" s="43">
        <f t="shared" si="57"/>
        <v>4</v>
      </c>
      <c r="U2351" s="167">
        <f t="shared" si="55"/>
        <v>45777</v>
      </c>
      <c r="V2351" s="145">
        <v>45777</v>
      </c>
      <c r="W2351" s="43">
        <f t="shared" si="56"/>
        <v>4</v>
      </c>
      <c r="X2351" s="49"/>
      <c r="Y2351" s="49"/>
      <c r="Z2351" s="183"/>
      <c r="AA2351" s="183"/>
      <c r="AB2351" s="183"/>
    </row>
    <row r="2352" spans="1:28" ht="14.25" hidden="1" customHeight="1">
      <c r="A2352" s="180" t="s">
        <v>976</v>
      </c>
      <c r="B2352" s="181">
        <v>45762</v>
      </c>
      <c r="C2352" s="180" t="s">
        <v>919</v>
      </c>
      <c r="D2352" s="180" t="s">
        <v>281</v>
      </c>
      <c r="E2352" s="180" t="s">
        <v>129</v>
      </c>
      <c r="F2352" s="168">
        <v>-520</v>
      </c>
      <c r="G2352" s="165">
        <f t="shared" si="52"/>
        <v>-225178.16566666675</v>
      </c>
      <c r="H2352" s="180"/>
      <c r="I2352" s="180" t="s">
        <v>342</v>
      </c>
      <c r="J2352" s="180"/>
      <c r="K2352" s="180"/>
      <c r="L2352" s="180" t="s">
        <v>508</v>
      </c>
      <c r="M2352" s="180"/>
      <c r="N2352" s="180" t="s">
        <v>978</v>
      </c>
      <c r="O2352" s="180"/>
      <c r="P2352" s="180"/>
      <c r="Q2352" s="180"/>
      <c r="R2352" s="180" t="s">
        <v>922</v>
      </c>
      <c r="S2352" s="180" t="s">
        <v>923</v>
      </c>
      <c r="T2352" s="183">
        <f t="shared" si="57"/>
        <v>4</v>
      </c>
      <c r="U2352" s="184">
        <f t="shared" si="55"/>
        <v>45777</v>
      </c>
      <c r="V2352" s="145">
        <v>45777</v>
      </c>
      <c r="W2352" s="43">
        <f t="shared" si="56"/>
        <v>4</v>
      </c>
      <c r="X2352" s="49" t="s">
        <v>1552</v>
      </c>
      <c r="Y2352" s="49" t="s">
        <v>1443</v>
      </c>
      <c r="Z2352" s="43"/>
      <c r="AA2352" s="183"/>
      <c r="AB2352" s="183" t="s">
        <v>1541</v>
      </c>
    </row>
    <row r="2353" spans="1:28" hidden="1">
      <c r="A2353" s="163" t="s">
        <v>1017</v>
      </c>
      <c r="B2353" s="164">
        <v>45705</v>
      </c>
      <c r="C2353" s="163" t="s">
        <v>1155</v>
      </c>
      <c r="D2353" s="163" t="s">
        <v>281</v>
      </c>
      <c r="E2353" s="163" t="s">
        <v>392</v>
      </c>
      <c r="F2353" s="168">
        <v>-8606.89</v>
      </c>
      <c r="G2353" s="165">
        <f t="shared" si="52"/>
        <v>-233785.05566666677</v>
      </c>
      <c r="H2353" s="163"/>
      <c r="I2353" s="163" t="s">
        <v>283</v>
      </c>
      <c r="J2353" s="163"/>
      <c r="K2353" s="163"/>
      <c r="L2353" s="163" t="s">
        <v>766</v>
      </c>
      <c r="M2353" s="163"/>
      <c r="N2353" s="163" t="s">
        <v>978</v>
      </c>
      <c r="O2353" s="163"/>
      <c r="P2353" s="163"/>
      <c r="Q2353" s="163"/>
      <c r="R2353" s="163" t="s">
        <v>1155</v>
      </c>
      <c r="S2353" s="163" t="s">
        <v>1156</v>
      </c>
      <c r="T2353" s="43">
        <f t="shared" si="57"/>
        <v>2</v>
      </c>
      <c r="U2353" s="167">
        <f t="shared" si="55"/>
        <v>45777</v>
      </c>
      <c r="V2353" s="167">
        <v>45777</v>
      </c>
      <c r="W2353" s="43">
        <f t="shared" si="56"/>
        <v>4</v>
      </c>
      <c r="X2353" s="49" t="s">
        <v>392</v>
      </c>
      <c r="Y2353" s="49" t="s">
        <v>1443</v>
      </c>
    </row>
    <row r="2354" spans="1:28" hidden="1">
      <c r="A2354" s="163" t="s">
        <v>1017</v>
      </c>
      <c r="B2354" s="164">
        <v>45747</v>
      </c>
      <c r="C2354" s="163" t="s">
        <v>1155</v>
      </c>
      <c r="D2354" s="163" t="s">
        <v>281</v>
      </c>
      <c r="E2354" s="163" t="s">
        <v>392</v>
      </c>
      <c r="F2354" s="168">
        <v>-8606.89</v>
      </c>
      <c r="G2354" s="165">
        <f t="shared" si="52"/>
        <v>-242391.94566666678</v>
      </c>
      <c r="H2354" s="163"/>
      <c r="I2354" s="163" t="s">
        <v>283</v>
      </c>
      <c r="J2354" s="163"/>
      <c r="K2354" s="163"/>
      <c r="L2354" s="163" t="s">
        <v>1510</v>
      </c>
      <c r="M2354" s="163"/>
      <c r="N2354" s="163" t="s">
        <v>978</v>
      </c>
      <c r="O2354" s="163"/>
      <c r="P2354" s="163"/>
      <c r="Q2354" s="163"/>
      <c r="R2354" s="163" t="s">
        <v>1155</v>
      </c>
      <c r="S2354" s="163" t="s">
        <v>1156</v>
      </c>
      <c r="T2354" s="43">
        <f t="shared" si="57"/>
        <v>3</v>
      </c>
      <c r="U2354" s="167">
        <f t="shared" si="55"/>
        <v>45777</v>
      </c>
      <c r="V2354" s="167">
        <v>45777</v>
      </c>
      <c r="W2354" s="43">
        <f t="shared" si="56"/>
        <v>4</v>
      </c>
      <c r="X2354" s="49" t="s">
        <v>392</v>
      </c>
      <c r="Y2354" s="49" t="s">
        <v>1443</v>
      </c>
    </row>
    <row r="2355" spans="1:28" hidden="1">
      <c r="A2355" s="163" t="s">
        <v>1017</v>
      </c>
      <c r="B2355" s="164">
        <v>45763</v>
      </c>
      <c r="C2355" s="163" t="s">
        <v>1155</v>
      </c>
      <c r="D2355" s="163" t="s">
        <v>281</v>
      </c>
      <c r="E2355" s="163" t="s">
        <v>392</v>
      </c>
      <c r="F2355" s="168">
        <v>-9385</v>
      </c>
      <c r="G2355" s="165">
        <f t="shared" si="52"/>
        <v>-251776.94566666678</v>
      </c>
      <c r="H2355" s="180"/>
      <c r="I2355" s="180"/>
      <c r="J2355" s="180"/>
      <c r="K2355" s="180"/>
      <c r="L2355" s="180"/>
      <c r="M2355" s="180"/>
      <c r="N2355" s="180"/>
      <c r="O2355" s="180"/>
      <c r="P2355" s="180"/>
      <c r="Q2355" s="180"/>
      <c r="R2355" s="180"/>
      <c r="S2355" s="180"/>
      <c r="T2355" s="43">
        <f t="shared" si="57"/>
        <v>4</v>
      </c>
      <c r="U2355" s="167">
        <f t="shared" si="55"/>
        <v>45777</v>
      </c>
      <c r="V2355" s="145">
        <v>45777</v>
      </c>
      <c r="W2355" s="43">
        <f t="shared" si="56"/>
        <v>4</v>
      </c>
      <c r="X2355" s="49"/>
      <c r="Y2355" s="49"/>
      <c r="Z2355" s="183"/>
      <c r="AA2355" s="183"/>
      <c r="AB2355" s="183"/>
    </row>
    <row r="2356" spans="1:28" hidden="1">
      <c r="A2356" s="163" t="s">
        <v>1017</v>
      </c>
      <c r="B2356" s="164">
        <v>45777</v>
      </c>
      <c r="C2356" s="163" t="s">
        <v>1155</v>
      </c>
      <c r="D2356" s="163" t="s">
        <v>281</v>
      </c>
      <c r="E2356" s="163" t="s">
        <v>392</v>
      </c>
      <c r="F2356" s="168">
        <v>-8606.89</v>
      </c>
      <c r="G2356" s="165">
        <f t="shared" si="52"/>
        <v>-260383.8356666668</v>
      </c>
      <c r="H2356" s="180"/>
      <c r="I2356" s="180"/>
      <c r="J2356" s="180"/>
      <c r="K2356" s="180"/>
      <c r="L2356" s="180"/>
      <c r="M2356" s="180"/>
      <c r="N2356" s="180"/>
      <c r="O2356" s="180"/>
      <c r="P2356" s="180"/>
      <c r="Q2356" s="180"/>
      <c r="R2356" s="180"/>
      <c r="S2356" s="180"/>
      <c r="T2356" s="43">
        <f t="shared" si="57"/>
        <v>4</v>
      </c>
      <c r="U2356" s="167">
        <f t="shared" si="55"/>
        <v>45777</v>
      </c>
      <c r="V2356" s="145"/>
      <c r="W2356" s="43">
        <f t="shared" si="56"/>
        <v>4</v>
      </c>
      <c r="X2356" s="49"/>
      <c r="Y2356" s="49"/>
      <c r="Z2356" s="183"/>
      <c r="AA2356" s="183"/>
      <c r="AB2356" s="183"/>
    </row>
    <row r="2357" spans="1:28" hidden="1">
      <c r="A2357" s="163" t="s">
        <v>1017</v>
      </c>
      <c r="B2357" s="164">
        <v>45736</v>
      </c>
      <c r="C2357" s="163" t="s">
        <v>1073</v>
      </c>
      <c r="D2357" s="163" t="s">
        <v>281</v>
      </c>
      <c r="E2357" s="163" t="s">
        <v>1074</v>
      </c>
      <c r="F2357" s="168">
        <v>-608</v>
      </c>
      <c r="G2357" s="165">
        <f t="shared" si="52"/>
        <v>-260991.8356666668</v>
      </c>
      <c r="H2357" s="163"/>
      <c r="I2357" s="163" t="s">
        <v>342</v>
      </c>
      <c r="J2357" s="163"/>
      <c r="K2357" s="163"/>
      <c r="L2357" s="163" t="s">
        <v>1686</v>
      </c>
      <c r="M2357" s="163"/>
      <c r="N2357" s="163" t="s">
        <v>978</v>
      </c>
      <c r="O2357" s="163"/>
      <c r="P2357" s="163"/>
      <c r="Q2357" s="163"/>
      <c r="R2357" s="163" t="s">
        <v>1075</v>
      </c>
      <c r="S2357" s="163" t="s">
        <v>1076</v>
      </c>
      <c r="T2357" s="43">
        <f t="shared" si="57"/>
        <v>3</v>
      </c>
      <c r="U2357" s="167">
        <f t="shared" si="55"/>
        <v>45777</v>
      </c>
      <c r="V2357" s="145">
        <v>45777</v>
      </c>
      <c r="W2357" s="43">
        <f t="shared" si="56"/>
        <v>4</v>
      </c>
      <c r="X2357" s="49" t="s">
        <v>1483</v>
      </c>
      <c r="Y2357" s="49" t="s">
        <v>1443</v>
      </c>
    </row>
    <row r="2358" spans="1:28" hidden="1">
      <c r="A2358" s="163" t="s">
        <v>1017</v>
      </c>
      <c r="B2358" s="164">
        <v>45769</v>
      </c>
      <c r="C2358" s="163" t="s">
        <v>1073</v>
      </c>
      <c r="D2358" s="163" t="s">
        <v>281</v>
      </c>
      <c r="E2358" s="163" t="s">
        <v>1074</v>
      </c>
      <c r="F2358" s="168">
        <v>-608</v>
      </c>
      <c r="G2358" s="165">
        <f t="shared" si="52"/>
        <v>-261599.8356666668</v>
      </c>
      <c r="H2358" s="180"/>
      <c r="I2358" s="180"/>
      <c r="J2358" s="180"/>
      <c r="K2358" s="180"/>
      <c r="L2358" s="180"/>
      <c r="M2358" s="180"/>
      <c r="N2358" s="180"/>
      <c r="O2358" s="180"/>
      <c r="P2358" s="180"/>
      <c r="Q2358" s="180"/>
      <c r="R2358" s="180"/>
      <c r="S2358" s="180"/>
      <c r="T2358" s="43">
        <f t="shared" si="57"/>
        <v>4</v>
      </c>
      <c r="U2358" s="167">
        <f t="shared" si="55"/>
        <v>45777</v>
      </c>
      <c r="V2358" s="145">
        <v>45777</v>
      </c>
      <c r="W2358" s="43">
        <f t="shared" si="56"/>
        <v>4</v>
      </c>
      <c r="X2358" s="49"/>
      <c r="Y2358" s="49"/>
      <c r="Z2358" s="183"/>
      <c r="AA2358" s="183"/>
      <c r="AB2358" s="183"/>
    </row>
    <row r="2359" spans="1:28" hidden="1">
      <c r="A2359" s="163" t="s">
        <v>1017</v>
      </c>
      <c r="B2359" s="164">
        <v>45730</v>
      </c>
      <c r="C2359" s="163" t="s">
        <v>998</v>
      </c>
      <c r="D2359" s="163" t="s">
        <v>281</v>
      </c>
      <c r="E2359" s="163" t="s">
        <v>199</v>
      </c>
      <c r="F2359" s="168">
        <v>-1295.76</v>
      </c>
      <c r="G2359" s="165">
        <f t="shared" si="52"/>
        <v>-262895.59566666681</v>
      </c>
      <c r="H2359" s="163"/>
      <c r="I2359" s="163" t="s">
        <v>342</v>
      </c>
      <c r="J2359" s="163"/>
      <c r="K2359" s="163"/>
      <c r="L2359" s="163" t="s">
        <v>1571</v>
      </c>
      <c r="M2359" s="163"/>
      <c r="N2359" s="163" t="s">
        <v>978</v>
      </c>
      <c r="O2359" s="163"/>
      <c r="P2359" s="163"/>
      <c r="Q2359" s="163"/>
      <c r="R2359" s="163" t="s">
        <v>999</v>
      </c>
      <c r="S2359" s="163" t="s">
        <v>1000</v>
      </c>
      <c r="T2359" s="43">
        <f t="shared" si="57"/>
        <v>3</v>
      </c>
      <c r="U2359" s="167">
        <f t="shared" si="55"/>
        <v>45777</v>
      </c>
      <c r="V2359" s="145">
        <v>45777</v>
      </c>
      <c r="W2359" s="43">
        <f t="shared" si="56"/>
        <v>4</v>
      </c>
      <c r="X2359" s="49" t="s">
        <v>1480</v>
      </c>
      <c r="Y2359" s="49" t="s">
        <v>1488</v>
      </c>
    </row>
    <row r="2360" spans="1:28" hidden="1">
      <c r="A2360" s="163" t="s">
        <v>1017</v>
      </c>
      <c r="B2360" s="164">
        <v>45747</v>
      </c>
      <c r="C2360" s="293" t="s">
        <v>1305</v>
      </c>
      <c r="D2360" s="163" t="s">
        <v>281</v>
      </c>
      <c r="E2360" s="163" t="s">
        <v>199</v>
      </c>
      <c r="F2360" s="185">
        <v>-3000</v>
      </c>
      <c r="G2360" s="165">
        <f t="shared" si="52"/>
        <v>-265895.59566666681</v>
      </c>
      <c r="H2360" s="163"/>
      <c r="I2360" s="163" t="s">
        <v>342</v>
      </c>
      <c r="J2360" s="163"/>
      <c r="K2360" s="163"/>
      <c r="L2360" s="163" t="s">
        <v>795</v>
      </c>
      <c r="M2360" s="163"/>
      <c r="N2360" s="163" t="s">
        <v>978</v>
      </c>
      <c r="O2360" s="163"/>
      <c r="P2360" s="163"/>
      <c r="Q2360" s="163"/>
      <c r="R2360" s="163" t="s">
        <v>1305</v>
      </c>
      <c r="S2360" s="163" t="s">
        <v>1306</v>
      </c>
      <c r="T2360" s="43">
        <f t="shared" si="57"/>
        <v>3</v>
      </c>
      <c r="U2360" s="167">
        <f t="shared" si="55"/>
        <v>45777</v>
      </c>
      <c r="V2360" s="145">
        <v>45777</v>
      </c>
      <c r="W2360" s="43">
        <f t="shared" si="56"/>
        <v>4</v>
      </c>
      <c r="X2360" s="49" t="s">
        <v>1480</v>
      </c>
      <c r="Y2360" s="49" t="s">
        <v>26</v>
      </c>
    </row>
    <row r="2361" spans="1:28" ht="14.25" hidden="1" customHeight="1">
      <c r="A2361" s="180" t="s">
        <v>1017</v>
      </c>
      <c r="B2361" s="181">
        <v>45777</v>
      </c>
      <c r="C2361" s="293" t="s">
        <v>1305</v>
      </c>
      <c r="D2361" s="180" t="s">
        <v>281</v>
      </c>
      <c r="E2361" s="180" t="s">
        <v>199</v>
      </c>
      <c r="F2361" s="168">
        <v>-3000</v>
      </c>
      <c r="G2361" s="165">
        <f t="shared" si="52"/>
        <v>-268895.59566666681</v>
      </c>
      <c r="H2361" s="180"/>
      <c r="I2361" s="180" t="s">
        <v>342</v>
      </c>
      <c r="J2361" s="180"/>
      <c r="K2361" s="180"/>
      <c r="L2361" s="180" t="s">
        <v>1270</v>
      </c>
      <c r="M2361" s="180"/>
      <c r="N2361" s="180" t="s">
        <v>978</v>
      </c>
      <c r="O2361" s="180"/>
      <c r="P2361" s="180"/>
      <c r="Q2361" s="180"/>
      <c r="R2361" s="180" t="s">
        <v>1305</v>
      </c>
      <c r="S2361" s="180" t="s">
        <v>1306</v>
      </c>
      <c r="T2361" s="183">
        <f t="shared" si="57"/>
        <v>4</v>
      </c>
      <c r="U2361" s="184">
        <f t="shared" si="55"/>
        <v>45777</v>
      </c>
      <c r="V2361" s="145"/>
      <c r="W2361" s="43">
        <f t="shared" si="56"/>
        <v>4</v>
      </c>
      <c r="X2361" s="43"/>
      <c r="Y2361" s="43"/>
      <c r="Z2361" s="183" t="s">
        <v>1113</v>
      </c>
      <c r="AA2361" s="183"/>
      <c r="AB2361" s="183"/>
    </row>
    <row r="2362" spans="1:28" hidden="1">
      <c r="A2362" s="163" t="s">
        <v>1017</v>
      </c>
      <c r="B2362" s="164">
        <v>45702</v>
      </c>
      <c r="C2362" s="293" t="s">
        <v>1006</v>
      </c>
      <c r="D2362" s="163" t="s">
        <v>281</v>
      </c>
      <c r="E2362" s="163" t="s">
        <v>193</v>
      </c>
      <c r="F2362" s="185">
        <v>-3677.02</v>
      </c>
      <c r="G2362" s="165">
        <f t="shared" si="52"/>
        <v>-272572.61566666682</v>
      </c>
      <c r="H2362" s="163"/>
      <c r="I2362" s="163" t="s">
        <v>342</v>
      </c>
      <c r="J2362" s="163"/>
      <c r="K2362" s="163"/>
      <c r="L2362" s="163" t="s">
        <v>766</v>
      </c>
      <c r="M2362" s="163"/>
      <c r="N2362" s="163" t="s">
        <v>978</v>
      </c>
      <c r="O2362" s="163"/>
      <c r="P2362" s="163"/>
      <c r="Q2362" s="163"/>
      <c r="R2362" s="163" t="s">
        <v>1007</v>
      </c>
      <c r="S2362" s="163" t="s">
        <v>982</v>
      </c>
      <c r="T2362" s="43">
        <f t="shared" si="57"/>
        <v>2</v>
      </c>
      <c r="U2362" s="167">
        <f t="shared" si="55"/>
        <v>45777</v>
      </c>
      <c r="V2362" s="145">
        <v>45777</v>
      </c>
      <c r="W2362" s="43">
        <f t="shared" si="56"/>
        <v>4</v>
      </c>
      <c r="X2362" s="43" t="s">
        <v>1552</v>
      </c>
      <c r="Y2362" s="43" t="s">
        <v>26</v>
      </c>
    </row>
    <row r="2363" spans="1:28" hidden="1">
      <c r="A2363" s="163" t="s">
        <v>1017</v>
      </c>
      <c r="B2363" s="164">
        <v>45702</v>
      </c>
      <c r="C2363" s="293" t="s">
        <v>1006</v>
      </c>
      <c r="D2363" s="163" t="s">
        <v>281</v>
      </c>
      <c r="E2363" s="163" t="s">
        <v>193</v>
      </c>
      <c r="F2363" s="185">
        <v>-2322.98</v>
      </c>
      <c r="G2363" s="165">
        <f t="shared" si="52"/>
        <v>-274895.59566666681</v>
      </c>
      <c r="H2363" s="163"/>
      <c r="I2363" s="163" t="s">
        <v>342</v>
      </c>
      <c r="J2363" s="163"/>
      <c r="K2363" s="163"/>
      <c r="L2363" s="163" t="s">
        <v>766</v>
      </c>
      <c r="M2363" s="163"/>
      <c r="N2363" s="163" t="s">
        <v>978</v>
      </c>
      <c r="O2363" s="163"/>
      <c r="P2363" s="163"/>
      <c r="Q2363" s="163"/>
      <c r="R2363" s="163" t="s">
        <v>1007</v>
      </c>
      <c r="S2363" s="163" t="s">
        <v>982</v>
      </c>
      <c r="T2363" s="43">
        <f t="shared" si="57"/>
        <v>2</v>
      </c>
      <c r="U2363" s="167">
        <f t="shared" si="55"/>
        <v>45777</v>
      </c>
      <c r="V2363" s="145">
        <v>45777</v>
      </c>
      <c r="W2363" s="43">
        <f t="shared" si="56"/>
        <v>4</v>
      </c>
      <c r="X2363" s="43" t="s">
        <v>1552</v>
      </c>
      <c r="Y2363" s="43" t="s">
        <v>26</v>
      </c>
    </row>
    <row r="2364" spans="1:28" hidden="1">
      <c r="A2364" s="163" t="s">
        <v>1017</v>
      </c>
      <c r="B2364" s="164">
        <v>45730</v>
      </c>
      <c r="C2364" s="293" t="s">
        <v>1006</v>
      </c>
      <c r="D2364" s="163" t="s">
        <v>281</v>
      </c>
      <c r="E2364" s="163" t="s">
        <v>193</v>
      </c>
      <c r="F2364" s="185">
        <v>-3677.02</v>
      </c>
      <c r="G2364" s="165">
        <f t="shared" si="52"/>
        <v>-278572.61566666682</v>
      </c>
      <c r="H2364" s="163"/>
      <c r="I2364" s="163" t="s">
        <v>342</v>
      </c>
      <c r="J2364" s="163"/>
      <c r="K2364" s="163"/>
      <c r="L2364" s="163" t="s">
        <v>686</v>
      </c>
      <c r="M2364" s="163"/>
      <c r="N2364" s="163" t="s">
        <v>978</v>
      </c>
      <c r="O2364" s="163"/>
      <c r="P2364" s="163"/>
      <c r="Q2364" s="163"/>
      <c r="R2364" s="163" t="s">
        <v>1007</v>
      </c>
      <c r="S2364" s="163" t="s">
        <v>982</v>
      </c>
      <c r="T2364" s="43">
        <f t="shared" si="57"/>
        <v>3</v>
      </c>
      <c r="U2364" s="167">
        <f t="shared" si="55"/>
        <v>45777</v>
      </c>
      <c r="V2364" s="145">
        <v>45777</v>
      </c>
      <c r="W2364" s="43">
        <f t="shared" si="56"/>
        <v>4</v>
      </c>
      <c r="X2364" s="43" t="s">
        <v>1552</v>
      </c>
      <c r="Y2364" s="43" t="s">
        <v>26</v>
      </c>
    </row>
    <row r="2365" spans="1:28" hidden="1">
      <c r="A2365" s="163" t="s">
        <v>1017</v>
      </c>
      <c r="B2365" s="164">
        <v>45730</v>
      </c>
      <c r="C2365" s="293" t="s">
        <v>1006</v>
      </c>
      <c r="D2365" s="163" t="s">
        <v>281</v>
      </c>
      <c r="E2365" s="163" t="s">
        <v>193</v>
      </c>
      <c r="F2365" s="185">
        <v>-2322.98</v>
      </c>
      <c r="G2365" s="165">
        <f t="shared" si="52"/>
        <v>-280895.59566666681</v>
      </c>
      <c r="H2365" s="163"/>
      <c r="I2365" s="163" t="s">
        <v>342</v>
      </c>
      <c r="J2365" s="163"/>
      <c r="K2365" s="163"/>
      <c r="L2365" s="163" t="s">
        <v>686</v>
      </c>
      <c r="M2365" s="163"/>
      <c r="N2365" s="163" t="s">
        <v>978</v>
      </c>
      <c r="O2365" s="163"/>
      <c r="P2365" s="163"/>
      <c r="Q2365" s="163"/>
      <c r="R2365" s="163" t="s">
        <v>1007</v>
      </c>
      <c r="S2365" s="163" t="s">
        <v>982</v>
      </c>
      <c r="T2365" s="43">
        <f t="shared" si="57"/>
        <v>3</v>
      </c>
      <c r="U2365" s="167">
        <f t="shared" si="55"/>
        <v>45777</v>
      </c>
      <c r="V2365" s="145">
        <v>45777</v>
      </c>
      <c r="W2365" s="43">
        <f t="shared" si="56"/>
        <v>4</v>
      </c>
      <c r="X2365" s="43" t="s">
        <v>1552</v>
      </c>
      <c r="Y2365" s="43" t="s">
        <v>26</v>
      </c>
    </row>
    <row r="2366" spans="1:28" hidden="1">
      <c r="A2366" s="163" t="s">
        <v>1017</v>
      </c>
      <c r="B2366" s="164">
        <v>45754</v>
      </c>
      <c r="C2366" s="163" t="s">
        <v>1006</v>
      </c>
      <c r="D2366" s="163" t="s">
        <v>281</v>
      </c>
      <c r="E2366" s="163" t="s">
        <v>193</v>
      </c>
      <c r="F2366" s="168">
        <v>-3677.02</v>
      </c>
      <c r="G2366" s="165">
        <f t="shared" si="52"/>
        <v>-284572.61566666682</v>
      </c>
      <c r="H2366" s="180"/>
      <c r="I2366" s="180"/>
      <c r="J2366" s="180"/>
      <c r="K2366" s="180"/>
      <c r="L2366" s="180"/>
      <c r="M2366" s="180"/>
      <c r="N2366" s="180"/>
      <c r="O2366" s="180"/>
      <c r="P2366" s="180"/>
      <c r="Q2366" s="180"/>
      <c r="R2366" s="180"/>
      <c r="S2366" s="180"/>
      <c r="T2366" s="43">
        <f t="shared" si="57"/>
        <v>4</v>
      </c>
      <c r="U2366" s="167">
        <f t="shared" si="55"/>
        <v>45777</v>
      </c>
      <c r="V2366" s="145">
        <v>45777</v>
      </c>
      <c r="W2366" s="43">
        <f t="shared" si="56"/>
        <v>4</v>
      </c>
      <c r="X2366" s="49"/>
      <c r="Y2366" s="49"/>
      <c r="Z2366" s="183"/>
      <c r="AA2366" s="183"/>
      <c r="AB2366" s="183"/>
    </row>
    <row r="2367" spans="1:28" hidden="1">
      <c r="A2367" s="163" t="s">
        <v>1017</v>
      </c>
      <c r="B2367" s="164">
        <v>45754</v>
      </c>
      <c r="C2367" s="163" t="s">
        <v>1006</v>
      </c>
      <c r="D2367" s="163" t="s">
        <v>281</v>
      </c>
      <c r="E2367" s="163" t="s">
        <v>193</v>
      </c>
      <c r="F2367" s="168">
        <v>-2322.98</v>
      </c>
      <c r="G2367" s="165">
        <f t="shared" si="52"/>
        <v>-286895.59566666681</v>
      </c>
      <c r="H2367" s="180"/>
      <c r="I2367" s="180"/>
      <c r="J2367" s="180"/>
      <c r="K2367" s="180"/>
      <c r="L2367" s="180"/>
      <c r="M2367" s="180"/>
      <c r="N2367" s="180"/>
      <c r="O2367" s="180"/>
      <c r="P2367" s="180"/>
      <c r="Q2367" s="180"/>
      <c r="R2367" s="180"/>
      <c r="S2367" s="180"/>
      <c r="T2367" s="43">
        <f t="shared" si="57"/>
        <v>4</v>
      </c>
      <c r="U2367" s="167">
        <f t="shared" si="55"/>
        <v>45777</v>
      </c>
      <c r="V2367" s="145">
        <v>45777</v>
      </c>
      <c r="W2367" s="43">
        <f t="shared" si="56"/>
        <v>4</v>
      </c>
      <c r="X2367" s="49"/>
      <c r="Y2367" s="49"/>
      <c r="Z2367" s="183"/>
      <c r="AA2367" s="183"/>
      <c r="AB2367" s="183"/>
    </row>
    <row r="2368" spans="1:28" ht="14.25" hidden="1" customHeight="1">
      <c r="A2368" s="180" t="s">
        <v>1017</v>
      </c>
      <c r="B2368" s="181">
        <v>45741</v>
      </c>
      <c r="C2368" s="163" t="s">
        <v>1635</v>
      </c>
      <c r="D2368" s="180" t="s">
        <v>281</v>
      </c>
      <c r="E2368" s="180" t="s">
        <v>193</v>
      </c>
      <c r="F2368" s="168">
        <v>-7200</v>
      </c>
      <c r="G2368" s="165">
        <f t="shared" si="52"/>
        <v>-294095.59566666681</v>
      </c>
      <c r="H2368" s="180"/>
      <c r="I2368" s="180" t="s">
        <v>283</v>
      </c>
      <c r="J2368" s="180"/>
      <c r="K2368" s="180"/>
      <c r="L2368" s="180" t="s">
        <v>305</v>
      </c>
      <c r="M2368" s="180"/>
      <c r="N2368" s="180" t="s">
        <v>978</v>
      </c>
      <c r="O2368" s="180"/>
      <c r="P2368" s="180"/>
      <c r="Q2368" s="180" t="s">
        <v>1067</v>
      </c>
      <c r="R2368" s="180" t="s">
        <v>1087</v>
      </c>
      <c r="S2368" s="180" t="s">
        <v>1089</v>
      </c>
      <c r="T2368" s="183">
        <f t="shared" si="57"/>
        <v>3</v>
      </c>
      <c r="U2368" s="184">
        <f t="shared" si="55"/>
        <v>45777</v>
      </c>
      <c r="V2368" s="167">
        <v>45777</v>
      </c>
      <c r="W2368" s="43">
        <f t="shared" si="56"/>
        <v>4</v>
      </c>
      <c r="X2368" s="43" t="s">
        <v>1552</v>
      </c>
      <c r="Y2368" s="43" t="s">
        <v>86</v>
      </c>
      <c r="Z2368" s="183" t="s">
        <v>1113</v>
      </c>
      <c r="AA2368" s="183" t="s">
        <v>1336</v>
      </c>
      <c r="AB2368" s="183"/>
    </row>
    <row r="2369" spans="1:28" hidden="1">
      <c r="A2369" s="163" t="s">
        <v>1017</v>
      </c>
      <c r="B2369" s="164">
        <v>45777</v>
      </c>
      <c r="C2369" s="163" t="s">
        <v>1635</v>
      </c>
      <c r="D2369" s="163" t="s">
        <v>281</v>
      </c>
      <c r="E2369" s="163" t="s">
        <v>1140</v>
      </c>
      <c r="F2369" s="168">
        <v>-7200</v>
      </c>
      <c r="G2369" s="165">
        <f t="shared" si="52"/>
        <v>-301295.59566666681</v>
      </c>
      <c r="H2369" s="180"/>
      <c r="I2369" s="180"/>
      <c r="J2369" s="180"/>
      <c r="K2369" s="180"/>
      <c r="L2369" s="180"/>
      <c r="M2369" s="180"/>
      <c r="N2369" s="180"/>
      <c r="O2369" s="180"/>
      <c r="P2369" s="180"/>
      <c r="Q2369" s="180"/>
      <c r="R2369" s="180"/>
      <c r="S2369" s="180"/>
      <c r="T2369" s="43">
        <f t="shared" si="57"/>
        <v>4</v>
      </c>
      <c r="U2369" s="167">
        <f t="shared" si="55"/>
        <v>45777</v>
      </c>
      <c r="V2369" s="145"/>
      <c r="W2369" s="43">
        <f t="shared" si="56"/>
        <v>4</v>
      </c>
      <c r="X2369" s="49"/>
      <c r="Y2369" s="49"/>
      <c r="Z2369" s="183"/>
      <c r="AA2369" s="183"/>
      <c r="AB2369" s="183"/>
    </row>
    <row r="2370" spans="1:28" ht="14.25" hidden="1" customHeight="1">
      <c r="A2370" s="180" t="s">
        <v>1017</v>
      </c>
      <c r="B2370" s="181">
        <v>45659</v>
      </c>
      <c r="C2370" s="180" t="s">
        <v>1462</v>
      </c>
      <c r="D2370" s="180" t="s">
        <v>281</v>
      </c>
      <c r="E2370" s="180" t="s">
        <v>193</v>
      </c>
      <c r="F2370" s="168">
        <v>-5000</v>
      </c>
      <c r="G2370" s="165">
        <f t="shared" si="52"/>
        <v>-306295.59566666681</v>
      </c>
      <c r="H2370" s="180"/>
      <c r="I2370" s="180" t="s">
        <v>342</v>
      </c>
      <c r="J2370" s="180"/>
      <c r="K2370" s="180"/>
      <c r="L2370" s="180" t="s">
        <v>1301</v>
      </c>
      <c r="M2370" s="180"/>
      <c r="N2370" s="180" t="s">
        <v>978</v>
      </c>
      <c r="O2370" s="180"/>
      <c r="P2370" s="180"/>
      <c r="Q2370" s="180"/>
      <c r="R2370" s="180" t="s">
        <v>1463</v>
      </c>
      <c r="S2370" s="180" t="s">
        <v>345</v>
      </c>
      <c r="T2370" s="183">
        <f>MONTH(U2370)</f>
        <v>4</v>
      </c>
      <c r="U2370" s="187">
        <f t="shared" si="55"/>
        <v>45777</v>
      </c>
      <c r="V2370" s="167">
        <v>45777</v>
      </c>
      <c r="W2370" s="43">
        <f t="shared" si="56"/>
        <v>4</v>
      </c>
      <c r="X2370" s="43" t="s">
        <v>1552</v>
      </c>
      <c r="Y2370" s="43" t="s">
        <v>25</v>
      </c>
      <c r="Z2370" s="183"/>
      <c r="AA2370" s="183"/>
      <c r="AB2370" s="183"/>
    </row>
    <row r="2371" spans="1:28" hidden="1">
      <c r="A2371" s="163" t="s">
        <v>1017</v>
      </c>
      <c r="B2371" s="164">
        <v>45747</v>
      </c>
      <c r="C2371" s="293" t="s">
        <v>1287</v>
      </c>
      <c r="D2371" s="163" t="s">
        <v>281</v>
      </c>
      <c r="E2371" s="163" t="s">
        <v>1288</v>
      </c>
      <c r="F2371" s="185">
        <v>-6500</v>
      </c>
      <c r="G2371" s="165">
        <f t="shared" si="52"/>
        <v>-312795.59566666681</v>
      </c>
      <c r="H2371" s="163"/>
      <c r="I2371" s="163" t="s">
        <v>283</v>
      </c>
      <c r="J2371" s="163"/>
      <c r="K2371" s="163"/>
      <c r="L2371" s="163" t="s">
        <v>1476</v>
      </c>
      <c r="M2371" s="163"/>
      <c r="N2371" s="163" t="s">
        <v>978</v>
      </c>
      <c r="O2371" s="163"/>
      <c r="P2371" s="163"/>
      <c r="Q2371" s="163"/>
      <c r="R2371" s="163" t="s">
        <v>1290</v>
      </c>
      <c r="S2371" s="163" t="s">
        <v>1291</v>
      </c>
      <c r="T2371" s="43">
        <f t="shared" ref="T2371:T2390" si="58">MONTH(B2371)</f>
        <v>3</v>
      </c>
      <c r="U2371" s="167">
        <f t="shared" si="55"/>
        <v>45777</v>
      </c>
      <c r="V2371" s="167">
        <v>45777</v>
      </c>
      <c r="W2371" s="43">
        <f t="shared" si="56"/>
        <v>4</v>
      </c>
      <c r="X2371" s="49" t="s">
        <v>1552</v>
      </c>
      <c r="Y2371" s="49" t="s">
        <v>25</v>
      </c>
    </row>
    <row r="2372" spans="1:28" hidden="1">
      <c r="A2372" s="163" t="s">
        <v>1017</v>
      </c>
      <c r="B2372" s="164">
        <v>45716</v>
      </c>
      <c r="C2372" s="293" t="s">
        <v>1287</v>
      </c>
      <c r="D2372" s="163" t="s">
        <v>281</v>
      </c>
      <c r="E2372" s="163" t="s">
        <v>1288</v>
      </c>
      <c r="F2372" s="168">
        <f t="shared" ref="F2372:F2373" si="59">-5958.33</f>
        <v>-5958.33</v>
      </c>
      <c r="G2372" s="165">
        <f t="shared" si="52"/>
        <v>-318753.92566666682</v>
      </c>
      <c r="H2372" s="163"/>
      <c r="I2372" s="163" t="s">
        <v>283</v>
      </c>
      <c r="J2372" s="163"/>
      <c r="K2372" s="163"/>
      <c r="L2372" s="163" t="s">
        <v>1270</v>
      </c>
      <c r="M2372" s="163"/>
      <c r="N2372" s="163" t="s">
        <v>978</v>
      </c>
      <c r="O2372" s="163"/>
      <c r="P2372" s="163"/>
      <c r="Q2372" s="163"/>
      <c r="R2372" s="163" t="s">
        <v>1290</v>
      </c>
      <c r="S2372" s="163" t="s">
        <v>1291</v>
      </c>
      <c r="T2372" s="43">
        <f t="shared" si="58"/>
        <v>2</v>
      </c>
      <c r="U2372" s="167">
        <f t="shared" si="55"/>
        <v>45777</v>
      </c>
      <c r="V2372" s="167">
        <v>45777</v>
      </c>
      <c r="W2372" s="43">
        <f t="shared" si="56"/>
        <v>4</v>
      </c>
      <c r="X2372" s="49" t="s">
        <v>1552</v>
      </c>
      <c r="Y2372" s="49" t="s">
        <v>25</v>
      </c>
    </row>
    <row r="2373" spans="1:28" hidden="1">
      <c r="A2373" s="163" t="s">
        <v>1017</v>
      </c>
      <c r="B2373" s="164">
        <v>45747</v>
      </c>
      <c r="C2373" s="293" t="s">
        <v>1287</v>
      </c>
      <c r="D2373" s="163" t="s">
        <v>281</v>
      </c>
      <c r="E2373" s="163" t="s">
        <v>1288</v>
      </c>
      <c r="F2373" s="168">
        <f t="shared" si="59"/>
        <v>-5958.33</v>
      </c>
      <c r="G2373" s="165">
        <f t="shared" si="52"/>
        <v>-324712.25566666684</v>
      </c>
      <c r="H2373" s="163"/>
      <c r="I2373" s="163" t="s">
        <v>283</v>
      </c>
      <c r="J2373" s="163"/>
      <c r="K2373" s="163"/>
      <c r="L2373" s="163" t="s">
        <v>1476</v>
      </c>
      <c r="M2373" s="163"/>
      <c r="N2373" s="163" t="s">
        <v>978</v>
      </c>
      <c r="O2373" s="163"/>
      <c r="P2373" s="163"/>
      <c r="Q2373" s="163"/>
      <c r="R2373" s="163" t="s">
        <v>1290</v>
      </c>
      <c r="S2373" s="163" t="s">
        <v>1291</v>
      </c>
      <c r="T2373" s="43">
        <f t="shared" si="58"/>
        <v>3</v>
      </c>
      <c r="U2373" s="167">
        <f t="shared" si="55"/>
        <v>45777</v>
      </c>
      <c r="V2373" s="167">
        <v>45777</v>
      </c>
      <c r="W2373" s="43">
        <f t="shared" si="56"/>
        <v>4</v>
      </c>
      <c r="X2373" s="49" t="s">
        <v>1552</v>
      </c>
      <c r="Y2373" s="49" t="s">
        <v>25</v>
      </c>
    </row>
    <row r="2374" spans="1:28" hidden="1">
      <c r="A2374" s="163" t="s">
        <v>1017</v>
      </c>
      <c r="B2374" s="164">
        <v>45777</v>
      </c>
      <c r="C2374" s="163" t="s">
        <v>1287</v>
      </c>
      <c r="D2374" s="163" t="s">
        <v>281</v>
      </c>
      <c r="E2374" s="163" t="s">
        <v>1288</v>
      </c>
      <c r="F2374" s="168">
        <v>-5958.33</v>
      </c>
      <c r="G2374" s="165">
        <f t="shared" si="52"/>
        <v>-330670.58566666686</v>
      </c>
      <c r="H2374" s="180"/>
      <c r="I2374" s="180"/>
      <c r="J2374" s="180"/>
      <c r="K2374" s="180"/>
      <c r="L2374" s="180"/>
      <c r="M2374" s="180"/>
      <c r="N2374" s="180"/>
      <c r="O2374" s="180"/>
      <c r="P2374" s="180"/>
      <c r="Q2374" s="180"/>
      <c r="R2374" s="180"/>
      <c r="S2374" s="180"/>
      <c r="T2374" s="43">
        <f t="shared" si="58"/>
        <v>4</v>
      </c>
      <c r="U2374" s="167">
        <f t="shared" si="55"/>
        <v>45777</v>
      </c>
      <c r="V2374" s="145"/>
      <c r="W2374" s="43">
        <f t="shared" si="56"/>
        <v>4</v>
      </c>
      <c r="X2374" s="49"/>
      <c r="Y2374" s="49"/>
      <c r="Z2374" s="183"/>
      <c r="AA2374" s="183"/>
      <c r="AB2374" s="183"/>
    </row>
    <row r="2375" spans="1:28" hidden="1">
      <c r="A2375" s="163" t="s">
        <v>1017</v>
      </c>
      <c r="B2375" s="164">
        <v>45691</v>
      </c>
      <c r="C2375" s="163" t="s">
        <v>1276</v>
      </c>
      <c r="D2375" s="163" t="s">
        <v>281</v>
      </c>
      <c r="E2375" s="163" t="s">
        <v>25</v>
      </c>
      <c r="F2375" s="168">
        <v>-1297.5</v>
      </c>
      <c r="G2375" s="165">
        <f t="shared" si="52"/>
        <v>-331968.08566666686</v>
      </c>
      <c r="H2375" s="163"/>
      <c r="I2375" s="163" t="s">
        <v>342</v>
      </c>
      <c r="J2375" s="163"/>
      <c r="K2375" s="163"/>
      <c r="L2375" s="163" t="s">
        <v>305</v>
      </c>
      <c r="M2375" s="163"/>
      <c r="N2375" s="163" t="s">
        <v>978</v>
      </c>
      <c r="O2375" s="163"/>
      <c r="P2375" s="163"/>
      <c r="Q2375" s="163"/>
      <c r="R2375" s="163" t="s">
        <v>1277</v>
      </c>
      <c r="S2375" s="163" t="s">
        <v>1278</v>
      </c>
      <c r="T2375" s="43">
        <f t="shared" si="58"/>
        <v>2</v>
      </c>
      <c r="U2375" s="167">
        <f t="shared" si="55"/>
        <v>45777</v>
      </c>
      <c r="V2375" s="167">
        <v>45777</v>
      </c>
      <c r="W2375" s="43">
        <f t="shared" si="56"/>
        <v>4</v>
      </c>
      <c r="X2375" s="49" t="s">
        <v>1566</v>
      </c>
      <c r="Y2375" s="49" t="s">
        <v>25</v>
      </c>
    </row>
    <row r="2376" spans="1:28" hidden="1">
      <c r="A2376" s="180" t="s">
        <v>1017</v>
      </c>
      <c r="B2376" s="181">
        <v>45716</v>
      </c>
      <c r="C2376" s="180" t="s">
        <v>1644</v>
      </c>
      <c r="D2376" s="180" t="s">
        <v>281</v>
      </c>
      <c r="E2376" s="180" t="s">
        <v>1288</v>
      </c>
      <c r="F2376" s="168">
        <v>-5000</v>
      </c>
      <c r="G2376" s="165">
        <f t="shared" si="52"/>
        <v>-336968.08566666686</v>
      </c>
      <c r="H2376" s="180"/>
      <c r="I2376" s="180" t="s">
        <v>283</v>
      </c>
      <c r="J2376" s="180"/>
      <c r="K2376" s="180"/>
      <c r="L2376" s="180" t="s">
        <v>1639</v>
      </c>
      <c r="M2376" s="180"/>
      <c r="N2376" s="180" t="s">
        <v>978</v>
      </c>
      <c r="O2376" s="180"/>
      <c r="P2376" s="180"/>
      <c r="Q2376" s="180"/>
      <c r="R2376" s="180" t="s">
        <v>1290</v>
      </c>
      <c r="S2376" s="180" t="s">
        <v>1291</v>
      </c>
      <c r="T2376" s="183">
        <f t="shared" si="58"/>
        <v>2</v>
      </c>
      <c r="U2376" s="184">
        <f t="shared" si="55"/>
        <v>45777</v>
      </c>
      <c r="V2376" s="167">
        <v>45777</v>
      </c>
      <c r="W2376" s="43">
        <f t="shared" si="56"/>
        <v>4</v>
      </c>
      <c r="X2376" s="49" t="s">
        <v>1552</v>
      </c>
      <c r="Y2376" s="49" t="s">
        <v>26</v>
      </c>
      <c r="Z2376" s="183"/>
      <c r="AA2376" s="183"/>
      <c r="AB2376" s="183"/>
    </row>
    <row r="2377" spans="1:28" hidden="1">
      <c r="A2377" s="180" t="s">
        <v>1017</v>
      </c>
      <c r="B2377" s="181">
        <v>45747</v>
      </c>
      <c r="C2377" s="294" t="s">
        <v>1644</v>
      </c>
      <c r="D2377" s="180" t="s">
        <v>281</v>
      </c>
      <c r="E2377" s="180" t="s">
        <v>1288</v>
      </c>
      <c r="F2377" s="168">
        <v>-5000</v>
      </c>
      <c r="G2377" s="165">
        <f t="shared" si="52"/>
        <v>-341968.08566666686</v>
      </c>
      <c r="H2377" s="180"/>
      <c r="I2377" s="180" t="s">
        <v>283</v>
      </c>
      <c r="J2377" s="180"/>
      <c r="K2377" s="180"/>
      <c r="L2377" s="180" t="s">
        <v>1639</v>
      </c>
      <c r="M2377" s="180"/>
      <c r="N2377" s="180" t="s">
        <v>978</v>
      </c>
      <c r="O2377" s="180"/>
      <c r="P2377" s="180"/>
      <c r="Q2377" s="180"/>
      <c r="R2377" s="180" t="s">
        <v>1290</v>
      </c>
      <c r="S2377" s="180" t="s">
        <v>1291</v>
      </c>
      <c r="T2377" s="183">
        <f t="shared" si="58"/>
        <v>3</v>
      </c>
      <c r="U2377" s="184">
        <f t="shared" si="55"/>
        <v>45777</v>
      </c>
      <c r="V2377" s="167">
        <v>45777</v>
      </c>
      <c r="W2377" s="43">
        <f t="shared" si="56"/>
        <v>4</v>
      </c>
      <c r="X2377" s="49" t="s">
        <v>1552</v>
      </c>
      <c r="Y2377" s="49" t="s">
        <v>26</v>
      </c>
      <c r="Z2377" s="183"/>
      <c r="AA2377" s="183"/>
      <c r="AB2377" s="183"/>
    </row>
    <row r="2378" spans="1:28" hidden="1">
      <c r="A2378" s="163" t="s">
        <v>1017</v>
      </c>
      <c r="B2378" s="164">
        <v>45712</v>
      </c>
      <c r="C2378" s="163" t="s">
        <v>1444</v>
      </c>
      <c r="D2378" s="163" t="s">
        <v>281</v>
      </c>
      <c r="E2378" s="163" t="s">
        <v>1444</v>
      </c>
      <c r="F2378" s="168">
        <v>-25566.99</v>
      </c>
      <c r="G2378" s="165">
        <f t="shared" si="52"/>
        <v>-367535.07566666685</v>
      </c>
      <c r="H2378" s="163"/>
      <c r="I2378" s="163" t="s">
        <v>994</v>
      </c>
      <c r="J2378" s="163"/>
      <c r="K2378" s="163"/>
      <c r="L2378" s="163" t="s">
        <v>1571</v>
      </c>
      <c r="M2378" s="163"/>
      <c r="N2378" s="163" t="s">
        <v>978</v>
      </c>
      <c r="O2378" s="163"/>
      <c r="P2378" s="163"/>
      <c r="Q2378" s="163"/>
      <c r="R2378" s="163" t="s">
        <v>1444</v>
      </c>
      <c r="S2378" s="163"/>
      <c r="T2378" s="43">
        <f t="shared" si="58"/>
        <v>2</v>
      </c>
      <c r="U2378" s="167">
        <f t="shared" si="55"/>
        <v>45777</v>
      </c>
      <c r="V2378" s="167">
        <v>45777</v>
      </c>
      <c r="W2378" s="43">
        <f t="shared" si="56"/>
        <v>4</v>
      </c>
      <c r="X2378" s="43" t="s">
        <v>12</v>
      </c>
      <c r="Y2378" s="43" t="s">
        <v>1443</v>
      </c>
    </row>
    <row r="2379" spans="1:28" hidden="1">
      <c r="A2379" s="163" t="s">
        <v>1017</v>
      </c>
      <c r="B2379" s="164">
        <v>45708</v>
      </c>
      <c r="C2379" s="163" t="s">
        <v>1425</v>
      </c>
      <c r="D2379" s="163" t="s">
        <v>281</v>
      </c>
      <c r="E2379" s="163" t="s">
        <v>1426</v>
      </c>
      <c r="F2379" s="168">
        <v>-60148.21</v>
      </c>
      <c r="G2379" s="165">
        <f t="shared" si="52"/>
        <v>-427683.28566666687</v>
      </c>
      <c r="H2379" s="163"/>
      <c r="I2379" s="163" t="s">
        <v>994</v>
      </c>
      <c r="J2379" s="163"/>
      <c r="K2379" s="163"/>
      <c r="L2379" s="163" t="s">
        <v>1571</v>
      </c>
      <c r="M2379" s="163"/>
      <c r="N2379" s="163" t="s">
        <v>978</v>
      </c>
      <c r="O2379" s="163"/>
      <c r="P2379" s="163"/>
      <c r="Q2379" s="163"/>
      <c r="R2379" s="163" t="s">
        <v>1425</v>
      </c>
      <c r="S2379" s="163"/>
      <c r="T2379" s="43">
        <f t="shared" si="58"/>
        <v>2</v>
      </c>
      <c r="U2379" s="167">
        <f t="shared" si="55"/>
        <v>45777</v>
      </c>
      <c r="V2379" s="167">
        <v>45777</v>
      </c>
      <c r="W2379" s="43">
        <f t="shared" si="56"/>
        <v>4</v>
      </c>
      <c r="X2379" s="43" t="s">
        <v>1427</v>
      </c>
      <c r="Y2379" s="43" t="s">
        <v>1336</v>
      </c>
    </row>
    <row r="2380" spans="1:28" hidden="1">
      <c r="A2380" s="163" t="s">
        <v>1017</v>
      </c>
      <c r="B2380" s="164">
        <v>45700</v>
      </c>
      <c r="C2380" s="163" t="s">
        <v>23</v>
      </c>
      <c r="D2380" s="163" t="s">
        <v>281</v>
      </c>
      <c r="E2380" s="163" t="s">
        <v>23</v>
      </c>
      <c r="F2380" s="168">
        <v>-8157</v>
      </c>
      <c r="G2380" s="165">
        <f t="shared" si="52"/>
        <v>-435840.28566666687</v>
      </c>
      <c r="H2380" s="163"/>
      <c r="I2380" s="163" t="s">
        <v>342</v>
      </c>
      <c r="J2380" s="163"/>
      <c r="K2380" s="163"/>
      <c r="L2380" s="163" t="s">
        <v>1571</v>
      </c>
      <c r="M2380" s="163"/>
      <c r="N2380" s="163" t="s">
        <v>978</v>
      </c>
      <c r="O2380" s="163"/>
      <c r="P2380" s="163"/>
      <c r="Q2380" s="163"/>
      <c r="R2380" s="163" t="s">
        <v>1524</v>
      </c>
      <c r="S2380" s="163" t="s">
        <v>1525</v>
      </c>
      <c r="T2380" s="43">
        <f t="shared" si="58"/>
        <v>2</v>
      </c>
      <c r="U2380" s="167">
        <f t="shared" si="55"/>
        <v>45777</v>
      </c>
      <c r="V2380" s="167">
        <v>45777</v>
      </c>
      <c r="W2380" s="43">
        <f t="shared" si="56"/>
        <v>4</v>
      </c>
      <c r="X2380" s="49" t="s">
        <v>12</v>
      </c>
      <c r="Y2380" s="49" t="s">
        <v>1443</v>
      </c>
    </row>
    <row r="2381" spans="1:28" hidden="1">
      <c r="A2381" s="163" t="s">
        <v>1017</v>
      </c>
      <c r="B2381" s="164">
        <v>45736</v>
      </c>
      <c r="C2381" s="163" t="s">
        <v>1425</v>
      </c>
      <c r="D2381" s="163" t="s">
        <v>281</v>
      </c>
      <c r="E2381" s="163" t="s">
        <v>1426</v>
      </c>
      <c r="F2381" s="168">
        <v>-73345.070000000007</v>
      </c>
      <c r="G2381" s="165">
        <f t="shared" si="52"/>
        <v>-509185.35566666687</v>
      </c>
      <c r="H2381" s="163"/>
      <c r="I2381" s="163" t="s">
        <v>994</v>
      </c>
      <c r="J2381" s="163"/>
      <c r="K2381" s="163"/>
      <c r="L2381" s="163" t="s">
        <v>1686</v>
      </c>
      <c r="M2381" s="163"/>
      <c r="N2381" s="163" t="s">
        <v>978</v>
      </c>
      <c r="O2381" s="163"/>
      <c r="P2381" s="163"/>
      <c r="Q2381" s="163"/>
      <c r="R2381" s="163" t="s">
        <v>1425</v>
      </c>
      <c r="S2381" s="163"/>
      <c r="T2381" s="43">
        <f t="shared" si="58"/>
        <v>3</v>
      </c>
      <c r="U2381" s="167">
        <f t="shared" si="55"/>
        <v>45777</v>
      </c>
      <c r="V2381" s="167">
        <v>45777</v>
      </c>
      <c r="W2381" s="43">
        <f t="shared" si="56"/>
        <v>4</v>
      </c>
      <c r="X2381" s="43" t="s">
        <v>1427</v>
      </c>
      <c r="Y2381" s="43" t="s">
        <v>1336</v>
      </c>
    </row>
    <row r="2382" spans="1:28" hidden="1">
      <c r="A2382" s="163" t="s">
        <v>1017</v>
      </c>
      <c r="B2382" s="164">
        <v>45740</v>
      </c>
      <c r="C2382" s="163" t="s">
        <v>1444</v>
      </c>
      <c r="D2382" s="163" t="s">
        <v>281</v>
      </c>
      <c r="E2382" s="163" t="s">
        <v>1444</v>
      </c>
      <c r="F2382" s="168">
        <v>-25566.99</v>
      </c>
      <c r="G2382" s="165">
        <f t="shared" si="52"/>
        <v>-534752.34566666686</v>
      </c>
      <c r="H2382" s="163"/>
      <c r="I2382" s="163" t="s">
        <v>994</v>
      </c>
      <c r="J2382" s="163"/>
      <c r="K2382" s="163"/>
      <c r="L2382" s="163" t="s">
        <v>1686</v>
      </c>
      <c r="M2382" s="163"/>
      <c r="N2382" s="163" t="s">
        <v>978</v>
      </c>
      <c r="O2382" s="163"/>
      <c r="P2382" s="163"/>
      <c r="Q2382" s="163"/>
      <c r="R2382" s="163" t="s">
        <v>1444</v>
      </c>
      <c r="S2382" s="163"/>
      <c r="T2382" s="43">
        <f t="shared" si="58"/>
        <v>3</v>
      </c>
      <c r="U2382" s="167">
        <f t="shared" si="55"/>
        <v>45777</v>
      </c>
      <c r="V2382" s="167">
        <v>45777</v>
      </c>
      <c r="W2382" s="43">
        <f t="shared" si="56"/>
        <v>4</v>
      </c>
      <c r="X2382" s="43" t="s">
        <v>12</v>
      </c>
      <c r="Y2382" s="43" t="s">
        <v>1443</v>
      </c>
    </row>
    <row r="2383" spans="1:28" hidden="1">
      <c r="A2383" s="163" t="s">
        <v>1017</v>
      </c>
      <c r="B2383" s="164">
        <v>45726</v>
      </c>
      <c r="C2383" s="163" t="s">
        <v>23</v>
      </c>
      <c r="D2383" s="163" t="s">
        <v>281</v>
      </c>
      <c r="E2383" s="163" t="s">
        <v>23</v>
      </c>
      <c r="F2383" s="168">
        <v>-8109.4</v>
      </c>
      <c r="G2383" s="165">
        <f t="shared" si="52"/>
        <v>-542861.74566666689</v>
      </c>
      <c r="H2383" s="163"/>
      <c r="I2383" s="163" t="s">
        <v>342</v>
      </c>
      <c r="J2383" s="163"/>
      <c r="K2383" s="163"/>
      <c r="L2383" s="163" t="s">
        <v>1686</v>
      </c>
      <c r="M2383" s="163"/>
      <c r="N2383" s="163" t="s">
        <v>978</v>
      </c>
      <c r="O2383" s="163"/>
      <c r="P2383" s="163"/>
      <c r="Q2383" s="163"/>
      <c r="R2383" s="163" t="s">
        <v>1524</v>
      </c>
      <c r="S2383" s="163" t="s">
        <v>1525</v>
      </c>
      <c r="T2383" s="43">
        <f t="shared" si="58"/>
        <v>3</v>
      </c>
      <c r="U2383" s="167">
        <f t="shared" si="55"/>
        <v>45777</v>
      </c>
      <c r="V2383" s="167">
        <v>45777</v>
      </c>
      <c r="W2383" s="43">
        <f t="shared" si="56"/>
        <v>4</v>
      </c>
      <c r="X2383" s="49" t="s">
        <v>12</v>
      </c>
      <c r="Y2383" s="49" t="s">
        <v>1443</v>
      </c>
    </row>
    <row r="2384" spans="1:28" hidden="1">
      <c r="A2384" s="163" t="s">
        <v>1017</v>
      </c>
      <c r="B2384" s="164">
        <v>45757</v>
      </c>
      <c r="C2384" s="163" t="s">
        <v>23</v>
      </c>
      <c r="D2384" s="163" t="s">
        <v>281</v>
      </c>
      <c r="E2384" s="163" t="s">
        <v>23</v>
      </c>
      <c r="F2384" s="168">
        <v>-8109.4</v>
      </c>
      <c r="G2384" s="165">
        <f t="shared" si="52"/>
        <v>-550971.14566666691</v>
      </c>
      <c r="H2384" s="180"/>
      <c r="I2384" s="180"/>
      <c r="J2384" s="180"/>
      <c r="K2384" s="180"/>
      <c r="L2384" s="180"/>
      <c r="M2384" s="180"/>
      <c r="N2384" s="180"/>
      <c r="O2384" s="180"/>
      <c r="P2384" s="180"/>
      <c r="Q2384" s="180"/>
      <c r="R2384" s="180"/>
      <c r="S2384" s="180"/>
      <c r="T2384" s="43">
        <f t="shared" si="58"/>
        <v>4</v>
      </c>
      <c r="U2384" s="167">
        <f t="shared" si="55"/>
        <v>45777</v>
      </c>
      <c r="V2384" s="145">
        <v>45777</v>
      </c>
      <c r="W2384" s="43">
        <f t="shared" si="56"/>
        <v>4</v>
      </c>
      <c r="X2384" s="49"/>
      <c r="Y2384" s="49"/>
      <c r="Z2384" s="183"/>
      <c r="AA2384" s="183"/>
      <c r="AB2384" s="183"/>
    </row>
    <row r="2385" spans="1:28" hidden="1">
      <c r="A2385" s="163" t="s">
        <v>1017</v>
      </c>
      <c r="B2385" s="164">
        <v>45764</v>
      </c>
      <c r="C2385" s="163" t="s">
        <v>1425</v>
      </c>
      <c r="D2385" s="163" t="s">
        <v>281</v>
      </c>
      <c r="E2385" s="163" t="s">
        <v>1426</v>
      </c>
      <c r="F2385" s="168">
        <v>-73345.070000000007</v>
      </c>
      <c r="G2385" s="165">
        <f t="shared" si="52"/>
        <v>-624316.21566666686</v>
      </c>
      <c r="H2385" s="180"/>
      <c r="I2385" s="180"/>
      <c r="J2385" s="180"/>
      <c r="K2385" s="180"/>
      <c r="L2385" s="180"/>
      <c r="M2385" s="180"/>
      <c r="N2385" s="180"/>
      <c r="O2385" s="180"/>
      <c r="P2385" s="180"/>
      <c r="Q2385" s="180"/>
      <c r="R2385" s="180"/>
      <c r="S2385" s="180"/>
      <c r="T2385" s="43">
        <f t="shared" si="58"/>
        <v>4</v>
      </c>
      <c r="U2385" s="167">
        <f t="shared" si="55"/>
        <v>45777</v>
      </c>
      <c r="V2385" s="145">
        <v>45777</v>
      </c>
      <c r="W2385" s="43">
        <f t="shared" si="56"/>
        <v>4</v>
      </c>
      <c r="X2385" s="49"/>
      <c r="Y2385" s="49"/>
      <c r="Z2385" s="183"/>
      <c r="AA2385" s="183"/>
      <c r="AB2385" s="183"/>
    </row>
    <row r="2386" spans="1:28" hidden="1">
      <c r="A2386" s="163" t="s">
        <v>1017</v>
      </c>
      <c r="B2386" s="164">
        <v>45772</v>
      </c>
      <c r="C2386" s="163" t="s">
        <v>1444</v>
      </c>
      <c r="D2386" s="163" t="s">
        <v>281</v>
      </c>
      <c r="E2386" s="163" t="s">
        <v>1850</v>
      </c>
      <c r="F2386" s="168">
        <v>-20710.21</v>
      </c>
      <c r="G2386" s="165">
        <f t="shared" si="52"/>
        <v>-645026.42566666682</v>
      </c>
      <c r="H2386" s="180"/>
      <c r="I2386" s="180"/>
      <c r="J2386" s="180"/>
      <c r="K2386" s="180"/>
      <c r="L2386" s="180"/>
      <c r="M2386" s="180"/>
      <c r="N2386" s="180"/>
      <c r="O2386" s="180"/>
      <c r="P2386" s="180"/>
      <c r="Q2386" s="180"/>
      <c r="R2386" s="180"/>
      <c r="S2386" s="180"/>
      <c r="T2386" s="43">
        <f t="shared" si="58"/>
        <v>4</v>
      </c>
      <c r="U2386" s="167">
        <f t="shared" si="55"/>
        <v>45777</v>
      </c>
      <c r="V2386" s="145">
        <v>45777</v>
      </c>
      <c r="W2386" s="43">
        <f t="shared" si="56"/>
        <v>4</v>
      </c>
      <c r="X2386" s="49"/>
      <c r="Y2386" s="49"/>
      <c r="Z2386" s="183"/>
      <c r="AA2386" s="183"/>
      <c r="AB2386" s="183"/>
    </row>
    <row r="2387" spans="1:28" hidden="1">
      <c r="A2387" s="163" t="s">
        <v>1017</v>
      </c>
      <c r="B2387" s="164">
        <v>45777</v>
      </c>
      <c r="C2387" s="163" t="s">
        <v>1628</v>
      </c>
      <c r="D2387" s="163" t="s">
        <v>281</v>
      </c>
      <c r="E2387" s="163" t="s">
        <v>1628</v>
      </c>
      <c r="F2387" s="168">
        <v>-18454.240000000002</v>
      </c>
      <c r="G2387" s="165">
        <f t="shared" si="52"/>
        <v>-663480.66566666681</v>
      </c>
      <c r="H2387" s="180"/>
      <c r="I2387" s="180"/>
      <c r="J2387" s="180"/>
      <c r="K2387" s="180"/>
      <c r="L2387" s="180"/>
      <c r="M2387" s="180"/>
      <c r="N2387" s="180"/>
      <c r="O2387" s="180"/>
      <c r="P2387" s="180"/>
      <c r="Q2387" s="180"/>
      <c r="R2387" s="180"/>
      <c r="S2387" s="180"/>
      <c r="T2387" s="43">
        <f t="shared" si="58"/>
        <v>4</v>
      </c>
      <c r="U2387" s="167">
        <f t="shared" si="55"/>
        <v>45777</v>
      </c>
      <c r="V2387" s="145"/>
      <c r="W2387" s="43">
        <f t="shared" si="56"/>
        <v>4</v>
      </c>
      <c r="X2387" s="49"/>
      <c r="Y2387" s="49"/>
      <c r="Z2387" s="183"/>
      <c r="AA2387" s="183"/>
      <c r="AB2387" s="183"/>
    </row>
    <row r="2388" spans="1:28" hidden="1">
      <c r="A2388" s="163" t="s">
        <v>1017</v>
      </c>
      <c r="B2388" s="164">
        <v>45777</v>
      </c>
      <c r="C2388" s="163" t="s">
        <v>1630</v>
      </c>
      <c r="D2388" s="163" t="s">
        <v>281</v>
      </c>
      <c r="E2388" s="163" t="s">
        <v>1631</v>
      </c>
      <c r="F2388" s="168">
        <v>-8803.5300000000007</v>
      </c>
      <c r="G2388" s="165">
        <f t="shared" si="52"/>
        <v>-672284.19566666684</v>
      </c>
      <c r="H2388" s="180"/>
      <c r="I2388" s="180"/>
      <c r="J2388" s="180"/>
      <c r="K2388" s="180"/>
      <c r="L2388" s="180"/>
      <c r="M2388" s="180"/>
      <c r="N2388" s="180"/>
      <c r="O2388" s="180"/>
      <c r="P2388" s="180"/>
      <c r="Q2388" s="180"/>
      <c r="R2388" s="180"/>
      <c r="S2388" s="180"/>
      <c r="T2388" s="43">
        <f t="shared" si="58"/>
        <v>4</v>
      </c>
      <c r="U2388" s="167">
        <f t="shared" si="55"/>
        <v>45777</v>
      </c>
      <c r="V2388" s="145"/>
      <c r="W2388" s="43">
        <f t="shared" si="56"/>
        <v>4</v>
      </c>
      <c r="X2388" s="49"/>
      <c r="Y2388" s="49"/>
      <c r="Z2388" s="183"/>
      <c r="AA2388" s="183"/>
      <c r="AB2388" s="183"/>
    </row>
    <row r="2389" spans="1:28" hidden="1">
      <c r="A2389" s="163" t="s">
        <v>1017</v>
      </c>
      <c r="B2389" s="164">
        <v>45777</v>
      </c>
      <c r="C2389" s="163" t="s">
        <v>1442</v>
      </c>
      <c r="D2389" s="163" t="s">
        <v>281</v>
      </c>
      <c r="E2389" s="163" t="s">
        <v>1442</v>
      </c>
      <c r="F2389" s="168">
        <v>-1054.22</v>
      </c>
      <c r="G2389" s="165">
        <f t="shared" si="52"/>
        <v>-673338.41566666681</v>
      </c>
      <c r="H2389" s="180"/>
      <c r="I2389" s="180"/>
      <c r="J2389" s="180"/>
      <c r="K2389" s="180"/>
      <c r="L2389" s="180"/>
      <c r="M2389" s="180"/>
      <c r="N2389" s="180"/>
      <c r="O2389" s="180"/>
      <c r="P2389" s="180"/>
      <c r="Q2389" s="180"/>
      <c r="R2389" s="180"/>
      <c r="S2389" s="180"/>
      <c r="T2389" s="43">
        <f t="shared" si="58"/>
        <v>4</v>
      </c>
      <c r="U2389" s="167">
        <f t="shared" si="55"/>
        <v>45777</v>
      </c>
      <c r="V2389" s="145"/>
      <c r="W2389" s="43">
        <f t="shared" si="56"/>
        <v>4</v>
      </c>
      <c r="X2389" s="49"/>
      <c r="Y2389" s="49"/>
      <c r="Z2389" s="183"/>
      <c r="AA2389" s="183"/>
      <c r="AB2389" s="183"/>
    </row>
    <row r="2390" spans="1:28" ht="14.25" hidden="1" customHeight="1">
      <c r="A2390" s="180" t="s">
        <v>1017</v>
      </c>
      <c r="B2390" s="181">
        <v>45777</v>
      </c>
      <c r="C2390" s="180" t="s">
        <v>12</v>
      </c>
      <c r="D2390" s="180" t="s">
        <v>281</v>
      </c>
      <c r="E2390" s="180" t="s">
        <v>1578</v>
      </c>
      <c r="F2390" s="168">
        <f>-421.64-10163.39-350.13</f>
        <v>-10935.159999999998</v>
      </c>
      <c r="G2390" s="165">
        <f t="shared" si="52"/>
        <v>-684273.57566666685</v>
      </c>
      <c r="H2390" s="180"/>
      <c r="I2390" s="180" t="s">
        <v>283</v>
      </c>
      <c r="J2390" s="180"/>
      <c r="K2390" s="180"/>
      <c r="L2390" s="180" t="s">
        <v>305</v>
      </c>
      <c r="M2390" s="180"/>
      <c r="N2390" s="180" t="s">
        <v>978</v>
      </c>
      <c r="O2390" s="180"/>
      <c r="P2390" s="180"/>
      <c r="Q2390" s="180" t="s">
        <v>1067</v>
      </c>
      <c r="R2390" s="180" t="s">
        <v>1087</v>
      </c>
      <c r="S2390" s="180" t="s">
        <v>1089</v>
      </c>
      <c r="T2390" s="183">
        <f t="shared" si="58"/>
        <v>4</v>
      </c>
      <c r="U2390" s="184">
        <f t="shared" si="55"/>
        <v>45777</v>
      </c>
      <c r="V2390" s="145"/>
      <c r="W2390" s="43">
        <f t="shared" si="56"/>
        <v>4</v>
      </c>
      <c r="X2390" s="43" t="s">
        <v>12</v>
      </c>
      <c r="Y2390" s="43" t="s">
        <v>1443</v>
      </c>
      <c r="Z2390" s="183" t="s">
        <v>1113</v>
      </c>
      <c r="AA2390" s="183" t="s">
        <v>1336</v>
      </c>
      <c r="AB2390" s="183"/>
    </row>
    <row r="2391" spans="1:28" ht="14.25" hidden="1" customHeight="1">
      <c r="A2391" s="180" t="s">
        <v>1017</v>
      </c>
      <c r="B2391" s="181">
        <v>45746</v>
      </c>
      <c r="C2391" s="180" t="s">
        <v>1851</v>
      </c>
      <c r="D2391" s="180" t="s">
        <v>281</v>
      </c>
      <c r="E2391" s="180" t="s">
        <v>857</v>
      </c>
      <c r="F2391" s="185">
        <v>-1600</v>
      </c>
      <c r="G2391" s="165">
        <f t="shared" si="52"/>
        <v>-685873.57566666685</v>
      </c>
      <c r="H2391" s="180"/>
      <c r="I2391" s="180" t="s">
        <v>342</v>
      </c>
      <c r="J2391" s="180"/>
      <c r="K2391" s="180"/>
      <c r="L2391" s="180" t="s">
        <v>1301</v>
      </c>
      <c r="M2391" s="180"/>
      <c r="N2391" s="180" t="s">
        <v>978</v>
      </c>
      <c r="O2391" s="180"/>
      <c r="P2391" s="180"/>
      <c r="Q2391" s="180"/>
      <c r="R2391" s="180" t="s">
        <v>1463</v>
      </c>
      <c r="S2391" s="180" t="s">
        <v>345</v>
      </c>
      <c r="T2391" s="183">
        <f>MONTH(U2391)</f>
        <v>4</v>
      </c>
      <c r="U2391" s="187">
        <f t="shared" si="55"/>
        <v>45777</v>
      </c>
      <c r="V2391" s="166">
        <v>45777</v>
      </c>
      <c r="W2391" s="43">
        <f t="shared" si="56"/>
        <v>4</v>
      </c>
      <c r="X2391" s="43" t="s">
        <v>1552</v>
      </c>
      <c r="Y2391" s="43" t="s">
        <v>26</v>
      </c>
      <c r="Z2391" s="183"/>
      <c r="AA2391" s="183"/>
      <c r="AB2391" s="183"/>
    </row>
    <row r="2392" spans="1:28" hidden="1">
      <c r="A2392" s="163" t="s">
        <v>1017</v>
      </c>
      <c r="B2392" s="164">
        <v>45733</v>
      </c>
      <c r="C2392" s="163" t="s">
        <v>1409</v>
      </c>
      <c r="D2392" s="163" t="s">
        <v>281</v>
      </c>
      <c r="E2392" s="163" t="s">
        <v>199</v>
      </c>
      <c r="F2392" s="168"/>
      <c r="G2392" s="165">
        <f t="shared" si="52"/>
        <v>-685873.57566666685</v>
      </c>
      <c r="H2392" s="163"/>
      <c r="I2392" s="163" t="s">
        <v>342</v>
      </c>
      <c r="J2392" s="163"/>
      <c r="K2392" s="163"/>
      <c r="L2392" s="163" t="s">
        <v>1424</v>
      </c>
      <c r="M2392" s="163"/>
      <c r="N2392" s="163" t="s">
        <v>978</v>
      </c>
      <c r="O2392" s="163"/>
      <c r="P2392" s="163"/>
      <c r="Q2392" s="163"/>
      <c r="R2392" s="163" t="s">
        <v>1153</v>
      </c>
      <c r="S2392" s="163" t="s">
        <v>1154</v>
      </c>
      <c r="T2392" s="43">
        <f t="shared" ref="T2392:T2408" si="60">MONTH(B2392)</f>
        <v>3</v>
      </c>
      <c r="U2392" s="167">
        <f t="shared" si="55"/>
        <v>45777</v>
      </c>
      <c r="V2392" s="166">
        <v>45777</v>
      </c>
      <c r="W2392" s="43">
        <f t="shared" si="56"/>
        <v>4</v>
      </c>
      <c r="X2392" s="49" t="s">
        <v>1480</v>
      </c>
      <c r="Y2392" s="49" t="s">
        <v>86</v>
      </c>
    </row>
    <row r="2393" spans="1:28" hidden="1">
      <c r="A2393" s="180" t="s">
        <v>1017</v>
      </c>
      <c r="B2393" s="181">
        <v>45754</v>
      </c>
      <c r="C2393" s="180" t="s">
        <v>1087</v>
      </c>
      <c r="D2393" s="180" t="s">
        <v>281</v>
      </c>
      <c r="E2393" s="180" t="s">
        <v>18</v>
      </c>
      <c r="F2393" s="168"/>
      <c r="G2393" s="165">
        <f t="shared" si="52"/>
        <v>-685873.57566666685</v>
      </c>
      <c r="H2393" s="180"/>
      <c r="I2393" s="180"/>
      <c r="J2393" s="180"/>
      <c r="K2393" s="180"/>
      <c r="L2393" s="180"/>
      <c r="M2393" s="180"/>
      <c r="N2393" s="180"/>
      <c r="O2393" s="180"/>
      <c r="P2393" s="180"/>
      <c r="Q2393" s="180"/>
      <c r="R2393" s="180"/>
      <c r="S2393" s="180"/>
      <c r="T2393" s="183">
        <f t="shared" si="60"/>
        <v>4</v>
      </c>
      <c r="U2393" s="184">
        <f t="shared" si="55"/>
        <v>45769</v>
      </c>
      <c r="V2393" s="145">
        <v>45769</v>
      </c>
      <c r="W2393" s="183">
        <f t="shared" si="56"/>
        <v>4</v>
      </c>
      <c r="X2393" s="183"/>
      <c r="Y2393" s="183"/>
      <c r="Z2393" s="183"/>
      <c r="AA2393" s="183"/>
      <c r="AB2393" s="183"/>
    </row>
    <row r="2394" spans="1:28" hidden="1">
      <c r="A2394" s="180" t="s">
        <v>1017</v>
      </c>
      <c r="B2394" s="181">
        <v>45705</v>
      </c>
      <c r="C2394" s="180" t="s">
        <v>1852</v>
      </c>
      <c r="D2394" s="180" t="s">
        <v>281</v>
      </c>
      <c r="E2394" s="180" t="s">
        <v>1061</v>
      </c>
      <c r="F2394" s="168"/>
      <c r="G2394" s="165">
        <f t="shared" si="52"/>
        <v>-685873.57566666685</v>
      </c>
      <c r="H2394" s="180"/>
      <c r="I2394" s="180" t="s">
        <v>342</v>
      </c>
      <c r="J2394" s="180"/>
      <c r="K2394" s="180"/>
      <c r="L2394" s="180" t="s">
        <v>1686</v>
      </c>
      <c r="M2394" s="180"/>
      <c r="N2394" s="180" t="s">
        <v>978</v>
      </c>
      <c r="O2394" s="180"/>
      <c r="P2394" s="180"/>
      <c r="Q2394" s="180"/>
      <c r="R2394" s="180" t="s">
        <v>389</v>
      </c>
      <c r="S2394" s="180" t="s">
        <v>390</v>
      </c>
      <c r="T2394" s="183">
        <f t="shared" si="60"/>
        <v>2</v>
      </c>
      <c r="U2394" s="184">
        <f t="shared" si="55"/>
        <v>45777</v>
      </c>
      <c r="V2394" s="166">
        <v>45777</v>
      </c>
      <c r="W2394" s="43">
        <f t="shared" si="56"/>
        <v>4</v>
      </c>
      <c r="X2394" s="49" t="s">
        <v>1498</v>
      </c>
      <c r="Y2394" s="49" t="s">
        <v>1336</v>
      </c>
      <c r="Z2394" s="183"/>
      <c r="AA2394" s="183"/>
      <c r="AB2394" s="183"/>
    </row>
    <row r="2395" spans="1:28" hidden="1">
      <c r="A2395" s="163" t="s">
        <v>1017</v>
      </c>
      <c r="B2395" s="164">
        <v>45770</v>
      </c>
      <c r="C2395" s="163" t="s">
        <v>1098</v>
      </c>
      <c r="D2395" s="163" t="s">
        <v>281</v>
      </c>
      <c r="E2395" s="163" t="s">
        <v>199</v>
      </c>
      <c r="F2395" s="168"/>
      <c r="G2395" s="165">
        <f t="shared" si="52"/>
        <v>-685873.57566666685</v>
      </c>
      <c r="H2395" s="180"/>
      <c r="I2395" s="180"/>
      <c r="J2395" s="180"/>
      <c r="K2395" s="180"/>
      <c r="L2395" s="180"/>
      <c r="M2395" s="180"/>
      <c r="N2395" s="180"/>
      <c r="O2395" s="180"/>
      <c r="P2395" s="180"/>
      <c r="Q2395" s="180"/>
      <c r="R2395" s="180"/>
      <c r="S2395" s="180"/>
      <c r="T2395" s="43">
        <f t="shared" si="60"/>
        <v>4</v>
      </c>
      <c r="U2395" s="167">
        <f t="shared" si="55"/>
        <v>45770</v>
      </c>
      <c r="V2395" s="145"/>
      <c r="W2395" s="43">
        <f t="shared" si="56"/>
        <v>4</v>
      </c>
      <c r="X2395" s="49"/>
      <c r="Y2395" s="49"/>
      <c r="Z2395" s="183"/>
      <c r="AA2395" s="183"/>
      <c r="AB2395" s="183"/>
    </row>
    <row r="2396" spans="1:28" hidden="1">
      <c r="A2396" s="163" t="s">
        <v>1017</v>
      </c>
      <c r="B2396" s="164">
        <v>45762</v>
      </c>
      <c r="C2396" s="163" t="s">
        <v>1409</v>
      </c>
      <c r="D2396" s="163" t="s">
        <v>281</v>
      </c>
      <c r="E2396" s="163" t="s">
        <v>199</v>
      </c>
      <c r="F2396" s="168"/>
      <c r="G2396" s="165">
        <f t="shared" si="52"/>
        <v>-685873.57566666685</v>
      </c>
      <c r="H2396" s="180"/>
      <c r="I2396" s="180"/>
      <c r="J2396" s="180"/>
      <c r="K2396" s="180"/>
      <c r="L2396" s="180"/>
      <c r="M2396" s="180"/>
      <c r="N2396" s="180"/>
      <c r="O2396" s="180"/>
      <c r="P2396" s="180"/>
      <c r="Q2396" s="180"/>
      <c r="R2396" s="180"/>
      <c r="S2396" s="180"/>
      <c r="T2396" s="43">
        <f t="shared" si="60"/>
        <v>4</v>
      </c>
      <c r="U2396" s="167">
        <f t="shared" si="55"/>
        <v>45763</v>
      </c>
      <c r="V2396" s="145">
        <v>45763</v>
      </c>
      <c r="W2396" s="43">
        <f t="shared" si="56"/>
        <v>4</v>
      </c>
      <c r="X2396" s="49"/>
      <c r="Y2396" s="49"/>
      <c r="Z2396" s="183"/>
      <c r="AA2396" s="183"/>
      <c r="AB2396" s="183"/>
    </row>
    <row r="2397" spans="1:28" hidden="1">
      <c r="A2397" s="163" t="s">
        <v>1017</v>
      </c>
      <c r="B2397" s="164">
        <v>45749</v>
      </c>
      <c r="C2397" s="293" t="s">
        <v>1001</v>
      </c>
      <c r="D2397" s="163" t="s">
        <v>281</v>
      </c>
      <c r="E2397" s="163" t="s">
        <v>199</v>
      </c>
      <c r="F2397" s="165"/>
      <c r="G2397" s="165">
        <f t="shared" si="52"/>
        <v>-685873.57566666685</v>
      </c>
      <c r="H2397" s="180"/>
      <c r="I2397" s="180"/>
      <c r="J2397" s="180"/>
      <c r="K2397" s="180"/>
      <c r="L2397" s="180"/>
      <c r="M2397" s="180"/>
      <c r="N2397" s="180"/>
      <c r="O2397" s="180"/>
      <c r="P2397" s="180"/>
      <c r="Q2397" s="180"/>
      <c r="R2397" s="180"/>
      <c r="S2397" s="180"/>
      <c r="T2397" s="43">
        <f t="shared" si="60"/>
        <v>4</v>
      </c>
      <c r="U2397" s="167">
        <f t="shared" si="55"/>
        <v>45777</v>
      </c>
      <c r="V2397" s="145">
        <v>45777</v>
      </c>
      <c r="W2397" s="43">
        <f t="shared" si="56"/>
        <v>4</v>
      </c>
      <c r="X2397" s="49"/>
      <c r="Y2397" s="49"/>
      <c r="Z2397" s="183"/>
      <c r="AA2397" s="183"/>
      <c r="AB2397" s="183"/>
    </row>
    <row r="2398" spans="1:28" hidden="1">
      <c r="A2398" s="163" t="s">
        <v>1017</v>
      </c>
      <c r="B2398" s="164">
        <v>45777</v>
      </c>
      <c r="C2398" s="163" t="s">
        <v>131</v>
      </c>
      <c r="D2398" s="163" t="s">
        <v>281</v>
      </c>
      <c r="E2398" s="163" t="s">
        <v>199</v>
      </c>
      <c r="F2398" s="168"/>
      <c r="G2398" s="165">
        <f t="shared" si="52"/>
        <v>-685873.57566666685</v>
      </c>
      <c r="H2398" s="180"/>
      <c r="I2398" s="180"/>
      <c r="J2398" s="180"/>
      <c r="K2398" s="180"/>
      <c r="L2398" s="180"/>
      <c r="M2398" s="180"/>
      <c r="N2398" s="180"/>
      <c r="O2398" s="180"/>
      <c r="P2398" s="180"/>
      <c r="Q2398" s="180"/>
      <c r="R2398" s="180"/>
      <c r="S2398" s="180"/>
      <c r="T2398" s="43">
        <f t="shared" si="60"/>
        <v>4</v>
      </c>
      <c r="U2398" s="167">
        <f t="shared" si="55"/>
        <v>45777</v>
      </c>
      <c r="V2398" s="145"/>
      <c r="W2398" s="43">
        <f t="shared" si="56"/>
        <v>4</v>
      </c>
      <c r="X2398" s="49"/>
      <c r="Y2398" s="49"/>
      <c r="Z2398" s="183"/>
      <c r="AA2398" s="183"/>
      <c r="AB2398" s="183"/>
    </row>
    <row r="2399" spans="1:28" hidden="1">
      <c r="A2399" s="163" t="s">
        <v>1017</v>
      </c>
      <c r="B2399" s="164">
        <v>45761</v>
      </c>
      <c r="C2399" s="163" t="s">
        <v>998</v>
      </c>
      <c r="D2399" s="163" t="s">
        <v>281</v>
      </c>
      <c r="E2399" s="163" t="s">
        <v>199</v>
      </c>
      <c r="F2399" s="168"/>
      <c r="G2399" s="165">
        <f t="shared" si="52"/>
        <v>-685873.57566666685</v>
      </c>
      <c r="H2399" s="180"/>
      <c r="I2399" s="180"/>
      <c r="J2399" s="180"/>
      <c r="K2399" s="180"/>
      <c r="L2399" s="180"/>
      <c r="M2399" s="180"/>
      <c r="N2399" s="180"/>
      <c r="O2399" s="180"/>
      <c r="P2399" s="180"/>
      <c r="Q2399" s="180"/>
      <c r="R2399" s="180"/>
      <c r="S2399" s="180"/>
      <c r="T2399" s="43">
        <f t="shared" si="60"/>
        <v>4</v>
      </c>
      <c r="U2399" s="167">
        <f t="shared" si="55"/>
        <v>45763</v>
      </c>
      <c r="V2399" s="145">
        <v>45763</v>
      </c>
      <c r="W2399" s="43">
        <f t="shared" si="56"/>
        <v>4</v>
      </c>
      <c r="X2399" s="49"/>
      <c r="Y2399" s="49"/>
      <c r="Z2399" s="183"/>
      <c r="AA2399" s="183"/>
      <c r="AB2399" s="183"/>
    </row>
    <row r="2400" spans="1:28" hidden="1">
      <c r="A2400" s="163" t="s">
        <v>1017</v>
      </c>
      <c r="B2400" s="164">
        <v>45762</v>
      </c>
      <c r="C2400" s="163" t="s">
        <v>1853</v>
      </c>
      <c r="D2400" s="163" t="s">
        <v>281</v>
      </c>
      <c r="E2400" s="163" t="s">
        <v>1766</v>
      </c>
      <c r="F2400" s="168"/>
      <c r="G2400" s="165">
        <f t="shared" si="52"/>
        <v>-685873.57566666685</v>
      </c>
      <c r="H2400" s="163"/>
      <c r="I2400" s="163" t="s">
        <v>283</v>
      </c>
      <c r="J2400" s="163"/>
      <c r="K2400" s="163"/>
      <c r="L2400" s="163" t="s">
        <v>1030</v>
      </c>
      <c r="M2400" s="163"/>
      <c r="N2400" s="163" t="s">
        <v>978</v>
      </c>
      <c r="O2400" s="163"/>
      <c r="P2400" s="163"/>
      <c r="Q2400" s="163"/>
      <c r="R2400" s="163" t="s">
        <v>466</v>
      </c>
      <c r="S2400" s="163" t="s">
        <v>468</v>
      </c>
      <c r="T2400" s="43">
        <f t="shared" si="60"/>
        <v>4</v>
      </c>
      <c r="U2400" s="167">
        <f t="shared" si="55"/>
        <v>45777</v>
      </c>
      <c r="V2400" s="145">
        <v>45777</v>
      </c>
      <c r="W2400" s="43">
        <f t="shared" si="56"/>
        <v>4</v>
      </c>
      <c r="X2400" s="49" t="s">
        <v>1498</v>
      </c>
      <c r="Y2400" s="43" t="s">
        <v>26</v>
      </c>
    </row>
    <row r="2401" spans="1:28" hidden="1">
      <c r="A2401" s="163" t="s">
        <v>1017</v>
      </c>
      <c r="B2401" s="164">
        <v>45740</v>
      </c>
      <c r="C2401" s="163" t="s">
        <v>1326</v>
      </c>
      <c r="D2401" s="163" t="s">
        <v>281</v>
      </c>
      <c r="E2401" s="163" t="s">
        <v>199</v>
      </c>
      <c r="F2401" s="165">
        <v>-544</v>
      </c>
      <c r="G2401" s="165">
        <f t="shared" si="52"/>
        <v>-686417.57566666685</v>
      </c>
      <c r="H2401" s="163"/>
      <c r="I2401" s="163" t="s">
        <v>342</v>
      </c>
      <c r="J2401" s="163"/>
      <c r="K2401" s="163"/>
      <c r="L2401" s="163" t="s">
        <v>1062</v>
      </c>
      <c r="M2401" s="163"/>
      <c r="N2401" s="163" t="s">
        <v>978</v>
      </c>
      <c r="O2401" s="163"/>
      <c r="P2401" s="163"/>
      <c r="Q2401" s="163"/>
      <c r="R2401" s="163" t="s">
        <v>1327</v>
      </c>
      <c r="S2401" s="163"/>
      <c r="T2401" s="43">
        <f t="shared" si="60"/>
        <v>3</v>
      </c>
      <c r="U2401" s="167">
        <f t="shared" si="55"/>
        <v>45777</v>
      </c>
      <c r="V2401" s="145">
        <v>45777</v>
      </c>
      <c r="W2401" s="43">
        <f t="shared" si="56"/>
        <v>4</v>
      </c>
      <c r="X2401" s="49" t="s">
        <v>1480</v>
      </c>
      <c r="Y2401" s="49" t="s">
        <v>1488</v>
      </c>
    </row>
    <row r="2402" spans="1:28" hidden="1">
      <c r="A2402" s="163"/>
      <c r="B2402" s="164">
        <v>45777</v>
      </c>
      <c r="C2402" s="163" t="s">
        <v>346</v>
      </c>
      <c r="D2402" s="163"/>
      <c r="E2402" s="163"/>
      <c r="F2402" s="165">
        <v>0</v>
      </c>
      <c r="G2402" s="165">
        <f t="shared" si="52"/>
        <v>-686417.57566666685</v>
      </c>
      <c r="H2402" s="180"/>
      <c r="I2402" s="180"/>
      <c r="J2402" s="180"/>
      <c r="K2402" s="180"/>
      <c r="L2402" s="180"/>
      <c r="M2402" s="180"/>
      <c r="N2402" s="180"/>
      <c r="O2402" s="180"/>
      <c r="P2402" s="180"/>
      <c r="Q2402" s="180"/>
      <c r="R2402" s="180"/>
      <c r="S2402" s="180"/>
      <c r="T2402" s="43">
        <f t="shared" si="60"/>
        <v>4</v>
      </c>
      <c r="U2402" s="167">
        <f t="shared" si="55"/>
        <v>45777</v>
      </c>
      <c r="V2402" s="145"/>
      <c r="W2402" s="43">
        <f t="shared" si="56"/>
        <v>4</v>
      </c>
      <c r="X2402" s="49"/>
      <c r="Y2402" s="49"/>
      <c r="Z2402" s="183"/>
      <c r="AA2402" s="183"/>
      <c r="AB2402" s="183"/>
    </row>
    <row r="2403" spans="1:28" hidden="1">
      <c r="A2403" s="163" t="s">
        <v>1174</v>
      </c>
      <c r="B2403" s="164">
        <v>45772</v>
      </c>
      <c r="C2403" s="163" t="s">
        <v>1854</v>
      </c>
      <c r="D2403" s="163" t="s">
        <v>281</v>
      </c>
      <c r="E2403" s="163" t="s">
        <v>407</v>
      </c>
      <c r="F2403" s="195">
        <v>1900</v>
      </c>
      <c r="G2403" s="165">
        <f t="shared" si="52"/>
        <v>-684517.57566666685</v>
      </c>
      <c r="H2403" s="180"/>
      <c r="I2403" s="180"/>
      <c r="J2403" s="180"/>
      <c r="K2403" s="180"/>
      <c r="L2403" s="180"/>
      <c r="M2403" s="180"/>
      <c r="N2403" s="180"/>
      <c r="O2403" s="180"/>
      <c r="P2403" s="180"/>
      <c r="Q2403" s="180"/>
      <c r="R2403" s="180"/>
      <c r="S2403" s="180"/>
      <c r="T2403" s="43">
        <f t="shared" si="60"/>
        <v>4</v>
      </c>
      <c r="U2403" s="167">
        <f t="shared" si="55"/>
        <v>45779</v>
      </c>
      <c r="V2403" s="145">
        <v>45779</v>
      </c>
      <c r="W2403" s="43">
        <f t="shared" si="56"/>
        <v>5</v>
      </c>
      <c r="X2403" s="49"/>
      <c r="Y2403" s="49"/>
      <c r="Z2403" s="183"/>
      <c r="AA2403" s="183"/>
      <c r="AB2403" s="183"/>
    </row>
    <row r="2404" spans="1:28" hidden="1">
      <c r="A2404" s="163" t="s">
        <v>1174</v>
      </c>
      <c r="B2404" s="164">
        <v>45769</v>
      </c>
      <c r="C2404" s="163" t="s">
        <v>1855</v>
      </c>
      <c r="D2404" s="163" t="s">
        <v>281</v>
      </c>
      <c r="E2404" s="163" t="s">
        <v>407</v>
      </c>
      <c r="F2404" s="195">
        <v>2997</v>
      </c>
      <c r="G2404" s="165">
        <f t="shared" si="52"/>
        <v>-681520.57566666685</v>
      </c>
      <c r="H2404" s="180"/>
      <c r="I2404" s="180"/>
      <c r="J2404" s="180"/>
      <c r="K2404" s="180"/>
      <c r="L2404" s="180"/>
      <c r="M2404" s="180"/>
      <c r="N2404" s="180"/>
      <c r="O2404" s="180"/>
      <c r="P2404" s="180"/>
      <c r="Q2404" s="180"/>
      <c r="R2404" s="180"/>
      <c r="S2404" s="180"/>
      <c r="T2404" s="43">
        <f t="shared" si="60"/>
        <v>4</v>
      </c>
      <c r="U2404" s="167">
        <f t="shared" si="55"/>
        <v>45779</v>
      </c>
      <c r="V2404" s="145">
        <v>45779</v>
      </c>
      <c r="W2404" s="43">
        <f t="shared" si="56"/>
        <v>5</v>
      </c>
      <c r="X2404" s="49"/>
      <c r="Y2404" s="49"/>
      <c r="Z2404" s="183"/>
      <c r="AA2404" s="183"/>
      <c r="AB2404" s="183"/>
    </row>
    <row r="2405" spans="1:28" hidden="1">
      <c r="A2405" s="163" t="s">
        <v>1174</v>
      </c>
      <c r="B2405" s="164">
        <v>45757</v>
      </c>
      <c r="C2405" s="163" t="s">
        <v>1531</v>
      </c>
      <c r="D2405" s="163" t="s">
        <v>281</v>
      </c>
      <c r="E2405" s="163" t="s">
        <v>407</v>
      </c>
      <c r="F2405" s="165">
        <v>4200</v>
      </c>
      <c r="G2405" s="165">
        <f t="shared" si="52"/>
        <v>-677320.57566666685</v>
      </c>
      <c r="H2405" s="180"/>
      <c r="I2405" s="180"/>
      <c r="J2405" s="180"/>
      <c r="K2405" s="180"/>
      <c r="L2405" s="180"/>
      <c r="M2405" s="180"/>
      <c r="N2405" s="180"/>
      <c r="O2405" s="180"/>
      <c r="P2405" s="180"/>
      <c r="Q2405" s="180"/>
      <c r="R2405" s="180"/>
      <c r="S2405" s="180"/>
      <c r="T2405" s="43">
        <f t="shared" si="60"/>
        <v>4</v>
      </c>
      <c r="U2405" s="167">
        <f t="shared" si="55"/>
        <v>45779</v>
      </c>
      <c r="V2405" s="145">
        <v>45779</v>
      </c>
      <c r="W2405" s="43">
        <f t="shared" si="56"/>
        <v>5</v>
      </c>
      <c r="X2405" s="49"/>
      <c r="Y2405" s="49"/>
      <c r="Z2405" s="183"/>
      <c r="AA2405" s="183"/>
      <c r="AB2405" s="183"/>
    </row>
    <row r="2406" spans="1:28" hidden="1">
      <c r="A2406" s="163" t="s">
        <v>1174</v>
      </c>
      <c r="B2406" s="164">
        <v>45769</v>
      </c>
      <c r="C2406" s="163" t="s">
        <v>1412</v>
      </c>
      <c r="D2406" s="163" t="s">
        <v>281</v>
      </c>
      <c r="E2406" s="163" t="s">
        <v>407</v>
      </c>
      <c r="F2406" s="264">
        <v>3000</v>
      </c>
      <c r="G2406" s="165">
        <f t="shared" si="52"/>
        <v>-674320.57566666685</v>
      </c>
      <c r="H2406" s="180"/>
      <c r="I2406" s="180"/>
      <c r="J2406" s="180"/>
      <c r="K2406" s="180"/>
      <c r="L2406" s="180"/>
      <c r="M2406" s="180"/>
      <c r="N2406" s="180"/>
      <c r="O2406" s="180"/>
      <c r="P2406" s="180"/>
      <c r="Q2406" s="180"/>
      <c r="R2406" s="180"/>
      <c r="S2406" s="180"/>
      <c r="T2406" s="43">
        <f t="shared" si="60"/>
        <v>4</v>
      </c>
      <c r="U2406" s="167">
        <f t="shared" si="55"/>
        <v>45779</v>
      </c>
      <c r="V2406" s="145">
        <v>45779</v>
      </c>
      <c r="W2406" s="43">
        <f t="shared" si="56"/>
        <v>5</v>
      </c>
      <c r="X2406" s="49"/>
      <c r="Y2406" s="49"/>
      <c r="Z2406" s="183"/>
      <c r="AA2406" s="183"/>
      <c r="AB2406" s="183"/>
    </row>
    <row r="2407" spans="1:28" hidden="1">
      <c r="A2407" s="163" t="s">
        <v>1174</v>
      </c>
      <c r="B2407" s="164">
        <v>45772</v>
      </c>
      <c r="C2407" s="163" t="s">
        <v>1158</v>
      </c>
      <c r="D2407" s="163" t="s">
        <v>281</v>
      </c>
      <c r="E2407" s="163" t="s">
        <v>407</v>
      </c>
      <c r="F2407" s="264">
        <v>1500</v>
      </c>
      <c r="G2407" s="165">
        <f t="shared" si="52"/>
        <v>-672820.57566666685</v>
      </c>
      <c r="H2407" s="180"/>
      <c r="I2407" s="180"/>
      <c r="J2407" s="180"/>
      <c r="K2407" s="180"/>
      <c r="L2407" s="180"/>
      <c r="M2407" s="180"/>
      <c r="N2407" s="180"/>
      <c r="O2407" s="180"/>
      <c r="P2407" s="180"/>
      <c r="Q2407" s="180"/>
      <c r="R2407" s="180"/>
      <c r="S2407" s="180"/>
      <c r="T2407" s="43">
        <f t="shared" si="60"/>
        <v>4</v>
      </c>
      <c r="U2407" s="167">
        <f t="shared" si="55"/>
        <v>45779</v>
      </c>
      <c r="V2407" s="145">
        <v>45779</v>
      </c>
      <c r="W2407" s="43">
        <f t="shared" si="56"/>
        <v>5</v>
      </c>
      <c r="X2407" s="49"/>
      <c r="Y2407" s="49"/>
      <c r="Z2407" s="183"/>
      <c r="AA2407" s="183"/>
      <c r="AB2407" s="183"/>
    </row>
    <row r="2408" spans="1:28" hidden="1">
      <c r="A2408" s="163" t="s">
        <v>1174</v>
      </c>
      <c r="B2408" s="164">
        <v>45741</v>
      </c>
      <c r="C2408" s="163" t="s">
        <v>1279</v>
      </c>
      <c r="D2408" s="163" t="s">
        <v>281</v>
      </c>
      <c r="E2408" s="163" t="s">
        <v>407</v>
      </c>
      <c r="F2408" s="264">
        <f>3500/3*2</f>
        <v>2333.3333333333335</v>
      </c>
      <c r="G2408" s="165">
        <f t="shared" si="52"/>
        <v>-670487.24233333347</v>
      </c>
      <c r="H2408" s="163"/>
      <c r="I2408" s="163" t="s">
        <v>1176</v>
      </c>
      <c r="J2408" s="163" t="s">
        <v>1469</v>
      </c>
      <c r="K2408" s="163"/>
      <c r="L2408" s="163" t="s">
        <v>305</v>
      </c>
      <c r="M2408" s="163"/>
      <c r="N2408" s="163" t="s">
        <v>1178</v>
      </c>
      <c r="O2408" s="163" t="s">
        <v>1469</v>
      </c>
      <c r="P2408" s="163" t="s">
        <v>57</v>
      </c>
      <c r="Q2408" s="163"/>
      <c r="R2408" s="163" t="s">
        <v>1284</v>
      </c>
      <c r="S2408" s="163" t="s">
        <v>1285</v>
      </c>
      <c r="T2408" s="43">
        <f t="shared" si="60"/>
        <v>3</v>
      </c>
      <c r="U2408" s="167">
        <f t="shared" si="55"/>
        <v>45779</v>
      </c>
      <c r="V2408" s="145">
        <v>45779</v>
      </c>
      <c r="W2408" s="43">
        <f t="shared" si="56"/>
        <v>5</v>
      </c>
      <c r="X2408" s="43" t="s">
        <v>1484</v>
      </c>
      <c r="Y2408" s="43" t="s">
        <v>1485</v>
      </c>
    </row>
    <row r="2409" spans="1:28" ht="14.25" hidden="1" customHeight="1">
      <c r="A2409" s="180" t="s">
        <v>1017</v>
      </c>
      <c r="B2409" s="181">
        <v>45779</v>
      </c>
      <c r="C2409" s="180" t="s">
        <v>1840</v>
      </c>
      <c r="D2409" s="180" t="s">
        <v>281</v>
      </c>
      <c r="E2409" s="180" t="s">
        <v>193</v>
      </c>
      <c r="F2409" s="168">
        <v>-8000</v>
      </c>
      <c r="G2409" s="165">
        <f t="shared" si="52"/>
        <v>-678487.24233333347</v>
      </c>
      <c r="H2409" s="180"/>
      <c r="I2409" s="180" t="s">
        <v>342</v>
      </c>
      <c r="J2409" s="180"/>
      <c r="K2409" s="180"/>
      <c r="L2409" s="180" t="s">
        <v>1301</v>
      </c>
      <c r="M2409" s="180"/>
      <c r="N2409" s="180" t="s">
        <v>978</v>
      </c>
      <c r="O2409" s="180"/>
      <c r="P2409" s="180"/>
      <c r="Q2409" s="180"/>
      <c r="R2409" s="180" t="s">
        <v>1463</v>
      </c>
      <c r="S2409" s="180" t="s">
        <v>345</v>
      </c>
      <c r="T2409" s="183">
        <f>MONTH(U2409)</f>
        <v>5</v>
      </c>
      <c r="U2409" s="184">
        <f t="shared" si="55"/>
        <v>45779</v>
      </c>
      <c r="V2409" s="145"/>
      <c r="W2409" s="43">
        <f t="shared" si="56"/>
        <v>5</v>
      </c>
      <c r="X2409" s="43" t="s">
        <v>1552</v>
      </c>
      <c r="Y2409" s="43" t="s">
        <v>26</v>
      </c>
      <c r="Z2409" s="183"/>
      <c r="AA2409" s="183"/>
      <c r="AB2409" s="183"/>
    </row>
    <row r="2410" spans="1:28" hidden="1">
      <c r="A2410" s="180" t="s">
        <v>1017</v>
      </c>
      <c r="B2410" s="181">
        <v>45777</v>
      </c>
      <c r="C2410" s="180" t="s">
        <v>1852</v>
      </c>
      <c r="D2410" s="180" t="s">
        <v>281</v>
      </c>
      <c r="E2410" s="180" t="s">
        <v>1061</v>
      </c>
      <c r="F2410" s="185">
        <v>-24196.080000000002</v>
      </c>
      <c r="G2410" s="165">
        <f t="shared" si="52"/>
        <v>-702683.32233333343</v>
      </c>
      <c r="H2410" s="180"/>
      <c r="I2410" s="180" t="s">
        <v>342</v>
      </c>
      <c r="J2410" s="180"/>
      <c r="K2410" s="180"/>
      <c r="L2410" s="180" t="s">
        <v>1686</v>
      </c>
      <c r="M2410" s="180"/>
      <c r="N2410" s="180" t="s">
        <v>978</v>
      </c>
      <c r="O2410" s="180"/>
      <c r="P2410" s="180"/>
      <c r="Q2410" s="180"/>
      <c r="R2410" s="180" t="s">
        <v>389</v>
      </c>
      <c r="S2410" s="180" t="s">
        <v>390</v>
      </c>
      <c r="T2410" s="183">
        <f t="shared" ref="T2410:T2640" si="61">MONTH(B2410)</f>
        <v>4</v>
      </c>
      <c r="U2410" s="184">
        <f t="shared" si="55"/>
        <v>45779</v>
      </c>
      <c r="V2410" s="145">
        <v>45779</v>
      </c>
      <c r="W2410" s="43">
        <f t="shared" si="56"/>
        <v>5</v>
      </c>
      <c r="X2410" s="49" t="s">
        <v>1498</v>
      </c>
      <c r="Y2410" s="49" t="s">
        <v>1336</v>
      </c>
      <c r="Z2410" s="183"/>
      <c r="AA2410" s="183"/>
      <c r="AB2410" s="183"/>
    </row>
    <row r="2411" spans="1:28" ht="14.25" hidden="1" customHeight="1">
      <c r="A2411" s="163" t="s">
        <v>1017</v>
      </c>
      <c r="B2411" s="164">
        <v>45779</v>
      </c>
      <c r="C2411" s="163" t="s">
        <v>351</v>
      </c>
      <c r="D2411" s="163" t="s">
        <v>281</v>
      </c>
      <c r="E2411" s="163" t="s">
        <v>359</v>
      </c>
      <c r="F2411" s="168">
        <v>-1200</v>
      </c>
      <c r="G2411" s="165">
        <f t="shared" si="52"/>
        <v>-703883.32233333343</v>
      </c>
      <c r="H2411" s="295"/>
      <c r="I2411" s="295"/>
      <c r="J2411" s="295"/>
      <c r="K2411" s="295"/>
      <c r="L2411" s="295"/>
      <c r="M2411" s="295"/>
      <c r="N2411" s="295"/>
      <c r="O2411" s="295"/>
      <c r="P2411" s="295"/>
      <c r="Q2411" s="295"/>
      <c r="R2411" s="295"/>
      <c r="S2411" s="190"/>
      <c r="T2411" s="43">
        <f t="shared" si="61"/>
        <v>5</v>
      </c>
      <c r="U2411" s="167">
        <f t="shared" si="55"/>
        <v>45779</v>
      </c>
      <c r="V2411" s="145"/>
      <c r="W2411" s="43">
        <f t="shared" si="56"/>
        <v>5</v>
      </c>
      <c r="X2411" s="43"/>
      <c r="Y2411" s="43"/>
      <c r="Z2411" s="43"/>
      <c r="AA2411" s="43"/>
      <c r="AB2411" s="43"/>
    </row>
    <row r="2412" spans="1:28" ht="14.25" hidden="1" customHeight="1">
      <c r="A2412" s="163" t="s">
        <v>1017</v>
      </c>
      <c r="B2412" s="164">
        <v>45779</v>
      </c>
      <c r="C2412" s="163" t="s">
        <v>1490</v>
      </c>
      <c r="D2412" s="163" t="s">
        <v>281</v>
      </c>
      <c r="E2412" s="163" t="s">
        <v>199</v>
      </c>
      <c r="F2412" s="168">
        <v>-540</v>
      </c>
      <c r="G2412" s="165">
        <f t="shared" si="52"/>
        <v>-704423.32233333343</v>
      </c>
      <c r="H2412" s="295"/>
      <c r="I2412" s="295"/>
      <c r="J2412" s="295"/>
      <c r="K2412" s="295"/>
      <c r="L2412" s="295"/>
      <c r="M2412" s="295"/>
      <c r="N2412" s="295"/>
      <c r="O2412" s="295"/>
      <c r="P2412" s="295"/>
      <c r="Q2412" s="295"/>
      <c r="R2412" s="295"/>
      <c r="S2412" s="190"/>
      <c r="T2412" s="43">
        <f t="shared" si="61"/>
        <v>5</v>
      </c>
      <c r="U2412" s="167">
        <f t="shared" si="55"/>
        <v>45779</v>
      </c>
      <c r="V2412" s="145"/>
      <c r="W2412" s="43">
        <f t="shared" si="56"/>
        <v>5</v>
      </c>
      <c r="X2412" s="43"/>
      <c r="Y2412" s="43"/>
      <c r="Z2412" s="43"/>
      <c r="AA2412" s="43"/>
      <c r="AB2412" s="43"/>
    </row>
    <row r="2413" spans="1:28" ht="14.25" hidden="1" customHeight="1">
      <c r="A2413" s="163" t="s">
        <v>1017</v>
      </c>
      <c r="B2413" s="164">
        <v>45779</v>
      </c>
      <c r="C2413" s="163" t="s">
        <v>1010</v>
      </c>
      <c r="D2413" s="163" t="s">
        <v>281</v>
      </c>
      <c r="E2413" s="163" t="s">
        <v>199</v>
      </c>
      <c r="F2413" s="168">
        <v>-2500</v>
      </c>
      <c r="G2413" s="165">
        <f t="shared" si="52"/>
        <v>-706923.32233333343</v>
      </c>
      <c r="H2413" s="295"/>
      <c r="I2413" s="295"/>
      <c r="J2413" s="295"/>
      <c r="K2413" s="295"/>
      <c r="L2413" s="295"/>
      <c r="M2413" s="295"/>
      <c r="N2413" s="295"/>
      <c r="O2413" s="295"/>
      <c r="P2413" s="295"/>
      <c r="Q2413" s="295"/>
      <c r="R2413" s="295"/>
      <c r="S2413" s="190"/>
      <c r="T2413" s="43">
        <f t="shared" si="61"/>
        <v>5</v>
      </c>
      <c r="U2413" s="167">
        <f t="shared" si="55"/>
        <v>45779</v>
      </c>
      <c r="V2413" s="145"/>
      <c r="W2413" s="43">
        <f t="shared" si="56"/>
        <v>5</v>
      </c>
      <c r="X2413" s="43"/>
      <c r="Y2413" s="43"/>
      <c r="Z2413" s="43"/>
      <c r="AA2413" s="43"/>
      <c r="AB2413" s="43"/>
    </row>
    <row r="2414" spans="1:28" ht="14.25" hidden="1" customHeight="1">
      <c r="A2414" s="163" t="s">
        <v>1017</v>
      </c>
      <c r="B2414" s="164">
        <v>45779</v>
      </c>
      <c r="C2414" s="163" t="s">
        <v>1831</v>
      </c>
      <c r="D2414" s="163" t="s">
        <v>281</v>
      </c>
      <c r="E2414" s="163" t="s">
        <v>760</v>
      </c>
      <c r="F2414" s="168">
        <v>-1459.65</v>
      </c>
      <c r="G2414" s="165">
        <f t="shared" si="52"/>
        <v>-708382.97233333346</v>
      </c>
      <c r="H2414" s="295"/>
      <c r="I2414" s="295"/>
      <c r="J2414" s="295"/>
      <c r="K2414" s="295"/>
      <c r="L2414" s="295"/>
      <c r="M2414" s="295"/>
      <c r="N2414" s="295"/>
      <c r="O2414" s="295"/>
      <c r="P2414" s="295"/>
      <c r="Q2414" s="295"/>
      <c r="R2414" s="295"/>
      <c r="S2414" s="190"/>
      <c r="T2414" s="43">
        <f t="shared" si="61"/>
        <v>5</v>
      </c>
      <c r="U2414" s="167">
        <f t="shared" si="55"/>
        <v>45779</v>
      </c>
      <c r="V2414" s="145"/>
      <c r="W2414" s="43">
        <f t="shared" si="56"/>
        <v>5</v>
      </c>
      <c r="X2414" s="43"/>
      <c r="Y2414" s="43"/>
      <c r="Z2414" s="43"/>
      <c r="AA2414" s="43"/>
      <c r="AB2414" s="43"/>
    </row>
    <row r="2415" spans="1:28" ht="14.25" hidden="1" customHeight="1">
      <c r="A2415" s="163"/>
      <c r="B2415" s="164">
        <v>45779</v>
      </c>
      <c r="C2415" s="163" t="s">
        <v>346</v>
      </c>
      <c r="D2415" s="163"/>
      <c r="E2415" s="163"/>
      <c r="F2415" s="165">
        <v>0</v>
      </c>
      <c r="G2415" s="165">
        <f t="shared" si="52"/>
        <v>-708382.97233333346</v>
      </c>
      <c r="H2415" s="295"/>
      <c r="I2415" s="295"/>
      <c r="J2415" s="295"/>
      <c r="K2415" s="295"/>
      <c r="L2415" s="295"/>
      <c r="M2415" s="295"/>
      <c r="N2415" s="295"/>
      <c r="O2415" s="295"/>
      <c r="P2415" s="295"/>
      <c r="Q2415" s="295"/>
      <c r="R2415" s="295"/>
      <c r="S2415" s="190"/>
      <c r="T2415" s="43">
        <f t="shared" si="61"/>
        <v>5</v>
      </c>
      <c r="U2415" s="167">
        <f t="shared" si="55"/>
        <v>45779</v>
      </c>
      <c r="V2415" s="145"/>
      <c r="W2415" s="43">
        <f t="shared" si="56"/>
        <v>5</v>
      </c>
      <c r="X2415" s="43"/>
      <c r="Y2415" s="43"/>
      <c r="Z2415" s="43"/>
      <c r="AA2415" s="43"/>
      <c r="AB2415" s="43"/>
    </row>
    <row r="2416" spans="1:28" ht="14.25" hidden="1" customHeight="1">
      <c r="A2416" s="163" t="s">
        <v>1174</v>
      </c>
      <c r="B2416" s="164">
        <v>45782</v>
      </c>
      <c r="C2416" s="163" t="s">
        <v>1316</v>
      </c>
      <c r="D2416" s="163" t="s">
        <v>281</v>
      </c>
      <c r="E2416" s="163" t="s">
        <v>407</v>
      </c>
      <c r="F2416" s="165">
        <v>1000</v>
      </c>
      <c r="G2416" s="165">
        <f t="shared" si="52"/>
        <v>-707382.97233333346</v>
      </c>
      <c r="H2416" s="295"/>
      <c r="I2416" s="295"/>
      <c r="J2416" s="295"/>
      <c r="K2416" s="295"/>
      <c r="L2416" s="295"/>
      <c r="M2416" s="295"/>
      <c r="N2416" s="295"/>
      <c r="O2416" s="295"/>
      <c r="P2416" s="295"/>
      <c r="Q2416" s="295"/>
      <c r="R2416" s="295"/>
      <c r="S2416" s="190"/>
      <c r="T2416" s="43">
        <f t="shared" si="61"/>
        <v>5</v>
      </c>
      <c r="U2416" s="167">
        <f t="shared" si="55"/>
        <v>45782</v>
      </c>
      <c r="V2416" s="145"/>
      <c r="W2416" s="43">
        <f t="shared" si="56"/>
        <v>5</v>
      </c>
      <c r="X2416" s="43"/>
      <c r="Y2416" s="43"/>
      <c r="Z2416" s="43"/>
      <c r="AA2416" s="43"/>
      <c r="AB2416" s="43"/>
    </row>
    <row r="2417" spans="1:28" ht="14.25" hidden="1" customHeight="1">
      <c r="A2417" s="163" t="s">
        <v>1174</v>
      </c>
      <c r="B2417" s="164">
        <v>45782</v>
      </c>
      <c r="C2417" s="163" t="s">
        <v>1501</v>
      </c>
      <c r="D2417" s="163" t="s">
        <v>281</v>
      </c>
      <c r="E2417" s="163" t="s">
        <v>407</v>
      </c>
      <c r="F2417" s="165">
        <v>1799</v>
      </c>
      <c r="G2417" s="165">
        <f t="shared" si="52"/>
        <v>-705583.97233333346</v>
      </c>
      <c r="H2417" s="295"/>
      <c r="I2417" s="295"/>
      <c r="J2417" s="295"/>
      <c r="K2417" s="295"/>
      <c r="L2417" s="295"/>
      <c r="M2417" s="295"/>
      <c r="N2417" s="295"/>
      <c r="O2417" s="295"/>
      <c r="P2417" s="295"/>
      <c r="Q2417" s="295"/>
      <c r="R2417" s="295"/>
      <c r="S2417" s="190"/>
      <c r="T2417" s="43">
        <f t="shared" si="61"/>
        <v>5</v>
      </c>
      <c r="U2417" s="167">
        <f t="shared" si="55"/>
        <v>45782</v>
      </c>
      <c r="V2417" s="145"/>
      <c r="W2417" s="43">
        <f t="shared" si="56"/>
        <v>5</v>
      </c>
      <c r="X2417" s="43"/>
      <c r="Y2417" s="43"/>
      <c r="Z2417" s="43"/>
      <c r="AA2417" s="43"/>
      <c r="AB2417" s="43"/>
    </row>
    <row r="2418" spans="1:28" ht="14.25" hidden="1" customHeight="1">
      <c r="A2418" s="163" t="s">
        <v>1174</v>
      </c>
      <c r="B2418" s="164">
        <v>45782</v>
      </c>
      <c r="C2418" s="163" t="s">
        <v>67</v>
      </c>
      <c r="D2418" s="163" t="s">
        <v>281</v>
      </c>
      <c r="E2418" s="163" t="s">
        <v>407</v>
      </c>
      <c r="F2418" s="165">
        <v>2950</v>
      </c>
      <c r="G2418" s="165">
        <f t="shared" si="52"/>
        <v>-702633.97233333346</v>
      </c>
      <c r="H2418" s="295"/>
      <c r="I2418" s="295"/>
      <c r="J2418" s="295"/>
      <c r="K2418" s="295"/>
      <c r="L2418" s="295"/>
      <c r="M2418" s="295"/>
      <c r="N2418" s="295"/>
      <c r="O2418" s="295"/>
      <c r="P2418" s="295"/>
      <c r="Q2418" s="295"/>
      <c r="R2418" s="295"/>
      <c r="S2418" s="190"/>
      <c r="T2418" s="43">
        <f t="shared" si="61"/>
        <v>5</v>
      </c>
      <c r="U2418" s="167">
        <f t="shared" si="55"/>
        <v>45782</v>
      </c>
      <c r="V2418" s="145"/>
      <c r="W2418" s="43">
        <f t="shared" si="56"/>
        <v>5</v>
      </c>
      <c r="X2418" s="43"/>
      <c r="Y2418" s="43"/>
      <c r="Z2418" s="43"/>
      <c r="AA2418" s="43"/>
      <c r="AB2418" s="43"/>
    </row>
    <row r="2419" spans="1:28" ht="14.25" hidden="1" customHeight="1">
      <c r="A2419" s="163" t="s">
        <v>1174</v>
      </c>
      <c r="B2419" s="164">
        <v>45782</v>
      </c>
      <c r="C2419" s="163" t="s">
        <v>406</v>
      </c>
      <c r="D2419" s="163" t="s">
        <v>281</v>
      </c>
      <c r="E2419" s="163" t="s">
        <v>407</v>
      </c>
      <c r="F2419" s="165">
        <v>3000</v>
      </c>
      <c r="G2419" s="165">
        <f t="shared" si="52"/>
        <v>-699633.97233333346</v>
      </c>
      <c r="H2419" s="295"/>
      <c r="I2419" s="295"/>
      <c r="J2419" s="295"/>
      <c r="K2419" s="295"/>
      <c r="L2419" s="295"/>
      <c r="M2419" s="295"/>
      <c r="N2419" s="295"/>
      <c r="O2419" s="295"/>
      <c r="P2419" s="295"/>
      <c r="Q2419" s="295"/>
      <c r="R2419" s="295"/>
      <c r="S2419" s="190" t="s">
        <v>1156</v>
      </c>
      <c r="T2419" s="43">
        <f t="shared" si="61"/>
        <v>5</v>
      </c>
      <c r="U2419" s="167">
        <f t="shared" si="55"/>
        <v>45782</v>
      </c>
      <c r="V2419" s="145"/>
      <c r="W2419" s="43">
        <f t="shared" si="56"/>
        <v>5</v>
      </c>
      <c r="X2419" s="43"/>
      <c r="Y2419" s="43"/>
      <c r="Z2419" s="43"/>
      <c r="AA2419" s="43"/>
      <c r="AB2419" s="43"/>
    </row>
    <row r="2420" spans="1:28" ht="14.25" hidden="1" customHeight="1">
      <c r="A2420" s="163" t="s">
        <v>1174</v>
      </c>
      <c r="B2420" s="164">
        <v>45782</v>
      </c>
      <c r="C2420" s="163" t="s">
        <v>70</v>
      </c>
      <c r="D2420" s="163" t="s">
        <v>281</v>
      </c>
      <c r="E2420" s="163" t="s">
        <v>407</v>
      </c>
      <c r="F2420" s="165">
        <v>3099</v>
      </c>
      <c r="G2420" s="165">
        <f t="shared" si="52"/>
        <v>-696534.97233333346</v>
      </c>
      <c r="H2420" s="295"/>
      <c r="I2420" s="295"/>
      <c r="J2420" s="295"/>
      <c r="K2420" s="295"/>
      <c r="L2420" s="295"/>
      <c r="M2420" s="295"/>
      <c r="N2420" s="295"/>
      <c r="O2420" s="295"/>
      <c r="P2420" s="295"/>
      <c r="Q2420" s="295"/>
      <c r="R2420" s="295"/>
      <c r="S2420" s="190" t="s">
        <v>874</v>
      </c>
      <c r="T2420" s="43">
        <f t="shared" si="61"/>
        <v>5</v>
      </c>
      <c r="U2420" s="167">
        <f t="shared" si="55"/>
        <v>45782</v>
      </c>
      <c r="V2420" s="145"/>
      <c r="W2420" s="43">
        <f t="shared" si="56"/>
        <v>5</v>
      </c>
      <c r="X2420" s="43"/>
      <c r="Y2420" s="43"/>
      <c r="Z2420" s="43"/>
      <c r="AA2420" s="43"/>
      <c r="AB2420" s="43"/>
    </row>
    <row r="2421" spans="1:28" ht="14.25" hidden="1" customHeight="1">
      <c r="A2421" s="163" t="s">
        <v>1174</v>
      </c>
      <c r="B2421" s="164">
        <v>45782</v>
      </c>
      <c r="C2421" s="163" t="s">
        <v>1769</v>
      </c>
      <c r="D2421" s="163" t="s">
        <v>281</v>
      </c>
      <c r="E2421" s="163" t="s">
        <v>407</v>
      </c>
      <c r="F2421" s="165">
        <v>4500</v>
      </c>
      <c r="G2421" s="165">
        <f t="shared" si="52"/>
        <v>-692034.97233333346</v>
      </c>
      <c r="H2421" s="295"/>
      <c r="I2421" s="295"/>
      <c r="J2421" s="295"/>
      <c r="K2421" s="295"/>
      <c r="L2421" s="295"/>
      <c r="M2421" s="295"/>
      <c r="N2421" s="295"/>
      <c r="O2421" s="295"/>
      <c r="P2421" s="295"/>
      <c r="Q2421" s="295"/>
      <c r="R2421" s="295"/>
      <c r="S2421" s="190" t="s">
        <v>1105</v>
      </c>
      <c r="T2421" s="43">
        <f t="shared" si="61"/>
        <v>5</v>
      </c>
      <c r="U2421" s="167">
        <f t="shared" si="55"/>
        <v>45782</v>
      </c>
      <c r="V2421" s="145"/>
      <c r="W2421" s="43">
        <f t="shared" si="56"/>
        <v>5</v>
      </c>
      <c r="X2421" s="43"/>
      <c r="Y2421" s="43"/>
      <c r="Z2421" s="43"/>
      <c r="AA2421" s="43"/>
      <c r="AB2421" s="43"/>
    </row>
    <row r="2422" spans="1:28" ht="14.25" hidden="1" customHeight="1">
      <c r="A2422" s="163" t="s">
        <v>1174</v>
      </c>
      <c r="B2422" s="164">
        <v>45782</v>
      </c>
      <c r="C2422" s="163" t="s">
        <v>1856</v>
      </c>
      <c r="D2422" s="163" t="s">
        <v>281</v>
      </c>
      <c r="E2422" s="163" t="s">
        <v>407</v>
      </c>
      <c r="F2422" s="165">
        <v>5500</v>
      </c>
      <c r="G2422" s="165">
        <f t="shared" si="52"/>
        <v>-686534.97233333346</v>
      </c>
      <c r="H2422" s="295"/>
      <c r="I2422" s="295"/>
      <c r="J2422" s="295"/>
      <c r="K2422" s="295"/>
      <c r="L2422" s="295"/>
      <c r="M2422" s="295"/>
      <c r="N2422" s="295"/>
      <c r="O2422" s="295"/>
      <c r="P2422" s="295"/>
      <c r="Q2422" s="295"/>
      <c r="R2422" s="295"/>
      <c r="S2422" s="190"/>
      <c r="T2422" s="43">
        <f t="shared" si="61"/>
        <v>5</v>
      </c>
      <c r="U2422" s="167">
        <f t="shared" si="55"/>
        <v>45782</v>
      </c>
      <c r="V2422" s="145"/>
      <c r="W2422" s="43">
        <f t="shared" si="56"/>
        <v>5</v>
      </c>
      <c r="X2422" s="43"/>
      <c r="Y2422" s="43"/>
      <c r="Z2422" s="43"/>
      <c r="AA2422" s="43"/>
      <c r="AB2422" s="43"/>
    </row>
    <row r="2423" spans="1:28" ht="14.25" hidden="1" customHeight="1">
      <c r="A2423" s="163" t="s">
        <v>1017</v>
      </c>
      <c r="B2423" s="164">
        <v>45782</v>
      </c>
      <c r="C2423" s="163" t="s">
        <v>396</v>
      </c>
      <c r="D2423" s="163" t="s">
        <v>281</v>
      </c>
      <c r="E2423" s="163" t="s">
        <v>196</v>
      </c>
      <c r="F2423" s="168">
        <v>-9084.9599999999991</v>
      </c>
      <c r="G2423" s="165">
        <f t="shared" si="52"/>
        <v>-695619.93233333342</v>
      </c>
      <c r="H2423" s="295"/>
      <c r="I2423" s="295"/>
      <c r="J2423" s="295"/>
      <c r="K2423" s="295"/>
      <c r="L2423" s="295"/>
      <c r="M2423" s="295"/>
      <c r="N2423" s="295"/>
      <c r="O2423" s="295"/>
      <c r="P2423" s="295"/>
      <c r="Q2423" s="295"/>
      <c r="R2423" s="295"/>
      <c r="S2423" s="190"/>
      <c r="T2423" s="43">
        <f t="shared" si="61"/>
        <v>5</v>
      </c>
      <c r="U2423" s="167">
        <f t="shared" si="55"/>
        <v>45782</v>
      </c>
      <c r="V2423" s="145"/>
      <c r="W2423" s="43">
        <f t="shared" si="56"/>
        <v>5</v>
      </c>
      <c r="X2423" s="43"/>
      <c r="Y2423" s="43"/>
      <c r="Z2423" s="43"/>
      <c r="AA2423" s="43"/>
      <c r="AB2423" s="43"/>
    </row>
    <row r="2424" spans="1:28" ht="14.25" hidden="1" customHeight="1">
      <c r="A2424" s="163" t="s">
        <v>1017</v>
      </c>
      <c r="B2424" s="164">
        <v>45782</v>
      </c>
      <c r="C2424" s="163" t="s">
        <v>396</v>
      </c>
      <c r="D2424" s="163" t="s">
        <v>281</v>
      </c>
      <c r="E2424" s="163" t="s">
        <v>399</v>
      </c>
      <c r="F2424" s="168">
        <v>-6991.2</v>
      </c>
      <c r="G2424" s="165">
        <f t="shared" si="52"/>
        <v>-702611.13233333337</v>
      </c>
      <c r="H2424" s="295"/>
      <c r="I2424" s="295"/>
      <c r="J2424" s="295"/>
      <c r="K2424" s="295"/>
      <c r="L2424" s="295"/>
      <c r="M2424" s="295"/>
      <c r="N2424" s="295"/>
      <c r="O2424" s="295"/>
      <c r="P2424" s="295"/>
      <c r="Q2424" s="295"/>
      <c r="R2424" s="295"/>
      <c r="S2424" s="190"/>
      <c r="T2424" s="43">
        <f t="shared" si="61"/>
        <v>5</v>
      </c>
      <c r="U2424" s="167">
        <f t="shared" si="55"/>
        <v>45782</v>
      </c>
      <c r="V2424" s="145"/>
      <c r="W2424" s="43">
        <f t="shared" si="56"/>
        <v>5</v>
      </c>
      <c r="X2424" s="43"/>
      <c r="Y2424" s="43"/>
      <c r="Z2424" s="43"/>
      <c r="AA2424" s="43"/>
      <c r="AB2424" s="43"/>
    </row>
    <row r="2425" spans="1:28" ht="14.25" hidden="1" customHeight="1">
      <c r="A2425" s="163" t="s">
        <v>1017</v>
      </c>
      <c r="B2425" s="164">
        <v>45782</v>
      </c>
      <c r="C2425" s="163" t="s">
        <v>1295</v>
      </c>
      <c r="D2425" s="163" t="s">
        <v>281</v>
      </c>
      <c r="E2425" s="163" t="s">
        <v>199</v>
      </c>
      <c r="F2425" s="168">
        <v>-880</v>
      </c>
      <c r="G2425" s="165">
        <f t="shared" si="52"/>
        <v>-703491.13233333337</v>
      </c>
      <c r="H2425" s="295"/>
      <c r="I2425" s="295"/>
      <c r="J2425" s="295"/>
      <c r="K2425" s="295"/>
      <c r="L2425" s="295"/>
      <c r="M2425" s="295"/>
      <c r="N2425" s="295"/>
      <c r="O2425" s="295"/>
      <c r="P2425" s="295"/>
      <c r="Q2425" s="295"/>
      <c r="R2425" s="295"/>
      <c r="S2425" s="190" t="s">
        <v>354</v>
      </c>
      <c r="T2425" s="43">
        <f t="shared" si="61"/>
        <v>5</v>
      </c>
      <c r="U2425" s="167">
        <f t="shared" si="55"/>
        <v>45782</v>
      </c>
      <c r="V2425" s="145"/>
      <c r="W2425" s="43">
        <f t="shared" si="56"/>
        <v>5</v>
      </c>
      <c r="X2425" s="43"/>
      <c r="Y2425" s="43"/>
      <c r="Z2425" s="43"/>
      <c r="AA2425" s="43"/>
      <c r="AB2425" s="43"/>
    </row>
    <row r="2426" spans="1:28" ht="14.25" hidden="1" customHeight="1">
      <c r="A2426" s="163" t="s">
        <v>1017</v>
      </c>
      <c r="B2426" s="164">
        <v>45782</v>
      </c>
      <c r="C2426" s="163" t="s">
        <v>1370</v>
      </c>
      <c r="D2426" s="163" t="s">
        <v>281</v>
      </c>
      <c r="E2426" s="163" t="s">
        <v>199</v>
      </c>
      <c r="F2426" s="168">
        <v>-111</v>
      </c>
      <c r="G2426" s="165">
        <f t="shared" si="52"/>
        <v>-703602.13233333337</v>
      </c>
      <c r="H2426" s="295"/>
      <c r="I2426" s="295"/>
      <c r="J2426" s="295"/>
      <c r="K2426" s="295"/>
      <c r="L2426" s="295"/>
      <c r="M2426" s="295"/>
      <c r="N2426" s="295"/>
      <c r="O2426" s="295"/>
      <c r="P2426" s="295"/>
      <c r="Q2426" s="295"/>
      <c r="R2426" s="295"/>
      <c r="S2426" s="190"/>
      <c r="T2426" s="43">
        <f t="shared" si="61"/>
        <v>5</v>
      </c>
      <c r="U2426" s="167">
        <f t="shared" si="55"/>
        <v>45782</v>
      </c>
      <c r="V2426" s="145"/>
      <c r="W2426" s="43">
        <f t="shared" si="56"/>
        <v>5</v>
      </c>
      <c r="X2426" s="43"/>
      <c r="Y2426" s="43"/>
      <c r="Z2426" s="43"/>
      <c r="AA2426" s="43"/>
      <c r="AB2426" s="43"/>
    </row>
    <row r="2427" spans="1:28" ht="14.25" hidden="1" customHeight="1">
      <c r="A2427" s="163" t="s">
        <v>1017</v>
      </c>
      <c r="B2427" s="164">
        <v>45782</v>
      </c>
      <c r="C2427" s="163" t="s">
        <v>126</v>
      </c>
      <c r="D2427" s="163" t="s">
        <v>281</v>
      </c>
      <c r="E2427" s="163" t="s">
        <v>199</v>
      </c>
      <c r="F2427" s="168">
        <v>-120</v>
      </c>
      <c r="G2427" s="165">
        <f t="shared" si="52"/>
        <v>-703722.13233333337</v>
      </c>
      <c r="H2427" s="295"/>
      <c r="I2427" s="295"/>
      <c r="J2427" s="295"/>
      <c r="K2427" s="295"/>
      <c r="L2427" s="295"/>
      <c r="M2427" s="295"/>
      <c r="N2427" s="295"/>
      <c r="O2427" s="295"/>
      <c r="P2427" s="295"/>
      <c r="Q2427" s="295"/>
      <c r="R2427" s="295"/>
      <c r="S2427" s="190"/>
      <c r="T2427" s="43">
        <f t="shared" si="61"/>
        <v>5</v>
      </c>
      <c r="U2427" s="167">
        <f t="shared" si="55"/>
        <v>45782</v>
      </c>
      <c r="V2427" s="145"/>
      <c r="W2427" s="43">
        <f t="shared" si="56"/>
        <v>5</v>
      </c>
      <c r="X2427" s="43"/>
      <c r="Y2427" s="43"/>
      <c r="Z2427" s="43"/>
      <c r="AA2427" s="43"/>
      <c r="AB2427" s="43"/>
    </row>
    <row r="2428" spans="1:28" ht="14.25" hidden="1" customHeight="1">
      <c r="A2428" s="163" t="s">
        <v>1017</v>
      </c>
      <c r="B2428" s="164">
        <v>45782</v>
      </c>
      <c r="C2428" s="163" t="s">
        <v>989</v>
      </c>
      <c r="D2428" s="163" t="s">
        <v>281</v>
      </c>
      <c r="E2428" s="163" t="s">
        <v>199</v>
      </c>
      <c r="F2428" s="168">
        <v>-1900</v>
      </c>
      <c r="G2428" s="165">
        <f t="shared" si="52"/>
        <v>-705622.13233333337</v>
      </c>
      <c r="H2428" s="295"/>
      <c r="I2428" s="295"/>
      <c r="J2428" s="295"/>
      <c r="K2428" s="295"/>
      <c r="L2428" s="295"/>
      <c r="M2428" s="295"/>
      <c r="N2428" s="295"/>
      <c r="O2428" s="295"/>
      <c r="P2428" s="295"/>
      <c r="Q2428" s="295"/>
      <c r="R2428" s="295"/>
      <c r="S2428" s="190" t="s">
        <v>299</v>
      </c>
      <c r="T2428" s="43">
        <f t="shared" si="61"/>
        <v>5</v>
      </c>
      <c r="U2428" s="167">
        <f t="shared" si="55"/>
        <v>45782</v>
      </c>
      <c r="V2428" s="145"/>
      <c r="W2428" s="43">
        <f t="shared" si="56"/>
        <v>5</v>
      </c>
      <c r="X2428" s="43"/>
      <c r="Y2428" s="43"/>
      <c r="Z2428" s="43"/>
      <c r="AA2428" s="43"/>
      <c r="AB2428" s="43"/>
    </row>
    <row r="2429" spans="1:28" ht="14.25" hidden="1" customHeight="1">
      <c r="A2429" s="163" t="s">
        <v>1017</v>
      </c>
      <c r="B2429" s="164">
        <v>45782</v>
      </c>
      <c r="C2429" s="163" t="s">
        <v>132</v>
      </c>
      <c r="D2429" s="163" t="s">
        <v>281</v>
      </c>
      <c r="E2429" s="163" t="s">
        <v>199</v>
      </c>
      <c r="F2429" s="168">
        <v>-105</v>
      </c>
      <c r="G2429" s="165">
        <f t="shared" si="52"/>
        <v>-705727.13233333337</v>
      </c>
      <c r="H2429" s="295"/>
      <c r="I2429" s="295"/>
      <c r="J2429" s="295"/>
      <c r="K2429" s="295"/>
      <c r="L2429" s="295"/>
      <c r="M2429" s="295"/>
      <c r="N2429" s="295"/>
      <c r="O2429" s="295"/>
      <c r="P2429" s="295"/>
      <c r="Q2429" s="295"/>
      <c r="R2429" s="295"/>
      <c r="S2429" s="190"/>
      <c r="T2429" s="43">
        <f t="shared" si="61"/>
        <v>5</v>
      </c>
      <c r="U2429" s="167">
        <f t="shared" si="55"/>
        <v>45782</v>
      </c>
      <c r="V2429" s="145"/>
      <c r="W2429" s="43">
        <f t="shared" si="56"/>
        <v>5</v>
      </c>
      <c r="X2429" s="43"/>
      <c r="Y2429" s="43"/>
      <c r="Z2429" s="43"/>
      <c r="AA2429" s="43"/>
      <c r="AB2429" s="43"/>
    </row>
    <row r="2430" spans="1:28" ht="14.25" hidden="1" customHeight="1">
      <c r="A2430" s="163" t="s">
        <v>1017</v>
      </c>
      <c r="B2430" s="164">
        <v>45782</v>
      </c>
      <c r="C2430" s="163" t="s">
        <v>209</v>
      </c>
      <c r="D2430" s="163" t="s">
        <v>281</v>
      </c>
      <c r="E2430" s="163" t="s">
        <v>209</v>
      </c>
      <c r="F2430" s="168">
        <v>-860.29</v>
      </c>
      <c r="G2430" s="165">
        <f t="shared" si="52"/>
        <v>-706587.42233333341</v>
      </c>
      <c r="H2430" s="295"/>
      <c r="I2430" s="295"/>
      <c r="J2430" s="295"/>
      <c r="K2430" s="295"/>
      <c r="L2430" s="295"/>
      <c r="M2430" s="295"/>
      <c r="N2430" s="295"/>
      <c r="O2430" s="295"/>
      <c r="P2430" s="295"/>
      <c r="Q2430" s="295"/>
      <c r="R2430" s="295"/>
      <c r="S2430" s="190" t="s">
        <v>1306</v>
      </c>
      <c r="T2430" s="43">
        <f t="shared" si="61"/>
        <v>5</v>
      </c>
      <c r="U2430" s="167">
        <f t="shared" si="55"/>
        <v>45782</v>
      </c>
      <c r="V2430" s="145"/>
      <c r="W2430" s="43">
        <f t="shared" si="56"/>
        <v>5</v>
      </c>
      <c r="X2430" s="43"/>
      <c r="Y2430" s="43"/>
      <c r="Z2430" s="43"/>
      <c r="AA2430" s="43"/>
      <c r="AB2430" s="43"/>
    </row>
    <row r="2431" spans="1:28" ht="14.25" hidden="1" customHeight="1">
      <c r="A2431" s="163" t="s">
        <v>1017</v>
      </c>
      <c r="B2431" s="164">
        <v>45782</v>
      </c>
      <c r="C2431" s="163" t="s">
        <v>1010</v>
      </c>
      <c r="D2431" s="163" t="s">
        <v>281</v>
      </c>
      <c r="E2431" s="163" t="s">
        <v>199</v>
      </c>
      <c r="F2431" s="168">
        <v>-2500</v>
      </c>
      <c r="G2431" s="165">
        <f t="shared" si="52"/>
        <v>-709087.42233333341</v>
      </c>
      <c r="H2431" s="295"/>
      <c r="I2431" s="295"/>
      <c r="J2431" s="295"/>
      <c r="K2431" s="295"/>
      <c r="L2431" s="295"/>
      <c r="M2431" s="295"/>
      <c r="N2431" s="295"/>
      <c r="O2431" s="295"/>
      <c r="P2431" s="295"/>
      <c r="Q2431" s="295"/>
      <c r="R2431" s="295"/>
      <c r="S2431" s="190"/>
      <c r="T2431" s="43">
        <f t="shared" si="61"/>
        <v>5</v>
      </c>
      <c r="U2431" s="167">
        <f t="shared" si="55"/>
        <v>45782</v>
      </c>
      <c r="V2431" s="145"/>
      <c r="W2431" s="43">
        <f t="shared" si="56"/>
        <v>5</v>
      </c>
      <c r="X2431" s="43"/>
      <c r="Y2431" s="43"/>
      <c r="Z2431" s="43"/>
      <c r="AA2431" s="43"/>
      <c r="AB2431" s="43"/>
    </row>
    <row r="2432" spans="1:28" ht="14.25" hidden="1" customHeight="1">
      <c r="A2432" s="163"/>
      <c r="B2432" s="164">
        <v>45782</v>
      </c>
      <c r="C2432" s="163" t="s">
        <v>346</v>
      </c>
      <c r="D2432" s="163"/>
      <c r="E2432" s="163"/>
      <c r="F2432" s="165">
        <v>0</v>
      </c>
      <c r="G2432" s="165">
        <f t="shared" si="52"/>
        <v>-709087.42233333341</v>
      </c>
      <c r="H2432" s="295"/>
      <c r="I2432" s="295"/>
      <c r="J2432" s="295"/>
      <c r="K2432" s="295"/>
      <c r="L2432" s="295"/>
      <c r="M2432" s="295"/>
      <c r="N2432" s="295"/>
      <c r="O2432" s="295"/>
      <c r="P2432" s="295"/>
      <c r="Q2432" s="295"/>
      <c r="R2432" s="295"/>
      <c r="S2432" s="190"/>
      <c r="T2432" s="43">
        <f t="shared" si="61"/>
        <v>5</v>
      </c>
      <c r="U2432" s="167">
        <f t="shared" si="55"/>
        <v>45782</v>
      </c>
      <c r="V2432" s="145"/>
      <c r="W2432" s="43">
        <f t="shared" si="56"/>
        <v>5</v>
      </c>
      <c r="X2432" s="43"/>
      <c r="Y2432" s="43"/>
      <c r="Z2432" s="43"/>
      <c r="AA2432" s="43"/>
      <c r="AB2432" s="43"/>
    </row>
    <row r="2433" spans="1:28" ht="14.25" customHeight="1">
      <c r="A2433" s="163" t="s">
        <v>1017</v>
      </c>
      <c r="B2433" s="164">
        <v>45783</v>
      </c>
      <c r="C2433" s="163" t="s">
        <v>87</v>
      </c>
      <c r="D2433" s="163" t="s">
        <v>281</v>
      </c>
      <c r="E2433" s="163" t="s">
        <v>18</v>
      </c>
      <c r="F2433" s="168">
        <v>-5716.59</v>
      </c>
      <c r="G2433" s="165">
        <f t="shared" si="52"/>
        <v>-714804.01233333338</v>
      </c>
      <c r="H2433" s="295"/>
      <c r="I2433" s="295"/>
      <c r="J2433" s="295"/>
      <c r="K2433" s="295"/>
      <c r="L2433" s="295"/>
      <c r="M2433" s="295"/>
      <c r="N2433" s="295"/>
      <c r="O2433" s="295"/>
      <c r="P2433" s="295"/>
      <c r="Q2433" s="295"/>
      <c r="R2433" s="295"/>
      <c r="S2433" s="190"/>
      <c r="T2433" s="43">
        <f t="shared" si="61"/>
        <v>5</v>
      </c>
      <c r="U2433" s="167">
        <f t="shared" si="55"/>
        <v>45783</v>
      </c>
      <c r="V2433" s="145"/>
      <c r="W2433" s="43">
        <f t="shared" si="56"/>
        <v>5</v>
      </c>
      <c r="X2433" s="43"/>
      <c r="Y2433" s="43"/>
      <c r="Z2433" s="43"/>
      <c r="AA2433" s="43"/>
      <c r="AB2433" s="43"/>
    </row>
    <row r="2434" spans="1:28" ht="14.25" customHeight="1">
      <c r="A2434" s="163" t="s">
        <v>1017</v>
      </c>
      <c r="B2434" s="164">
        <v>45783</v>
      </c>
      <c r="C2434" s="163" t="s">
        <v>433</v>
      </c>
      <c r="D2434" s="163" t="s">
        <v>281</v>
      </c>
      <c r="E2434" s="163" t="s">
        <v>18</v>
      </c>
      <c r="F2434" s="168">
        <v>-3957.12</v>
      </c>
      <c r="G2434" s="165">
        <f t="shared" si="52"/>
        <v>-718761.13233333337</v>
      </c>
      <c r="H2434" s="295"/>
      <c r="I2434" s="295"/>
      <c r="J2434" s="295"/>
      <c r="K2434" s="295"/>
      <c r="L2434" s="295"/>
      <c r="M2434" s="295"/>
      <c r="N2434" s="295"/>
      <c r="O2434" s="295"/>
      <c r="P2434" s="295"/>
      <c r="Q2434" s="295"/>
      <c r="R2434" s="295"/>
      <c r="S2434" s="190" t="s">
        <v>287</v>
      </c>
      <c r="T2434" s="43">
        <f t="shared" si="61"/>
        <v>5</v>
      </c>
      <c r="U2434" s="167">
        <f t="shared" si="55"/>
        <v>45783</v>
      </c>
      <c r="V2434" s="145"/>
      <c r="W2434" s="43">
        <f t="shared" si="56"/>
        <v>5</v>
      </c>
      <c r="X2434" s="43"/>
      <c r="Y2434" s="43"/>
      <c r="Z2434" s="43"/>
      <c r="AA2434" s="43"/>
      <c r="AB2434" s="43"/>
    </row>
    <row r="2435" spans="1:28" ht="14.25" customHeight="1">
      <c r="A2435" s="163" t="s">
        <v>1017</v>
      </c>
      <c r="B2435" s="164">
        <v>45783</v>
      </c>
      <c r="C2435" s="163" t="s">
        <v>95</v>
      </c>
      <c r="D2435" s="163" t="s">
        <v>281</v>
      </c>
      <c r="E2435" s="163" t="s">
        <v>18</v>
      </c>
      <c r="F2435" s="168">
        <v>-2157.5</v>
      </c>
      <c r="G2435" s="165">
        <f t="shared" si="52"/>
        <v>-720918.63233333337</v>
      </c>
      <c r="H2435" s="295"/>
      <c r="I2435" s="295"/>
      <c r="J2435" s="295"/>
      <c r="K2435" s="295"/>
      <c r="L2435" s="295"/>
      <c r="M2435" s="295"/>
      <c r="N2435" s="295"/>
      <c r="O2435" s="295"/>
      <c r="P2435" s="295"/>
      <c r="Q2435" s="295"/>
      <c r="R2435" s="295"/>
      <c r="S2435" s="190" t="s">
        <v>292</v>
      </c>
      <c r="T2435" s="43">
        <f t="shared" si="61"/>
        <v>5</v>
      </c>
      <c r="U2435" s="167">
        <f t="shared" si="55"/>
        <v>45783</v>
      </c>
      <c r="V2435" s="145"/>
      <c r="W2435" s="43">
        <f t="shared" si="56"/>
        <v>5</v>
      </c>
      <c r="X2435" s="43"/>
      <c r="Y2435" s="43"/>
      <c r="Z2435" s="43"/>
      <c r="AA2435" s="43"/>
      <c r="AB2435" s="43"/>
    </row>
    <row r="2436" spans="1:28" ht="14.25" customHeight="1">
      <c r="A2436" s="163" t="s">
        <v>1017</v>
      </c>
      <c r="B2436" s="164">
        <v>45783</v>
      </c>
      <c r="C2436" s="163" t="s">
        <v>472</v>
      </c>
      <c r="D2436" s="163" t="s">
        <v>281</v>
      </c>
      <c r="E2436" s="163" t="s">
        <v>18</v>
      </c>
      <c r="F2436" s="168">
        <v>-2295.41</v>
      </c>
      <c r="G2436" s="165">
        <f t="shared" si="52"/>
        <v>-723214.0423333334</v>
      </c>
      <c r="H2436" s="295"/>
      <c r="I2436" s="295"/>
      <c r="J2436" s="295"/>
      <c r="K2436" s="295"/>
      <c r="L2436" s="295"/>
      <c r="M2436" s="295"/>
      <c r="N2436" s="295"/>
      <c r="O2436" s="295"/>
      <c r="P2436" s="295"/>
      <c r="Q2436" s="295"/>
      <c r="R2436" s="295"/>
      <c r="S2436" s="190"/>
      <c r="T2436" s="43">
        <f t="shared" si="61"/>
        <v>5</v>
      </c>
      <c r="U2436" s="167">
        <f t="shared" si="55"/>
        <v>45783</v>
      </c>
      <c r="V2436" s="145"/>
      <c r="W2436" s="43">
        <f t="shared" si="56"/>
        <v>5</v>
      </c>
      <c r="X2436" s="43"/>
      <c r="Y2436" s="43"/>
      <c r="Z2436" s="43"/>
      <c r="AA2436" s="43"/>
      <c r="AB2436" s="43"/>
    </row>
    <row r="2437" spans="1:28" ht="14.25" customHeight="1">
      <c r="A2437" s="163" t="s">
        <v>1017</v>
      </c>
      <c r="B2437" s="164">
        <v>45783</v>
      </c>
      <c r="C2437" s="163" t="s">
        <v>447</v>
      </c>
      <c r="D2437" s="163" t="s">
        <v>281</v>
      </c>
      <c r="E2437" s="163" t="s">
        <v>18</v>
      </c>
      <c r="F2437" s="168">
        <v>-1640.73</v>
      </c>
      <c r="G2437" s="165">
        <f t="shared" si="52"/>
        <v>-724854.77233333339</v>
      </c>
      <c r="H2437" s="295"/>
      <c r="I2437" s="295"/>
      <c r="J2437" s="295"/>
      <c r="K2437" s="295"/>
      <c r="L2437" s="295"/>
      <c r="M2437" s="295"/>
      <c r="N2437" s="295"/>
      <c r="O2437" s="295"/>
      <c r="P2437" s="295"/>
      <c r="Q2437" s="295"/>
      <c r="R2437" s="295"/>
      <c r="S2437" s="190"/>
      <c r="T2437" s="43">
        <f t="shared" si="61"/>
        <v>5</v>
      </c>
      <c r="U2437" s="167">
        <f t="shared" si="55"/>
        <v>45783</v>
      </c>
      <c r="V2437" s="145"/>
      <c r="W2437" s="43">
        <f t="shared" si="56"/>
        <v>5</v>
      </c>
      <c r="X2437" s="43"/>
      <c r="Y2437" s="43"/>
      <c r="Z2437" s="43"/>
      <c r="AA2437" s="43"/>
      <c r="AB2437" s="43"/>
    </row>
    <row r="2438" spans="1:28" ht="14.25" customHeight="1">
      <c r="A2438" s="163" t="s">
        <v>1017</v>
      </c>
      <c r="B2438" s="164">
        <v>45783</v>
      </c>
      <c r="C2438" s="163" t="s">
        <v>99</v>
      </c>
      <c r="D2438" s="163" t="s">
        <v>281</v>
      </c>
      <c r="E2438" s="163" t="s">
        <v>18</v>
      </c>
      <c r="F2438" s="168">
        <v>-4500.71</v>
      </c>
      <c r="G2438" s="165">
        <f t="shared" si="52"/>
        <v>-729355.48233333335</v>
      </c>
      <c r="H2438" s="295"/>
      <c r="I2438" s="295"/>
      <c r="J2438" s="295"/>
      <c r="K2438" s="295"/>
      <c r="L2438" s="295"/>
      <c r="M2438" s="295"/>
      <c r="N2438" s="295"/>
      <c r="O2438" s="295"/>
      <c r="P2438" s="295"/>
      <c r="Q2438" s="295"/>
      <c r="R2438" s="295"/>
      <c r="S2438" s="190" t="s">
        <v>299</v>
      </c>
      <c r="T2438" s="43">
        <f t="shared" si="61"/>
        <v>5</v>
      </c>
      <c r="U2438" s="167">
        <f t="shared" si="55"/>
        <v>45783</v>
      </c>
      <c r="V2438" s="145"/>
      <c r="W2438" s="43">
        <f t="shared" si="56"/>
        <v>5</v>
      </c>
      <c r="X2438" s="43"/>
      <c r="Y2438" s="43"/>
      <c r="Z2438" s="43"/>
      <c r="AA2438" s="43"/>
      <c r="AB2438" s="43"/>
    </row>
    <row r="2439" spans="1:28" ht="14.25" customHeight="1">
      <c r="A2439" s="163" t="s">
        <v>1017</v>
      </c>
      <c r="B2439" s="164">
        <v>45783</v>
      </c>
      <c r="C2439" s="163" t="s">
        <v>463</v>
      </c>
      <c r="D2439" s="163" t="s">
        <v>281</v>
      </c>
      <c r="E2439" s="163" t="s">
        <v>18</v>
      </c>
      <c r="F2439" s="168">
        <v>-1648.61</v>
      </c>
      <c r="G2439" s="165">
        <f t="shared" si="52"/>
        <v>-731004.09233333333</v>
      </c>
      <c r="H2439" s="295"/>
      <c r="I2439" s="295"/>
      <c r="J2439" s="295"/>
      <c r="K2439" s="295"/>
      <c r="L2439" s="295"/>
      <c r="M2439" s="295"/>
      <c r="N2439" s="295"/>
      <c r="O2439" s="295"/>
      <c r="P2439" s="295"/>
      <c r="Q2439" s="295"/>
      <c r="R2439" s="295"/>
      <c r="S2439" s="190" t="s">
        <v>304</v>
      </c>
      <c r="T2439" s="43">
        <f t="shared" si="61"/>
        <v>5</v>
      </c>
      <c r="U2439" s="167">
        <f t="shared" si="55"/>
        <v>45783</v>
      </c>
      <c r="V2439" s="145"/>
      <c r="W2439" s="43">
        <f t="shared" si="56"/>
        <v>5</v>
      </c>
      <c r="X2439" s="43"/>
      <c r="Y2439" s="43"/>
      <c r="Z2439" s="43"/>
      <c r="AA2439" s="43"/>
      <c r="AB2439" s="43"/>
    </row>
    <row r="2440" spans="1:28" ht="14.25" customHeight="1">
      <c r="A2440" s="163" t="s">
        <v>1017</v>
      </c>
      <c r="B2440" s="164">
        <v>45783</v>
      </c>
      <c r="C2440" s="163" t="s">
        <v>466</v>
      </c>
      <c r="D2440" s="163" t="s">
        <v>281</v>
      </c>
      <c r="E2440" s="163" t="s">
        <v>18</v>
      </c>
      <c r="F2440" s="168">
        <v>-1611.17</v>
      </c>
      <c r="G2440" s="165">
        <f t="shared" si="52"/>
        <v>-732615.26233333338</v>
      </c>
      <c r="H2440" s="295"/>
      <c r="I2440" s="295"/>
      <c r="J2440" s="295"/>
      <c r="K2440" s="295"/>
      <c r="L2440" s="295"/>
      <c r="M2440" s="295"/>
      <c r="N2440" s="295"/>
      <c r="O2440" s="295"/>
      <c r="P2440" s="295"/>
      <c r="Q2440" s="295"/>
      <c r="R2440" s="295"/>
      <c r="S2440" s="190" t="s">
        <v>304</v>
      </c>
      <c r="T2440" s="43">
        <f t="shared" si="61"/>
        <v>5</v>
      </c>
      <c r="U2440" s="167">
        <f t="shared" si="55"/>
        <v>45783</v>
      </c>
      <c r="V2440" s="145"/>
      <c r="W2440" s="43">
        <f t="shared" si="56"/>
        <v>5</v>
      </c>
      <c r="X2440" s="43"/>
      <c r="Y2440" s="43"/>
      <c r="Z2440" s="43"/>
      <c r="AA2440" s="43"/>
      <c r="AB2440" s="43"/>
    </row>
    <row r="2441" spans="1:28" ht="14.25" hidden="1" customHeight="1">
      <c r="A2441" s="163" t="s">
        <v>1017</v>
      </c>
      <c r="B2441" s="164">
        <v>45783</v>
      </c>
      <c r="C2441" s="163" t="s">
        <v>552</v>
      </c>
      <c r="D2441" s="163" t="s">
        <v>281</v>
      </c>
      <c r="E2441" s="163" t="s">
        <v>199</v>
      </c>
      <c r="F2441" s="168">
        <v>-251.1</v>
      </c>
      <c r="G2441" s="165">
        <f t="shared" si="52"/>
        <v>-732866.36233333335</v>
      </c>
      <c r="H2441" s="295"/>
      <c r="I2441" s="295"/>
      <c r="J2441" s="295"/>
      <c r="K2441" s="295"/>
      <c r="L2441" s="295"/>
      <c r="M2441" s="295"/>
      <c r="N2441" s="295"/>
      <c r="O2441" s="295"/>
      <c r="P2441" s="295"/>
      <c r="Q2441" s="295"/>
      <c r="R2441" s="295"/>
      <c r="S2441" s="190" t="s">
        <v>311</v>
      </c>
      <c r="T2441" s="43">
        <f t="shared" si="61"/>
        <v>5</v>
      </c>
      <c r="U2441" s="167">
        <f t="shared" si="55"/>
        <v>45783</v>
      </c>
      <c r="V2441" s="145"/>
      <c r="W2441" s="43">
        <f t="shared" si="56"/>
        <v>5</v>
      </c>
      <c r="X2441" s="43"/>
      <c r="Y2441" s="43"/>
      <c r="Z2441" s="43"/>
      <c r="AA2441" s="43"/>
      <c r="AB2441" s="43"/>
    </row>
    <row r="2442" spans="1:28" ht="14.25" customHeight="1">
      <c r="A2442" s="163" t="s">
        <v>1017</v>
      </c>
      <c r="B2442" s="164">
        <v>45783</v>
      </c>
      <c r="C2442" s="163" t="s">
        <v>481</v>
      </c>
      <c r="D2442" s="163" t="s">
        <v>281</v>
      </c>
      <c r="E2442" s="163" t="s">
        <v>18</v>
      </c>
      <c r="F2442" s="168">
        <v>-3492.76</v>
      </c>
      <c r="G2442" s="165">
        <f t="shared" si="52"/>
        <v>-736359.12233333336</v>
      </c>
      <c r="H2442" s="295"/>
      <c r="I2442" s="295"/>
      <c r="J2442" s="295"/>
      <c r="K2442" s="295"/>
      <c r="L2442" s="295"/>
      <c r="M2442" s="295"/>
      <c r="N2442" s="295"/>
      <c r="O2442" s="295"/>
      <c r="P2442" s="295"/>
      <c r="Q2442" s="295"/>
      <c r="R2442" s="295"/>
      <c r="S2442" s="190" t="s">
        <v>315</v>
      </c>
      <c r="T2442" s="43">
        <f t="shared" si="61"/>
        <v>5</v>
      </c>
      <c r="U2442" s="167">
        <f t="shared" si="55"/>
        <v>45783</v>
      </c>
      <c r="V2442" s="145"/>
      <c r="W2442" s="43">
        <f t="shared" si="56"/>
        <v>5</v>
      </c>
      <c r="X2442" s="43"/>
      <c r="Y2442" s="43"/>
      <c r="Z2442" s="43"/>
      <c r="AA2442" s="43"/>
      <c r="AB2442" s="43"/>
    </row>
    <row r="2443" spans="1:28" ht="14.25" customHeight="1">
      <c r="A2443" s="163" t="s">
        <v>1017</v>
      </c>
      <c r="B2443" s="164">
        <v>45783</v>
      </c>
      <c r="C2443" s="163" t="s">
        <v>484</v>
      </c>
      <c r="D2443" s="163" t="s">
        <v>281</v>
      </c>
      <c r="E2443" s="163" t="s">
        <v>18</v>
      </c>
      <c r="F2443" s="168">
        <v>-1721.18</v>
      </c>
      <c r="G2443" s="165">
        <f t="shared" si="52"/>
        <v>-738080.30233333341</v>
      </c>
      <c r="H2443" s="295"/>
      <c r="I2443" s="295"/>
      <c r="J2443" s="295"/>
      <c r="K2443" s="295"/>
      <c r="L2443" s="295"/>
      <c r="M2443" s="295"/>
      <c r="N2443" s="295"/>
      <c r="O2443" s="295"/>
      <c r="P2443" s="295"/>
      <c r="Q2443" s="295"/>
      <c r="R2443" s="295"/>
      <c r="S2443" s="190" t="s">
        <v>318</v>
      </c>
      <c r="T2443" s="43">
        <f t="shared" si="61"/>
        <v>5</v>
      </c>
      <c r="U2443" s="167">
        <f t="shared" si="55"/>
        <v>45783</v>
      </c>
      <c r="V2443" s="145"/>
      <c r="W2443" s="43">
        <f t="shared" si="56"/>
        <v>5</v>
      </c>
      <c r="X2443" s="43"/>
      <c r="Y2443" s="43"/>
      <c r="Z2443" s="43"/>
      <c r="AA2443" s="43"/>
      <c r="AB2443" s="43"/>
    </row>
    <row r="2444" spans="1:28" ht="14.25" customHeight="1">
      <c r="A2444" s="163" t="s">
        <v>1017</v>
      </c>
      <c r="B2444" s="164">
        <v>45783</v>
      </c>
      <c r="C2444" s="163" t="s">
        <v>491</v>
      </c>
      <c r="D2444" s="163" t="s">
        <v>281</v>
      </c>
      <c r="E2444" s="163" t="s">
        <v>18</v>
      </c>
      <c r="F2444" s="168">
        <v>-3575.05</v>
      </c>
      <c r="G2444" s="165">
        <f t="shared" si="52"/>
        <v>-741655.35233333346</v>
      </c>
      <c r="H2444" s="295"/>
      <c r="I2444" s="295"/>
      <c r="J2444" s="295"/>
      <c r="K2444" s="295"/>
      <c r="L2444" s="295"/>
      <c r="M2444" s="295"/>
      <c r="N2444" s="295"/>
      <c r="O2444" s="295"/>
      <c r="P2444" s="295"/>
      <c r="Q2444" s="295"/>
      <c r="R2444" s="295"/>
      <c r="S2444" s="190" t="s">
        <v>320</v>
      </c>
      <c r="T2444" s="43">
        <f t="shared" si="61"/>
        <v>5</v>
      </c>
      <c r="U2444" s="167">
        <f t="shared" si="55"/>
        <v>45783</v>
      </c>
      <c r="V2444" s="145"/>
      <c r="W2444" s="43">
        <f t="shared" si="56"/>
        <v>5</v>
      </c>
      <c r="X2444" s="43"/>
      <c r="Y2444" s="43"/>
      <c r="Z2444" s="43"/>
      <c r="AA2444" s="43"/>
      <c r="AB2444" s="43"/>
    </row>
    <row r="2445" spans="1:28" ht="14.25" customHeight="1">
      <c r="A2445" s="163" t="s">
        <v>1017</v>
      </c>
      <c r="B2445" s="164">
        <v>45783</v>
      </c>
      <c r="C2445" s="163" t="s">
        <v>505</v>
      </c>
      <c r="D2445" s="163" t="s">
        <v>281</v>
      </c>
      <c r="E2445" s="163" t="s">
        <v>18</v>
      </c>
      <c r="F2445" s="168">
        <v>-2522.08</v>
      </c>
      <c r="G2445" s="165">
        <f t="shared" si="52"/>
        <v>-744177.43233333342</v>
      </c>
      <c r="H2445" s="295"/>
      <c r="I2445" s="295"/>
      <c r="J2445" s="295"/>
      <c r="K2445" s="295"/>
      <c r="L2445" s="295"/>
      <c r="M2445" s="295"/>
      <c r="N2445" s="295"/>
      <c r="O2445" s="295"/>
      <c r="P2445" s="295"/>
      <c r="Q2445" s="295"/>
      <c r="R2445" s="295"/>
      <c r="S2445" s="190" t="s">
        <v>323</v>
      </c>
      <c r="T2445" s="43">
        <f t="shared" si="61"/>
        <v>5</v>
      </c>
      <c r="U2445" s="167">
        <f t="shared" si="55"/>
        <v>45783</v>
      </c>
      <c r="V2445" s="145"/>
      <c r="W2445" s="43">
        <f t="shared" si="56"/>
        <v>5</v>
      </c>
      <c r="X2445" s="43"/>
      <c r="Y2445" s="43"/>
      <c r="Z2445" s="43"/>
      <c r="AA2445" s="43"/>
      <c r="AB2445" s="43"/>
    </row>
    <row r="2446" spans="1:28" ht="14.25" hidden="1" customHeight="1">
      <c r="A2446" s="163" t="s">
        <v>1017</v>
      </c>
      <c r="B2446" s="164">
        <v>45783</v>
      </c>
      <c r="C2446" s="163" t="s">
        <v>1006</v>
      </c>
      <c r="D2446" s="163" t="s">
        <v>281</v>
      </c>
      <c r="E2446" s="163" t="s">
        <v>199</v>
      </c>
      <c r="F2446" s="168">
        <v>-3677.02</v>
      </c>
      <c r="G2446" s="165">
        <f t="shared" si="52"/>
        <v>-747854.45233333344</v>
      </c>
      <c r="H2446" s="295"/>
      <c r="I2446" s="295"/>
      <c r="J2446" s="295"/>
      <c r="K2446" s="295"/>
      <c r="L2446" s="295"/>
      <c r="M2446" s="295"/>
      <c r="N2446" s="295"/>
      <c r="O2446" s="295"/>
      <c r="P2446" s="295"/>
      <c r="Q2446" s="295"/>
      <c r="R2446" s="295"/>
      <c r="S2446" s="190" t="s">
        <v>325</v>
      </c>
      <c r="T2446" s="43">
        <f t="shared" si="61"/>
        <v>5</v>
      </c>
      <c r="U2446" s="167">
        <f t="shared" si="55"/>
        <v>45783</v>
      </c>
      <c r="V2446" s="145"/>
      <c r="W2446" s="43">
        <f t="shared" si="56"/>
        <v>5</v>
      </c>
      <c r="X2446" s="43"/>
      <c r="Y2446" s="43"/>
      <c r="Z2446" s="43"/>
      <c r="AA2446" s="43"/>
      <c r="AB2446" s="43"/>
    </row>
    <row r="2447" spans="1:28" ht="14.25" hidden="1" customHeight="1">
      <c r="A2447" s="163" t="s">
        <v>1017</v>
      </c>
      <c r="B2447" s="164">
        <v>45783</v>
      </c>
      <c r="C2447" s="163" t="s">
        <v>1006</v>
      </c>
      <c r="D2447" s="163" t="s">
        <v>281</v>
      </c>
      <c r="E2447" s="163" t="s">
        <v>199</v>
      </c>
      <c r="F2447" s="168">
        <v>-2322.98</v>
      </c>
      <c r="G2447" s="165">
        <f t="shared" si="52"/>
        <v>-750177.43233333342</v>
      </c>
      <c r="H2447" s="295"/>
      <c r="I2447" s="295"/>
      <c r="J2447" s="295"/>
      <c r="K2447" s="295"/>
      <c r="L2447" s="295"/>
      <c r="M2447" s="295"/>
      <c r="N2447" s="295"/>
      <c r="O2447" s="295"/>
      <c r="P2447" s="295"/>
      <c r="Q2447" s="295"/>
      <c r="R2447" s="295"/>
      <c r="S2447" s="190" t="s">
        <v>329</v>
      </c>
      <c r="T2447" s="43">
        <f t="shared" si="61"/>
        <v>5</v>
      </c>
      <c r="U2447" s="167">
        <f t="shared" si="55"/>
        <v>45783</v>
      </c>
      <c r="V2447" s="145"/>
      <c r="W2447" s="43">
        <f t="shared" si="56"/>
        <v>5</v>
      </c>
      <c r="X2447" s="43"/>
      <c r="Y2447" s="43"/>
      <c r="Z2447" s="43"/>
      <c r="AA2447" s="43"/>
      <c r="AB2447" s="43"/>
    </row>
    <row r="2448" spans="1:28" ht="14.25" customHeight="1">
      <c r="A2448" s="163" t="s">
        <v>1017</v>
      </c>
      <c r="B2448" s="164">
        <v>45783</v>
      </c>
      <c r="C2448" s="163" t="s">
        <v>111</v>
      </c>
      <c r="D2448" s="163" t="s">
        <v>281</v>
      </c>
      <c r="E2448" s="163" t="s">
        <v>18</v>
      </c>
      <c r="F2448" s="168">
        <v>-2202.27</v>
      </c>
      <c r="G2448" s="165">
        <f t="shared" si="52"/>
        <v>-752379.70233333344</v>
      </c>
      <c r="H2448" s="295"/>
      <c r="I2448" s="295"/>
      <c r="J2448" s="295"/>
      <c r="K2448" s="295"/>
      <c r="L2448" s="295"/>
      <c r="M2448" s="295"/>
      <c r="N2448" s="295"/>
      <c r="O2448" s="295"/>
      <c r="P2448" s="295"/>
      <c r="Q2448" s="295"/>
      <c r="R2448" s="295"/>
      <c r="S2448" s="190" t="s">
        <v>304</v>
      </c>
      <c r="T2448" s="43">
        <f t="shared" si="61"/>
        <v>5</v>
      </c>
      <c r="U2448" s="167">
        <f t="shared" si="55"/>
        <v>45783</v>
      </c>
      <c r="V2448" s="145"/>
      <c r="W2448" s="43">
        <f t="shared" si="56"/>
        <v>5</v>
      </c>
      <c r="X2448" s="43"/>
      <c r="Y2448" s="43"/>
      <c r="Z2448" s="43"/>
      <c r="AA2448" s="43"/>
      <c r="AB2448" s="43"/>
    </row>
    <row r="2449" spans="1:28" ht="14.25" customHeight="1">
      <c r="A2449" s="163" t="s">
        <v>1017</v>
      </c>
      <c r="B2449" s="164">
        <v>45783</v>
      </c>
      <c r="C2449" s="163" t="s">
        <v>510</v>
      </c>
      <c r="D2449" s="163" t="s">
        <v>281</v>
      </c>
      <c r="E2449" s="163" t="s">
        <v>18</v>
      </c>
      <c r="F2449" s="168">
        <v>-2833.22</v>
      </c>
      <c r="G2449" s="165">
        <f t="shared" si="52"/>
        <v>-755212.92233333341</v>
      </c>
      <c r="H2449" s="295"/>
      <c r="I2449" s="295"/>
      <c r="J2449" s="295"/>
      <c r="K2449" s="295"/>
      <c r="L2449" s="295"/>
      <c r="M2449" s="295"/>
      <c r="N2449" s="295"/>
      <c r="O2449" s="295"/>
      <c r="P2449" s="295"/>
      <c r="Q2449" s="295"/>
      <c r="R2449" s="295"/>
      <c r="S2449" s="190"/>
      <c r="T2449" s="43">
        <f t="shared" si="61"/>
        <v>5</v>
      </c>
      <c r="U2449" s="167">
        <f t="shared" si="55"/>
        <v>45783</v>
      </c>
      <c r="V2449" s="145"/>
      <c r="W2449" s="43">
        <f t="shared" si="56"/>
        <v>5</v>
      </c>
      <c r="X2449" s="43"/>
      <c r="Y2449" s="43"/>
      <c r="Z2449" s="43"/>
      <c r="AA2449" s="43"/>
      <c r="AB2449" s="43"/>
    </row>
    <row r="2450" spans="1:28" ht="14.25" customHeight="1">
      <c r="A2450" s="163" t="s">
        <v>1017</v>
      </c>
      <c r="B2450" s="164">
        <v>45783</v>
      </c>
      <c r="C2450" s="163" t="s">
        <v>513</v>
      </c>
      <c r="D2450" s="163" t="s">
        <v>281</v>
      </c>
      <c r="E2450" s="163" t="s">
        <v>18</v>
      </c>
      <c r="F2450" s="168">
        <v>-2296.1799999999998</v>
      </c>
      <c r="G2450" s="165">
        <f t="shared" si="52"/>
        <v>-757509.10233333346</v>
      </c>
      <c r="H2450" s="295"/>
      <c r="I2450" s="295"/>
      <c r="J2450" s="295"/>
      <c r="K2450" s="295"/>
      <c r="L2450" s="295"/>
      <c r="M2450" s="295"/>
      <c r="N2450" s="295"/>
      <c r="O2450" s="295"/>
      <c r="P2450" s="295"/>
      <c r="Q2450" s="295"/>
      <c r="R2450" s="295"/>
      <c r="S2450" s="190"/>
      <c r="T2450" s="43">
        <f t="shared" si="61"/>
        <v>5</v>
      </c>
      <c r="U2450" s="167">
        <f t="shared" si="55"/>
        <v>45783</v>
      </c>
      <c r="V2450" s="145"/>
      <c r="W2450" s="43">
        <f t="shared" si="56"/>
        <v>5</v>
      </c>
      <c r="X2450" s="43"/>
      <c r="Y2450" s="43"/>
      <c r="Z2450" s="43"/>
      <c r="AA2450" s="43"/>
      <c r="AB2450" s="43"/>
    </row>
    <row r="2451" spans="1:28" ht="14.25" customHeight="1">
      <c r="A2451" s="163" t="s">
        <v>1017</v>
      </c>
      <c r="B2451" s="164">
        <v>45783</v>
      </c>
      <c r="C2451" s="163" t="s">
        <v>528</v>
      </c>
      <c r="D2451" s="163" t="s">
        <v>281</v>
      </c>
      <c r="E2451" s="163" t="s">
        <v>18</v>
      </c>
      <c r="F2451" s="168">
        <v>-2297.77</v>
      </c>
      <c r="G2451" s="165">
        <f t="shared" si="52"/>
        <v>-759806.87233333348</v>
      </c>
      <c r="H2451" s="295"/>
      <c r="I2451" s="295"/>
      <c r="J2451" s="295"/>
      <c r="K2451" s="295"/>
      <c r="L2451" s="295"/>
      <c r="M2451" s="295"/>
      <c r="N2451" s="295"/>
      <c r="O2451" s="295"/>
      <c r="P2451" s="295"/>
      <c r="Q2451" s="295"/>
      <c r="R2451" s="295"/>
      <c r="S2451" s="190"/>
      <c r="T2451" s="43">
        <f t="shared" si="61"/>
        <v>5</v>
      </c>
      <c r="U2451" s="167">
        <f t="shared" si="55"/>
        <v>45783</v>
      </c>
      <c r="V2451" s="145"/>
      <c r="W2451" s="43">
        <f t="shared" si="56"/>
        <v>5</v>
      </c>
      <c r="X2451" s="43"/>
      <c r="Y2451" s="43"/>
      <c r="Z2451" s="43"/>
      <c r="AA2451" s="43"/>
      <c r="AB2451" s="43"/>
    </row>
    <row r="2452" spans="1:28" ht="14.25" customHeight="1">
      <c r="A2452" s="163" t="s">
        <v>1017</v>
      </c>
      <c r="B2452" s="164">
        <v>45783</v>
      </c>
      <c r="C2452" s="163" t="s">
        <v>516</v>
      </c>
      <c r="D2452" s="163" t="s">
        <v>281</v>
      </c>
      <c r="E2452" s="163" t="s">
        <v>18</v>
      </c>
      <c r="F2452" s="168">
        <v>-1841.18</v>
      </c>
      <c r="G2452" s="165">
        <f t="shared" si="52"/>
        <v>-761648.05233333353</v>
      </c>
      <c r="H2452" s="295"/>
      <c r="I2452" s="295"/>
      <c r="J2452" s="295"/>
      <c r="K2452" s="295"/>
      <c r="L2452" s="295"/>
      <c r="M2452" s="295"/>
      <c r="N2452" s="295"/>
      <c r="O2452" s="295"/>
      <c r="P2452" s="295"/>
      <c r="Q2452" s="295"/>
      <c r="R2452" s="295"/>
      <c r="S2452" s="190"/>
      <c r="T2452" s="43">
        <f t="shared" si="61"/>
        <v>5</v>
      </c>
      <c r="U2452" s="167">
        <f t="shared" si="55"/>
        <v>45783</v>
      </c>
      <c r="V2452" s="145"/>
      <c r="W2452" s="43">
        <f t="shared" si="56"/>
        <v>5</v>
      </c>
      <c r="X2452" s="43"/>
      <c r="Y2452" s="43"/>
      <c r="Z2452" s="43"/>
      <c r="AA2452" s="43"/>
      <c r="AB2452" s="43"/>
    </row>
    <row r="2453" spans="1:28" ht="14.25" customHeight="1">
      <c r="A2453" s="163" t="s">
        <v>1017</v>
      </c>
      <c r="B2453" s="164">
        <v>45783</v>
      </c>
      <c r="C2453" s="163" t="s">
        <v>522</v>
      </c>
      <c r="D2453" s="163" t="s">
        <v>281</v>
      </c>
      <c r="E2453" s="163" t="s">
        <v>18</v>
      </c>
      <c r="F2453" s="168">
        <v>-3127.76</v>
      </c>
      <c r="G2453" s="165">
        <f t="shared" si="52"/>
        <v>-764775.81233333354</v>
      </c>
      <c r="H2453" s="295"/>
      <c r="I2453" s="295"/>
      <c r="J2453" s="295"/>
      <c r="K2453" s="295"/>
      <c r="L2453" s="295"/>
      <c r="M2453" s="295"/>
      <c r="N2453" s="295"/>
      <c r="O2453" s="295"/>
      <c r="P2453" s="295"/>
      <c r="Q2453" s="295"/>
      <c r="R2453" s="295"/>
      <c r="S2453" s="190"/>
      <c r="T2453" s="43">
        <f t="shared" si="61"/>
        <v>5</v>
      </c>
      <c r="U2453" s="167">
        <f t="shared" si="55"/>
        <v>45783</v>
      </c>
      <c r="V2453" s="145"/>
      <c r="W2453" s="43">
        <f t="shared" si="56"/>
        <v>5</v>
      </c>
      <c r="X2453" s="43"/>
      <c r="Y2453" s="43"/>
      <c r="Z2453" s="43"/>
      <c r="AA2453" s="43"/>
      <c r="AB2453" s="43"/>
    </row>
    <row r="2454" spans="1:28" ht="14.25" customHeight="1">
      <c r="A2454" s="163" t="s">
        <v>1017</v>
      </c>
      <c r="B2454" s="164">
        <v>45783</v>
      </c>
      <c r="C2454" s="163" t="s">
        <v>525</v>
      </c>
      <c r="D2454" s="163" t="s">
        <v>281</v>
      </c>
      <c r="E2454" s="163" t="s">
        <v>18</v>
      </c>
      <c r="F2454" s="168">
        <v>-3122.35</v>
      </c>
      <c r="G2454" s="165">
        <f t="shared" si="52"/>
        <v>-767898.16233333352</v>
      </c>
      <c r="H2454" s="295"/>
      <c r="I2454" s="295"/>
      <c r="J2454" s="295"/>
      <c r="K2454" s="295"/>
      <c r="L2454" s="295"/>
      <c r="M2454" s="295"/>
      <c r="N2454" s="295"/>
      <c r="O2454" s="295"/>
      <c r="P2454" s="295"/>
      <c r="Q2454" s="295"/>
      <c r="R2454" s="295"/>
      <c r="S2454" s="190"/>
      <c r="T2454" s="43">
        <f t="shared" si="61"/>
        <v>5</v>
      </c>
      <c r="U2454" s="167">
        <f t="shared" si="55"/>
        <v>45783</v>
      </c>
      <c r="V2454" s="145"/>
      <c r="W2454" s="43">
        <f t="shared" si="56"/>
        <v>5</v>
      </c>
      <c r="X2454" s="43"/>
      <c r="Y2454" s="43"/>
      <c r="Z2454" s="43"/>
      <c r="AA2454" s="43"/>
      <c r="AB2454" s="43"/>
    </row>
    <row r="2455" spans="1:28" ht="14.25" customHeight="1">
      <c r="A2455" s="163" t="s">
        <v>1017</v>
      </c>
      <c r="B2455" s="164">
        <v>45783</v>
      </c>
      <c r="C2455" s="163" t="s">
        <v>112</v>
      </c>
      <c r="D2455" s="163" t="s">
        <v>281</v>
      </c>
      <c r="E2455" s="163" t="s">
        <v>18</v>
      </c>
      <c r="F2455" s="168">
        <v>-2296.1799999999998</v>
      </c>
      <c r="G2455" s="165">
        <f t="shared" si="52"/>
        <v>-770194.34233333357</v>
      </c>
      <c r="H2455" s="295"/>
      <c r="I2455" s="295"/>
      <c r="J2455" s="295"/>
      <c r="K2455" s="295"/>
      <c r="L2455" s="295"/>
      <c r="M2455" s="295"/>
      <c r="N2455" s="295"/>
      <c r="O2455" s="295"/>
      <c r="P2455" s="295"/>
      <c r="Q2455" s="295"/>
      <c r="R2455" s="295"/>
      <c r="S2455" s="190"/>
      <c r="T2455" s="43">
        <f t="shared" si="61"/>
        <v>5</v>
      </c>
      <c r="U2455" s="167">
        <f t="shared" si="55"/>
        <v>45783</v>
      </c>
      <c r="V2455" s="145"/>
      <c r="W2455" s="43">
        <f t="shared" si="56"/>
        <v>5</v>
      </c>
      <c r="X2455" s="43"/>
      <c r="Y2455" s="43"/>
      <c r="Z2455" s="43"/>
      <c r="AA2455" s="43"/>
      <c r="AB2455" s="43"/>
    </row>
    <row r="2456" spans="1:28" ht="14.25" customHeight="1">
      <c r="A2456" s="163" t="s">
        <v>1017</v>
      </c>
      <c r="B2456" s="164">
        <v>45783</v>
      </c>
      <c r="C2456" s="163" t="s">
        <v>533</v>
      </c>
      <c r="D2456" s="163" t="s">
        <v>281</v>
      </c>
      <c r="E2456" s="163" t="s">
        <v>18</v>
      </c>
      <c r="F2456" s="168">
        <v>-1842.77</v>
      </c>
      <c r="G2456" s="165">
        <f t="shared" si="52"/>
        <v>-772037.11233333359</v>
      </c>
      <c r="H2456" s="295"/>
      <c r="I2456" s="295"/>
      <c r="J2456" s="295"/>
      <c r="K2456" s="295"/>
      <c r="L2456" s="295"/>
      <c r="M2456" s="295"/>
      <c r="N2456" s="295"/>
      <c r="O2456" s="295"/>
      <c r="P2456" s="295"/>
      <c r="Q2456" s="295"/>
      <c r="R2456" s="295"/>
      <c r="S2456" s="190"/>
      <c r="T2456" s="43">
        <f t="shared" si="61"/>
        <v>5</v>
      </c>
      <c r="U2456" s="167">
        <f t="shared" si="55"/>
        <v>45783</v>
      </c>
      <c r="V2456" s="145"/>
      <c r="W2456" s="43">
        <f t="shared" si="56"/>
        <v>5</v>
      </c>
      <c r="X2456" s="43"/>
      <c r="Y2456" s="43"/>
      <c r="Z2456" s="43"/>
      <c r="AA2456" s="43"/>
      <c r="AB2456" s="43"/>
    </row>
    <row r="2457" spans="1:28" ht="14.25" customHeight="1">
      <c r="A2457" s="163" t="s">
        <v>1017</v>
      </c>
      <c r="B2457" s="164">
        <v>45783</v>
      </c>
      <c r="C2457" s="163" t="s">
        <v>536</v>
      </c>
      <c r="D2457" s="163" t="s">
        <v>281</v>
      </c>
      <c r="E2457" s="163" t="s">
        <v>18</v>
      </c>
      <c r="F2457" s="168">
        <v>-1842.77</v>
      </c>
      <c r="G2457" s="165">
        <f t="shared" si="52"/>
        <v>-773879.8823333336</v>
      </c>
      <c r="H2457" s="295"/>
      <c r="I2457" s="295"/>
      <c r="J2457" s="295"/>
      <c r="K2457" s="295"/>
      <c r="L2457" s="295"/>
      <c r="M2457" s="295"/>
      <c r="N2457" s="295"/>
      <c r="O2457" s="295"/>
      <c r="P2457" s="295"/>
      <c r="Q2457" s="295"/>
      <c r="R2457" s="295"/>
      <c r="S2457" s="190"/>
      <c r="T2457" s="43">
        <f t="shared" si="61"/>
        <v>5</v>
      </c>
      <c r="U2457" s="167">
        <f t="shared" si="55"/>
        <v>45783</v>
      </c>
      <c r="V2457" s="145"/>
      <c r="W2457" s="43">
        <f t="shared" si="56"/>
        <v>5</v>
      </c>
      <c r="X2457" s="43"/>
      <c r="Y2457" s="43"/>
      <c r="Z2457" s="43"/>
      <c r="AA2457" s="43"/>
      <c r="AB2457" s="43"/>
    </row>
    <row r="2458" spans="1:28" ht="14.25" customHeight="1">
      <c r="A2458" s="163" t="s">
        <v>1017</v>
      </c>
      <c r="B2458" s="164">
        <v>45783</v>
      </c>
      <c r="C2458" s="163" t="s">
        <v>93</v>
      </c>
      <c r="D2458" s="163" t="s">
        <v>281</v>
      </c>
      <c r="E2458" s="163" t="s">
        <v>18</v>
      </c>
      <c r="F2458" s="168">
        <v>-4137.08</v>
      </c>
      <c r="G2458" s="165">
        <f t="shared" si="52"/>
        <v>-778016.96233333356</v>
      </c>
      <c r="H2458" s="295"/>
      <c r="I2458" s="295"/>
      <c r="J2458" s="295"/>
      <c r="K2458" s="295"/>
      <c r="L2458" s="295"/>
      <c r="M2458" s="295"/>
      <c r="N2458" s="295"/>
      <c r="O2458" s="295"/>
      <c r="P2458" s="295"/>
      <c r="Q2458" s="295"/>
      <c r="R2458" s="295"/>
      <c r="S2458" s="190"/>
      <c r="T2458" s="43">
        <f t="shared" si="61"/>
        <v>5</v>
      </c>
      <c r="U2458" s="167">
        <f t="shared" si="55"/>
        <v>45783</v>
      </c>
      <c r="V2458" s="145"/>
      <c r="W2458" s="43">
        <f t="shared" si="56"/>
        <v>5</v>
      </c>
      <c r="X2458" s="43"/>
      <c r="Y2458" s="43"/>
      <c r="Z2458" s="43"/>
      <c r="AA2458" s="43"/>
      <c r="AB2458" s="43"/>
    </row>
    <row r="2459" spans="1:28" ht="14.25" customHeight="1">
      <c r="A2459" s="163" t="s">
        <v>1017</v>
      </c>
      <c r="B2459" s="164">
        <v>45783</v>
      </c>
      <c r="C2459" s="163" t="s">
        <v>88</v>
      </c>
      <c r="D2459" s="163" t="s">
        <v>281</v>
      </c>
      <c r="E2459" s="163" t="s">
        <v>18</v>
      </c>
      <c r="F2459" s="168">
        <v>-3837.77</v>
      </c>
      <c r="G2459" s="165">
        <f t="shared" si="52"/>
        <v>-781854.73233333358</v>
      </c>
      <c r="H2459" s="295"/>
      <c r="I2459" s="295"/>
      <c r="J2459" s="295"/>
      <c r="K2459" s="295"/>
      <c r="L2459" s="295"/>
      <c r="M2459" s="295"/>
      <c r="N2459" s="295"/>
      <c r="O2459" s="295"/>
      <c r="P2459" s="295"/>
      <c r="Q2459" s="295"/>
      <c r="R2459" s="295"/>
      <c r="S2459" s="190"/>
      <c r="T2459" s="43">
        <f t="shared" si="61"/>
        <v>5</v>
      </c>
      <c r="U2459" s="167">
        <f t="shared" si="55"/>
        <v>45783</v>
      </c>
      <c r="V2459" s="145"/>
      <c r="W2459" s="43">
        <f t="shared" si="56"/>
        <v>5</v>
      </c>
      <c r="X2459" s="43"/>
      <c r="Y2459" s="43"/>
      <c r="Z2459" s="43"/>
      <c r="AA2459" s="43"/>
      <c r="AB2459" s="43"/>
    </row>
    <row r="2460" spans="1:28" ht="14.25" customHeight="1">
      <c r="A2460" s="163" t="s">
        <v>1017</v>
      </c>
      <c r="B2460" s="164">
        <v>45783</v>
      </c>
      <c r="C2460" s="163" t="s">
        <v>546</v>
      </c>
      <c r="D2460" s="163" t="s">
        <v>281</v>
      </c>
      <c r="E2460" s="163" t="s">
        <v>18</v>
      </c>
      <c r="F2460" s="168">
        <v>-1471.31</v>
      </c>
      <c r="G2460" s="165">
        <f t="shared" si="52"/>
        <v>-783326.04233333364</v>
      </c>
      <c r="H2460" s="295"/>
      <c r="I2460" s="295"/>
      <c r="J2460" s="295"/>
      <c r="K2460" s="295"/>
      <c r="L2460" s="295"/>
      <c r="M2460" s="295"/>
      <c r="N2460" s="295"/>
      <c r="O2460" s="295"/>
      <c r="P2460" s="295"/>
      <c r="Q2460" s="295"/>
      <c r="R2460" s="295"/>
      <c r="S2460" s="190" t="s">
        <v>345</v>
      </c>
      <c r="T2460" s="43">
        <f t="shared" si="61"/>
        <v>5</v>
      </c>
      <c r="U2460" s="167">
        <f t="shared" si="55"/>
        <v>45783</v>
      </c>
      <c r="V2460" s="145"/>
      <c r="W2460" s="43">
        <f t="shared" si="56"/>
        <v>5</v>
      </c>
      <c r="X2460" s="43"/>
      <c r="Y2460" s="43"/>
      <c r="Z2460" s="43"/>
      <c r="AA2460" s="43"/>
      <c r="AB2460" s="43"/>
    </row>
    <row r="2461" spans="1:28" ht="14.25" customHeight="1">
      <c r="A2461" s="163" t="s">
        <v>1017</v>
      </c>
      <c r="B2461" s="164">
        <v>45783</v>
      </c>
      <c r="C2461" s="163" t="s">
        <v>549</v>
      </c>
      <c r="D2461" s="163" t="s">
        <v>281</v>
      </c>
      <c r="E2461" s="163" t="s">
        <v>18</v>
      </c>
      <c r="F2461" s="168">
        <v>-2486.8000000000002</v>
      </c>
      <c r="G2461" s="165">
        <f t="shared" si="52"/>
        <v>-785812.84233333368</v>
      </c>
      <c r="H2461" s="295"/>
      <c r="I2461" s="295"/>
      <c r="J2461" s="295"/>
      <c r="K2461" s="295"/>
      <c r="L2461" s="295"/>
      <c r="M2461" s="295"/>
      <c r="N2461" s="295"/>
      <c r="O2461" s="295"/>
      <c r="P2461" s="295"/>
      <c r="Q2461" s="295"/>
      <c r="R2461" s="295"/>
      <c r="S2461" s="190"/>
      <c r="T2461" s="43">
        <f t="shared" si="61"/>
        <v>5</v>
      </c>
      <c r="U2461" s="167">
        <f t="shared" si="55"/>
        <v>45783</v>
      </c>
      <c r="V2461" s="145"/>
      <c r="W2461" s="43">
        <f t="shared" si="56"/>
        <v>5</v>
      </c>
      <c r="X2461" s="43"/>
      <c r="Y2461" s="43"/>
      <c r="Z2461" s="43"/>
      <c r="AA2461" s="43"/>
      <c r="AB2461" s="43"/>
    </row>
    <row r="2462" spans="1:28" ht="14.25" customHeight="1">
      <c r="A2462" s="163" t="s">
        <v>1017</v>
      </c>
      <c r="B2462" s="164">
        <v>45783</v>
      </c>
      <c r="C2462" s="163" t="s">
        <v>1266</v>
      </c>
      <c r="D2462" s="163" t="s">
        <v>281</v>
      </c>
      <c r="E2462" s="163" t="s">
        <v>18</v>
      </c>
      <c r="F2462" s="168">
        <v>-2024.77</v>
      </c>
      <c r="G2462" s="165">
        <f t="shared" si="52"/>
        <v>-787837.6123333337</v>
      </c>
      <c r="H2462" s="295"/>
      <c r="I2462" s="295"/>
      <c r="J2462" s="295"/>
      <c r="K2462" s="295"/>
      <c r="L2462" s="295"/>
      <c r="M2462" s="295"/>
      <c r="N2462" s="295"/>
      <c r="O2462" s="295"/>
      <c r="P2462" s="295"/>
      <c r="Q2462" s="295"/>
      <c r="R2462" s="295"/>
      <c r="S2462" s="190"/>
      <c r="T2462" s="43">
        <f t="shared" si="61"/>
        <v>5</v>
      </c>
      <c r="U2462" s="167">
        <f t="shared" si="55"/>
        <v>45783</v>
      </c>
      <c r="V2462" s="145"/>
      <c r="W2462" s="43">
        <f t="shared" si="56"/>
        <v>5</v>
      </c>
      <c r="X2462" s="43"/>
      <c r="Y2462" s="43"/>
      <c r="Z2462" s="43"/>
      <c r="AA2462" s="43"/>
      <c r="AB2462" s="43"/>
    </row>
    <row r="2463" spans="1:28" ht="14.25" customHeight="1">
      <c r="A2463" s="163" t="s">
        <v>1017</v>
      </c>
      <c r="B2463" s="164">
        <v>45783</v>
      </c>
      <c r="C2463" s="163" t="s">
        <v>1774</v>
      </c>
      <c r="D2463" s="163" t="s">
        <v>281</v>
      </c>
      <c r="E2463" s="163" t="s">
        <v>18</v>
      </c>
      <c r="F2463" s="168">
        <v>-3837.77</v>
      </c>
      <c r="G2463" s="165">
        <f t="shared" si="52"/>
        <v>-791675.38233333372</v>
      </c>
      <c r="H2463" s="295"/>
      <c r="I2463" s="295"/>
      <c r="J2463" s="295"/>
      <c r="K2463" s="295"/>
      <c r="L2463" s="295"/>
      <c r="M2463" s="295"/>
      <c r="N2463" s="295"/>
      <c r="O2463" s="295"/>
      <c r="P2463" s="295"/>
      <c r="Q2463" s="295"/>
      <c r="R2463" s="295"/>
      <c r="S2463" s="190"/>
      <c r="T2463" s="43">
        <f t="shared" si="61"/>
        <v>5</v>
      </c>
      <c r="U2463" s="167">
        <f t="shared" si="55"/>
        <v>45783</v>
      </c>
      <c r="V2463" s="145"/>
      <c r="W2463" s="43">
        <f t="shared" si="56"/>
        <v>5</v>
      </c>
      <c r="X2463" s="43"/>
      <c r="Y2463" s="43"/>
      <c r="Z2463" s="43"/>
      <c r="AA2463" s="43"/>
      <c r="AB2463" s="43"/>
    </row>
    <row r="2464" spans="1:28" ht="14.25" customHeight="1">
      <c r="A2464" s="163" t="s">
        <v>1017</v>
      </c>
      <c r="B2464" s="164">
        <v>45783</v>
      </c>
      <c r="C2464" s="163" t="s">
        <v>108</v>
      </c>
      <c r="D2464" s="163" t="s">
        <v>281</v>
      </c>
      <c r="E2464" s="163" t="s">
        <v>18</v>
      </c>
      <c r="F2464" s="168">
        <v>-2702.83</v>
      </c>
      <c r="G2464" s="165">
        <f t="shared" si="52"/>
        <v>-794378.21233333368</v>
      </c>
      <c r="H2464" s="295"/>
      <c r="I2464" s="295"/>
      <c r="J2464" s="295"/>
      <c r="K2464" s="295"/>
      <c r="L2464" s="295"/>
      <c r="M2464" s="295"/>
      <c r="N2464" s="295"/>
      <c r="O2464" s="295"/>
      <c r="P2464" s="295"/>
      <c r="Q2464" s="295"/>
      <c r="R2464" s="295"/>
      <c r="S2464" s="190"/>
      <c r="T2464" s="43">
        <f t="shared" si="61"/>
        <v>5</v>
      </c>
      <c r="U2464" s="167">
        <f t="shared" si="55"/>
        <v>45783</v>
      </c>
      <c r="V2464" s="145"/>
      <c r="W2464" s="43">
        <f t="shared" si="56"/>
        <v>5</v>
      </c>
      <c r="X2464" s="43"/>
      <c r="Y2464" s="43"/>
      <c r="Z2464" s="43"/>
      <c r="AA2464" s="43"/>
      <c r="AB2464" s="43"/>
    </row>
    <row r="2465" spans="1:28" ht="14.25" customHeight="1">
      <c r="A2465" s="163" t="s">
        <v>1017</v>
      </c>
      <c r="B2465" s="164">
        <v>45783</v>
      </c>
      <c r="C2465" s="163" t="s">
        <v>1775</v>
      </c>
      <c r="D2465" s="163" t="s">
        <v>281</v>
      </c>
      <c r="E2465" s="163" t="s">
        <v>18</v>
      </c>
      <c r="F2465" s="168">
        <v>-3492.76</v>
      </c>
      <c r="G2465" s="165">
        <f t="shared" si="52"/>
        <v>-797870.97233333369</v>
      </c>
      <c r="H2465" s="295"/>
      <c r="I2465" s="295"/>
      <c r="J2465" s="295"/>
      <c r="K2465" s="295"/>
      <c r="L2465" s="295"/>
      <c r="M2465" s="295"/>
      <c r="N2465" s="295"/>
      <c r="O2465" s="295"/>
      <c r="P2465" s="295"/>
      <c r="Q2465" s="295"/>
      <c r="R2465" s="295"/>
      <c r="S2465" s="190"/>
      <c r="T2465" s="43">
        <f t="shared" si="61"/>
        <v>5</v>
      </c>
      <c r="U2465" s="167">
        <f t="shared" si="55"/>
        <v>45783</v>
      </c>
      <c r="V2465" s="145"/>
      <c r="W2465" s="43">
        <f t="shared" si="56"/>
        <v>5</v>
      </c>
      <c r="X2465" s="43"/>
      <c r="Y2465" s="43"/>
      <c r="Z2465" s="43"/>
      <c r="AA2465" s="43"/>
      <c r="AB2465" s="43"/>
    </row>
    <row r="2466" spans="1:28" ht="14.25" customHeight="1">
      <c r="A2466" s="163" t="s">
        <v>1017</v>
      </c>
      <c r="B2466" s="164">
        <v>45783</v>
      </c>
      <c r="C2466" s="163" t="s">
        <v>1776</v>
      </c>
      <c r="D2466" s="163" t="s">
        <v>281</v>
      </c>
      <c r="E2466" s="163" t="s">
        <v>18</v>
      </c>
      <c r="F2466" s="168">
        <v>-2733.4</v>
      </c>
      <c r="G2466" s="165">
        <f t="shared" si="52"/>
        <v>-800604.37233333371</v>
      </c>
      <c r="H2466" s="295"/>
      <c r="I2466" s="295"/>
      <c r="J2466" s="295"/>
      <c r="K2466" s="295"/>
      <c r="L2466" s="295"/>
      <c r="M2466" s="295"/>
      <c r="N2466" s="295"/>
      <c r="O2466" s="295"/>
      <c r="P2466" s="295"/>
      <c r="Q2466" s="295"/>
      <c r="R2466" s="295"/>
      <c r="S2466" s="190"/>
      <c r="T2466" s="43">
        <f t="shared" si="61"/>
        <v>5</v>
      </c>
      <c r="U2466" s="167">
        <f t="shared" si="55"/>
        <v>45783</v>
      </c>
      <c r="V2466" s="145"/>
      <c r="W2466" s="43">
        <f t="shared" si="56"/>
        <v>5</v>
      </c>
      <c r="X2466" s="43"/>
      <c r="Y2466" s="43"/>
      <c r="Z2466" s="43"/>
      <c r="AA2466" s="43"/>
      <c r="AB2466" s="43"/>
    </row>
    <row r="2467" spans="1:28" ht="14.25" hidden="1" customHeight="1">
      <c r="A2467" s="163" t="s">
        <v>1017</v>
      </c>
      <c r="B2467" s="164">
        <v>45783</v>
      </c>
      <c r="C2467" s="163" t="s">
        <v>1803</v>
      </c>
      <c r="D2467" s="163" t="s">
        <v>281</v>
      </c>
      <c r="E2467" s="163" t="s">
        <v>1140</v>
      </c>
      <c r="F2467" s="168">
        <v>-7385.85</v>
      </c>
      <c r="G2467" s="165">
        <f t="shared" si="52"/>
        <v>-807990.22233333369</v>
      </c>
      <c r="H2467" s="295"/>
      <c r="I2467" s="295"/>
      <c r="J2467" s="295"/>
      <c r="K2467" s="295"/>
      <c r="L2467" s="295"/>
      <c r="M2467" s="295"/>
      <c r="N2467" s="295"/>
      <c r="O2467" s="295"/>
      <c r="P2467" s="295"/>
      <c r="Q2467" s="295"/>
      <c r="R2467" s="295"/>
      <c r="S2467" s="190"/>
      <c r="T2467" s="43">
        <f t="shared" si="61"/>
        <v>5</v>
      </c>
      <c r="U2467" s="167">
        <f t="shared" si="55"/>
        <v>45783</v>
      </c>
      <c r="V2467" s="145"/>
      <c r="W2467" s="43">
        <f t="shared" si="56"/>
        <v>5</v>
      </c>
      <c r="X2467" s="43"/>
      <c r="Y2467" s="43"/>
      <c r="Z2467" s="43"/>
      <c r="AA2467" s="43"/>
      <c r="AB2467" s="43"/>
    </row>
    <row r="2468" spans="1:28" ht="14.25" hidden="1" customHeight="1">
      <c r="A2468" s="163"/>
      <c r="B2468" s="164">
        <v>45783</v>
      </c>
      <c r="C2468" s="163" t="s">
        <v>346</v>
      </c>
      <c r="D2468" s="163"/>
      <c r="E2468" s="163"/>
      <c r="F2468" s="165">
        <v>0</v>
      </c>
      <c r="G2468" s="165">
        <f t="shared" si="52"/>
        <v>-807990.22233333369</v>
      </c>
      <c r="H2468" s="295"/>
      <c r="I2468" s="295"/>
      <c r="J2468" s="295"/>
      <c r="K2468" s="295"/>
      <c r="L2468" s="295"/>
      <c r="M2468" s="295"/>
      <c r="N2468" s="295"/>
      <c r="O2468" s="295"/>
      <c r="P2468" s="295"/>
      <c r="Q2468" s="295"/>
      <c r="R2468" s="295"/>
      <c r="S2468" s="190"/>
      <c r="T2468" s="43">
        <f t="shared" si="61"/>
        <v>5</v>
      </c>
      <c r="U2468" s="167">
        <f t="shared" si="55"/>
        <v>45783</v>
      </c>
      <c r="V2468" s="145"/>
      <c r="W2468" s="43">
        <f t="shared" si="56"/>
        <v>5</v>
      </c>
      <c r="X2468" s="43"/>
      <c r="Y2468" s="43"/>
      <c r="Z2468" s="43"/>
      <c r="AA2468" s="43"/>
      <c r="AB2468" s="43"/>
    </row>
    <row r="2469" spans="1:28" ht="14.25" hidden="1" customHeight="1">
      <c r="A2469" s="163" t="s">
        <v>1017</v>
      </c>
      <c r="B2469" s="164">
        <v>45784</v>
      </c>
      <c r="C2469" s="163" t="s">
        <v>385</v>
      </c>
      <c r="D2469" s="163" t="s">
        <v>281</v>
      </c>
      <c r="E2469" s="163" t="s">
        <v>622</v>
      </c>
      <c r="F2469" s="168">
        <v>-532.15</v>
      </c>
      <c r="G2469" s="165">
        <f t="shared" si="52"/>
        <v>-808522.37233333371</v>
      </c>
      <c r="H2469" s="295"/>
      <c r="I2469" s="295"/>
      <c r="J2469" s="295"/>
      <c r="K2469" s="295"/>
      <c r="L2469" s="295"/>
      <c r="M2469" s="295"/>
      <c r="N2469" s="295"/>
      <c r="O2469" s="295"/>
      <c r="P2469" s="295"/>
      <c r="Q2469" s="295"/>
      <c r="R2469" s="295"/>
      <c r="S2469" s="190"/>
      <c r="T2469" s="43">
        <f t="shared" si="61"/>
        <v>5</v>
      </c>
      <c r="U2469" s="167">
        <f t="shared" si="55"/>
        <v>45784</v>
      </c>
      <c r="V2469" s="145"/>
      <c r="W2469" s="43">
        <f t="shared" si="56"/>
        <v>5</v>
      </c>
      <c r="X2469" s="43"/>
      <c r="Y2469" s="43"/>
      <c r="Z2469" s="43"/>
      <c r="AA2469" s="43"/>
      <c r="AB2469" s="43"/>
    </row>
    <row r="2470" spans="1:28" ht="14.25" hidden="1" customHeight="1">
      <c r="A2470" s="163" t="s">
        <v>1017</v>
      </c>
      <c r="B2470" s="164">
        <v>45784</v>
      </c>
      <c r="C2470" s="163" t="s">
        <v>385</v>
      </c>
      <c r="D2470" s="163" t="s">
        <v>281</v>
      </c>
      <c r="E2470" s="163" t="s">
        <v>622</v>
      </c>
      <c r="F2470" s="168">
        <v>-262.22000000000003</v>
      </c>
      <c r="G2470" s="165">
        <f t="shared" si="52"/>
        <v>-808784.59233333368</v>
      </c>
      <c r="H2470" s="295"/>
      <c r="I2470" s="295"/>
      <c r="J2470" s="295"/>
      <c r="K2470" s="295"/>
      <c r="L2470" s="295"/>
      <c r="M2470" s="295"/>
      <c r="N2470" s="295"/>
      <c r="O2470" s="295"/>
      <c r="P2470" s="295"/>
      <c r="Q2470" s="295"/>
      <c r="R2470" s="295"/>
      <c r="S2470" s="190"/>
      <c r="T2470" s="43">
        <f t="shared" si="61"/>
        <v>5</v>
      </c>
      <c r="U2470" s="167">
        <f t="shared" si="55"/>
        <v>45784</v>
      </c>
      <c r="V2470" s="145"/>
      <c r="W2470" s="43">
        <f t="shared" si="56"/>
        <v>5</v>
      </c>
      <c r="X2470" s="43"/>
      <c r="Y2470" s="43"/>
      <c r="Z2470" s="43"/>
      <c r="AA2470" s="43"/>
      <c r="AB2470" s="43"/>
    </row>
    <row r="2471" spans="1:28" ht="14.25" customHeight="1">
      <c r="A2471" s="163" t="s">
        <v>1017</v>
      </c>
      <c r="B2471" s="164">
        <v>45784</v>
      </c>
      <c r="C2471" s="163" t="s">
        <v>1777</v>
      </c>
      <c r="D2471" s="163" t="s">
        <v>281</v>
      </c>
      <c r="E2471" s="163" t="s">
        <v>18</v>
      </c>
      <c r="F2471" s="168">
        <v>-2449.44</v>
      </c>
      <c r="G2471" s="165">
        <f t="shared" si="52"/>
        <v>-811234.03233333363</v>
      </c>
      <c r="H2471" s="295"/>
      <c r="I2471" s="295"/>
      <c r="J2471" s="295"/>
      <c r="K2471" s="295"/>
      <c r="L2471" s="295"/>
      <c r="M2471" s="295"/>
      <c r="N2471" s="295"/>
      <c r="O2471" s="295"/>
      <c r="P2471" s="295"/>
      <c r="Q2471" s="295"/>
      <c r="R2471" s="295"/>
      <c r="S2471" s="190"/>
      <c r="T2471" s="43">
        <f t="shared" si="61"/>
        <v>5</v>
      </c>
      <c r="U2471" s="167">
        <f t="shared" si="55"/>
        <v>45783</v>
      </c>
      <c r="V2471" s="145">
        <v>45783</v>
      </c>
      <c r="W2471" s="43">
        <f t="shared" si="56"/>
        <v>5</v>
      </c>
      <c r="X2471" s="43"/>
      <c r="Y2471" s="43"/>
      <c r="Z2471" s="43"/>
      <c r="AA2471" s="43"/>
      <c r="AB2471" s="43"/>
    </row>
    <row r="2472" spans="1:28" ht="14.25" customHeight="1">
      <c r="A2472" s="163" t="s">
        <v>1017</v>
      </c>
      <c r="B2472" s="164">
        <v>45784</v>
      </c>
      <c r="C2472" s="163" t="s">
        <v>1778</v>
      </c>
      <c r="D2472" s="163" t="s">
        <v>281</v>
      </c>
      <c r="E2472" s="163" t="s">
        <v>18</v>
      </c>
      <c r="F2472" s="168">
        <v>-3127.76</v>
      </c>
      <c r="G2472" s="165">
        <f t="shared" si="52"/>
        <v>-814361.79233333364</v>
      </c>
      <c r="H2472" s="295"/>
      <c r="I2472" s="295"/>
      <c r="J2472" s="295"/>
      <c r="K2472" s="295"/>
      <c r="L2472" s="295"/>
      <c r="M2472" s="295"/>
      <c r="N2472" s="295"/>
      <c r="O2472" s="295"/>
      <c r="P2472" s="295"/>
      <c r="Q2472" s="295"/>
      <c r="R2472" s="295"/>
      <c r="S2472" s="190" t="s">
        <v>292</v>
      </c>
      <c r="T2472" s="43">
        <f t="shared" si="61"/>
        <v>5</v>
      </c>
      <c r="U2472" s="167">
        <f t="shared" si="55"/>
        <v>45783</v>
      </c>
      <c r="V2472" s="145">
        <v>45783</v>
      </c>
      <c r="W2472" s="43">
        <f t="shared" si="56"/>
        <v>5</v>
      </c>
      <c r="X2472" s="43"/>
      <c r="Y2472" s="43"/>
      <c r="Z2472" s="43"/>
      <c r="AA2472" s="43"/>
      <c r="AB2472" s="43"/>
    </row>
    <row r="2473" spans="1:28" ht="14.25" customHeight="1">
      <c r="A2473" s="163" t="s">
        <v>1017</v>
      </c>
      <c r="B2473" s="164">
        <v>45784</v>
      </c>
      <c r="C2473" s="163" t="s">
        <v>1779</v>
      </c>
      <c r="D2473" s="163" t="s">
        <v>281</v>
      </c>
      <c r="E2473" s="163" t="s">
        <v>18</v>
      </c>
      <c r="F2473" s="168">
        <v>-3127.76</v>
      </c>
      <c r="G2473" s="165">
        <f t="shared" si="52"/>
        <v>-817489.55233333365</v>
      </c>
      <c r="H2473" s="295"/>
      <c r="I2473" s="295"/>
      <c r="J2473" s="295"/>
      <c r="K2473" s="295"/>
      <c r="L2473" s="295"/>
      <c r="M2473" s="295"/>
      <c r="N2473" s="295"/>
      <c r="O2473" s="295"/>
      <c r="P2473" s="295"/>
      <c r="Q2473" s="295"/>
      <c r="R2473" s="295"/>
      <c r="S2473" s="190" t="s">
        <v>325</v>
      </c>
      <c r="T2473" s="94">
        <f t="shared" si="61"/>
        <v>5</v>
      </c>
      <c r="U2473" s="167">
        <f t="shared" si="55"/>
        <v>45783</v>
      </c>
      <c r="V2473" s="145">
        <v>45783</v>
      </c>
      <c r="W2473" s="43">
        <f t="shared" si="56"/>
        <v>5</v>
      </c>
      <c r="X2473" s="43"/>
      <c r="Y2473" s="43"/>
      <c r="Z2473" s="43"/>
      <c r="AA2473" s="43"/>
      <c r="AB2473" s="43"/>
    </row>
    <row r="2474" spans="1:28" ht="14.25" customHeight="1">
      <c r="A2474" s="163" t="s">
        <v>1017</v>
      </c>
      <c r="B2474" s="164">
        <v>45784</v>
      </c>
      <c r="C2474" s="163" t="s">
        <v>1780</v>
      </c>
      <c r="D2474" s="163" t="s">
        <v>281</v>
      </c>
      <c r="E2474" s="163" t="s">
        <v>18</v>
      </c>
      <c r="F2474" s="168">
        <v>-2297.77</v>
      </c>
      <c r="G2474" s="165">
        <f t="shared" si="52"/>
        <v>-819787.32233333366</v>
      </c>
      <c r="H2474" s="295"/>
      <c r="I2474" s="295"/>
      <c r="J2474" s="295"/>
      <c r="K2474" s="295"/>
      <c r="L2474" s="295"/>
      <c r="M2474" s="295"/>
      <c r="N2474" s="295"/>
      <c r="O2474" s="295"/>
      <c r="P2474" s="295"/>
      <c r="Q2474" s="295"/>
      <c r="R2474" s="295"/>
      <c r="S2474" s="190" t="s">
        <v>292</v>
      </c>
      <c r="T2474" s="43">
        <f t="shared" si="61"/>
        <v>5</v>
      </c>
      <c r="U2474" s="167">
        <f t="shared" si="55"/>
        <v>45783</v>
      </c>
      <c r="V2474" s="145">
        <v>45783</v>
      </c>
      <c r="W2474" s="43">
        <f t="shared" si="56"/>
        <v>5</v>
      </c>
      <c r="X2474" s="43"/>
      <c r="Y2474" s="43"/>
      <c r="Z2474" s="43"/>
      <c r="AA2474" s="43"/>
      <c r="AB2474" s="43"/>
    </row>
    <row r="2475" spans="1:28" ht="14.25" customHeight="1">
      <c r="A2475" s="163" t="s">
        <v>1017</v>
      </c>
      <c r="B2475" s="164">
        <v>45784</v>
      </c>
      <c r="C2475" s="163" t="s">
        <v>1782</v>
      </c>
      <c r="D2475" s="163" t="s">
        <v>281</v>
      </c>
      <c r="E2475" s="163" t="s">
        <v>18</v>
      </c>
      <c r="F2475" s="168">
        <v>-2054.85</v>
      </c>
      <c r="G2475" s="165">
        <f t="shared" si="52"/>
        <v>-821842.17233333364</v>
      </c>
      <c r="H2475" s="295"/>
      <c r="I2475" s="295"/>
      <c r="J2475" s="295"/>
      <c r="K2475" s="295"/>
      <c r="L2475" s="295"/>
      <c r="M2475" s="295"/>
      <c r="N2475" s="295"/>
      <c r="O2475" s="295"/>
      <c r="P2475" s="295"/>
      <c r="Q2475" s="295"/>
      <c r="R2475" s="295"/>
      <c r="S2475" s="190" t="s">
        <v>325</v>
      </c>
      <c r="T2475" s="94">
        <f t="shared" si="61"/>
        <v>5</v>
      </c>
      <c r="U2475" s="167">
        <f t="shared" si="55"/>
        <v>45783</v>
      </c>
      <c r="V2475" s="145">
        <v>45783</v>
      </c>
      <c r="W2475" s="43">
        <f t="shared" si="56"/>
        <v>5</v>
      </c>
      <c r="X2475" s="43"/>
      <c r="Y2475" s="43"/>
      <c r="Z2475" s="43"/>
      <c r="AA2475" s="43"/>
      <c r="AB2475" s="43"/>
    </row>
    <row r="2476" spans="1:28" ht="14.25" customHeight="1">
      <c r="A2476" s="163" t="s">
        <v>1017</v>
      </c>
      <c r="B2476" s="164">
        <v>45784</v>
      </c>
      <c r="C2476" s="163" t="s">
        <v>1704</v>
      </c>
      <c r="D2476" s="163" t="s">
        <v>281</v>
      </c>
      <c r="E2476" s="163" t="s">
        <v>18</v>
      </c>
      <c r="F2476" s="168">
        <v>-1861.02</v>
      </c>
      <c r="G2476" s="165">
        <f t="shared" si="52"/>
        <v>-823703.19233333366</v>
      </c>
      <c r="H2476" s="295"/>
      <c r="I2476" s="295"/>
      <c r="J2476" s="295"/>
      <c r="K2476" s="295"/>
      <c r="L2476" s="295"/>
      <c r="M2476" s="295"/>
      <c r="N2476" s="295"/>
      <c r="O2476" s="295"/>
      <c r="P2476" s="295"/>
      <c r="Q2476" s="295"/>
      <c r="R2476" s="295"/>
      <c r="S2476" s="190" t="s">
        <v>369</v>
      </c>
      <c r="T2476" s="43">
        <f t="shared" si="61"/>
        <v>5</v>
      </c>
      <c r="U2476" s="167">
        <f t="shared" si="55"/>
        <v>45783</v>
      </c>
      <c r="V2476" s="145">
        <v>45783</v>
      </c>
      <c r="W2476" s="43">
        <f t="shared" si="56"/>
        <v>5</v>
      </c>
      <c r="X2476" s="43"/>
      <c r="Y2476" s="43"/>
      <c r="Z2476" s="43"/>
      <c r="AA2476" s="43"/>
      <c r="AB2476" s="43"/>
    </row>
    <row r="2477" spans="1:28" ht="14.25" customHeight="1">
      <c r="A2477" s="163" t="s">
        <v>1017</v>
      </c>
      <c r="B2477" s="164">
        <v>45784</v>
      </c>
      <c r="C2477" s="163" t="s">
        <v>91</v>
      </c>
      <c r="D2477" s="163" t="s">
        <v>281</v>
      </c>
      <c r="E2477" s="163" t="s">
        <v>18</v>
      </c>
      <c r="F2477" s="168">
        <v>-3127.76</v>
      </c>
      <c r="G2477" s="165">
        <f t="shared" si="52"/>
        <v>-826830.95233333367</v>
      </c>
      <c r="H2477" s="295"/>
      <c r="I2477" s="295"/>
      <c r="J2477" s="295"/>
      <c r="K2477" s="295"/>
      <c r="L2477" s="295"/>
      <c r="M2477" s="295"/>
      <c r="N2477" s="295"/>
      <c r="O2477" s="295"/>
      <c r="P2477" s="295"/>
      <c r="Q2477" s="295"/>
      <c r="R2477" s="295"/>
      <c r="S2477" s="190"/>
      <c r="T2477" s="43">
        <f t="shared" si="61"/>
        <v>5</v>
      </c>
      <c r="U2477" s="167">
        <f t="shared" si="55"/>
        <v>45783</v>
      </c>
      <c r="V2477" s="145">
        <v>45783</v>
      </c>
      <c r="W2477" s="43">
        <f t="shared" si="56"/>
        <v>5</v>
      </c>
      <c r="X2477" s="43"/>
      <c r="Y2477" s="43"/>
      <c r="Z2477" s="43"/>
      <c r="AA2477" s="43"/>
      <c r="AB2477" s="43"/>
    </row>
    <row r="2478" spans="1:28" ht="14.25" customHeight="1">
      <c r="A2478" s="163" t="s">
        <v>1017</v>
      </c>
      <c r="B2478" s="164">
        <v>45784</v>
      </c>
      <c r="C2478" s="163" t="s">
        <v>1783</v>
      </c>
      <c r="D2478" s="163" t="s">
        <v>281</v>
      </c>
      <c r="E2478" s="163" t="s">
        <v>18</v>
      </c>
      <c r="F2478" s="168">
        <v>-2428.81</v>
      </c>
      <c r="G2478" s="165">
        <f t="shared" si="52"/>
        <v>-829259.76233333373</v>
      </c>
      <c r="H2478" s="295"/>
      <c r="I2478" s="295"/>
      <c r="J2478" s="295"/>
      <c r="K2478" s="295"/>
      <c r="L2478" s="295"/>
      <c r="M2478" s="295"/>
      <c r="N2478" s="295"/>
      <c r="O2478" s="295"/>
      <c r="P2478" s="295"/>
      <c r="Q2478" s="295"/>
      <c r="R2478" s="295"/>
      <c r="S2478" s="190"/>
      <c r="T2478" s="43">
        <f t="shared" si="61"/>
        <v>5</v>
      </c>
      <c r="U2478" s="167">
        <f t="shared" si="55"/>
        <v>45783</v>
      </c>
      <c r="V2478" s="145">
        <v>45783</v>
      </c>
      <c r="W2478" s="43">
        <f t="shared" si="56"/>
        <v>5</v>
      </c>
      <c r="X2478" s="43"/>
      <c r="Y2478" s="43"/>
      <c r="Z2478" s="43"/>
      <c r="AA2478" s="43"/>
      <c r="AB2478" s="43"/>
    </row>
    <row r="2479" spans="1:28" ht="14.25" customHeight="1">
      <c r="A2479" s="163" t="s">
        <v>1017</v>
      </c>
      <c r="B2479" s="164">
        <v>45784</v>
      </c>
      <c r="C2479" s="163" t="s">
        <v>1784</v>
      </c>
      <c r="D2479" s="163" t="s">
        <v>281</v>
      </c>
      <c r="E2479" s="163" t="s">
        <v>18</v>
      </c>
      <c r="F2479" s="168">
        <v>-3837.77</v>
      </c>
      <c r="G2479" s="165">
        <f t="shared" si="52"/>
        <v>-833097.53233333374</v>
      </c>
      <c r="H2479" s="295"/>
      <c r="I2479" s="295"/>
      <c r="J2479" s="295"/>
      <c r="K2479" s="295"/>
      <c r="L2479" s="295"/>
      <c r="M2479" s="295"/>
      <c r="N2479" s="295"/>
      <c r="O2479" s="295"/>
      <c r="P2479" s="295"/>
      <c r="Q2479" s="295"/>
      <c r="R2479" s="295"/>
      <c r="S2479" s="190" t="s">
        <v>1016</v>
      </c>
      <c r="T2479" s="43">
        <f t="shared" si="61"/>
        <v>5</v>
      </c>
      <c r="U2479" s="167">
        <f t="shared" si="55"/>
        <v>45783</v>
      </c>
      <c r="V2479" s="145">
        <v>45783</v>
      </c>
      <c r="W2479" s="43">
        <f t="shared" si="56"/>
        <v>5</v>
      </c>
      <c r="X2479" s="43"/>
      <c r="Y2479" s="43"/>
      <c r="Z2479" s="43"/>
      <c r="AA2479" s="43"/>
      <c r="AB2479" s="43"/>
    </row>
    <row r="2480" spans="1:28" ht="14.25" hidden="1" customHeight="1">
      <c r="A2480" s="163" t="s">
        <v>1017</v>
      </c>
      <c r="B2480" s="164">
        <v>45784</v>
      </c>
      <c r="C2480" s="163" t="s">
        <v>1008</v>
      </c>
      <c r="D2480" s="163" t="s">
        <v>281</v>
      </c>
      <c r="E2480" s="163" t="s">
        <v>199</v>
      </c>
      <c r="F2480" s="168">
        <v>-2000</v>
      </c>
      <c r="G2480" s="165">
        <f t="shared" si="52"/>
        <v>-835097.53233333374</v>
      </c>
      <c r="H2480" s="295"/>
      <c r="I2480" s="295"/>
      <c r="J2480" s="295"/>
      <c r="K2480" s="295"/>
      <c r="L2480" s="295"/>
      <c r="M2480" s="295"/>
      <c r="N2480" s="295"/>
      <c r="O2480" s="295"/>
      <c r="P2480" s="295"/>
      <c r="Q2480" s="295"/>
      <c r="R2480" s="295"/>
      <c r="S2480" s="190"/>
      <c r="T2480" s="43">
        <f t="shared" si="61"/>
        <v>5</v>
      </c>
      <c r="U2480" s="167">
        <f t="shared" si="55"/>
        <v>45783</v>
      </c>
      <c r="V2480" s="145">
        <v>45783</v>
      </c>
      <c r="W2480" s="43">
        <f t="shared" si="56"/>
        <v>5</v>
      </c>
      <c r="X2480" s="43"/>
      <c r="Y2480" s="43"/>
      <c r="Z2480" s="43"/>
      <c r="AA2480" s="43"/>
      <c r="AB2480" s="43"/>
    </row>
    <row r="2481" spans="1:28" ht="14.25" customHeight="1">
      <c r="A2481" s="163" t="s">
        <v>1017</v>
      </c>
      <c r="B2481" s="164">
        <v>45784</v>
      </c>
      <c r="C2481" s="163" t="s">
        <v>113</v>
      </c>
      <c r="D2481" s="163" t="s">
        <v>281</v>
      </c>
      <c r="E2481" s="163" t="s">
        <v>18</v>
      </c>
      <c r="F2481" s="168">
        <v>-1615.27</v>
      </c>
      <c r="G2481" s="165">
        <f t="shared" si="52"/>
        <v>-836712.80233333376</v>
      </c>
      <c r="H2481" s="295"/>
      <c r="I2481" s="295"/>
      <c r="J2481" s="295"/>
      <c r="K2481" s="295"/>
      <c r="L2481" s="295"/>
      <c r="M2481" s="295"/>
      <c r="N2481" s="295"/>
      <c r="O2481" s="295"/>
      <c r="P2481" s="295"/>
      <c r="Q2481" s="295"/>
      <c r="R2481" s="295"/>
      <c r="S2481" s="190" t="s">
        <v>1291</v>
      </c>
      <c r="T2481" s="43">
        <f t="shared" si="61"/>
        <v>5</v>
      </c>
      <c r="U2481" s="167">
        <f t="shared" si="55"/>
        <v>45783</v>
      </c>
      <c r="V2481" s="145">
        <v>45783</v>
      </c>
      <c r="W2481" s="43">
        <f t="shared" si="56"/>
        <v>5</v>
      </c>
      <c r="X2481" s="43"/>
      <c r="Y2481" s="43"/>
      <c r="Z2481" s="43"/>
      <c r="AA2481" s="43"/>
      <c r="AB2481" s="43"/>
    </row>
    <row r="2482" spans="1:28" ht="14.25" customHeight="1">
      <c r="A2482" s="163" t="s">
        <v>1017</v>
      </c>
      <c r="B2482" s="164">
        <v>45784</v>
      </c>
      <c r="C2482" s="163" t="s">
        <v>1763</v>
      </c>
      <c r="D2482" s="163" t="s">
        <v>281</v>
      </c>
      <c r="E2482" s="163" t="s">
        <v>18</v>
      </c>
      <c r="F2482" s="168">
        <v>-812.8</v>
      </c>
      <c r="G2482" s="165">
        <f t="shared" si="52"/>
        <v>-837525.60233333381</v>
      </c>
      <c r="H2482" s="295"/>
      <c r="I2482" s="295"/>
      <c r="J2482" s="295"/>
      <c r="K2482" s="295"/>
      <c r="L2482" s="295"/>
      <c r="M2482" s="295"/>
      <c r="N2482" s="295"/>
      <c r="O2482" s="295"/>
      <c r="P2482" s="295"/>
      <c r="Q2482" s="295"/>
      <c r="R2482" s="295"/>
      <c r="S2482" s="190" t="s">
        <v>1857</v>
      </c>
      <c r="T2482" s="43">
        <f t="shared" si="61"/>
        <v>5</v>
      </c>
      <c r="U2482" s="167">
        <f t="shared" si="55"/>
        <v>45783</v>
      </c>
      <c r="V2482" s="145">
        <v>45783</v>
      </c>
      <c r="W2482" s="43">
        <f t="shared" si="56"/>
        <v>5</v>
      </c>
      <c r="X2482" s="43"/>
      <c r="Y2482" s="43"/>
      <c r="Z2482" s="43"/>
      <c r="AA2482" s="43"/>
      <c r="AB2482" s="43"/>
    </row>
    <row r="2483" spans="1:28" ht="14.25" customHeight="1">
      <c r="A2483" s="163" t="s">
        <v>1017</v>
      </c>
      <c r="B2483" s="164">
        <v>45784</v>
      </c>
      <c r="C2483" s="163" t="s">
        <v>664</v>
      </c>
      <c r="D2483" s="163" t="s">
        <v>281</v>
      </c>
      <c r="E2483" s="163" t="s">
        <v>18</v>
      </c>
      <c r="F2483" s="168">
        <v>-5000</v>
      </c>
      <c r="G2483" s="165">
        <f t="shared" si="52"/>
        <v>-842525.60233333381</v>
      </c>
      <c r="H2483" s="295"/>
      <c r="I2483" s="295"/>
      <c r="J2483" s="295"/>
      <c r="K2483" s="295"/>
      <c r="L2483" s="295"/>
      <c r="M2483" s="295"/>
      <c r="N2483" s="295"/>
      <c r="O2483" s="295"/>
      <c r="P2483" s="295"/>
      <c r="Q2483" s="295"/>
      <c r="R2483" s="295"/>
      <c r="S2483" s="190" t="s">
        <v>991</v>
      </c>
      <c r="T2483" s="43">
        <f t="shared" si="61"/>
        <v>5</v>
      </c>
      <c r="U2483" s="167">
        <f t="shared" si="55"/>
        <v>45783</v>
      </c>
      <c r="V2483" s="145">
        <v>45783</v>
      </c>
      <c r="W2483" s="43">
        <f t="shared" si="56"/>
        <v>5</v>
      </c>
      <c r="X2483" s="43"/>
      <c r="Y2483" s="43"/>
      <c r="Z2483" s="43"/>
      <c r="AA2483" s="43"/>
      <c r="AB2483" s="43"/>
    </row>
    <row r="2484" spans="1:28" ht="14.25" hidden="1" customHeight="1">
      <c r="A2484" s="163"/>
      <c r="B2484" s="164">
        <v>45784</v>
      </c>
      <c r="C2484" s="163" t="s">
        <v>346</v>
      </c>
      <c r="D2484" s="163"/>
      <c r="E2484" s="163"/>
      <c r="F2484" s="165">
        <v>0</v>
      </c>
      <c r="G2484" s="165">
        <f t="shared" si="52"/>
        <v>-842525.60233333381</v>
      </c>
      <c r="H2484" s="295"/>
      <c r="I2484" s="295"/>
      <c r="J2484" s="295"/>
      <c r="K2484" s="295"/>
      <c r="L2484" s="295"/>
      <c r="M2484" s="295"/>
      <c r="N2484" s="295"/>
      <c r="O2484" s="295"/>
      <c r="P2484" s="295"/>
      <c r="Q2484" s="295"/>
      <c r="R2484" s="295"/>
      <c r="S2484" s="190" t="s">
        <v>354</v>
      </c>
      <c r="T2484" s="43">
        <f t="shared" si="61"/>
        <v>5</v>
      </c>
      <c r="U2484" s="167">
        <f t="shared" si="55"/>
        <v>45784</v>
      </c>
      <c r="V2484" s="145"/>
      <c r="W2484" s="43">
        <f t="shared" si="56"/>
        <v>5</v>
      </c>
      <c r="X2484" s="43"/>
      <c r="Y2484" s="43"/>
      <c r="Z2484" s="43"/>
      <c r="AA2484" s="43"/>
      <c r="AB2484" s="43"/>
    </row>
    <row r="2485" spans="1:28" ht="14.25" hidden="1" customHeight="1">
      <c r="A2485" s="163" t="s">
        <v>1017</v>
      </c>
      <c r="B2485" s="164">
        <v>45785</v>
      </c>
      <c r="C2485" s="163" t="s">
        <v>698</v>
      </c>
      <c r="D2485" s="163" t="s">
        <v>281</v>
      </c>
      <c r="E2485" s="163" t="s">
        <v>199</v>
      </c>
      <c r="F2485" s="168">
        <v>-949</v>
      </c>
      <c r="G2485" s="165">
        <f t="shared" si="52"/>
        <v>-843474.60233333381</v>
      </c>
      <c r="H2485" s="295"/>
      <c r="I2485" s="295"/>
      <c r="J2485" s="295"/>
      <c r="K2485" s="295"/>
      <c r="L2485" s="295"/>
      <c r="M2485" s="295"/>
      <c r="N2485" s="295"/>
      <c r="O2485" s="295"/>
      <c r="P2485" s="295"/>
      <c r="Q2485" s="295"/>
      <c r="R2485" s="295"/>
      <c r="S2485" s="190" t="s">
        <v>1858</v>
      </c>
      <c r="T2485" s="43">
        <f t="shared" si="61"/>
        <v>5</v>
      </c>
      <c r="U2485" s="167">
        <f t="shared" si="55"/>
        <v>45785</v>
      </c>
      <c r="V2485" s="145"/>
      <c r="W2485" s="43">
        <f t="shared" si="56"/>
        <v>5</v>
      </c>
      <c r="X2485" s="43"/>
      <c r="Y2485" s="43"/>
      <c r="Z2485" s="43"/>
      <c r="AA2485" s="43"/>
      <c r="AB2485" s="43"/>
    </row>
    <row r="2486" spans="1:28" ht="14.25" hidden="1" customHeight="1">
      <c r="A2486" s="163"/>
      <c r="B2486" s="164">
        <v>45785</v>
      </c>
      <c r="C2486" s="163" t="s">
        <v>346</v>
      </c>
      <c r="D2486" s="163"/>
      <c r="E2486" s="163"/>
      <c r="F2486" s="165">
        <v>0</v>
      </c>
      <c r="G2486" s="165">
        <f t="shared" si="52"/>
        <v>-843474.60233333381</v>
      </c>
      <c r="H2486" s="295"/>
      <c r="I2486" s="295"/>
      <c r="J2486" s="295"/>
      <c r="K2486" s="295"/>
      <c r="L2486" s="295"/>
      <c r="M2486" s="295"/>
      <c r="N2486" s="295"/>
      <c r="O2486" s="295"/>
      <c r="P2486" s="295"/>
      <c r="Q2486" s="295"/>
      <c r="R2486" s="295"/>
      <c r="S2486" s="190" t="s">
        <v>1278</v>
      </c>
      <c r="T2486" s="43">
        <f t="shared" si="61"/>
        <v>5</v>
      </c>
      <c r="U2486" s="167">
        <f t="shared" si="55"/>
        <v>45785</v>
      </c>
      <c r="V2486" s="145"/>
      <c r="W2486" s="43">
        <f t="shared" si="56"/>
        <v>5</v>
      </c>
      <c r="X2486" s="43"/>
      <c r="Y2486" s="43"/>
      <c r="Z2486" s="43"/>
      <c r="AA2486" s="43"/>
      <c r="AB2486" s="43"/>
    </row>
    <row r="2487" spans="1:28" ht="14.25" hidden="1" customHeight="1">
      <c r="A2487" s="163" t="s">
        <v>1017</v>
      </c>
      <c r="B2487" s="164">
        <v>45786</v>
      </c>
      <c r="C2487" s="163" t="s">
        <v>23</v>
      </c>
      <c r="D2487" s="163" t="s">
        <v>281</v>
      </c>
      <c r="E2487" s="163" t="s">
        <v>23</v>
      </c>
      <c r="F2487" s="168">
        <v>-8109.4</v>
      </c>
      <c r="G2487" s="165">
        <f t="shared" si="52"/>
        <v>-851584.00233333383</v>
      </c>
      <c r="H2487" s="295"/>
      <c r="I2487" s="295"/>
      <c r="J2487" s="295"/>
      <c r="K2487" s="295"/>
      <c r="L2487" s="295"/>
      <c r="M2487" s="295"/>
      <c r="N2487" s="295"/>
      <c r="O2487" s="295"/>
      <c r="P2487" s="295"/>
      <c r="Q2487" s="295"/>
      <c r="R2487" s="295"/>
      <c r="S2487" s="190" t="s">
        <v>1278</v>
      </c>
      <c r="T2487" s="43">
        <f t="shared" si="61"/>
        <v>5</v>
      </c>
      <c r="U2487" s="167">
        <f t="shared" si="55"/>
        <v>45786</v>
      </c>
      <c r="V2487" s="145"/>
      <c r="W2487" s="43">
        <f t="shared" si="56"/>
        <v>5</v>
      </c>
      <c r="X2487" s="43"/>
      <c r="Y2487" s="43"/>
      <c r="Z2487" s="43"/>
      <c r="AA2487" s="43"/>
      <c r="AB2487" s="43"/>
    </row>
    <row r="2488" spans="1:28" ht="14.25" hidden="1" customHeight="1">
      <c r="A2488" s="163" t="s">
        <v>1017</v>
      </c>
      <c r="B2488" s="164">
        <v>45786</v>
      </c>
      <c r="C2488" s="163" t="s">
        <v>673</v>
      </c>
      <c r="D2488" s="163" t="s">
        <v>281</v>
      </c>
      <c r="E2488" s="163" t="s">
        <v>202</v>
      </c>
      <c r="F2488" s="168">
        <v>-2500</v>
      </c>
      <c r="G2488" s="165">
        <f t="shared" si="52"/>
        <v>-854084.00233333383</v>
      </c>
      <c r="H2488" s="295"/>
      <c r="I2488" s="295"/>
      <c r="J2488" s="295"/>
      <c r="K2488" s="295"/>
      <c r="L2488" s="295"/>
      <c r="M2488" s="295"/>
      <c r="N2488" s="295"/>
      <c r="O2488" s="295"/>
      <c r="P2488" s="295"/>
      <c r="Q2488" s="295"/>
      <c r="R2488" s="295"/>
      <c r="S2488" s="190" t="s">
        <v>1278</v>
      </c>
      <c r="T2488" s="43">
        <f t="shared" si="61"/>
        <v>5</v>
      </c>
      <c r="U2488" s="167">
        <f t="shared" si="55"/>
        <v>45786</v>
      </c>
      <c r="V2488" s="145"/>
      <c r="W2488" s="43">
        <f t="shared" si="56"/>
        <v>5</v>
      </c>
      <c r="X2488" s="43"/>
      <c r="Y2488" s="43"/>
      <c r="Z2488" s="43"/>
      <c r="AA2488" s="43"/>
      <c r="AB2488" s="43"/>
    </row>
    <row r="2489" spans="1:28" ht="14.25" hidden="1" customHeight="1">
      <c r="A2489" s="163" t="s">
        <v>1017</v>
      </c>
      <c r="B2489" s="164">
        <v>45786</v>
      </c>
      <c r="C2489" s="163" t="s">
        <v>685</v>
      </c>
      <c r="D2489" s="163" t="s">
        <v>281</v>
      </c>
      <c r="E2489" s="163" t="s">
        <v>202</v>
      </c>
      <c r="F2489" s="168">
        <v>-3500</v>
      </c>
      <c r="G2489" s="165">
        <f t="shared" si="52"/>
        <v>-857584.00233333383</v>
      </c>
      <c r="H2489" s="295"/>
      <c r="I2489" s="295"/>
      <c r="J2489" s="295"/>
      <c r="K2489" s="295"/>
      <c r="L2489" s="295"/>
      <c r="M2489" s="295"/>
      <c r="N2489" s="295"/>
      <c r="O2489" s="295"/>
      <c r="P2489" s="295"/>
      <c r="Q2489" s="295"/>
      <c r="R2489" s="295"/>
      <c r="S2489" s="190" t="s">
        <v>1278</v>
      </c>
      <c r="T2489" s="43">
        <f t="shared" si="61"/>
        <v>5</v>
      </c>
      <c r="U2489" s="167">
        <f t="shared" si="55"/>
        <v>45786</v>
      </c>
      <c r="V2489" s="145"/>
      <c r="W2489" s="43">
        <f t="shared" si="56"/>
        <v>5</v>
      </c>
      <c r="X2489" s="43"/>
      <c r="Y2489" s="43"/>
      <c r="Z2489" s="43"/>
      <c r="AA2489" s="43"/>
      <c r="AB2489" s="43"/>
    </row>
    <row r="2490" spans="1:28" ht="14.25" hidden="1" customHeight="1">
      <c r="A2490" s="163" t="s">
        <v>1017</v>
      </c>
      <c r="B2490" s="164">
        <v>45786</v>
      </c>
      <c r="C2490" s="163" t="s">
        <v>690</v>
      </c>
      <c r="D2490" s="163" t="s">
        <v>281</v>
      </c>
      <c r="E2490" s="163" t="s">
        <v>202</v>
      </c>
      <c r="F2490" s="168">
        <v>-3000</v>
      </c>
      <c r="G2490" s="165">
        <f t="shared" si="52"/>
        <v>-860584.00233333383</v>
      </c>
      <c r="H2490" s="295"/>
      <c r="I2490" s="295"/>
      <c r="J2490" s="295"/>
      <c r="K2490" s="295"/>
      <c r="L2490" s="295"/>
      <c r="M2490" s="295"/>
      <c r="N2490" s="295"/>
      <c r="O2490" s="295"/>
      <c r="P2490" s="295"/>
      <c r="Q2490" s="295"/>
      <c r="R2490" s="295"/>
      <c r="S2490" s="190" t="s">
        <v>1278</v>
      </c>
      <c r="T2490" s="43">
        <f t="shared" si="61"/>
        <v>5</v>
      </c>
      <c r="U2490" s="167">
        <f t="shared" si="55"/>
        <v>45786</v>
      </c>
      <c r="V2490" s="145"/>
      <c r="W2490" s="43">
        <f t="shared" si="56"/>
        <v>5</v>
      </c>
      <c r="X2490" s="43"/>
      <c r="Y2490" s="43"/>
      <c r="Z2490" s="43"/>
      <c r="AA2490" s="43"/>
      <c r="AB2490" s="43"/>
    </row>
    <row r="2491" spans="1:28" ht="14.25" hidden="1" customHeight="1">
      <c r="A2491" s="163" t="s">
        <v>1017</v>
      </c>
      <c r="B2491" s="164">
        <v>45786</v>
      </c>
      <c r="C2491" s="163" t="s">
        <v>154</v>
      </c>
      <c r="D2491" s="163" t="s">
        <v>281</v>
      </c>
      <c r="E2491" s="163" t="s">
        <v>202</v>
      </c>
      <c r="F2491" s="168">
        <v>-3500</v>
      </c>
      <c r="G2491" s="165">
        <f t="shared" si="52"/>
        <v>-864084.00233333383</v>
      </c>
      <c r="H2491" s="295"/>
      <c r="I2491" s="295"/>
      <c r="J2491" s="295"/>
      <c r="K2491" s="295"/>
      <c r="L2491" s="295"/>
      <c r="M2491" s="295"/>
      <c r="N2491" s="295"/>
      <c r="O2491" s="295"/>
      <c r="P2491" s="295"/>
      <c r="Q2491" s="295"/>
      <c r="R2491" s="295"/>
      <c r="S2491" s="190" t="s">
        <v>329</v>
      </c>
      <c r="T2491" s="43">
        <f t="shared" si="61"/>
        <v>5</v>
      </c>
      <c r="U2491" s="167">
        <f t="shared" si="55"/>
        <v>45786</v>
      </c>
      <c r="V2491" s="145"/>
      <c r="W2491" s="43">
        <f t="shared" si="56"/>
        <v>5</v>
      </c>
      <c r="X2491" s="43"/>
      <c r="Y2491" s="43"/>
      <c r="Z2491" s="43"/>
      <c r="AA2491" s="43"/>
      <c r="AB2491" s="43"/>
    </row>
    <row r="2492" spans="1:28" ht="14.25" hidden="1" customHeight="1">
      <c r="A2492" s="163" t="s">
        <v>1017</v>
      </c>
      <c r="B2492" s="164">
        <v>45786</v>
      </c>
      <c r="C2492" s="163" t="s">
        <v>704</v>
      </c>
      <c r="D2492" s="163" t="s">
        <v>281</v>
      </c>
      <c r="E2492" s="163" t="s">
        <v>202</v>
      </c>
      <c r="F2492" s="168">
        <v>-4000</v>
      </c>
      <c r="G2492" s="165">
        <f t="shared" si="52"/>
        <v>-868084.00233333383</v>
      </c>
      <c r="H2492" s="295"/>
      <c r="I2492" s="295"/>
      <c r="J2492" s="295"/>
      <c r="K2492" s="295"/>
      <c r="L2492" s="295"/>
      <c r="M2492" s="295"/>
      <c r="N2492" s="295"/>
      <c r="O2492" s="295"/>
      <c r="P2492" s="295"/>
      <c r="Q2492" s="295"/>
      <c r="R2492" s="295"/>
      <c r="S2492" s="190" t="s">
        <v>1156</v>
      </c>
      <c r="T2492" s="43">
        <f t="shared" si="61"/>
        <v>5</v>
      </c>
      <c r="U2492" s="167">
        <f t="shared" si="55"/>
        <v>45786</v>
      </c>
      <c r="V2492" s="145"/>
      <c r="W2492" s="43">
        <f t="shared" si="56"/>
        <v>5</v>
      </c>
      <c r="X2492" s="43"/>
      <c r="Y2492" s="43"/>
      <c r="Z2492" s="43"/>
      <c r="AA2492" s="43"/>
      <c r="AB2492" s="43"/>
    </row>
    <row r="2493" spans="1:28" ht="14.25" hidden="1" customHeight="1">
      <c r="A2493" s="163" t="s">
        <v>1017</v>
      </c>
      <c r="B2493" s="164">
        <v>45786</v>
      </c>
      <c r="C2493" s="163" t="s">
        <v>708</v>
      </c>
      <c r="D2493" s="163" t="s">
        <v>281</v>
      </c>
      <c r="E2493" s="163" t="s">
        <v>202</v>
      </c>
      <c r="F2493" s="168">
        <v>-8000</v>
      </c>
      <c r="G2493" s="165">
        <f t="shared" si="52"/>
        <v>-876084.00233333383</v>
      </c>
      <c r="H2493" s="295"/>
      <c r="I2493" s="295"/>
      <c r="J2493" s="295"/>
      <c r="K2493" s="295"/>
      <c r="L2493" s="295"/>
      <c r="M2493" s="295"/>
      <c r="N2493" s="295"/>
      <c r="O2493" s="295"/>
      <c r="P2493" s="295"/>
      <c r="Q2493" s="295"/>
      <c r="R2493" s="295"/>
      <c r="S2493" s="190" t="s">
        <v>375</v>
      </c>
      <c r="T2493" s="43">
        <f t="shared" si="61"/>
        <v>5</v>
      </c>
      <c r="U2493" s="167">
        <f t="shared" si="55"/>
        <v>45786</v>
      </c>
      <c r="V2493" s="145"/>
      <c r="W2493" s="43">
        <f t="shared" si="56"/>
        <v>5</v>
      </c>
      <c r="X2493" s="43"/>
      <c r="Y2493" s="43"/>
      <c r="Z2493" s="43"/>
      <c r="AA2493" s="43"/>
      <c r="AB2493" s="43"/>
    </row>
    <row r="2494" spans="1:28" ht="14.25" hidden="1" customHeight="1">
      <c r="A2494" s="163" t="s">
        <v>1017</v>
      </c>
      <c r="B2494" s="164">
        <v>45786</v>
      </c>
      <c r="C2494" s="163" t="s">
        <v>1371</v>
      </c>
      <c r="D2494" s="163" t="s">
        <v>281</v>
      </c>
      <c r="E2494" s="163" t="s">
        <v>199</v>
      </c>
      <c r="F2494" s="168">
        <v>-140</v>
      </c>
      <c r="G2494" s="165">
        <f t="shared" si="52"/>
        <v>-876224.00233333383</v>
      </c>
      <c r="H2494" s="295"/>
      <c r="I2494" s="295"/>
      <c r="J2494" s="295"/>
      <c r="K2494" s="295"/>
      <c r="L2494" s="295"/>
      <c r="M2494" s="295"/>
      <c r="N2494" s="295"/>
      <c r="O2494" s="295"/>
      <c r="P2494" s="295"/>
      <c r="Q2494" s="295"/>
      <c r="R2494" s="295"/>
      <c r="S2494" s="190"/>
      <c r="T2494" s="43">
        <f t="shared" si="61"/>
        <v>5</v>
      </c>
      <c r="U2494" s="167">
        <f t="shared" si="55"/>
        <v>45786</v>
      </c>
      <c r="V2494" s="145"/>
      <c r="W2494" s="43">
        <f t="shared" si="56"/>
        <v>5</v>
      </c>
      <c r="X2494" s="43"/>
      <c r="Y2494" s="43"/>
      <c r="Z2494" s="43"/>
      <c r="AA2494" s="43"/>
      <c r="AB2494" s="43"/>
    </row>
    <row r="2495" spans="1:28" ht="14.25" hidden="1" customHeight="1">
      <c r="A2495" s="163" t="s">
        <v>1017</v>
      </c>
      <c r="B2495" s="164">
        <v>45786</v>
      </c>
      <c r="C2495" s="163" t="s">
        <v>1527</v>
      </c>
      <c r="D2495" s="163" t="s">
        <v>281</v>
      </c>
      <c r="E2495" s="163" t="s">
        <v>202</v>
      </c>
      <c r="F2495" s="168">
        <v>-10000</v>
      </c>
      <c r="G2495" s="165">
        <f t="shared" si="52"/>
        <v>-886224.00233333383</v>
      </c>
      <c r="H2495" s="295"/>
      <c r="I2495" s="295"/>
      <c r="J2495" s="295"/>
      <c r="K2495" s="295"/>
      <c r="L2495" s="295"/>
      <c r="M2495" s="295"/>
      <c r="N2495" s="295"/>
      <c r="O2495" s="295"/>
      <c r="P2495" s="295"/>
      <c r="Q2495" s="295"/>
      <c r="R2495" s="295"/>
      <c r="S2495" s="190"/>
      <c r="T2495" s="43">
        <f t="shared" si="61"/>
        <v>5</v>
      </c>
      <c r="U2495" s="167">
        <f t="shared" si="55"/>
        <v>45786</v>
      </c>
      <c r="V2495" s="145"/>
      <c r="W2495" s="43">
        <f t="shared" si="56"/>
        <v>5</v>
      </c>
      <c r="X2495" s="43"/>
      <c r="Y2495" s="43"/>
      <c r="Z2495" s="43"/>
      <c r="AA2495" s="43"/>
      <c r="AB2495" s="43"/>
    </row>
    <row r="2496" spans="1:28" ht="14.25" hidden="1" customHeight="1">
      <c r="A2496" s="163" t="s">
        <v>1017</v>
      </c>
      <c r="B2496" s="164">
        <v>45786</v>
      </c>
      <c r="C2496" s="163" t="s">
        <v>1805</v>
      </c>
      <c r="D2496" s="163" t="s">
        <v>281</v>
      </c>
      <c r="E2496" s="163" t="s">
        <v>202</v>
      </c>
      <c r="F2496" s="168">
        <v>-6000</v>
      </c>
      <c r="G2496" s="165">
        <f t="shared" si="52"/>
        <v>-892224.00233333383</v>
      </c>
      <c r="H2496" s="295"/>
      <c r="I2496" s="295"/>
      <c r="J2496" s="295"/>
      <c r="K2496" s="295"/>
      <c r="L2496" s="295"/>
      <c r="M2496" s="295"/>
      <c r="N2496" s="295"/>
      <c r="O2496" s="295"/>
      <c r="P2496" s="295"/>
      <c r="Q2496" s="295"/>
      <c r="R2496" s="295"/>
      <c r="S2496" s="190" t="s">
        <v>413</v>
      </c>
      <c r="T2496" s="43">
        <f t="shared" si="61"/>
        <v>5</v>
      </c>
      <c r="U2496" s="167">
        <f t="shared" si="55"/>
        <v>45786</v>
      </c>
      <c r="V2496" s="145"/>
      <c r="W2496" s="43">
        <f t="shared" si="56"/>
        <v>5</v>
      </c>
      <c r="X2496" s="43"/>
      <c r="Y2496" s="43"/>
      <c r="Z2496" s="43"/>
      <c r="AA2496" s="43"/>
      <c r="AB2496" s="43"/>
    </row>
    <row r="2497" spans="1:28" ht="14.25" hidden="1" customHeight="1">
      <c r="A2497" s="163" t="s">
        <v>1017</v>
      </c>
      <c r="B2497" s="164">
        <v>45786</v>
      </c>
      <c r="C2497" s="163" t="s">
        <v>1010</v>
      </c>
      <c r="D2497" s="163" t="s">
        <v>281</v>
      </c>
      <c r="E2497" s="163" t="s">
        <v>199</v>
      </c>
      <c r="F2497" s="168">
        <v>-2500</v>
      </c>
      <c r="G2497" s="165">
        <f t="shared" si="52"/>
        <v>-894724.00233333383</v>
      </c>
      <c r="H2497" s="295"/>
      <c r="I2497" s="295"/>
      <c r="J2497" s="295"/>
      <c r="K2497" s="295"/>
      <c r="L2497" s="295"/>
      <c r="M2497" s="295"/>
      <c r="N2497" s="295"/>
      <c r="O2497" s="295"/>
      <c r="P2497" s="295"/>
      <c r="Q2497" s="295"/>
      <c r="R2497" s="295"/>
      <c r="S2497" s="190" t="s">
        <v>656</v>
      </c>
      <c r="T2497" s="43">
        <f t="shared" si="61"/>
        <v>5</v>
      </c>
      <c r="U2497" s="167">
        <f t="shared" si="55"/>
        <v>45786</v>
      </c>
      <c r="V2497" s="145"/>
      <c r="W2497" s="43">
        <f t="shared" si="56"/>
        <v>5</v>
      </c>
      <c r="X2497" s="43"/>
      <c r="Y2497" s="43"/>
      <c r="Z2497" s="43"/>
      <c r="AA2497" s="43"/>
      <c r="AB2497" s="43"/>
    </row>
    <row r="2498" spans="1:28" ht="14.25" hidden="1" customHeight="1">
      <c r="A2498" s="163" t="s">
        <v>1017</v>
      </c>
      <c r="B2498" s="164">
        <v>45786</v>
      </c>
      <c r="C2498" s="163" t="s">
        <v>1859</v>
      </c>
      <c r="D2498" s="163" t="s">
        <v>281</v>
      </c>
      <c r="E2498" s="163" t="s">
        <v>202</v>
      </c>
      <c r="F2498" s="168">
        <v>-5000</v>
      </c>
      <c r="G2498" s="165">
        <f t="shared" si="52"/>
        <v>-899724.00233333383</v>
      </c>
      <c r="H2498" s="295"/>
      <c r="I2498" s="295"/>
      <c r="J2498" s="295"/>
      <c r="K2498" s="295"/>
      <c r="L2498" s="295"/>
      <c r="M2498" s="295"/>
      <c r="N2498" s="295"/>
      <c r="O2498" s="295"/>
      <c r="P2498" s="295"/>
      <c r="Q2498" s="295"/>
      <c r="R2498" s="295"/>
      <c r="S2498" s="190" t="s">
        <v>427</v>
      </c>
      <c r="T2498" s="43">
        <f t="shared" si="61"/>
        <v>5</v>
      </c>
      <c r="U2498" s="167">
        <f t="shared" si="55"/>
        <v>45786</v>
      </c>
      <c r="V2498" s="145"/>
      <c r="W2498" s="43">
        <f t="shared" si="56"/>
        <v>5</v>
      </c>
      <c r="X2498" s="43"/>
      <c r="Y2498" s="43"/>
      <c r="Z2498" s="43"/>
      <c r="AA2498" s="43"/>
      <c r="AB2498" s="43"/>
    </row>
    <row r="2499" spans="1:28" ht="14.25" hidden="1" customHeight="1">
      <c r="A2499" s="163" t="s">
        <v>1017</v>
      </c>
      <c r="B2499" s="164">
        <v>45786</v>
      </c>
      <c r="C2499" s="163" t="s">
        <v>1804</v>
      </c>
      <c r="D2499" s="163" t="s">
        <v>281</v>
      </c>
      <c r="E2499" s="163" t="s">
        <v>1140</v>
      </c>
      <c r="F2499" s="168">
        <v>-2000</v>
      </c>
      <c r="G2499" s="165">
        <f t="shared" si="52"/>
        <v>-901724.00233333383</v>
      </c>
      <c r="H2499" s="295"/>
      <c r="I2499" s="295"/>
      <c r="J2499" s="295"/>
      <c r="K2499" s="295"/>
      <c r="L2499" s="295"/>
      <c r="M2499" s="295"/>
      <c r="N2499" s="295"/>
      <c r="O2499" s="295"/>
      <c r="P2499" s="295"/>
      <c r="Q2499" s="295"/>
      <c r="R2499" s="295"/>
      <c r="S2499" s="190" t="s">
        <v>420</v>
      </c>
      <c r="T2499" s="43">
        <f t="shared" si="61"/>
        <v>5</v>
      </c>
      <c r="U2499" s="167">
        <f t="shared" si="55"/>
        <v>45786</v>
      </c>
      <c r="V2499" s="145"/>
      <c r="W2499" s="43">
        <f t="shared" si="56"/>
        <v>5</v>
      </c>
      <c r="X2499" s="43"/>
      <c r="Y2499" s="43"/>
      <c r="Z2499" s="43"/>
      <c r="AA2499" s="43"/>
      <c r="AB2499" s="43"/>
    </row>
    <row r="2500" spans="1:28" ht="14.25" hidden="1" customHeight="1">
      <c r="A2500" s="163" t="s">
        <v>1017</v>
      </c>
      <c r="B2500" s="164">
        <v>45786</v>
      </c>
      <c r="C2500" s="163" t="s">
        <v>1804</v>
      </c>
      <c r="D2500" s="163" t="s">
        <v>281</v>
      </c>
      <c r="E2500" s="163" t="s">
        <v>1140</v>
      </c>
      <c r="F2500" s="168">
        <v>-2000</v>
      </c>
      <c r="G2500" s="165">
        <f t="shared" si="52"/>
        <v>-903724.00233333383</v>
      </c>
      <c r="H2500" s="295"/>
      <c r="I2500" s="295"/>
      <c r="J2500" s="295"/>
      <c r="K2500" s="295"/>
      <c r="L2500" s="295"/>
      <c r="M2500" s="295"/>
      <c r="N2500" s="295"/>
      <c r="O2500" s="295"/>
      <c r="P2500" s="295"/>
      <c r="Q2500" s="295"/>
      <c r="R2500" s="295"/>
      <c r="S2500" s="190" t="s">
        <v>607</v>
      </c>
      <c r="T2500" s="43">
        <f t="shared" si="61"/>
        <v>5</v>
      </c>
      <c r="U2500" s="167">
        <f t="shared" si="55"/>
        <v>45786</v>
      </c>
      <c r="V2500" s="145"/>
      <c r="W2500" s="43">
        <f t="shared" si="56"/>
        <v>5</v>
      </c>
      <c r="X2500" s="43"/>
      <c r="Y2500" s="43"/>
      <c r="Z2500" s="43"/>
      <c r="AA2500" s="43"/>
      <c r="AB2500" s="43"/>
    </row>
    <row r="2501" spans="1:28" ht="14.25" hidden="1" customHeight="1">
      <c r="A2501" s="163"/>
      <c r="B2501" s="164">
        <v>45786</v>
      </c>
      <c r="C2501" s="163" t="s">
        <v>346</v>
      </c>
      <c r="D2501" s="163"/>
      <c r="E2501" s="163"/>
      <c r="F2501" s="165">
        <v>0</v>
      </c>
      <c r="G2501" s="165">
        <f t="shared" si="52"/>
        <v>-903724.00233333383</v>
      </c>
      <c r="H2501" s="295"/>
      <c r="I2501" s="295"/>
      <c r="J2501" s="295"/>
      <c r="K2501" s="295"/>
      <c r="L2501" s="295"/>
      <c r="M2501" s="295"/>
      <c r="N2501" s="295"/>
      <c r="O2501" s="295"/>
      <c r="P2501" s="295"/>
      <c r="Q2501" s="295"/>
      <c r="R2501" s="295"/>
      <c r="S2501" s="190" t="s">
        <v>398</v>
      </c>
      <c r="T2501" s="43">
        <f t="shared" si="61"/>
        <v>5</v>
      </c>
      <c r="U2501" s="167">
        <f t="shared" si="55"/>
        <v>45786</v>
      </c>
      <c r="V2501" s="145"/>
      <c r="W2501" s="43">
        <f t="shared" si="56"/>
        <v>5</v>
      </c>
      <c r="X2501" s="43"/>
      <c r="Y2501" s="43"/>
      <c r="Z2501" s="43"/>
      <c r="AA2501" s="43"/>
      <c r="AB2501" s="43"/>
    </row>
    <row r="2502" spans="1:28" ht="14.25" hidden="1" customHeight="1">
      <c r="A2502" s="163" t="s">
        <v>1860</v>
      </c>
      <c r="B2502" s="164">
        <v>45789</v>
      </c>
      <c r="C2502" s="163" t="s">
        <v>1158</v>
      </c>
      <c r="D2502" s="163" t="s">
        <v>281</v>
      </c>
      <c r="E2502" s="163" t="s">
        <v>407</v>
      </c>
      <c r="F2502" s="165">
        <v>1545.6</v>
      </c>
      <c r="G2502" s="165">
        <f t="shared" si="52"/>
        <v>-902178.40233333386</v>
      </c>
      <c r="H2502" s="295"/>
      <c r="I2502" s="295"/>
      <c r="J2502" s="295"/>
      <c r="K2502" s="295"/>
      <c r="L2502" s="295"/>
      <c r="M2502" s="295"/>
      <c r="N2502" s="295"/>
      <c r="O2502" s="295"/>
      <c r="P2502" s="295"/>
      <c r="Q2502" s="295"/>
      <c r="R2502" s="295"/>
      <c r="S2502" s="190" t="s">
        <v>398</v>
      </c>
      <c r="T2502" s="43">
        <f t="shared" si="61"/>
        <v>5</v>
      </c>
      <c r="U2502" s="167">
        <f t="shared" si="55"/>
        <v>45789</v>
      </c>
      <c r="V2502" s="145"/>
      <c r="W2502" s="43">
        <f t="shared" si="56"/>
        <v>5</v>
      </c>
      <c r="X2502" s="43"/>
      <c r="Y2502" s="43"/>
      <c r="Z2502" s="43"/>
      <c r="AA2502" s="43"/>
      <c r="AB2502" s="43"/>
    </row>
    <row r="2503" spans="1:28" ht="14.25" hidden="1" customHeight="1">
      <c r="A2503" s="163" t="s">
        <v>1174</v>
      </c>
      <c r="B2503" s="164">
        <v>45789</v>
      </c>
      <c r="C2503" s="163" t="s">
        <v>1820</v>
      </c>
      <c r="D2503" s="163" t="s">
        <v>281</v>
      </c>
      <c r="E2503" s="163" t="s">
        <v>407</v>
      </c>
      <c r="F2503" s="165">
        <v>1799</v>
      </c>
      <c r="G2503" s="165">
        <f t="shared" si="52"/>
        <v>-900379.40233333386</v>
      </c>
      <c r="H2503" s="295"/>
      <c r="I2503" s="295"/>
      <c r="J2503" s="295"/>
      <c r="K2503" s="295"/>
      <c r="L2503" s="295"/>
      <c r="M2503" s="295"/>
      <c r="N2503" s="295"/>
      <c r="O2503" s="295"/>
      <c r="P2503" s="295"/>
      <c r="Q2503" s="295"/>
      <c r="R2503" s="295"/>
      <c r="S2503" s="190" t="s">
        <v>395</v>
      </c>
      <c r="T2503" s="43">
        <f t="shared" si="61"/>
        <v>5</v>
      </c>
      <c r="U2503" s="167">
        <f t="shared" si="55"/>
        <v>45789</v>
      </c>
      <c r="V2503" s="145"/>
      <c r="W2503" s="43">
        <f t="shared" si="56"/>
        <v>5</v>
      </c>
      <c r="X2503" s="43"/>
      <c r="Y2503" s="43"/>
      <c r="Z2503" s="43"/>
      <c r="AA2503" s="43"/>
      <c r="AB2503" s="43"/>
    </row>
    <row r="2504" spans="1:28" ht="14.25" hidden="1" customHeight="1">
      <c r="A2504" s="163" t="s">
        <v>1174</v>
      </c>
      <c r="B2504" s="164">
        <v>45789</v>
      </c>
      <c r="C2504" s="163" t="s">
        <v>1790</v>
      </c>
      <c r="D2504" s="163" t="s">
        <v>281</v>
      </c>
      <c r="E2504" s="163" t="s">
        <v>407</v>
      </c>
      <c r="F2504" s="165">
        <v>2997</v>
      </c>
      <c r="G2504" s="165">
        <f t="shared" si="52"/>
        <v>-897382.40233333386</v>
      </c>
      <c r="H2504" s="295"/>
      <c r="I2504" s="295"/>
      <c r="J2504" s="295"/>
      <c r="K2504" s="295"/>
      <c r="L2504" s="295"/>
      <c r="M2504" s="295"/>
      <c r="N2504" s="295"/>
      <c r="O2504" s="295"/>
      <c r="P2504" s="295"/>
      <c r="Q2504" s="295"/>
      <c r="R2504" s="295"/>
      <c r="S2504" s="190"/>
      <c r="T2504" s="43">
        <f t="shared" si="61"/>
        <v>5</v>
      </c>
      <c r="U2504" s="167">
        <f t="shared" si="55"/>
        <v>45789</v>
      </c>
      <c r="V2504" s="145"/>
      <c r="W2504" s="43">
        <f t="shared" si="56"/>
        <v>5</v>
      </c>
      <c r="X2504" s="43"/>
      <c r="Y2504" s="43"/>
      <c r="Z2504" s="43"/>
      <c r="AA2504" s="43"/>
      <c r="AB2504" s="43"/>
    </row>
    <row r="2505" spans="1:28" ht="14.25" hidden="1" customHeight="1">
      <c r="A2505" s="163" t="s">
        <v>1174</v>
      </c>
      <c r="B2505" s="164">
        <v>45789</v>
      </c>
      <c r="C2505" s="163" t="s">
        <v>71</v>
      </c>
      <c r="D2505" s="163" t="s">
        <v>281</v>
      </c>
      <c r="E2505" s="163" t="s">
        <v>407</v>
      </c>
      <c r="F2505" s="165">
        <v>3000</v>
      </c>
      <c r="G2505" s="165">
        <f t="shared" si="52"/>
        <v>-894382.40233333386</v>
      </c>
      <c r="H2505" s="295"/>
      <c r="I2505" s="295"/>
      <c r="J2505" s="295"/>
      <c r="K2505" s="295"/>
      <c r="L2505" s="295"/>
      <c r="M2505" s="295"/>
      <c r="N2505" s="295"/>
      <c r="O2505" s="295"/>
      <c r="P2505" s="295"/>
      <c r="Q2505" s="295"/>
      <c r="R2505" s="295"/>
      <c r="S2505" s="190" t="s">
        <v>1144</v>
      </c>
      <c r="T2505" s="43">
        <f t="shared" si="61"/>
        <v>5</v>
      </c>
      <c r="U2505" s="167">
        <f t="shared" si="55"/>
        <v>45789</v>
      </c>
      <c r="V2505" s="145"/>
      <c r="W2505" s="43">
        <f t="shared" si="56"/>
        <v>5</v>
      </c>
      <c r="X2505" s="43"/>
      <c r="Y2505" s="43"/>
      <c r="Z2505" s="43"/>
      <c r="AA2505" s="43"/>
      <c r="AB2505" s="43"/>
    </row>
    <row r="2506" spans="1:28" ht="14.25" hidden="1" customHeight="1">
      <c r="A2506" s="163" t="s">
        <v>1174</v>
      </c>
      <c r="B2506" s="164">
        <v>45789</v>
      </c>
      <c r="C2506" s="163" t="s">
        <v>288</v>
      </c>
      <c r="D2506" s="163" t="s">
        <v>281</v>
      </c>
      <c r="E2506" s="163" t="s">
        <v>407</v>
      </c>
      <c r="F2506" s="165">
        <v>4200</v>
      </c>
      <c r="G2506" s="165">
        <f t="shared" si="52"/>
        <v>-890182.40233333386</v>
      </c>
      <c r="H2506" s="295"/>
      <c r="I2506" s="295"/>
      <c r="J2506" s="295"/>
      <c r="K2506" s="295"/>
      <c r="L2506" s="295"/>
      <c r="M2506" s="295"/>
      <c r="N2506" s="295"/>
      <c r="O2506" s="295"/>
      <c r="P2506" s="295"/>
      <c r="Q2506" s="295"/>
      <c r="R2506" s="295"/>
      <c r="S2506" s="190" t="s">
        <v>405</v>
      </c>
      <c r="T2506" s="43">
        <f t="shared" si="61"/>
        <v>5</v>
      </c>
      <c r="U2506" s="167">
        <f t="shared" si="55"/>
        <v>45789</v>
      </c>
      <c r="V2506" s="145"/>
      <c r="W2506" s="43">
        <f t="shared" si="56"/>
        <v>5</v>
      </c>
      <c r="X2506" s="43"/>
      <c r="Y2506" s="43"/>
      <c r="Z2506" s="43"/>
      <c r="AA2506" s="43"/>
      <c r="AB2506" s="43"/>
    </row>
    <row r="2507" spans="1:28" ht="14.25" hidden="1" customHeight="1">
      <c r="A2507" s="163" t="s">
        <v>1174</v>
      </c>
      <c r="B2507" s="164">
        <v>45789</v>
      </c>
      <c r="C2507" s="163" t="s">
        <v>625</v>
      </c>
      <c r="D2507" s="163" t="s">
        <v>281</v>
      </c>
      <c r="E2507" s="163" t="s">
        <v>407</v>
      </c>
      <c r="F2507" s="165">
        <v>4200</v>
      </c>
      <c r="G2507" s="165">
        <f t="shared" si="52"/>
        <v>-885982.40233333386</v>
      </c>
      <c r="H2507" s="295"/>
      <c r="I2507" s="295"/>
      <c r="J2507" s="295"/>
      <c r="K2507" s="295"/>
      <c r="L2507" s="295"/>
      <c r="M2507" s="295"/>
      <c r="N2507" s="295"/>
      <c r="O2507" s="295"/>
      <c r="P2507" s="295"/>
      <c r="Q2507" s="295"/>
      <c r="R2507" s="295"/>
      <c r="S2507" s="190"/>
      <c r="T2507" s="43">
        <f t="shared" si="61"/>
        <v>5</v>
      </c>
      <c r="U2507" s="167">
        <f t="shared" si="55"/>
        <v>45789</v>
      </c>
      <c r="V2507" s="145"/>
      <c r="W2507" s="43">
        <f t="shared" si="56"/>
        <v>5</v>
      </c>
      <c r="X2507" s="43"/>
      <c r="Y2507" s="43"/>
      <c r="Z2507" s="43"/>
      <c r="AA2507" s="43"/>
      <c r="AB2507" s="43"/>
    </row>
    <row r="2508" spans="1:28" ht="14.25" hidden="1" customHeight="1">
      <c r="A2508" s="163" t="s">
        <v>1174</v>
      </c>
      <c r="B2508" s="164">
        <v>45789</v>
      </c>
      <c r="C2508" s="163" t="s">
        <v>1861</v>
      </c>
      <c r="D2508" s="163" t="s">
        <v>281</v>
      </c>
      <c r="E2508" s="163" t="s">
        <v>289</v>
      </c>
      <c r="F2508" s="165">
        <v>5000</v>
      </c>
      <c r="G2508" s="165">
        <f t="shared" si="52"/>
        <v>-880982.40233333386</v>
      </c>
      <c r="H2508" s="295"/>
      <c r="I2508" s="295"/>
      <c r="J2508" s="295"/>
      <c r="K2508" s="295"/>
      <c r="L2508" s="295"/>
      <c r="M2508" s="295"/>
      <c r="N2508" s="295"/>
      <c r="O2508" s="295"/>
      <c r="P2508" s="295"/>
      <c r="Q2508" s="295"/>
      <c r="R2508" s="295"/>
      <c r="S2508" s="190" t="s">
        <v>325</v>
      </c>
      <c r="T2508" s="43">
        <f t="shared" si="61"/>
        <v>5</v>
      </c>
      <c r="U2508" s="167">
        <f t="shared" si="55"/>
        <v>45789</v>
      </c>
      <c r="V2508" s="145"/>
      <c r="W2508" s="43">
        <f t="shared" si="56"/>
        <v>5</v>
      </c>
      <c r="X2508" s="43"/>
      <c r="Y2508" s="43"/>
      <c r="Z2508" s="43"/>
      <c r="AA2508" s="43"/>
      <c r="AB2508" s="43"/>
    </row>
    <row r="2509" spans="1:28" ht="14.25" hidden="1" customHeight="1">
      <c r="A2509" s="163" t="s">
        <v>1174</v>
      </c>
      <c r="B2509" s="164">
        <v>45789</v>
      </c>
      <c r="C2509" s="163" t="s">
        <v>952</v>
      </c>
      <c r="D2509" s="163" t="s">
        <v>281</v>
      </c>
      <c r="E2509" s="163" t="s">
        <v>407</v>
      </c>
      <c r="F2509" s="165">
        <v>5500</v>
      </c>
      <c r="G2509" s="165">
        <f t="shared" si="52"/>
        <v>-875482.40233333386</v>
      </c>
      <c r="H2509" s="295"/>
      <c r="I2509" s="295"/>
      <c r="J2509" s="295"/>
      <c r="K2509" s="295"/>
      <c r="L2509" s="295"/>
      <c r="M2509" s="295"/>
      <c r="N2509" s="295"/>
      <c r="O2509" s="295"/>
      <c r="P2509" s="295"/>
      <c r="Q2509" s="295"/>
      <c r="R2509" s="295"/>
      <c r="S2509" s="190" t="s">
        <v>435</v>
      </c>
      <c r="T2509" s="43">
        <f t="shared" si="61"/>
        <v>5</v>
      </c>
      <c r="U2509" s="167">
        <f t="shared" si="55"/>
        <v>45789</v>
      </c>
      <c r="V2509" s="145"/>
      <c r="W2509" s="43">
        <f t="shared" si="56"/>
        <v>5</v>
      </c>
      <c r="X2509" s="43"/>
      <c r="Y2509" s="43"/>
      <c r="Z2509" s="43"/>
      <c r="AA2509" s="43"/>
      <c r="AB2509" s="43"/>
    </row>
    <row r="2510" spans="1:28" ht="14.25" hidden="1" customHeight="1">
      <c r="A2510" s="163" t="s">
        <v>1017</v>
      </c>
      <c r="B2510" s="164">
        <v>45789</v>
      </c>
      <c r="C2510" s="163" t="s">
        <v>840</v>
      </c>
      <c r="D2510" s="163" t="s">
        <v>281</v>
      </c>
      <c r="E2510" s="163" t="s">
        <v>841</v>
      </c>
      <c r="F2510" s="168">
        <v>-1829</v>
      </c>
      <c r="G2510" s="165">
        <f t="shared" si="52"/>
        <v>-877311.40233333386</v>
      </c>
      <c r="H2510" s="295"/>
      <c r="I2510" s="295"/>
      <c r="J2510" s="295"/>
      <c r="K2510" s="295"/>
      <c r="L2510" s="295"/>
      <c r="M2510" s="295"/>
      <c r="N2510" s="295"/>
      <c r="O2510" s="295"/>
      <c r="P2510" s="295"/>
      <c r="Q2510" s="295"/>
      <c r="R2510" s="295"/>
      <c r="S2510" s="190" t="s">
        <v>438</v>
      </c>
      <c r="T2510" s="43">
        <f t="shared" si="61"/>
        <v>5</v>
      </c>
      <c r="U2510" s="167">
        <f t="shared" si="55"/>
        <v>45789</v>
      </c>
      <c r="V2510" s="145"/>
      <c r="W2510" s="43">
        <f t="shared" si="56"/>
        <v>5</v>
      </c>
      <c r="X2510" s="43"/>
      <c r="Y2510" s="43"/>
      <c r="Z2510" s="43"/>
      <c r="AA2510" s="43"/>
      <c r="AB2510" s="43"/>
    </row>
    <row r="2511" spans="1:28" ht="14.25" hidden="1" customHeight="1">
      <c r="A2511" s="163" t="s">
        <v>1017</v>
      </c>
      <c r="B2511" s="164">
        <v>45789</v>
      </c>
      <c r="C2511" s="163" t="s">
        <v>183</v>
      </c>
      <c r="D2511" s="163" t="s">
        <v>281</v>
      </c>
      <c r="E2511" s="163" t="s">
        <v>760</v>
      </c>
      <c r="F2511" s="168">
        <v>-669.9</v>
      </c>
      <c r="G2511" s="165">
        <f t="shared" si="52"/>
        <v>-877981.30233333388</v>
      </c>
      <c r="H2511" s="295"/>
      <c r="I2511" s="295"/>
      <c r="J2511" s="295"/>
      <c r="K2511" s="295"/>
      <c r="L2511" s="295"/>
      <c r="M2511" s="295"/>
      <c r="N2511" s="295"/>
      <c r="O2511" s="295"/>
      <c r="P2511" s="295"/>
      <c r="Q2511" s="295"/>
      <c r="R2511" s="295"/>
      <c r="S2511" s="190" t="s">
        <v>440</v>
      </c>
      <c r="T2511" s="43">
        <f t="shared" si="61"/>
        <v>5</v>
      </c>
      <c r="U2511" s="167">
        <f t="shared" si="55"/>
        <v>45789</v>
      </c>
      <c r="V2511" s="145"/>
      <c r="W2511" s="43">
        <f t="shared" si="56"/>
        <v>5</v>
      </c>
      <c r="X2511" s="43"/>
      <c r="Y2511" s="43"/>
      <c r="Z2511" s="43"/>
      <c r="AA2511" s="43"/>
      <c r="AB2511" s="43"/>
    </row>
    <row r="2512" spans="1:28" ht="14.25" hidden="1" customHeight="1">
      <c r="A2512" s="163" t="s">
        <v>1017</v>
      </c>
      <c r="B2512" s="164">
        <v>45789</v>
      </c>
      <c r="C2512" s="163" t="s">
        <v>872</v>
      </c>
      <c r="D2512" s="163" t="s">
        <v>281</v>
      </c>
      <c r="E2512" s="163" t="s">
        <v>190</v>
      </c>
      <c r="F2512" s="168">
        <v>-305.12</v>
      </c>
      <c r="G2512" s="165">
        <f t="shared" si="52"/>
        <v>-878286.42233333387</v>
      </c>
      <c r="H2512" s="295"/>
      <c r="I2512" s="295"/>
      <c r="J2512" s="295"/>
      <c r="K2512" s="295"/>
      <c r="L2512" s="295"/>
      <c r="M2512" s="295"/>
      <c r="N2512" s="295"/>
      <c r="O2512" s="295"/>
      <c r="P2512" s="295"/>
      <c r="Q2512" s="295"/>
      <c r="R2512" s="295"/>
      <c r="S2512" s="190" t="s">
        <v>475</v>
      </c>
      <c r="T2512" s="43">
        <f t="shared" si="61"/>
        <v>5</v>
      </c>
      <c r="U2512" s="167">
        <f t="shared" si="55"/>
        <v>45789</v>
      </c>
      <c r="V2512" s="145"/>
      <c r="W2512" s="43">
        <f t="shared" si="56"/>
        <v>5</v>
      </c>
      <c r="X2512" s="43"/>
      <c r="Y2512" s="43"/>
      <c r="Z2512" s="43"/>
      <c r="AA2512" s="43"/>
      <c r="AB2512" s="43"/>
    </row>
    <row r="2513" spans="1:28" ht="14.25" hidden="1" customHeight="1">
      <c r="A2513" s="163" t="s">
        <v>1017</v>
      </c>
      <c r="B2513" s="164">
        <v>45789</v>
      </c>
      <c r="C2513" s="163" t="s">
        <v>1010</v>
      </c>
      <c r="D2513" s="163" t="s">
        <v>281</v>
      </c>
      <c r="E2513" s="163" t="s">
        <v>199</v>
      </c>
      <c r="F2513" s="168">
        <v>-2500</v>
      </c>
      <c r="G2513" s="165">
        <f t="shared" si="52"/>
        <v>-880786.42233333387</v>
      </c>
      <c r="H2513" s="295"/>
      <c r="I2513" s="295"/>
      <c r="J2513" s="295"/>
      <c r="K2513" s="295"/>
      <c r="L2513" s="295"/>
      <c r="M2513" s="295"/>
      <c r="N2513" s="295"/>
      <c r="O2513" s="295"/>
      <c r="P2513" s="295"/>
      <c r="Q2513" s="295"/>
      <c r="R2513" s="295"/>
      <c r="S2513" s="190" t="s">
        <v>443</v>
      </c>
      <c r="T2513" s="43">
        <f t="shared" si="61"/>
        <v>5</v>
      </c>
      <c r="U2513" s="167">
        <f t="shared" si="55"/>
        <v>45789</v>
      </c>
      <c r="V2513" s="145"/>
      <c r="W2513" s="43">
        <f t="shared" si="56"/>
        <v>5</v>
      </c>
      <c r="X2513" s="43"/>
      <c r="Y2513" s="43"/>
      <c r="Z2513" s="43"/>
      <c r="AA2513" s="43"/>
      <c r="AB2513" s="43"/>
    </row>
    <row r="2514" spans="1:28" ht="14.25" hidden="1" customHeight="1">
      <c r="A2514" s="163" t="s">
        <v>1017</v>
      </c>
      <c r="B2514" s="164">
        <v>45789</v>
      </c>
      <c r="C2514" s="163" t="s">
        <v>184</v>
      </c>
      <c r="D2514" s="163" t="s">
        <v>281</v>
      </c>
      <c r="E2514" s="163" t="s">
        <v>760</v>
      </c>
      <c r="F2514" s="168">
        <v>-570.83000000000004</v>
      </c>
      <c r="G2514" s="165">
        <f t="shared" si="52"/>
        <v>-881357.25233333383</v>
      </c>
      <c r="H2514" s="295"/>
      <c r="I2514" s="295"/>
      <c r="J2514" s="295"/>
      <c r="K2514" s="295"/>
      <c r="L2514" s="295"/>
      <c r="M2514" s="295"/>
      <c r="N2514" s="295"/>
      <c r="O2514" s="295"/>
      <c r="P2514" s="295"/>
      <c r="Q2514" s="295"/>
      <c r="R2514" s="295"/>
      <c r="S2514" s="190" t="s">
        <v>446</v>
      </c>
      <c r="T2514" s="43">
        <f t="shared" si="61"/>
        <v>5</v>
      </c>
      <c r="U2514" s="167">
        <f t="shared" si="55"/>
        <v>45789</v>
      </c>
      <c r="V2514" s="145"/>
      <c r="W2514" s="43">
        <f t="shared" si="56"/>
        <v>5</v>
      </c>
      <c r="X2514" s="43"/>
      <c r="Y2514" s="43"/>
      <c r="Z2514" s="43"/>
      <c r="AA2514" s="43"/>
      <c r="AB2514" s="43"/>
    </row>
    <row r="2515" spans="1:28" ht="14.25" hidden="1" customHeight="1">
      <c r="A2515" s="163" t="s">
        <v>1017</v>
      </c>
      <c r="B2515" s="164">
        <v>45789</v>
      </c>
      <c r="C2515" s="163" t="s">
        <v>185</v>
      </c>
      <c r="D2515" s="163" t="s">
        <v>281</v>
      </c>
      <c r="E2515" s="163" t="s">
        <v>760</v>
      </c>
      <c r="F2515" s="168">
        <v>-724.85</v>
      </c>
      <c r="G2515" s="165">
        <f t="shared" si="52"/>
        <v>-882082.10233333381</v>
      </c>
      <c r="H2515" s="295"/>
      <c r="I2515" s="295"/>
      <c r="J2515" s="295"/>
      <c r="K2515" s="295"/>
      <c r="L2515" s="295"/>
      <c r="M2515" s="295"/>
      <c r="N2515" s="295"/>
      <c r="O2515" s="295"/>
      <c r="P2515" s="295"/>
      <c r="Q2515" s="295"/>
      <c r="R2515" s="295"/>
      <c r="S2515" s="190" t="s">
        <v>449</v>
      </c>
      <c r="T2515" s="43">
        <f t="shared" si="61"/>
        <v>5</v>
      </c>
      <c r="U2515" s="167">
        <f t="shared" si="55"/>
        <v>45789</v>
      </c>
      <c r="V2515" s="145"/>
      <c r="W2515" s="43">
        <f t="shared" si="56"/>
        <v>5</v>
      </c>
      <c r="X2515" s="43"/>
      <c r="Y2515" s="43"/>
      <c r="Z2515" s="43"/>
      <c r="AA2515" s="43"/>
      <c r="AB2515" s="43"/>
    </row>
    <row r="2516" spans="1:28" ht="14.25" hidden="1" customHeight="1">
      <c r="A2516" s="180" t="s">
        <v>1017</v>
      </c>
      <c r="B2516" s="181">
        <v>45677</v>
      </c>
      <c r="C2516" s="180" t="s">
        <v>1862</v>
      </c>
      <c r="D2516" s="180" t="s">
        <v>281</v>
      </c>
      <c r="E2516" s="180" t="s">
        <v>196</v>
      </c>
      <c r="F2516" s="168">
        <v>-11271.97</v>
      </c>
      <c r="G2516" s="165">
        <f t="shared" si="52"/>
        <v>-893354.07233333378</v>
      </c>
      <c r="H2516" s="180"/>
      <c r="I2516" s="180" t="s">
        <v>283</v>
      </c>
      <c r="J2516" s="180"/>
      <c r="K2516" s="180"/>
      <c r="L2516" s="180" t="s">
        <v>305</v>
      </c>
      <c r="M2516" s="180"/>
      <c r="N2516" s="180" t="s">
        <v>978</v>
      </c>
      <c r="O2516" s="180"/>
      <c r="P2516" s="180"/>
      <c r="Q2516" s="180" t="s">
        <v>1067</v>
      </c>
      <c r="R2516" s="180" t="s">
        <v>1087</v>
      </c>
      <c r="S2516" s="180" t="s">
        <v>1089</v>
      </c>
      <c r="T2516" s="189">
        <f t="shared" si="61"/>
        <v>1</v>
      </c>
      <c r="U2516" s="211">
        <f t="shared" si="55"/>
        <v>45789</v>
      </c>
      <c r="V2516" s="145">
        <v>45789</v>
      </c>
      <c r="W2516" s="43">
        <f t="shared" si="56"/>
        <v>5</v>
      </c>
      <c r="X2516" s="43" t="s">
        <v>196</v>
      </c>
      <c r="Y2516" s="43" t="s">
        <v>1443</v>
      </c>
      <c r="Z2516" s="183" t="s">
        <v>1113</v>
      </c>
      <c r="AA2516" s="183" t="s">
        <v>1336</v>
      </c>
      <c r="AB2516" s="183"/>
    </row>
    <row r="2517" spans="1:28" ht="14.25" hidden="1" customHeight="1">
      <c r="A2517" s="163"/>
      <c r="B2517" s="164">
        <v>45789</v>
      </c>
      <c r="C2517" s="163" t="s">
        <v>346</v>
      </c>
      <c r="D2517" s="163"/>
      <c r="E2517" s="163"/>
      <c r="F2517" s="165">
        <v>0</v>
      </c>
      <c r="G2517" s="165">
        <f t="shared" si="52"/>
        <v>-893354.07233333378</v>
      </c>
      <c r="H2517" s="295"/>
      <c r="I2517" s="295"/>
      <c r="J2517" s="295"/>
      <c r="K2517" s="295"/>
      <c r="L2517" s="295"/>
      <c r="M2517" s="295"/>
      <c r="N2517" s="295"/>
      <c r="O2517" s="295"/>
      <c r="P2517" s="295"/>
      <c r="Q2517" s="295"/>
      <c r="R2517" s="295"/>
      <c r="S2517" s="190" t="s">
        <v>323</v>
      </c>
      <c r="T2517" s="43">
        <f t="shared" si="61"/>
        <v>5</v>
      </c>
      <c r="U2517" s="167">
        <f t="shared" si="55"/>
        <v>45789</v>
      </c>
      <c r="V2517" s="145"/>
      <c r="W2517" s="43">
        <f t="shared" si="56"/>
        <v>5</v>
      </c>
      <c r="X2517" s="43"/>
      <c r="Y2517" s="43"/>
      <c r="Z2517" s="43"/>
      <c r="AA2517" s="43"/>
      <c r="AB2517" s="43"/>
    </row>
    <row r="2518" spans="1:28" ht="14.25" hidden="1" customHeight="1">
      <c r="A2518" s="163" t="s">
        <v>1017</v>
      </c>
      <c r="B2518" s="164">
        <v>45790</v>
      </c>
      <c r="C2518" s="163" t="s">
        <v>1389</v>
      </c>
      <c r="D2518" s="163" t="s">
        <v>281</v>
      </c>
      <c r="E2518" s="163" t="s">
        <v>199</v>
      </c>
      <c r="F2518" s="168">
        <v>-22</v>
      </c>
      <c r="G2518" s="165">
        <f t="shared" si="52"/>
        <v>-893376.07233333378</v>
      </c>
      <c r="H2518" s="295"/>
      <c r="I2518" s="295"/>
      <c r="J2518" s="295"/>
      <c r="K2518" s="295"/>
      <c r="L2518" s="295"/>
      <c r="M2518" s="295"/>
      <c r="N2518" s="295"/>
      <c r="O2518" s="295"/>
      <c r="P2518" s="295"/>
      <c r="Q2518" s="295"/>
      <c r="R2518" s="295"/>
      <c r="S2518" s="190" t="s">
        <v>453</v>
      </c>
      <c r="T2518" s="43">
        <f t="shared" si="61"/>
        <v>5</v>
      </c>
      <c r="U2518" s="167">
        <f t="shared" si="55"/>
        <v>45790</v>
      </c>
      <c r="V2518" s="145"/>
      <c r="W2518" s="43">
        <f t="shared" si="56"/>
        <v>5</v>
      </c>
      <c r="X2518" s="43"/>
      <c r="Y2518" s="43"/>
      <c r="Z2518" s="43"/>
      <c r="AA2518" s="43"/>
      <c r="AB2518" s="43"/>
    </row>
    <row r="2519" spans="1:28" ht="14.25" hidden="1" customHeight="1">
      <c r="A2519" s="163" t="s">
        <v>1017</v>
      </c>
      <c r="B2519" s="164">
        <v>45790</v>
      </c>
      <c r="C2519" s="163" t="s">
        <v>1393</v>
      </c>
      <c r="D2519" s="163" t="s">
        <v>281</v>
      </c>
      <c r="E2519" s="163" t="s">
        <v>199</v>
      </c>
      <c r="F2519" s="168">
        <v>-120</v>
      </c>
      <c r="G2519" s="165">
        <f t="shared" si="52"/>
        <v>-893496.07233333378</v>
      </c>
      <c r="H2519" s="295"/>
      <c r="I2519" s="295"/>
      <c r="J2519" s="295"/>
      <c r="K2519" s="295"/>
      <c r="L2519" s="295"/>
      <c r="M2519" s="295"/>
      <c r="N2519" s="295"/>
      <c r="O2519" s="295"/>
      <c r="P2519" s="295"/>
      <c r="Q2519" s="295"/>
      <c r="R2519" s="295"/>
      <c r="S2519" s="190" t="s">
        <v>361</v>
      </c>
      <c r="T2519" s="43">
        <f t="shared" si="61"/>
        <v>5</v>
      </c>
      <c r="U2519" s="167">
        <f t="shared" si="55"/>
        <v>45790</v>
      </c>
      <c r="V2519" s="145"/>
      <c r="W2519" s="43">
        <f t="shared" si="56"/>
        <v>5</v>
      </c>
      <c r="X2519" s="43"/>
      <c r="Y2519" s="43"/>
      <c r="Z2519" s="43"/>
      <c r="AA2519" s="43"/>
      <c r="AB2519" s="43"/>
    </row>
    <row r="2520" spans="1:28" ht="14.25" hidden="1" customHeight="1">
      <c r="A2520" s="163"/>
      <c r="B2520" s="164">
        <v>45790</v>
      </c>
      <c r="C2520" s="163" t="s">
        <v>346</v>
      </c>
      <c r="D2520" s="163"/>
      <c r="E2520" s="163"/>
      <c r="F2520" s="165">
        <v>0</v>
      </c>
      <c r="G2520" s="165">
        <f t="shared" si="52"/>
        <v>-893496.07233333378</v>
      </c>
      <c r="H2520" s="295"/>
      <c r="I2520" s="295"/>
      <c r="J2520" s="295"/>
      <c r="K2520" s="295"/>
      <c r="L2520" s="295"/>
      <c r="M2520" s="295"/>
      <c r="N2520" s="295"/>
      <c r="O2520" s="295"/>
      <c r="P2520" s="295"/>
      <c r="Q2520" s="295"/>
      <c r="R2520" s="295"/>
      <c r="S2520" s="190" t="s">
        <v>456</v>
      </c>
      <c r="T2520" s="43">
        <f t="shared" si="61"/>
        <v>5</v>
      </c>
      <c r="U2520" s="167">
        <f t="shared" si="55"/>
        <v>45790</v>
      </c>
      <c r="V2520" s="145"/>
      <c r="W2520" s="43">
        <f t="shared" si="56"/>
        <v>5</v>
      </c>
      <c r="X2520" s="43"/>
      <c r="Y2520" s="43"/>
      <c r="Z2520" s="43"/>
      <c r="AA2520" s="43"/>
      <c r="AB2520" s="43"/>
    </row>
    <row r="2521" spans="1:28" ht="14.25" hidden="1" customHeight="1">
      <c r="A2521" s="163" t="s">
        <v>1017</v>
      </c>
      <c r="B2521" s="164">
        <v>45791</v>
      </c>
      <c r="C2521" s="163" t="s">
        <v>181</v>
      </c>
      <c r="D2521" s="163" t="s">
        <v>281</v>
      </c>
      <c r="E2521" s="163" t="s">
        <v>760</v>
      </c>
      <c r="F2521" s="168">
        <v>-10387.049999999999</v>
      </c>
      <c r="G2521" s="165">
        <f t="shared" si="52"/>
        <v>-903883.12233333383</v>
      </c>
      <c r="H2521" s="295"/>
      <c r="I2521" s="295"/>
      <c r="J2521" s="295"/>
      <c r="K2521" s="295"/>
      <c r="L2521" s="295"/>
      <c r="M2521" s="295"/>
      <c r="N2521" s="295"/>
      <c r="O2521" s="295"/>
      <c r="P2521" s="295"/>
      <c r="Q2521" s="295"/>
      <c r="R2521" s="295"/>
      <c r="S2521" s="190" t="s">
        <v>459</v>
      </c>
      <c r="T2521" s="43">
        <f t="shared" si="61"/>
        <v>5</v>
      </c>
      <c r="U2521" s="167">
        <f t="shared" si="55"/>
        <v>45791</v>
      </c>
      <c r="V2521" s="145"/>
      <c r="W2521" s="43">
        <f t="shared" si="56"/>
        <v>5</v>
      </c>
      <c r="X2521" s="43"/>
      <c r="Y2521" s="43"/>
      <c r="Z2521" s="43"/>
      <c r="AA2521" s="43"/>
      <c r="AB2521" s="43"/>
    </row>
    <row r="2522" spans="1:28" ht="14.25" hidden="1" customHeight="1">
      <c r="A2522" s="163" t="s">
        <v>1017</v>
      </c>
      <c r="B2522" s="164">
        <v>45791</v>
      </c>
      <c r="C2522" s="163" t="s">
        <v>1008</v>
      </c>
      <c r="D2522" s="163" t="s">
        <v>281</v>
      </c>
      <c r="E2522" s="163" t="s">
        <v>199</v>
      </c>
      <c r="F2522" s="168">
        <v>-2000</v>
      </c>
      <c r="G2522" s="165">
        <f t="shared" si="52"/>
        <v>-905883.12233333383</v>
      </c>
      <c r="H2522" s="295"/>
      <c r="I2522" s="295"/>
      <c r="J2522" s="295"/>
      <c r="K2522" s="295"/>
      <c r="L2522" s="295"/>
      <c r="M2522" s="295"/>
      <c r="N2522" s="295"/>
      <c r="O2522" s="295"/>
      <c r="P2522" s="295"/>
      <c r="Q2522" s="295"/>
      <c r="R2522" s="295"/>
      <c r="S2522" s="190" t="s">
        <v>462</v>
      </c>
      <c r="T2522" s="43">
        <f t="shared" si="61"/>
        <v>5</v>
      </c>
      <c r="U2522" s="167">
        <f t="shared" si="55"/>
        <v>45791</v>
      </c>
      <c r="V2522" s="145"/>
      <c r="W2522" s="43">
        <f t="shared" si="56"/>
        <v>5</v>
      </c>
      <c r="X2522" s="43"/>
      <c r="Y2522" s="43"/>
      <c r="Z2522" s="43"/>
      <c r="AA2522" s="43"/>
      <c r="AB2522" s="43"/>
    </row>
    <row r="2523" spans="1:28" ht="14.25" hidden="1" customHeight="1">
      <c r="A2523" s="163"/>
      <c r="B2523" s="164">
        <v>45791</v>
      </c>
      <c r="C2523" s="163" t="s">
        <v>346</v>
      </c>
      <c r="D2523" s="163"/>
      <c r="E2523" s="163"/>
      <c r="F2523" s="165">
        <v>0</v>
      </c>
      <c r="G2523" s="165">
        <f t="shared" si="52"/>
        <v>-905883.12233333383</v>
      </c>
      <c r="H2523" s="295"/>
      <c r="I2523" s="295"/>
      <c r="J2523" s="295"/>
      <c r="K2523" s="295"/>
      <c r="L2523" s="295"/>
      <c r="M2523" s="295"/>
      <c r="N2523" s="295"/>
      <c r="O2523" s="295"/>
      <c r="P2523" s="295"/>
      <c r="Q2523" s="295"/>
      <c r="R2523" s="295"/>
      <c r="S2523" s="190" t="s">
        <v>465</v>
      </c>
      <c r="T2523" s="43">
        <f t="shared" si="61"/>
        <v>5</v>
      </c>
      <c r="U2523" s="167">
        <f t="shared" si="55"/>
        <v>45791</v>
      </c>
      <c r="V2523" s="145"/>
      <c r="W2523" s="43">
        <f t="shared" si="56"/>
        <v>5</v>
      </c>
      <c r="X2523" s="43"/>
      <c r="Y2523" s="43"/>
      <c r="Z2523" s="43"/>
      <c r="AA2523" s="43"/>
      <c r="AB2523" s="43"/>
    </row>
    <row r="2524" spans="1:28" ht="14.25" hidden="1" customHeight="1">
      <c r="A2524" s="163" t="s">
        <v>1174</v>
      </c>
      <c r="B2524" s="164">
        <v>45792</v>
      </c>
      <c r="C2524" s="163" t="s">
        <v>1636</v>
      </c>
      <c r="D2524" s="163" t="s">
        <v>281</v>
      </c>
      <c r="E2524" s="163" t="s">
        <v>407</v>
      </c>
      <c r="F2524" s="165">
        <v>1900</v>
      </c>
      <c r="G2524" s="165">
        <f t="shared" si="52"/>
        <v>-903983.12233333383</v>
      </c>
      <c r="H2524" s="295"/>
      <c r="I2524" s="295"/>
      <c r="J2524" s="295"/>
      <c r="K2524" s="295"/>
      <c r="L2524" s="295"/>
      <c r="M2524" s="295"/>
      <c r="N2524" s="295"/>
      <c r="O2524" s="295"/>
      <c r="P2524" s="295"/>
      <c r="Q2524" s="295"/>
      <c r="R2524" s="295"/>
      <c r="S2524" s="190" t="s">
        <v>471</v>
      </c>
      <c r="T2524" s="43">
        <f t="shared" si="61"/>
        <v>5</v>
      </c>
      <c r="U2524" s="167">
        <f t="shared" si="55"/>
        <v>45792</v>
      </c>
      <c r="V2524" s="145"/>
      <c r="W2524" s="43">
        <f t="shared" si="56"/>
        <v>5</v>
      </c>
      <c r="X2524" s="43"/>
      <c r="Y2524" s="43"/>
      <c r="Z2524" s="43"/>
      <c r="AA2524" s="43"/>
      <c r="AB2524" s="43"/>
    </row>
    <row r="2525" spans="1:28" ht="14.25" hidden="1" customHeight="1">
      <c r="A2525" s="163" t="s">
        <v>1174</v>
      </c>
      <c r="B2525" s="164">
        <v>45792</v>
      </c>
      <c r="C2525" s="163" t="s">
        <v>1797</v>
      </c>
      <c r="D2525" s="163" t="s">
        <v>281</v>
      </c>
      <c r="E2525" s="163" t="s">
        <v>407</v>
      </c>
      <c r="F2525" s="165">
        <v>2800</v>
      </c>
      <c r="G2525" s="165">
        <f t="shared" si="52"/>
        <v>-901183.12233333383</v>
      </c>
      <c r="H2525" s="295"/>
      <c r="I2525" s="295"/>
      <c r="J2525" s="295"/>
      <c r="K2525" s="295"/>
      <c r="L2525" s="295"/>
      <c r="M2525" s="295"/>
      <c r="N2525" s="295"/>
      <c r="O2525" s="295"/>
      <c r="P2525" s="295"/>
      <c r="Q2525" s="295"/>
      <c r="R2525" s="295"/>
      <c r="S2525" s="190" t="s">
        <v>468</v>
      </c>
      <c r="T2525" s="43">
        <f t="shared" si="61"/>
        <v>5</v>
      </c>
      <c r="U2525" s="167">
        <f t="shared" si="55"/>
        <v>45792</v>
      </c>
      <c r="V2525" s="145"/>
      <c r="W2525" s="43">
        <f t="shared" si="56"/>
        <v>5</v>
      </c>
      <c r="X2525" s="43"/>
      <c r="Y2525" s="43"/>
      <c r="Z2525" s="43"/>
      <c r="AA2525" s="43"/>
      <c r="AB2525" s="43"/>
    </row>
    <row r="2526" spans="1:28" ht="14.25" hidden="1" customHeight="1">
      <c r="A2526" s="163" t="s">
        <v>1174</v>
      </c>
      <c r="B2526" s="164">
        <v>45792</v>
      </c>
      <c r="C2526" s="163" t="s">
        <v>1794</v>
      </c>
      <c r="D2526" s="163" t="s">
        <v>281</v>
      </c>
      <c r="E2526" s="163" t="s">
        <v>407</v>
      </c>
      <c r="F2526" s="165">
        <v>3050</v>
      </c>
      <c r="G2526" s="165">
        <f t="shared" si="52"/>
        <v>-898133.12233333383</v>
      </c>
      <c r="H2526" s="295"/>
      <c r="I2526" s="295"/>
      <c r="J2526" s="295"/>
      <c r="K2526" s="295"/>
      <c r="L2526" s="295"/>
      <c r="M2526" s="295"/>
      <c r="N2526" s="295"/>
      <c r="O2526" s="295"/>
      <c r="P2526" s="295"/>
      <c r="Q2526" s="295"/>
      <c r="R2526" s="295"/>
      <c r="S2526" s="190" t="s">
        <v>554</v>
      </c>
      <c r="T2526" s="43">
        <f t="shared" si="61"/>
        <v>5</v>
      </c>
      <c r="U2526" s="167">
        <f t="shared" si="55"/>
        <v>45792</v>
      </c>
      <c r="V2526" s="145"/>
      <c r="W2526" s="43">
        <f t="shared" si="56"/>
        <v>5</v>
      </c>
      <c r="X2526" s="43"/>
      <c r="Y2526" s="43"/>
      <c r="Z2526" s="43"/>
      <c r="AA2526" s="43"/>
      <c r="AB2526" s="43"/>
    </row>
    <row r="2527" spans="1:28" ht="14.25" hidden="1" customHeight="1">
      <c r="A2527" s="163" t="s">
        <v>1174</v>
      </c>
      <c r="B2527" s="164">
        <v>45792</v>
      </c>
      <c r="C2527" s="163" t="s">
        <v>1796</v>
      </c>
      <c r="D2527" s="163" t="s">
        <v>281</v>
      </c>
      <c r="E2527" s="163" t="s">
        <v>407</v>
      </c>
      <c r="F2527" s="165">
        <v>3499</v>
      </c>
      <c r="G2527" s="165">
        <f t="shared" si="52"/>
        <v>-894634.12233333383</v>
      </c>
      <c r="H2527" s="295"/>
      <c r="I2527" s="295"/>
      <c r="J2527" s="295"/>
      <c r="K2527" s="295"/>
      <c r="L2527" s="295"/>
      <c r="M2527" s="295"/>
      <c r="N2527" s="295"/>
      <c r="O2527" s="295"/>
      <c r="P2527" s="295"/>
      <c r="Q2527" s="295"/>
      <c r="R2527" s="295"/>
      <c r="S2527" s="190" t="s">
        <v>480</v>
      </c>
      <c r="T2527" s="43">
        <f t="shared" si="61"/>
        <v>5</v>
      </c>
      <c r="U2527" s="167">
        <f t="shared" si="55"/>
        <v>45792</v>
      </c>
      <c r="V2527" s="145"/>
      <c r="W2527" s="43">
        <f t="shared" si="56"/>
        <v>5</v>
      </c>
      <c r="X2527" s="43"/>
      <c r="Y2527" s="43"/>
      <c r="Z2527" s="43"/>
      <c r="AA2527" s="43"/>
      <c r="AB2527" s="43"/>
    </row>
    <row r="2528" spans="1:28" ht="14.25" hidden="1" customHeight="1">
      <c r="A2528" s="163" t="s">
        <v>1174</v>
      </c>
      <c r="B2528" s="164">
        <v>45792</v>
      </c>
      <c r="C2528" s="163" t="s">
        <v>1683</v>
      </c>
      <c r="D2528" s="163" t="s">
        <v>281</v>
      </c>
      <c r="E2528" s="163" t="s">
        <v>407</v>
      </c>
      <c r="F2528" s="165">
        <v>5000</v>
      </c>
      <c r="G2528" s="165">
        <f t="shared" si="52"/>
        <v>-889634.12233333383</v>
      </c>
      <c r="H2528" s="295"/>
      <c r="I2528" s="295"/>
      <c r="J2528" s="295"/>
      <c r="K2528" s="295"/>
      <c r="L2528" s="295"/>
      <c r="M2528" s="295"/>
      <c r="N2528" s="295"/>
      <c r="O2528" s="295"/>
      <c r="P2528" s="295"/>
      <c r="Q2528" s="295"/>
      <c r="R2528" s="295"/>
      <c r="S2528" s="190" t="s">
        <v>483</v>
      </c>
      <c r="T2528" s="43">
        <f t="shared" si="61"/>
        <v>5</v>
      </c>
      <c r="U2528" s="167">
        <f t="shared" si="55"/>
        <v>45792</v>
      </c>
      <c r="V2528" s="145"/>
      <c r="W2528" s="43">
        <f t="shared" si="56"/>
        <v>5</v>
      </c>
      <c r="X2528" s="43"/>
      <c r="Y2528" s="43"/>
      <c r="Z2528" s="43"/>
      <c r="AA2528" s="43"/>
      <c r="AB2528" s="43"/>
    </row>
    <row r="2529" spans="1:28" ht="14.25" hidden="1" customHeight="1">
      <c r="A2529" s="163" t="s">
        <v>1174</v>
      </c>
      <c r="B2529" s="164">
        <v>45792</v>
      </c>
      <c r="C2529" s="163" t="s">
        <v>1584</v>
      </c>
      <c r="D2529" s="163" t="s">
        <v>281</v>
      </c>
      <c r="E2529" s="163" t="s">
        <v>407</v>
      </c>
      <c r="F2529" s="165">
        <v>5000</v>
      </c>
      <c r="G2529" s="165">
        <f t="shared" si="52"/>
        <v>-884634.12233333383</v>
      </c>
      <c r="H2529" s="295"/>
      <c r="I2529" s="295"/>
      <c r="J2529" s="295"/>
      <c r="K2529" s="295"/>
      <c r="L2529" s="295"/>
      <c r="M2529" s="295"/>
      <c r="N2529" s="295"/>
      <c r="O2529" s="295"/>
      <c r="P2529" s="295"/>
      <c r="Q2529" s="295"/>
      <c r="R2529" s="295"/>
      <c r="S2529" s="190" t="s">
        <v>487</v>
      </c>
      <c r="T2529" s="43">
        <f t="shared" si="61"/>
        <v>5</v>
      </c>
      <c r="U2529" s="167">
        <f t="shared" si="55"/>
        <v>45792</v>
      </c>
      <c r="V2529" s="145"/>
      <c r="W2529" s="43">
        <f t="shared" si="56"/>
        <v>5</v>
      </c>
      <c r="X2529" s="43"/>
      <c r="Y2529" s="43"/>
      <c r="Z2529" s="43"/>
      <c r="AA2529" s="43"/>
      <c r="AB2529" s="43"/>
    </row>
    <row r="2530" spans="1:28" ht="14.25" hidden="1" customHeight="1">
      <c r="A2530" s="163" t="s">
        <v>1174</v>
      </c>
      <c r="B2530" s="164">
        <v>45792</v>
      </c>
      <c r="C2530" s="163" t="s">
        <v>1546</v>
      </c>
      <c r="D2530" s="163" t="s">
        <v>281</v>
      </c>
      <c r="E2530" s="163" t="s">
        <v>407</v>
      </c>
      <c r="F2530" s="165">
        <v>5000</v>
      </c>
      <c r="G2530" s="165">
        <f t="shared" si="52"/>
        <v>-879634.12233333383</v>
      </c>
      <c r="H2530" s="295"/>
      <c r="I2530" s="295"/>
      <c r="J2530" s="295"/>
      <c r="K2530" s="295"/>
      <c r="L2530" s="295"/>
      <c r="M2530" s="295"/>
      <c r="N2530" s="295"/>
      <c r="O2530" s="295"/>
      <c r="P2530" s="295"/>
      <c r="Q2530" s="295"/>
      <c r="R2530" s="295"/>
      <c r="S2530" s="190" t="s">
        <v>490</v>
      </c>
      <c r="T2530" s="43">
        <f t="shared" si="61"/>
        <v>5</v>
      </c>
      <c r="U2530" s="167">
        <f t="shared" si="55"/>
        <v>45792</v>
      </c>
      <c r="V2530" s="145"/>
      <c r="W2530" s="43">
        <f t="shared" si="56"/>
        <v>5</v>
      </c>
      <c r="X2530" s="43"/>
      <c r="Y2530" s="43"/>
      <c r="Z2530" s="43"/>
      <c r="AA2530" s="43"/>
      <c r="AB2530" s="43"/>
    </row>
    <row r="2531" spans="1:28" ht="14.25" hidden="1" customHeight="1">
      <c r="A2531" s="163" t="s">
        <v>1174</v>
      </c>
      <c r="B2531" s="164">
        <v>45792</v>
      </c>
      <c r="C2531" s="163" t="s">
        <v>962</v>
      </c>
      <c r="D2531" s="163" t="s">
        <v>281</v>
      </c>
      <c r="E2531" s="163" t="s">
        <v>407</v>
      </c>
      <c r="F2531" s="165">
        <v>8000</v>
      </c>
      <c r="G2531" s="165">
        <f t="shared" si="52"/>
        <v>-871634.12233333383</v>
      </c>
      <c r="H2531" s="295"/>
      <c r="I2531" s="295"/>
      <c r="J2531" s="295"/>
      <c r="K2531" s="295"/>
      <c r="L2531" s="295"/>
      <c r="M2531" s="295"/>
      <c r="N2531" s="295"/>
      <c r="O2531" s="295"/>
      <c r="P2531" s="295"/>
      <c r="Q2531" s="295"/>
      <c r="R2531" s="295"/>
      <c r="S2531" s="190" t="s">
        <v>493</v>
      </c>
      <c r="T2531" s="43">
        <f t="shared" si="61"/>
        <v>5</v>
      </c>
      <c r="U2531" s="167">
        <f t="shared" si="55"/>
        <v>45792</v>
      </c>
      <c r="V2531" s="145"/>
      <c r="W2531" s="43">
        <f t="shared" si="56"/>
        <v>5</v>
      </c>
      <c r="X2531" s="43"/>
      <c r="Y2531" s="43"/>
      <c r="Z2531" s="43"/>
      <c r="AA2531" s="43"/>
      <c r="AB2531" s="43"/>
    </row>
    <row r="2532" spans="1:28" ht="14.25" hidden="1" customHeight="1">
      <c r="A2532" s="163" t="s">
        <v>1017</v>
      </c>
      <c r="B2532" s="164">
        <v>45792</v>
      </c>
      <c r="C2532" s="163" t="s">
        <v>293</v>
      </c>
      <c r="D2532" s="163" t="s">
        <v>281</v>
      </c>
      <c r="E2532" s="163" t="s">
        <v>294</v>
      </c>
      <c r="F2532" s="168">
        <v>-3808.88</v>
      </c>
      <c r="G2532" s="165">
        <f t="shared" si="52"/>
        <v>-875443.00233333383</v>
      </c>
      <c r="H2532" s="295"/>
      <c r="I2532" s="295"/>
      <c r="J2532" s="295"/>
      <c r="K2532" s="295"/>
      <c r="L2532" s="295"/>
      <c r="M2532" s="295"/>
      <c r="N2532" s="295"/>
      <c r="O2532" s="295"/>
      <c r="P2532" s="295"/>
      <c r="Q2532" s="295"/>
      <c r="R2532" s="295"/>
      <c r="S2532" s="190" t="s">
        <v>496</v>
      </c>
      <c r="T2532" s="43">
        <f t="shared" si="61"/>
        <v>5</v>
      </c>
      <c r="U2532" s="167">
        <f t="shared" si="55"/>
        <v>45792</v>
      </c>
      <c r="V2532" s="145"/>
      <c r="W2532" s="43">
        <f t="shared" si="56"/>
        <v>5</v>
      </c>
      <c r="X2532" s="43"/>
      <c r="Y2532" s="43"/>
      <c r="Z2532" s="43"/>
      <c r="AA2532" s="43"/>
      <c r="AB2532" s="43"/>
    </row>
    <row r="2533" spans="1:28" ht="14.25" hidden="1" customHeight="1">
      <c r="A2533" s="163" t="s">
        <v>1017</v>
      </c>
      <c r="B2533" s="164">
        <v>45792</v>
      </c>
      <c r="C2533" s="163" t="s">
        <v>293</v>
      </c>
      <c r="D2533" s="163" t="s">
        <v>281</v>
      </c>
      <c r="E2533" s="163" t="s">
        <v>294</v>
      </c>
      <c r="F2533" s="168">
        <v>-1852.92</v>
      </c>
      <c r="G2533" s="165">
        <f t="shared" si="52"/>
        <v>-877295.92233333387</v>
      </c>
      <c r="H2533" s="295"/>
      <c r="I2533" s="295"/>
      <c r="J2533" s="295"/>
      <c r="K2533" s="295"/>
      <c r="L2533" s="295"/>
      <c r="M2533" s="295"/>
      <c r="N2533" s="295"/>
      <c r="O2533" s="295"/>
      <c r="P2533" s="295"/>
      <c r="Q2533" s="295"/>
      <c r="R2533" s="295"/>
      <c r="S2533" s="190" t="s">
        <v>500</v>
      </c>
      <c r="T2533" s="43">
        <f t="shared" si="61"/>
        <v>5</v>
      </c>
      <c r="U2533" s="167">
        <f t="shared" si="55"/>
        <v>45792</v>
      </c>
      <c r="V2533" s="145"/>
      <c r="W2533" s="43">
        <f t="shared" si="56"/>
        <v>5</v>
      </c>
      <c r="X2533" s="43"/>
      <c r="Y2533" s="43"/>
      <c r="Z2533" s="43"/>
      <c r="AA2533" s="43"/>
      <c r="AB2533" s="43"/>
    </row>
    <row r="2534" spans="1:28" ht="14.25" hidden="1" customHeight="1">
      <c r="A2534" s="163" t="s">
        <v>1017</v>
      </c>
      <c r="B2534" s="164">
        <v>45792</v>
      </c>
      <c r="C2534" s="163" t="s">
        <v>919</v>
      </c>
      <c r="D2534" s="163" t="s">
        <v>281</v>
      </c>
      <c r="E2534" s="163" t="s">
        <v>129</v>
      </c>
      <c r="F2534" s="168">
        <v>-3880</v>
      </c>
      <c r="G2534" s="165">
        <f t="shared" si="52"/>
        <v>-881175.92233333387</v>
      </c>
      <c r="H2534" s="295"/>
      <c r="I2534" s="295"/>
      <c r="J2534" s="295"/>
      <c r="K2534" s="295"/>
      <c r="L2534" s="295"/>
      <c r="M2534" s="295"/>
      <c r="N2534" s="295"/>
      <c r="O2534" s="295"/>
      <c r="P2534" s="295"/>
      <c r="Q2534" s="295"/>
      <c r="R2534" s="295"/>
      <c r="S2534" s="190" t="s">
        <v>503</v>
      </c>
      <c r="T2534" s="43">
        <f t="shared" si="61"/>
        <v>5</v>
      </c>
      <c r="U2534" s="167">
        <f t="shared" si="55"/>
        <v>45792</v>
      </c>
      <c r="V2534" s="145"/>
      <c r="W2534" s="43">
        <f t="shared" si="56"/>
        <v>5</v>
      </c>
      <c r="X2534" s="43"/>
      <c r="Y2534" s="43"/>
      <c r="Z2534" s="43"/>
      <c r="AA2534" s="43"/>
      <c r="AB2534" s="43"/>
    </row>
    <row r="2535" spans="1:28" ht="14.25" hidden="1" customHeight="1">
      <c r="A2535" s="163" t="s">
        <v>1017</v>
      </c>
      <c r="B2535" s="164">
        <v>45792</v>
      </c>
      <c r="C2535" s="163" t="s">
        <v>992</v>
      </c>
      <c r="D2535" s="163" t="s">
        <v>281</v>
      </c>
      <c r="E2535" s="163" t="s">
        <v>993</v>
      </c>
      <c r="F2535" s="168">
        <v>-1737.53</v>
      </c>
      <c r="G2535" s="165">
        <f t="shared" si="52"/>
        <v>-882913.4523333339</v>
      </c>
      <c r="H2535" s="295"/>
      <c r="I2535" s="295"/>
      <c r="J2535" s="295"/>
      <c r="K2535" s="295"/>
      <c r="L2535" s="295"/>
      <c r="M2535" s="295"/>
      <c r="N2535" s="295"/>
      <c r="O2535" s="295"/>
      <c r="P2535" s="295"/>
      <c r="Q2535" s="295"/>
      <c r="R2535" s="295"/>
      <c r="S2535" s="190" t="s">
        <v>364</v>
      </c>
      <c r="T2535" s="43">
        <f t="shared" si="61"/>
        <v>5</v>
      </c>
      <c r="U2535" s="167">
        <f t="shared" si="55"/>
        <v>45792</v>
      </c>
      <c r="V2535" s="145"/>
      <c r="W2535" s="43">
        <f t="shared" si="56"/>
        <v>5</v>
      </c>
      <c r="X2535" s="43"/>
      <c r="Y2535" s="43"/>
      <c r="Z2535" s="43"/>
      <c r="AA2535" s="43"/>
      <c r="AB2535" s="43"/>
    </row>
    <row r="2536" spans="1:28" ht="14.25" hidden="1" customHeight="1">
      <c r="A2536" s="163" t="s">
        <v>1017</v>
      </c>
      <c r="B2536" s="164">
        <v>45792</v>
      </c>
      <c r="C2536" s="163" t="s">
        <v>919</v>
      </c>
      <c r="D2536" s="163" t="s">
        <v>281</v>
      </c>
      <c r="E2536" s="163" t="s">
        <v>129</v>
      </c>
      <c r="F2536" s="168">
        <v>-1518</v>
      </c>
      <c r="G2536" s="165">
        <f t="shared" si="52"/>
        <v>-884431.4523333339</v>
      </c>
      <c r="H2536" s="295"/>
      <c r="I2536" s="295"/>
      <c r="J2536" s="295"/>
      <c r="K2536" s="295"/>
      <c r="L2536" s="295"/>
      <c r="M2536" s="295"/>
      <c r="N2536" s="295"/>
      <c r="O2536" s="295"/>
      <c r="P2536" s="295"/>
      <c r="Q2536" s="295"/>
      <c r="R2536" s="295"/>
      <c r="S2536" s="190" t="s">
        <v>507</v>
      </c>
      <c r="T2536" s="43">
        <f t="shared" si="61"/>
        <v>5</v>
      </c>
      <c r="U2536" s="167">
        <f t="shared" si="55"/>
        <v>45792</v>
      </c>
      <c r="V2536" s="145"/>
      <c r="W2536" s="43">
        <f t="shared" si="56"/>
        <v>5</v>
      </c>
      <c r="X2536" s="43"/>
      <c r="Y2536" s="43"/>
      <c r="Z2536" s="43"/>
      <c r="AA2536" s="43"/>
      <c r="AB2536" s="43"/>
    </row>
    <row r="2537" spans="1:28" ht="14.25" hidden="1" customHeight="1">
      <c r="A2537" s="163" t="s">
        <v>1017</v>
      </c>
      <c r="B2537" s="164">
        <v>45792</v>
      </c>
      <c r="C2537" s="163" t="s">
        <v>1407</v>
      </c>
      <c r="D2537" s="163" t="s">
        <v>281</v>
      </c>
      <c r="E2537" s="163" t="s">
        <v>199</v>
      </c>
      <c r="F2537" s="168">
        <v>-130</v>
      </c>
      <c r="G2537" s="165">
        <f t="shared" si="52"/>
        <v>-884561.4523333339</v>
      </c>
      <c r="H2537" s="295"/>
      <c r="I2537" s="295"/>
      <c r="J2537" s="295"/>
      <c r="K2537" s="295"/>
      <c r="L2537" s="295"/>
      <c r="M2537" s="295"/>
      <c r="N2537" s="295"/>
      <c r="O2537" s="295"/>
      <c r="P2537" s="295"/>
      <c r="Q2537" s="295"/>
      <c r="R2537" s="295"/>
      <c r="S2537" s="190" t="s">
        <v>320</v>
      </c>
      <c r="T2537" s="43">
        <f t="shared" si="61"/>
        <v>5</v>
      </c>
      <c r="U2537" s="167">
        <f t="shared" si="55"/>
        <v>45792</v>
      </c>
      <c r="V2537" s="145"/>
      <c r="W2537" s="43">
        <f t="shared" si="56"/>
        <v>5</v>
      </c>
      <c r="X2537" s="43"/>
      <c r="Y2537" s="43"/>
      <c r="Z2537" s="43"/>
      <c r="AA2537" s="43"/>
      <c r="AB2537" s="43"/>
    </row>
    <row r="2538" spans="1:28" ht="14.25" hidden="1" customHeight="1">
      <c r="A2538" s="163" t="s">
        <v>1017</v>
      </c>
      <c r="B2538" s="164">
        <v>45792</v>
      </c>
      <c r="C2538" s="163" t="s">
        <v>1814</v>
      </c>
      <c r="D2538" s="163" t="s">
        <v>281</v>
      </c>
      <c r="E2538" s="163" t="s">
        <v>392</v>
      </c>
      <c r="F2538" s="168">
        <v>-5000</v>
      </c>
      <c r="G2538" s="165">
        <f t="shared" si="52"/>
        <v>-889561.4523333339</v>
      </c>
      <c r="H2538" s="295"/>
      <c r="I2538" s="295"/>
      <c r="J2538" s="295"/>
      <c r="K2538" s="295"/>
      <c r="L2538" s="295"/>
      <c r="M2538" s="295"/>
      <c r="N2538" s="295"/>
      <c r="O2538" s="295"/>
      <c r="P2538" s="295"/>
      <c r="Q2538" s="295"/>
      <c r="R2538" s="295"/>
      <c r="S2538" s="190" t="s">
        <v>320</v>
      </c>
      <c r="T2538" s="43">
        <f t="shared" si="61"/>
        <v>5</v>
      </c>
      <c r="U2538" s="167">
        <f t="shared" si="55"/>
        <v>45792</v>
      </c>
      <c r="V2538" s="145"/>
      <c r="W2538" s="43">
        <f t="shared" si="56"/>
        <v>5</v>
      </c>
      <c r="X2538" s="43"/>
      <c r="Y2538" s="43"/>
      <c r="Z2538" s="43"/>
      <c r="AA2538" s="43"/>
      <c r="AB2538" s="43"/>
    </row>
    <row r="2539" spans="1:28" ht="14.25" hidden="1" customHeight="1">
      <c r="A2539" s="163"/>
      <c r="B2539" s="164">
        <v>45792</v>
      </c>
      <c r="C2539" s="163" t="s">
        <v>346</v>
      </c>
      <c r="D2539" s="163"/>
      <c r="E2539" s="163"/>
      <c r="F2539" s="165">
        <v>0</v>
      </c>
      <c r="G2539" s="165">
        <f t="shared" si="52"/>
        <v>-889561.4523333339</v>
      </c>
      <c r="H2539" s="295"/>
      <c r="I2539" s="295"/>
      <c r="J2539" s="295"/>
      <c r="K2539" s="295"/>
      <c r="L2539" s="295"/>
      <c r="M2539" s="295"/>
      <c r="N2539" s="295"/>
      <c r="O2539" s="295"/>
      <c r="P2539" s="295"/>
      <c r="Q2539" s="295"/>
      <c r="R2539" s="295"/>
      <c r="S2539" s="190" t="s">
        <v>320</v>
      </c>
      <c r="T2539" s="43">
        <f t="shared" si="61"/>
        <v>5</v>
      </c>
      <c r="U2539" s="167">
        <f t="shared" si="55"/>
        <v>45792</v>
      </c>
      <c r="V2539" s="145"/>
      <c r="W2539" s="43">
        <f t="shared" si="56"/>
        <v>5</v>
      </c>
      <c r="X2539" s="43"/>
      <c r="Y2539" s="43"/>
      <c r="Z2539" s="43"/>
      <c r="AA2539" s="43"/>
      <c r="AB2539" s="43"/>
    </row>
    <row r="2540" spans="1:28" ht="14.25" hidden="1" customHeight="1">
      <c r="A2540" s="163" t="s">
        <v>1017</v>
      </c>
      <c r="B2540" s="164">
        <v>45793</v>
      </c>
      <c r="C2540" s="163" t="s">
        <v>130</v>
      </c>
      <c r="D2540" s="163" t="s">
        <v>281</v>
      </c>
      <c r="E2540" s="163" t="s">
        <v>199</v>
      </c>
      <c r="F2540" s="168">
        <v>-205</v>
      </c>
      <c r="G2540" s="165">
        <f t="shared" si="52"/>
        <v>-889766.4523333339</v>
      </c>
      <c r="H2540" s="295"/>
      <c r="I2540" s="295"/>
      <c r="J2540" s="295"/>
      <c r="K2540" s="295"/>
      <c r="L2540" s="295"/>
      <c r="M2540" s="295"/>
      <c r="N2540" s="295"/>
      <c r="O2540" s="295"/>
      <c r="P2540" s="295"/>
      <c r="Q2540" s="295"/>
      <c r="R2540" s="295"/>
      <c r="S2540" s="190" t="s">
        <v>320</v>
      </c>
      <c r="T2540" s="43">
        <f t="shared" si="61"/>
        <v>5</v>
      </c>
      <c r="U2540" s="167">
        <f t="shared" si="55"/>
        <v>45793</v>
      </c>
      <c r="V2540" s="145"/>
      <c r="W2540" s="43">
        <f t="shared" si="56"/>
        <v>5</v>
      </c>
      <c r="X2540" s="43"/>
      <c r="Y2540" s="43"/>
      <c r="Z2540" s="43"/>
      <c r="AA2540" s="43"/>
      <c r="AB2540" s="43"/>
    </row>
    <row r="2541" spans="1:28" ht="14.25" hidden="1" customHeight="1">
      <c r="A2541" s="163" t="s">
        <v>1017</v>
      </c>
      <c r="B2541" s="164">
        <v>45793</v>
      </c>
      <c r="C2541" s="163" t="s">
        <v>1155</v>
      </c>
      <c r="D2541" s="163" t="s">
        <v>281</v>
      </c>
      <c r="E2541" s="163" t="s">
        <v>392</v>
      </c>
      <c r="F2541" s="168">
        <v>-9385</v>
      </c>
      <c r="G2541" s="165">
        <f t="shared" si="52"/>
        <v>-899151.4523333339</v>
      </c>
      <c r="H2541" s="295"/>
      <c r="I2541" s="295"/>
      <c r="J2541" s="295"/>
      <c r="K2541" s="295"/>
      <c r="L2541" s="295"/>
      <c r="M2541" s="295"/>
      <c r="N2541" s="295"/>
      <c r="O2541" s="295"/>
      <c r="P2541" s="295"/>
      <c r="Q2541" s="295"/>
      <c r="R2541" s="295"/>
      <c r="S2541" s="190" t="s">
        <v>320</v>
      </c>
      <c r="T2541" s="43">
        <f t="shared" si="61"/>
        <v>5</v>
      </c>
      <c r="U2541" s="167">
        <f t="shared" si="55"/>
        <v>45793</v>
      </c>
      <c r="V2541" s="145"/>
      <c r="W2541" s="43">
        <f t="shared" si="56"/>
        <v>5</v>
      </c>
      <c r="X2541" s="43"/>
      <c r="Y2541" s="43"/>
      <c r="Z2541" s="43"/>
      <c r="AA2541" s="43"/>
      <c r="AB2541" s="43"/>
    </row>
    <row r="2542" spans="1:28" ht="14.25" hidden="1" customHeight="1">
      <c r="A2542" s="163" t="s">
        <v>1017</v>
      </c>
      <c r="B2542" s="164">
        <v>45793</v>
      </c>
      <c r="C2542" s="163" t="s">
        <v>1010</v>
      </c>
      <c r="D2542" s="163" t="s">
        <v>281</v>
      </c>
      <c r="E2542" s="163" t="s">
        <v>199</v>
      </c>
      <c r="F2542" s="168">
        <v>-2500</v>
      </c>
      <c r="G2542" s="165">
        <f t="shared" si="52"/>
        <v>-901651.4523333339</v>
      </c>
      <c r="H2542" s="295"/>
      <c r="I2542" s="295"/>
      <c r="J2542" s="295"/>
      <c r="K2542" s="295"/>
      <c r="L2542" s="295"/>
      <c r="M2542" s="295"/>
      <c r="N2542" s="295"/>
      <c r="O2542" s="295"/>
      <c r="P2542" s="295"/>
      <c r="Q2542" s="295"/>
      <c r="R2542" s="295"/>
      <c r="S2542" s="190" t="s">
        <v>320</v>
      </c>
      <c r="T2542" s="43">
        <f t="shared" si="61"/>
        <v>5</v>
      </c>
      <c r="U2542" s="167">
        <f t="shared" si="55"/>
        <v>45793</v>
      </c>
      <c r="V2542" s="145"/>
      <c r="W2542" s="43">
        <f t="shared" si="56"/>
        <v>5</v>
      </c>
      <c r="X2542" s="43"/>
      <c r="Y2542" s="43"/>
      <c r="Z2542" s="43"/>
      <c r="AA2542" s="43"/>
      <c r="AB2542" s="43"/>
    </row>
    <row r="2543" spans="1:28" ht="14.25" hidden="1" customHeight="1">
      <c r="A2543" s="163"/>
      <c r="B2543" s="164">
        <v>45793</v>
      </c>
      <c r="C2543" s="163" t="s">
        <v>346</v>
      </c>
      <c r="D2543" s="163"/>
      <c r="E2543" s="163"/>
      <c r="F2543" s="165">
        <v>0</v>
      </c>
      <c r="G2543" s="165">
        <f t="shared" si="52"/>
        <v>-901651.4523333339</v>
      </c>
      <c r="H2543" s="295"/>
      <c r="I2543" s="295"/>
      <c r="J2543" s="295"/>
      <c r="K2543" s="295"/>
      <c r="L2543" s="295"/>
      <c r="M2543" s="295"/>
      <c r="N2543" s="295"/>
      <c r="O2543" s="295"/>
      <c r="P2543" s="295"/>
      <c r="Q2543" s="295"/>
      <c r="R2543" s="295"/>
      <c r="S2543" s="190" t="s">
        <v>320</v>
      </c>
      <c r="T2543" s="43">
        <f t="shared" si="61"/>
        <v>5</v>
      </c>
      <c r="U2543" s="167">
        <f t="shared" si="55"/>
        <v>45793</v>
      </c>
      <c r="V2543" s="145"/>
      <c r="W2543" s="43">
        <f t="shared" si="56"/>
        <v>5</v>
      </c>
      <c r="X2543" s="43"/>
      <c r="Y2543" s="43"/>
      <c r="Z2543" s="43"/>
      <c r="AA2543" s="43"/>
      <c r="AB2543" s="43"/>
    </row>
    <row r="2544" spans="1:28" ht="14.25" hidden="1" customHeight="1">
      <c r="A2544" s="163" t="s">
        <v>1017</v>
      </c>
      <c r="B2544" s="164">
        <v>45796</v>
      </c>
      <c r="C2544" s="163" t="s">
        <v>1010</v>
      </c>
      <c r="D2544" s="163" t="s">
        <v>281</v>
      </c>
      <c r="E2544" s="163" t="s">
        <v>199</v>
      </c>
      <c r="F2544" s="168">
        <v>-2500</v>
      </c>
      <c r="G2544" s="165">
        <f t="shared" si="52"/>
        <v>-904151.4523333339</v>
      </c>
      <c r="H2544" s="295"/>
      <c r="I2544" s="295"/>
      <c r="J2544" s="295"/>
      <c r="K2544" s="295"/>
      <c r="L2544" s="295"/>
      <c r="M2544" s="295"/>
      <c r="N2544" s="295"/>
      <c r="O2544" s="295"/>
      <c r="P2544" s="295"/>
      <c r="Q2544" s="295"/>
      <c r="R2544" s="295"/>
      <c r="S2544" s="190" t="s">
        <v>320</v>
      </c>
      <c r="T2544" s="43">
        <f t="shared" si="61"/>
        <v>5</v>
      </c>
      <c r="U2544" s="167">
        <f t="shared" si="55"/>
        <v>45796</v>
      </c>
      <c r="V2544" s="145"/>
      <c r="W2544" s="43">
        <f t="shared" si="56"/>
        <v>5</v>
      </c>
      <c r="X2544" s="43"/>
      <c r="Y2544" s="43"/>
      <c r="Z2544" s="43"/>
      <c r="AA2544" s="43"/>
      <c r="AB2544" s="43"/>
    </row>
    <row r="2545" spans="1:28" ht="14.25" hidden="1" customHeight="1">
      <c r="A2545" s="163"/>
      <c r="B2545" s="164">
        <v>45796</v>
      </c>
      <c r="C2545" s="163" t="s">
        <v>346</v>
      </c>
      <c r="D2545" s="163"/>
      <c r="E2545" s="163"/>
      <c r="F2545" s="165">
        <v>0</v>
      </c>
      <c r="G2545" s="165">
        <f t="shared" si="52"/>
        <v>-904151.4523333339</v>
      </c>
      <c r="H2545" s="295"/>
      <c r="I2545" s="295"/>
      <c r="J2545" s="295"/>
      <c r="K2545" s="295"/>
      <c r="L2545" s="295"/>
      <c r="M2545" s="295"/>
      <c r="N2545" s="295"/>
      <c r="O2545" s="295"/>
      <c r="P2545" s="295"/>
      <c r="Q2545" s="295"/>
      <c r="R2545" s="295"/>
      <c r="S2545" s="190"/>
      <c r="T2545" s="43">
        <f t="shared" si="61"/>
        <v>5</v>
      </c>
      <c r="U2545" s="167">
        <f t="shared" si="55"/>
        <v>45796</v>
      </c>
      <c r="V2545" s="145"/>
      <c r="W2545" s="43">
        <f t="shared" si="56"/>
        <v>5</v>
      </c>
      <c r="X2545" s="43"/>
      <c r="Y2545" s="43"/>
      <c r="Z2545" s="43"/>
      <c r="AA2545" s="43"/>
      <c r="AB2545" s="43"/>
    </row>
    <row r="2546" spans="1:28" ht="14.25" hidden="1" customHeight="1">
      <c r="A2546" s="163" t="s">
        <v>1174</v>
      </c>
      <c r="B2546" s="164">
        <v>45797</v>
      </c>
      <c r="C2546" s="163" t="s">
        <v>1106</v>
      </c>
      <c r="D2546" s="163" t="s">
        <v>281</v>
      </c>
      <c r="E2546" s="163" t="s">
        <v>407</v>
      </c>
      <c r="F2546" s="165">
        <v>1950</v>
      </c>
      <c r="G2546" s="165">
        <f t="shared" si="52"/>
        <v>-902201.4523333339</v>
      </c>
      <c r="H2546" s="295"/>
      <c r="I2546" s="295"/>
      <c r="J2546" s="295"/>
      <c r="K2546" s="295"/>
      <c r="L2546" s="295"/>
      <c r="M2546" s="295"/>
      <c r="N2546" s="295"/>
      <c r="O2546" s="295"/>
      <c r="P2546" s="295"/>
      <c r="Q2546" s="295"/>
      <c r="R2546" s="295"/>
      <c r="S2546" s="190" t="s">
        <v>1863</v>
      </c>
      <c r="T2546" s="43">
        <f t="shared" si="61"/>
        <v>5</v>
      </c>
      <c r="U2546" s="167">
        <f t="shared" si="55"/>
        <v>45797</v>
      </c>
      <c r="V2546" s="145"/>
      <c r="W2546" s="43">
        <f t="shared" si="56"/>
        <v>5</v>
      </c>
      <c r="X2546" s="43"/>
      <c r="Y2546" s="43"/>
      <c r="Z2546" s="43"/>
      <c r="AA2546" s="43"/>
      <c r="AB2546" s="43"/>
    </row>
    <row r="2547" spans="1:28" ht="14.25" hidden="1" customHeight="1">
      <c r="A2547" s="163" t="s">
        <v>1174</v>
      </c>
      <c r="B2547" s="164">
        <v>45797</v>
      </c>
      <c r="C2547" s="163" t="s">
        <v>72</v>
      </c>
      <c r="D2547" s="163" t="s">
        <v>281</v>
      </c>
      <c r="E2547" s="163" t="s">
        <v>407</v>
      </c>
      <c r="F2547" s="165">
        <v>2950</v>
      </c>
      <c r="G2547" s="165">
        <f t="shared" si="52"/>
        <v>-899251.4523333339</v>
      </c>
      <c r="H2547" s="295"/>
      <c r="I2547" s="295"/>
      <c r="J2547" s="295"/>
      <c r="K2547" s="295"/>
      <c r="L2547" s="295"/>
      <c r="M2547" s="295"/>
      <c r="N2547" s="295"/>
      <c r="O2547" s="295"/>
      <c r="P2547" s="295"/>
      <c r="Q2547" s="295"/>
      <c r="R2547" s="295"/>
      <c r="S2547" s="190" t="s">
        <v>390</v>
      </c>
      <c r="T2547" s="43">
        <f t="shared" si="61"/>
        <v>5</v>
      </c>
      <c r="U2547" s="167">
        <f t="shared" si="55"/>
        <v>45797</v>
      </c>
      <c r="V2547" s="145"/>
      <c r="W2547" s="43">
        <f t="shared" si="56"/>
        <v>5</v>
      </c>
      <c r="X2547" s="43"/>
      <c r="Y2547" s="43"/>
      <c r="Z2547" s="43"/>
      <c r="AA2547" s="43"/>
      <c r="AB2547" s="43"/>
    </row>
    <row r="2548" spans="1:28" ht="14.25" hidden="1" customHeight="1">
      <c r="A2548" s="163" t="s">
        <v>1174</v>
      </c>
      <c r="B2548" s="164">
        <v>45797</v>
      </c>
      <c r="C2548" s="163" t="s">
        <v>1855</v>
      </c>
      <c r="D2548" s="163" t="s">
        <v>281</v>
      </c>
      <c r="E2548" s="163" t="s">
        <v>407</v>
      </c>
      <c r="F2548" s="165">
        <v>2997</v>
      </c>
      <c r="G2548" s="165">
        <f t="shared" si="52"/>
        <v>-896254.4523333339</v>
      </c>
      <c r="H2548" s="295"/>
      <c r="I2548" s="295"/>
      <c r="J2548" s="295"/>
      <c r="K2548" s="295"/>
      <c r="L2548" s="295"/>
      <c r="M2548" s="295"/>
      <c r="N2548" s="295"/>
      <c r="O2548" s="295"/>
      <c r="P2548" s="295"/>
      <c r="Q2548" s="295"/>
      <c r="R2548" s="295"/>
      <c r="S2548" s="190" t="s">
        <v>1272</v>
      </c>
      <c r="T2548" s="43">
        <f t="shared" si="61"/>
        <v>5</v>
      </c>
      <c r="U2548" s="167">
        <f t="shared" si="55"/>
        <v>45797</v>
      </c>
      <c r="V2548" s="145"/>
      <c r="W2548" s="43">
        <f t="shared" si="56"/>
        <v>5</v>
      </c>
      <c r="X2548" s="43"/>
      <c r="Y2548" s="43"/>
      <c r="Z2548" s="43"/>
      <c r="AA2548" s="43"/>
      <c r="AB2548" s="43"/>
    </row>
    <row r="2549" spans="1:28" ht="14.25" hidden="1" customHeight="1">
      <c r="A2549" s="163" t="s">
        <v>1174</v>
      </c>
      <c r="B2549" s="164">
        <v>45797</v>
      </c>
      <c r="C2549" s="163" t="s">
        <v>1018</v>
      </c>
      <c r="D2549" s="163" t="s">
        <v>281</v>
      </c>
      <c r="E2549" s="163" t="s">
        <v>407</v>
      </c>
      <c r="F2549" s="165">
        <v>4199</v>
      </c>
      <c r="G2549" s="165">
        <f t="shared" si="52"/>
        <v>-892055.4523333339</v>
      </c>
      <c r="H2549" s="295"/>
      <c r="I2549" s="295"/>
      <c r="J2549" s="295"/>
      <c r="K2549" s="295"/>
      <c r="L2549" s="295"/>
      <c r="M2549" s="295"/>
      <c r="N2549" s="295"/>
      <c r="O2549" s="295"/>
      <c r="P2549" s="295"/>
      <c r="Q2549" s="295"/>
      <c r="R2549" s="295"/>
      <c r="S2549" s="190" t="s">
        <v>942</v>
      </c>
      <c r="T2549" s="43">
        <f t="shared" si="61"/>
        <v>5</v>
      </c>
      <c r="U2549" s="167">
        <f t="shared" si="55"/>
        <v>45797</v>
      </c>
      <c r="V2549" s="145"/>
      <c r="W2549" s="43">
        <f t="shared" si="56"/>
        <v>5</v>
      </c>
      <c r="X2549" s="43"/>
      <c r="Y2549" s="43"/>
      <c r="Z2549" s="43"/>
      <c r="AA2549" s="43"/>
      <c r="AB2549" s="43"/>
    </row>
    <row r="2550" spans="1:28" ht="14.25" hidden="1" customHeight="1">
      <c r="A2550" s="163" t="s">
        <v>1017</v>
      </c>
      <c r="B2550" s="164">
        <v>45797</v>
      </c>
      <c r="C2550" s="163" t="s">
        <v>351</v>
      </c>
      <c r="D2550" s="163" t="s">
        <v>281</v>
      </c>
      <c r="E2550" s="163" t="s">
        <v>122</v>
      </c>
      <c r="F2550" s="168">
        <v>-14507.88</v>
      </c>
      <c r="G2550" s="165">
        <f t="shared" si="52"/>
        <v>-906563.33233333391</v>
      </c>
      <c r="H2550" s="295"/>
      <c r="I2550" s="295"/>
      <c r="J2550" s="295"/>
      <c r="K2550" s="295"/>
      <c r="L2550" s="295"/>
      <c r="M2550" s="295"/>
      <c r="N2550" s="295"/>
      <c r="O2550" s="295"/>
      <c r="P2550" s="295"/>
      <c r="Q2550" s="295"/>
      <c r="R2550" s="295"/>
      <c r="S2550" s="190"/>
      <c r="T2550" s="43">
        <f t="shared" si="61"/>
        <v>5</v>
      </c>
      <c r="U2550" s="167">
        <f t="shared" si="55"/>
        <v>45797</v>
      </c>
      <c r="V2550" s="145"/>
      <c r="W2550" s="43">
        <f t="shared" si="56"/>
        <v>5</v>
      </c>
      <c r="X2550" s="43"/>
      <c r="Y2550" s="43"/>
      <c r="Z2550" s="43"/>
      <c r="AA2550" s="43"/>
      <c r="AB2550" s="43"/>
    </row>
    <row r="2551" spans="1:28" ht="14.25" hidden="1" customHeight="1">
      <c r="A2551" s="163" t="s">
        <v>1017</v>
      </c>
      <c r="B2551" s="164">
        <v>45797</v>
      </c>
      <c r="C2551" s="163" t="s">
        <v>1073</v>
      </c>
      <c r="D2551" s="163" t="s">
        <v>281</v>
      </c>
      <c r="E2551" s="163" t="s">
        <v>1074</v>
      </c>
      <c r="F2551" s="168">
        <v>-608</v>
      </c>
      <c r="G2551" s="165">
        <f t="shared" si="52"/>
        <v>-907171.33233333391</v>
      </c>
      <c r="H2551" s="295"/>
      <c r="I2551" s="295"/>
      <c r="J2551" s="295"/>
      <c r="K2551" s="295"/>
      <c r="L2551" s="295"/>
      <c r="M2551" s="295"/>
      <c r="N2551" s="295"/>
      <c r="O2551" s="295"/>
      <c r="P2551" s="295"/>
      <c r="Q2551" s="295"/>
      <c r="R2551" s="295"/>
      <c r="S2551" s="190" t="s">
        <v>390</v>
      </c>
      <c r="T2551" s="43">
        <f t="shared" si="61"/>
        <v>5</v>
      </c>
      <c r="U2551" s="167">
        <f t="shared" si="55"/>
        <v>45797</v>
      </c>
      <c r="V2551" s="145"/>
      <c r="W2551" s="43">
        <f t="shared" si="56"/>
        <v>5</v>
      </c>
      <c r="X2551" s="43"/>
      <c r="Y2551" s="43"/>
      <c r="Z2551" s="43"/>
      <c r="AA2551" s="43"/>
      <c r="AB2551" s="43"/>
    </row>
    <row r="2552" spans="1:28" ht="14.25" hidden="1" customHeight="1">
      <c r="A2552" s="163" t="s">
        <v>1017</v>
      </c>
      <c r="B2552" s="164">
        <v>45797</v>
      </c>
      <c r="C2552" s="163" t="s">
        <v>95</v>
      </c>
      <c r="D2552" s="163" t="s">
        <v>281</v>
      </c>
      <c r="E2552" s="163" t="s">
        <v>1031</v>
      </c>
      <c r="F2552" s="168">
        <v>-1157.74</v>
      </c>
      <c r="G2552" s="165">
        <f t="shared" si="52"/>
        <v>-908329.0723333339</v>
      </c>
      <c r="H2552" s="295"/>
      <c r="I2552" s="295"/>
      <c r="J2552" s="295"/>
      <c r="K2552" s="295"/>
      <c r="L2552" s="295"/>
      <c r="M2552" s="295"/>
      <c r="N2552" s="295"/>
      <c r="O2552" s="295"/>
      <c r="P2552" s="295"/>
      <c r="Q2552" s="295"/>
      <c r="R2552" s="295"/>
      <c r="S2552" s="190" t="s">
        <v>874</v>
      </c>
      <c r="T2552" s="43">
        <f t="shared" si="61"/>
        <v>5</v>
      </c>
      <c r="U2552" s="167">
        <f t="shared" si="55"/>
        <v>45797</v>
      </c>
      <c r="V2552" s="145"/>
      <c r="W2552" s="43">
        <f t="shared" si="56"/>
        <v>5</v>
      </c>
      <c r="X2552" s="43"/>
      <c r="Y2552" s="43"/>
      <c r="Z2552" s="43"/>
      <c r="AA2552" s="43"/>
      <c r="AB2552" s="43"/>
    </row>
    <row r="2553" spans="1:28" ht="14.25" hidden="1" customHeight="1">
      <c r="A2553" s="163" t="s">
        <v>1017</v>
      </c>
      <c r="B2553" s="164">
        <v>45797</v>
      </c>
      <c r="C2553" s="163" t="s">
        <v>466</v>
      </c>
      <c r="D2553" s="163" t="s">
        <v>281</v>
      </c>
      <c r="E2553" s="163" t="s">
        <v>1031</v>
      </c>
      <c r="F2553" s="168">
        <v>-1021.1</v>
      </c>
      <c r="G2553" s="165">
        <f t="shared" ref="G2553:G2640" si="62">F2553+G2552</f>
        <v>-909350.17233333387</v>
      </c>
      <c r="H2553" s="295"/>
      <c r="I2553" s="295"/>
      <c r="J2553" s="295"/>
      <c r="K2553" s="295"/>
      <c r="L2553" s="295"/>
      <c r="M2553" s="295"/>
      <c r="N2553" s="295"/>
      <c r="O2553" s="295"/>
      <c r="P2553" s="295"/>
      <c r="Q2553" s="295"/>
      <c r="R2553" s="295"/>
      <c r="S2553" s="190"/>
      <c r="T2553" s="43">
        <f t="shared" si="61"/>
        <v>5</v>
      </c>
      <c r="U2553" s="167">
        <f t="shared" si="55"/>
        <v>45797</v>
      </c>
      <c r="V2553" s="145"/>
      <c r="W2553" s="43">
        <f t="shared" si="56"/>
        <v>5</v>
      </c>
      <c r="X2553" s="43"/>
      <c r="Y2553" s="43"/>
      <c r="Z2553" s="43"/>
      <c r="AA2553" s="43"/>
      <c r="AB2553" s="43"/>
    </row>
    <row r="2554" spans="1:28" ht="14.25" hidden="1" customHeight="1">
      <c r="A2554" s="163" t="s">
        <v>1017</v>
      </c>
      <c r="B2554" s="164">
        <v>45797</v>
      </c>
      <c r="C2554" s="163" t="s">
        <v>1425</v>
      </c>
      <c r="D2554" s="163" t="s">
        <v>281</v>
      </c>
      <c r="E2554" s="163" t="s">
        <v>1426</v>
      </c>
      <c r="F2554" s="168">
        <v>-73345.070000000007</v>
      </c>
      <c r="G2554" s="165">
        <f t="shared" si="62"/>
        <v>-982695.24233333394</v>
      </c>
      <c r="H2554" s="295"/>
      <c r="I2554" s="295"/>
      <c r="J2554" s="295"/>
      <c r="K2554" s="295"/>
      <c r="L2554" s="295"/>
      <c r="M2554" s="295"/>
      <c r="N2554" s="295"/>
      <c r="O2554" s="295"/>
      <c r="P2554" s="295"/>
      <c r="Q2554" s="295"/>
      <c r="R2554" s="295"/>
      <c r="S2554" s="190" t="s">
        <v>1525</v>
      </c>
      <c r="T2554" s="43">
        <f t="shared" si="61"/>
        <v>5</v>
      </c>
      <c r="U2554" s="167">
        <f t="shared" si="55"/>
        <v>45797</v>
      </c>
      <c r="V2554" s="145"/>
      <c r="W2554" s="43">
        <f t="shared" si="56"/>
        <v>5</v>
      </c>
      <c r="X2554" s="43"/>
      <c r="Y2554" s="43"/>
      <c r="Z2554" s="43"/>
      <c r="AA2554" s="43"/>
      <c r="AB2554" s="43"/>
    </row>
    <row r="2555" spans="1:28" ht="14.25" hidden="1" customHeight="1">
      <c r="A2555" s="163" t="s">
        <v>1017</v>
      </c>
      <c r="B2555" s="164">
        <v>45797</v>
      </c>
      <c r="C2555" s="163" t="s">
        <v>293</v>
      </c>
      <c r="D2555" s="163" t="s">
        <v>281</v>
      </c>
      <c r="E2555" s="163" t="s">
        <v>294</v>
      </c>
      <c r="F2555" s="168">
        <v>-6413.27</v>
      </c>
      <c r="G2555" s="165">
        <f t="shared" si="62"/>
        <v>-989108.51233333396</v>
      </c>
      <c r="H2555" s="295"/>
      <c r="I2555" s="295"/>
      <c r="J2555" s="295"/>
      <c r="K2555" s="295"/>
      <c r="L2555" s="295"/>
      <c r="M2555" s="295"/>
      <c r="N2555" s="295"/>
      <c r="O2555" s="295"/>
      <c r="P2555" s="295"/>
      <c r="Q2555" s="295"/>
      <c r="R2555" s="295"/>
      <c r="S2555" s="190" t="s">
        <v>667</v>
      </c>
      <c r="T2555" s="43">
        <f t="shared" si="61"/>
        <v>5</v>
      </c>
      <c r="U2555" s="167">
        <f t="shared" si="55"/>
        <v>45797</v>
      </c>
      <c r="V2555" s="145"/>
      <c r="W2555" s="43">
        <f t="shared" si="56"/>
        <v>5</v>
      </c>
      <c r="X2555" s="43"/>
      <c r="Y2555" s="43"/>
      <c r="Z2555" s="43"/>
      <c r="AA2555" s="43"/>
      <c r="AB2555" s="43"/>
    </row>
    <row r="2556" spans="1:28" ht="14.25" hidden="1" customHeight="1">
      <c r="A2556" s="163" t="s">
        <v>1017</v>
      </c>
      <c r="B2556" s="164">
        <v>45797</v>
      </c>
      <c r="C2556" s="163" t="s">
        <v>293</v>
      </c>
      <c r="D2556" s="163" t="s">
        <v>281</v>
      </c>
      <c r="E2556" s="163" t="s">
        <v>294</v>
      </c>
      <c r="F2556" s="168">
        <v>-2928.6</v>
      </c>
      <c r="G2556" s="165">
        <f t="shared" si="62"/>
        <v>-992037.11233333393</v>
      </c>
      <c r="H2556" s="295"/>
      <c r="I2556" s="295"/>
      <c r="J2556" s="295"/>
      <c r="K2556" s="295"/>
      <c r="L2556" s="295"/>
      <c r="M2556" s="295"/>
      <c r="N2556" s="295"/>
      <c r="O2556" s="295"/>
      <c r="P2556" s="295"/>
      <c r="Q2556" s="295"/>
      <c r="R2556" s="295"/>
      <c r="S2556" s="190" t="s">
        <v>329</v>
      </c>
      <c r="T2556" s="43">
        <f t="shared" si="61"/>
        <v>5</v>
      </c>
      <c r="U2556" s="167">
        <f t="shared" si="55"/>
        <v>45797</v>
      </c>
      <c r="V2556" s="145"/>
      <c r="W2556" s="43">
        <f t="shared" si="56"/>
        <v>5</v>
      </c>
      <c r="X2556" s="43"/>
      <c r="Y2556" s="43"/>
      <c r="Z2556" s="43"/>
      <c r="AA2556" s="43"/>
      <c r="AB2556" s="43"/>
    </row>
    <row r="2557" spans="1:28" ht="14.25" hidden="1" customHeight="1">
      <c r="A2557" s="163" t="s">
        <v>1017</v>
      </c>
      <c r="B2557" s="164">
        <v>45797</v>
      </c>
      <c r="C2557" s="163" t="s">
        <v>124</v>
      </c>
      <c r="D2557" s="163" t="s">
        <v>281</v>
      </c>
      <c r="E2557" s="163" t="s">
        <v>199</v>
      </c>
      <c r="F2557" s="168">
        <v>-95</v>
      </c>
      <c r="G2557" s="165">
        <f t="shared" si="62"/>
        <v>-992132.11233333393</v>
      </c>
      <c r="H2557" s="295"/>
      <c r="I2557" s="295"/>
      <c r="J2557" s="295"/>
      <c r="K2557" s="295"/>
      <c r="L2557" s="295"/>
      <c r="M2557" s="295"/>
      <c r="N2557" s="295"/>
      <c r="O2557" s="295"/>
      <c r="P2557" s="295"/>
      <c r="Q2557" s="295"/>
      <c r="R2557" s="295"/>
      <c r="S2557" s="190" t="s">
        <v>814</v>
      </c>
      <c r="T2557" s="43">
        <f t="shared" si="61"/>
        <v>5</v>
      </c>
      <c r="U2557" s="167">
        <f t="shared" si="55"/>
        <v>45797</v>
      </c>
      <c r="V2557" s="145"/>
      <c r="W2557" s="43">
        <f t="shared" si="56"/>
        <v>5</v>
      </c>
      <c r="X2557" s="43"/>
      <c r="Y2557" s="43"/>
      <c r="Z2557" s="43"/>
      <c r="AA2557" s="43"/>
      <c r="AB2557" s="43"/>
    </row>
    <row r="2558" spans="1:28" ht="14.25" hidden="1" customHeight="1">
      <c r="A2558" s="163" t="s">
        <v>1017</v>
      </c>
      <c r="B2558" s="164">
        <v>45797</v>
      </c>
      <c r="C2558" s="163" t="s">
        <v>111</v>
      </c>
      <c r="D2558" s="163" t="s">
        <v>281</v>
      </c>
      <c r="E2558" s="163" t="s">
        <v>1031</v>
      </c>
      <c r="F2558" s="168">
        <v>-2080</v>
      </c>
      <c r="G2558" s="165">
        <f t="shared" si="62"/>
        <v>-994212.11233333393</v>
      </c>
      <c r="H2558" s="295"/>
      <c r="I2558" s="295"/>
      <c r="J2558" s="295"/>
      <c r="K2558" s="295"/>
      <c r="L2558" s="295"/>
      <c r="M2558" s="295"/>
      <c r="N2558" s="295"/>
      <c r="O2558" s="295"/>
      <c r="P2558" s="295"/>
      <c r="Q2558" s="295"/>
      <c r="R2558" s="295"/>
      <c r="S2558" s="190" t="s">
        <v>864</v>
      </c>
      <c r="T2558" s="43">
        <f t="shared" si="61"/>
        <v>5</v>
      </c>
      <c r="U2558" s="167">
        <f t="shared" si="55"/>
        <v>45797</v>
      </c>
      <c r="V2558" s="145"/>
      <c r="W2558" s="43">
        <f t="shared" si="56"/>
        <v>5</v>
      </c>
      <c r="X2558" s="43"/>
      <c r="Y2558" s="43"/>
      <c r="Z2558" s="43"/>
      <c r="AA2558" s="43"/>
      <c r="AB2558" s="43"/>
    </row>
    <row r="2559" spans="1:28" ht="14.25" hidden="1" customHeight="1">
      <c r="A2559" s="163" t="s">
        <v>1017</v>
      </c>
      <c r="B2559" s="164">
        <v>45797</v>
      </c>
      <c r="C2559" s="163" t="s">
        <v>93</v>
      </c>
      <c r="D2559" s="163" t="s">
        <v>281</v>
      </c>
      <c r="E2559" s="163" t="s">
        <v>1031</v>
      </c>
      <c r="F2559" s="168">
        <v>-4800</v>
      </c>
      <c r="G2559" s="165">
        <f t="shared" si="62"/>
        <v>-999012.11233333393</v>
      </c>
      <c r="H2559" s="295"/>
      <c r="I2559" s="295"/>
      <c r="J2559" s="295"/>
      <c r="K2559" s="295"/>
      <c r="L2559" s="295"/>
      <c r="M2559" s="295"/>
      <c r="N2559" s="295"/>
      <c r="O2559" s="295"/>
      <c r="P2559" s="295"/>
      <c r="Q2559" s="295"/>
      <c r="R2559" s="295"/>
      <c r="S2559" s="190" t="s">
        <v>672</v>
      </c>
      <c r="T2559" s="43">
        <f t="shared" si="61"/>
        <v>5</v>
      </c>
      <c r="U2559" s="167">
        <f t="shared" si="55"/>
        <v>45797</v>
      </c>
      <c r="V2559" s="145"/>
      <c r="W2559" s="43">
        <f t="shared" si="56"/>
        <v>5</v>
      </c>
      <c r="X2559" s="43"/>
      <c r="Y2559" s="43"/>
      <c r="Z2559" s="43"/>
      <c r="AA2559" s="43"/>
      <c r="AB2559" s="43"/>
    </row>
    <row r="2560" spans="1:28" ht="14.25" hidden="1" customHeight="1">
      <c r="A2560" s="163" t="s">
        <v>1017</v>
      </c>
      <c r="B2560" s="164">
        <v>45797</v>
      </c>
      <c r="C2560" s="163" t="s">
        <v>546</v>
      </c>
      <c r="D2560" s="163" t="s">
        <v>281</v>
      </c>
      <c r="E2560" s="163" t="s">
        <v>1031</v>
      </c>
      <c r="F2560" s="168">
        <v>-1021.1</v>
      </c>
      <c r="G2560" s="165">
        <f t="shared" si="62"/>
        <v>-1000033.2123333339</v>
      </c>
      <c r="H2560" s="295"/>
      <c r="I2560" s="295"/>
      <c r="J2560" s="295"/>
      <c r="K2560" s="295"/>
      <c r="L2560" s="295"/>
      <c r="M2560" s="295"/>
      <c r="N2560" s="295"/>
      <c r="O2560" s="295"/>
      <c r="P2560" s="295"/>
      <c r="Q2560" s="295"/>
      <c r="R2560" s="295"/>
      <c r="S2560" s="190" t="s">
        <v>676</v>
      </c>
      <c r="T2560" s="43">
        <f t="shared" si="61"/>
        <v>5</v>
      </c>
      <c r="U2560" s="167">
        <f t="shared" si="55"/>
        <v>45797</v>
      </c>
      <c r="V2560" s="145"/>
      <c r="W2560" s="43">
        <f t="shared" si="56"/>
        <v>5</v>
      </c>
      <c r="X2560" s="43"/>
      <c r="Y2560" s="43"/>
      <c r="Z2560" s="43"/>
      <c r="AA2560" s="43"/>
      <c r="AB2560" s="43"/>
    </row>
    <row r="2561" spans="1:28" ht="14.25" hidden="1" customHeight="1">
      <c r="A2561" s="163" t="s">
        <v>1017</v>
      </c>
      <c r="B2561" s="164">
        <v>45797</v>
      </c>
      <c r="C2561" s="163" t="s">
        <v>484</v>
      </c>
      <c r="D2561" s="163" t="s">
        <v>281</v>
      </c>
      <c r="E2561" s="163" t="s">
        <v>1031</v>
      </c>
      <c r="F2561" s="168">
        <v>-400</v>
      </c>
      <c r="G2561" s="165">
        <f t="shared" si="62"/>
        <v>-1000433.2123333339</v>
      </c>
      <c r="H2561" s="295"/>
      <c r="I2561" s="295"/>
      <c r="J2561" s="295"/>
      <c r="K2561" s="295"/>
      <c r="L2561" s="295"/>
      <c r="M2561" s="295"/>
      <c r="N2561" s="295"/>
      <c r="O2561" s="295"/>
      <c r="P2561" s="295"/>
      <c r="Q2561" s="295"/>
      <c r="R2561" s="295"/>
      <c r="S2561" s="190" t="s">
        <v>1864</v>
      </c>
      <c r="T2561" s="43">
        <f t="shared" si="61"/>
        <v>5</v>
      </c>
      <c r="U2561" s="167">
        <f t="shared" si="55"/>
        <v>45797</v>
      </c>
      <c r="V2561" s="145"/>
      <c r="W2561" s="43">
        <f t="shared" si="56"/>
        <v>5</v>
      </c>
      <c r="X2561" s="43"/>
      <c r="Y2561" s="43"/>
      <c r="Z2561" s="43"/>
      <c r="AA2561" s="43"/>
      <c r="AB2561" s="43"/>
    </row>
    <row r="2562" spans="1:28" ht="14.25" hidden="1" customHeight="1">
      <c r="A2562" s="163" t="s">
        <v>1017</v>
      </c>
      <c r="B2562" s="164">
        <v>45797</v>
      </c>
      <c r="C2562" s="163" t="s">
        <v>491</v>
      </c>
      <c r="D2562" s="163" t="s">
        <v>281</v>
      </c>
      <c r="E2562" s="163" t="s">
        <v>1031</v>
      </c>
      <c r="F2562" s="168">
        <v>-1200</v>
      </c>
      <c r="G2562" s="165">
        <f t="shared" si="62"/>
        <v>-1001633.2123333339</v>
      </c>
      <c r="H2562" s="295"/>
      <c r="I2562" s="295"/>
      <c r="J2562" s="295"/>
      <c r="K2562" s="295"/>
      <c r="L2562" s="295"/>
      <c r="M2562" s="295"/>
      <c r="N2562" s="295"/>
      <c r="O2562" s="295"/>
      <c r="P2562" s="295"/>
      <c r="Q2562" s="295"/>
      <c r="R2562" s="295"/>
      <c r="S2562" s="190" t="s">
        <v>680</v>
      </c>
      <c r="T2562" s="43">
        <f t="shared" si="61"/>
        <v>5</v>
      </c>
      <c r="U2562" s="167">
        <f t="shared" si="55"/>
        <v>45797</v>
      </c>
      <c r="V2562" s="145"/>
      <c r="W2562" s="43">
        <f t="shared" si="56"/>
        <v>5</v>
      </c>
      <c r="X2562" s="43"/>
      <c r="Y2562" s="43"/>
      <c r="Z2562" s="43"/>
      <c r="AA2562" s="43"/>
      <c r="AB2562" s="43"/>
    </row>
    <row r="2563" spans="1:28" ht="14.25" hidden="1" customHeight="1">
      <c r="A2563" s="163" t="s">
        <v>1017</v>
      </c>
      <c r="B2563" s="164">
        <v>45797</v>
      </c>
      <c r="C2563" s="163" t="s">
        <v>516</v>
      </c>
      <c r="D2563" s="163" t="s">
        <v>281</v>
      </c>
      <c r="E2563" s="163" t="s">
        <v>1031</v>
      </c>
      <c r="F2563" s="168">
        <v>-400</v>
      </c>
      <c r="G2563" s="165">
        <f t="shared" si="62"/>
        <v>-1002033.2123333339</v>
      </c>
      <c r="H2563" s="295"/>
      <c r="I2563" s="295"/>
      <c r="J2563" s="295"/>
      <c r="K2563" s="295"/>
      <c r="L2563" s="295"/>
      <c r="M2563" s="295"/>
      <c r="N2563" s="295"/>
      <c r="O2563" s="295"/>
      <c r="P2563" s="295"/>
      <c r="Q2563" s="295"/>
      <c r="R2563" s="295"/>
      <c r="S2563" s="190" t="s">
        <v>700</v>
      </c>
      <c r="T2563" s="43">
        <f t="shared" si="61"/>
        <v>5</v>
      </c>
      <c r="U2563" s="167">
        <f t="shared" si="55"/>
        <v>45797</v>
      </c>
      <c r="V2563" s="145"/>
      <c r="W2563" s="43">
        <f t="shared" si="56"/>
        <v>5</v>
      </c>
      <c r="X2563" s="43"/>
      <c r="Y2563" s="43"/>
      <c r="Z2563" s="43"/>
      <c r="AA2563" s="43"/>
      <c r="AB2563" s="43"/>
    </row>
    <row r="2564" spans="1:28" ht="14.25" hidden="1" customHeight="1">
      <c r="A2564" s="163" t="s">
        <v>1017</v>
      </c>
      <c r="B2564" s="164">
        <v>45797</v>
      </c>
      <c r="C2564" s="163" t="s">
        <v>525</v>
      </c>
      <c r="D2564" s="163" t="s">
        <v>281</v>
      </c>
      <c r="E2564" s="163" t="s">
        <v>1031</v>
      </c>
      <c r="F2564" s="168">
        <v>-700</v>
      </c>
      <c r="G2564" s="165">
        <f t="shared" si="62"/>
        <v>-1002733.2123333339</v>
      </c>
      <c r="H2564" s="295"/>
      <c r="I2564" s="295"/>
      <c r="J2564" s="295"/>
      <c r="K2564" s="295"/>
      <c r="L2564" s="295"/>
      <c r="M2564" s="295"/>
      <c r="N2564" s="295"/>
      <c r="O2564" s="295"/>
      <c r="P2564" s="295"/>
      <c r="Q2564" s="295"/>
      <c r="R2564" s="295"/>
      <c r="S2564" s="190" t="s">
        <v>759</v>
      </c>
      <c r="T2564" s="43">
        <f t="shared" si="61"/>
        <v>5</v>
      </c>
      <c r="U2564" s="167">
        <f t="shared" si="55"/>
        <v>45797</v>
      </c>
      <c r="V2564" s="145"/>
      <c r="W2564" s="43">
        <f t="shared" si="56"/>
        <v>5</v>
      </c>
      <c r="X2564" s="43"/>
      <c r="Y2564" s="43"/>
      <c r="Z2564" s="43"/>
      <c r="AA2564" s="43"/>
      <c r="AB2564" s="43"/>
    </row>
    <row r="2565" spans="1:28" ht="14.25" hidden="1" customHeight="1">
      <c r="A2565" s="163" t="s">
        <v>1017</v>
      </c>
      <c r="B2565" s="164">
        <v>45797</v>
      </c>
      <c r="C2565" s="163" t="s">
        <v>549</v>
      </c>
      <c r="D2565" s="163" t="s">
        <v>281</v>
      </c>
      <c r="E2565" s="163" t="s">
        <v>1031</v>
      </c>
      <c r="F2565" s="168">
        <v>-2600</v>
      </c>
      <c r="G2565" s="165">
        <f t="shared" si="62"/>
        <v>-1005333.2123333339</v>
      </c>
      <c r="H2565" s="295"/>
      <c r="I2565" s="295"/>
      <c r="J2565" s="295"/>
      <c r="K2565" s="295"/>
      <c r="L2565" s="295"/>
      <c r="M2565" s="295"/>
      <c r="N2565" s="295"/>
      <c r="O2565" s="295"/>
      <c r="P2565" s="295"/>
      <c r="Q2565" s="295"/>
      <c r="R2565" s="295"/>
      <c r="S2565" s="190" t="s">
        <v>684</v>
      </c>
      <c r="T2565" s="43">
        <f t="shared" si="61"/>
        <v>5</v>
      </c>
      <c r="U2565" s="167">
        <f t="shared" si="55"/>
        <v>45797</v>
      </c>
      <c r="V2565" s="145"/>
      <c r="W2565" s="43">
        <f t="shared" si="56"/>
        <v>5</v>
      </c>
      <c r="X2565" s="43"/>
      <c r="Y2565" s="43"/>
      <c r="Z2565" s="43"/>
      <c r="AA2565" s="43"/>
      <c r="AB2565" s="43"/>
    </row>
    <row r="2566" spans="1:28" ht="14.25" hidden="1" customHeight="1">
      <c r="A2566" s="163" t="s">
        <v>1017</v>
      </c>
      <c r="B2566" s="164">
        <v>45797</v>
      </c>
      <c r="C2566" s="163" t="s">
        <v>513</v>
      </c>
      <c r="D2566" s="163" t="s">
        <v>281</v>
      </c>
      <c r="E2566" s="163" t="s">
        <v>1031</v>
      </c>
      <c r="F2566" s="168">
        <v>-500</v>
      </c>
      <c r="G2566" s="165">
        <f t="shared" si="62"/>
        <v>-1005833.2123333339</v>
      </c>
      <c r="H2566" s="295"/>
      <c r="I2566" s="295"/>
      <c r="J2566" s="295"/>
      <c r="K2566" s="295"/>
      <c r="L2566" s="295"/>
      <c r="M2566" s="295"/>
      <c r="N2566" s="295"/>
      <c r="O2566" s="295"/>
      <c r="P2566" s="295"/>
      <c r="Q2566" s="295"/>
      <c r="R2566" s="295"/>
      <c r="S2566" s="190" t="s">
        <v>798</v>
      </c>
      <c r="T2566" s="43">
        <f t="shared" si="61"/>
        <v>5</v>
      </c>
      <c r="U2566" s="167">
        <f t="shared" si="55"/>
        <v>45797</v>
      </c>
      <c r="V2566" s="145"/>
      <c r="W2566" s="43">
        <f t="shared" si="56"/>
        <v>5</v>
      </c>
      <c r="X2566" s="43"/>
      <c r="Y2566" s="43"/>
      <c r="Z2566" s="43"/>
      <c r="AA2566" s="43"/>
      <c r="AB2566" s="43"/>
    </row>
    <row r="2567" spans="1:28" ht="14.25" hidden="1" customHeight="1">
      <c r="A2567" s="163" t="s">
        <v>1017</v>
      </c>
      <c r="B2567" s="164">
        <v>45797</v>
      </c>
      <c r="C2567" s="163" t="s">
        <v>112</v>
      </c>
      <c r="D2567" s="163" t="s">
        <v>281</v>
      </c>
      <c r="E2567" s="163" t="s">
        <v>1031</v>
      </c>
      <c r="F2567" s="168">
        <v>-500</v>
      </c>
      <c r="G2567" s="165">
        <f t="shared" si="62"/>
        <v>-1006333.2123333339</v>
      </c>
      <c r="H2567" s="295"/>
      <c r="I2567" s="295"/>
      <c r="J2567" s="295"/>
      <c r="K2567" s="295"/>
      <c r="L2567" s="295"/>
      <c r="M2567" s="295"/>
      <c r="N2567" s="295"/>
      <c r="O2567" s="295"/>
      <c r="P2567" s="295"/>
      <c r="Q2567" s="295"/>
      <c r="R2567" s="295"/>
      <c r="S2567" s="190" t="s">
        <v>689</v>
      </c>
      <c r="T2567" s="43">
        <f t="shared" si="61"/>
        <v>5</v>
      </c>
      <c r="U2567" s="167">
        <f t="shared" si="55"/>
        <v>45797</v>
      </c>
      <c r="V2567" s="145"/>
      <c r="W2567" s="43">
        <f t="shared" si="56"/>
        <v>5</v>
      </c>
      <c r="X2567" s="43"/>
      <c r="Y2567" s="43"/>
      <c r="Z2567" s="43"/>
      <c r="AA2567" s="43"/>
      <c r="AB2567" s="43"/>
    </row>
    <row r="2568" spans="1:28" ht="14.25" hidden="1" customHeight="1">
      <c r="A2568" s="163" t="s">
        <v>1017</v>
      </c>
      <c r="B2568" s="164">
        <v>45797</v>
      </c>
      <c r="C2568" s="163" t="s">
        <v>505</v>
      </c>
      <c r="D2568" s="163" t="s">
        <v>281</v>
      </c>
      <c r="E2568" s="163" t="s">
        <v>1031</v>
      </c>
      <c r="F2568" s="168">
        <v>-1120</v>
      </c>
      <c r="G2568" s="165">
        <f t="shared" si="62"/>
        <v>-1007453.2123333339</v>
      </c>
      <c r="H2568" s="295"/>
      <c r="I2568" s="295"/>
      <c r="J2568" s="295"/>
      <c r="K2568" s="295"/>
      <c r="L2568" s="295"/>
      <c r="M2568" s="295"/>
      <c r="N2568" s="295"/>
      <c r="O2568" s="295"/>
      <c r="P2568" s="295"/>
      <c r="Q2568" s="295"/>
      <c r="R2568" s="295"/>
      <c r="S2568" s="190" t="s">
        <v>693</v>
      </c>
      <c r="T2568" s="43">
        <f t="shared" si="61"/>
        <v>5</v>
      </c>
      <c r="U2568" s="167">
        <f t="shared" si="55"/>
        <v>45797</v>
      </c>
      <c r="V2568" s="145"/>
      <c r="W2568" s="43">
        <f t="shared" si="56"/>
        <v>5</v>
      </c>
      <c r="X2568" s="43"/>
      <c r="Y2568" s="43"/>
      <c r="Z2568" s="43"/>
      <c r="AA2568" s="43"/>
      <c r="AB2568" s="43"/>
    </row>
    <row r="2569" spans="1:28" ht="14.25" hidden="1" customHeight="1">
      <c r="A2569" s="163" t="s">
        <v>1017</v>
      </c>
      <c r="B2569" s="164">
        <v>45797</v>
      </c>
      <c r="C2569" s="163" t="s">
        <v>1296</v>
      </c>
      <c r="D2569" s="163" t="s">
        <v>281</v>
      </c>
      <c r="E2569" s="163" t="s">
        <v>196</v>
      </c>
      <c r="F2569" s="168">
        <v>-17000</v>
      </c>
      <c r="G2569" s="165">
        <f t="shared" si="62"/>
        <v>-1024453.2123333339</v>
      </c>
      <c r="H2569" s="295"/>
      <c r="I2569" s="295"/>
      <c r="J2569" s="295"/>
      <c r="K2569" s="295"/>
      <c r="L2569" s="295"/>
      <c r="M2569" s="295"/>
      <c r="N2569" s="295"/>
      <c r="O2569" s="295"/>
      <c r="P2569" s="295"/>
      <c r="Q2569" s="295"/>
      <c r="R2569" s="295"/>
      <c r="S2569" s="190" t="s">
        <v>315</v>
      </c>
      <c r="T2569" s="43">
        <f t="shared" si="61"/>
        <v>5</v>
      </c>
      <c r="U2569" s="167">
        <f t="shared" si="55"/>
        <v>45797</v>
      </c>
      <c r="V2569" s="145"/>
      <c r="W2569" s="43">
        <f t="shared" si="56"/>
        <v>5</v>
      </c>
      <c r="X2569" s="43"/>
      <c r="Y2569" s="43"/>
      <c r="Z2569" s="43"/>
      <c r="AA2569" s="43"/>
      <c r="AB2569" s="43"/>
    </row>
    <row r="2570" spans="1:28" ht="14.25" hidden="1" customHeight="1">
      <c r="A2570" s="163" t="s">
        <v>1017</v>
      </c>
      <c r="B2570" s="164">
        <v>45797</v>
      </c>
      <c r="C2570" s="163" t="s">
        <v>293</v>
      </c>
      <c r="D2570" s="163" t="s">
        <v>281</v>
      </c>
      <c r="E2570" s="163" t="s">
        <v>294</v>
      </c>
      <c r="F2570" s="168">
        <v>-205.88</v>
      </c>
      <c r="G2570" s="165">
        <f t="shared" si="62"/>
        <v>-1024659.0923333339</v>
      </c>
      <c r="H2570" s="295"/>
      <c r="I2570" s="295"/>
      <c r="J2570" s="295"/>
      <c r="K2570" s="295"/>
      <c r="L2570" s="295"/>
      <c r="M2570" s="295"/>
      <c r="N2570" s="295"/>
      <c r="O2570" s="295"/>
      <c r="P2570" s="295"/>
      <c r="Q2570" s="295"/>
      <c r="R2570" s="295"/>
      <c r="S2570" s="190" t="s">
        <v>1304</v>
      </c>
      <c r="T2570" s="43">
        <f t="shared" si="61"/>
        <v>5</v>
      </c>
      <c r="U2570" s="167">
        <f t="shared" si="55"/>
        <v>45797</v>
      </c>
      <c r="V2570" s="145"/>
      <c r="W2570" s="43">
        <f t="shared" si="56"/>
        <v>5</v>
      </c>
      <c r="X2570" s="43"/>
      <c r="Y2570" s="43"/>
      <c r="Z2570" s="43"/>
      <c r="AA2570" s="43"/>
      <c r="AB2570" s="43"/>
    </row>
    <row r="2571" spans="1:28" ht="14.25" hidden="1" customHeight="1">
      <c r="A2571" s="163" t="s">
        <v>1017</v>
      </c>
      <c r="B2571" s="164">
        <v>45797</v>
      </c>
      <c r="C2571" s="163" t="s">
        <v>293</v>
      </c>
      <c r="D2571" s="163" t="s">
        <v>281</v>
      </c>
      <c r="E2571" s="163" t="s">
        <v>294</v>
      </c>
      <c r="F2571" s="168">
        <v>-2253.3000000000002</v>
      </c>
      <c r="G2571" s="165">
        <f t="shared" si="62"/>
        <v>-1026912.392333334</v>
      </c>
      <c r="H2571" s="295"/>
      <c r="I2571" s="295"/>
      <c r="J2571" s="295"/>
      <c r="K2571" s="295"/>
      <c r="L2571" s="295"/>
      <c r="M2571" s="295"/>
      <c r="N2571" s="295"/>
      <c r="O2571" s="295"/>
      <c r="P2571" s="295"/>
      <c r="Q2571" s="295"/>
      <c r="R2571" s="295"/>
      <c r="S2571" s="190" t="s">
        <v>855</v>
      </c>
      <c r="T2571" s="43">
        <f t="shared" si="61"/>
        <v>5</v>
      </c>
      <c r="U2571" s="167">
        <f t="shared" si="55"/>
        <v>45797</v>
      </c>
      <c r="V2571" s="145"/>
      <c r="W2571" s="43">
        <f t="shared" si="56"/>
        <v>5</v>
      </c>
      <c r="X2571" s="43"/>
      <c r="Y2571" s="43"/>
      <c r="Z2571" s="43"/>
      <c r="AA2571" s="43"/>
      <c r="AB2571" s="43"/>
    </row>
    <row r="2572" spans="1:28" ht="14.25" hidden="1" customHeight="1">
      <c r="A2572" s="163" t="s">
        <v>1017</v>
      </c>
      <c r="B2572" s="164">
        <v>45797</v>
      </c>
      <c r="C2572" s="163" t="s">
        <v>108</v>
      </c>
      <c r="D2572" s="163" t="s">
        <v>281</v>
      </c>
      <c r="E2572" s="163" t="s">
        <v>1031</v>
      </c>
      <c r="F2572" s="168">
        <v>-2800</v>
      </c>
      <c r="G2572" s="165">
        <f t="shared" si="62"/>
        <v>-1029712.392333334</v>
      </c>
      <c r="H2572" s="295"/>
      <c r="I2572" s="295"/>
      <c r="J2572" s="295"/>
      <c r="K2572" s="295"/>
      <c r="L2572" s="295"/>
      <c r="M2572" s="295"/>
      <c r="N2572" s="295"/>
      <c r="O2572" s="295"/>
      <c r="P2572" s="295"/>
      <c r="Q2572" s="295"/>
      <c r="R2572" s="295"/>
      <c r="S2572" s="190" t="s">
        <v>839</v>
      </c>
      <c r="T2572" s="43">
        <f t="shared" si="61"/>
        <v>5</v>
      </c>
      <c r="U2572" s="167">
        <f t="shared" si="55"/>
        <v>45797</v>
      </c>
      <c r="V2572" s="145"/>
      <c r="W2572" s="43">
        <f t="shared" si="56"/>
        <v>5</v>
      </c>
      <c r="X2572" s="43"/>
      <c r="Y2572" s="43"/>
      <c r="Z2572" s="43"/>
      <c r="AA2572" s="43"/>
      <c r="AB2572" s="43"/>
    </row>
    <row r="2573" spans="1:28" ht="14.25" hidden="1" customHeight="1">
      <c r="A2573" s="163" t="s">
        <v>1017</v>
      </c>
      <c r="B2573" s="164">
        <v>45797</v>
      </c>
      <c r="C2573" s="163" t="s">
        <v>1784</v>
      </c>
      <c r="D2573" s="163" t="s">
        <v>281</v>
      </c>
      <c r="E2573" s="163" t="s">
        <v>1031</v>
      </c>
      <c r="F2573" s="168">
        <v>-1800</v>
      </c>
      <c r="G2573" s="165">
        <f t="shared" si="62"/>
        <v>-1031512.392333334</v>
      </c>
      <c r="H2573" s="295"/>
      <c r="I2573" s="295"/>
      <c r="J2573" s="295"/>
      <c r="K2573" s="295"/>
      <c r="L2573" s="295"/>
      <c r="M2573" s="295"/>
      <c r="N2573" s="295"/>
      <c r="O2573" s="295"/>
      <c r="P2573" s="295"/>
      <c r="Q2573" s="295"/>
      <c r="R2573" s="295"/>
      <c r="S2573" s="190" t="s">
        <v>754</v>
      </c>
      <c r="T2573" s="43">
        <f t="shared" si="61"/>
        <v>5</v>
      </c>
      <c r="U2573" s="167">
        <f t="shared" si="55"/>
        <v>45797</v>
      </c>
      <c r="V2573" s="145"/>
      <c r="W2573" s="43">
        <f t="shared" si="56"/>
        <v>5</v>
      </c>
      <c r="X2573" s="43"/>
      <c r="Y2573" s="43"/>
      <c r="Z2573" s="43"/>
      <c r="AA2573" s="43"/>
      <c r="AB2573" s="43"/>
    </row>
    <row r="2574" spans="1:28" ht="14.25" hidden="1" customHeight="1">
      <c r="A2574" s="163" t="s">
        <v>1017</v>
      </c>
      <c r="B2574" s="164">
        <v>45797</v>
      </c>
      <c r="C2574" s="163" t="s">
        <v>91</v>
      </c>
      <c r="D2574" s="163" t="s">
        <v>281</v>
      </c>
      <c r="E2574" s="163" t="s">
        <v>1031</v>
      </c>
      <c r="F2574" s="168">
        <v>-1400</v>
      </c>
      <c r="G2574" s="165">
        <f t="shared" si="62"/>
        <v>-1032912.392333334</v>
      </c>
      <c r="H2574" s="295"/>
      <c r="I2574" s="295"/>
      <c r="J2574" s="295"/>
      <c r="K2574" s="295"/>
      <c r="L2574" s="295"/>
      <c r="M2574" s="295"/>
      <c r="N2574" s="295"/>
      <c r="O2574" s="295"/>
      <c r="P2574" s="295"/>
      <c r="Q2574" s="295"/>
      <c r="R2574" s="295"/>
      <c r="S2574" s="190" t="s">
        <v>851</v>
      </c>
      <c r="T2574" s="43">
        <f t="shared" si="61"/>
        <v>5</v>
      </c>
      <c r="U2574" s="167">
        <f t="shared" si="55"/>
        <v>45797</v>
      </c>
      <c r="V2574" s="145"/>
      <c r="W2574" s="43">
        <f t="shared" si="56"/>
        <v>5</v>
      </c>
      <c r="X2574" s="43"/>
      <c r="Y2574" s="43"/>
      <c r="Z2574" s="43"/>
      <c r="AA2574" s="43"/>
      <c r="AB2574" s="43"/>
    </row>
    <row r="2575" spans="1:28" ht="14.25" hidden="1" customHeight="1">
      <c r="A2575" s="163"/>
      <c r="B2575" s="164">
        <v>45797</v>
      </c>
      <c r="C2575" s="163" t="s">
        <v>346</v>
      </c>
      <c r="D2575" s="163"/>
      <c r="E2575" s="163"/>
      <c r="F2575" s="165">
        <v>0</v>
      </c>
      <c r="G2575" s="165">
        <f t="shared" si="62"/>
        <v>-1032912.392333334</v>
      </c>
      <c r="H2575" s="295"/>
      <c r="I2575" s="295"/>
      <c r="J2575" s="295"/>
      <c r="K2575" s="295"/>
      <c r="L2575" s="295"/>
      <c r="M2575" s="295"/>
      <c r="N2575" s="295"/>
      <c r="O2575" s="295"/>
      <c r="P2575" s="295"/>
      <c r="Q2575" s="295"/>
      <c r="R2575" s="295"/>
      <c r="S2575" s="190" t="s">
        <v>311</v>
      </c>
      <c r="T2575" s="43">
        <f t="shared" si="61"/>
        <v>5</v>
      </c>
      <c r="U2575" s="167">
        <f t="shared" si="55"/>
        <v>45797</v>
      </c>
      <c r="V2575" s="145"/>
      <c r="W2575" s="43">
        <f t="shared" si="56"/>
        <v>5</v>
      </c>
      <c r="X2575" s="43"/>
      <c r="Y2575" s="43"/>
      <c r="Z2575" s="43"/>
      <c r="AA2575" s="43"/>
      <c r="AB2575" s="43"/>
    </row>
    <row r="2576" spans="1:28" ht="14.25" hidden="1" customHeight="1">
      <c r="A2576" s="163" t="s">
        <v>1017</v>
      </c>
      <c r="B2576" s="164">
        <v>45798</v>
      </c>
      <c r="C2576" s="163" t="s">
        <v>124</v>
      </c>
      <c r="D2576" s="163" t="s">
        <v>281</v>
      </c>
      <c r="E2576" s="163" t="s">
        <v>199</v>
      </c>
      <c r="F2576" s="168">
        <v>-227.73</v>
      </c>
      <c r="G2576" s="165">
        <f t="shared" si="62"/>
        <v>-1033140.1223333339</v>
      </c>
      <c r="H2576" s="295"/>
      <c r="I2576" s="295"/>
      <c r="J2576" s="295"/>
      <c r="K2576" s="295"/>
      <c r="L2576" s="295"/>
      <c r="M2576" s="295"/>
      <c r="N2576" s="295"/>
      <c r="O2576" s="295"/>
      <c r="P2576" s="295"/>
      <c r="Q2576" s="295"/>
      <c r="R2576" s="295"/>
      <c r="S2576" s="190" t="s">
        <v>728</v>
      </c>
      <c r="T2576" s="43">
        <f t="shared" si="61"/>
        <v>5</v>
      </c>
      <c r="U2576" s="167">
        <f t="shared" si="55"/>
        <v>45798</v>
      </c>
      <c r="V2576" s="145"/>
      <c r="W2576" s="43">
        <f t="shared" si="56"/>
        <v>5</v>
      </c>
      <c r="X2576" s="43"/>
      <c r="Y2576" s="43"/>
      <c r="Z2576" s="43"/>
      <c r="AA2576" s="43"/>
      <c r="AB2576" s="43"/>
    </row>
    <row r="2577" spans="1:28" ht="14.25" hidden="1" customHeight="1">
      <c r="A2577" s="163" t="s">
        <v>1017</v>
      </c>
      <c r="B2577" s="164">
        <v>45798</v>
      </c>
      <c r="C2577" s="163" t="s">
        <v>127</v>
      </c>
      <c r="D2577" s="163" t="s">
        <v>281</v>
      </c>
      <c r="E2577" s="163" t="s">
        <v>199</v>
      </c>
      <c r="F2577" s="168">
        <v>-130</v>
      </c>
      <c r="G2577" s="165">
        <f t="shared" si="62"/>
        <v>-1033270.1223333339</v>
      </c>
      <c r="H2577" s="295"/>
      <c r="I2577" s="295"/>
      <c r="J2577" s="295"/>
      <c r="K2577" s="295"/>
      <c r="L2577" s="295"/>
      <c r="M2577" s="295"/>
      <c r="N2577" s="295"/>
      <c r="O2577" s="295"/>
      <c r="P2577" s="295"/>
      <c r="Q2577" s="295"/>
      <c r="R2577" s="295"/>
      <c r="S2577" s="190" t="s">
        <v>703</v>
      </c>
      <c r="T2577" s="43">
        <f t="shared" si="61"/>
        <v>5</v>
      </c>
      <c r="U2577" s="167">
        <f t="shared" si="55"/>
        <v>45798</v>
      </c>
      <c r="V2577" s="145"/>
      <c r="W2577" s="43">
        <f t="shared" si="56"/>
        <v>5</v>
      </c>
      <c r="X2577" s="43"/>
      <c r="Y2577" s="43"/>
      <c r="Z2577" s="43"/>
      <c r="AA2577" s="43"/>
      <c r="AB2577" s="43"/>
    </row>
    <row r="2578" spans="1:28" ht="14.25" hidden="1" customHeight="1">
      <c r="A2578" s="163" t="s">
        <v>1017</v>
      </c>
      <c r="B2578" s="164">
        <v>45798</v>
      </c>
      <c r="C2578" s="163" t="s">
        <v>1008</v>
      </c>
      <c r="D2578" s="163" t="s">
        <v>281</v>
      </c>
      <c r="E2578" s="163" t="s">
        <v>199</v>
      </c>
      <c r="F2578" s="168">
        <v>-2000</v>
      </c>
      <c r="G2578" s="165">
        <f t="shared" si="62"/>
        <v>-1035270.1223333339</v>
      </c>
      <c r="H2578" s="295"/>
      <c r="I2578" s="295"/>
      <c r="J2578" s="295"/>
      <c r="K2578" s="295"/>
      <c r="L2578" s="295"/>
      <c r="M2578" s="295"/>
      <c r="N2578" s="295"/>
      <c r="O2578" s="295"/>
      <c r="P2578" s="295"/>
      <c r="Q2578" s="295"/>
      <c r="R2578" s="295"/>
      <c r="S2578" s="190" t="s">
        <v>707</v>
      </c>
      <c r="T2578" s="43">
        <f t="shared" si="61"/>
        <v>5</v>
      </c>
      <c r="U2578" s="167">
        <f t="shared" si="55"/>
        <v>45798</v>
      </c>
      <c r="V2578" s="145"/>
      <c r="W2578" s="43">
        <f t="shared" si="56"/>
        <v>5</v>
      </c>
      <c r="X2578" s="43"/>
      <c r="Y2578" s="43"/>
      <c r="Z2578" s="43"/>
      <c r="AA2578" s="43"/>
      <c r="AB2578" s="43"/>
    </row>
    <row r="2579" spans="1:28" ht="14.25" hidden="1" customHeight="1">
      <c r="A2579" s="163"/>
      <c r="B2579" s="164">
        <v>45798</v>
      </c>
      <c r="C2579" s="163" t="s">
        <v>346</v>
      </c>
      <c r="D2579" s="163"/>
      <c r="E2579" s="163"/>
      <c r="F2579" s="165">
        <v>0</v>
      </c>
      <c r="G2579" s="165">
        <f t="shared" si="62"/>
        <v>-1035270.1223333339</v>
      </c>
      <c r="H2579" s="295"/>
      <c r="I2579" s="295"/>
      <c r="J2579" s="295"/>
      <c r="K2579" s="295"/>
      <c r="L2579" s="295"/>
      <c r="M2579" s="295"/>
      <c r="N2579" s="295"/>
      <c r="O2579" s="295"/>
      <c r="P2579" s="295"/>
      <c r="Q2579" s="295"/>
      <c r="R2579" s="295"/>
      <c r="S2579" s="190" t="s">
        <v>818</v>
      </c>
      <c r="T2579" s="43">
        <f t="shared" si="61"/>
        <v>5</v>
      </c>
      <c r="U2579" s="167">
        <f t="shared" si="55"/>
        <v>45798</v>
      </c>
      <c r="V2579" s="145"/>
      <c r="W2579" s="43">
        <f t="shared" si="56"/>
        <v>5</v>
      </c>
      <c r="X2579" s="43"/>
      <c r="Y2579" s="43"/>
      <c r="Z2579" s="43"/>
      <c r="AA2579" s="43"/>
      <c r="AB2579" s="43"/>
    </row>
    <row r="2580" spans="1:28" ht="14.25" hidden="1" customHeight="1">
      <c r="A2580" s="163" t="s">
        <v>1017</v>
      </c>
      <c r="B2580" s="164">
        <v>45799</v>
      </c>
      <c r="C2580" s="163" t="s">
        <v>1678</v>
      </c>
      <c r="D2580" s="163" t="s">
        <v>281</v>
      </c>
      <c r="E2580" s="163" t="s">
        <v>199</v>
      </c>
      <c r="F2580" s="168">
        <v>-1123</v>
      </c>
      <c r="G2580" s="165">
        <f t="shared" si="62"/>
        <v>-1036393.1223333339</v>
      </c>
      <c r="H2580" s="295"/>
      <c r="I2580" s="295"/>
      <c r="J2580" s="295"/>
      <c r="K2580" s="295"/>
      <c r="L2580" s="295"/>
      <c r="M2580" s="295"/>
      <c r="N2580" s="295"/>
      <c r="O2580" s="295"/>
      <c r="P2580" s="295"/>
      <c r="Q2580" s="295"/>
      <c r="R2580" s="295"/>
      <c r="S2580" s="190" t="s">
        <v>807</v>
      </c>
      <c r="T2580" s="43">
        <f t="shared" si="61"/>
        <v>5</v>
      </c>
      <c r="U2580" s="167">
        <f t="shared" si="55"/>
        <v>45799</v>
      </c>
      <c r="V2580" s="145"/>
      <c r="W2580" s="43">
        <f t="shared" si="56"/>
        <v>5</v>
      </c>
      <c r="X2580" s="43"/>
      <c r="Y2580" s="43"/>
      <c r="Z2580" s="43"/>
      <c r="AA2580" s="43"/>
      <c r="AB2580" s="43"/>
    </row>
    <row r="2581" spans="1:28" ht="14.25" hidden="1" customHeight="1">
      <c r="A2581" s="163"/>
      <c r="B2581" s="164">
        <v>45799</v>
      </c>
      <c r="C2581" s="163" t="s">
        <v>346</v>
      </c>
      <c r="D2581" s="163"/>
      <c r="E2581" s="163"/>
      <c r="F2581" s="165">
        <v>0</v>
      </c>
      <c r="G2581" s="165">
        <f t="shared" si="62"/>
        <v>-1036393.1223333339</v>
      </c>
      <c r="H2581" s="295"/>
      <c r="I2581" s="295"/>
      <c r="J2581" s="295"/>
      <c r="K2581" s="295"/>
      <c r="L2581" s="295"/>
      <c r="M2581" s="295"/>
      <c r="N2581" s="295"/>
      <c r="O2581" s="295"/>
      <c r="P2581" s="295"/>
      <c r="Q2581" s="295"/>
      <c r="R2581" s="295"/>
      <c r="S2581" s="190" t="s">
        <v>1089</v>
      </c>
      <c r="T2581" s="43">
        <f t="shared" si="61"/>
        <v>5</v>
      </c>
      <c r="U2581" s="167">
        <f t="shared" si="55"/>
        <v>45799</v>
      </c>
      <c r="V2581" s="145"/>
      <c r="W2581" s="43">
        <f t="shared" si="56"/>
        <v>5</v>
      </c>
      <c r="X2581" s="43"/>
      <c r="Y2581" s="43"/>
      <c r="Z2581" s="43"/>
      <c r="AA2581" s="43"/>
      <c r="AB2581" s="43"/>
    </row>
    <row r="2582" spans="1:28" ht="14.25" hidden="1" customHeight="1">
      <c r="A2582" s="163" t="s">
        <v>1017</v>
      </c>
      <c r="B2582" s="164">
        <v>45800</v>
      </c>
      <c r="C2582" s="163" t="s">
        <v>1098</v>
      </c>
      <c r="D2582" s="163" t="s">
        <v>281</v>
      </c>
      <c r="E2582" s="163" t="s">
        <v>199</v>
      </c>
      <c r="F2582" s="168">
        <v>-552</v>
      </c>
      <c r="G2582" s="165">
        <f t="shared" si="62"/>
        <v>-1036945.1223333339</v>
      </c>
      <c r="H2582" s="295"/>
      <c r="I2582" s="295"/>
      <c r="J2582" s="295"/>
      <c r="K2582" s="295"/>
      <c r="L2582" s="295"/>
      <c r="M2582" s="295"/>
      <c r="N2582" s="295"/>
      <c r="O2582" s="295"/>
      <c r="P2582" s="295"/>
      <c r="Q2582" s="295"/>
      <c r="R2582" s="295"/>
      <c r="S2582" s="190" t="s">
        <v>750</v>
      </c>
      <c r="T2582" s="43">
        <f t="shared" si="61"/>
        <v>5</v>
      </c>
      <c r="U2582" s="167">
        <f t="shared" si="55"/>
        <v>45800</v>
      </c>
      <c r="V2582" s="145"/>
      <c r="W2582" s="43">
        <f t="shared" si="56"/>
        <v>5</v>
      </c>
      <c r="X2582" s="43"/>
      <c r="Y2582" s="43"/>
      <c r="Z2582" s="43"/>
      <c r="AA2582" s="43"/>
      <c r="AB2582" s="43"/>
    </row>
    <row r="2583" spans="1:28" ht="14.25" hidden="1" customHeight="1">
      <c r="A2583" s="163" t="s">
        <v>1017</v>
      </c>
      <c r="B2583" s="164">
        <v>45800</v>
      </c>
      <c r="C2583" s="163" t="s">
        <v>1326</v>
      </c>
      <c r="D2583" s="163" t="s">
        <v>281</v>
      </c>
      <c r="E2583" s="163" t="s">
        <v>199</v>
      </c>
      <c r="F2583" s="168">
        <v>-544</v>
      </c>
      <c r="G2583" s="165">
        <f t="shared" si="62"/>
        <v>-1037489.1223333339</v>
      </c>
      <c r="H2583" s="295"/>
      <c r="I2583" s="295"/>
      <c r="J2583" s="295"/>
      <c r="K2583" s="295"/>
      <c r="L2583" s="295"/>
      <c r="M2583" s="295"/>
      <c r="N2583" s="295"/>
      <c r="O2583" s="295"/>
      <c r="P2583" s="295"/>
      <c r="Q2583" s="295"/>
      <c r="R2583" s="295"/>
      <c r="S2583" s="190" t="s">
        <v>750</v>
      </c>
      <c r="T2583" s="43">
        <f t="shared" si="61"/>
        <v>5</v>
      </c>
      <c r="U2583" s="167">
        <f t="shared" si="55"/>
        <v>45800</v>
      </c>
      <c r="V2583" s="145"/>
      <c r="W2583" s="43">
        <f t="shared" si="56"/>
        <v>5</v>
      </c>
      <c r="X2583" s="43"/>
      <c r="Y2583" s="43"/>
      <c r="Z2583" s="43"/>
      <c r="AA2583" s="43"/>
      <c r="AB2583" s="43"/>
    </row>
    <row r="2584" spans="1:28" ht="14.25" hidden="1" customHeight="1">
      <c r="A2584" s="163" t="s">
        <v>1017</v>
      </c>
      <c r="B2584" s="164">
        <v>45800</v>
      </c>
      <c r="C2584" s="163" t="s">
        <v>1010</v>
      </c>
      <c r="D2584" s="163" t="s">
        <v>281</v>
      </c>
      <c r="E2584" s="163" t="s">
        <v>199</v>
      </c>
      <c r="F2584" s="168">
        <v>-2500</v>
      </c>
      <c r="G2584" s="165">
        <f t="shared" si="62"/>
        <v>-1039989.1223333339</v>
      </c>
      <c r="H2584" s="295"/>
      <c r="I2584" s="295"/>
      <c r="J2584" s="295"/>
      <c r="K2584" s="295"/>
      <c r="L2584" s="295"/>
      <c r="M2584" s="295"/>
      <c r="N2584" s="295"/>
      <c r="O2584" s="295"/>
      <c r="P2584" s="295"/>
      <c r="Q2584" s="295"/>
      <c r="R2584" s="295"/>
      <c r="S2584" s="190" t="s">
        <v>1012</v>
      </c>
      <c r="T2584" s="43">
        <f t="shared" si="61"/>
        <v>5</v>
      </c>
      <c r="U2584" s="167">
        <f t="shared" si="55"/>
        <v>45800</v>
      </c>
      <c r="V2584" s="145"/>
      <c r="W2584" s="43">
        <f t="shared" si="56"/>
        <v>5</v>
      </c>
      <c r="X2584" s="43"/>
      <c r="Y2584" s="43"/>
      <c r="Z2584" s="43"/>
      <c r="AA2584" s="43"/>
      <c r="AB2584" s="43"/>
    </row>
    <row r="2585" spans="1:28" ht="14.25" hidden="1" customHeight="1">
      <c r="A2585" s="163"/>
      <c r="B2585" s="164">
        <v>45800</v>
      </c>
      <c r="C2585" s="163" t="s">
        <v>346</v>
      </c>
      <c r="D2585" s="163"/>
      <c r="E2585" s="163"/>
      <c r="F2585" s="165">
        <v>0</v>
      </c>
      <c r="G2585" s="165">
        <f t="shared" si="62"/>
        <v>-1039989.1223333339</v>
      </c>
      <c r="H2585" s="295"/>
      <c r="I2585" s="295"/>
      <c r="J2585" s="295"/>
      <c r="K2585" s="295"/>
      <c r="L2585" s="295"/>
      <c r="M2585" s="295"/>
      <c r="N2585" s="295"/>
      <c r="O2585" s="295"/>
      <c r="P2585" s="295"/>
      <c r="Q2585" s="295"/>
      <c r="R2585" s="295"/>
      <c r="S2585" s="190"/>
      <c r="T2585" s="43">
        <f t="shared" si="61"/>
        <v>5</v>
      </c>
      <c r="U2585" s="167">
        <f t="shared" si="55"/>
        <v>45800</v>
      </c>
      <c r="V2585" s="145"/>
      <c r="W2585" s="43">
        <f t="shared" si="56"/>
        <v>5</v>
      </c>
      <c r="X2585" s="43"/>
      <c r="Y2585" s="43"/>
      <c r="Z2585" s="43"/>
      <c r="AA2585" s="43"/>
      <c r="AB2585" s="43"/>
    </row>
    <row r="2586" spans="1:28" ht="14.25" hidden="1" customHeight="1">
      <c r="A2586" s="163" t="s">
        <v>1017</v>
      </c>
      <c r="B2586" s="164">
        <v>45803</v>
      </c>
      <c r="C2586" s="163" t="s">
        <v>1158</v>
      </c>
      <c r="D2586" s="163" t="s">
        <v>281</v>
      </c>
      <c r="E2586" s="163" t="s">
        <v>407</v>
      </c>
      <c r="F2586" s="165">
        <v>1500</v>
      </c>
      <c r="G2586" s="165">
        <f t="shared" si="62"/>
        <v>-1038489.1223333339</v>
      </c>
      <c r="H2586" s="295"/>
      <c r="I2586" s="295"/>
      <c r="J2586" s="295"/>
      <c r="K2586" s="295"/>
      <c r="L2586" s="295"/>
      <c r="M2586" s="295"/>
      <c r="N2586" s="295"/>
      <c r="O2586" s="295"/>
      <c r="P2586" s="295"/>
      <c r="Q2586" s="295"/>
      <c r="R2586" s="295"/>
      <c r="S2586" s="190" t="s">
        <v>325</v>
      </c>
      <c r="T2586" s="94">
        <f t="shared" si="61"/>
        <v>5</v>
      </c>
      <c r="U2586" s="167">
        <f t="shared" si="55"/>
        <v>45803</v>
      </c>
      <c r="V2586" s="145"/>
      <c r="W2586" s="43">
        <f t="shared" si="56"/>
        <v>5</v>
      </c>
      <c r="X2586" s="43"/>
      <c r="Y2586" s="43"/>
      <c r="Z2586" s="43"/>
      <c r="AA2586" s="43"/>
      <c r="AB2586" s="43"/>
    </row>
    <row r="2587" spans="1:28" ht="14.25" hidden="1" customHeight="1">
      <c r="A2587" s="163" t="s">
        <v>1174</v>
      </c>
      <c r="B2587" s="164">
        <v>45803</v>
      </c>
      <c r="C2587" s="163" t="s">
        <v>1205</v>
      </c>
      <c r="D2587" s="163" t="s">
        <v>281</v>
      </c>
      <c r="E2587" s="163" t="s">
        <v>407</v>
      </c>
      <c r="F2587" s="165">
        <v>1200</v>
      </c>
      <c r="G2587" s="165">
        <f t="shared" si="62"/>
        <v>-1037289.1223333339</v>
      </c>
      <c r="H2587" s="295"/>
      <c r="I2587" s="295"/>
      <c r="J2587" s="295"/>
      <c r="K2587" s="295"/>
      <c r="L2587" s="295"/>
      <c r="M2587" s="295"/>
      <c r="N2587" s="295"/>
      <c r="O2587" s="295"/>
      <c r="P2587" s="295"/>
      <c r="Q2587" s="295"/>
      <c r="R2587" s="295"/>
      <c r="S2587" s="190" t="s">
        <v>325</v>
      </c>
      <c r="T2587" s="94">
        <f t="shared" si="61"/>
        <v>5</v>
      </c>
      <c r="U2587" s="167">
        <f t="shared" si="55"/>
        <v>45803</v>
      </c>
      <c r="V2587" s="145"/>
      <c r="W2587" s="43">
        <f t="shared" si="56"/>
        <v>5</v>
      </c>
      <c r="X2587" s="43"/>
      <c r="Y2587" s="43"/>
      <c r="Z2587" s="43"/>
      <c r="AA2587" s="43"/>
      <c r="AB2587" s="43"/>
    </row>
    <row r="2588" spans="1:28" ht="14.25" hidden="1" customHeight="1">
      <c r="A2588" s="163" t="s">
        <v>1174</v>
      </c>
      <c r="B2588" s="164">
        <v>45803</v>
      </c>
      <c r="C2588" s="163" t="s">
        <v>1158</v>
      </c>
      <c r="D2588" s="163" t="s">
        <v>281</v>
      </c>
      <c r="E2588" s="163" t="s">
        <v>407</v>
      </c>
      <c r="F2588" s="165">
        <v>1500</v>
      </c>
      <c r="G2588" s="165">
        <f t="shared" si="62"/>
        <v>-1035789.1223333339</v>
      </c>
      <c r="H2588" s="295"/>
      <c r="I2588" s="295"/>
      <c r="J2588" s="295"/>
      <c r="K2588" s="295"/>
      <c r="L2588" s="295"/>
      <c r="M2588" s="295"/>
      <c r="N2588" s="295"/>
      <c r="O2588" s="295"/>
      <c r="P2588" s="295"/>
      <c r="Q2588" s="295"/>
      <c r="R2588" s="295"/>
      <c r="S2588" s="190" t="s">
        <v>1620</v>
      </c>
      <c r="T2588" s="43">
        <f t="shared" si="61"/>
        <v>5</v>
      </c>
      <c r="U2588" s="167">
        <f t="shared" si="55"/>
        <v>45803</v>
      </c>
      <c r="V2588" s="145"/>
      <c r="W2588" s="43">
        <f t="shared" si="56"/>
        <v>5</v>
      </c>
      <c r="X2588" s="43"/>
      <c r="Y2588" s="43"/>
      <c r="Z2588" s="43"/>
      <c r="AA2588" s="43"/>
      <c r="AB2588" s="43"/>
    </row>
    <row r="2589" spans="1:28" ht="14.25" hidden="1" customHeight="1">
      <c r="A2589" s="163" t="s">
        <v>1174</v>
      </c>
      <c r="B2589" s="164">
        <v>45803</v>
      </c>
      <c r="C2589" s="163" t="s">
        <v>1854</v>
      </c>
      <c r="D2589" s="163" t="s">
        <v>281</v>
      </c>
      <c r="E2589" s="163" t="s">
        <v>407</v>
      </c>
      <c r="F2589" s="165">
        <v>1900</v>
      </c>
      <c r="G2589" s="165">
        <f t="shared" si="62"/>
        <v>-1033889.1223333339</v>
      </c>
      <c r="H2589" s="295"/>
      <c r="I2589" s="295"/>
      <c r="J2589" s="295"/>
      <c r="K2589" s="295"/>
      <c r="L2589" s="295"/>
      <c r="M2589" s="295"/>
      <c r="N2589" s="295"/>
      <c r="O2589" s="295"/>
      <c r="P2589" s="295"/>
      <c r="Q2589" s="295"/>
      <c r="R2589" s="295"/>
      <c r="S2589" s="190" t="s">
        <v>1360</v>
      </c>
      <c r="T2589" s="43">
        <f t="shared" si="61"/>
        <v>5</v>
      </c>
      <c r="U2589" s="167">
        <f t="shared" si="55"/>
        <v>45803</v>
      </c>
      <c r="V2589" s="145"/>
      <c r="W2589" s="43">
        <f t="shared" si="56"/>
        <v>5</v>
      </c>
      <c r="X2589" s="43"/>
      <c r="Y2589" s="43"/>
      <c r="Z2589" s="43"/>
      <c r="AA2589" s="43"/>
      <c r="AB2589" s="43"/>
    </row>
    <row r="2590" spans="1:28" ht="14.25" hidden="1" customHeight="1">
      <c r="A2590" s="163" t="s">
        <v>1174</v>
      </c>
      <c r="B2590" s="164">
        <v>45803</v>
      </c>
      <c r="C2590" s="163" t="s">
        <v>1816</v>
      </c>
      <c r="D2590" s="163" t="s">
        <v>281</v>
      </c>
      <c r="E2590" s="163" t="s">
        <v>407</v>
      </c>
      <c r="F2590" s="165">
        <v>2250</v>
      </c>
      <c r="G2590" s="165">
        <f t="shared" si="62"/>
        <v>-1031639.1223333339</v>
      </c>
      <c r="H2590" s="295"/>
      <c r="I2590" s="295"/>
      <c r="J2590" s="295"/>
      <c r="K2590" s="295"/>
      <c r="L2590" s="295"/>
      <c r="M2590" s="295"/>
      <c r="N2590" s="295"/>
      <c r="O2590" s="295"/>
      <c r="P2590" s="295"/>
      <c r="Q2590" s="295"/>
      <c r="R2590" s="295"/>
      <c r="S2590" s="190" t="s">
        <v>827</v>
      </c>
      <c r="T2590" s="43">
        <f t="shared" si="61"/>
        <v>5</v>
      </c>
      <c r="U2590" s="167">
        <f t="shared" si="55"/>
        <v>45803</v>
      </c>
      <c r="V2590" s="145"/>
      <c r="W2590" s="43">
        <f t="shared" si="56"/>
        <v>5</v>
      </c>
      <c r="X2590" s="43"/>
      <c r="Y2590" s="43"/>
      <c r="Z2590" s="43"/>
      <c r="AA2590" s="43"/>
      <c r="AB2590" s="43"/>
    </row>
    <row r="2591" spans="1:28" ht="14.25" hidden="1" customHeight="1">
      <c r="A2591" s="163" t="s">
        <v>1174</v>
      </c>
      <c r="B2591" s="164">
        <v>45803</v>
      </c>
      <c r="C2591" s="163" t="s">
        <v>1175</v>
      </c>
      <c r="D2591" s="163" t="s">
        <v>281</v>
      </c>
      <c r="E2591" s="163" t="s">
        <v>407</v>
      </c>
      <c r="F2591" s="165">
        <v>2500</v>
      </c>
      <c r="G2591" s="165">
        <f t="shared" si="62"/>
        <v>-1029139.1223333339</v>
      </c>
      <c r="H2591" s="295"/>
      <c r="I2591" s="295"/>
      <c r="J2591" s="295"/>
      <c r="K2591" s="295"/>
      <c r="L2591" s="295"/>
      <c r="M2591" s="295"/>
      <c r="N2591" s="295"/>
      <c r="O2591" s="295"/>
      <c r="P2591" s="295"/>
      <c r="Q2591" s="295"/>
      <c r="R2591" s="295"/>
      <c r="S2591" s="190" t="s">
        <v>834</v>
      </c>
      <c r="T2591" s="43">
        <f t="shared" si="61"/>
        <v>5</v>
      </c>
      <c r="U2591" s="167">
        <f t="shared" si="55"/>
        <v>45803</v>
      </c>
      <c r="V2591" s="145"/>
      <c r="W2591" s="43">
        <f t="shared" si="56"/>
        <v>5</v>
      </c>
      <c r="X2591" s="43"/>
      <c r="Y2591" s="43"/>
      <c r="Z2591" s="43"/>
      <c r="AA2591" s="43"/>
      <c r="AB2591" s="43"/>
    </row>
    <row r="2592" spans="1:28" ht="14.25" hidden="1" customHeight="1">
      <c r="A2592" s="163" t="s">
        <v>1174</v>
      </c>
      <c r="B2592" s="164">
        <v>45803</v>
      </c>
      <c r="C2592" s="163" t="s">
        <v>1733</v>
      </c>
      <c r="D2592" s="163" t="s">
        <v>281</v>
      </c>
      <c r="E2592" s="163" t="s">
        <v>407</v>
      </c>
      <c r="F2592" s="165">
        <v>3000</v>
      </c>
      <c r="G2592" s="165">
        <f t="shared" si="62"/>
        <v>-1026139.1223333339</v>
      </c>
      <c r="H2592" s="295"/>
      <c r="I2592" s="295"/>
      <c r="J2592" s="295"/>
      <c r="K2592" s="295"/>
      <c r="L2592" s="295"/>
      <c r="M2592" s="295"/>
      <c r="N2592" s="295"/>
      <c r="O2592" s="295"/>
      <c r="P2592" s="295"/>
      <c r="Q2592" s="295"/>
      <c r="R2592" s="295"/>
      <c r="S2592" s="190" t="s">
        <v>1096</v>
      </c>
      <c r="T2592" s="43">
        <f t="shared" si="61"/>
        <v>5</v>
      </c>
      <c r="U2592" s="167">
        <f t="shared" si="55"/>
        <v>45803</v>
      </c>
      <c r="V2592" s="145"/>
      <c r="W2592" s="43">
        <f t="shared" si="56"/>
        <v>5</v>
      </c>
      <c r="X2592" s="43"/>
      <c r="Y2592" s="43"/>
      <c r="Z2592" s="43"/>
      <c r="AA2592" s="43"/>
      <c r="AB2592" s="43"/>
    </row>
    <row r="2593" spans="1:28" ht="14.25" hidden="1" customHeight="1">
      <c r="A2593" s="163" t="s">
        <v>1174</v>
      </c>
      <c r="B2593" s="164">
        <v>45803</v>
      </c>
      <c r="C2593" s="163" t="s">
        <v>1830</v>
      </c>
      <c r="D2593" s="163" t="s">
        <v>281</v>
      </c>
      <c r="E2593" s="163" t="s">
        <v>407</v>
      </c>
      <c r="F2593" s="165">
        <v>3000</v>
      </c>
      <c r="G2593" s="165">
        <f t="shared" si="62"/>
        <v>-1023139.1223333339</v>
      </c>
      <c r="H2593" s="295"/>
      <c r="I2593" s="295"/>
      <c r="J2593" s="295"/>
      <c r="K2593" s="295"/>
      <c r="L2593" s="295"/>
      <c r="M2593" s="295"/>
      <c r="N2593" s="295"/>
      <c r="O2593" s="295"/>
      <c r="P2593" s="295"/>
      <c r="Q2593" s="295"/>
      <c r="R2593" s="295"/>
      <c r="S2593" s="190" t="s">
        <v>742</v>
      </c>
      <c r="T2593" s="43">
        <f t="shared" si="61"/>
        <v>5</v>
      </c>
      <c r="U2593" s="167">
        <f t="shared" si="55"/>
        <v>45803</v>
      </c>
      <c r="V2593" s="145"/>
      <c r="W2593" s="43">
        <f t="shared" si="56"/>
        <v>5</v>
      </c>
      <c r="X2593" s="43"/>
      <c r="Y2593" s="43"/>
      <c r="Z2593" s="43"/>
      <c r="AA2593" s="43"/>
      <c r="AB2593" s="43"/>
    </row>
    <row r="2594" spans="1:28" ht="14.25" hidden="1" customHeight="1">
      <c r="A2594" s="163" t="s">
        <v>1174</v>
      </c>
      <c r="B2594" s="164">
        <v>45803</v>
      </c>
      <c r="C2594" s="163" t="s">
        <v>1759</v>
      </c>
      <c r="D2594" s="163" t="s">
        <v>281</v>
      </c>
      <c r="E2594" s="163" t="s">
        <v>407</v>
      </c>
      <c r="F2594" s="165">
        <v>3200</v>
      </c>
      <c r="G2594" s="165">
        <f t="shared" si="62"/>
        <v>-1019939.1223333339</v>
      </c>
      <c r="H2594" s="295"/>
      <c r="I2594" s="295"/>
      <c r="J2594" s="295"/>
      <c r="K2594" s="295"/>
      <c r="L2594" s="295"/>
      <c r="M2594" s="295"/>
      <c r="N2594" s="295"/>
      <c r="O2594" s="295"/>
      <c r="P2594" s="295"/>
      <c r="Q2594" s="295"/>
      <c r="R2594" s="295"/>
      <c r="S2594" s="190" t="s">
        <v>650</v>
      </c>
      <c r="T2594" s="43">
        <f t="shared" si="61"/>
        <v>5</v>
      </c>
      <c r="U2594" s="167">
        <f t="shared" ref="U2594:U2640" si="63">IF(V2594="",B2594,V2594)</f>
        <v>45803</v>
      </c>
      <c r="V2594" s="145"/>
      <c r="W2594" s="43">
        <f t="shared" ref="W2594:W2640" si="64">MONTH(U2594)</f>
        <v>5</v>
      </c>
      <c r="X2594" s="43"/>
      <c r="Y2594" s="43"/>
      <c r="Z2594" s="43"/>
      <c r="AA2594" s="43"/>
      <c r="AB2594" s="43"/>
    </row>
    <row r="2595" spans="1:28" ht="14.25" hidden="1" customHeight="1">
      <c r="A2595" s="163" t="s">
        <v>1174</v>
      </c>
      <c r="B2595" s="164">
        <v>45803</v>
      </c>
      <c r="C2595" s="163" t="s">
        <v>1279</v>
      </c>
      <c r="D2595" s="163" t="s">
        <v>281</v>
      </c>
      <c r="E2595" s="163" t="s">
        <v>407</v>
      </c>
      <c r="F2595" s="165">
        <v>3500</v>
      </c>
      <c r="G2595" s="165">
        <f t="shared" si="62"/>
        <v>-1016439.1223333339</v>
      </c>
      <c r="H2595" s="295"/>
      <c r="I2595" s="295"/>
      <c r="J2595" s="295"/>
      <c r="K2595" s="295"/>
      <c r="L2595" s="295"/>
      <c r="M2595" s="295"/>
      <c r="N2595" s="295"/>
      <c r="O2595" s="295"/>
      <c r="P2595" s="295"/>
      <c r="Q2595" s="295"/>
      <c r="R2595" s="295"/>
      <c r="S2595" s="190" t="s">
        <v>643</v>
      </c>
      <c r="T2595" s="43">
        <f t="shared" si="61"/>
        <v>5</v>
      </c>
      <c r="U2595" s="167">
        <f t="shared" si="63"/>
        <v>45803</v>
      </c>
      <c r="V2595" s="145"/>
      <c r="W2595" s="43">
        <f t="shared" si="64"/>
        <v>5</v>
      </c>
      <c r="X2595" s="43"/>
      <c r="Y2595" s="43"/>
      <c r="Z2595" s="43"/>
      <c r="AA2595" s="43"/>
      <c r="AB2595" s="43"/>
    </row>
    <row r="2596" spans="1:28" ht="14.25" hidden="1" customHeight="1">
      <c r="A2596" s="163" t="s">
        <v>1174</v>
      </c>
      <c r="B2596" s="164">
        <v>45803</v>
      </c>
      <c r="C2596" s="163" t="s">
        <v>1166</v>
      </c>
      <c r="D2596" s="163" t="s">
        <v>281</v>
      </c>
      <c r="E2596" s="163" t="s">
        <v>407</v>
      </c>
      <c r="F2596" s="165">
        <v>4199</v>
      </c>
      <c r="G2596" s="165">
        <f t="shared" si="62"/>
        <v>-1012240.1223333339</v>
      </c>
      <c r="H2596" s="295"/>
      <c r="I2596" s="295"/>
      <c r="J2596" s="295"/>
      <c r="K2596" s="295"/>
      <c r="L2596" s="295"/>
      <c r="M2596" s="295"/>
      <c r="N2596" s="295"/>
      <c r="O2596" s="295"/>
      <c r="P2596" s="295"/>
      <c r="Q2596" s="295"/>
      <c r="R2596" s="295"/>
      <c r="S2596" s="190" t="s">
        <v>843</v>
      </c>
      <c r="T2596" s="43">
        <f t="shared" si="61"/>
        <v>5</v>
      </c>
      <c r="U2596" s="167">
        <f t="shared" si="63"/>
        <v>45803</v>
      </c>
      <c r="V2596" s="145"/>
      <c r="W2596" s="43">
        <f t="shared" si="64"/>
        <v>5</v>
      </c>
      <c r="X2596" s="43"/>
      <c r="Y2596" s="43"/>
      <c r="Z2596" s="43"/>
      <c r="AA2596" s="43"/>
      <c r="AB2596" s="43"/>
    </row>
    <row r="2597" spans="1:28" ht="14.25" hidden="1" customHeight="1">
      <c r="A2597" s="163" t="s">
        <v>1174</v>
      </c>
      <c r="B2597" s="164">
        <v>45803</v>
      </c>
      <c r="C2597" s="163" t="s">
        <v>1182</v>
      </c>
      <c r="D2597" s="163" t="s">
        <v>281</v>
      </c>
      <c r="E2597" s="163" t="s">
        <v>407</v>
      </c>
      <c r="F2597" s="165">
        <v>4365</v>
      </c>
      <c r="G2597" s="165">
        <f t="shared" si="62"/>
        <v>-1007875.1223333339</v>
      </c>
      <c r="H2597" s="295"/>
      <c r="I2597" s="295"/>
      <c r="J2597" s="295"/>
      <c r="K2597" s="295"/>
      <c r="L2597" s="295"/>
      <c r="M2597" s="295"/>
      <c r="N2597" s="295"/>
      <c r="O2597" s="295"/>
      <c r="P2597" s="295"/>
      <c r="Q2597" s="295"/>
      <c r="R2597" s="295"/>
      <c r="S2597" s="190" t="s">
        <v>776</v>
      </c>
      <c r="T2597" s="43">
        <f t="shared" si="61"/>
        <v>5</v>
      </c>
      <c r="U2597" s="167">
        <f t="shared" si="63"/>
        <v>45803</v>
      </c>
      <c r="V2597" s="145"/>
      <c r="W2597" s="43">
        <f t="shared" si="64"/>
        <v>5</v>
      </c>
      <c r="X2597" s="43"/>
      <c r="Y2597" s="43"/>
      <c r="Z2597" s="43"/>
      <c r="AA2597" s="43"/>
      <c r="AB2597" s="43"/>
    </row>
    <row r="2598" spans="1:28" ht="14.25" hidden="1" customHeight="1">
      <c r="A2598" s="163" t="s">
        <v>1174</v>
      </c>
      <c r="B2598" s="164">
        <v>45803</v>
      </c>
      <c r="C2598" s="163" t="s">
        <v>1115</v>
      </c>
      <c r="D2598" s="163" t="s">
        <v>281</v>
      </c>
      <c r="E2598" s="163" t="s">
        <v>407</v>
      </c>
      <c r="F2598" s="165">
        <v>4390</v>
      </c>
      <c r="G2598" s="165">
        <f t="shared" si="62"/>
        <v>-1003485.1223333339</v>
      </c>
      <c r="H2598" s="295"/>
      <c r="I2598" s="295"/>
      <c r="J2598" s="295"/>
      <c r="K2598" s="295"/>
      <c r="L2598" s="295"/>
      <c r="M2598" s="295"/>
      <c r="N2598" s="295"/>
      <c r="O2598" s="295"/>
      <c r="P2598" s="295"/>
      <c r="Q2598" s="295"/>
      <c r="R2598" s="295"/>
      <c r="S2598" s="190" t="s">
        <v>1016</v>
      </c>
      <c r="T2598" s="43">
        <f t="shared" si="61"/>
        <v>5</v>
      </c>
      <c r="U2598" s="167">
        <f t="shared" si="63"/>
        <v>45803</v>
      </c>
      <c r="V2598" s="145"/>
      <c r="W2598" s="43">
        <f t="shared" si="64"/>
        <v>5</v>
      </c>
      <c r="X2598" s="43"/>
      <c r="Y2598" s="43"/>
      <c r="Z2598" s="43"/>
      <c r="AA2598" s="43"/>
      <c r="AB2598" s="43"/>
    </row>
    <row r="2599" spans="1:28" ht="14.25" hidden="1" customHeight="1">
      <c r="A2599" s="163" t="s">
        <v>1174</v>
      </c>
      <c r="B2599" s="164">
        <v>45803</v>
      </c>
      <c r="C2599" s="163" t="s">
        <v>1824</v>
      </c>
      <c r="D2599" s="163" t="s">
        <v>281</v>
      </c>
      <c r="E2599" s="163" t="s">
        <v>407</v>
      </c>
      <c r="F2599" s="165">
        <v>4500</v>
      </c>
      <c r="G2599" s="165">
        <f t="shared" si="62"/>
        <v>-998985.12233333394</v>
      </c>
      <c r="H2599" s="295"/>
      <c r="I2599" s="295"/>
      <c r="J2599" s="295"/>
      <c r="K2599" s="295"/>
      <c r="L2599" s="295"/>
      <c r="M2599" s="295"/>
      <c r="N2599" s="295"/>
      <c r="O2599" s="295"/>
      <c r="P2599" s="295"/>
      <c r="Q2599" s="295"/>
      <c r="R2599" s="295"/>
      <c r="S2599" s="190" t="s">
        <v>80</v>
      </c>
      <c r="T2599" s="43">
        <f t="shared" si="61"/>
        <v>5</v>
      </c>
      <c r="U2599" s="167">
        <f t="shared" si="63"/>
        <v>45803</v>
      </c>
      <c r="V2599" s="145"/>
      <c r="W2599" s="43">
        <f t="shared" si="64"/>
        <v>5</v>
      </c>
      <c r="X2599" s="43"/>
      <c r="Y2599" s="43"/>
      <c r="Z2599" s="43"/>
      <c r="AA2599" s="43"/>
      <c r="AB2599" s="43"/>
    </row>
    <row r="2600" spans="1:28" ht="14.25" hidden="1" customHeight="1">
      <c r="A2600" s="163" t="s">
        <v>1174</v>
      </c>
      <c r="B2600" s="164">
        <v>45803</v>
      </c>
      <c r="C2600" s="163" t="s">
        <v>1732</v>
      </c>
      <c r="D2600" s="163" t="s">
        <v>281</v>
      </c>
      <c r="E2600" s="163" t="s">
        <v>407</v>
      </c>
      <c r="F2600" s="165">
        <v>4500</v>
      </c>
      <c r="G2600" s="165">
        <f t="shared" si="62"/>
        <v>-994485.12233333394</v>
      </c>
      <c r="H2600" s="295"/>
      <c r="I2600" s="295"/>
      <c r="J2600" s="295"/>
      <c r="K2600" s="295"/>
      <c r="L2600" s="295"/>
      <c r="M2600" s="295"/>
      <c r="N2600" s="295"/>
      <c r="O2600" s="295"/>
      <c r="P2600" s="295"/>
      <c r="Q2600" s="295"/>
      <c r="R2600" s="295"/>
      <c r="S2600" s="190" t="s">
        <v>781</v>
      </c>
      <c r="T2600" s="43">
        <f t="shared" si="61"/>
        <v>5</v>
      </c>
      <c r="U2600" s="167">
        <f t="shared" si="63"/>
        <v>45803</v>
      </c>
      <c r="V2600" s="145"/>
      <c r="W2600" s="43">
        <f t="shared" si="64"/>
        <v>5</v>
      </c>
      <c r="X2600" s="43"/>
      <c r="Y2600" s="43"/>
      <c r="Z2600" s="43"/>
      <c r="AA2600" s="43"/>
      <c r="AB2600" s="43"/>
    </row>
    <row r="2601" spans="1:28" ht="14.25" hidden="1" customHeight="1">
      <c r="A2601" s="163" t="s">
        <v>1174</v>
      </c>
      <c r="B2601" s="164">
        <v>45803</v>
      </c>
      <c r="C2601" s="163" t="s">
        <v>1753</v>
      </c>
      <c r="D2601" s="163" t="s">
        <v>281</v>
      </c>
      <c r="E2601" s="163" t="s">
        <v>407</v>
      </c>
      <c r="F2601" s="165">
        <v>4800</v>
      </c>
      <c r="G2601" s="165">
        <f t="shared" si="62"/>
        <v>-989685.12233333394</v>
      </c>
      <c r="H2601" s="295"/>
      <c r="I2601" s="295"/>
      <c r="J2601" s="295"/>
      <c r="K2601" s="295"/>
      <c r="L2601" s="295"/>
      <c r="M2601" s="295"/>
      <c r="N2601" s="295"/>
      <c r="O2601" s="295"/>
      <c r="P2601" s="295"/>
      <c r="Q2601" s="295"/>
      <c r="R2601" s="295"/>
      <c r="S2601" s="190" t="s">
        <v>79</v>
      </c>
      <c r="T2601" s="43">
        <f t="shared" si="61"/>
        <v>5</v>
      </c>
      <c r="U2601" s="167">
        <f t="shared" si="63"/>
        <v>45803</v>
      </c>
      <c r="V2601" s="145"/>
      <c r="W2601" s="43">
        <f t="shared" si="64"/>
        <v>5</v>
      </c>
      <c r="X2601" s="43"/>
      <c r="Y2601" s="43"/>
      <c r="Z2601" s="43"/>
      <c r="AA2601" s="43"/>
      <c r="AB2601" s="43"/>
    </row>
    <row r="2602" spans="1:28" ht="14.25" hidden="1" customHeight="1">
      <c r="A2602" s="163" t="s">
        <v>1017</v>
      </c>
      <c r="B2602" s="164">
        <v>45803</v>
      </c>
      <c r="C2602" s="163" t="s">
        <v>351</v>
      </c>
      <c r="D2602" s="163" t="s">
        <v>281</v>
      </c>
      <c r="E2602" s="163" t="s">
        <v>1850</v>
      </c>
      <c r="F2602" s="168">
        <v>-20710.21</v>
      </c>
      <c r="G2602" s="165">
        <f t="shared" si="62"/>
        <v>-1010395.3323333339</v>
      </c>
      <c r="H2602" s="295"/>
      <c r="I2602" s="295"/>
      <c r="J2602" s="295"/>
      <c r="K2602" s="295"/>
      <c r="L2602" s="295"/>
      <c r="M2602" s="295"/>
      <c r="N2602" s="295"/>
      <c r="O2602" s="295"/>
      <c r="P2602" s="295"/>
      <c r="Q2602" s="295"/>
      <c r="R2602" s="295"/>
      <c r="S2602" s="190" t="s">
        <v>803</v>
      </c>
      <c r="T2602" s="43">
        <f t="shared" si="61"/>
        <v>5</v>
      </c>
      <c r="U2602" s="167">
        <f t="shared" si="63"/>
        <v>45803</v>
      </c>
      <c r="V2602" s="145"/>
      <c r="W2602" s="43">
        <f t="shared" si="64"/>
        <v>5</v>
      </c>
      <c r="X2602" s="43"/>
      <c r="Y2602" s="43"/>
      <c r="Z2602" s="43"/>
      <c r="AA2602" s="43"/>
      <c r="AB2602" s="43"/>
    </row>
    <row r="2603" spans="1:28" ht="14.25" hidden="1" customHeight="1">
      <c r="A2603" s="163" t="s">
        <v>1017</v>
      </c>
      <c r="B2603" s="164">
        <v>45803</v>
      </c>
      <c r="C2603" s="163" t="s">
        <v>1002</v>
      </c>
      <c r="D2603" s="163" t="s">
        <v>281</v>
      </c>
      <c r="E2603" s="163" t="s">
        <v>190</v>
      </c>
      <c r="F2603" s="168">
        <v>-500</v>
      </c>
      <c r="G2603" s="165">
        <f t="shared" si="62"/>
        <v>-1010895.3323333339</v>
      </c>
      <c r="H2603" s="295"/>
      <c r="I2603" s="295"/>
      <c r="J2603" s="295"/>
      <c r="K2603" s="295"/>
      <c r="L2603" s="295"/>
      <c r="M2603" s="295"/>
      <c r="N2603" s="295"/>
      <c r="O2603" s="295"/>
      <c r="P2603" s="295"/>
      <c r="Q2603" s="295"/>
      <c r="R2603" s="295"/>
      <c r="S2603" s="190" t="s">
        <v>768</v>
      </c>
      <c r="T2603" s="43">
        <f t="shared" si="61"/>
        <v>5</v>
      </c>
      <c r="U2603" s="167">
        <f t="shared" si="63"/>
        <v>45803</v>
      </c>
      <c r="V2603" s="145"/>
      <c r="W2603" s="43">
        <f t="shared" si="64"/>
        <v>5</v>
      </c>
      <c r="X2603" s="43"/>
      <c r="Y2603" s="43"/>
      <c r="Z2603" s="43"/>
      <c r="AA2603" s="43"/>
      <c r="AB2603" s="43"/>
    </row>
    <row r="2604" spans="1:28" ht="14.25" hidden="1" customHeight="1">
      <c r="A2604" s="163" t="s">
        <v>1017</v>
      </c>
      <c r="B2604" s="164">
        <v>45803</v>
      </c>
      <c r="C2604" s="163" t="s">
        <v>844</v>
      </c>
      <c r="D2604" s="163" t="s">
        <v>281</v>
      </c>
      <c r="E2604" s="163" t="s">
        <v>120</v>
      </c>
      <c r="F2604" s="168">
        <v>-17178.400000000001</v>
      </c>
      <c r="G2604" s="165">
        <f t="shared" si="62"/>
        <v>-1028073.7323333339</v>
      </c>
      <c r="H2604" s="295"/>
      <c r="I2604" s="295"/>
      <c r="J2604" s="295"/>
      <c r="K2604" s="295"/>
      <c r="L2604" s="295"/>
      <c r="M2604" s="295"/>
      <c r="N2604" s="295"/>
      <c r="O2604" s="295"/>
      <c r="P2604" s="295"/>
      <c r="Q2604" s="295"/>
      <c r="R2604" s="295"/>
      <c r="S2604" s="190" t="s">
        <v>772</v>
      </c>
      <c r="T2604" s="43">
        <f t="shared" si="61"/>
        <v>5</v>
      </c>
      <c r="U2604" s="167">
        <f t="shared" si="63"/>
        <v>45803</v>
      </c>
      <c r="V2604" s="145"/>
      <c r="W2604" s="43">
        <f t="shared" si="64"/>
        <v>5</v>
      </c>
      <c r="X2604" s="43"/>
      <c r="Y2604" s="43"/>
      <c r="Z2604" s="43"/>
      <c r="AA2604" s="43"/>
      <c r="AB2604" s="43"/>
    </row>
    <row r="2605" spans="1:28" ht="14.25" hidden="1" customHeight="1">
      <c r="A2605" s="163" t="s">
        <v>1017</v>
      </c>
      <c r="B2605" s="164">
        <v>45803</v>
      </c>
      <c r="C2605" s="163" t="s">
        <v>1033</v>
      </c>
      <c r="D2605" s="163" t="s">
        <v>281</v>
      </c>
      <c r="E2605" s="163" t="s">
        <v>120</v>
      </c>
      <c r="F2605" s="168">
        <v>-8892.52</v>
      </c>
      <c r="G2605" s="165">
        <f t="shared" si="62"/>
        <v>-1036966.2523333339</v>
      </c>
      <c r="H2605" s="295"/>
      <c r="I2605" s="295"/>
      <c r="J2605" s="295"/>
      <c r="K2605" s="295"/>
      <c r="L2605" s="295"/>
      <c r="M2605" s="295"/>
      <c r="N2605" s="295"/>
      <c r="O2605" s="295"/>
      <c r="P2605" s="295"/>
      <c r="Q2605" s="295"/>
      <c r="R2605" s="295"/>
      <c r="S2605" s="190" t="s">
        <v>1291</v>
      </c>
      <c r="T2605" s="43">
        <f t="shared" si="61"/>
        <v>5</v>
      </c>
      <c r="U2605" s="167">
        <f t="shared" si="63"/>
        <v>45803</v>
      </c>
      <c r="V2605" s="145"/>
      <c r="W2605" s="43">
        <f t="shared" si="64"/>
        <v>5</v>
      </c>
      <c r="X2605" s="43"/>
      <c r="Y2605" s="43"/>
      <c r="Z2605" s="43"/>
      <c r="AA2605" s="43"/>
      <c r="AB2605" s="43"/>
    </row>
    <row r="2606" spans="1:28" ht="14.25" hidden="1" customHeight="1">
      <c r="A2606" s="163" t="s">
        <v>1017</v>
      </c>
      <c r="B2606" s="164">
        <v>45803</v>
      </c>
      <c r="C2606" s="163" t="s">
        <v>127</v>
      </c>
      <c r="D2606" s="163" t="s">
        <v>281</v>
      </c>
      <c r="E2606" s="163" t="s">
        <v>199</v>
      </c>
      <c r="F2606" s="168">
        <v>-130</v>
      </c>
      <c r="G2606" s="165">
        <f t="shared" si="62"/>
        <v>-1037096.2523333339</v>
      </c>
      <c r="H2606" s="295"/>
      <c r="I2606" s="295"/>
      <c r="J2606" s="295"/>
      <c r="K2606" s="295"/>
      <c r="L2606" s="295"/>
      <c r="M2606" s="295"/>
      <c r="N2606" s="295"/>
      <c r="O2606" s="295"/>
      <c r="P2606" s="295"/>
      <c r="Q2606" s="295"/>
      <c r="R2606" s="295"/>
      <c r="S2606" s="190" t="s">
        <v>793</v>
      </c>
      <c r="T2606" s="43">
        <f t="shared" si="61"/>
        <v>5</v>
      </c>
      <c r="U2606" s="167">
        <f t="shared" si="63"/>
        <v>45803</v>
      </c>
      <c r="V2606" s="145"/>
      <c r="W2606" s="43">
        <f t="shared" si="64"/>
        <v>5</v>
      </c>
      <c r="X2606" s="43"/>
      <c r="Y2606" s="43"/>
      <c r="Z2606" s="43"/>
      <c r="AA2606" s="43"/>
      <c r="AB2606" s="43"/>
    </row>
    <row r="2607" spans="1:28" ht="14.25" hidden="1" customHeight="1">
      <c r="A2607" s="163" t="s">
        <v>1017</v>
      </c>
      <c r="B2607" s="164">
        <v>45803</v>
      </c>
      <c r="C2607" s="163" t="s">
        <v>1606</v>
      </c>
      <c r="D2607" s="163" t="s">
        <v>281</v>
      </c>
      <c r="E2607" s="163" t="s">
        <v>199</v>
      </c>
      <c r="F2607" s="168">
        <v>-255</v>
      </c>
      <c r="G2607" s="165">
        <f t="shared" si="62"/>
        <v>-1037351.2523333339</v>
      </c>
      <c r="H2607" s="295"/>
      <c r="I2607" s="295"/>
      <c r="J2607" s="295"/>
      <c r="K2607" s="295"/>
      <c r="L2607" s="295"/>
      <c r="M2607" s="295"/>
      <c r="N2607" s="295"/>
      <c r="O2607" s="295"/>
      <c r="P2607" s="295"/>
      <c r="Q2607" s="295"/>
      <c r="R2607" s="295"/>
      <c r="S2607" s="190" t="s">
        <v>1151</v>
      </c>
      <c r="T2607" s="43">
        <f t="shared" si="61"/>
        <v>5</v>
      </c>
      <c r="U2607" s="167">
        <f t="shared" si="63"/>
        <v>45803</v>
      </c>
      <c r="V2607" s="145"/>
      <c r="W2607" s="43">
        <f t="shared" si="64"/>
        <v>5</v>
      </c>
      <c r="X2607" s="43"/>
      <c r="Y2607" s="43"/>
      <c r="Z2607" s="43"/>
      <c r="AA2607" s="43"/>
      <c r="AB2607" s="43"/>
    </row>
    <row r="2608" spans="1:28" ht="14.25" hidden="1" customHeight="1">
      <c r="A2608" s="163" t="s">
        <v>1017</v>
      </c>
      <c r="B2608" s="164">
        <v>45803</v>
      </c>
      <c r="C2608" s="163" t="s">
        <v>1539</v>
      </c>
      <c r="D2608" s="163" t="s">
        <v>281</v>
      </c>
      <c r="E2608" s="163" t="s">
        <v>372</v>
      </c>
      <c r="F2608" s="168">
        <v>-734.05</v>
      </c>
      <c r="G2608" s="165">
        <f t="shared" si="62"/>
        <v>-1038085.302333334</v>
      </c>
      <c r="H2608" s="295"/>
      <c r="I2608" s="295"/>
      <c r="J2608" s="295"/>
      <c r="K2608" s="295"/>
      <c r="L2608" s="295"/>
      <c r="M2608" s="295"/>
      <c r="N2608" s="295"/>
      <c r="O2608" s="295"/>
      <c r="P2608" s="295"/>
      <c r="Q2608" s="295"/>
      <c r="R2608" s="295"/>
      <c r="S2608" s="190" t="s">
        <v>942</v>
      </c>
      <c r="T2608" s="43">
        <f t="shared" si="61"/>
        <v>5</v>
      </c>
      <c r="U2608" s="167">
        <f t="shared" si="63"/>
        <v>45803</v>
      </c>
      <c r="V2608" s="145"/>
      <c r="W2608" s="43">
        <f t="shared" si="64"/>
        <v>5</v>
      </c>
      <c r="X2608" s="43"/>
      <c r="Y2608" s="43"/>
      <c r="Z2608" s="43"/>
      <c r="AA2608" s="43"/>
      <c r="AB2608" s="43"/>
    </row>
    <row r="2609" spans="1:28" ht="14.25" hidden="1" customHeight="1">
      <c r="A2609" s="163" t="s">
        <v>1017</v>
      </c>
      <c r="B2609" s="164">
        <v>45803</v>
      </c>
      <c r="C2609" s="163" t="s">
        <v>1010</v>
      </c>
      <c r="D2609" s="163" t="s">
        <v>281</v>
      </c>
      <c r="E2609" s="163" t="s">
        <v>199</v>
      </c>
      <c r="F2609" s="168">
        <v>-2500</v>
      </c>
      <c r="G2609" s="165">
        <f t="shared" si="62"/>
        <v>-1040585.302333334</v>
      </c>
      <c r="H2609" s="295"/>
      <c r="I2609" s="295"/>
      <c r="J2609" s="295"/>
      <c r="K2609" s="295"/>
      <c r="L2609" s="295"/>
      <c r="M2609" s="295"/>
      <c r="N2609" s="295"/>
      <c r="O2609" s="295"/>
      <c r="P2609" s="295"/>
      <c r="Q2609" s="295"/>
      <c r="R2609" s="295"/>
      <c r="S2609" s="190" t="s">
        <v>980</v>
      </c>
      <c r="T2609" s="43">
        <f t="shared" si="61"/>
        <v>5</v>
      </c>
      <c r="U2609" s="167">
        <f t="shared" si="63"/>
        <v>45803</v>
      </c>
      <c r="V2609" s="145"/>
      <c r="W2609" s="43">
        <f t="shared" si="64"/>
        <v>5</v>
      </c>
      <c r="X2609" s="43"/>
      <c r="Y2609" s="43"/>
      <c r="Z2609" s="43"/>
      <c r="AA2609" s="43"/>
      <c r="AB2609" s="43"/>
    </row>
    <row r="2610" spans="1:28" ht="14.25" hidden="1" customHeight="1">
      <c r="A2610" s="163" t="s">
        <v>1017</v>
      </c>
      <c r="B2610" s="164">
        <v>45803</v>
      </c>
      <c r="C2610" s="163" t="s">
        <v>979</v>
      </c>
      <c r="D2610" s="163" t="s">
        <v>281</v>
      </c>
      <c r="E2610" s="163" t="s">
        <v>199</v>
      </c>
      <c r="F2610" s="168">
        <v>-6331</v>
      </c>
      <c r="G2610" s="165">
        <f t="shared" si="62"/>
        <v>-1046916.302333334</v>
      </c>
      <c r="H2610" s="295"/>
      <c r="I2610" s="295"/>
      <c r="J2610" s="295"/>
      <c r="K2610" s="295"/>
      <c r="L2610" s="295"/>
      <c r="M2610" s="295"/>
      <c r="N2610" s="295"/>
      <c r="O2610" s="295"/>
      <c r="P2610" s="295"/>
      <c r="Q2610" s="295"/>
      <c r="R2610" s="295"/>
      <c r="S2610" s="190"/>
      <c r="T2610" s="43">
        <f t="shared" si="61"/>
        <v>5</v>
      </c>
      <c r="U2610" s="167">
        <f t="shared" si="63"/>
        <v>45803</v>
      </c>
      <c r="V2610" s="145"/>
      <c r="W2610" s="43">
        <f t="shared" si="64"/>
        <v>5</v>
      </c>
      <c r="X2610" s="43"/>
      <c r="Y2610" s="43"/>
      <c r="Z2610" s="43"/>
      <c r="AA2610" s="43"/>
      <c r="AB2610" s="43"/>
    </row>
    <row r="2611" spans="1:28" ht="14.25" hidden="1" customHeight="1">
      <c r="A2611" s="163"/>
      <c r="B2611" s="164">
        <v>45803</v>
      </c>
      <c r="C2611" s="163" t="s">
        <v>346</v>
      </c>
      <c r="D2611" s="163"/>
      <c r="E2611" s="163"/>
      <c r="F2611" s="165">
        <v>0</v>
      </c>
      <c r="G2611" s="165">
        <f t="shared" si="62"/>
        <v>-1046916.302333334</v>
      </c>
      <c r="H2611" s="295"/>
      <c r="I2611" s="295"/>
      <c r="J2611" s="295"/>
      <c r="K2611" s="295"/>
      <c r="L2611" s="295"/>
      <c r="M2611" s="295"/>
      <c r="N2611" s="295"/>
      <c r="O2611" s="295"/>
      <c r="P2611" s="295"/>
      <c r="Q2611" s="295"/>
      <c r="R2611" s="295"/>
      <c r="S2611" s="190"/>
      <c r="T2611" s="43">
        <f t="shared" si="61"/>
        <v>5</v>
      </c>
      <c r="U2611" s="167">
        <f t="shared" si="63"/>
        <v>45803</v>
      </c>
      <c r="V2611" s="145"/>
      <c r="W2611" s="43">
        <f t="shared" si="64"/>
        <v>5</v>
      </c>
      <c r="X2611" s="43"/>
      <c r="Y2611" s="43"/>
      <c r="Z2611" s="43"/>
      <c r="AA2611" s="43"/>
      <c r="AB2611" s="43"/>
    </row>
    <row r="2612" spans="1:28" ht="14.25" hidden="1" customHeight="1">
      <c r="A2612" s="163" t="s">
        <v>1174</v>
      </c>
      <c r="B2612" s="164">
        <v>45805</v>
      </c>
      <c r="C2612" s="163" t="s">
        <v>1215</v>
      </c>
      <c r="D2612" s="163" t="s">
        <v>281</v>
      </c>
      <c r="E2612" s="163" t="s">
        <v>407</v>
      </c>
      <c r="F2612" s="165">
        <v>1750</v>
      </c>
      <c r="G2612" s="165">
        <f t="shared" si="62"/>
        <v>-1045166.302333334</v>
      </c>
      <c r="H2612" s="295"/>
      <c r="I2612" s="295"/>
      <c r="J2612" s="295"/>
      <c r="K2612" s="295"/>
      <c r="L2612" s="295"/>
      <c r="M2612" s="295"/>
      <c r="N2612" s="295"/>
      <c r="O2612" s="295"/>
      <c r="P2612" s="295"/>
      <c r="Q2612" s="295"/>
      <c r="R2612" s="295"/>
      <c r="S2612" s="190" t="s">
        <v>1391</v>
      </c>
      <c r="T2612" s="43">
        <f t="shared" si="61"/>
        <v>5</v>
      </c>
      <c r="U2612" s="167">
        <f t="shared" si="63"/>
        <v>45805</v>
      </c>
      <c r="V2612" s="145"/>
      <c r="W2612" s="43">
        <f t="shared" si="64"/>
        <v>5</v>
      </c>
      <c r="X2612" s="43"/>
      <c r="Y2612" s="43"/>
      <c r="Z2612" s="43"/>
      <c r="AA2612" s="43"/>
      <c r="AB2612" s="43"/>
    </row>
    <row r="2613" spans="1:28" ht="14.25" hidden="1" customHeight="1">
      <c r="A2613" s="163" t="s">
        <v>1017</v>
      </c>
      <c r="B2613" s="164">
        <v>45805</v>
      </c>
      <c r="C2613" s="163" t="s">
        <v>1323</v>
      </c>
      <c r="D2613" s="163" t="s">
        <v>281</v>
      </c>
      <c r="E2613" s="163" t="s">
        <v>199</v>
      </c>
      <c r="F2613" s="168">
        <v>-2854.83</v>
      </c>
      <c r="G2613" s="165">
        <f t="shared" si="62"/>
        <v>-1048021.132333334</v>
      </c>
      <c r="H2613" s="295"/>
      <c r="I2613" s="295"/>
      <c r="J2613" s="295"/>
      <c r="K2613" s="295"/>
      <c r="L2613" s="295"/>
      <c r="M2613" s="295"/>
      <c r="N2613" s="295"/>
      <c r="O2613" s="295"/>
      <c r="P2613" s="295"/>
      <c r="Q2613" s="295"/>
      <c r="R2613" s="295"/>
      <c r="S2613" s="190" t="s">
        <v>885</v>
      </c>
      <c r="T2613" s="43">
        <f t="shared" si="61"/>
        <v>5</v>
      </c>
      <c r="U2613" s="167">
        <f t="shared" si="63"/>
        <v>45805</v>
      </c>
      <c r="V2613" s="145"/>
      <c r="W2613" s="43">
        <f t="shared" si="64"/>
        <v>5</v>
      </c>
      <c r="X2613" s="43"/>
      <c r="Y2613" s="43"/>
      <c r="Z2613" s="43"/>
      <c r="AA2613" s="43"/>
      <c r="AB2613" s="43"/>
    </row>
    <row r="2614" spans="1:28" ht="14.25" hidden="1" customHeight="1">
      <c r="A2614" s="163" t="s">
        <v>1017</v>
      </c>
      <c r="B2614" s="164">
        <v>45805</v>
      </c>
      <c r="C2614" s="163" t="s">
        <v>989</v>
      </c>
      <c r="D2614" s="163" t="s">
        <v>281</v>
      </c>
      <c r="E2614" s="163" t="s">
        <v>199</v>
      </c>
      <c r="F2614" s="168">
        <v>-1119</v>
      </c>
      <c r="G2614" s="165">
        <f t="shared" si="62"/>
        <v>-1049140.1323333341</v>
      </c>
      <c r="H2614" s="295"/>
      <c r="I2614" s="295"/>
      <c r="J2614" s="295"/>
      <c r="K2614" s="295"/>
      <c r="L2614" s="295"/>
      <c r="M2614" s="295"/>
      <c r="N2614" s="295"/>
      <c r="O2614" s="295"/>
      <c r="P2614" s="295"/>
      <c r="Q2614" s="295"/>
      <c r="R2614" s="295"/>
      <c r="S2614" s="190"/>
      <c r="T2614" s="43">
        <f t="shared" si="61"/>
        <v>5</v>
      </c>
      <c r="U2614" s="167">
        <f t="shared" si="63"/>
        <v>45805</v>
      </c>
      <c r="V2614" s="145"/>
      <c r="W2614" s="43">
        <f t="shared" si="64"/>
        <v>5</v>
      </c>
      <c r="X2614" s="43"/>
      <c r="Y2614" s="43"/>
      <c r="Z2614" s="43"/>
      <c r="AA2614" s="43"/>
      <c r="AB2614" s="43"/>
    </row>
    <row r="2615" spans="1:28" ht="14.25" hidden="1" customHeight="1">
      <c r="A2615" s="163" t="s">
        <v>1017</v>
      </c>
      <c r="B2615" s="164">
        <v>45805</v>
      </c>
      <c r="C2615" s="163" t="s">
        <v>133</v>
      </c>
      <c r="D2615" s="163" t="s">
        <v>281</v>
      </c>
      <c r="E2615" s="163" t="s">
        <v>199</v>
      </c>
      <c r="F2615" s="168">
        <v>-870</v>
      </c>
      <c r="G2615" s="165">
        <f t="shared" si="62"/>
        <v>-1050010.1323333341</v>
      </c>
      <c r="H2615" s="295"/>
      <c r="I2615" s="295"/>
      <c r="J2615" s="295"/>
      <c r="K2615" s="295"/>
      <c r="L2615" s="295"/>
      <c r="M2615" s="295"/>
      <c r="N2615" s="295"/>
      <c r="O2615" s="295"/>
      <c r="P2615" s="295"/>
      <c r="Q2615" s="295"/>
      <c r="R2615" s="295"/>
      <c r="S2615" s="190" t="s">
        <v>1000</v>
      </c>
      <c r="T2615" s="43">
        <f t="shared" si="61"/>
        <v>5</v>
      </c>
      <c r="U2615" s="167">
        <f t="shared" si="63"/>
        <v>45805</v>
      </c>
      <c r="V2615" s="145"/>
      <c r="W2615" s="43">
        <f t="shared" si="64"/>
        <v>5</v>
      </c>
      <c r="X2615" s="43"/>
      <c r="Y2615" s="43"/>
      <c r="Z2615" s="43"/>
      <c r="AA2615" s="43"/>
      <c r="AB2615" s="43"/>
    </row>
    <row r="2616" spans="1:28" ht="14.25" hidden="1" customHeight="1">
      <c r="A2616" s="163" t="s">
        <v>1017</v>
      </c>
      <c r="B2616" s="164">
        <v>45805</v>
      </c>
      <c r="C2616" s="163" t="s">
        <v>1008</v>
      </c>
      <c r="D2616" s="163" t="s">
        <v>281</v>
      </c>
      <c r="E2616" s="163" t="s">
        <v>199</v>
      </c>
      <c r="F2616" s="168">
        <v>-2000</v>
      </c>
      <c r="G2616" s="165">
        <f t="shared" si="62"/>
        <v>-1052010.1323333341</v>
      </c>
      <c r="H2616" s="295"/>
      <c r="I2616" s="295"/>
      <c r="J2616" s="295"/>
      <c r="K2616" s="295"/>
      <c r="L2616" s="295"/>
      <c r="M2616" s="295"/>
      <c r="N2616" s="295"/>
      <c r="O2616" s="295"/>
      <c r="P2616" s="295"/>
      <c r="Q2616" s="295"/>
      <c r="R2616" s="295"/>
      <c r="S2616" s="190" t="s">
        <v>982</v>
      </c>
      <c r="T2616" s="43">
        <f t="shared" si="61"/>
        <v>5</v>
      </c>
      <c r="U2616" s="167">
        <f t="shared" si="63"/>
        <v>45805</v>
      </c>
      <c r="V2616" s="145"/>
      <c r="W2616" s="43">
        <f t="shared" si="64"/>
        <v>5</v>
      </c>
      <c r="X2616" s="43"/>
      <c r="Y2616" s="43"/>
      <c r="Z2616" s="43"/>
      <c r="AA2616" s="43"/>
      <c r="AB2616" s="43"/>
    </row>
    <row r="2617" spans="1:28" ht="14.25" hidden="1" customHeight="1">
      <c r="A2617" s="163"/>
      <c r="B2617" s="164">
        <v>45805</v>
      </c>
      <c r="C2617" s="163" t="s">
        <v>346</v>
      </c>
      <c r="D2617" s="163"/>
      <c r="E2617" s="163"/>
      <c r="F2617" s="165">
        <v>0</v>
      </c>
      <c r="G2617" s="165">
        <f t="shared" si="62"/>
        <v>-1052010.1323333341</v>
      </c>
      <c r="H2617" s="295"/>
      <c r="I2617" s="295"/>
      <c r="J2617" s="295"/>
      <c r="K2617" s="295"/>
      <c r="L2617" s="295"/>
      <c r="M2617" s="295"/>
      <c r="N2617" s="295"/>
      <c r="O2617" s="295"/>
      <c r="P2617" s="295"/>
      <c r="Q2617" s="295"/>
      <c r="R2617" s="295"/>
      <c r="S2617" s="190" t="s">
        <v>982</v>
      </c>
      <c r="T2617" s="43">
        <f t="shared" si="61"/>
        <v>5</v>
      </c>
      <c r="U2617" s="167">
        <f t="shared" si="63"/>
        <v>45805</v>
      </c>
      <c r="V2617" s="145"/>
      <c r="W2617" s="43">
        <f t="shared" si="64"/>
        <v>5</v>
      </c>
      <c r="X2617" s="43"/>
      <c r="Y2617" s="43"/>
      <c r="Z2617" s="43"/>
      <c r="AA2617" s="43"/>
      <c r="AB2617" s="43"/>
    </row>
    <row r="2618" spans="1:28" ht="14.25" hidden="1" customHeight="1">
      <c r="A2618" s="163" t="s">
        <v>1017</v>
      </c>
      <c r="B2618" s="164">
        <v>45806</v>
      </c>
      <c r="C2618" s="163" t="s">
        <v>1287</v>
      </c>
      <c r="D2618" s="163" t="s">
        <v>281</v>
      </c>
      <c r="E2618" s="163" t="s">
        <v>1288</v>
      </c>
      <c r="F2618" s="168">
        <v>-6500</v>
      </c>
      <c r="G2618" s="165">
        <f t="shared" si="62"/>
        <v>-1058510.1323333341</v>
      </c>
      <c r="H2618" s="295"/>
      <c r="I2618" s="295"/>
      <c r="J2618" s="295"/>
      <c r="K2618" s="295"/>
      <c r="L2618" s="295"/>
      <c r="M2618" s="295"/>
      <c r="N2618" s="295"/>
      <c r="O2618" s="295"/>
      <c r="P2618" s="295"/>
      <c r="Q2618" s="295"/>
      <c r="R2618" s="295"/>
      <c r="S2618" s="190"/>
      <c r="T2618" s="43">
        <f t="shared" si="61"/>
        <v>5</v>
      </c>
      <c r="U2618" s="167">
        <f t="shared" si="63"/>
        <v>45806</v>
      </c>
      <c r="V2618" s="145"/>
      <c r="W2618" s="43">
        <f t="shared" si="64"/>
        <v>5</v>
      </c>
      <c r="X2618" s="43"/>
      <c r="Y2618" s="43"/>
      <c r="Z2618" s="43"/>
      <c r="AA2618" s="43"/>
      <c r="AB2618" s="43"/>
    </row>
    <row r="2619" spans="1:28" ht="14.25" hidden="1" customHeight="1">
      <c r="A2619" s="163"/>
      <c r="B2619" s="164">
        <v>45806</v>
      </c>
      <c r="C2619" s="163" t="s">
        <v>346</v>
      </c>
      <c r="D2619" s="163"/>
      <c r="E2619" s="163"/>
      <c r="F2619" s="165">
        <v>0</v>
      </c>
      <c r="G2619" s="165">
        <f t="shared" si="62"/>
        <v>-1058510.1323333341</v>
      </c>
      <c r="H2619" s="295"/>
      <c r="I2619" s="295"/>
      <c r="J2619" s="295"/>
      <c r="K2619" s="295"/>
      <c r="L2619" s="295"/>
      <c r="M2619" s="295"/>
      <c r="N2619" s="295"/>
      <c r="O2619" s="295"/>
      <c r="P2619" s="295"/>
      <c r="Q2619" s="295"/>
      <c r="R2619" s="295"/>
      <c r="S2619" s="190" t="s">
        <v>79</v>
      </c>
      <c r="T2619" s="43">
        <f t="shared" si="61"/>
        <v>5</v>
      </c>
      <c r="U2619" s="167">
        <f t="shared" si="63"/>
        <v>45806</v>
      </c>
      <c r="V2619" s="145"/>
      <c r="W2619" s="43">
        <f t="shared" si="64"/>
        <v>5</v>
      </c>
      <c r="X2619" s="43"/>
      <c r="Y2619" s="43"/>
      <c r="Z2619" s="43"/>
      <c r="AA2619" s="43"/>
      <c r="AB2619" s="43"/>
    </row>
    <row r="2620" spans="1:28" ht="14.25" hidden="1" customHeight="1">
      <c r="A2620" s="163" t="s">
        <v>1017</v>
      </c>
      <c r="B2620" s="164">
        <v>45807</v>
      </c>
      <c r="C2620" s="163" t="s">
        <v>447</v>
      </c>
      <c r="D2620" s="163" t="s">
        <v>281</v>
      </c>
      <c r="E2620" s="163" t="s">
        <v>121</v>
      </c>
      <c r="F2620" s="168">
        <v>-244.2</v>
      </c>
      <c r="G2620" s="165">
        <f t="shared" si="62"/>
        <v>-1058754.332333334</v>
      </c>
      <c r="H2620" s="295"/>
      <c r="I2620" s="295"/>
      <c r="J2620" s="295"/>
      <c r="K2620" s="295"/>
      <c r="L2620" s="295"/>
      <c r="M2620" s="295"/>
      <c r="N2620" s="295"/>
      <c r="O2620" s="295"/>
      <c r="P2620" s="295"/>
      <c r="Q2620" s="295"/>
      <c r="R2620" s="295"/>
      <c r="S2620" s="190" t="s">
        <v>79</v>
      </c>
      <c r="T2620" s="43">
        <f t="shared" si="61"/>
        <v>5</v>
      </c>
      <c r="U2620" s="167">
        <f t="shared" si="63"/>
        <v>45807</v>
      </c>
      <c r="V2620" s="145"/>
      <c r="W2620" s="43">
        <f t="shared" si="64"/>
        <v>5</v>
      </c>
      <c r="X2620" s="43"/>
      <c r="Y2620" s="43"/>
      <c r="Z2620" s="43"/>
      <c r="AA2620" s="43"/>
      <c r="AB2620" s="43"/>
    </row>
    <row r="2621" spans="1:28" ht="14.25" hidden="1" customHeight="1">
      <c r="A2621" s="163" t="s">
        <v>1017</v>
      </c>
      <c r="B2621" s="164">
        <v>45807</v>
      </c>
      <c r="C2621" s="163" t="s">
        <v>463</v>
      </c>
      <c r="D2621" s="163" t="s">
        <v>281</v>
      </c>
      <c r="E2621" s="163" t="s">
        <v>121</v>
      </c>
      <c r="F2621" s="168">
        <v>-210</v>
      </c>
      <c r="G2621" s="165">
        <f t="shared" si="62"/>
        <v>-1058964.332333334</v>
      </c>
      <c r="H2621" s="295"/>
      <c r="I2621" s="295"/>
      <c r="J2621" s="295"/>
      <c r="K2621" s="295"/>
      <c r="L2621" s="295"/>
      <c r="M2621" s="295"/>
      <c r="N2621" s="295"/>
      <c r="O2621" s="295"/>
      <c r="P2621" s="295"/>
      <c r="Q2621" s="295"/>
      <c r="R2621" s="295"/>
      <c r="S2621" s="190" t="s">
        <v>621</v>
      </c>
      <c r="T2621" s="43">
        <f t="shared" si="61"/>
        <v>5</v>
      </c>
      <c r="U2621" s="167">
        <f t="shared" si="63"/>
        <v>45807</v>
      </c>
      <c r="V2621" s="145"/>
      <c r="W2621" s="43">
        <f t="shared" si="64"/>
        <v>5</v>
      </c>
      <c r="X2621" s="43"/>
      <c r="Y2621" s="43"/>
      <c r="Z2621" s="43"/>
      <c r="AA2621" s="43"/>
      <c r="AB2621" s="43"/>
    </row>
    <row r="2622" spans="1:28" ht="14.25" hidden="1" customHeight="1">
      <c r="A2622" s="163" t="s">
        <v>1017</v>
      </c>
      <c r="B2622" s="164">
        <v>45807</v>
      </c>
      <c r="C2622" s="163" t="s">
        <v>131</v>
      </c>
      <c r="D2622" s="163" t="s">
        <v>281</v>
      </c>
      <c r="E2622" s="163" t="s">
        <v>199</v>
      </c>
      <c r="F2622" s="168">
        <v>-5110</v>
      </c>
      <c r="G2622" s="165">
        <f t="shared" si="62"/>
        <v>-1064074.332333334</v>
      </c>
      <c r="H2622" s="295"/>
      <c r="I2622" s="295"/>
      <c r="J2622" s="295"/>
      <c r="K2622" s="295"/>
      <c r="L2622" s="295"/>
      <c r="M2622" s="295"/>
      <c r="N2622" s="295"/>
      <c r="O2622" s="295"/>
      <c r="P2622" s="295"/>
      <c r="Q2622" s="295"/>
      <c r="R2622" s="295"/>
      <c r="S2622" s="190" t="s">
        <v>1156</v>
      </c>
      <c r="T2622" s="43">
        <f t="shared" si="61"/>
        <v>5</v>
      </c>
      <c r="U2622" s="167">
        <f t="shared" si="63"/>
        <v>45807</v>
      </c>
      <c r="V2622" s="145"/>
      <c r="W2622" s="43">
        <f t="shared" si="64"/>
        <v>5</v>
      </c>
      <c r="X2622" s="43"/>
      <c r="Y2622" s="43"/>
      <c r="Z2622" s="43"/>
      <c r="AA2622" s="43"/>
      <c r="AB2622" s="43"/>
    </row>
    <row r="2623" spans="1:28" ht="14.25" hidden="1" customHeight="1">
      <c r="A2623" s="163" t="s">
        <v>1017</v>
      </c>
      <c r="B2623" s="164">
        <v>45807</v>
      </c>
      <c r="C2623" s="163" t="s">
        <v>466</v>
      </c>
      <c r="D2623" s="163" t="s">
        <v>281</v>
      </c>
      <c r="E2623" s="163" t="s">
        <v>121</v>
      </c>
      <c r="F2623" s="168">
        <v>-241.5</v>
      </c>
      <c r="G2623" s="165">
        <f t="shared" si="62"/>
        <v>-1064315.832333334</v>
      </c>
      <c r="H2623" s="295"/>
      <c r="I2623" s="295"/>
      <c r="J2623" s="295"/>
      <c r="K2623" s="295"/>
      <c r="L2623" s="295"/>
      <c r="M2623" s="295"/>
      <c r="N2623" s="295"/>
      <c r="O2623" s="295"/>
      <c r="P2623" s="295"/>
      <c r="Q2623" s="295"/>
      <c r="R2623" s="295"/>
      <c r="S2623" s="190" t="s">
        <v>398</v>
      </c>
      <c r="T2623" s="43">
        <f t="shared" si="61"/>
        <v>5</v>
      </c>
      <c r="U2623" s="167">
        <f t="shared" si="63"/>
        <v>45807</v>
      </c>
      <c r="V2623" s="145"/>
      <c r="W2623" s="43">
        <f t="shared" si="64"/>
        <v>5</v>
      </c>
      <c r="X2623" s="43"/>
      <c r="Y2623" s="43"/>
      <c r="Z2623" s="43"/>
      <c r="AA2623" s="43"/>
      <c r="AB2623" s="43"/>
    </row>
    <row r="2624" spans="1:28" ht="14.25" hidden="1" customHeight="1">
      <c r="A2624" s="163" t="s">
        <v>1017</v>
      </c>
      <c r="B2624" s="164">
        <v>45807</v>
      </c>
      <c r="C2624" s="163" t="s">
        <v>484</v>
      </c>
      <c r="D2624" s="163" t="s">
        <v>281</v>
      </c>
      <c r="E2624" s="163" t="s">
        <v>121</v>
      </c>
      <c r="F2624" s="168">
        <v>-99.6</v>
      </c>
      <c r="G2624" s="165">
        <f t="shared" si="62"/>
        <v>-1064415.4323333341</v>
      </c>
      <c r="H2624" s="295"/>
      <c r="I2624" s="295"/>
      <c r="J2624" s="295"/>
      <c r="K2624" s="295"/>
      <c r="L2624" s="295"/>
      <c r="M2624" s="295"/>
      <c r="N2624" s="295"/>
      <c r="O2624" s="295"/>
      <c r="P2624" s="295"/>
      <c r="Q2624" s="295"/>
      <c r="R2624" s="295"/>
      <c r="S2624" s="190" t="s">
        <v>991</v>
      </c>
      <c r="T2624" s="43">
        <f t="shared" si="61"/>
        <v>5</v>
      </c>
      <c r="U2624" s="167">
        <f t="shared" si="63"/>
        <v>45807</v>
      </c>
      <c r="V2624" s="145"/>
      <c r="W2624" s="43">
        <f t="shared" si="64"/>
        <v>5</v>
      </c>
      <c r="X2624" s="43"/>
      <c r="Y2624" s="43"/>
      <c r="Z2624" s="43"/>
      <c r="AA2624" s="43"/>
      <c r="AB2624" s="43"/>
    </row>
    <row r="2625" spans="1:28" ht="14.25" hidden="1" customHeight="1">
      <c r="A2625" s="163" t="s">
        <v>1017</v>
      </c>
      <c r="B2625" s="164">
        <v>45807</v>
      </c>
      <c r="C2625" s="163" t="s">
        <v>1155</v>
      </c>
      <c r="D2625" s="163" t="s">
        <v>281</v>
      </c>
      <c r="E2625" s="163" t="s">
        <v>392</v>
      </c>
      <c r="F2625" s="168">
        <v>-8606.89</v>
      </c>
      <c r="G2625" s="165">
        <f t="shared" si="62"/>
        <v>-1073022.322333334</v>
      </c>
      <c r="H2625" s="295"/>
      <c r="I2625" s="295"/>
      <c r="J2625" s="295"/>
      <c r="K2625" s="295"/>
      <c r="L2625" s="295"/>
      <c r="M2625" s="295"/>
      <c r="N2625" s="295"/>
      <c r="O2625" s="295"/>
      <c r="P2625" s="295"/>
      <c r="Q2625" s="295"/>
      <c r="R2625" s="295"/>
      <c r="S2625" s="190" t="s">
        <v>997</v>
      </c>
      <c r="T2625" s="43">
        <f t="shared" si="61"/>
        <v>5</v>
      </c>
      <c r="U2625" s="167">
        <f t="shared" si="63"/>
        <v>45807</v>
      </c>
      <c r="V2625" s="145"/>
      <c r="W2625" s="43">
        <f t="shared" si="64"/>
        <v>5</v>
      </c>
      <c r="X2625" s="43"/>
      <c r="Y2625" s="43"/>
      <c r="Z2625" s="43"/>
      <c r="AA2625" s="43"/>
      <c r="AB2625" s="43"/>
    </row>
    <row r="2626" spans="1:28" ht="14.25" hidden="1" customHeight="1">
      <c r="A2626" s="163" t="s">
        <v>1017</v>
      </c>
      <c r="B2626" s="164">
        <v>45807</v>
      </c>
      <c r="C2626" s="163" t="s">
        <v>1287</v>
      </c>
      <c r="D2626" s="163" t="s">
        <v>281</v>
      </c>
      <c r="E2626" s="163" t="s">
        <v>1288</v>
      </c>
      <c r="F2626" s="168">
        <v>-5958.33</v>
      </c>
      <c r="G2626" s="165">
        <f t="shared" si="62"/>
        <v>-1078980.6523333341</v>
      </c>
      <c r="H2626" s="295"/>
      <c r="I2626" s="295"/>
      <c r="J2626" s="295"/>
      <c r="K2626" s="295"/>
      <c r="L2626" s="295"/>
      <c r="M2626" s="295"/>
      <c r="N2626" s="295"/>
      <c r="O2626" s="295"/>
      <c r="P2626" s="295"/>
      <c r="Q2626" s="295"/>
      <c r="R2626" s="295"/>
      <c r="S2626" s="190" t="s">
        <v>299</v>
      </c>
      <c r="T2626" s="43">
        <f t="shared" si="61"/>
        <v>5</v>
      </c>
      <c r="U2626" s="167">
        <f t="shared" si="63"/>
        <v>45807</v>
      </c>
      <c r="V2626" s="145"/>
      <c r="W2626" s="43">
        <f t="shared" si="64"/>
        <v>5</v>
      </c>
      <c r="X2626" s="43"/>
      <c r="Y2626" s="43"/>
      <c r="Z2626" s="43"/>
      <c r="AA2626" s="43"/>
      <c r="AB2626" s="43"/>
    </row>
    <row r="2627" spans="1:28" ht="14.25" hidden="1" customHeight="1">
      <c r="A2627" s="163" t="s">
        <v>1017</v>
      </c>
      <c r="B2627" s="164">
        <v>45807</v>
      </c>
      <c r="C2627" s="163" t="s">
        <v>1833</v>
      </c>
      <c r="D2627" s="163" t="s">
        <v>281</v>
      </c>
      <c r="E2627" s="163" t="s">
        <v>993</v>
      </c>
      <c r="F2627" s="168">
        <v>-10000</v>
      </c>
      <c r="G2627" s="165">
        <f t="shared" si="62"/>
        <v>-1088980.6523333341</v>
      </c>
      <c r="H2627" s="295"/>
      <c r="I2627" s="295"/>
      <c r="J2627" s="295"/>
      <c r="K2627" s="295"/>
      <c r="L2627" s="295"/>
      <c r="M2627" s="295"/>
      <c r="N2627" s="295"/>
      <c r="O2627" s="295"/>
      <c r="P2627" s="295"/>
      <c r="Q2627" s="295"/>
      <c r="R2627" s="295"/>
      <c r="S2627" s="190" t="s">
        <v>299</v>
      </c>
      <c r="T2627" s="43">
        <f t="shared" si="61"/>
        <v>5</v>
      </c>
      <c r="U2627" s="167">
        <f t="shared" si="63"/>
        <v>45807</v>
      </c>
      <c r="V2627" s="145"/>
      <c r="W2627" s="43">
        <f t="shared" si="64"/>
        <v>5</v>
      </c>
      <c r="X2627" s="43"/>
      <c r="Y2627" s="43"/>
      <c r="Z2627" s="43"/>
      <c r="AA2627" s="43"/>
      <c r="AB2627" s="43"/>
    </row>
    <row r="2628" spans="1:28" ht="14.25" hidden="1" customHeight="1">
      <c r="A2628" s="163" t="s">
        <v>1017</v>
      </c>
      <c r="B2628" s="164">
        <v>45807</v>
      </c>
      <c r="C2628" s="163" t="s">
        <v>1865</v>
      </c>
      <c r="D2628" s="163" t="s">
        <v>281</v>
      </c>
      <c r="E2628" s="163" t="s">
        <v>199</v>
      </c>
      <c r="F2628" s="168">
        <v>-6500</v>
      </c>
      <c r="G2628" s="165">
        <f t="shared" si="62"/>
        <v>-1095480.6523333341</v>
      </c>
      <c r="H2628" s="295"/>
      <c r="I2628" s="295"/>
      <c r="J2628" s="295"/>
      <c r="K2628" s="295"/>
      <c r="L2628" s="295"/>
      <c r="M2628" s="295"/>
      <c r="N2628" s="295"/>
      <c r="O2628" s="295"/>
      <c r="P2628" s="295"/>
      <c r="Q2628" s="295"/>
      <c r="R2628" s="295"/>
      <c r="S2628" s="190" t="s">
        <v>299</v>
      </c>
      <c r="T2628" s="43">
        <f t="shared" si="61"/>
        <v>5</v>
      </c>
      <c r="U2628" s="167">
        <f t="shared" si="63"/>
        <v>45807</v>
      </c>
      <c r="V2628" s="145"/>
      <c r="W2628" s="43">
        <f t="shared" si="64"/>
        <v>5</v>
      </c>
      <c r="X2628" s="43"/>
      <c r="Y2628" s="43"/>
      <c r="Z2628" s="43"/>
      <c r="AA2628" s="43"/>
      <c r="AB2628" s="43"/>
    </row>
    <row r="2629" spans="1:28" ht="14.25" hidden="1" customHeight="1">
      <c r="A2629" s="163" t="s">
        <v>1017</v>
      </c>
      <c r="B2629" s="164">
        <v>45807</v>
      </c>
      <c r="C2629" s="163" t="s">
        <v>1010</v>
      </c>
      <c r="D2629" s="163" t="s">
        <v>281</v>
      </c>
      <c r="E2629" s="163" t="s">
        <v>199</v>
      </c>
      <c r="F2629" s="168">
        <v>-2500</v>
      </c>
      <c r="G2629" s="165">
        <f t="shared" si="62"/>
        <v>-1097980.6523333341</v>
      </c>
      <c r="H2629" s="295"/>
      <c r="I2629" s="295"/>
      <c r="J2629" s="295"/>
      <c r="K2629" s="295"/>
      <c r="L2629" s="295"/>
      <c r="M2629" s="295"/>
      <c r="N2629" s="295"/>
      <c r="O2629" s="295"/>
      <c r="P2629" s="295"/>
      <c r="Q2629" s="295"/>
      <c r="R2629" s="295"/>
      <c r="S2629" s="190" t="s">
        <v>299</v>
      </c>
      <c r="T2629" s="43">
        <f t="shared" si="61"/>
        <v>5</v>
      </c>
      <c r="U2629" s="167">
        <f t="shared" si="63"/>
        <v>45807</v>
      </c>
      <c r="V2629" s="145"/>
      <c r="W2629" s="43">
        <f t="shared" si="64"/>
        <v>5</v>
      </c>
      <c r="X2629" s="43"/>
      <c r="Y2629" s="43"/>
      <c r="Z2629" s="43"/>
      <c r="AA2629" s="43"/>
      <c r="AB2629" s="43"/>
    </row>
    <row r="2630" spans="1:28" ht="14.25" hidden="1" customHeight="1">
      <c r="A2630" s="163" t="s">
        <v>1017</v>
      </c>
      <c r="B2630" s="164">
        <v>45807</v>
      </c>
      <c r="C2630" s="163" t="s">
        <v>293</v>
      </c>
      <c r="D2630" s="163" t="s">
        <v>281</v>
      </c>
      <c r="E2630" s="163" t="s">
        <v>294</v>
      </c>
      <c r="F2630" s="168">
        <v>-1085</v>
      </c>
      <c r="G2630" s="165">
        <f t="shared" si="62"/>
        <v>-1099065.6523333341</v>
      </c>
      <c r="H2630" s="295"/>
      <c r="I2630" s="295"/>
      <c r="J2630" s="295"/>
      <c r="K2630" s="295"/>
      <c r="L2630" s="295"/>
      <c r="M2630" s="295"/>
      <c r="N2630" s="295"/>
      <c r="O2630" s="295"/>
      <c r="P2630" s="295"/>
      <c r="Q2630" s="295"/>
      <c r="R2630" s="295"/>
      <c r="S2630" s="190" t="s">
        <v>299</v>
      </c>
      <c r="T2630" s="43">
        <f t="shared" si="61"/>
        <v>5</v>
      </c>
      <c r="U2630" s="167">
        <f t="shared" si="63"/>
        <v>45807</v>
      </c>
      <c r="V2630" s="145"/>
      <c r="W2630" s="43">
        <f t="shared" si="64"/>
        <v>5</v>
      </c>
      <c r="X2630" s="43"/>
      <c r="Y2630" s="43"/>
      <c r="Z2630" s="43"/>
      <c r="AA2630" s="43"/>
      <c r="AB2630" s="43"/>
    </row>
    <row r="2631" spans="1:28" ht="14.25" hidden="1" customHeight="1">
      <c r="A2631" s="163" t="s">
        <v>1017</v>
      </c>
      <c r="B2631" s="164">
        <v>45807</v>
      </c>
      <c r="C2631" s="163" t="s">
        <v>293</v>
      </c>
      <c r="D2631" s="163" t="s">
        <v>281</v>
      </c>
      <c r="E2631" s="163" t="s">
        <v>294</v>
      </c>
      <c r="F2631" s="168">
        <v>-2268.5</v>
      </c>
      <c r="G2631" s="165">
        <f t="shared" si="62"/>
        <v>-1101334.1523333341</v>
      </c>
      <c r="H2631" s="295"/>
      <c r="I2631" s="295"/>
      <c r="J2631" s="295"/>
      <c r="K2631" s="295"/>
      <c r="L2631" s="295"/>
      <c r="M2631" s="295"/>
      <c r="N2631" s="295"/>
      <c r="O2631" s="295"/>
      <c r="P2631" s="295"/>
      <c r="Q2631" s="295"/>
      <c r="R2631" s="295"/>
      <c r="S2631" s="190"/>
      <c r="T2631" s="43">
        <f t="shared" si="61"/>
        <v>5</v>
      </c>
      <c r="U2631" s="167">
        <f t="shared" si="63"/>
        <v>45807</v>
      </c>
      <c r="V2631" s="145"/>
      <c r="W2631" s="43">
        <f t="shared" si="64"/>
        <v>5</v>
      </c>
      <c r="X2631" s="43"/>
      <c r="Y2631" s="43"/>
      <c r="Z2631" s="43"/>
      <c r="AA2631" s="43"/>
      <c r="AB2631" s="43"/>
    </row>
    <row r="2632" spans="1:28" ht="14.25" hidden="1" customHeight="1">
      <c r="A2632" s="163" t="s">
        <v>1017</v>
      </c>
      <c r="B2632" s="164">
        <v>45807</v>
      </c>
      <c r="C2632" s="163" t="s">
        <v>1811</v>
      </c>
      <c r="D2632" s="163" t="s">
        <v>281</v>
      </c>
      <c r="E2632" s="163" t="s">
        <v>202</v>
      </c>
      <c r="F2632" s="168">
        <v>-5000</v>
      </c>
      <c r="G2632" s="165">
        <f t="shared" si="62"/>
        <v>-1106334.1523333341</v>
      </c>
      <c r="H2632" s="295"/>
      <c r="I2632" s="295"/>
      <c r="J2632" s="295"/>
      <c r="K2632" s="295"/>
      <c r="L2632" s="295"/>
      <c r="M2632" s="295"/>
      <c r="N2632" s="295"/>
      <c r="O2632" s="295"/>
      <c r="P2632" s="295"/>
      <c r="Q2632" s="295"/>
      <c r="R2632" s="295"/>
      <c r="S2632" s="190" t="s">
        <v>1044</v>
      </c>
      <c r="T2632" s="43">
        <f t="shared" si="61"/>
        <v>5</v>
      </c>
      <c r="U2632" s="167">
        <f t="shared" si="63"/>
        <v>45807</v>
      </c>
      <c r="V2632" s="145"/>
      <c r="W2632" s="43">
        <f t="shared" si="64"/>
        <v>5</v>
      </c>
      <c r="X2632" s="43"/>
      <c r="Y2632" s="43"/>
      <c r="Z2632" s="43"/>
      <c r="AA2632" s="43"/>
      <c r="AB2632" s="43"/>
    </row>
    <row r="2633" spans="1:28" ht="14.25" hidden="1" customHeight="1">
      <c r="A2633" s="163" t="s">
        <v>1017</v>
      </c>
      <c r="B2633" s="164">
        <v>45807</v>
      </c>
      <c r="C2633" s="163" t="s">
        <v>1832</v>
      </c>
      <c r="D2633" s="163" t="s">
        <v>281</v>
      </c>
      <c r="E2633" s="163" t="s">
        <v>121</v>
      </c>
      <c r="F2633" s="168">
        <v>-241.5</v>
      </c>
      <c r="G2633" s="165">
        <f t="shared" si="62"/>
        <v>-1106575.6523333341</v>
      </c>
      <c r="H2633" s="295"/>
      <c r="I2633" s="295"/>
      <c r="J2633" s="295"/>
      <c r="K2633" s="295"/>
      <c r="L2633" s="295"/>
      <c r="M2633" s="295"/>
      <c r="N2633" s="295"/>
      <c r="O2633" s="295"/>
      <c r="P2633" s="295"/>
      <c r="Q2633" s="295"/>
      <c r="R2633" s="295"/>
      <c r="S2633" s="190" t="s">
        <v>1254</v>
      </c>
      <c r="T2633" s="43">
        <f t="shared" si="61"/>
        <v>5</v>
      </c>
      <c r="U2633" s="167">
        <f t="shared" si="63"/>
        <v>45807</v>
      </c>
      <c r="V2633" s="145"/>
      <c r="W2633" s="43">
        <f t="shared" si="64"/>
        <v>5</v>
      </c>
      <c r="X2633" s="43"/>
      <c r="Y2633" s="43"/>
      <c r="Z2633" s="43"/>
      <c r="AA2633" s="43"/>
      <c r="AB2633" s="43"/>
    </row>
    <row r="2634" spans="1:28" ht="14.25" hidden="1" customHeight="1">
      <c r="A2634" s="163" t="s">
        <v>1017</v>
      </c>
      <c r="B2634" s="164">
        <v>45807</v>
      </c>
      <c r="C2634" s="163" t="s">
        <v>1782</v>
      </c>
      <c r="D2634" s="163" t="s">
        <v>281</v>
      </c>
      <c r="E2634" s="163" t="s">
        <v>121</v>
      </c>
      <c r="F2634" s="168">
        <v>-210</v>
      </c>
      <c r="G2634" s="165">
        <f t="shared" si="62"/>
        <v>-1106785.6523333341</v>
      </c>
      <c r="H2634" s="295"/>
      <c r="I2634" s="295"/>
      <c r="J2634" s="295"/>
      <c r="K2634" s="295"/>
      <c r="L2634" s="295"/>
      <c r="M2634" s="295"/>
      <c r="N2634" s="295"/>
      <c r="O2634" s="295"/>
      <c r="P2634" s="295"/>
      <c r="Q2634" s="295"/>
      <c r="R2634" s="295"/>
      <c r="S2634" s="190" t="s">
        <v>975</v>
      </c>
      <c r="T2634" s="43">
        <f t="shared" si="61"/>
        <v>5</v>
      </c>
      <c r="U2634" s="167">
        <f t="shared" si="63"/>
        <v>45807</v>
      </c>
      <c r="V2634" s="145"/>
      <c r="W2634" s="43">
        <f t="shared" si="64"/>
        <v>5</v>
      </c>
      <c r="X2634" s="43"/>
      <c r="Y2634" s="43"/>
      <c r="Z2634" s="43"/>
      <c r="AA2634" s="43"/>
      <c r="AB2634" s="43"/>
    </row>
    <row r="2635" spans="1:28" ht="14.25" hidden="1" customHeight="1">
      <c r="A2635" s="163" t="s">
        <v>1017</v>
      </c>
      <c r="B2635" s="164">
        <v>45807</v>
      </c>
      <c r="C2635" s="163" t="s">
        <v>1704</v>
      </c>
      <c r="D2635" s="163" t="s">
        <v>281</v>
      </c>
      <c r="E2635" s="163" t="s">
        <v>121</v>
      </c>
      <c r="F2635" s="168">
        <v>-220.5</v>
      </c>
      <c r="G2635" s="165">
        <f t="shared" si="62"/>
        <v>-1107006.1523333341</v>
      </c>
      <c r="H2635" s="295"/>
      <c r="I2635" s="295"/>
      <c r="J2635" s="295"/>
      <c r="K2635" s="295"/>
      <c r="L2635" s="295"/>
      <c r="M2635" s="295"/>
      <c r="N2635" s="295"/>
      <c r="O2635" s="295"/>
      <c r="P2635" s="295"/>
      <c r="Q2635" s="295"/>
      <c r="R2635" s="295"/>
      <c r="S2635" s="190" t="s">
        <v>1246</v>
      </c>
      <c r="T2635" s="43">
        <f t="shared" si="61"/>
        <v>5</v>
      </c>
      <c r="U2635" s="167">
        <f t="shared" si="63"/>
        <v>45807</v>
      </c>
      <c r="V2635" s="145"/>
      <c r="W2635" s="43">
        <f t="shared" si="64"/>
        <v>5</v>
      </c>
      <c r="X2635" s="43"/>
      <c r="Y2635" s="43"/>
      <c r="Z2635" s="43"/>
      <c r="AA2635" s="43"/>
      <c r="AB2635" s="43"/>
    </row>
    <row r="2636" spans="1:28" ht="14.25" hidden="1" customHeight="1">
      <c r="A2636" s="163" t="s">
        <v>1017</v>
      </c>
      <c r="B2636" s="164">
        <v>45807</v>
      </c>
      <c r="C2636" s="163" t="s">
        <v>505</v>
      </c>
      <c r="D2636" s="163" t="s">
        <v>281</v>
      </c>
      <c r="E2636" s="163" t="s">
        <v>121</v>
      </c>
      <c r="F2636" s="168">
        <v>-126</v>
      </c>
      <c r="G2636" s="165">
        <f t="shared" si="62"/>
        <v>-1107132.1523333341</v>
      </c>
      <c r="H2636" s="295"/>
      <c r="I2636" s="295"/>
      <c r="J2636" s="295"/>
      <c r="K2636" s="295"/>
      <c r="L2636" s="295"/>
      <c r="M2636" s="295"/>
      <c r="N2636" s="295"/>
      <c r="O2636" s="295"/>
      <c r="P2636" s="295"/>
      <c r="Q2636" s="295"/>
      <c r="R2636" s="295"/>
      <c r="S2636" s="190" t="s">
        <v>1627</v>
      </c>
      <c r="T2636" s="43">
        <f t="shared" si="61"/>
        <v>5</v>
      </c>
      <c r="U2636" s="167">
        <f t="shared" si="63"/>
        <v>45807</v>
      </c>
      <c r="V2636" s="145"/>
      <c r="W2636" s="43">
        <f t="shared" si="64"/>
        <v>5</v>
      </c>
      <c r="X2636" s="43"/>
      <c r="Y2636" s="43"/>
      <c r="Z2636" s="43"/>
      <c r="AA2636" s="43"/>
      <c r="AB2636" s="43"/>
    </row>
    <row r="2637" spans="1:28" ht="14.25" hidden="1" customHeight="1">
      <c r="A2637" s="163"/>
      <c r="B2637" s="164">
        <v>45807</v>
      </c>
      <c r="C2637" s="163" t="s">
        <v>346</v>
      </c>
      <c r="D2637" s="163"/>
      <c r="E2637" s="163"/>
      <c r="F2637" s="165">
        <v>0</v>
      </c>
      <c r="G2637" s="165">
        <f t="shared" si="62"/>
        <v>-1107132.1523333341</v>
      </c>
      <c r="H2637" s="295"/>
      <c r="I2637" s="295"/>
      <c r="J2637" s="295"/>
      <c r="K2637" s="295"/>
      <c r="L2637" s="295"/>
      <c r="M2637" s="295"/>
      <c r="N2637" s="295"/>
      <c r="O2637" s="295"/>
      <c r="P2637" s="295"/>
      <c r="Q2637" s="295"/>
      <c r="R2637" s="295"/>
      <c r="S2637" s="190" t="s">
        <v>1156</v>
      </c>
      <c r="T2637" s="43">
        <f t="shared" si="61"/>
        <v>5</v>
      </c>
      <c r="U2637" s="167">
        <f t="shared" si="63"/>
        <v>45807</v>
      </c>
      <c r="V2637" s="145"/>
      <c r="W2637" s="43">
        <f t="shared" si="64"/>
        <v>5</v>
      </c>
      <c r="X2637" s="43"/>
      <c r="Y2637" s="43"/>
      <c r="Z2637" s="43"/>
      <c r="AA2637" s="43"/>
      <c r="AB2637" s="43"/>
    </row>
    <row r="2638" spans="1:28" ht="14.25" hidden="1" customHeight="1">
      <c r="A2638" s="180" t="s">
        <v>1017</v>
      </c>
      <c r="B2638" s="181">
        <v>45736</v>
      </c>
      <c r="C2638" s="180" t="s">
        <v>12</v>
      </c>
      <c r="D2638" s="180" t="s">
        <v>281</v>
      </c>
      <c r="E2638" s="180" t="s">
        <v>1578</v>
      </c>
      <c r="F2638" s="185">
        <f>-421.64-10163.39-350.13</f>
        <v>-10935.159999999998</v>
      </c>
      <c r="G2638" s="165">
        <f t="shared" si="62"/>
        <v>-1118067.312333334</v>
      </c>
      <c r="H2638" s="180"/>
      <c r="I2638" s="180" t="s">
        <v>283</v>
      </c>
      <c r="J2638" s="180"/>
      <c r="K2638" s="180"/>
      <c r="L2638" s="180" t="s">
        <v>305</v>
      </c>
      <c r="M2638" s="180"/>
      <c r="N2638" s="180" t="s">
        <v>978</v>
      </c>
      <c r="O2638" s="180"/>
      <c r="P2638" s="180"/>
      <c r="Q2638" s="180" t="s">
        <v>1067</v>
      </c>
      <c r="R2638" s="180" t="s">
        <v>1087</v>
      </c>
      <c r="S2638" s="180" t="s">
        <v>1089</v>
      </c>
      <c r="T2638" s="183">
        <f t="shared" si="61"/>
        <v>3</v>
      </c>
      <c r="U2638" s="184">
        <f t="shared" si="63"/>
        <v>45807</v>
      </c>
      <c r="V2638" s="166">
        <v>45807</v>
      </c>
      <c r="W2638" s="43">
        <f t="shared" si="64"/>
        <v>5</v>
      </c>
      <c r="X2638" s="43" t="s">
        <v>12</v>
      </c>
      <c r="Y2638" s="43" t="s">
        <v>1443</v>
      </c>
      <c r="Z2638" s="183" t="s">
        <v>1113</v>
      </c>
      <c r="AA2638" s="183" t="s">
        <v>1336</v>
      </c>
      <c r="AB2638" s="183"/>
    </row>
    <row r="2639" spans="1:28" hidden="1">
      <c r="A2639" s="163" t="s">
        <v>1017</v>
      </c>
      <c r="B2639" s="164">
        <v>45716</v>
      </c>
      <c r="C2639" s="163" t="s">
        <v>1155</v>
      </c>
      <c r="D2639" s="163" t="s">
        <v>281</v>
      </c>
      <c r="E2639" s="163" t="s">
        <v>392</v>
      </c>
      <c r="F2639" s="185">
        <v>-9385</v>
      </c>
      <c r="G2639" s="165">
        <f t="shared" si="62"/>
        <v>-1127452.312333334</v>
      </c>
      <c r="H2639" s="163"/>
      <c r="I2639" s="163" t="s">
        <v>283</v>
      </c>
      <c r="J2639" s="163"/>
      <c r="K2639" s="163"/>
      <c r="L2639" s="163" t="s">
        <v>1342</v>
      </c>
      <c r="M2639" s="163"/>
      <c r="N2639" s="163" t="s">
        <v>978</v>
      </c>
      <c r="O2639" s="163"/>
      <c r="P2639" s="163"/>
      <c r="Q2639" s="163"/>
      <c r="R2639" s="163" t="s">
        <v>1155</v>
      </c>
      <c r="S2639" s="163" t="s">
        <v>1156</v>
      </c>
      <c r="T2639" s="43">
        <f t="shared" si="61"/>
        <v>2</v>
      </c>
      <c r="U2639" s="167">
        <f t="shared" si="63"/>
        <v>45807</v>
      </c>
      <c r="V2639" s="184">
        <v>45807</v>
      </c>
      <c r="W2639" s="43">
        <f t="shared" si="64"/>
        <v>5</v>
      </c>
      <c r="X2639" s="49" t="s">
        <v>392</v>
      </c>
      <c r="Y2639" s="49" t="s">
        <v>1443</v>
      </c>
    </row>
    <row r="2640" spans="1:28" hidden="1">
      <c r="A2640" s="163" t="s">
        <v>1017</v>
      </c>
      <c r="B2640" s="164">
        <v>45733</v>
      </c>
      <c r="C2640" s="163" t="s">
        <v>1155</v>
      </c>
      <c r="D2640" s="163" t="s">
        <v>281</v>
      </c>
      <c r="E2640" s="163" t="s">
        <v>392</v>
      </c>
      <c r="F2640" s="185">
        <v>-9385</v>
      </c>
      <c r="G2640" s="165">
        <f t="shared" si="62"/>
        <v>-1136837.312333334</v>
      </c>
      <c r="H2640" s="163"/>
      <c r="I2640" s="163" t="s">
        <v>283</v>
      </c>
      <c r="J2640" s="163"/>
      <c r="K2640" s="163"/>
      <c r="L2640" s="163" t="s">
        <v>686</v>
      </c>
      <c r="M2640" s="163"/>
      <c r="N2640" s="163" t="s">
        <v>978</v>
      </c>
      <c r="O2640" s="163"/>
      <c r="P2640" s="163"/>
      <c r="Q2640" s="163"/>
      <c r="R2640" s="163" t="s">
        <v>1155</v>
      </c>
      <c r="S2640" s="163" t="s">
        <v>1156</v>
      </c>
      <c r="T2640" s="43">
        <f t="shared" si="61"/>
        <v>3</v>
      </c>
      <c r="U2640" s="167">
        <f t="shared" si="63"/>
        <v>45807</v>
      </c>
      <c r="V2640" s="184">
        <v>45807</v>
      </c>
      <c r="W2640" s="43">
        <f t="shared" si="64"/>
        <v>5</v>
      </c>
      <c r="X2640" s="49" t="s">
        <v>392</v>
      </c>
      <c r="Y2640" s="49" t="s">
        <v>1443</v>
      </c>
    </row>
    <row r="2641" spans="1:28" hidden="1">
      <c r="A2641" s="163"/>
      <c r="B2641" s="164"/>
      <c r="C2641" s="163"/>
      <c r="D2641" s="163"/>
      <c r="E2641" s="163"/>
      <c r="F2641" s="185"/>
      <c r="G2641" s="165"/>
      <c r="H2641" s="163"/>
      <c r="I2641" s="163"/>
      <c r="J2641" s="163"/>
      <c r="K2641" s="163"/>
      <c r="L2641" s="163"/>
      <c r="M2641" s="163"/>
      <c r="N2641" s="163"/>
      <c r="O2641" s="163"/>
      <c r="P2641" s="163"/>
      <c r="Q2641" s="163"/>
      <c r="R2641" s="163"/>
      <c r="S2641" s="163"/>
      <c r="T2641" s="43"/>
      <c r="U2641" s="167"/>
      <c r="V2641" s="145"/>
      <c r="W2641" s="43"/>
    </row>
    <row r="2642" spans="1:28" hidden="1">
      <c r="A2642" s="163" t="s">
        <v>1017</v>
      </c>
      <c r="B2642" s="164">
        <v>45747</v>
      </c>
      <c r="C2642" s="163" t="s">
        <v>1833</v>
      </c>
      <c r="D2642" s="163" t="s">
        <v>281</v>
      </c>
      <c r="E2642" s="163" t="s">
        <v>993</v>
      </c>
      <c r="F2642" s="185">
        <v>-10000</v>
      </c>
      <c r="G2642" s="165"/>
      <c r="H2642" s="163"/>
      <c r="I2642" s="163" t="s">
        <v>283</v>
      </c>
      <c r="J2642" s="163"/>
      <c r="K2642" s="163"/>
      <c r="L2642" s="163" t="s">
        <v>305</v>
      </c>
      <c r="M2642" s="163"/>
      <c r="N2642" s="163" t="s">
        <v>978</v>
      </c>
      <c r="O2642" s="163"/>
      <c r="P2642" s="163"/>
      <c r="Q2642" s="163"/>
      <c r="R2642" s="163" t="s">
        <v>1834</v>
      </c>
      <c r="S2642" s="163" t="s">
        <v>1835</v>
      </c>
      <c r="T2642" s="43">
        <f t="shared" ref="T2642:T2651" si="65">MONTH(B2642)</f>
        <v>3</v>
      </c>
      <c r="U2642" s="167">
        <f t="shared" ref="U2642:U2896" si="66">IF(V2642="",B2642,V2642)</f>
        <v>45838</v>
      </c>
      <c r="V2642" s="145">
        <v>45838</v>
      </c>
      <c r="W2642" s="43">
        <f t="shared" ref="W2642:W2652" si="67">MONTH(U2642)</f>
        <v>6</v>
      </c>
      <c r="X2642" s="49" t="s">
        <v>1559</v>
      </c>
      <c r="Y2642" s="49" t="s">
        <v>78</v>
      </c>
      <c r="AB2642" s="49" t="s">
        <v>1642</v>
      </c>
    </row>
    <row r="2643" spans="1:28" hidden="1">
      <c r="A2643" s="163" t="s">
        <v>1017</v>
      </c>
      <c r="B2643" s="164">
        <v>45747</v>
      </c>
      <c r="C2643" s="163" t="s">
        <v>1833</v>
      </c>
      <c r="D2643" s="163" t="s">
        <v>281</v>
      </c>
      <c r="E2643" s="163" t="s">
        <v>993</v>
      </c>
      <c r="F2643" s="185">
        <v>-10000</v>
      </c>
      <c r="G2643" s="165"/>
      <c r="H2643" s="163"/>
      <c r="I2643" s="163" t="s">
        <v>283</v>
      </c>
      <c r="J2643" s="163"/>
      <c r="K2643" s="163"/>
      <c r="L2643" s="163" t="s">
        <v>305</v>
      </c>
      <c r="M2643" s="163"/>
      <c r="N2643" s="163" t="s">
        <v>978</v>
      </c>
      <c r="O2643" s="163"/>
      <c r="P2643" s="163"/>
      <c r="Q2643" s="163"/>
      <c r="R2643" s="163" t="s">
        <v>1834</v>
      </c>
      <c r="S2643" s="163" t="s">
        <v>1835</v>
      </c>
      <c r="T2643" s="43">
        <f t="shared" si="65"/>
        <v>3</v>
      </c>
      <c r="U2643" s="167">
        <f t="shared" si="66"/>
        <v>45868</v>
      </c>
      <c r="V2643" s="145">
        <v>45868</v>
      </c>
      <c r="W2643" s="43">
        <f t="shared" si="67"/>
        <v>7</v>
      </c>
      <c r="X2643" s="49" t="s">
        <v>1559</v>
      </c>
      <c r="Y2643" s="49" t="s">
        <v>78</v>
      </c>
      <c r="AB2643" s="49" t="s">
        <v>1642</v>
      </c>
    </row>
    <row r="2644" spans="1:28" hidden="1">
      <c r="A2644" s="248" t="s">
        <v>1017</v>
      </c>
      <c r="B2644" s="249">
        <v>45667</v>
      </c>
      <c r="C2644" s="248" t="s">
        <v>1487</v>
      </c>
      <c r="D2644" s="248" t="s">
        <v>281</v>
      </c>
      <c r="E2644" s="248" t="s">
        <v>202</v>
      </c>
      <c r="F2644" s="253">
        <v>-15000</v>
      </c>
      <c r="G2644" s="165"/>
      <c r="H2644" s="248"/>
      <c r="I2644" s="248" t="s">
        <v>283</v>
      </c>
      <c r="J2644" s="248"/>
      <c r="K2644" s="248"/>
      <c r="L2644" s="248" t="s">
        <v>485</v>
      </c>
      <c r="M2644" s="248"/>
      <c r="N2644" s="248" t="s">
        <v>978</v>
      </c>
      <c r="O2644" s="248"/>
      <c r="P2644" s="248"/>
      <c r="Q2644" s="248"/>
      <c r="R2644" s="248" t="s">
        <v>1527</v>
      </c>
      <c r="S2644" s="248"/>
      <c r="T2644" s="251">
        <f t="shared" si="65"/>
        <v>1</v>
      </c>
      <c r="U2644" s="252">
        <f t="shared" si="66"/>
        <v>45838</v>
      </c>
      <c r="V2644" s="296">
        <v>45838</v>
      </c>
      <c r="W2644" s="43">
        <f t="shared" si="67"/>
        <v>6</v>
      </c>
      <c r="Z2644" s="251"/>
      <c r="AA2644" s="251"/>
      <c r="AB2644" s="251"/>
    </row>
    <row r="2645" spans="1:28" hidden="1">
      <c r="A2645" s="248" t="s">
        <v>1017</v>
      </c>
      <c r="B2645" s="249">
        <v>45698</v>
      </c>
      <c r="C2645" s="248" t="s">
        <v>1487</v>
      </c>
      <c r="D2645" s="248" t="s">
        <v>281</v>
      </c>
      <c r="E2645" s="248" t="s">
        <v>202</v>
      </c>
      <c r="F2645" s="253">
        <v>-15000</v>
      </c>
      <c r="G2645" s="165"/>
      <c r="H2645" s="248"/>
      <c r="I2645" s="248" t="s">
        <v>283</v>
      </c>
      <c r="J2645" s="248"/>
      <c r="K2645" s="248"/>
      <c r="L2645" s="248" t="s">
        <v>485</v>
      </c>
      <c r="M2645" s="248"/>
      <c r="N2645" s="248" t="s">
        <v>978</v>
      </c>
      <c r="O2645" s="248"/>
      <c r="P2645" s="248"/>
      <c r="Q2645" s="248"/>
      <c r="R2645" s="248" t="s">
        <v>1527</v>
      </c>
      <c r="S2645" s="248"/>
      <c r="T2645" s="251">
        <f t="shared" si="65"/>
        <v>2</v>
      </c>
      <c r="U2645" s="252">
        <f t="shared" si="66"/>
        <v>45838</v>
      </c>
      <c r="V2645" s="296">
        <v>45838</v>
      </c>
      <c r="W2645" s="43">
        <f t="shared" si="67"/>
        <v>6</v>
      </c>
      <c r="Z2645" s="251"/>
      <c r="AA2645" s="251"/>
      <c r="AB2645" s="251"/>
    </row>
    <row r="2646" spans="1:28" hidden="1">
      <c r="A2646" s="248" t="s">
        <v>1017</v>
      </c>
      <c r="B2646" s="249">
        <v>45726</v>
      </c>
      <c r="C2646" s="248" t="s">
        <v>1487</v>
      </c>
      <c r="D2646" s="248" t="s">
        <v>281</v>
      </c>
      <c r="E2646" s="248" t="s">
        <v>202</v>
      </c>
      <c r="F2646" s="253">
        <v>-15000</v>
      </c>
      <c r="G2646" s="165"/>
      <c r="H2646" s="248"/>
      <c r="I2646" s="248" t="s">
        <v>283</v>
      </c>
      <c r="J2646" s="248"/>
      <c r="K2646" s="248"/>
      <c r="L2646" s="248" t="s">
        <v>485</v>
      </c>
      <c r="M2646" s="248"/>
      <c r="N2646" s="248" t="s">
        <v>978</v>
      </c>
      <c r="O2646" s="248"/>
      <c r="P2646" s="248"/>
      <c r="Q2646" s="248"/>
      <c r="R2646" s="248" t="s">
        <v>1527</v>
      </c>
      <c r="S2646" s="248"/>
      <c r="T2646" s="251">
        <f t="shared" si="65"/>
        <v>3</v>
      </c>
      <c r="U2646" s="252">
        <f t="shared" si="66"/>
        <v>45838</v>
      </c>
      <c r="V2646" s="296">
        <v>45838</v>
      </c>
      <c r="W2646" s="43">
        <f t="shared" si="67"/>
        <v>6</v>
      </c>
      <c r="Z2646" s="251"/>
      <c r="AA2646" s="251"/>
      <c r="AB2646" s="251"/>
    </row>
    <row r="2647" spans="1:28" hidden="1">
      <c r="A2647" s="163" t="s">
        <v>1017</v>
      </c>
      <c r="B2647" s="164">
        <v>45663</v>
      </c>
      <c r="C2647" s="163" t="s">
        <v>1866</v>
      </c>
      <c r="D2647" s="163" t="s">
        <v>281</v>
      </c>
      <c r="E2647" s="163" t="s">
        <v>392</v>
      </c>
      <c r="F2647" s="168">
        <v>-5000</v>
      </c>
      <c r="G2647" s="165"/>
      <c r="H2647" s="163"/>
      <c r="I2647" s="163" t="s">
        <v>342</v>
      </c>
      <c r="J2647" s="163"/>
      <c r="K2647" s="163"/>
      <c r="L2647" s="163" t="s">
        <v>1867</v>
      </c>
      <c r="M2647" s="163"/>
      <c r="N2647" s="163" t="s">
        <v>978</v>
      </c>
      <c r="O2647" s="163"/>
      <c r="P2647" s="163"/>
      <c r="Q2647" s="163"/>
      <c r="R2647" s="163" t="s">
        <v>1868</v>
      </c>
      <c r="S2647" s="163" t="s">
        <v>1869</v>
      </c>
      <c r="T2647" s="43">
        <f t="shared" si="65"/>
        <v>1</v>
      </c>
      <c r="U2647" s="167">
        <f t="shared" si="66"/>
        <v>45838</v>
      </c>
      <c r="V2647" s="296">
        <v>45838</v>
      </c>
      <c r="W2647" s="43">
        <f t="shared" si="67"/>
        <v>6</v>
      </c>
      <c r="X2647" s="49" t="s">
        <v>392</v>
      </c>
      <c r="Y2647" s="49" t="s">
        <v>1443</v>
      </c>
    </row>
    <row r="2648" spans="1:28" hidden="1">
      <c r="A2648" s="163" t="s">
        <v>1017</v>
      </c>
      <c r="B2648" s="164">
        <v>45663</v>
      </c>
      <c r="C2648" s="163" t="s">
        <v>1866</v>
      </c>
      <c r="D2648" s="163" t="s">
        <v>281</v>
      </c>
      <c r="E2648" s="163" t="s">
        <v>392</v>
      </c>
      <c r="F2648" s="168">
        <v>-5000</v>
      </c>
      <c r="G2648" s="165"/>
      <c r="H2648" s="163"/>
      <c r="I2648" s="163" t="s">
        <v>342</v>
      </c>
      <c r="J2648" s="163"/>
      <c r="K2648" s="163"/>
      <c r="L2648" s="163" t="s">
        <v>498</v>
      </c>
      <c r="M2648" s="163"/>
      <c r="N2648" s="163" t="s">
        <v>978</v>
      </c>
      <c r="O2648" s="163"/>
      <c r="P2648" s="163"/>
      <c r="Q2648" s="163"/>
      <c r="R2648" s="163" t="s">
        <v>1868</v>
      </c>
      <c r="S2648" s="163" t="s">
        <v>1869</v>
      </c>
      <c r="T2648" s="43">
        <f t="shared" si="65"/>
        <v>1</v>
      </c>
      <c r="U2648" s="167">
        <f t="shared" si="66"/>
        <v>45838</v>
      </c>
      <c r="V2648" s="296">
        <v>45838</v>
      </c>
      <c r="W2648" s="43">
        <f t="shared" si="67"/>
        <v>6</v>
      </c>
      <c r="X2648" s="49" t="s">
        <v>392</v>
      </c>
      <c r="Y2648" s="49" t="s">
        <v>1443</v>
      </c>
    </row>
    <row r="2649" spans="1:28" hidden="1">
      <c r="A2649" s="163" t="s">
        <v>1017</v>
      </c>
      <c r="B2649" s="164">
        <v>45663</v>
      </c>
      <c r="C2649" s="163" t="s">
        <v>1866</v>
      </c>
      <c r="D2649" s="163" t="s">
        <v>281</v>
      </c>
      <c r="E2649" s="163" t="s">
        <v>392</v>
      </c>
      <c r="F2649" s="168">
        <v>-5000</v>
      </c>
      <c r="G2649" s="165"/>
      <c r="H2649" s="163"/>
      <c r="I2649" s="163" t="s">
        <v>342</v>
      </c>
      <c r="J2649" s="163"/>
      <c r="K2649" s="163"/>
      <c r="L2649" s="163" t="s">
        <v>302</v>
      </c>
      <c r="M2649" s="163"/>
      <c r="N2649" s="163" t="s">
        <v>978</v>
      </c>
      <c r="O2649" s="163"/>
      <c r="P2649" s="163"/>
      <c r="Q2649" s="163"/>
      <c r="R2649" s="163" t="s">
        <v>1868</v>
      </c>
      <c r="S2649" s="163" t="s">
        <v>1869</v>
      </c>
      <c r="T2649" s="43">
        <f t="shared" si="65"/>
        <v>1</v>
      </c>
      <c r="U2649" s="167">
        <f t="shared" si="66"/>
        <v>45838</v>
      </c>
      <c r="V2649" s="296">
        <v>45838</v>
      </c>
      <c r="W2649" s="43">
        <f t="shared" si="67"/>
        <v>6</v>
      </c>
      <c r="X2649" s="49" t="s">
        <v>392</v>
      </c>
      <c r="Y2649" s="49" t="s">
        <v>1443</v>
      </c>
    </row>
    <row r="2650" spans="1:28" hidden="1">
      <c r="A2650" s="180" t="s">
        <v>1174</v>
      </c>
      <c r="B2650" s="181">
        <v>45879</v>
      </c>
      <c r="C2650" s="180" t="s">
        <v>1660</v>
      </c>
      <c r="D2650" s="180" t="s">
        <v>281</v>
      </c>
      <c r="E2650" s="180" t="s">
        <v>289</v>
      </c>
      <c r="F2650" s="186">
        <v>5000</v>
      </c>
      <c r="G2650" s="165"/>
      <c r="H2650" s="180"/>
      <c r="I2650" s="180" t="s">
        <v>1176</v>
      </c>
      <c r="J2650" s="180" t="s">
        <v>1357</v>
      </c>
      <c r="K2650" s="180"/>
      <c r="L2650" s="180" t="s">
        <v>305</v>
      </c>
      <c r="M2650" s="180"/>
      <c r="N2650" s="180" t="s">
        <v>1178</v>
      </c>
      <c r="O2650" s="180" t="s">
        <v>1357</v>
      </c>
      <c r="P2650" s="180" t="s">
        <v>1358</v>
      </c>
      <c r="Q2650" s="180"/>
      <c r="R2650" s="180" t="s">
        <v>1359</v>
      </c>
      <c r="S2650" s="180" t="s">
        <v>1360</v>
      </c>
      <c r="T2650" s="183">
        <f t="shared" si="65"/>
        <v>8</v>
      </c>
      <c r="U2650" s="184">
        <f t="shared" si="66"/>
        <v>45879</v>
      </c>
      <c r="V2650" s="183"/>
      <c r="W2650" s="183">
        <f t="shared" si="67"/>
        <v>8</v>
      </c>
      <c r="X2650" s="183" t="s">
        <v>1484</v>
      </c>
      <c r="Y2650" s="183" t="s">
        <v>78</v>
      </c>
      <c r="Z2650" s="183"/>
      <c r="AA2650" s="183"/>
      <c r="AB2650" s="183"/>
    </row>
    <row r="2651" spans="1:28" ht="14.25" hidden="1" customHeight="1">
      <c r="A2651" s="163" t="s">
        <v>1017</v>
      </c>
      <c r="B2651" s="181">
        <v>45823</v>
      </c>
      <c r="C2651" s="163" t="s">
        <v>1870</v>
      </c>
      <c r="D2651" s="163" t="s">
        <v>281</v>
      </c>
      <c r="E2651" s="163" t="s">
        <v>791</v>
      </c>
      <c r="F2651" s="168">
        <v>-1866.67</v>
      </c>
      <c r="G2651" s="165"/>
      <c r="H2651" s="163"/>
      <c r="I2651" s="163" t="s">
        <v>994</v>
      </c>
      <c r="J2651" s="163"/>
      <c r="K2651" s="163"/>
      <c r="L2651" s="163" t="s">
        <v>305</v>
      </c>
      <c r="M2651" s="163"/>
      <c r="N2651" s="163" t="s">
        <v>978</v>
      </c>
      <c r="O2651" s="163"/>
      <c r="P2651" s="163"/>
      <c r="Q2651" s="163"/>
      <c r="R2651" s="163" t="s">
        <v>1808</v>
      </c>
      <c r="S2651" s="163" t="s">
        <v>1809</v>
      </c>
      <c r="T2651" s="43">
        <f t="shared" si="65"/>
        <v>6</v>
      </c>
      <c r="U2651" s="166">
        <f t="shared" si="66"/>
        <v>45823</v>
      </c>
      <c r="V2651" s="166"/>
      <c r="W2651" s="43">
        <f t="shared" si="67"/>
        <v>6</v>
      </c>
      <c r="X2651" s="49" t="s">
        <v>1333</v>
      </c>
      <c r="Y2651" s="49" t="s">
        <v>1336</v>
      </c>
      <c r="Z2651" s="43"/>
      <c r="AA2651" s="43"/>
      <c r="AB2651" s="43"/>
    </row>
    <row r="2652" spans="1:28" hidden="1">
      <c r="B2652" s="181">
        <v>45823</v>
      </c>
      <c r="C2652" s="49" t="s">
        <v>23</v>
      </c>
      <c r="F2652" s="297">
        <v>-55000</v>
      </c>
      <c r="G2652" s="165"/>
      <c r="U2652" s="166">
        <f t="shared" si="66"/>
        <v>45823</v>
      </c>
      <c r="W2652" s="43">
        <f t="shared" si="67"/>
        <v>6</v>
      </c>
    </row>
    <row r="2653" spans="1:28" ht="14.25" hidden="1" customHeight="1">
      <c r="A2653" s="190"/>
      <c r="B2653" s="225"/>
      <c r="C2653" s="190"/>
      <c r="D2653" s="190"/>
      <c r="E2653" s="232"/>
      <c r="F2653" s="191"/>
      <c r="G2653" s="185"/>
      <c r="H2653" s="190"/>
      <c r="I2653" s="190"/>
      <c r="J2653" s="190"/>
      <c r="K2653" s="190"/>
      <c r="L2653" s="190"/>
      <c r="M2653" s="190"/>
      <c r="N2653" s="190"/>
      <c r="O2653" s="190"/>
      <c r="P2653" s="190"/>
      <c r="Q2653" s="190"/>
      <c r="R2653" s="190"/>
      <c r="S2653" s="190" t="s">
        <v>1025</v>
      </c>
      <c r="T2653" s="43">
        <f t="shared" ref="T2653:T2907" si="68">MONTH(B2653)</f>
        <v>1</v>
      </c>
      <c r="U2653" s="167">
        <f t="shared" si="66"/>
        <v>0</v>
      </c>
      <c r="V2653" s="43"/>
      <c r="W2653" s="43"/>
      <c r="X2653" s="43"/>
      <c r="Y2653" s="43"/>
      <c r="Z2653" s="43"/>
      <c r="AA2653" s="43"/>
      <c r="AB2653" s="43"/>
    </row>
    <row r="2654" spans="1:28" ht="14.25" hidden="1" customHeight="1">
      <c r="A2654" s="190"/>
      <c r="B2654" s="225"/>
      <c r="C2654" s="190"/>
      <c r="D2654" s="190"/>
      <c r="E2654" s="232"/>
      <c r="F2654" s="185"/>
      <c r="G2654" s="185"/>
      <c r="H2654" s="190"/>
      <c r="I2654" s="190"/>
      <c r="J2654" s="190"/>
      <c r="K2654" s="190"/>
      <c r="L2654" s="190"/>
      <c r="M2654" s="190"/>
      <c r="N2654" s="190"/>
      <c r="O2654" s="190"/>
      <c r="P2654" s="190"/>
      <c r="Q2654" s="190"/>
      <c r="R2654" s="190"/>
      <c r="S2654" s="190" t="s">
        <v>390</v>
      </c>
      <c r="T2654" s="43">
        <f t="shared" si="68"/>
        <v>1</v>
      </c>
      <c r="U2654" s="167">
        <f t="shared" si="66"/>
        <v>0</v>
      </c>
      <c r="V2654" s="43"/>
      <c r="W2654" s="43"/>
      <c r="X2654" s="43"/>
      <c r="Y2654" s="43"/>
      <c r="Z2654" s="43"/>
      <c r="AA2654" s="43"/>
      <c r="AB2654" s="43"/>
    </row>
    <row r="2655" spans="1:28" ht="14.25" hidden="1" customHeight="1">
      <c r="A2655" s="190"/>
      <c r="B2655" s="225"/>
      <c r="C2655" s="190"/>
      <c r="D2655" s="190"/>
      <c r="E2655" s="232"/>
      <c r="F2655" s="185"/>
      <c r="G2655" s="185"/>
      <c r="H2655" s="190"/>
      <c r="I2655" s="190"/>
      <c r="J2655" s="190"/>
      <c r="K2655" s="190"/>
      <c r="L2655" s="190"/>
      <c r="M2655" s="190"/>
      <c r="N2655" s="190"/>
      <c r="O2655" s="190"/>
      <c r="P2655" s="190"/>
      <c r="Q2655" s="190"/>
      <c r="R2655" s="190"/>
      <c r="S2655" s="190" t="s">
        <v>354</v>
      </c>
      <c r="T2655" s="43">
        <f t="shared" si="68"/>
        <v>1</v>
      </c>
      <c r="U2655" s="167">
        <f t="shared" si="66"/>
        <v>0</v>
      </c>
      <c r="V2655" s="43"/>
      <c r="W2655" s="43"/>
      <c r="X2655" s="43"/>
      <c r="Y2655" s="43"/>
      <c r="Z2655" s="43"/>
      <c r="AA2655" s="43"/>
      <c r="AB2655" s="43"/>
    </row>
    <row r="2656" spans="1:28" ht="14.25" hidden="1" customHeight="1">
      <c r="A2656" s="190"/>
      <c r="B2656" s="225"/>
      <c r="C2656" s="190"/>
      <c r="D2656" s="190"/>
      <c r="E2656" s="232"/>
      <c r="F2656" s="185"/>
      <c r="G2656" s="185"/>
      <c r="H2656" s="190"/>
      <c r="I2656" s="190"/>
      <c r="J2656" s="190"/>
      <c r="K2656" s="190"/>
      <c r="L2656" s="190"/>
      <c r="M2656" s="190"/>
      <c r="N2656" s="190"/>
      <c r="O2656" s="190"/>
      <c r="P2656" s="190"/>
      <c r="Q2656" s="190"/>
      <c r="R2656" s="190"/>
      <c r="S2656" s="190" t="s">
        <v>1076</v>
      </c>
      <c r="T2656" s="43">
        <f t="shared" si="68"/>
        <v>1</v>
      </c>
      <c r="U2656" s="167">
        <f t="shared" si="66"/>
        <v>0</v>
      </c>
      <c r="V2656" s="43"/>
      <c r="W2656" s="43"/>
      <c r="X2656" s="43"/>
      <c r="Y2656" s="43"/>
      <c r="Z2656" s="43"/>
      <c r="AA2656" s="43"/>
      <c r="AB2656" s="43"/>
    </row>
    <row r="2657" spans="1:28" ht="14.25" hidden="1" customHeight="1">
      <c r="A2657" s="190"/>
      <c r="B2657" s="225"/>
      <c r="C2657" s="190"/>
      <c r="D2657" s="190"/>
      <c r="E2657" s="232"/>
      <c r="F2657" s="185"/>
      <c r="G2657" s="185"/>
      <c r="H2657" s="190"/>
      <c r="I2657" s="190"/>
      <c r="J2657" s="190"/>
      <c r="K2657" s="190"/>
      <c r="L2657" s="190"/>
      <c r="M2657" s="190"/>
      <c r="N2657" s="190"/>
      <c r="O2657" s="190"/>
      <c r="P2657" s="190"/>
      <c r="Q2657" s="190"/>
      <c r="R2657" s="190"/>
      <c r="S2657" s="190" t="s">
        <v>440</v>
      </c>
      <c r="T2657" s="43">
        <f t="shared" si="68"/>
        <v>1</v>
      </c>
      <c r="U2657" s="167">
        <f t="shared" si="66"/>
        <v>0</v>
      </c>
      <c r="V2657" s="43"/>
      <c r="W2657" s="43"/>
      <c r="X2657" s="43"/>
      <c r="Y2657" s="43"/>
      <c r="Z2657" s="43"/>
      <c r="AA2657" s="43"/>
      <c r="AB2657" s="43"/>
    </row>
    <row r="2658" spans="1:28" ht="14.25" hidden="1" customHeight="1">
      <c r="A2658" s="190"/>
      <c r="B2658" s="225"/>
      <c r="C2658" s="190"/>
      <c r="D2658" s="190"/>
      <c r="E2658" s="232"/>
      <c r="F2658" s="185"/>
      <c r="G2658" s="185"/>
      <c r="H2658" s="190"/>
      <c r="I2658" s="190"/>
      <c r="J2658" s="190"/>
      <c r="K2658" s="190"/>
      <c r="L2658" s="190"/>
      <c r="M2658" s="190"/>
      <c r="N2658" s="190"/>
      <c r="O2658" s="190"/>
      <c r="P2658" s="190"/>
      <c r="Q2658" s="190"/>
      <c r="R2658" s="190"/>
      <c r="S2658" s="190" t="s">
        <v>361</v>
      </c>
      <c r="T2658" s="43">
        <f t="shared" si="68"/>
        <v>1</v>
      </c>
      <c r="U2658" s="167">
        <f t="shared" si="66"/>
        <v>0</v>
      </c>
      <c r="V2658" s="43"/>
      <c r="W2658" s="43"/>
      <c r="X2658" s="43"/>
      <c r="Y2658" s="43"/>
      <c r="Z2658" s="43"/>
      <c r="AA2658" s="43"/>
      <c r="AB2658" s="43"/>
    </row>
    <row r="2659" spans="1:28" ht="14.25" hidden="1" customHeight="1">
      <c r="A2659" s="190"/>
      <c r="B2659" s="225"/>
      <c r="C2659" s="190"/>
      <c r="D2659" s="190"/>
      <c r="E2659" s="232"/>
      <c r="F2659" s="185"/>
      <c r="G2659" s="185"/>
      <c r="H2659" s="190"/>
      <c r="I2659" s="190"/>
      <c r="J2659" s="190"/>
      <c r="K2659" s="190"/>
      <c r="L2659" s="190"/>
      <c r="M2659" s="190"/>
      <c r="N2659" s="190"/>
      <c r="O2659" s="190"/>
      <c r="P2659" s="190"/>
      <c r="Q2659" s="190"/>
      <c r="R2659" s="190"/>
      <c r="S2659" s="190" t="s">
        <v>459</v>
      </c>
      <c r="T2659" s="43">
        <f t="shared" si="68"/>
        <v>1</v>
      </c>
      <c r="U2659" s="167">
        <f t="shared" si="66"/>
        <v>0</v>
      </c>
      <c r="V2659" s="43"/>
      <c r="W2659" s="43"/>
      <c r="X2659" s="43"/>
      <c r="Y2659" s="43"/>
      <c r="Z2659" s="43"/>
      <c r="AA2659" s="43"/>
      <c r="AB2659" s="43"/>
    </row>
    <row r="2660" spans="1:28" ht="14.25" hidden="1" customHeight="1">
      <c r="A2660" s="190"/>
      <c r="B2660" s="225"/>
      <c r="C2660" s="190"/>
      <c r="D2660" s="190"/>
      <c r="E2660" s="232"/>
      <c r="F2660" s="185"/>
      <c r="G2660" s="185"/>
      <c r="H2660" s="190"/>
      <c r="I2660" s="190"/>
      <c r="J2660" s="190"/>
      <c r="K2660" s="190"/>
      <c r="L2660" s="190"/>
      <c r="M2660" s="190"/>
      <c r="N2660" s="190"/>
      <c r="O2660" s="190"/>
      <c r="P2660" s="190"/>
      <c r="Q2660" s="190"/>
      <c r="R2660" s="190"/>
      <c r="S2660" s="190" t="s">
        <v>468</v>
      </c>
      <c r="T2660" s="43">
        <f t="shared" si="68"/>
        <v>1</v>
      </c>
      <c r="U2660" s="167">
        <f t="shared" si="66"/>
        <v>0</v>
      </c>
      <c r="V2660" s="43"/>
      <c r="W2660" s="43"/>
      <c r="X2660" s="43"/>
      <c r="Y2660" s="43"/>
      <c r="Z2660" s="43"/>
      <c r="AA2660" s="43"/>
      <c r="AB2660" s="43"/>
    </row>
    <row r="2661" spans="1:28" ht="14.25" hidden="1" customHeight="1">
      <c r="A2661" s="190"/>
      <c r="B2661" s="225"/>
      <c r="C2661" s="190"/>
      <c r="D2661" s="190"/>
      <c r="E2661" s="232"/>
      <c r="F2661" s="185"/>
      <c r="G2661" s="185"/>
      <c r="H2661" s="190"/>
      <c r="I2661" s="190"/>
      <c r="J2661" s="190"/>
      <c r="K2661" s="190"/>
      <c r="L2661" s="190"/>
      <c r="M2661" s="190"/>
      <c r="N2661" s="190"/>
      <c r="O2661" s="190"/>
      <c r="P2661" s="190"/>
      <c r="Q2661" s="190"/>
      <c r="R2661" s="190"/>
      <c r="S2661" s="190"/>
      <c r="T2661" s="43">
        <f t="shared" si="68"/>
        <v>1</v>
      </c>
      <c r="U2661" s="167">
        <f t="shared" si="66"/>
        <v>0</v>
      </c>
      <c r="V2661" s="43"/>
      <c r="W2661" s="43"/>
      <c r="X2661" s="43"/>
      <c r="Y2661" s="43"/>
      <c r="Z2661" s="43"/>
      <c r="AA2661" s="43"/>
      <c r="AB2661" s="43"/>
    </row>
    <row r="2662" spans="1:28" ht="14.25" hidden="1" customHeight="1">
      <c r="A2662" s="190"/>
      <c r="B2662" s="225"/>
      <c r="C2662" s="190"/>
      <c r="D2662" s="190"/>
      <c r="E2662" s="232"/>
      <c r="F2662" s="185"/>
      <c r="G2662" s="185"/>
      <c r="H2662" s="190"/>
      <c r="I2662" s="190"/>
      <c r="J2662" s="190"/>
      <c r="K2662" s="190"/>
      <c r="L2662" s="190"/>
      <c r="M2662" s="190"/>
      <c r="N2662" s="190"/>
      <c r="O2662" s="190"/>
      <c r="P2662" s="190"/>
      <c r="Q2662" s="190"/>
      <c r="R2662" s="190"/>
      <c r="S2662" s="190"/>
      <c r="T2662" s="43">
        <f t="shared" si="68"/>
        <v>1</v>
      </c>
      <c r="U2662" s="167">
        <f t="shared" si="66"/>
        <v>0</v>
      </c>
      <c r="V2662" s="43"/>
      <c r="W2662" s="43"/>
      <c r="X2662" s="43"/>
      <c r="Y2662" s="43"/>
      <c r="Z2662" s="43"/>
      <c r="AA2662" s="43"/>
      <c r="AB2662" s="43"/>
    </row>
    <row r="2663" spans="1:28" ht="14.25" hidden="1" customHeight="1">
      <c r="A2663" s="190"/>
      <c r="B2663" s="225"/>
      <c r="C2663" s="190"/>
      <c r="D2663" s="190"/>
      <c r="E2663" s="232"/>
      <c r="F2663" s="185"/>
      <c r="G2663" s="185"/>
      <c r="H2663" s="190"/>
      <c r="I2663" s="190"/>
      <c r="J2663" s="190"/>
      <c r="K2663" s="190"/>
      <c r="L2663" s="190"/>
      <c r="M2663" s="190"/>
      <c r="N2663" s="190"/>
      <c r="O2663" s="190"/>
      <c r="P2663" s="190"/>
      <c r="Q2663" s="190"/>
      <c r="R2663" s="190"/>
      <c r="S2663" s="190" t="s">
        <v>453</v>
      </c>
      <c r="T2663" s="43">
        <f t="shared" si="68"/>
        <v>1</v>
      </c>
      <c r="U2663" s="167">
        <f t="shared" si="66"/>
        <v>0</v>
      </c>
      <c r="V2663" s="43"/>
      <c r="W2663" s="43"/>
      <c r="X2663" s="43"/>
      <c r="Y2663" s="43"/>
      <c r="Z2663" s="43"/>
      <c r="AA2663" s="43"/>
      <c r="AB2663" s="43"/>
    </row>
    <row r="2664" spans="1:28" ht="14.25" hidden="1" customHeight="1">
      <c r="A2664" s="190"/>
      <c r="B2664" s="225"/>
      <c r="C2664" s="190"/>
      <c r="D2664" s="190"/>
      <c r="E2664" s="232"/>
      <c r="F2664" s="185"/>
      <c r="G2664" s="185"/>
      <c r="H2664" s="190"/>
      <c r="I2664" s="190"/>
      <c r="J2664" s="190"/>
      <c r="K2664" s="190"/>
      <c r="L2664" s="190"/>
      <c r="M2664" s="190"/>
      <c r="N2664" s="190"/>
      <c r="O2664" s="190"/>
      <c r="P2664" s="190"/>
      <c r="Q2664" s="190"/>
      <c r="R2664" s="190"/>
      <c r="S2664" s="190" t="s">
        <v>320</v>
      </c>
      <c r="T2664" s="43">
        <f t="shared" si="68"/>
        <v>1</v>
      </c>
      <c r="U2664" s="167">
        <f t="shared" si="66"/>
        <v>0</v>
      </c>
      <c r="V2664" s="43"/>
      <c r="W2664" s="43"/>
      <c r="X2664" s="43"/>
      <c r="Y2664" s="43"/>
      <c r="Z2664" s="43"/>
      <c r="AA2664" s="43"/>
      <c r="AB2664" s="43"/>
    </row>
    <row r="2665" spans="1:28" ht="14.25" hidden="1" customHeight="1">
      <c r="A2665" s="190"/>
      <c r="B2665" s="225"/>
      <c r="C2665" s="190"/>
      <c r="D2665" s="190"/>
      <c r="E2665" s="232"/>
      <c r="F2665" s="185"/>
      <c r="G2665" s="185"/>
      <c r="H2665" s="190"/>
      <c r="I2665" s="190"/>
      <c r="J2665" s="190"/>
      <c r="K2665" s="190"/>
      <c r="L2665" s="190"/>
      <c r="M2665" s="190"/>
      <c r="N2665" s="190"/>
      <c r="O2665" s="190"/>
      <c r="P2665" s="190"/>
      <c r="Q2665" s="190"/>
      <c r="R2665" s="190"/>
      <c r="S2665" s="190" t="s">
        <v>1141</v>
      </c>
      <c r="T2665" s="43">
        <f t="shared" si="68"/>
        <v>1</v>
      </c>
      <c r="U2665" s="167">
        <f t="shared" si="66"/>
        <v>0</v>
      </c>
      <c r="V2665" s="43"/>
      <c r="W2665" s="43"/>
      <c r="X2665" s="43"/>
      <c r="Y2665" s="43"/>
      <c r="Z2665" s="43"/>
      <c r="AA2665" s="43"/>
      <c r="AB2665" s="43"/>
    </row>
    <row r="2666" spans="1:28" ht="14.25" hidden="1" customHeight="1">
      <c r="A2666" s="190"/>
      <c r="B2666" s="225"/>
      <c r="C2666" s="190"/>
      <c r="D2666" s="190"/>
      <c r="E2666" s="232"/>
      <c r="F2666" s="191"/>
      <c r="G2666" s="185"/>
      <c r="H2666" s="190"/>
      <c r="I2666" s="190"/>
      <c r="J2666" s="190"/>
      <c r="K2666" s="190"/>
      <c r="L2666" s="190"/>
      <c r="M2666" s="190"/>
      <c r="N2666" s="190"/>
      <c r="O2666" s="190"/>
      <c r="P2666" s="190"/>
      <c r="Q2666" s="190"/>
      <c r="R2666" s="190"/>
      <c r="S2666" s="190"/>
      <c r="T2666" s="43">
        <f t="shared" si="68"/>
        <v>1</v>
      </c>
      <c r="U2666" s="167">
        <f t="shared" si="66"/>
        <v>0</v>
      </c>
      <c r="V2666" s="43"/>
      <c r="W2666" s="43"/>
      <c r="X2666" s="43"/>
      <c r="Y2666" s="43"/>
      <c r="Z2666" s="43"/>
      <c r="AA2666" s="43"/>
      <c r="AB2666" s="43"/>
    </row>
    <row r="2667" spans="1:28" ht="14.25" hidden="1" customHeight="1">
      <c r="A2667" s="190"/>
      <c r="B2667" s="225"/>
      <c r="C2667" s="190"/>
      <c r="D2667" s="190"/>
      <c r="E2667" s="232"/>
      <c r="F2667" s="185"/>
      <c r="G2667" s="185"/>
      <c r="H2667" s="190"/>
      <c r="I2667" s="190"/>
      <c r="J2667" s="190"/>
      <c r="K2667" s="190"/>
      <c r="L2667" s="190"/>
      <c r="M2667" s="190"/>
      <c r="N2667" s="190"/>
      <c r="O2667" s="190"/>
      <c r="P2667" s="190"/>
      <c r="Q2667" s="190"/>
      <c r="R2667" s="190"/>
      <c r="S2667" s="190" t="s">
        <v>299</v>
      </c>
      <c r="T2667" s="43">
        <f t="shared" si="68"/>
        <v>1</v>
      </c>
      <c r="U2667" s="167">
        <f t="shared" si="66"/>
        <v>0</v>
      </c>
      <c r="V2667" s="43"/>
      <c r="W2667" s="43"/>
      <c r="X2667" s="43"/>
      <c r="Y2667" s="43"/>
      <c r="Z2667" s="43"/>
      <c r="AA2667" s="43"/>
      <c r="AB2667" s="43"/>
    </row>
    <row r="2668" spans="1:28" ht="14.25" hidden="1" customHeight="1">
      <c r="A2668" s="190"/>
      <c r="B2668" s="225"/>
      <c r="C2668" s="190"/>
      <c r="D2668" s="190"/>
      <c r="E2668" s="232"/>
      <c r="F2668" s="185"/>
      <c r="G2668" s="185"/>
      <c r="H2668" s="190"/>
      <c r="I2668" s="190"/>
      <c r="J2668" s="190"/>
      <c r="K2668" s="190"/>
      <c r="L2668" s="190"/>
      <c r="M2668" s="190"/>
      <c r="N2668" s="190"/>
      <c r="O2668" s="190"/>
      <c r="P2668" s="190"/>
      <c r="Q2668" s="190"/>
      <c r="R2668" s="190"/>
      <c r="S2668" s="190" t="s">
        <v>299</v>
      </c>
      <c r="T2668" s="43">
        <f t="shared" si="68"/>
        <v>1</v>
      </c>
      <c r="U2668" s="167">
        <f t="shared" si="66"/>
        <v>0</v>
      </c>
      <c r="V2668" s="43"/>
      <c r="W2668" s="43"/>
      <c r="X2668" s="43"/>
      <c r="Y2668" s="43"/>
      <c r="Z2668" s="43"/>
      <c r="AA2668" s="43"/>
      <c r="AB2668" s="43"/>
    </row>
    <row r="2669" spans="1:28" ht="14.25" hidden="1" customHeight="1">
      <c r="A2669" s="190"/>
      <c r="B2669" s="225"/>
      <c r="C2669" s="190"/>
      <c r="D2669" s="190"/>
      <c r="E2669" s="232"/>
      <c r="F2669" s="185"/>
      <c r="G2669" s="185"/>
      <c r="H2669" s="190"/>
      <c r="I2669" s="190"/>
      <c r="J2669" s="190"/>
      <c r="K2669" s="190"/>
      <c r="L2669" s="190"/>
      <c r="M2669" s="190"/>
      <c r="N2669" s="190"/>
      <c r="O2669" s="190"/>
      <c r="P2669" s="190"/>
      <c r="Q2669" s="190"/>
      <c r="R2669" s="190"/>
      <c r="S2669" s="190" t="s">
        <v>299</v>
      </c>
      <c r="T2669" s="43">
        <f t="shared" si="68"/>
        <v>1</v>
      </c>
      <c r="U2669" s="167">
        <f t="shared" si="66"/>
        <v>0</v>
      </c>
      <c r="V2669" s="43"/>
      <c r="W2669" s="43"/>
      <c r="X2669" s="43"/>
      <c r="Y2669" s="43"/>
      <c r="Z2669" s="43"/>
      <c r="AA2669" s="43"/>
      <c r="AB2669" s="43"/>
    </row>
    <row r="2670" spans="1:28" ht="14.25" hidden="1" customHeight="1">
      <c r="A2670" s="190"/>
      <c r="B2670" s="225"/>
      <c r="C2670" s="190"/>
      <c r="D2670" s="190"/>
      <c r="E2670" s="232"/>
      <c r="F2670" s="185"/>
      <c r="G2670" s="185"/>
      <c r="H2670" s="190"/>
      <c r="I2670" s="190"/>
      <c r="J2670" s="190"/>
      <c r="K2670" s="190"/>
      <c r="L2670" s="190"/>
      <c r="M2670" s="190"/>
      <c r="N2670" s="190"/>
      <c r="O2670" s="190"/>
      <c r="P2670" s="190"/>
      <c r="Q2670" s="190"/>
      <c r="R2670" s="190"/>
      <c r="S2670" s="190" t="s">
        <v>299</v>
      </c>
      <c r="T2670" s="43">
        <f t="shared" si="68"/>
        <v>1</v>
      </c>
      <c r="U2670" s="167">
        <f t="shared" si="66"/>
        <v>0</v>
      </c>
      <c r="V2670" s="43"/>
      <c r="W2670" s="43"/>
      <c r="X2670" s="43"/>
      <c r="Y2670" s="43"/>
      <c r="Z2670" s="43"/>
      <c r="AA2670" s="43"/>
      <c r="AB2670" s="43"/>
    </row>
    <row r="2671" spans="1:28" ht="14.25" hidden="1" customHeight="1">
      <c r="A2671" s="190"/>
      <c r="B2671" s="225"/>
      <c r="C2671" s="190"/>
      <c r="D2671" s="190"/>
      <c r="E2671" s="232"/>
      <c r="F2671" s="191"/>
      <c r="G2671" s="185"/>
      <c r="H2671" s="190"/>
      <c r="I2671" s="190"/>
      <c r="J2671" s="190"/>
      <c r="K2671" s="190"/>
      <c r="L2671" s="190"/>
      <c r="M2671" s="190"/>
      <c r="N2671" s="190"/>
      <c r="O2671" s="190"/>
      <c r="P2671" s="190"/>
      <c r="Q2671" s="190"/>
      <c r="R2671" s="190"/>
      <c r="S2671" s="190"/>
      <c r="T2671" s="43">
        <f t="shared" si="68"/>
        <v>1</v>
      </c>
      <c r="U2671" s="167">
        <f t="shared" si="66"/>
        <v>0</v>
      </c>
      <c r="V2671" s="43"/>
      <c r="W2671" s="43"/>
      <c r="X2671" s="43"/>
      <c r="Y2671" s="43"/>
      <c r="Z2671" s="43"/>
      <c r="AA2671" s="43"/>
      <c r="AB2671" s="43"/>
    </row>
    <row r="2672" spans="1:28" ht="14.25" hidden="1" customHeight="1">
      <c r="A2672" s="190"/>
      <c r="B2672" s="225"/>
      <c r="C2672" s="190"/>
      <c r="D2672" s="190"/>
      <c r="E2672" s="232"/>
      <c r="F2672" s="185"/>
      <c r="G2672" s="185"/>
      <c r="H2672" s="190"/>
      <c r="I2672" s="190"/>
      <c r="J2672" s="190"/>
      <c r="K2672" s="190"/>
      <c r="L2672" s="190"/>
      <c r="M2672" s="190"/>
      <c r="N2672" s="190"/>
      <c r="O2672" s="190"/>
      <c r="P2672" s="190"/>
      <c r="Q2672" s="190"/>
      <c r="R2672" s="190"/>
      <c r="S2672" s="190"/>
      <c r="T2672" s="43">
        <f t="shared" si="68"/>
        <v>1</v>
      </c>
      <c r="U2672" s="167">
        <f t="shared" si="66"/>
        <v>0</v>
      </c>
      <c r="V2672" s="43"/>
      <c r="W2672" s="43"/>
      <c r="X2672" s="43"/>
      <c r="Y2672" s="43"/>
      <c r="Z2672" s="43"/>
      <c r="AA2672" s="43"/>
      <c r="AB2672" s="43"/>
    </row>
    <row r="2673" spans="1:28" ht="14.25" hidden="1" customHeight="1">
      <c r="A2673" s="190"/>
      <c r="B2673" s="225"/>
      <c r="C2673" s="190"/>
      <c r="D2673" s="190"/>
      <c r="E2673" s="232"/>
      <c r="F2673" s="185"/>
      <c r="G2673" s="185"/>
      <c r="H2673" s="190"/>
      <c r="I2673" s="190"/>
      <c r="J2673" s="190"/>
      <c r="K2673" s="190"/>
      <c r="L2673" s="190"/>
      <c r="M2673" s="190"/>
      <c r="N2673" s="190"/>
      <c r="O2673" s="190"/>
      <c r="P2673" s="190"/>
      <c r="Q2673" s="190"/>
      <c r="R2673" s="190"/>
      <c r="S2673" s="190" t="s">
        <v>1100</v>
      </c>
      <c r="T2673" s="43">
        <f t="shared" si="68"/>
        <v>1</v>
      </c>
      <c r="U2673" s="167">
        <f t="shared" si="66"/>
        <v>0</v>
      </c>
      <c r="V2673" s="43"/>
      <c r="W2673" s="43"/>
      <c r="X2673" s="43"/>
      <c r="Y2673" s="43"/>
      <c r="Z2673" s="43"/>
      <c r="AA2673" s="43"/>
      <c r="AB2673" s="43"/>
    </row>
    <row r="2674" spans="1:28" ht="14.25" hidden="1" customHeight="1">
      <c r="A2674" s="190"/>
      <c r="B2674" s="225"/>
      <c r="C2674" s="190"/>
      <c r="D2674" s="190"/>
      <c r="E2674" s="232"/>
      <c r="F2674" s="185"/>
      <c r="G2674" s="185"/>
      <c r="H2674" s="190"/>
      <c r="I2674" s="190"/>
      <c r="J2674" s="190"/>
      <c r="K2674" s="190"/>
      <c r="L2674" s="190"/>
      <c r="M2674" s="190"/>
      <c r="N2674" s="190"/>
      <c r="O2674" s="190"/>
      <c r="P2674" s="190"/>
      <c r="Q2674" s="190"/>
      <c r="R2674" s="190"/>
      <c r="S2674" s="190" t="s">
        <v>1012</v>
      </c>
      <c r="T2674" s="43">
        <f t="shared" si="68"/>
        <v>1</v>
      </c>
      <c r="U2674" s="167">
        <f t="shared" si="66"/>
        <v>0</v>
      </c>
      <c r="V2674" s="43"/>
      <c r="W2674" s="43"/>
      <c r="X2674" s="43"/>
      <c r="Y2674" s="43"/>
      <c r="Z2674" s="43"/>
      <c r="AA2674" s="43"/>
      <c r="AB2674" s="43"/>
    </row>
    <row r="2675" spans="1:28" ht="14.25" hidden="1" customHeight="1">
      <c r="A2675" s="190"/>
      <c r="B2675" s="225"/>
      <c r="C2675" s="190"/>
      <c r="D2675" s="190"/>
      <c r="E2675" s="232"/>
      <c r="F2675" s="191"/>
      <c r="G2675" s="185"/>
      <c r="H2675" s="190"/>
      <c r="I2675" s="190"/>
      <c r="J2675" s="190"/>
      <c r="K2675" s="190"/>
      <c r="L2675" s="190"/>
      <c r="M2675" s="190"/>
      <c r="N2675" s="190"/>
      <c r="O2675" s="190"/>
      <c r="P2675" s="190"/>
      <c r="Q2675" s="190"/>
      <c r="R2675" s="190"/>
      <c r="S2675" s="190"/>
      <c r="T2675" s="43">
        <f t="shared" si="68"/>
        <v>1</v>
      </c>
      <c r="U2675" s="167">
        <f t="shared" si="66"/>
        <v>0</v>
      </c>
      <c r="V2675" s="43"/>
      <c r="W2675" s="43"/>
      <c r="X2675" s="43"/>
      <c r="Y2675" s="43"/>
      <c r="Z2675" s="43"/>
      <c r="AA2675" s="43"/>
      <c r="AB2675" s="43"/>
    </row>
    <row r="2676" spans="1:28" ht="14.25" hidden="1" customHeight="1">
      <c r="A2676" s="190"/>
      <c r="B2676" s="225"/>
      <c r="C2676" s="190"/>
      <c r="D2676" s="190"/>
      <c r="E2676" s="232"/>
      <c r="F2676" s="191"/>
      <c r="G2676" s="185"/>
      <c r="H2676" s="190"/>
      <c r="I2676" s="190"/>
      <c r="J2676" s="190"/>
      <c r="K2676" s="190"/>
      <c r="L2676" s="190"/>
      <c r="M2676" s="190"/>
      <c r="N2676" s="190"/>
      <c r="O2676" s="190"/>
      <c r="P2676" s="190"/>
      <c r="Q2676" s="190"/>
      <c r="R2676" s="190"/>
      <c r="S2676" s="190" t="s">
        <v>1208</v>
      </c>
      <c r="T2676" s="43">
        <f t="shared" si="68"/>
        <v>1</v>
      </c>
      <c r="U2676" s="167">
        <f t="shared" si="66"/>
        <v>0</v>
      </c>
      <c r="V2676" s="43"/>
      <c r="W2676" s="43"/>
      <c r="X2676" s="43"/>
      <c r="Y2676" s="43"/>
      <c r="Z2676" s="43"/>
      <c r="AA2676" s="43"/>
      <c r="AB2676" s="43"/>
    </row>
    <row r="2677" spans="1:28" ht="14.25" hidden="1" customHeight="1">
      <c r="A2677" s="190"/>
      <c r="B2677" s="225"/>
      <c r="C2677" s="190"/>
      <c r="D2677" s="190"/>
      <c r="E2677" s="232"/>
      <c r="F2677" s="191"/>
      <c r="G2677" s="185"/>
      <c r="H2677" s="190"/>
      <c r="I2677" s="190"/>
      <c r="J2677" s="190"/>
      <c r="K2677" s="190"/>
      <c r="L2677" s="190"/>
      <c r="M2677" s="190"/>
      <c r="N2677" s="190"/>
      <c r="O2677" s="190"/>
      <c r="P2677" s="190"/>
      <c r="Q2677" s="190"/>
      <c r="R2677" s="190"/>
      <c r="S2677" s="190" t="s">
        <v>1194</v>
      </c>
      <c r="T2677" s="43">
        <f t="shared" si="68"/>
        <v>1</v>
      </c>
      <c r="U2677" s="167">
        <f t="shared" si="66"/>
        <v>0</v>
      </c>
      <c r="V2677" s="43"/>
      <c r="W2677" s="43"/>
      <c r="X2677" s="43"/>
      <c r="Y2677" s="43"/>
      <c r="Z2677" s="43"/>
      <c r="AA2677" s="43"/>
      <c r="AB2677" s="43"/>
    </row>
    <row r="2678" spans="1:28" ht="14.25" hidden="1" customHeight="1">
      <c r="A2678" s="190"/>
      <c r="B2678" s="225"/>
      <c r="C2678" s="190"/>
      <c r="D2678" s="190"/>
      <c r="E2678" s="232"/>
      <c r="F2678" s="191"/>
      <c r="G2678" s="185"/>
      <c r="H2678" s="190"/>
      <c r="I2678" s="190"/>
      <c r="J2678" s="190"/>
      <c r="K2678" s="190"/>
      <c r="L2678" s="190"/>
      <c r="M2678" s="190"/>
      <c r="N2678" s="190"/>
      <c r="O2678" s="190"/>
      <c r="P2678" s="190"/>
      <c r="Q2678" s="190"/>
      <c r="R2678" s="190"/>
      <c r="S2678" s="190" t="s">
        <v>1180</v>
      </c>
      <c r="T2678" s="43">
        <f t="shared" si="68"/>
        <v>1</v>
      </c>
      <c r="U2678" s="167">
        <f t="shared" si="66"/>
        <v>0</v>
      </c>
      <c r="V2678" s="43"/>
      <c r="W2678" s="43"/>
      <c r="X2678" s="43"/>
      <c r="Y2678" s="43"/>
      <c r="Z2678" s="43"/>
      <c r="AA2678" s="43"/>
      <c r="AB2678" s="43"/>
    </row>
    <row r="2679" spans="1:28" ht="14.25" hidden="1" customHeight="1">
      <c r="A2679" s="190"/>
      <c r="B2679" s="225"/>
      <c r="C2679" s="190"/>
      <c r="D2679" s="190"/>
      <c r="E2679" s="232"/>
      <c r="F2679" s="191"/>
      <c r="G2679" s="185"/>
      <c r="H2679" s="190"/>
      <c r="I2679" s="190"/>
      <c r="J2679" s="190"/>
      <c r="K2679" s="190"/>
      <c r="L2679" s="190"/>
      <c r="M2679" s="190"/>
      <c r="N2679" s="190"/>
      <c r="O2679" s="190"/>
      <c r="P2679" s="190"/>
      <c r="Q2679" s="190"/>
      <c r="R2679" s="190"/>
      <c r="S2679" s="190" t="s">
        <v>1164</v>
      </c>
      <c r="T2679" s="43">
        <f t="shared" si="68"/>
        <v>1</v>
      </c>
      <c r="U2679" s="167">
        <f t="shared" si="66"/>
        <v>0</v>
      </c>
      <c r="V2679" s="43"/>
      <c r="W2679" s="43"/>
      <c r="X2679" s="43"/>
      <c r="Y2679" s="43"/>
      <c r="Z2679" s="43"/>
      <c r="AA2679" s="43"/>
      <c r="AB2679" s="43"/>
    </row>
    <row r="2680" spans="1:28" ht="14.25" hidden="1" customHeight="1">
      <c r="A2680" s="190"/>
      <c r="B2680" s="225"/>
      <c r="C2680" s="190"/>
      <c r="D2680" s="190"/>
      <c r="E2680" s="232"/>
      <c r="F2680" s="191"/>
      <c r="G2680" s="185"/>
      <c r="H2680" s="190"/>
      <c r="I2680" s="190"/>
      <c r="J2680" s="190"/>
      <c r="K2680" s="190"/>
      <c r="L2680" s="190"/>
      <c r="M2680" s="190"/>
      <c r="N2680" s="190"/>
      <c r="O2680" s="190"/>
      <c r="P2680" s="190"/>
      <c r="Q2680" s="190"/>
      <c r="R2680" s="190"/>
      <c r="S2680" s="190" t="s">
        <v>1229</v>
      </c>
      <c r="T2680" s="43">
        <f t="shared" si="68"/>
        <v>1</v>
      </c>
      <c r="U2680" s="167">
        <f t="shared" si="66"/>
        <v>0</v>
      </c>
      <c r="V2680" s="43"/>
      <c r="W2680" s="43"/>
      <c r="X2680" s="43"/>
      <c r="Y2680" s="43"/>
      <c r="Z2680" s="43"/>
      <c r="AA2680" s="43"/>
      <c r="AB2680" s="43"/>
    </row>
    <row r="2681" spans="1:28" ht="14.25" hidden="1" customHeight="1">
      <c r="A2681" s="190"/>
      <c r="B2681" s="225"/>
      <c r="C2681" s="190"/>
      <c r="D2681" s="190"/>
      <c r="E2681" s="232"/>
      <c r="F2681" s="191"/>
      <c r="G2681" s="185"/>
      <c r="H2681" s="190"/>
      <c r="I2681" s="190"/>
      <c r="J2681" s="190"/>
      <c r="K2681" s="190"/>
      <c r="L2681" s="190"/>
      <c r="M2681" s="190"/>
      <c r="N2681" s="190"/>
      <c r="O2681" s="190"/>
      <c r="P2681" s="190"/>
      <c r="Q2681" s="190"/>
      <c r="R2681" s="190"/>
      <c r="S2681" s="190" t="s">
        <v>1285</v>
      </c>
      <c r="T2681" s="43">
        <f t="shared" si="68"/>
        <v>1</v>
      </c>
      <c r="U2681" s="167">
        <f t="shared" si="66"/>
        <v>0</v>
      </c>
      <c r="V2681" s="43"/>
      <c r="W2681" s="43"/>
      <c r="X2681" s="43"/>
      <c r="Y2681" s="43"/>
      <c r="Z2681" s="43"/>
      <c r="AA2681" s="43"/>
      <c r="AB2681" s="43"/>
    </row>
    <row r="2682" spans="1:28" ht="14.25" hidden="1" customHeight="1">
      <c r="A2682" s="190"/>
      <c r="B2682" s="225"/>
      <c r="C2682" s="190"/>
      <c r="D2682" s="190"/>
      <c r="E2682" s="232"/>
      <c r="F2682" s="191"/>
      <c r="G2682" s="185"/>
      <c r="H2682" s="190"/>
      <c r="I2682" s="190"/>
      <c r="J2682" s="190"/>
      <c r="K2682" s="190"/>
      <c r="L2682" s="190"/>
      <c r="M2682" s="190"/>
      <c r="N2682" s="190"/>
      <c r="O2682" s="190"/>
      <c r="P2682" s="190"/>
      <c r="Q2682" s="190"/>
      <c r="R2682" s="190"/>
      <c r="S2682" s="190" t="s">
        <v>1262</v>
      </c>
      <c r="T2682" s="43">
        <f t="shared" si="68"/>
        <v>1</v>
      </c>
      <c r="U2682" s="167">
        <f t="shared" si="66"/>
        <v>0</v>
      </c>
      <c r="V2682" s="43"/>
      <c r="W2682" s="43"/>
      <c r="X2682" s="43"/>
      <c r="Y2682" s="43"/>
      <c r="Z2682" s="43"/>
      <c r="AA2682" s="43"/>
      <c r="AB2682" s="43"/>
    </row>
    <row r="2683" spans="1:28" ht="14.25" hidden="1" customHeight="1">
      <c r="A2683" s="190"/>
      <c r="B2683" s="225"/>
      <c r="C2683" s="190"/>
      <c r="D2683" s="190"/>
      <c r="E2683" s="232"/>
      <c r="F2683" s="191"/>
      <c r="G2683" s="185"/>
      <c r="H2683" s="190"/>
      <c r="I2683" s="190"/>
      <c r="J2683" s="190"/>
      <c r="K2683" s="190"/>
      <c r="L2683" s="190"/>
      <c r="M2683" s="190"/>
      <c r="N2683" s="190"/>
      <c r="O2683" s="190"/>
      <c r="P2683" s="190"/>
      <c r="Q2683" s="190"/>
      <c r="R2683" s="190"/>
      <c r="S2683" s="190" t="s">
        <v>1172</v>
      </c>
      <c r="T2683" s="43">
        <f t="shared" si="68"/>
        <v>1</v>
      </c>
      <c r="U2683" s="167">
        <f t="shared" si="66"/>
        <v>0</v>
      </c>
      <c r="V2683" s="43"/>
      <c r="W2683" s="43"/>
      <c r="X2683" s="43"/>
      <c r="Y2683" s="43"/>
      <c r="Z2683" s="43"/>
      <c r="AA2683" s="43"/>
      <c r="AB2683" s="43"/>
    </row>
    <row r="2684" spans="1:28" ht="14.25" hidden="1" customHeight="1">
      <c r="A2684" s="190"/>
      <c r="B2684" s="225"/>
      <c r="C2684" s="190"/>
      <c r="D2684" s="190"/>
      <c r="E2684" s="232"/>
      <c r="F2684" s="191"/>
      <c r="G2684" s="185"/>
      <c r="H2684" s="190"/>
      <c r="I2684" s="190"/>
      <c r="J2684" s="190"/>
      <c r="K2684" s="190"/>
      <c r="L2684" s="190"/>
      <c r="M2684" s="190"/>
      <c r="N2684" s="190"/>
      <c r="O2684" s="190"/>
      <c r="P2684" s="190"/>
      <c r="Q2684" s="190"/>
      <c r="R2684" s="190"/>
      <c r="S2684" s="190" t="s">
        <v>1129</v>
      </c>
      <c r="T2684" s="43">
        <f t="shared" si="68"/>
        <v>1</v>
      </c>
      <c r="U2684" s="167">
        <f t="shared" si="66"/>
        <v>0</v>
      </c>
      <c r="V2684" s="43"/>
      <c r="W2684" s="43"/>
      <c r="X2684" s="43"/>
      <c r="Y2684" s="43"/>
      <c r="Z2684" s="43"/>
      <c r="AA2684" s="43"/>
      <c r="AB2684" s="43"/>
    </row>
    <row r="2685" spans="1:28" ht="14.25" hidden="1" customHeight="1">
      <c r="A2685" s="190"/>
      <c r="B2685" s="225"/>
      <c r="C2685" s="190"/>
      <c r="D2685" s="190"/>
      <c r="E2685" s="232"/>
      <c r="F2685" s="191"/>
      <c r="G2685" s="185"/>
      <c r="H2685" s="190"/>
      <c r="I2685" s="190"/>
      <c r="J2685" s="190"/>
      <c r="K2685" s="190"/>
      <c r="L2685" s="190"/>
      <c r="M2685" s="190"/>
      <c r="N2685" s="190"/>
      <c r="O2685" s="190"/>
      <c r="P2685" s="190"/>
      <c r="Q2685" s="190"/>
      <c r="R2685" s="190"/>
      <c r="S2685" s="190" t="s">
        <v>1121</v>
      </c>
      <c r="T2685" s="43">
        <f t="shared" si="68"/>
        <v>1</v>
      </c>
      <c r="U2685" s="167">
        <f t="shared" si="66"/>
        <v>0</v>
      </c>
      <c r="V2685" s="43"/>
      <c r="W2685" s="43"/>
      <c r="X2685" s="43"/>
      <c r="Y2685" s="43"/>
      <c r="Z2685" s="43"/>
      <c r="AA2685" s="43"/>
      <c r="AB2685" s="43"/>
    </row>
    <row r="2686" spans="1:28" ht="14.25" hidden="1" customHeight="1">
      <c r="A2686" s="190"/>
      <c r="B2686" s="225"/>
      <c r="C2686" s="190"/>
      <c r="D2686" s="190"/>
      <c r="E2686" s="232"/>
      <c r="F2686" s="191"/>
      <c r="G2686" s="185"/>
      <c r="H2686" s="190"/>
      <c r="I2686" s="190"/>
      <c r="J2686" s="190"/>
      <c r="K2686" s="190"/>
      <c r="L2686" s="190"/>
      <c r="M2686" s="190"/>
      <c r="N2686" s="190"/>
      <c r="O2686" s="190"/>
      <c r="P2686" s="190"/>
      <c r="Q2686" s="190"/>
      <c r="R2686" s="190"/>
      <c r="S2686" s="190" t="s">
        <v>1203</v>
      </c>
      <c r="T2686" s="43">
        <f t="shared" si="68"/>
        <v>1</v>
      </c>
      <c r="U2686" s="167">
        <f t="shared" si="66"/>
        <v>0</v>
      </c>
      <c r="V2686" s="43"/>
      <c r="W2686" s="43"/>
      <c r="X2686" s="43"/>
      <c r="Y2686" s="43"/>
      <c r="Z2686" s="43"/>
      <c r="AA2686" s="43"/>
      <c r="AB2686" s="43"/>
    </row>
    <row r="2687" spans="1:28" ht="14.25" hidden="1" customHeight="1">
      <c r="A2687" s="190"/>
      <c r="B2687" s="225"/>
      <c r="C2687" s="190"/>
      <c r="D2687" s="190"/>
      <c r="E2687" s="232"/>
      <c r="F2687" s="191"/>
      <c r="G2687" s="185"/>
      <c r="H2687" s="190"/>
      <c r="I2687" s="190"/>
      <c r="J2687" s="190"/>
      <c r="K2687" s="190"/>
      <c r="L2687" s="190"/>
      <c r="M2687" s="190"/>
      <c r="N2687" s="190"/>
      <c r="O2687" s="190"/>
      <c r="P2687" s="190"/>
      <c r="Q2687" s="190"/>
      <c r="R2687" s="190"/>
      <c r="S2687" s="190" t="s">
        <v>1187</v>
      </c>
      <c r="T2687" s="43">
        <f t="shared" si="68"/>
        <v>1</v>
      </c>
      <c r="U2687" s="167">
        <f t="shared" si="66"/>
        <v>0</v>
      </c>
      <c r="V2687" s="43"/>
      <c r="W2687" s="43"/>
      <c r="X2687" s="43"/>
      <c r="Y2687" s="43"/>
      <c r="Z2687" s="43"/>
      <c r="AA2687" s="43"/>
      <c r="AB2687" s="43"/>
    </row>
    <row r="2688" spans="1:28" ht="14.25" hidden="1" customHeight="1">
      <c r="A2688" s="190"/>
      <c r="B2688" s="225"/>
      <c r="C2688" s="190"/>
      <c r="D2688" s="190"/>
      <c r="E2688" s="232"/>
      <c r="F2688" s="191"/>
      <c r="G2688" s="185"/>
      <c r="H2688" s="190"/>
      <c r="I2688" s="190"/>
      <c r="J2688" s="190"/>
      <c r="K2688" s="190"/>
      <c r="L2688" s="190"/>
      <c r="M2688" s="190"/>
      <c r="N2688" s="190"/>
      <c r="O2688" s="190"/>
      <c r="P2688" s="190"/>
      <c r="Q2688" s="190"/>
      <c r="R2688" s="190"/>
      <c r="S2688" s="190" t="s">
        <v>1137</v>
      </c>
      <c r="T2688" s="43">
        <f t="shared" si="68"/>
        <v>1</v>
      </c>
      <c r="U2688" s="167">
        <f t="shared" si="66"/>
        <v>0</v>
      </c>
      <c r="V2688" s="43"/>
      <c r="W2688" s="43"/>
      <c r="X2688" s="43"/>
      <c r="Y2688" s="43"/>
      <c r="Z2688" s="43"/>
      <c r="AA2688" s="43"/>
      <c r="AB2688" s="43"/>
    </row>
    <row r="2689" spans="1:28" ht="14.25" hidden="1" customHeight="1">
      <c r="A2689" s="190"/>
      <c r="B2689" s="225"/>
      <c r="C2689" s="190"/>
      <c r="D2689" s="190"/>
      <c r="E2689" s="232"/>
      <c r="F2689" s="191"/>
      <c r="G2689" s="185"/>
      <c r="H2689" s="190"/>
      <c r="I2689" s="190"/>
      <c r="J2689" s="190"/>
      <c r="K2689" s="190"/>
      <c r="L2689" s="190"/>
      <c r="M2689" s="190"/>
      <c r="N2689" s="190"/>
      <c r="O2689" s="190"/>
      <c r="P2689" s="190"/>
      <c r="Q2689" s="190"/>
      <c r="R2689" s="190"/>
      <c r="S2689" s="190" t="s">
        <v>621</v>
      </c>
      <c r="T2689" s="43">
        <f t="shared" si="68"/>
        <v>1</v>
      </c>
      <c r="U2689" s="167">
        <f t="shared" si="66"/>
        <v>0</v>
      </c>
      <c r="V2689" s="43"/>
      <c r="W2689" s="43"/>
      <c r="X2689" s="43"/>
      <c r="Y2689" s="43"/>
      <c r="Z2689" s="43"/>
      <c r="AA2689" s="43"/>
      <c r="AB2689" s="43"/>
    </row>
    <row r="2690" spans="1:28" ht="14.25" hidden="1" customHeight="1">
      <c r="A2690" s="190"/>
      <c r="B2690" s="225"/>
      <c r="C2690" s="190"/>
      <c r="D2690" s="190"/>
      <c r="E2690" s="232"/>
      <c r="F2690" s="185"/>
      <c r="G2690" s="185"/>
      <c r="H2690" s="190"/>
      <c r="I2690" s="190"/>
      <c r="J2690" s="190"/>
      <c r="K2690" s="190"/>
      <c r="L2690" s="190"/>
      <c r="M2690" s="190"/>
      <c r="N2690" s="190"/>
      <c r="O2690" s="190"/>
      <c r="P2690" s="190"/>
      <c r="Q2690" s="190"/>
      <c r="R2690" s="190"/>
      <c r="S2690" s="190" t="s">
        <v>1212</v>
      </c>
      <c r="T2690" s="43">
        <f t="shared" si="68"/>
        <v>1</v>
      </c>
      <c r="U2690" s="167">
        <f t="shared" si="66"/>
        <v>0</v>
      </c>
      <c r="V2690" s="43"/>
      <c r="W2690" s="43"/>
      <c r="X2690" s="43"/>
      <c r="Y2690" s="43"/>
      <c r="Z2690" s="43"/>
      <c r="AA2690" s="43"/>
      <c r="AB2690" s="43"/>
    </row>
    <row r="2691" spans="1:28" ht="14.25" hidden="1" customHeight="1">
      <c r="A2691" s="190"/>
      <c r="B2691" s="225"/>
      <c r="C2691" s="190"/>
      <c r="D2691" s="190"/>
      <c r="E2691" s="232"/>
      <c r="F2691" s="185"/>
      <c r="G2691" s="185"/>
      <c r="H2691" s="190"/>
      <c r="I2691" s="190"/>
      <c r="J2691" s="190"/>
      <c r="K2691" s="190"/>
      <c r="L2691" s="190"/>
      <c r="M2691" s="190"/>
      <c r="N2691" s="190"/>
      <c r="O2691" s="190"/>
      <c r="P2691" s="190"/>
      <c r="Q2691" s="190"/>
      <c r="R2691" s="190"/>
      <c r="S2691" s="190"/>
      <c r="T2691" s="43">
        <f t="shared" si="68"/>
        <v>1</v>
      </c>
      <c r="U2691" s="167">
        <f t="shared" si="66"/>
        <v>0</v>
      </c>
      <c r="V2691" s="43"/>
      <c r="W2691" s="43"/>
      <c r="X2691" s="43"/>
      <c r="Y2691" s="43"/>
      <c r="Z2691" s="43"/>
      <c r="AA2691" s="43"/>
      <c r="AB2691" s="43"/>
    </row>
    <row r="2692" spans="1:28" ht="14.25" hidden="1" customHeight="1">
      <c r="A2692" s="190"/>
      <c r="B2692" s="225"/>
      <c r="C2692" s="190"/>
      <c r="D2692" s="190"/>
      <c r="E2692" s="232"/>
      <c r="F2692" s="185"/>
      <c r="G2692" s="185"/>
      <c r="H2692" s="190"/>
      <c r="I2692" s="190"/>
      <c r="J2692" s="190"/>
      <c r="K2692" s="190"/>
      <c r="L2692" s="190"/>
      <c r="M2692" s="190"/>
      <c r="N2692" s="190"/>
      <c r="O2692" s="190"/>
      <c r="P2692" s="190"/>
      <c r="Q2692" s="190"/>
      <c r="R2692" s="190"/>
      <c r="S2692" s="190" t="s">
        <v>1005</v>
      </c>
      <c r="T2692" s="43">
        <f t="shared" si="68"/>
        <v>1</v>
      </c>
      <c r="U2692" s="167">
        <f t="shared" si="66"/>
        <v>0</v>
      </c>
      <c r="V2692" s="43"/>
      <c r="W2692" s="43"/>
      <c r="X2692" s="43"/>
      <c r="Y2692" s="43"/>
      <c r="Z2692" s="43"/>
      <c r="AA2692" s="43"/>
      <c r="AB2692" s="43"/>
    </row>
    <row r="2693" spans="1:28" ht="14.25" hidden="1" customHeight="1">
      <c r="A2693" s="190"/>
      <c r="B2693" s="225"/>
      <c r="C2693" s="190"/>
      <c r="D2693" s="190"/>
      <c r="E2693" s="232"/>
      <c r="F2693" s="185"/>
      <c r="G2693" s="185"/>
      <c r="H2693" s="190"/>
      <c r="I2693" s="190"/>
      <c r="J2693" s="190"/>
      <c r="K2693" s="190"/>
      <c r="L2693" s="190"/>
      <c r="M2693" s="190"/>
      <c r="N2693" s="190"/>
      <c r="O2693" s="190"/>
      <c r="P2693" s="190"/>
      <c r="Q2693" s="190"/>
      <c r="R2693" s="190"/>
      <c r="S2693" s="190" t="s">
        <v>1446</v>
      </c>
      <c r="T2693" s="43">
        <f t="shared" si="68"/>
        <v>1</v>
      </c>
      <c r="U2693" s="167">
        <f t="shared" si="66"/>
        <v>0</v>
      </c>
      <c r="V2693" s="43"/>
      <c r="W2693" s="43"/>
      <c r="X2693" s="43"/>
      <c r="Y2693" s="43"/>
      <c r="Z2693" s="43"/>
      <c r="AA2693" s="43"/>
      <c r="AB2693" s="43"/>
    </row>
    <row r="2694" spans="1:28" ht="14.25" hidden="1" customHeight="1">
      <c r="A2694" s="190"/>
      <c r="B2694" s="225"/>
      <c r="C2694" s="190"/>
      <c r="D2694" s="190"/>
      <c r="E2694" s="232"/>
      <c r="F2694" s="185"/>
      <c r="G2694" s="185"/>
      <c r="H2694" s="190"/>
      <c r="I2694" s="190"/>
      <c r="J2694" s="190"/>
      <c r="K2694" s="190"/>
      <c r="L2694" s="190"/>
      <c r="M2694" s="190"/>
      <c r="N2694" s="190"/>
      <c r="O2694" s="190"/>
      <c r="P2694" s="190"/>
      <c r="Q2694" s="190"/>
      <c r="R2694" s="190"/>
      <c r="S2694" s="190"/>
      <c r="T2694" s="43">
        <f t="shared" si="68"/>
        <v>1</v>
      </c>
      <c r="U2694" s="167">
        <f t="shared" si="66"/>
        <v>0</v>
      </c>
      <c r="V2694" s="43"/>
      <c r="W2694" s="43"/>
      <c r="X2694" s="43"/>
      <c r="Y2694" s="43"/>
      <c r="Z2694" s="43"/>
      <c r="AA2694" s="43"/>
      <c r="AB2694" s="43"/>
    </row>
    <row r="2695" spans="1:28" ht="14.25" hidden="1" customHeight="1">
      <c r="A2695" s="190"/>
      <c r="B2695" s="225"/>
      <c r="C2695" s="190"/>
      <c r="D2695" s="190"/>
      <c r="E2695" s="232"/>
      <c r="F2695" s="185"/>
      <c r="G2695" s="185"/>
      <c r="H2695" s="190"/>
      <c r="I2695" s="190"/>
      <c r="J2695" s="190"/>
      <c r="K2695" s="190"/>
      <c r="L2695" s="190"/>
      <c r="M2695" s="190"/>
      <c r="N2695" s="190"/>
      <c r="O2695" s="190"/>
      <c r="P2695" s="190"/>
      <c r="Q2695" s="190"/>
      <c r="R2695" s="190"/>
      <c r="S2695" s="190" t="s">
        <v>1016</v>
      </c>
      <c r="T2695" s="43">
        <f t="shared" si="68"/>
        <v>1</v>
      </c>
      <c r="U2695" s="167">
        <f t="shared" si="66"/>
        <v>0</v>
      </c>
      <c r="V2695" s="43"/>
      <c r="W2695" s="43"/>
      <c r="X2695" s="43"/>
      <c r="Y2695" s="43"/>
      <c r="Z2695" s="43"/>
      <c r="AA2695" s="43"/>
      <c r="AB2695" s="43"/>
    </row>
    <row r="2696" spans="1:28" ht="14.25" hidden="1" customHeight="1">
      <c r="A2696" s="190"/>
      <c r="B2696" s="225"/>
      <c r="C2696" s="190"/>
      <c r="D2696" s="190"/>
      <c r="E2696" s="232"/>
      <c r="F2696" s="185"/>
      <c r="G2696" s="185"/>
      <c r="H2696" s="190"/>
      <c r="I2696" s="190"/>
      <c r="J2696" s="190"/>
      <c r="K2696" s="190"/>
      <c r="L2696" s="190"/>
      <c r="M2696" s="190"/>
      <c r="N2696" s="190"/>
      <c r="O2696" s="190"/>
      <c r="P2696" s="190"/>
      <c r="Q2696" s="190"/>
      <c r="R2696" s="190"/>
      <c r="S2696" s="190" t="s">
        <v>1275</v>
      </c>
      <c r="T2696" s="43">
        <f t="shared" si="68"/>
        <v>1</v>
      </c>
      <c r="U2696" s="167">
        <f t="shared" si="66"/>
        <v>0</v>
      </c>
      <c r="V2696" s="43"/>
      <c r="W2696" s="43"/>
      <c r="X2696" s="43"/>
      <c r="Y2696" s="43"/>
      <c r="Z2696" s="43"/>
      <c r="AA2696" s="43"/>
      <c r="AB2696" s="43"/>
    </row>
    <row r="2697" spans="1:28" ht="14.25" hidden="1" customHeight="1">
      <c r="A2697" s="190"/>
      <c r="B2697" s="225"/>
      <c r="C2697" s="190"/>
      <c r="D2697" s="190"/>
      <c r="E2697" s="232"/>
      <c r="F2697" s="185"/>
      <c r="G2697" s="185"/>
      <c r="H2697" s="190"/>
      <c r="I2697" s="190"/>
      <c r="J2697" s="190"/>
      <c r="K2697" s="190"/>
      <c r="L2697" s="190"/>
      <c r="M2697" s="190"/>
      <c r="N2697" s="190"/>
      <c r="O2697" s="190"/>
      <c r="P2697" s="190"/>
      <c r="Q2697" s="190"/>
      <c r="R2697" s="190"/>
      <c r="S2697" s="190" t="s">
        <v>1857</v>
      </c>
      <c r="T2697" s="43">
        <f t="shared" si="68"/>
        <v>1</v>
      </c>
      <c r="U2697" s="167">
        <f t="shared" si="66"/>
        <v>0</v>
      </c>
      <c r="V2697" s="167"/>
      <c r="W2697" s="43"/>
      <c r="X2697" s="43"/>
      <c r="Y2697" s="43"/>
      <c r="Z2697" s="43"/>
      <c r="AA2697" s="43"/>
      <c r="AB2697" s="43"/>
    </row>
    <row r="2698" spans="1:28" ht="14.25" hidden="1" customHeight="1">
      <c r="A2698" s="190"/>
      <c r="B2698" s="225"/>
      <c r="C2698" s="190"/>
      <c r="D2698" s="190"/>
      <c r="E2698" s="232"/>
      <c r="F2698" s="185"/>
      <c r="G2698" s="185"/>
      <c r="H2698" s="190"/>
      <c r="I2698" s="190"/>
      <c r="J2698" s="190"/>
      <c r="K2698" s="190"/>
      <c r="L2698" s="190"/>
      <c r="M2698" s="190"/>
      <c r="N2698" s="190"/>
      <c r="O2698" s="190"/>
      <c r="P2698" s="190"/>
      <c r="Q2698" s="190"/>
      <c r="R2698" s="190"/>
      <c r="S2698" s="190"/>
      <c r="T2698" s="43">
        <f t="shared" si="68"/>
        <v>1</v>
      </c>
      <c r="U2698" s="167">
        <f t="shared" si="66"/>
        <v>0</v>
      </c>
      <c r="V2698" s="43"/>
      <c r="W2698" s="43"/>
      <c r="X2698" s="43"/>
      <c r="Y2698" s="43"/>
      <c r="Z2698" s="43"/>
      <c r="AA2698" s="43"/>
      <c r="AB2698" s="43"/>
    </row>
    <row r="2699" spans="1:28" ht="14.25" hidden="1" customHeight="1">
      <c r="A2699" s="190"/>
      <c r="B2699" s="225"/>
      <c r="C2699" s="190"/>
      <c r="D2699" s="190"/>
      <c r="E2699" s="232"/>
      <c r="F2699" s="185"/>
      <c r="G2699" s="185"/>
      <c r="H2699" s="190"/>
      <c r="I2699" s="190"/>
      <c r="J2699" s="190"/>
      <c r="K2699" s="190"/>
      <c r="L2699" s="190"/>
      <c r="M2699" s="190"/>
      <c r="N2699" s="190"/>
      <c r="O2699" s="190"/>
      <c r="P2699" s="190"/>
      <c r="Q2699" s="190"/>
      <c r="R2699" s="190"/>
      <c r="S2699" s="190"/>
      <c r="T2699" s="43">
        <f t="shared" si="68"/>
        <v>1</v>
      </c>
      <c r="U2699" s="167">
        <f t="shared" si="66"/>
        <v>0</v>
      </c>
      <c r="V2699" s="43"/>
      <c r="W2699" s="43"/>
      <c r="X2699" s="43"/>
      <c r="Y2699" s="43"/>
      <c r="Z2699" s="43"/>
      <c r="AA2699" s="43"/>
      <c r="AB2699" s="43"/>
    </row>
    <row r="2700" spans="1:28" ht="14.25" hidden="1" customHeight="1">
      <c r="A2700" s="190"/>
      <c r="B2700" s="225"/>
      <c r="C2700" s="190"/>
      <c r="D2700" s="190"/>
      <c r="E2700" s="232"/>
      <c r="F2700" s="191"/>
      <c r="G2700" s="185"/>
      <c r="H2700" s="190"/>
      <c r="I2700" s="190"/>
      <c r="J2700" s="190"/>
      <c r="K2700" s="190"/>
      <c r="L2700" s="190"/>
      <c r="M2700" s="190"/>
      <c r="N2700" s="190"/>
      <c r="O2700" s="190"/>
      <c r="P2700" s="190"/>
      <c r="Q2700" s="190"/>
      <c r="R2700" s="190"/>
      <c r="S2700" s="190"/>
      <c r="T2700" s="43">
        <f t="shared" si="68"/>
        <v>1</v>
      </c>
      <c r="U2700" s="167">
        <f t="shared" si="66"/>
        <v>0</v>
      </c>
      <c r="V2700" s="43"/>
      <c r="W2700" s="43"/>
      <c r="X2700" s="43"/>
      <c r="Y2700" s="43"/>
      <c r="Z2700" s="43"/>
      <c r="AA2700" s="43"/>
      <c r="AB2700" s="43"/>
    </row>
    <row r="2701" spans="1:28" ht="14.25" hidden="1" customHeight="1">
      <c r="A2701" s="190"/>
      <c r="B2701" s="225"/>
      <c r="C2701" s="190"/>
      <c r="D2701" s="190"/>
      <c r="E2701" s="232"/>
      <c r="F2701" s="185"/>
      <c r="G2701" s="185"/>
      <c r="H2701" s="190"/>
      <c r="I2701" s="190"/>
      <c r="J2701" s="190"/>
      <c r="K2701" s="190"/>
      <c r="L2701" s="190"/>
      <c r="M2701" s="190"/>
      <c r="N2701" s="190"/>
      <c r="O2701" s="190"/>
      <c r="P2701" s="190"/>
      <c r="Q2701" s="190"/>
      <c r="R2701" s="190"/>
      <c r="S2701" s="190" t="s">
        <v>847</v>
      </c>
      <c r="T2701" s="43">
        <f t="shared" si="68"/>
        <v>1</v>
      </c>
      <c r="U2701" s="167">
        <f t="shared" si="66"/>
        <v>0</v>
      </c>
      <c r="V2701" s="43"/>
      <c r="W2701" s="43"/>
      <c r="X2701" s="43"/>
      <c r="Y2701" s="43"/>
      <c r="Z2701" s="43"/>
      <c r="AA2701" s="43"/>
      <c r="AB2701" s="43"/>
    </row>
    <row r="2702" spans="1:28" ht="14.25" hidden="1" customHeight="1">
      <c r="A2702" s="190"/>
      <c r="B2702" s="225"/>
      <c r="C2702" s="190"/>
      <c r="D2702" s="190"/>
      <c r="E2702" s="232"/>
      <c r="F2702" s="185"/>
      <c r="G2702" s="185"/>
      <c r="H2702" s="190"/>
      <c r="I2702" s="190"/>
      <c r="J2702" s="190"/>
      <c r="K2702" s="190"/>
      <c r="L2702" s="190"/>
      <c r="M2702" s="190"/>
      <c r="N2702" s="190"/>
      <c r="O2702" s="190"/>
      <c r="P2702" s="190"/>
      <c r="Q2702" s="190"/>
      <c r="R2702" s="190"/>
      <c r="S2702" s="190" t="s">
        <v>1300</v>
      </c>
      <c r="T2702" s="43">
        <f t="shared" si="68"/>
        <v>1</v>
      </c>
      <c r="U2702" s="167">
        <f t="shared" si="66"/>
        <v>0</v>
      </c>
      <c r="V2702" s="43"/>
      <c r="W2702" s="43"/>
      <c r="X2702" s="43"/>
      <c r="Y2702" s="43"/>
      <c r="Z2702" s="43"/>
      <c r="AA2702" s="43"/>
      <c r="AB2702" s="43"/>
    </row>
    <row r="2703" spans="1:28" ht="14.25" hidden="1" customHeight="1">
      <c r="A2703" s="190"/>
      <c r="B2703" s="225"/>
      <c r="C2703" s="190"/>
      <c r="D2703" s="190"/>
      <c r="E2703" s="232"/>
      <c r="F2703" s="191"/>
      <c r="G2703" s="185"/>
      <c r="H2703" s="190"/>
      <c r="I2703" s="190"/>
      <c r="J2703" s="190"/>
      <c r="K2703" s="190"/>
      <c r="L2703" s="190"/>
      <c r="M2703" s="190"/>
      <c r="N2703" s="190"/>
      <c r="O2703" s="190"/>
      <c r="P2703" s="190"/>
      <c r="Q2703" s="190"/>
      <c r="R2703" s="190"/>
      <c r="S2703" s="190"/>
      <c r="T2703" s="43">
        <f t="shared" si="68"/>
        <v>1</v>
      </c>
      <c r="U2703" s="167">
        <f t="shared" si="66"/>
        <v>0</v>
      </c>
      <c r="V2703" s="43"/>
      <c r="W2703" s="43"/>
      <c r="X2703" s="43"/>
      <c r="Y2703" s="43"/>
      <c r="Z2703" s="43"/>
      <c r="AA2703" s="43"/>
      <c r="AB2703" s="43"/>
    </row>
    <row r="2704" spans="1:28" ht="14.25" hidden="1" customHeight="1">
      <c r="A2704" s="190"/>
      <c r="B2704" s="225"/>
      <c r="C2704" s="190"/>
      <c r="D2704" s="190"/>
      <c r="E2704" s="232"/>
      <c r="F2704" s="191"/>
      <c r="G2704" s="185"/>
      <c r="H2704" s="190"/>
      <c r="I2704" s="190"/>
      <c r="J2704" s="190"/>
      <c r="K2704" s="190"/>
      <c r="L2704" s="190"/>
      <c r="M2704" s="190"/>
      <c r="N2704" s="190"/>
      <c r="O2704" s="190"/>
      <c r="P2704" s="190"/>
      <c r="Q2704" s="190"/>
      <c r="R2704" s="190"/>
      <c r="S2704" s="190" t="s">
        <v>1221</v>
      </c>
      <c r="T2704" s="43">
        <f t="shared" si="68"/>
        <v>1</v>
      </c>
      <c r="U2704" s="167">
        <f t="shared" si="66"/>
        <v>0</v>
      </c>
      <c r="V2704" s="43"/>
      <c r="W2704" s="43"/>
      <c r="X2704" s="43"/>
      <c r="Y2704" s="43"/>
      <c r="Z2704" s="43"/>
      <c r="AA2704" s="43"/>
      <c r="AB2704" s="43"/>
    </row>
    <row r="2705" spans="1:28" ht="14.25" hidden="1" customHeight="1">
      <c r="A2705" s="190"/>
      <c r="B2705" s="225"/>
      <c r="C2705" s="190"/>
      <c r="D2705" s="190"/>
      <c r="E2705" s="232"/>
      <c r="F2705" s="185"/>
      <c r="G2705" s="185"/>
      <c r="H2705" s="190"/>
      <c r="I2705" s="190"/>
      <c r="J2705" s="190"/>
      <c r="K2705" s="190"/>
      <c r="L2705" s="190"/>
      <c r="M2705" s="190"/>
      <c r="N2705" s="190"/>
      <c r="O2705" s="190"/>
      <c r="P2705" s="190"/>
      <c r="Q2705" s="190"/>
      <c r="R2705" s="190"/>
      <c r="S2705" s="190" t="s">
        <v>1325</v>
      </c>
      <c r="T2705" s="43">
        <f t="shared" si="68"/>
        <v>1</v>
      </c>
      <c r="U2705" s="167">
        <f t="shared" si="66"/>
        <v>0</v>
      </c>
      <c r="V2705" s="43"/>
      <c r="W2705" s="43"/>
      <c r="X2705" s="43"/>
      <c r="Y2705" s="43"/>
      <c r="Z2705" s="43"/>
      <c r="AA2705" s="43"/>
      <c r="AB2705" s="43"/>
    </row>
    <row r="2706" spans="1:28" ht="14.25" hidden="1" customHeight="1">
      <c r="A2706" s="190"/>
      <c r="B2706" s="225"/>
      <c r="C2706" s="190"/>
      <c r="D2706" s="190"/>
      <c r="E2706" s="232"/>
      <c r="F2706" s="185"/>
      <c r="G2706" s="185"/>
      <c r="H2706" s="190"/>
      <c r="I2706" s="190"/>
      <c r="J2706" s="190"/>
      <c r="K2706" s="190"/>
      <c r="L2706" s="190"/>
      <c r="M2706" s="190"/>
      <c r="N2706" s="190"/>
      <c r="O2706" s="190"/>
      <c r="P2706" s="190"/>
      <c r="Q2706" s="190"/>
      <c r="R2706" s="190"/>
      <c r="S2706" s="190" t="s">
        <v>991</v>
      </c>
      <c r="T2706" s="43">
        <f t="shared" si="68"/>
        <v>1</v>
      </c>
      <c r="U2706" s="167">
        <f t="shared" si="66"/>
        <v>0</v>
      </c>
      <c r="V2706" s="43"/>
      <c r="W2706" s="43"/>
      <c r="X2706" s="43"/>
      <c r="Y2706" s="43"/>
      <c r="Z2706" s="43"/>
      <c r="AA2706" s="43"/>
      <c r="AB2706" s="43"/>
    </row>
    <row r="2707" spans="1:28" ht="14.25" hidden="1" customHeight="1">
      <c r="A2707" s="190"/>
      <c r="B2707" s="225"/>
      <c r="C2707" s="190"/>
      <c r="D2707" s="190"/>
      <c r="E2707" s="232"/>
      <c r="F2707" s="185"/>
      <c r="G2707" s="185"/>
      <c r="H2707" s="190"/>
      <c r="I2707" s="190"/>
      <c r="J2707" s="190"/>
      <c r="K2707" s="190"/>
      <c r="L2707" s="190"/>
      <c r="M2707" s="190"/>
      <c r="N2707" s="190"/>
      <c r="O2707" s="190"/>
      <c r="P2707" s="190"/>
      <c r="Q2707" s="190"/>
      <c r="R2707" s="190"/>
      <c r="S2707" s="190"/>
      <c r="T2707" s="43">
        <f t="shared" si="68"/>
        <v>1</v>
      </c>
      <c r="U2707" s="167">
        <f t="shared" si="66"/>
        <v>0</v>
      </c>
      <c r="V2707" s="43"/>
      <c r="W2707" s="43"/>
      <c r="X2707" s="43"/>
      <c r="Y2707" s="43"/>
      <c r="Z2707" s="43"/>
      <c r="AA2707" s="43"/>
      <c r="AB2707" s="43"/>
    </row>
    <row r="2708" spans="1:28" ht="14.25" hidden="1" customHeight="1">
      <c r="A2708" s="190"/>
      <c r="B2708" s="225"/>
      <c r="C2708" s="190"/>
      <c r="D2708" s="190"/>
      <c r="E2708" s="232"/>
      <c r="F2708" s="185"/>
      <c r="G2708" s="185"/>
      <c r="H2708" s="190"/>
      <c r="I2708" s="190"/>
      <c r="J2708" s="190"/>
      <c r="K2708" s="190"/>
      <c r="L2708" s="190"/>
      <c r="M2708" s="190"/>
      <c r="N2708" s="190"/>
      <c r="O2708" s="190"/>
      <c r="P2708" s="190"/>
      <c r="Q2708" s="190"/>
      <c r="R2708" s="190"/>
      <c r="S2708" s="190" t="s">
        <v>1036</v>
      </c>
      <c r="T2708" s="43">
        <f t="shared" si="68"/>
        <v>1</v>
      </c>
      <c r="U2708" s="167">
        <f t="shared" si="66"/>
        <v>0</v>
      </c>
      <c r="V2708" s="43"/>
      <c r="W2708" s="43"/>
      <c r="X2708" s="43"/>
      <c r="Y2708" s="43"/>
      <c r="Z2708" s="43"/>
      <c r="AA2708" s="43"/>
      <c r="AB2708" s="43"/>
    </row>
    <row r="2709" spans="1:28" ht="14.25" hidden="1" customHeight="1">
      <c r="A2709" s="190"/>
      <c r="B2709" s="225"/>
      <c r="C2709" s="190"/>
      <c r="D2709" s="190"/>
      <c r="E2709" s="232"/>
      <c r="F2709" s="185"/>
      <c r="G2709" s="185"/>
      <c r="H2709" s="190"/>
      <c r="I2709" s="190"/>
      <c r="J2709" s="190"/>
      <c r="K2709" s="190"/>
      <c r="L2709" s="190"/>
      <c r="M2709" s="190"/>
      <c r="N2709" s="190"/>
      <c r="O2709" s="190"/>
      <c r="P2709" s="190"/>
      <c r="Q2709" s="190"/>
      <c r="R2709" s="190"/>
      <c r="S2709" s="190" t="s">
        <v>1395</v>
      </c>
      <c r="T2709" s="43">
        <f t="shared" si="68"/>
        <v>1</v>
      </c>
      <c r="U2709" s="167">
        <f t="shared" si="66"/>
        <v>0</v>
      </c>
      <c r="V2709" s="43"/>
      <c r="W2709" s="43"/>
      <c r="X2709" s="43"/>
      <c r="Y2709" s="43"/>
      <c r="Z2709" s="43"/>
      <c r="AA2709" s="43"/>
      <c r="AB2709" s="43"/>
    </row>
    <row r="2710" spans="1:28" ht="14.25" hidden="1" customHeight="1">
      <c r="A2710" s="190"/>
      <c r="B2710" s="225"/>
      <c r="C2710" s="190"/>
      <c r="D2710" s="190"/>
      <c r="E2710" s="232"/>
      <c r="F2710" s="191"/>
      <c r="G2710" s="185"/>
      <c r="H2710" s="190"/>
      <c r="I2710" s="190"/>
      <c r="J2710" s="190"/>
      <c r="K2710" s="190"/>
      <c r="L2710" s="190"/>
      <c r="M2710" s="190"/>
      <c r="N2710" s="190"/>
      <c r="O2710" s="190"/>
      <c r="P2710" s="190"/>
      <c r="Q2710" s="190"/>
      <c r="R2710" s="190"/>
      <c r="S2710" s="190"/>
      <c r="T2710" s="43">
        <f t="shared" si="68"/>
        <v>1</v>
      </c>
      <c r="U2710" s="167">
        <f t="shared" si="66"/>
        <v>0</v>
      </c>
      <c r="V2710" s="43"/>
      <c r="W2710" s="43"/>
      <c r="X2710" s="43"/>
      <c r="Y2710" s="43"/>
      <c r="Z2710" s="43"/>
      <c r="AA2710" s="43"/>
      <c r="AB2710" s="43"/>
    </row>
    <row r="2711" spans="1:28" ht="14.25" hidden="1" customHeight="1">
      <c r="A2711" s="190"/>
      <c r="B2711" s="225"/>
      <c r="C2711" s="190"/>
      <c r="D2711" s="190"/>
      <c r="E2711" s="232"/>
      <c r="F2711" s="191"/>
      <c r="G2711" s="185"/>
      <c r="H2711" s="190"/>
      <c r="I2711" s="190"/>
      <c r="J2711" s="190"/>
      <c r="K2711" s="190"/>
      <c r="L2711" s="190"/>
      <c r="M2711" s="190"/>
      <c r="N2711" s="190"/>
      <c r="O2711" s="190"/>
      <c r="P2711" s="190"/>
      <c r="Q2711" s="190"/>
      <c r="R2711" s="190"/>
      <c r="S2711" s="190" t="s">
        <v>1238</v>
      </c>
      <c r="T2711" s="43">
        <f t="shared" si="68"/>
        <v>1</v>
      </c>
      <c r="U2711" s="167">
        <f t="shared" si="66"/>
        <v>0</v>
      </c>
      <c r="V2711" s="43"/>
      <c r="W2711" s="43"/>
      <c r="X2711" s="43"/>
      <c r="Y2711" s="43"/>
      <c r="Z2711" s="43"/>
      <c r="AA2711" s="43"/>
      <c r="AB2711" s="43"/>
    </row>
    <row r="2712" spans="1:28" ht="14.25" hidden="1" customHeight="1">
      <c r="A2712" s="190"/>
      <c r="B2712" s="225"/>
      <c r="C2712" s="190"/>
      <c r="D2712" s="190"/>
      <c r="E2712" s="232"/>
      <c r="F2712" s="191"/>
      <c r="G2712" s="185"/>
      <c r="H2712" s="190"/>
      <c r="I2712" s="190"/>
      <c r="J2712" s="190"/>
      <c r="K2712" s="190"/>
      <c r="L2712" s="190"/>
      <c r="M2712" s="190"/>
      <c r="N2712" s="190"/>
      <c r="O2712" s="190"/>
      <c r="P2712" s="190"/>
      <c r="Q2712" s="190"/>
      <c r="R2712" s="190"/>
      <c r="S2712" s="190" t="s">
        <v>1634</v>
      </c>
      <c r="T2712" s="43">
        <f t="shared" si="68"/>
        <v>1</v>
      </c>
      <c r="U2712" s="167">
        <f t="shared" si="66"/>
        <v>0</v>
      </c>
      <c r="V2712" s="43"/>
      <c r="W2712" s="43"/>
      <c r="X2712" s="43"/>
      <c r="Y2712" s="43"/>
      <c r="Z2712" s="43"/>
      <c r="AA2712" s="43"/>
      <c r="AB2712" s="43"/>
    </row>
    <row r="2713" spans="1:28" ht="14.25" hidden="1" customHeight="1">
      <c r="A2713" s="190"/>
      <c r="B2713" s="225"/>
      <c r="C2713" s="190"/>
      <c r="D2713" s="190"/>
      <c r="E2713" s="232"/>
      <c r="F2713" s="185"/>
      <c r="G2713" s="185"/>
      <c r="H2713" s="190"/>
      <c r="I2713" s="190"/>
      <c r="J2713" s="190"/>
      <c r="K2713" s="190"/>
      <c r="L2713" s="190"/>
      <c r="M2713" s="190"/>
      <c r="N2713" s="190"/>
      <c r="O2713" s="190"/>
      <c r="P2713" s="190"/>
      <c r="Q2713" s="190"/>
      <c r="R2713" s="190"/>
      <c r="S2713" s="190" t="s">
        <v>323</v>
      </c>
      <c r="T2713" s="43">
        <f t="shared" si="68"/>
        <v>1</v>
      </c>
      <c r="U2713" s="167">
        <f t="shared" si="66"/>
        <v>0</v>
      </c>
      <c r="V2713" s="43"/>
      <c r="W2713" s="43"/>
      <c r="X2713" s="43"/>
      <c r="Y2713" s="43"/>
      <c r="Z2713" s="43"/>
      <c r="AA2713" s="43"/>
      <c r="AB2713" s="43"/>
    </row>
    <row r="2714" spans="1:28" ht="14.25" hidden="1" customHeight="1">
      <c r="A2714" s="190"/>
      <c r="B2714" s="225"/>
      <c r="C2714" s="190"/>
      <c r="D2714" s="190"/>
      <c r="E2714" s="232"/>
      <c r="F2714" s="185"/>
      <c r="G2714" s="185"/>
      <c r="H2714" s="190"/>
      <c r="I2714" s="190"/>
      <c r="J2714" s="190"/>
      <c r="K2714" s="190"/>
      <c r="L2714" s="190"/>
      <c r="M2714" s="190"/>
      <c r="N2714" s="190"/>
      <c r="O2714" s="190"/>
      <c r="P2714" s="190"/>
      <c r="Q2714" s="190"/>
      <c r="R2714" s="190"/>
      <c r="S2714" s="190" t="s">
        <v>449</v>
      </c>
      <c r="T2714" s="43">
        <f t="shared" si="68"/>
        <v>1</v>
      </c>
      <c r="U2714" s="167">
        <f t="shared" si="66"/>
        <v>0</v>
      </c>
      <c r="V2714" s="43"/>
      <c r="W2714" s="43"/>
      <c r="X2714" s="43"/>
      <c r="Y2714" s="43"/>
      <c r="Z2714" s="43"/>
      <c r="AA2714" s="43"/>
      <c r="AB2714" s="43"/>
    </row>
    <row r="2715" spans="1:28" ht="14.25" hidden="1" customHeight="1">
      <c r="A2715" s="190"/>
      <c r="B2715" s="225"/>
      <c r="C2715" s="190"/>
      <c r="D2715" s="190"/>
      <c r="E2715" s="232"/>
      <c r="F2715" s="185"/>
      <c r="G2715" s="185"/>
      <c r="H2715" s="190"/>
      <c r="I2715" s="190"/>
      <c r="J2715" s="190"/>
      <c r="K2715" s="190"/>
      <c r="L2715" s="190"/>
      <c r="M2715" s="190"/>
      <c r="N2715" s="190"/>
      <c r="O2715" s="190"/>
      <c r="P2715" s="190"/>
      <c r="Q2715" s="190"/>
      <c r="R2715" s="190"/>
      <c r="S2715" s="190" t="s">
        <v>453</v>
      </c>
      <c r="T2715" s="43">
        <f t="shared" si="68"/>
        <v>1</v>
      </c>
      <c r="U2715" s="167">
        <f t="shared" si="66"/>
        <v>0</v>
      </c>
      <c r="V2715" s="43"/>
      <c r="W2715" s="43"/>
      <c r="X2715" s="43"/>
      <c r="Y2715" s="43"/>
      <c r="Z2715" s="43"/>
      <c r="AA2715" s="43"/>
      <c r="AB2715" s="43"/>
    </row>
    <row r="2716" spans="1:28" ht="14.25" hidden="1" customHeight="1">
      <c r="A2716" s="190"/>
      <c r="B2716" s="225"/>
      <c r="C2716" s="190"/>
      <c r="D2716" s="190"/>
      <c r="E2716" s="232"/>
      <c r="F2716" s="185"/>
      <c r="G2716" s="185"/>
      <c r="H2716" s="190"/>
      <c r="I2716" s="190"/>
      <c r="J2716" s="190"/>
      <c r="K2716" s="190"/>
      <c r="L2716" s="190"/>
      <c r="M2716" s="190"/>
      <c r="N2716" s="190"/>
      <c r="O2716" s="190"/>
      <c r="P2716" s="190"/>
      <c r="Q2716" s="190"/>
      <c r="R2716" s="190"/>
      <c r="S2716" s="190" t="s">
        <v>465</v>
      </c>
      <c r="T2716" s="43">
        <f t="shared" si="68"/>
        <v>1</v>
      </c>
      <c r="U2716" s="167">
        <f t="shared" si="66"/>
        <v>0</v>
      </c>
      <c r="V2716" s="43"/>
      <c r="W2716" s="43"/>
      <c r="X2716" s="43"/>
      <c r="Y2716" s="43"/>
      <c r="Z2716" s="43"/>
      <c r="AA2716" s="43"/>
      <c r="AB2716" s="43"/>
    </row>
    <row r="2717" spans="1:28" ht="14.25" hidden="1" customHeight="1">
      <c r="A2717" s="190"/>
      <c r="B2717" s="225"/>
      <c r="C2717" s="190"/>
      <c r="D2717" s="190"/>
      <c r="E2717" s="232"/>
      <c r="F2717" s="185"/>
      <c r="G2717" s="185"/>
      <c r="H2717" s="190"/>
      <c r="I2717" s="190"/>
      <c r="J2717" s="190"/>
      <c r="K2717" s="190"/>
      <c r="L2717" s="190"/>
      <c r="M2717" s="190"/>
      <c r="N2717" s="190"/>
      <c r="O2717" s="190"/>
      <c r="P2717" s="190"/>
      <c r="Q2717" s="190"/>
      <c r="R2717" s="190"/>
      <c r="S2717" s="190" t="s">
        <v>471</v>
      </c>
      <c r="T2717" s="43">
        <f t="shared" si="68"/>
        <v>1</v>
      </c>
      <c r="U2717" s="167">
        <f t="shared" si="66"/>
        <v>0</v>
      </c>
      <c r="V2717" s="43"/>
      <c r="W2717" s="43"/>
      <c r="X2717" s="43"/>
      <c r="Y2717" s="43"/>
      <c r="Z2717" s="43"/>
      <c r="AA2717" s="43"/>
      <c r="AB2717" s="43"/>
    </row>
    <row r="2718" spans="1:28" ht="14.25" hidden="1" customHeight="1">
      <c r="A2718" s="190"/>
      <c r="B2718" s="225"/>
      <c r="C2718" s="190"/>
      <c r="D2718" s="190"/>
      <c r="E2718" s="232"/>
      <c r="F2718" s="185"/>
      <c r="G2718" s="185"/>
      <c r="H2718" s="190"/>
      <c r="I2718" s="190"/>
      <c r="J2718" s="190"/>
      <c r="K2718" s="190"/>
      <c r="L2718" s="190"/>
      <c r="M2718" s="190"/>
      <c r="N2718" s="190"/>
      <c r="O2718" s="190"/>
      <c r="P2718" s="190"/>
      <c r="Q2718" s="190"/>
      <c r="R2718" s="190"/>
      <c r="S2718" s="190" t="s">
        <v>361</v>
      </c>
      <c r="T2718" s="43">
        <f t="shared" si="68"/>
        <v>1</v>
      </c>
      <c r="U2718" s="167">
        <f t="shared" si="66"/>
        <v>0</v>
      </c>
      <c r="V2718" s="43"/>
      <c r="W2718" s="43"/>
      <c r="X2718" s="43"/>
      <c r="Y2718" s="43"/>
      <c r="Z2718" s="43"/>
      <c r="AA2718" s="43"/>
      <c r="AB2718" s="43"/>
    </row>
    <row r="2719" spans="1:28" ht="14.25" hidden="1" customHeight="1">
      <c r="A2719" s="190"/>
      <c r="B2719" s="225"/>
      <c r="C2719" s="190"/>
      <c r="D2719" s="190"/>
      <c r="E2719" s="232"/>
      <c r="F2719" s="185"/>
      <c r="G2719" s="185"/>
      <c r="H2719" s="190"/>
      <c r="I2719" s="190"/>
      <c r="J2719" s="190"/>
      <c r="K2719" s="190"/>
      <c r="L2719" s="190"/>
      <c r="M2719" s="190"/>
      <c r="N2719" s="190"/>
      <c r="O2719" s="190"/>
      <c r="P2719" s="190"/>
      <c r="Q2719" s="190"/>
      <c r="R2719" s="190"/>
      <c r="S2719" s="190"/>
      <c r="T2719" s="43">
        <f t="shared" si="68"/>
        <v>1</v>
      </c>
      <c r="U2719" s="167">
        <f t="shared" si="66"/>
        <v>0</v>
      </c>
      <c r="V2719" s="43"/>
      <c r="W2719" s="43"/>
      <c r="X2719" s="43"/>
      <c r="Y2719" s="43"/>
      <c r="Z2719" s="43"/>
      <c r="AA2719" s="43"/>
      <c r="AB2719" s="43"/>
    </row>
    <row r="2720" spans="1:28" ht="14.25" hidden="1" customHeight="1">
      <c r="A2720" s="298"/>
      <c r="B2720" s="299"/>
      <c r="C2720" s="298"/>
      <c r="D2720" s="298"/>
      <c r="E2720" s="300"/>
      <c r="F2720" s="301"/>
      <c r="G2720" s="301"/>
      <c r="H2720" s="298"/>
      <c r="I2720" s="298"/>
      <c r="J2720" s="298"/>
      <c r="K2720" s="298"/>
      <c r="L2720" s="298"/>
      <c r="M2720" s="298"/>
      <c r="N2720" s="298"/>
      <c r="O2720" s="298"/>
      <c r="P2720" s="298"/>
      <c r="Q2720" s="298"/>
      <c r="R2720" s="298"/>
      <c r="S2720" s="298" t="s">
        <v>1809</v>
      </c>
      <c r="T2720" s="177">
        <f t="shared" si="68"/>
        <v>1</v>
      </c>
      <c r="U2720" s="179">
        <f t="shared" si="66"/>
        <v>0</v>
      </c>
      <c r="V2720" s="177"/>
      <c r="W2720" s="177"/>
      <c r="X2720" s="177"/>
      <c r="Y2720" s="177"/>
      <c r="Z2720" s="177"/>
      <c r="AA2720" s="177"/>
      <c r="AB2720" s="177"/>
    </row>
    <row r="2721" spans="1:28" ht="14.25" hidden="1" customHeight="1">
      <c r="A2721" s="190"/>
      <c r="B2721" s="225"/>
      <c r="C2721" s="190"/>
      <c r="D2721" s="190"/>
      <c r="E2721" s="232"/>
      <c r="F2721" s="185"/>
      <c r="G2721" s="185"/>
      <c r="H2721" s="190"/>
      <c r="I2721" s="190"/>
      <c r="J2721" s="190"/>
      <c r="K2721" s="190"/>
      <c r="L2721" s="190"/>
      <c r="M2721" s="190"/>
      <c r="N2721" s="190"/>
      <c r="O2721" s="190"/>
      <c r="P2721" s="190"/>
      <c r="Q2721" s="190"/>
      <c r="R2721" s="190"/>
      <c r="S2721" s="190" t="s">
        <v>438</v>
      </c>
      <c r="T2721" s="43">
        <f t="shared" si="68"/>
        <v>1</v>
      </c>
      <c r="U2721" s="167">
        <f t="shared" si="66"/>
        <v>0</v>
      </c>
      <c r="V2721" s="43"/>
      <c r="W2721" s="43"/>
      <c r="X2721" s="43"/>
      <c r="Y2721" s="43"/>
      <c r="Z2721" s="43"/>
      <c r="AA2721" s="43"/>
      <c r="AB2721" s="43"/>
    </row>
    <row r="2722" spans="1:28" ht="14.25" hidden="1" customHeight="1">
      <c r="A2722" s="190"/>
      <c r="B2722" s="225"/>
      <c r="C2722" s="190"/>
      <c r="D2722" s="190"/>
      <c r="E2722" s="232"/>
      <c r="F2722" s="185"/>
      <c r="G2722" s="185"/>
      <c r="H2722" s="190"/>
      <c r="I2722" s="190"/>
      <c r="J2722" s="190"/>
      <c r="K2722" s="190"/>
      <c r="L2722" s="190"/>
      <c r="M2722" s="190"/>
      <c r="N2722" s="190"/>
      <c r="O2722" s="190"/>
      <c r="P2722" s="190"/>
      <c r="Q2722" s="190"/>
      <c r="R2722" s="190"/>
      <c r="S2722" s="190" t="s">
        <v>1291</v>
      </c>
      <c r="T2722" s="43">
        <f t="shared" si="68"/>
        <v>1</v>
      </c>
      <c r="U2722" s="167">
        <f t="shared" si="66"/>
        <v>0</v>
      </c>
      <c r="V2722" s="43"/>
      <c r="W2722" s="43"/>
      <c r="X2722" s="43"/>
      <c r="Y2722" s="43"/>
      <c r="Z2722" s="43"/>
      <c r="AA2722" s="43"/>
      <c r="AB2722" s="43"/>
    </row>
    <row r="2723" spans="1:28" ht="14.25" hidden="1" customHeight="1">
      <c r="A2723" s="190"/>
      <c r="B2723" s="225"/>
      <c r="C2723" s="190"/>
      <c r="D2723" s="190"/>
      <c r="E2723" s="232"/>
      <c r="F2723" s="185"/>
      <c r="G2723" s="185"/>
      <c r="H2723" s="190"/>
      <c r="I2723" s="190"/>
      <c r="J2723" s="190"/>
      <c r="K2723" s="190"/>
      <c r="L2723" s="190"/>
      <c r="M2723" s="190"/>
      <c r="N2723" s="190"/>
      <c r="O2723" s="190"/>
      <c r="P2723" s="190"/>
      <c r="Q2723" s="190"/>
      <c r="R2723" s="190"/>
      <c r="S2723" s="190" t="s">
        <v>468</v>
      </c>
      <c r="T2723" s="43">
        <f t="shared" si="68"/>
        <v>1</v>
      </c>
      <c r="U2723" s="167">
        <f t="shared" si="66"/>
        <v>0</v>
      </c>
      <c r="V2723" s="43"/>
      <c r="W2723" s="43"/>
      <c r="X2723" s="43"/>
      <c r="Y2723" s="43"/>
      <c r="Z2723" s="43"/>
      <c r="AA2723" s="43"/>
      <c r="AB2723" s="43"/>
    </row>
    <row r="2724" spans="1:28" ht="14.25" hidden="1" customHeight="1">
      <c r="A2724" s="190"/>
      <c r="B2724" s="225"/>
      <c r="C2724" s="190"/>
      <c r="D2724" s="190"/>
      <c r="E2724" s="232"/>
      <c r="F2724" s="185"/>
      <c r="G2724" s="185"/>
      <c r="H2724" s="190"/>
      <c r="I2724" s="190"/>
      <c r="J2724" s="190"/>
      <c r="K2724" s="190"/>
      <c r="L2724" s="190"/>
      <c r="M2724" s="190"/>
      <c r="N2724" s="190"/>
      <c r="O2724" s="190"/>
      <c r="P2724" s="190"/>
      <c r="Q2724" s="190"/>
      <c r="R2724" s="190"/>
      <c r="S2724" s="190" t="s">
        <v>503</v>
      </c>
      <c r="T2724" s="43">
        <f t="shared" si="68"/>
        <v>1</v>
      </c>
      <c r="U2724" s="167">
        <f t="shared" si="66"/>
        <v>0</v>
      </c>
      <c r="V2724" s="43"/>
      <c r="W2724" s="43"/>
      <c r="X2724" s="43"/>
      <c r="Y2724" s="43"/>
      <c r="Z2724" s="43"/>
      <c r="AA2724" s="43"/>
      <c r="AB2724" s="43"/>
    </row>
    <row r="2725" spans="1:28" ht="14.25" hidden="1" customHeight="1">
      <c r="A2725" s="190"/>
      <c r="B2725" s="225"/>
      <c r="C2725" s="190"/>
      <c r="D2725" s="190"/>
      <c r="E2725" s="232"/>
      <c r="F2725" s="185"/>
      <c r="G2725" s="185"/>
      <c r="H2725" s="190"/>
      <c r="I2725" s="190"/>
      <c r="J2725" s="190"/>
      <c r="K2725" s="190"/>
      <c r="L2725" s="190"/>
      <c r="M2725" s="190"/>
      <c r="N2725" s="190"/>
      <c r="O2725" s="190"/>
      <c r="P2725" s="190"/>
      <c r="Q2725" s="190"/>
      <c r="R2725" s="190"/>
      <c r="S2725" s="190" t="s">
        <v>507</v>
      </c>
      <c r="T2725" s="43">
        <f t="shared" si="68"/>
        <v>1</v>
      </c>
      <c r="U2725" s="167">
        <f t="shared" si="66"/>
        <v>0</v>
      </c>
      <c r="V2725" s="43"/>
      <c r="W2725" s="43"/>
      <c r="X2725" s="43"/>
      <c r="Y2725" s="43"/>
      <c r="Z2725" s="43"/>
      <c r="AA2725" s="43"/>
      <c r="AB2725" s="43"/>
    </row>
    <row r="2726" spans="1:28" ht="14.25" hidden="1" customHeight="1">
      <c r="A2726" s="190"/>
      <c r="B2726" s="225"/>
      <c r="C2726" s="190"/>
      <c r="D2726" s="190"/>
      <c r="E2726" s="232"/>
      <c r="F2726" s="185"/>
      <c r="G2726" s="185"/>
      <c r="H2726" s="190"/>
      <c r="I2726" s="190"/>
      <c r="J2726" s="190"/>
      <c r="K2726" s="190"/>
      <c r="L2726" s="190"/>
      <c r="M2726" s="190"/>
      <c r="N2726" s="190"/>
      <c r="O2726" s="190"/>
      <c r="P2726" s="190"/>
      <c r="Q2726" s="190"/>
      <c r="R2726" s="190"/>
      <c r="S2726" s="190" t="s">
        <v>982</v>
      </c>
      <c r="T2726" s="43">
        <f t="shared" si="68"/>
        <v>1</v>
      </c>
      <c r="U2726" s="167">
        <f t="shared" si="66"/>
        <v>0</v>
      </c>
      <c r="V2726" s="43"/>
      <c r="W2726" s="43"/>
      <c r="X2726" s="43"/>
      <c r="Y2726" s="43"/>
      <c r="Z2726" s="43"/>
      <c r="AA2726" s="43"/>
      <c r="AB2726" s="43"/>
    </row>
    <row r="2727" spans="1:28" ht="14.25" hidden="1" customHeight="1">
      <c r="A2727" s="190"/>
      <c r="B2727" s="225"/>
      <c r="C2727" s="190"/>
      <c r="D2727" s="190"/>
      <c r="E2727" s="232"/>
      <c r="F2727" s="185"/>
      <c r="G2727" s="185"/>
      <c r="H2727" s="190"/>
      <c r="I2727" s="190"/>
      <c r="J2727" s="190"/>
      <c r="K2727" s="190"/>
      <c r="L2727" s="190"/>
      <c r="M2727" s="190"/>
      <c r="N2727" s="190"/>
      <c r="O2727" s="190"/>
      <c r="P2727" s="190"/>
      <c r="Q2727" s="190"/>
      <c r="R2727" s="190"/>
      <c r="S2727" s="190" t="s">
        <v>487</v>
      </c>
      <c r="T2727" s="43">
        <f t="shared" si="68"/>
        <v>1</v>
      </c>
      <c r="U2727" s="167">
        <f t="shared" si="66"/>
        <v>0</v>
      </c>
      <c r="V2727" s="43"/>
      <c r="W2727" s="43"/>
      <c r="X2727" s="43"/>
      <c r="Y2727" s="43"/>
      <c r="Z2727" s="43"/>
      <c r="AA2727" s="43"/>
      <c r="AB2727" s="43"/>
    </row>
    <row r="2728" spans="1:28" ht="14.25" hidden="1" customHeight="1">
      <c r="A2728" s="190"/>
      <c r="B2728" s="225"/>
      <c r="C2728" s="190"/>
      <c r="D2728" s="190"/>
      <c r="E2728" s="232"/>
      <c r="F2728" s="185"/>
      <c r="G2728" s="185"/>
      <c r="H2728" s="190"/>
      <c r="I2728" s="190"/>
      <c r="J2728" s="190"/>
      <c r="K2728" s="190"/>
      <c r="L2728" s="190"/>
      <c r="M2728" s="190"/>
      <c r="N2728" s="190"/>
      <c r="O2728" s="190"/>
      <c r="P2728" s="190"/>
      <c r="Q2728" s="190"/>
      <c r="R2728" s="190"/>
      <c r="S2728" s="190" t="s">
        <v>487</v>
      </c>
      <c r="T2728" s="43">
        <f t="shared" si="68"/>
        <v>1</v>
      </c>
      <c r="U2728" s="167">
        <f t="shared" si="66"/>
        <v>0</v>
      </c>
      <c r="V2728" s="43"/>
      <c r="W2728" s="43"/>
      <c r="X2728" s="43"/>
      <c r="Y2728" s="43"/>
      <c r="Z2728" s="43"/>
      <c r="AA2728" s="43"/>
      <c r="AB2728" s="43"/>
    </row>
    <row r="2729" spans="1:28" ht="14.25" hidden="1" customHeight="1">
      <c r="A2729" s="190"/>
      <c r="B2729" s="225"/>
      <c r="C2729" s="190"/>
      <c r="D2729" s="190"/>
      <c r="E2729" s="232"/>
      <c r="F2729" s="185"/>
      <c r="G2729" s="185"/>
      <c r="H2729" s="190"/>
      <c r="I2729" s="190"/>
      <c r="J2729" s="190"/>
      <c r="K2729" s="190"/>
      <c r="L2729" s="190"/>
      <c r="M2729" s="190"/>
      <c r="N2729" s="190"/>
      <c r="O2729" s="190"/>
      <c r="P2729" s="190"/>
      <c r="Q2729" s="190"/>
      <c r="R2729" s="190"/>
      <c r="S2729" s="190" t="s">
        <v>1012</v>
      </c>
      <c r="T2729" s="43">
        <f t="shared" si="68"/>
        <v>1</v>
      </c>
      <c r="U2729" s="167">
        <f t="shared" si="66"/>
        <v>0</v>
      </c>
      <c r="V2729" s="43"/>
      <c r="W2729" s="43"/>
      <c r="X2729" s="43"/>
      <c r="Y2729" s="43"/>
      <c r="Z2729" s="43"/>
      <c r="AA2729" s="43"/>
      <c r="AB2729" s="43"/>
    </row>
    <row r="2730" spans="1:28" ht="14.25" hidden="1" customHeight="1">
      <c r="A2730" s="190"/>
      <c r="B2730" s="225"/>
      <c r="C2730" s="190"/>
      <c r="D2730" s="190"/>
      <c r="E2730" s="232"/>
      <c r="F2730" s="191"/>
      <c r="G2730" s="185"/>
      <c r="H2730" s="190"/>
      <c r="I2730" s="190"/>
      <c r="J2730" s="190"/>
      <c r="K2730" s="190"/>
      <c r="L2730" s="190"/>
      <c r="M2730" s="190"/>
      <c r="N2730" s="190"/>
      <c r="O2730" s="190"/>
      <c r="P2730" s="190"/>
      <c r="Q2730" s="190"/>
      <c r="R2730" s="190"/>
      <c r="S2730" s="190"/>
      <c r="T2730" s="43">
        <f t="shared" si="68"/>
        <v>1</v>
      </c>
      <c r="U2730" s="167">
        <f t="shared" si="66"/>
        <v>0</v>
      </c>
      <c r="V2730" s="43"/>
      <c r="W2730" s="43"/>
      <c r="X2730" s="43"/>
      <c r="Y2730" s="43"/>
      <c r="Z2730" s="43"/>
      <c r="AA2730" s="43"/>
      <c r="AB2730" s="43"/>
    </row>
    <row r="2731" spans="1:28" ht="14.25" hidden="1" customHeight="1">
      <c r="A2731" s="190"/>
      <c r="B2731" s="225"/>
      <c r="C2731" s="190"/>
      <c r="D2731" s="190"/>
      <c r="E2731" s="232"/>
      <c r="F2731" s="185"/>
      <c r="G2731" s="185"/>
      <c r="H2731" s="190"/>
      <c r="I2731" s="190"/>
      <c r="J2731" s="190"/>
      <c r="K2731" s="190"/>
      <c r="L2731" s="190"/>
      <c r="M2731" s="190"/>
      <c r="N2731" s="190"/>
      <c r="O2731" s="190"/>
      <c r="P2731" s="190"/>
      <c r="Q2731" s="190"/>
      <c r="R2731" s="190"/>
      <c r="S2731" s="190" t="s">
        <v>345</v>
      </c>
      <c r="T2731" s="43">
        <f t="shared" si="68"/>
        <v>1</v>
      </c>
      <c r="U2731" s="167">
        <f t="shared" si="66"/>
        <v>0</v>
      </c>
      <c r="V2731" s="43"/>
      <c r="W2731" s="43"/>
      <c r="X2731" s="43"/>
      <c r="Y2731" s="43"/>
      <c r="Z2731" s="43"/>
      <c r="AA2731" s="43"/>
      <c r="AB2731" s="43"/>
    </row>
    <row r="2732" spans="1:28" ht="14.25" hidden="1" customHeight="1">
      <c r="A2732" s="190"/>
      <c r="B2732" s="225"/>
      <c r="C2732" s="190"/>
      <c r="D2732" s="190"/>
      <c r="E2732" s="232"/>
      <c r="F2732" s="185"/>
      <c r="G2732" s="185"/>
      <c r="H2732" s="190"/>
      <c r="I2732" s="190"/>
      <c r="J2732" s="190"/>
      <c r="K2732" s="190"/>
      <c r="L2732" s="190"/>
      <c r="M2732" s="190"/>
      <c r="N2732" s="190"/>
      <c r="O2732" s="190"/>
      <c r="P2732" s="190"/>
      <c r="Q2732" s="190"/>
      <c r="R2732" s="190"/>
      <c r="S2732" s="190" t="s">
        <v>1016</v>
      </c>
      <c r="T2732" s="43">
        <f t="shared" si="68"/>
        <v>1</v>
      </c>
      <c r="U2732" s="167">
        <f t="shared" si="66"/>
        <v>0</v>
      </c>
      <c r="V2732" s="43"/>
      <c r="W2732" s="43"/>
      <c r="X2732" s="43"/>
      <c r="Y2732" s="43"/>
      <c r="Z2732" s="43"/>
      <c r="AA2732" s="43"/>
      <c r="AB2732" s="43"/>
    </row>
    <row r="2733" spans="1:28" ht="14.25" hidden="1" customHeight="1">
      <c r="A2733" s="190"/>
      <c r="B2733" s="225"/>
      <c r="C2733" s="190"/>
      <c r="D2733" s="190"/>
      <c r="E2733" s="232"/>
      <c r="F2733" s="185"/>
      <c r="G2733" s="185"/>
      <c r="H2733" s="190"/>
      <c r="I2733" s="190"/>
      <c r="J2733" s="190"/>
      <c r="K2733" s="190"/>
      <c r="L2733" s="190"/>
      <c r="M2733" s="190"/>
      <c r="N2733" s="190"/>
      <c r="O2733" s="190"/>
      <c r="P2733" s="190"/>
      <c r="Q2733" s="190"/>
      <c r="R2733" s="190"/>
      <c r="S2733" s="190" t="s">
        <v>354</v>
      </c>
      <c r="T2733" s="43">
        <f t="shared" si="68"/>
        <v>1</v>
      </c>
      <c r="U2733" s="167">
        <f t="shared" si="66"/>
        <v>0</v>
      </c>
      <c r="V2733" s="43"/>
      <c r="W2733" s="43"/>
      <c r="X2733" s="43"/>
      <c r="Y2733" s="43"/>
      <c r="Z2733" s="43"/>
      <c r="AA2733" s="43"/>
      <c r="AB2733" s="43"/>
    </row>
    <row r="2734" spans="1:28" ht="14.25" hidden="1" customHeight="1">
      <c r="A2734" s="190"/>
      <c r="B2734" s="225"/>
      <c r="C2734" s="190"/>
      <c r="D2734" s="190"/>
      <c r="E2734" s="232"/>
      <c r="F2734" s="185"/>
      <c r="G2734" s="185"/>
      <c r="H2734" s="190"/>
      <c r="I2734" s="190"/>
      <c r="J2734" s="190"/>
      <c r="K2734" s="190"/>
      <c r="L2734" s="190"/>
      <c r="M2734" s="190"/>
      <c r="N2734" s="190"/>
      <c r="O2734" s="190"/>
      <c r="P2734" s="190"/>
      <c r="Q2734" s="190"/>
      <c r="R2734" s="190"/>
      <c r="S2734" s="190" t="s">
        <v>1858</v>
      </c>
      <c r="T2734" s="43">
        <f t="shared" si="68"/>
        <v>1</v>
      </c>
      <c r="U2734" s="167">
        <f t="shared" si="66"/>
        <v>0</v>
      </c>
      <c r="V2734" s="43"/>
      <c r="W2734" s="43"/>
      <c r="X2734" s="43"/>
      <c r="Y2734" s="43"/>
      <c r="Z2734" s="43"/>
      <c r="AA2734" s="43"/>
      <c r="AB2734" s="43"/>
    </row>
    <row r="2735" spans="1:28" ht="14.25" hidden="1" customHeight="1">
      <c r="A2735" s="190"/>
      <c r="B2735" s="225"/>
      <c r="C2735" s="190"/>
      <c r="D2735" s="190"/>
      <c r="E2735" s="232"/>
      <c r="F2735" s="185"/>
      <c r="G2735" s="185"/>
      <c r="H2735" s="190"/>
      <c r="I2735" s="190"/>
      <c r="J2735" s="190"/>
      <c r="K2735" s="190"/>
      <c r="L2735" s="190"/>
      <c r="M2735" s="190"/>
      <c r="N2735" s="190"/>
      <c r="O2735" s="190"/>
      <c r="P2735" s="190"/>
      <c r="Q2735" s="190"/>
      <c r="R2735" s="190"/>
      <c r="S2735" s="190" t="s">
        <v>1278</v>
      </c>
      <c r="T2735" s="43">
        <f t="shared" si="68"/>
        <v>1</v>
      </c>
      <c r="U2735" s="167">
        <f t="shared" si="66"/>
        <v>0</v>
      </c>
      <c r="V2735" s="43"/>
      <c r="W2735" s="43"/>
      <c r="X2735" s="43"/>
      <c r="Y2735" s="43"/>
      <c r="Z2735" s="43"/>
      <c r="AA2735" s="43"/>
      <c r="AB2735" s="43"/>
    </row>
    <row r="2736" spans="1:28" ht="14.25" hidden="1" customHeight="1">
      <c r="A2736" s="190"/>
      <c r="B2736" s="225"/>
      <c r="C2736" s="190"/>
      <c r="D2736" s="190"/>
      <c r="E2736" s="232"/>
      <c r="F2736" s="185"/>
      <c r="G2736" s="185"/>
      <c r="H2736" s="190"/>
      <c r="I2736" s="190"/>
      <c r="J2736" s="190"/>
      <c r="K2736" s="190"/>
      <c r="L2736" s="190"/>
      <c r="M2736" s="190"/>
      <c r="N2736" s="190"/>
      <c r="O2736" s="190"/>
      <c r="P2736" s="190"/>
      <c r="Q2736" s="190"/>
      <c r="R2736" s="190"/>
      <c r="S2736" s="190" t="s">
        <v>1306</v>
      </c>
      <c r="T2736" s="43">
        <f t="shared" si="68"/>
        <v>1</v>
      </c>
      <c r="U2736" s="167">
        <f t="shared" si="66"/>
        <v>0</v>
      </c>
      <c r="V2736" s="43"/>
      <c r="W2736" s="43"/>
      <c r="X2736" s="43"/>
      <c r="Y2736" s="43"/>
      <c r="Z2736" s="43"/>
      <c r="AA2736" s="43"/>
      <c r="AB2736" s="43"/>
    </row>
    <row r="2737" spans="1:28" ht="14.25" hidden="1" customHeight="1">
      <c r="A2737" s="190"/>
      <c r="B2737" s="225"/>
      <c r="C2737" s="190"/>
      <c r="D2737" s="190"/>
      <c r="E2737" s="232"/>
      <c r="F2737" s="185"/>
      <c r="G2737" s="185"/>
      <c r="H2737" s="190"/>
      <c r="I2737" s="190"/>
      <c r="J2737" s="190"/>
      <c r="K2737" s="190"/>
      <c r="L2737" s="190"/>
      <c r="M2737" s="190"/>
      <c r="N2737" s="190"/>
      <c r="O2737" s="190"/>
      <c r="P2737" s="190"/>
      <c r="Q2737" s="190"/>
      <c r="R2737" s="190"/>
      <c r="S2737" s="190" t="s">
        <v>1306</v>
      </c>
      <c r="T2737" s="43">
        <f t="shared" si="68"/>
        <v>1</v>
      </c>
      <c r="U2737" s="167">
        <f t="shared" si="66"/>
        <v>0</v>
      </c>
      <c r="V2737" s="43"/>
      <c r="W2737" s="43"/>
      <c r="X2737" s="43"/>
      <c r="Y2737" s="43"/>
      <c r="Z2737" s="43"/>
      <c r="AA2737" s="43"/>
      <c r="AB2737" s="43"/>
    </row>
    <row r="2738" spans="1:28" ht="14.25" hidden="1" customHeight="1">
      <c r="A2738" s="190"/>
      <c r="B2738" s="225"/>
      <c r="C2738" s="190"/>
      <c r="D2738" s="190"/>
      <c r="E2738" s="232"/>
      <c r="F2738" s="191"/>
      <c r="G2738" s="185"/>
      <c r="H2738" s="190"/>
      <c r="I2738" s="190"/>
      <c r="J2738" s="190"/>
      <c r="K2738" s="190"/>
      <c r="L2738" s="190"/>
      <c r="M2738" s="190"/>
      <c r="N2738" s="190"/>
      <c r="O2738" s="190"/>
      <c r="P2738" s="190"/>
      <c r="Q2738" s="190"/>
      <c r="R2738" s="190"/>
      <c r="S2738" s="190"/>
      <c r="T2738" s="43">
        <f t="shared" si="68"/>
        <v>1</v>
      </c>
      <c r="U2738" s="167">
        <f t="shared" si="66"/>
        <v>0</v>
      </c>
      <c r="V2738" s="43"/>
      <c r="W2738" s="43"/>
      <c r="X2738" s="43"/>
      <c r="Y2738" s="43"/>
      <c r="Z2738" s="43"/>
      <c r="AA2738" s="43"/>
      <c r="AB2738" s="43"/>
    </row>
    <row r="2739" spans="1:28" ht="14.25" hidden="1" customHeight="1">
      <c r="A2739" s="190"/>
      <c r="B2739" s="225"/>
      <c r="C2739" s="190"/>
      <c r="D2739" s="190"/>
      <c r="E2739" s="232"/>
      <c r="F2739" s="185"/>
      <c r="G2739" s="185"/>
      <c r="H2739" s="190"/>
      <c r="I2739" s="190"/>
      <c r="J2739" s="190"/>
      <c r="K2739" s="190"/>
      <c r="L2739" s="190"/>
      <c r="M2739" s="190"/>
      <c r="N2739" s="190"/>
      <c r="O2739" s="190"/>
      <c r="P2739" s="190"/>
      <c r="Q2739" s="190"/>
      <c r="R2739" s="190"/>
      <c r="S2739" s="190"/>
      <c r="T2739" s="43">
        <f t="shared" si="68"/>
        <v>1</v>
      </c>
      <c r="U2739" s="167">
        <f t="shared" si="66"/>
        <v>0</v>
      </c>
      <c r="V2739" s="43"/>
      <c r="W2739" s="43"/>
      <c r="X2739" s="43"/>
      <c r="Y2739" s="43"/>
      <c r="Z2739" s="43"/>
      <c r="AA2739" s="43"/>
      <c r="AB2739" s="43"/>
    </row>
    <row r="2740" spans="1:28" ht="14.25" hidden="1" customHeight="1">
      <c r="A2740" s="190"/>
      <c r="B2740" s="225"/>
      <c r="C2740" s="190"/>
      <c r="D2740" s="190"/>
      <c r="E2740" s="232"/>
      <c r="F2740" s="185"/>
      <c r="G2740" s="185"/>
      <c r="H2740" s="190"/>
      <c r="I2740" s="190"/>
      <c r="J2740" s="190"/>
      <c r="K2740" s="190"/>
      <c r="L2740" s="190"/>
      <c r="M2740" s="190"/>
      <c r="N2740" s="190"/>
      <c r="O2740" s="190"/>
      <c r="P2740" s="190"/>
      <c r="Q2740" s="190"/>
      <c r="R2740" s="190"/>
      <c r="S2740" s="190" t="s">
        <v>991</v>
      </c>
      <c r="T2740" s="43">
        <f t="shared" si="68"/>
        <v>1</v>
      </c>
      <c r="U2740" s="167">
        <f t="shared" si="66"/>
        <v>0</v>
      </c>
      <c r="V2740" s="43"/>
      <c r="W2740" s="43"/>
      <c r="X2740" s="43"/>
      <c r="Y2740" s="43"/>
      <c r="Z2740" s="43"/>
      <c r="AA2740" s="43"/>
      <c r="AB2740" s="43"/>
    </row>
    <row r="2741" spans="1:28" ht="14.25" hidden="1" customHeight="1">
      <c r="A2741" s="190"/>
      <c r="B2741" s="225"/>
      <c r="C2741" s="190"/>
      <c r="D2741" s="190"/>
      <c r="E2741" s="232"/>
      <c r="F2741" s="191"/>
      <c r="G2741" s="185"/>
      <c r="H2741" s="190"/>
      <c r="I2741" s="190"/>
      <c r="J2741" s="190"/>
      <c r="K2741" s="190"/>
      <c r="L2741" s="190"/>
      <c r="M2741" s="190"/>
      <c r="N2741" s="190"/>
      <c r="O2741" s="190"/>
      <c r="P2741" s="190"/>
      <c r="Q2741" s="190"/>
      <c r="R2741" s="190"/>
      <c r="S2741" s="190"/>
      <c r="T2741" s="43">
        <f t="shared" si="68"/>
        <v>1</v>
      </c>
      <c r="U2741" s="167">
        <f t="shared" si="66"/>
        <v>0</v>
      </c>
      <c r="V2741" s="43"/>
      <c r="W2741" s="43"/>
      <c r="X2741" s="43"/>
      <c r="Y2741" s="43"/>
      <c r="Z2741" s="43"/>
      <c r="AA2741" s="43"/>
      <c r="AB2741" s="43"/>
    </row>
    <row r="2742" spans="1:28" ht="14.25" hidden="1" customHeight="1">
      <c r="A2742" s="190"/>
      <c r="B2742" s="225"/>
      <c r="C2742" s="190"/>
      <c r="D2742" s="190"/>
      <c r="E2742" s="232"/>
      <c r="F2742" s="191"/>
      <c r="G2742" s="185"/>
      <c r="H2742" s="190"/>
      <c r="I2742" s="190"/>
      <c r="J2742" s="190"/>
      <c r="K2742" s="190"/>
      <c r="L2742" s="190"/>
      <c r="M2742" s="190"/>
      <c r="N2742" s="190"/>
      <c r="O2742" s="190"/>
      <c r="P2742" s="190"/>
      <c r="Q2742" s="190"/>
      <c r="R2742" s="190"/>
      <c r="S2742" s="190" t="s">
        <v>1319</v>
      </c>
      <c r="T2742" s="43">
        <f t="shared" si="68"/>
        <v>1</v>
      </c>
      <c r="U2742" s="167">
        <f t="shared" si="66"/>
        <v>0</v>
      </c>
      <c r="V2742" s="43"/>
      <c r="W2742" s="43"/>
      <c r="X2742" s="43"/>
      <c r="Y2742" s="43"/>
      <c r="Z2742" s="43"/>
      <c r="AA2742" s="43"/>
      <c r="AB2742" s="43"/>
    </row>
    <row r="2743" spans="1:28" ht="14.25" hidden="1" customHeight="1">
      <c r="A2743" s="190"/>
      <c r="B2743" s="225"/>
      <c r="C2743" s="190"/>
      <c r="D2743" s="190"/>
      <c r="E2743" s="232"/>
      <c r="F2743" s="191"/>
      <c r="G2743" s="185"/>
      <c r="H2743" s="190"/>
      <c r="I2743" s="190"/>
      <c r="J2743" s="190"/>
      <c r="K2743" s="190"/>
      <c r="L2743" s="190"/>
      <c r="M2743" s="190"/>
      <c r="N2743" s="190"/>
      <c r="O2743" s="190"/>
      <c r="P2743" s="190"/>
      <c r="Q2743" s="190"/>
      <c r="R2743" s="190"/>
      <c r="S2743" s="190" t="s">
        <v>656</v>
      </c>
      <c r="T2743" s="43">
        <f t="shared" si="68"/>
        <v>1</v>
      </c>
      <c r="U2743" s="167">
        <f t="shared" si="66"/>
        <v>0</v>
      </c>
      <c r="V2743" s="43"/>
      <c r="W2743" s="43"/>
      <c r="X2743" s="43"/>
      <c r="Y2743" s="43"/>
      <c r="Z2743" s="43"/>
      <c r="AA2743" s="43"/>
      <c r="AB2743" s="43"/>
    </row>
    <row r="2744" spans="1:28" ht="14.25" hidden="1" customHeight="1">
      <c r="A2744" s="190"/>
      <c r="B2744" s="225"/>
      <c r="C2744" s="190"/>
      <c r="D2744" s="190"/>
      <c r="E2744" s="232"/>
      <c r="F2744" s="191"/>
      <c r="G2744" s="185"/>
      <c r="H2744" s="190"/>
      <c r="I2744" s="190"/>
      <c r="J2744" s="190"/>
      <c r="K2744" s="190"/>
      <c r="L2744" s="190"/>
      <c r="M2744" s="190"/>
      <c r="N2744" s="190"/>
      <c r="O2744" s="190"/>
      <c r="P2744" s="190"/>
      <c r="Q2744" s="190"/>
      <c r="R2744" s="190"/>
      <c r="S2744" s="190" t="s">
        <v>427</v>
      </c>
      <c r="T2744" s="43">
        <f t="shared" si="68"/>
        <v>1</v>
      </c>
      <c r="U2744" s="167">
        <f t="shared" si="66"/>
        <v>0</v>
      </c>
      <c r="V2744" s="43"/>
      <c r="W2744" s="43"/>
      <c r="X2744" s="43"/>
      <c r="Y2744" s="43"/>
      <c r="Z2744" s="43"/>
      <c r="AA2744" s="43"/>
      <c r="AB2744" s="43"/>
    </row>
    <row r="2745" spans="1:28" ht="14.25" hidden="1" customHeight="1">
      <c r="A2745" s="190"/>
      <c r="B2745" s="225"/>
      <c r="C2745" s="190"/>
      <c r="D2745" s="190"/>
      <c r="E2745" s="232"/>
      <c r="F2745" s="191"/>
      <c r="G2745" s="185"/>
      <c r="H2745" s="190"/>
      <c r="I2745" s="190"/>
      <c r="J2745" s="190"/>
      <c r="K2745" s="190"/>
      <c r="L2745" s="190"/>
      <c r="M2745" s="190"/>
      <c r="N2745" s="190"/>
      <c r="O2745" s="190"/>
      <c r="P2745" s="190"/>
      <c r="Q2745" s="190"/>
      <c r="R2745" s="190"/>
      <c r="S2745" s="190" t="s">
        <v>420</v>
      </c>
      <c r="T2745" s="43">
        <f t="shared" si="68"/>
        <v>1</v>
      </c>
      <c r="U2745" s="167">
        <f t="shared" si="66"/>
        <v>0</v>
      </c>
      <c r="V2745" s="43"/>
      <c r="W2745" s="43"/>
      <c r="X2745" s="43"/>
      <c r="Y2745" s="43"/>
      <c r="Z2745" s="43"/>
      <c r="AA2745" s="43"/>
      <c r="AB2745" s="43"/>
    </row>
    <row r="2746" spans="1:28" ht="14.25" hidden="1" customHeight="1">
      <c r="A2746" s="190"/>
      <c r="B2746" s="225"/>
      <c r="C2746" s="190"/>
      <c r="D2746" s="190"/>
      <c r="E2746" s="232"/>
      <c r="F2746" s="191"/>
      <c r="G2746" s="185"/>
      <c r="H2746" s="190"/>
      <c r="I2746" s="190"/>
      <c r="J2746" s="190"/>
      <c r="K2746" s="190"/>
      <c r="L2746" s="190"/>
      <c r="M2746" s="190"/>
      <c r="N2746" s="190"/>
      <c r="O2746" s="190"/>
      <c r="P2746" s="190"/>
      <c r="Q2746" s="190"/>
      <c r="R2746" s="190"/>
      <c r="S2746" s="190" t="s">
        <v>413</v>
      </c>
      <c r="T2746" s="43">
        <f t="shared" si="68"/>
        <v>1</v>
      </c>
      <c r="U2746" s="167">
        <f t="shared" si="66"/>
        <v>0</v>
      </c>
      <c r="V2746" s="43"/>
      <c r="W2746" s="43"/>
      <c r="X2746" s="43"/>
      <c r="Y2746" s="43"/>
      <c r="Z2746" s="43"/>
      <c r="AA2746" s="43"/>
      <c r="AB2746" s="43"/>
    </row>
    <row r="2747" spans="1:28" ht="14.25" hidden="1" customHeight="1">
      <c r="A2747" s="190"/>
      <c r="B2747" s="225"/>
      <c r="C2747" s="190"/>
      <c r="D2747" s="190"/>
      <c r="E2747" s="232"/>
      <c r="F2747" s="191"/>
      <c r="G2747" s="185"/>
      <c r="H2747" s="190"/>
      <c r="I2747" s="190"/>
      <c r="J2747" s="190"/>
      <c r="K2747" s="190"/>
      <c r="L2747" s="190"/>
      <c r="M2747" s="190"/>
      <c r="N2747" s="190"/>
      <c r="O2747" s="190"/>
      <c r="P2747" s="190"/>
      <c r="Q2747" s="190"/>
      <c r="R2747" s="190"/>
      <c r="S2747" s="190" t="s">
        <v>607</v>
      </c>
      <c r="T2747" s="43">
        <f t="shared" si="68"/>
        <v>1</v>
      </c>
      <c r="U2747" s="167">
        <f t="shared" si="66"/>
        <v>0</v>
      </c>
      <c r="V2747" s="43"/>
      <c r="W2747" s="43"/>
      <c r="X2747" s="43"/>
      <c r="Y2747" s="43"/>
      <c r="Z2747" s="43"/>
      <c r="AA2747" s="43"/>
      <c r="AB2747" s="43"/>
    </row>
    <row r="2748" spans="1:28" ht="14.25" hidden="1" customHeight="1">
      <c r="A2748" s="190"/>
      <c r="B2748" s="225"/>
      <c r="C2748" s="190"/>
      <c r="D2748" s="190"/>
      <c r="E2748" s="232"/>
      <c r="F2748" s="185"/>
      <c r="G2748" s="185"/>
      <c r="H2748" s="190"/>
      <c r="I2748" s="190"/>
      <c r="J2748" s="190"/>
      <c r="K2748" s="190"/>
      <c r="L2748" s="190"/>
      <c r="M2748" s="190"/>
      <c r="N2748" s="190"/>
      <c r="O2748" s="190"/>
      <c r="P2748" s="190"/>
      <c r="Q2748" s="190"/>
      <c r="R2748" s="190"/>
      <c r="S2748" s="190" t="s">
        <v>398</v>
      </c>
      <c r="T2748" s="43">
        <f t="shared" si="68"/>
        <v>1</v>
      </c>
      <c r="U2748" s="167">
        <f t="shared" si="66"/>
        <v>0</v>
      </c>
      <c r="V2748" s="43"/>
      <c r="W2748" s="43"/>
      <c r="X2748" s="43"/>
      <c r="Y2748" s="43"/>
      <c r="Z2748" s="43"/>
      <c r="AA2748" s="43"/>
      <c r="AB2748" s="43"/>
    </row>
    <row r="2749" spans="1:28" ht="14.25" hidden="1" customHeight="1">
      <c r="A2749" s="190"/>
      <c r="B2749" s="225"/>
      <c r="C2749" s="190"/>
      <c r="D2749" s="190"/>
      <c r="E2749" s="232"/>
      <c r="F2749" s="185"/>
      <c r="G2749" s="185"/>
      <c r="H2749" s="190"/>
      <c r="I2749" s="190"/>
      <c r="J2749" s="190"/>
      <c r="K2749" s="190"/>
      <c r="L2749" s="190"/>
      <c r="M2749" s="190"/>
      <c r="N2749" s="190"/>
      <c r="O2749" s="190"/>
      <c r="P2749" s="190"/>
      <c r="Q2749" s="190"/>
      <c r="R2749" s="190"/>
      <c r="S2749" s="190" t="s">
        <v>398</v>
      </c>
      <c r="T2749" s="43">
        <f t="shared" si="68"/>
        <v>1</v>
      </c>
      <c r="U2749" s="167">
        <f t="shared" si="66"/>
        <v>0</v>
      </c>
      <c r="V2749" s="43"/>
      <c r="W2749" s="43"/>
      <c r="X2749" s="43"/>
      <c r="Y2749" s="43"/>
      <c r="Z2749" s="43"/>
      <c r="AA2749" s="43"/>
      <c r="AB2749" s="43"/>
    </row>
    <row r="2750" spans="1:28" ht="14.25" hidden="1" customHeight="1">
      <c r="A2750" s="190"/>
      <c r="B2750" s="225"/>
      <c r="C2750" s="190"/>
      <c r="D2750" s="190"/>
      <c r="E2750" s="232"/>
      <c r="F2750" s="185"/>
      <c r="G2750" s="185"/>
      <c r="H2750" s="190"/>
      <c r="I2750" s="190"/>
      <c r="J2750" s="190"/>
      <c r="K2750" s="190"/>
      <c r="L2750" s="190"/>
      <c r="M2750" s="190"/>
      <c r="N2750" s="190"/>
      <c r="O2750" s="190"/>
      <c r="P2750" s="190"/>
      <c r="Q2750" s="190"/>
      <c r="R2750" s="190"/>
      <c r="S2750" s="190" t="s">
        <v>395</v>
      </c>
      <c r="T2750" s="43">
        <f t="shared" si="68"/>
        <v>1</v>
      </c>
      <c r="U2750" s="167">
        <f t="shared" si="66"/>
        <v>0</v>
      </c>
      <c r="V2750" s="43"/>
      <c r="W2750" s="43"/>
      <c r="X2750" s="43"/>
      <c r="Y2750" s="43"/>
      <c r="Z2750" s="43"/>
      <c r="AA2750" s="43"/>
      <c r="AB2750" s="43"/>
    </row>
    <row r="2751" spans="1:28" ht="14.25" hidden="1" customHeight="1">
      <c r="A2751" s="190"/>
      <c r="B2751" s="225"/>
      <c r="C2751" s="190"/>
      <c r="D2751" s="190"/>
      <c r="E2751" s="232"/>
      <c r="F2751" s="185"/>
      <c r="G2751" s="185"/>
      <c r="H2751" s="190"/>
      <c r="I2751" s="190"/>
      <c r="J2751" s="190"/>
      <c r="K2751" s="190"/>
      <c r="L2751" s="190"/>
      <c r="M2751" s="190"/>
      <c r="N2751" s="190"/>
      <c r="O2751" s="190"/>
      <c r="P2751" s="190"/>
      <c r="Q2751" s="190"/>
      <c r="R2751" s="190"/>
      <c r="S2751" s="190" t="s">
        <v>369</v>
      </c>
      <c r="T2751" s="43">
        <f t="shared" si="68"/>
        <v>1</v>
      </c>
      <c r="U2751" s="167">
        <f t="shared" si="66"/>
        <v>0</v>
      </c>
      <c r="V2751" s="43"/>
      <c r="W2751" s="43"/>
      <c r="X2751" s="43"/>
      <c r="Y2751" s="43"/>
      <c r="Z2751" s="43"/>
      <c r="AA2751" s="43"/>
      <c r="AB2751" s="43"/>
    </row>
    <row r="2752" spans="1:28" ht="14.25" hidden="1" customHeight="1">
      <c r="A2752" s="190"/>
      <c r="B2752" s="225"/>
      <c r="C2752" s="190"/>
      <c r="D2752" s="190"/>
      <c r="E2752" s="232"/>
      <c r="F2752" s="185"/>
      <c r="G2752" s="185"/>
      <c r="H2752" s="190"/>
      <c r="I2752" s="190"/>
      <c r="J2752" s="190"/>
      <c r="K2752" s="190"/>
      <c r="L2752" s="190"/>
      <c r="M2752" s="190"/>
      <c r="N2752" s="190"/>
      <c r="O2752" s="190"/>
      <c r="P2752" s="190"/>
      <c r="Q2752" s="190"/>
      <c r="R2752" s="190"/>
      <c r="S2752" s="190"/>
      <c r="T2752" s="43">
        <f t="shared" si="68"/>
        <v>1</v>
      </c>
      <c r="U2752" s="167">
        <f t="shared" si="66"/>
        <v>0</v>
      </c>
      <c r="V2752" s="43"/>
      <c r="W2752" s="43"/>
      <c r="X2752" s="43"/>
      <c r="Y2752" s="43"/>
      <c r="Z2752" s="43"/>
      <c r="AA2752" s="43"/>
      <c r="AB2752" s="43"/>
    </row>
    <row r="2753" spans="1:28" ht="14.25" hidden="1" customHeight="1">
      <c r="A2753" s="190"/>
      <c r="B2753" s="225"/>
      <c r="C2753" s="190"/>
      <c r="D2753" s="190"/>
      <c r="E2753" s="232"/>
      <c r="F2753" s="185"/>
      <c r="G2753" s="185"/>
      <c r="H2753" s="190"/>
      <c r="I2753" s="190"/>
      <c r="J2753" s="190"/>
      <c r="K2753" s="190"/>
      <c r="L2753" s="190"/>
      <c r="M2753" s="190"/>
      <c r="N2753" s="190"/>
      <c r="O2753" s="190"/>
      <c r="P2753" s="190"/>
      <c r="Q2753" s="190"/>
      <c r="R2753" s="190"/>
      <c r="S2753" s="190" t="s">
        <v>1144</v>
      </c>
      <c r="T2753" s="43">
        <f t="shared" si="68"/>
        <v>1</v>
      </c>
      <c r="U2753" s="167">
        <f t="shared" si="66"/>
        <v>0</v>
      </c>
      <c r="V2753" s="43"/>
      <c r="W2753" s="43"/>
      <c r="X2753" s="43"/>
      <c r="Y2753" s="43"/>
      <c r="Z2753" s="43"/>
      <c r="AA2753" s="43"/>
      <c r="AB2753" s="43"/>
    </row>
    <row r="2754" spans="1:28" ht="14.25" hidden="1" customHeight="1">
      <c r="A2754" s="190"/>
      <c r="B2754" s="225"/>
      <c r="C2754" s="190"/>
      <c r="D2754" s="190"/>
      <c r="E2754" s="232"/>
      <c r="F2754" s="191"/>
      <c r="G2754" s="185"/>
      <c r="H2754" s="190"/>
      <c r="I2754" s="190"/>
      <c r="J2754" s="190"/>
      <c r="K2754" s="190"/>
      <c r="L2754" s="190"/>
      <c r="M2754" s="190"/>
      <c r="N2754" s="190"/>
      <c r="O2754" s="190"/>
      <c r="P2754" s="190"/>
      <c r="Q2754" s="190"/>
      <c r="R2754" s="190"/>
      <c r="S2754" s="190"/>
      <c r="T2754" s="43">
        <f t="shared" si="68"/>
        <v>1</v>
      </c>
      <c r="U2754" s="167">
        <f t="shared" si="66"/>
        <v>0</v>
      </c>
      <c r="V2754" s="43"/>
      <c r="W2754" s="43"/>
      <c r="X2754" s="43"/>
      <c r="Y2754" s="43"/>
      <c r="Z2754" s="43"/>
      <c r="AA2754" s="43"/>
      <c r="AB2754" s="43"/>
    </row>
    <row r="2755" spans="1:28" ht="14.25" hidden="1" customHeight="1">
      <c r="A2755" s="190"/>
      <c r="B2755" s="225"/>
      <c r="C2755" s="190"/>
      <c r="D2755" s="190"/>
      <c r="E2755" s="232"/>
      <c r="F2755" s="302"/>
      <c r="G2755" s="185"/>
      <c r="H2755" s="190"/>
      <c r="I2755" s="190"/>
      <c r="J2755" s="190"/>
      <c r="K2755" s="190"/>
      <c r="L2755" s="190"/>
      <c r="M2755" s="190"/>
      <c r="N2755" s="190"/>
      <c r="O2755" s="190"/>
      <c r="P2755" s="190"/>
      <c r="Q2755" s="190"/>
      <c r="R2755" s="190"/>
      <c r="S2755" s="190" t="s">
        <v>320</v>
      </c>
      <c r="T2755" s="43">
        <f t="shared" si="68"/>
        <v>1</v>
      </c>
      <c r="U2755" s="167">
        <f t="shared" si="66"/>
        <v>0</v>
      </c>
      <c r="V2755" s="43"/>
      <c r="W2755" s="43"/>
      <c r="X2755" s="43"/>
      <c r="Y2755" s="43"/>
      <c r="Z2755" s="43"/>
      <c r="AA2755" s="43"/>
      <c r="AB2755" s="43"/>
    </row>
    <row r="2756" spans="1:28" ht="14.25" hidden="1" customHeight="1">
      <c r="A2756" s="190"/>
      <c r="B2756" s="225"/>
      <c r="C2756" s="190"/>
      <c r="D2756" s="190"/>
      <c r="E2756" s="232"/>
      <c r="F2756" s="302"/>
      <c r="G2756" s="185"/>
      <c r="H2756" s="190"/>
      <c r="I2756" s="190"/>
      <c r="J2756" s="190"/>
      <c r="K2756" s="190"/>
      <c r="L2756" s="190"/>
      <c r="M2756" s="190"/>
      <c r="N2756" s="190"/>
      <c r="O2756" s="190"/>
      <c r="P2756" s="190"/>
      <c r="Q2756" s="190"/>
      <c r="R2756" s="190"/>
      <c r="S2756" s="190" t="s">
        <v>320</v>
      </c>
      <c r="T2756" s="43">
        <f t="shared" si="68"/>
        <v>1</v>
      </c>
      <c r="U2756" s="167">
        <f t="shared" si="66"/>
        <v>0</v>
      </c>
      <c r="V2756" s="43"/>
      <c r="W2756" s="43"/>
      <c r="X2756" s="43"/>
      <c r="Y2756" s="43"/>
      <c r="Z2756" s="43"/>
      <c r="AA2756" s="43"/>
      <c r="AB2756" s="43"/>
    </row>
    <row r="2757" spans="1:28" ht="14.25" hidden="1" customHeight="1">
      <c r="A2757" s="190"/>
      <c r="B2757" s="225"/>
      <c r="C2757" s="190"/>
      <c r="D2757" s="190"/>
      <c r="E2757" s="232"/>
      <c r="F2757" s="302"/>
      <c r="G2757" s="185"/>
      <c r="H2757" s="190"/>
      <c r="I2757" s="190"/>
      <c r="J2757" s="190"/>
      <c r="K2757" s="190"/>
      <c r="L2757" s="190"/>
      <c r="M2757" s="190"/>
      <c r="N2757" s="190"/>
      <c r="O2757" s="190"/>
      <c r="P2757" s="190"/>
      <c r="Q2757" s="190"/>
      <c r="R2757" s="190"/>
      <c r="S2757" s="190" t="s">
        <v>320</v>
      </c>
      <c r="T2757" s="43">
        <f t="shared" si="68"/>
        <v>1</v>
      </c>
      <c r="U2757" s="167">
        <f t="shared" si="66"/>
        <v>0</v>
      </c>
      <c r="V2757" s="43"/>
      <c r="W2757" s="43"/>
      <c r="X2757" s="43"/>
      <c r="Y2757" s="43"/>
      <c r="Z2757" s="43"/>
      <c r="AA2757" s="43"/>
      <c r="AB2757" s="43"/>
    </row>
    <row r="2758" spans="1:28" ht="14.25" hidden="1" customHeight="1">
      <c r="A2758" s="190"/>
      <c r="B2758" s="225"/>
      <c r="C2758" s="190"/>
      <c r="D2758" s="190"/>
      <c r="E2758" s="232"/>
      <c r="F2758" s="302"/>
      <c r="G2758" s="185"/>
      <c r="H2758" s="190"/>
      <c r="I2758" s="190"/>
      <c r="J2758" s="190"/>
      <c r="K2758" s="190"/>
      <c r="L2758" s="190"/>
      <c r="M2758" s="190"/>
      <c r="N2758" s="190"/>
      <c r="O2758" s="190"/>
      <c r="P2758" s="190"/>
      <c r="Q2758" s="190"/>
      <c r="R2758" s="190"/>
      <c r="S2758" s="190" t="s">
        <v>320</v>
      </c>
      <c r="T2758" s="43">
        <f t="shared" si="68"/>
        <v>1</v>
      </c>
      <c r="U2758" s="167">
        <f t="shared" si="66"/>
        <v>0</v>
      </c>
      <c r="V2758" s="43"/>
      <c r="W2758" s="43"/>
      <c r="X2758" s="43"/>
      <c r="Y2758" s="43"/>
      <c r="Z2758" s="43"/>
      <c r="AA2758" s="43"/>
      <c r="AB2758" s="43"/>
    </row>
    <row r="2759" spans="1:28" ht="14.25" hidden="1" customHeight="1">
      <c r="A2759" s="190"/>
      <c r="B2759" s="225"/>
      <c r="C2759" s="190"/>
      <c r="D2759" s="190"/>
      <c r="E2759" s="232"/>
      <c r="F2759" s="302"/>
      <c r="G2759" s="185"/>
      <c r="H2759" s="190"/>
      <c r="I2759" s="190"/>
      <c r="J2759" s="190"/>
      <c r="K2759" s="190"/>
      <c r="L2759" s="190"/>
      <c r="M2759" s="190"/>
      <c r="N2759" s="190"/>
      <c r="O2759" s="190"/>
      <c r="P2759" s="190"/>
      <c r="Q2759" s="190"/>
      <c r="R2759" s="190"/>
      <c r="S2759" s="190" t="s">
        <v>320</v>
      </c>
      <c r="T2759" s="43">
        <f t="shared" si="68"/>
        <v>1</v>
      </c>
      <c r="U2759" s="167">
        <f t="shared" si="66"/>
        <v>0</v>
      </c>
      <c r="V2759" s="43"/>
      <c r="W2759" s="43"/>
      <c r="X2759" s="43"/>
      <c r="Y2759" s="43"/>
      <c r="Z2759" s="43"/>
      <c r="AA2759" s="43"/>
      <c r="AB2759" s="43"/>
    </row>
    <row r="2760" spans="1:28" ht="14.25" hidden="1" customHeight="1">
      <c r="A2760" s="190"/>
      <c r="B2760" s="225"/>
      <c r="C2760" s="190"/>
      <c r="D2760" s="190"/>
      <c r="E2760" s="232"/>
      <c r="F2760" s="302"/>
      <c r="G2760" s="185"/>
      <c r="H2760" s="190"/>
      <c r="I2760" s="190"/>
      <c r="J2760" s="190"/>
      <c r="K2760" s="190"/>
      <c r="L2760" s="190"/>
      <c r="M2760" s="190"/>
      <c r="N2760" s="190"/>
      <c r="O2760" s="190"/>
      <c r="P2760" s="190"/>
      <c r="Q2760" s="190"/>
      <c r="R2760" s="190"/>
      <c r="S2760" s="190" t="s">
        <v>320</v>
      </c>
      <c r="T2760" s="43">
        <f t="shared" si="68"/>
        <v>1</v>
      </c>
      <c r="U2760" s="167">
        <f t="shared" si="66"/>
        <v>0</v>
      </c>
      <c r="V2760" s="43"/>
      <c r="W2760" s="43"/>
      <c r="X2760" s="43"/>
      <c r="Y2760" s="43"/>
      <c r="Z2760" s="43"/>
      <c r="AA2760" s="43"/>
      <c r="AB2760" s="43"/>
    </row>
    <row r="2761" spans="1:28" ht="14.25" hidden="1" customHeight="1">
      <c r="A2761" s="190"/>
      <c r="B2761" s="225"/>
      <c r="C2761" s="190"/>
      <c r="D2761" s="190"/>
      <c r="E2761" s="232"/>
      <c r="F2761" s="302"/>
      <c r="G2761" s="185"/>
      <c r="H2761" s="190"/>
      <c r="I2761" s="190"/>
      <c r="J2761" s="190"/>
      <c r="K2761" s="190"/>
      <c r="L2761" s="190"/>
      <c r="M2761" s="190"/>
      <c r="N2761" s="190"/>
      <c r="O2761" s="190"/>
      <c r="P2761" s="190"/>
      <c r="Q2761" s="190"/>
      <c r="R2761" s="190"/>
      <c r="S2761" s="190" t="s">
        <v>320</v>
      </c>
      <c r="T2761" s="43">
        <f t="shared" si="68"/>
        <v>1</v>
      </c>
      <c r="U2761" s="167">
        <f t="shared" si="66"/>
        <v>0</v>
      </c>
      <c r="V2761" s="43"/>
      <c r="W2761" s="43"/>
      <c r="X2761" s="43"/>
      <c r="Y2761" s="43"/>
      <c r="Z2761" s="43"/>
      <c r="AA2761" s="43"/>
      <c r="AB2761" s="43"/>
    </row>
    <row r="2762" spans="1:28" ht="14.25" hidden="1" customHeight="1">
      <c r="A2762" s="190"/>
      <c r="B2762" s="225"/>
      <c r="C2762" s="190"/>
      <c r="D2762" s="190"/>
      <c r="E2762" s="232"/>
      <c r="F2762" s="302"/>
      <c r="G2762" s="185"/>
      <c r="H2762" s="190"/>
      <c r="I2762" s="190"/>
      <c r="J2762" s="190"/>
      <c r="K2762" s="190"/>
      <c r="L2762" s="190"/>
      <c r="M2762" s="190"/>
      <c r="N2762" s="190"/>
      <c r="O2762" s="190"/>
      <c r="P2762" s="190"/>
      <c r="Q2762" s="190"/>
      <c r="R2762" s="190"/>
      <c r="S2762" s="190" t="s">
        <v>320</v>
      </c>
      <c r="T2762" s="43">
        <f t="shared" si="68"/>
        <v>1</v>
      </c>
      <c r="U2762" s="167">
        <f t="shared" si="66"/>
        <v>0</v>
      </c>
      <c r="V2762" s="43"/>
      <c r="W2762" s="43"/>
      <c r="X2762" s="43"/>
      <c r="Y2762" s="43"/>
      <c r="Z2762" s="43"/>
      <c r="AA2762" s="43"/>
      <c r="AB2762" s="43"/>
    </row>
    <row r="2763" spans="1:28" ht="14.25" hidden="1" customHeight="1">
      <c r="A2763" s="190"/>
      <c r="B2763" s="225"/>
      <c r="C2763" s="190"/>
      <c r="D2763" s="190"/>
      <c r="E2763" s="232"/>
      <c r="F2763" s="185"/>
      <c r="G2763" s="185"/>
      <c r="H2763" s="190"/>
      <c r="I2763" s="190"/>
      <c r="J2763" s="190"/>
      <c r="K2763" s="190"/>
      <c r="L2763" s="190"/>
      <c r="M2763" s="190"/>
      <c r="N2763" s="190"/>
      <c r="O2763" s="190"/>
      <c r="P2763" s="190"/>
      <c r="Q2763" s="190"/>
      <c r="R2763" s="190"/>
      <c r="S2763" s="190" t="s">
        <v>325</v>
      </c>
      <c r="T2763" s="43">
        <f t="shared" si="68"/>
        <v>1</v>
      </c>
      <c r="U2763" s="167">
        <f t="shared" si="66"/>
        <v>0</v>
      </c>
      <c r="V2763" s="43"/>
      <c r="W2763" s="43"/>
      <c r="X2763" s="43"/>
      <c r="Y2763" s="43"/>
      <c r="Z2763" s="43"/>
      <c r="AA2763" s="43"/>
      <c r="AB2763" s="43"/>
    </row>
    <row r="2764" spans="1:28" ht="14.25" hidden="1" customHeight="1">
      <c r="A2764" s="190"/>
      <c r="B2764" s="225"/>
      <c r="C2764" s="190"/>
      <c r="D2764" s="190"/>
      <c r="E2764" s="232"/>
      <c r="F2764" s="185"/>
      <c r="G2764" s="185"/>
      <c r="H2764" s="190"/>
      <c r="I2764" s="190"/>
      <c r="J2764" s="190"/>
      <c r="K2764" s="190"/>
      <c r="L2764" s="190"/>
      <c r="M2764" s="190"/>
      <c r="N2764" s="190"/>
      <c r="O2764" s="190"/>
      <c r="P2764" s="190"/>
      <c r="Q2764" s="190"/>
      <c r="R2764" s="190"/>
      <c r="S2764" s="190" t="s">
        <v>435</v>
      </c>
      <c r="T2764" s="43">
        <f t="shared" si="68"/>
        <v>1</v>
      </c>
      <c r="U2764" s="167">
        <f t="shared" si="66"/>
        <v>0</v>
      </c>
      <c r="V2764" s="43"/>
      <c r="W2764" s="43"/>
      <c r="X2764" s="43"/>
      <c r="Y2764" s="43"/>
      <c r="Z2764" s="43"/>
      <c r="AA2764" s="43"/>
      <c r="AB2764" s="43"/>
    </row>
    <row r="2765" spans="1:28" ht="14.25" hidden="1" customHeight="1">
      <c r="A2765" s="190"/>
      <c r="B2765" s="225"/>
      <c r="C2765" s="190"/>
      <c r="D2765" s="190"/>
      <c r="E2765" s="232"/>
      <c r="F2765" s="185"/>
      <c r="G2765" s="185"/>
      <c r="H2765" s="190"/>
      <c r="I2765" s="190"/>
      <c r="J2765" s="190"/>
      <c r="K2765" s="190"/>
      <c r="L2765" s="190"/>
      <c r="M2765" s="190"/>
      <c r="N2765" s="190"/>
      <c r="O2765" s="190"/>
      <c r="P2765" s="190"/>
      <c r="Q2765" s="190"/>
      <c r="R2765" s="190"/>
      <c r="S2765" s="190" t="s">
        <v>438</v>
      </c>
      <c r="T2765" s="43">
        <f t="shared" si="68"/>
        <v>1</v>
      </c>
      <c r="U2765" s="167">
        <f t="shared" si="66"/>
        <v>0</v>
      </c>
      <c r="V2765" s="43"/>
      <c r="W2765" s="43"/>
      <c r="X2765" s="43"/>
      <c r="Y2765" s="43"/>
      <c r="Z2765" s="43"/>
      <c r="AA2765" s="43"/>
      <c r="AB2765" s="43"/>
    </row>
    <row r="2766" spans="1:28" ht="14.25" hidden="1" customHeight="1">
      <c r="A2766" s="190"/>
      <c r="B2766" s="225"/>
      <c r="C2766" s="190"/>
      <c r="D2766" s="190"/>
      <c r="E2766" s="232"/>
      <c r="F2766" s="185"/>
      <c r="G2766" s="185"/>
      <c r="H2766" s="190"/>
      <c r="I2766" s="190"/>
      <c r="J2766" s="190"/>
      <c r="K2766" s="190"/>
      <c r="L2766" s="190"/>
      <c r="M2766" s="190"/>
      <c r="N2766" s="190"/>
      <c r="O2766" s="190"/>
      <c r="P2766" s="190"/>
      <c r="Q2766" s="190"/>
      <c r="R2766" s="190"/>
      <c r="S2766" s="190" t="s">
        <v>440</v>
      </c>
      <c r="T2766" s="43">
        <f t="shared" si="68"/>
        <v>1</v>
      </c>
      <c r="U2766" s="167">
        <f t="shared" si="66"/>
        <v>0</v>
      </c>
      <c r="V2766" s="43"/>
      <c r="W2766" s="43"/>
      <c r="X2766" s="43"/>
      <c r="Y2766" s="43"/>
      <c r="Z2766" s="43"/>
      <c r="AA2766" s="43"/>
      <c r="AB2766" s="43"/>
    </row>
    <row r="2767" spans="1:28" ht="14.25" hidden="1" customHeight="1">
      <c r="A2767" s="190"/>
      <c r="B2767" s="225"/>
      <c r="C2767" s="190"/>
      <c r="D2767" s="190"/>
      <c r="E2767" s="232"/>
      <c r="F2767" s="185"/>
      <c r="G2767" s="185"/>
      <c r="H2767" s="190"/>
      <c r="I2767" s="190"/>
      <c r="J2767" s="190"/>
      <c r="K2767" s="190"/>
      <c r="L2767" s="190"/>
      <c r="M2767" s="190"/>
      <c r="N2767" s="190"/>
      <c r="O2767" s="190"/>
      <c r="P2767" s="190"/>
      <c r="Q2767" s="190"/>
      <c r="R2767" s="190"/>
      <c r="S2767" s="190" t="s">
        <v>475</v>
      </c>
      <c r="T2767" s="43">
        <f t="shared" si="68"/>
        <v>1</v>
      </c>
      <c r="U2767" s="167">
        <f t="shared" si="66"/>
        <v>0</v>
      </c>
      <c r="V2767" s="43"/>
      <c r="W2767" s="43"/>
      <c r="X2767" s="43"/>
      <c r="Y2767" s="43"/>
      <c r="Z2767" s="43"/>
      <c r="AA2767" s="43"/>
      <c r="AB2767" s="43"/>
    </row>
    <row r="2768" spans="1:28" ht="14.25" hidden="1" customHeight="1">
      <c r="A2768" s="190"/>
      <c r="B2768" s="225"/>
      <c r="C2768" s="190"/>
      <c r="D2768" s="190"/>
      <c r="E2768" s="232"/>
      <c r="F2768" s="185"/>
      <c r="G2768" s="185"/>
      <c r="H2768" s="190"/>
      <c r="I2768" s="190"/>
      <c r="J2768" s="190"/>
      <c r="K2768" s="190"/>
      <c r="L2768" s="190"/>
      <c r="M2768" s="190"/>
      <c r="N2768" s="190"/>
      <c r="O2768" s="190"/>
      <c r="P2768" s="190"/>
      <c r="Q2768" s="190"/>
      <c r="R2768" s="190"/>
      <c r="S2768" s="190" t="s">
        <v>443</v>
      </c>
      <c r="T2768" s="43">
        <f t="shared" si="68"/>
        <v>1</v>
      </c>
      <c r="U2768" s="167">
        <f t="shared" si="66"/>
        <v>0</v>
      </c>
      <c r="V2768" s="43"/>
      <c r="W2768" s="43"/>
      <c r="X2768" s="43"/>
      <c r="Y2768" s="43"/>
      <c r="Z2768" s="43"/>
      <c r="AA2768" s="43"/>
      <c r="AB2768" s="43"/>
    </row>
    <row r="2769" spans="1:28" ht="14.25" hidden="1" customHeight="1">
      <c r="A2769" s="190"/>
      <c r="B2769" s="225"/>
      <c r="C2769" s="190"/>
      <c r="D2769" s="190"/>
      <c r="E2769" s="232"/>
      <c r="F2769" s="185"/>
      <c r="G2769" s="185"/>
      <c r="H2769" s="190"/>
      <c r="I2769" s="190"/>
      <c r="J2769" s="190"/>
      <c r="K2769" s="190"/>
      <c r="L2769" s="190"/>
      <c r="M2769" s="190"/>
      <c r="N2769" s="190"/>
      <c r="O2769" s="190"/>
      <c r="P2769" s="190"/>
      <c r="Q2769" s="190"/>
      <c r="R2769" s="190"/>
      <c r="S2769" s="190" t="s">
        <v>446</v>
      </c>
      <c r="T2769" s="43">
        <f t="shared" si="68"/>
        <v>1</v>
      </c>
      <c r="U2769" s="167">
        <f t="shared" si="66"/>
        <v>0</v>
      </c>
      <c r="V2769" s="43"/>
      <c r="W2769" s="43"/>
      <c r="X2769" s="43"/>
      <c r="Y2769" s="43"/>
      <c r="Z2769" s="43"/>
      <c r="AA2769" s="43"/>
      <c r="AB2769" s="43"/>
    </row>
    <row r="2770" spans="1:28" ht="14.25" hidden="1" customHeight="1">
      <c r="A2770" s="190"/>
      <c r="B2770" s="225"/>
      <c r="C2770" s="190"/>
      <c r="D2770" s="190"/>
      <c r="E2770" s="232"/>
      <c r="F2770" s="185"/>
      <c r="G2770" s="185"/>
      <c r="H2770" s="190"/>
      <c r="I2770" s="190"/>
      <c r="J2770" s="190"/>
      <c r="K2770" s="190"/>
      <c r="L2770" s="190"/>
      <c r="M2770" s="190"/>
      <c r="N2770" s="190"/>
      <c r="O2770" s="190"/>
      <c r="P2770" s="190"/>
      <c r="Q2770" s="190"/>
      <c r="R2770" s="190"/>
      <c r="S2770" s="190" t="s">
        <v>449</v>
      </c>
      <c r="T2770" s="43">
        <f t="shared" si="68"/>
        <v>1</v>
      </c>
      <c r="U2770" s="167">
        <f t="shared" si="66"/>
        <v>0</v>
      </c>
      <c r="V2770" s="43"/>
      <c r="W2770" s="43"/>
      <c r="X2770" s="43"/>
      <c r="Y2770" s="43"/>
      <c r="Z2770" s="43"/>
      <c r="AA2770" s="43"/>
      <c r="AB2770" s="43"/>
    </row>
    <row r="2771" spans="1:28" ht="14.25" hidden="1" customHeight="1">
      <c r="A2771" s="190"/>
      <c r="B2771" s="225"/>
      <c r="C2771" s="190"/>
      <c r="D2771" s="190"/>
      <c r="E2771" s="232"/>
      <c r="F2771" s="185"/>
      <c r="G2771" s="185"/>
      <c r="H2771" s="190"/>
      <c r="I2771" s="190"/>
      <c r="J2771" s="190"/>
      <c r="K2771" s="190"/>
      <c r="L2771" s="190"/>
      <c r="M2771" s="190"/>
      <c r="N2771" s="190"/>
      <c r="O2771" s="190"/>
      <c r="P2771" s="190"/>
      <c r="Q2771" s="190"/>
      <c r="R2771" s="190"/>
      <c r="S2771" s="190" t="s">
        <v>323</v>
      </c>
      <c r="T2771" s="43">
        <f t="shared" si="68"/>
        <v>1</v>
      </c>
      <c r="U2771" s="167">
        <f t="shared" si="66"/>
        <v>0</v>
      </c>
      <c r="V2771" s="43"/>
      <c r="W2771" s="43"/>
      <c r="X2771" s="43"/>
      <c r="Y2771" s="43"/>
      <c r="Z2771" s="43"/>
      <c r="AA2771" s="43"/>
      <c r="AB2771" s="43"/>
    </row>
    <row r="2772" spans="1:28" ht="14.25" hidden="1" customHeight="1">
      <c r="A2772" s="190"/>
      <c r="B2772" s="225"/>
      <c r="C2772" s="190"/>
      <c r="D2772" s="190"/>
      <c r="E2772" s="232"/>
      <c r="F2772" s="185"/>
      <c r="G2772" s="185"/>
      <c r="H2772" s="190"/>
      <c r="I2772" s="190"/>
      <c r="J2772" s="190"/>
      <c r="K2772" s="190"/>
      <c r="L2772" s="190"/>
      <c r="M2772" s="190"/>
      <c r="N2772" s="190"/>
      <c r="O2772" s="190"/>
      <c r="P2772" s="190"/>
      <c r="Q2772" s="190"/>
      <c r="R2772" s="190"/>
      <c r="S2772" s="190" t="s">
        <v>453</v>
      </c>
      <c r="T2772" s="43">
        <f t="shared" si="68"/>
        <v>1</v>
      </c>
      <c r="U2772" s="167">
        <f t="shared" si="66"/>
        <v>0</v>
      </c>
      <c r="V2772" s="43"/>
      <c r="W2772" s="43"/>
      <c r="X2772" s="43"/>
      <c r="Y2772" s="43"/>
      <c r="Z2772" s="43"/>
      <c r="AA2772" s="43"/>
      <c r="AB2772" s="43"/>
    </row>
    <row r="2773" spans="1:28" ht="14.25" hidden="1" customHeight="1">
      <c r="A2773" s="190"/>
      <c r="B2773" s="225"/>
      <c r="C2773" s="190"/>
      <c r="D2773" s="190"/>
      <c r="E2773" s="232"/>
      <c r="F2773" s="185"/>
      <c r="G2773" s="185"/>
      <c r="H2773" s="190"/>
      <c r="I2773" s="190"/>
      <c r="J2773" s="190"/>
      <c r="K2773" s="190"/>
      <c r="L2773" s="190"/>
      <c r="M2773" s="190"/>
      <c r="N2773" s="190"/>
      <c r="O2773" s="190"/>
      <c r="P2773" s="190"/>
      <c r="Q2773" s="190"/>
      <c r="R2773" s="190"/>
      <c r="S2773" s="190" t="s">
        <v>361</v>
      </c>
      <c r="T2773" s="43">
        <f t="shared" si="68"/>
        <v>1</v>
      </c>
      <c r="U2773" s="167">
        <f t="shared" si="66"/>
        <v>0</v>
      </c>
      <c r="V2773" s="43"/>
      <c r="W2773" s="43"/>
      <c r="X2773" s="43"/>
      <c r="Y2773" s="43"/>
      <c r="Z2773" s="43"/>
      <c r="AA2773" s="43"/>
      <c r="AB2773" s="43"/>
    </row>
    <row r="2774" spans="1:28" ht="14.25" hidden="1" customHeight="1">
      <c r="A2774" s="190"/>
      <c r="B2774" s="225"/>
      <c r="C2774" s="190"/>
      <c r="D2774" s="190"/>
      <c r="E2774" s="232"/>
      <c r="F2774" s="185"/>
      <c r="G2774" s="185"/>
      <c r="H2774" s="190"/>
      <c r="I2774" s="190"/>
      <c r="J2774" s="190"/>
      <c r="K2774" s="190"/>
      <c r="L2774" s="190"/>
      <c r="M2774" s="190"/>
      <c r="N2774" s="190"/>
      <c r="O2774" s="190"/>
      <c r="P2774" s="190"/>
      <c r="Q2774" s="190"/>
      <c r="R2774" s="190"/>
      <c r="S2774" s="190" t="s">
        <v>456</v>
      </c>
      <c r="T2774" s="43">
        <f t="shared" si="68"/>
        <v>1</v>
      </c>
      <c r="U2774" s="167">
        <f t="shared" si="66"/>
        <v>0</v>
      </c>
      <c r="V2774" s="43"/>
      <c r="W2774" s="43"/>
      <c r="X2774" s="43"/>
      <c r="Y2774" s="43"/>
      <c r="Z2774" s="43"/>
      <c r="AA2774" s="43"/>
      <c r="AB2774" s="43"/>
    </row>
    <row r="2775" spans="1:28" ht="14.25" hidden="1" customHeight="1">
      <c r="A2775" s="190"/>
      <c r="B2775" s="225"/>
      <c r="C2775" s="190"/>
      <c r="D2775" s="190"/>
      <c r="E2775" s="232"/>
      <c r="F2775" s="185"/>
      <c r="G2775" s="185"/>
      <c r="H2775" s="190"/>
      <c r="I2775" s="190"/>
      <c r="J2775" s="190"/>
      <c r="K2775" s="190"/>
      <c r="L2775" s="190"/>
      <c r="M2775" s="190"/>
      <c r="N2775" s="190"/>
      <c r="O2775" s="190"/>
      <c r="P2775" s="190"/>
      <c r="Q2775" s="190"/>
      <c r="R2775" s="190"/>
      <c r="S2775" s="190" t="s">
        <v>459</v>
      </c>
      <c r="T2775" s="43">
        <f t="shared" si="68"/>
        <v>1</v>
      </c>
      <c r="U2775" s="167">
        <f t="shared" si="66"/>
        <v>0</v>
      </c>
      <c r="V2775" s="43"/>
      <c r="W2775" s="43"/>
      <c r="X2775" s="43"/>
      <c r="Y2775" s="43"/>
      <c r="Z2775" s="43"/>
      <c r="AA2775" s="43"/>
      <c r="AB2775" s="43"/>
    </row>
    <row r="2776" spans="1:28" ht="14.25" hidden="1" customHeight="1">
      <c r="A2776" s="190"/>
      <c r="B2776" s="225"/>
      <c r="C2776" s="190"/>
      <c r="D2776" s="190"/>
      <c r="E2776" s="232"/>
      <c r="F2776" s="185"/>
      <c r="G2776" s="185"/>
      <c r="H2776" s="190"/>
      <c r="I2776" s="190"/>
      <c r="J2776" s="190"/>
      <c r="K2776" s="190"/>
      <c r="L2776" s="190"/>
      <c r="M2776" s="190"/>
      <c r="N2776" s="190"/>
      <c r="O2776" s="190"/>
      <c r="P2776" s="190"/>
      <c r="Q2776" s="190"/>
      <c r="R2776" s="190"/>
      <c r="S2776" s="190" t="s">
        <v>462</v>
      </c>
      <c r="T2776" s="43">
        <f t="shared" si="68"/>
        <v>1</v>
      </c>
      <c r="U2776" s="167">
        <f t="shared" si="66"/>
        <v>0</v>
      </c>
      <c r="V2776" s="43"/>
      <c r="W2776" s="43"/>
      <c r="X2776" s="43"/>
      <c r="Y2776" s="43"/>
      <c r="Z2776" s="43"/>
      <c r="AA2776" s="43"/>
      <c r="AB2776" s="43"/>
    </row>
    <row r="2777" spans="1:28" ht="14.25" hidden="1" customHeight="1">
      <c r="A2777" s="190"/>
      <c r="B2777" s="225"/>
      <c r="C2777" s="190"/>
      <c r="D2777" s="190"/>
      <c r="E2777" s="232"/>
      <c r="F2777" s="185"/>
      <c r="G2777" s="185"/>
      <c r="H2777" s="190"/>
      <c r="I2777" s="190"/>
      <c r="J2777" s="190"/>
      <c r="K2777" s="190"/>
      <c r="L2777" s="190"/>
      <c r="M2777" s="190"/>
      <c r="N2777" s="190"/>
      <c r="O2777" s="190"/>
      <c r="P2777" s="190"/>
      <c r="Q2777" s="190"/>
      <c r="R2777" s="190"/>
      <c r="S2777" s="190" t="s">
        <v>465</v>
      </c>
      <c r="T2777" s="43">
        <f t="shared" si="68"/>
        <v>1</v>
      </c>
      <c r="U2777" s="167">
        <f t="shared" si="66"/>
        <v>0</v>
      </c>
      <c r="V2777" s="43"/>
      <c r="W2777" s="43"/>
      <c r="X2777" s="43"/>
      <c r="Y2777" s="43"/>
      <c r="Z2777" s="43"/>
      <c r="AA2777" s="43"/>
      <c r="AB2777" s="43"/>
    </row>
    <row r="2778" spans="1:28" ht="14.25" hidden="1" customHeight="1">
      <c r="A2778" s="190"/>
      <c r="B2778" s="225"/>
      <c r="C2778" s="190"/>
      <c r="D2778" s="190"/>
      <c r="E2778" s="232"/>
      <c r="F2778" s="185"/>
      <c r="G2778" s="185"/>
      <c r="H2778" s="190"/>
      <c r="I2778" s="190"/>
      <c r="J2778" s="190"/>
      <c r="K2778" s="190"/>
      <c r="L2778" s="190"/>
      <c r="M2778" s="190"/>
      <c r="N2778" s="190"/>
      <c r="O2778" s="190"/>
      <c r="P2778" s="190"/>
      <c r="Q2778" s="190"/>
      <c r="R2778" s="190"/>
      <c r="S2778" s="190" t="s">
        <v>471</v>
      </c>
      <c r="T2778" s="43">
        <f t="shared" si="68"/>
        <v>1</v>
      </c>
      <c r="U2778" s="167">
        <f t="shared" si="66"/>
        <v>0</v>
      </c>
      <c r="V2778" s="43"/>
      <c r="W2778" s="43"/>
      <c r="X2778" s="43"/>
      <c r="Y2778" s="43"/>
      <c r="Z2778" s="43"/>
      <c r="AA2778" s="43"/>
      <c r="AB2778" s="43"/>
    </row>
    <row r="2779" spans="1:28" ht="14.25" hidden="1" customHeight="1">
      <c r="A2779" s="190"/>
      <c r="B2779" s="225"/>
      <c r="C2779" s="190"/>
      <c r="D2779" s="190"/>
      <c r="E2779" s="232"/>
      <c r="F2779" s="185"/>
      <c r="G2779" s="185"/>
      <c r="H2779" s="190"/>
      <c r="I2779" s="190"/>
      <c r="J2779" s="190"/>
      <c r="K2779" s="190"/>
      <c r="L2779" s="190"/>
      <c r="M2779" s="190"/>
      <c r="N2779" s="190"/>
      <c r="O2779" s="190"/>
      <c r="P2779" s="190"/>
      <c r="Q2779" s="190"/>
      <c r="R2779" s="190"/>
      <c r="S2779" s="190" t="s">
        <v>468</v>
      </c>
      <c r="T2779" s="43">
        <f t="shared" si="68"/>
        <v>1</v>
      </c>
      <c r="U2779" s="167">
        <f t="shared" si="66"/>
        <v>0</v>
      </c>
      <c r="V2779" s="43"/>
      <c r="W2779" s="43"/>
      <c r="X2779" s="43"/>
      <c r="Y2779" s="43"/>
      <c r="Z2779" s="43"/>
      <c r="AA2779" s="43"/>
      <c r="AB2779" s="43"/>
    </row>
    <row r="2780" spans="1:28" ht="14.25" hidden="1" customHeight="1">
      <c r="A2780" s="190"/>
      <c r="B2780" s="225"/>
      <c r="C2780" s="190"/>
      <c r="D2780" s="190"/>
      <c r="E2780" s="232"/>
      <c r="F2780" s="185"/>
      <c r="G2780" s="185"/>
      <c r="H2780" s="190"/>
      <c r="I2780" s="190"/>
      <c r="J2780" s="190"/>
      <c r="K2780" s="190"/>
      <c r="L2780" s="190"/>
      <c r="M2780" s="190"/>
      <c r="N2780" s="190"/>
      <c r="O2780" s="190"/>
      <c r="P2780" s="190"/>
      <c r="Q2780" s="190"/>
      <c r="R2780" s="190"/>
      <c r="S2780" s="190" t="s">
        <v>554</v>
      </c>
      <c r="T2780" s="43">
        <f t="shared" si="68"/>
        <v>1</v>
      </c>
      <c r="U2780" s="167">
        <f t="shared" si="66"/>
        <v>0</v>
      </c>
      <c r="V2780" s="43"/>
      <c r="W2780" s="43"/>
      <c r="X2780" s="43"/>
      <c r="Y2780" s="43"/>
      <c r="Z2780" s="43"/>
      <c r="AA2780" s="43"/>
      <c r="AB2780" s="43"/>
    </row>
    <row r="2781" spans="1:28" ht="14.25" hidden="1" customHeight="1">
      <c r="A2781" s="190"/>
      <c r="B2781" s="225"/>
      <c r="C2781" s="190"/>
      <c r="D2781" s="190"/>
      <c r="E2781" s="232"/>
      <c r="F2781" s="185"/>
      <c r="G2781" s="185"/>
      <c r="H2781" s="190"/>
      <c r="I2781" s="190"/>
      <c r="J2781" s="190"/>
      <c r="K2781" s="190"/>
      <c r="L2781" s="190"/>
      <c r="M2781" s="190"/>
      <c r="N2781" s="190"/>
      <c r="O2781" s="190"/>
      <c r="P2781" s="190"/>
      <c r="Q2781" s="190"/>
      <c r="R2781" s="190"/>
      <c r="S2781" s="190" t="s">
        <v>480</v>
      </c>
      <c r="T2781" s="43">
        <f t="shared" si="68"/>
        <v>1</v>
      </c>
      <c r="U2781" s="167">
        <f t="shared" si="66"/>
        <v>0</v>
      </c>
      <c r="V2781" s="43"/>
      <c r="W2781" s="43"/>
      <c r="X2781" s="43"/>
      <c r="Y2781" s="43"/>
      <c r="Z2781" s="43"/>
      <c r="AA2781" s="43"/>
      <c r="AB2781" s="43"/>
    </row>
    <row r="2782" spans="1:28" ht="14.25" hidden="1" customHeight="1">
      <c r="A2782" s="190"/>
      <c r="B2782" s="225"/>
      <c r="C2782" s="190"/>
      <c r="D2782" s="190"/>
      <c r="E2782" s="232"/>
      <c r="F2782" s="185"/>
      <c r="G2782" s="185"/>
      <c r="H2782" s="190"/>
      <c r="I2782" s="190"/>
      <c r="J2782" s="190"/>
      <c r="K2782" s="190"/>
      <c r="L2782" s="190"/>
      <c r="M2782" s="190"/>
      <c r="N2782" s="190"/>
      <c r="O2782" s="190"/>
      <c r="P2782" s="190"/>
      <c r="Q2782" s="190"/>
      <c r="R2782" s="190"/>
      <c r="S2782" s="190" t="s">
        <v>483</v>
      </c>
      <c r="T2782" s="43">
        <f t="shared" si="68"/>
        <v>1</v>
      </c>
      <c r="U2782" s="167">
        <f t="shared" si="66"/>
        <v>0</v>
      </c>
      <c r="V2782" s="43"/>
      <c r="W2782" s="43"/>
      <c r="X2782" s="43"/>
      <c r="Y2782" s="43"/>
      <c r="Z2782" s="43"/>
      <c r="AA2782" s="43"/>
      <c r="AB2782" s="43"/>
    </row>
    <row r="2783" spans="1:28" ht="14.25" hidden="1" customHeight="1">
      <c r="A2783" s="190"/>
      <c r="B2783" s="225"/>
      <c r="C2783" s="190"/>
      <c r="D2783" s="190"/>
      <c r="E2783" s="232"/>
      <c r="F2783" s="185"/>
      <c r="G2783" s="185"/>
      <c r="H2783" s="190"/>
      <c r="I2783" s="190"/>
      <c r="J2783" s="190"/>
      <c r="K2783" s="190"/>
      <c r="L2783" s="190"/>
      <c r="M2783" s="190"/>
      <c r="N2783" s="190"/>
      <c r="O2783" s="190"/>
      <c r="P2783" s="190"/>
      <c r="Q2783" s="190"/>
      <c r="R2783" s="190"/>
      <c r="S2783" s="190" t="s">
        <v>487</v>
      </c>
      <c r="T2783" s="43">
        <f t="shared" si="68"/>
        <v>1</v>
      </c>
      <c r="U2783" s="167">
        <f t="shared" si="66"/>
        <v>0</v>
      </c>
      <c r="V2783" s="43"/>
      <c r="W2783" s="43"/>
      <c r="X2783" s="43"/>
      <c r="Y2783" s="43"/>
      <c r="Z2783" s="43"/>
      <c r="AA2783" s="43"/>
      <c r="AB2783" s="43"/>
    </row>
    <row r="2784" spans="1:28" ht="14.25" hidden="1" customHeight="1">
      <c r="A2784" s="190"/>
      <c r="B2784" s="225"/>
      <c r="C2784" s="190"/>
      <c r="D2784" s="190"/>
      <c r="E2784" s="232"/>
      <c r="F2784" s="185"/>
      <c r="G2784" s="185"/>
      <c r="H2784" s="190"/>
      <c r="I2784" s="190"/>
      <c r="J2784" s="190"/>
      <c r="K2784" s="190"/>
      <c r="L2784" s="190"/>
      <c r="M2784" s="190"/>
      <c r="N2784" s="190"/>
      <c r="O2784" s="190"/>
      <c r="P2784" s="190"/>
      <c r="Q2784" s="190"/>
      <c r="R2784" s="190"/>
      <c r="S2784" s="190" t="s">
        <v>490</v>
      </c>
      <c r="T2784" s="43">
        <f t="shared" si="68"/>
        <v>1</v>
      </c>
      <c r="U2784" s="167">
        <f t="shared" si="66"/>
        <v>0</v>
      </c>
      <c r="V2784" s="43"/>
      <c r="W2784" s="43"/>
      <c r="X2784" s="43"/>
      <c r="Y2784" s="43"/>
      <c r="Z2784" s="43"/>
      <c r="AA2784" s="43"/>
      <c r="AB2784" s="43"/>
    </row>
    <row r="2785" spans="1:28" ht="14.25" hidden="1" customHeight="1">
      <c r="A2785" s="190"/>
      <c r="B2785" s="225"/>
      <c r="C2785" s="190"/>
      <c r="D2785" s="190"/>
      <c r="E2785" s="232"/>
      <c r="F2785" s="185"/>
      <c r="G2785" s="185"/>
      <c r="H2785" s="190"/>
      <c r="I2785" s="190"/>
      <c r="J2785" s="190"/>
      <c r="K2785" s="190"/>
      <c r="L2785" s="190"/>
      <c r="M2785" s="190"/>
      <c r="N2785" s="190"/>
      <c r="O2785" s="190"/>
      <c r="P2785" s="190"/>
      <c r="Q2785" s="190"/>
      <c r="R2785" s="190"/>
      <c r="S2785" s="190" t="s">
        <v>493</v>
      </c>
      <c r="T2785" s="43">
        <f t="shared" si="68"/>
        <v>1</v>
      </c>
      <c r="U2785" s="167">
        <f t="shared" si="66"/>
        <v>0</v>
      </c>
      <c r="V2785" s="43"/>
      <c r="W2785" s="43"/>
      <c r="X2785" s="43"/>
      <c r="Y2785" s="43"/>
      <c r="Z2785" s="43"/>
      <c r="AA2785" s="43"/>
      <c r="AB2785" s="43"/>
    </row>
    <row r="2786" spans="1:28" ht="14.25" hidden="1" customHeight="1">
      <c r="A2786" s="190"/>
      <c r="B2786" s="225"/>
      <c r="C2786" s="190"/>
      <c r="D2786" s="190"/>
      <c r="E2786" s="232"/>
      <c r="F2786" s="185"/>
      <c r="G2786" s="185"/>
      <c r="H2786" s="190"/>
      <c r="I2786" s="190"/>
      <c r="J2786" s="190"/>
      <c r="K2786" s="190"/>
      <c r="L2786" s="190"/>
      <c r="M2786" s="190"/>
      <c r="N2786" s="190"/>
      <c r="O2786" s="190"/>
      <c r="P2786" s="190"/>
      <c r="Q2786" s="190"/>
      <c r="R2786" s="190"/>
      <c r="S2786" s="190" t="s">
        <v>496</v>
      </c>
      <c r="T2786" s="43">
        <f t="shared" si="68"/>
        <v>1</v>
      </c>
      <c r="U2786" s="167">
        <f t="shared" si="66"/>
        <v>0</v>
      </c>
      <c r="V2786" s="43"/>
      <c r="W2786" s="43"/>
      <c r="X2786" s="43"/>
      <c r="Y2786" s="43"/>
      <c r="Z2786" s="43"/>
      <c r="AA2786" s="43"/>
      <c r="AB2786" s="43"/>
    </row>
    <row r="2787" spans="1:28" ht="14.25" hidden="1" customHeight="1">
      <c r="A2787" s="190"/>
      <c r="B2787" s="225"/>
      <c r="C2787" s="190"/>
      <c r="D2787" s="190"/>
      <c r="E2787" s="232"/>
      <c r="F2787" s="185"/>
      <c r="G2787" s="185"/>
      <c r="H2787" s="190"/>
      <c r="I2787" s="190"/>
      <c r="J2787" s="190"/>
      <c r="K2787" s="190"/>
      <c r="L2787" s="190"/>
      <c r="M2787" s="190"/>
      <c r="N2787" s="190"/>
      <c r="O2787" s="190"/>
      <c r="P2787" s="190"/>
      <c r="Q2787" s="190"/>
      <c r="R2787" s="190"/>
      <c r="S2787" s="190" t="s">
        <v>500</v>
      </c>
      <c r="T2787" s="43">
        <f t="shared" si="68"/>
        <v>1</v>
      </c>
      <c r="U2787" s="167">
        <f t="shared" si="66"/>
        <v>0</v>
      </c>
      <c r="V2787" s="43"/>
      <c r="W2787" s="43"/>
      <c r="X2787" s="43"/>
      <c r="Y2787" s="43"/>
      <c r="Z2787" s="43"/>
      <c r="AA2787" s="43"/>
      <c r="AB2787" s="43"/>
    </row>
    <row r="2788" spans="1:28" ht="14.25" hidden="1" customHeight="1">
      <c r="A2788" s="190"/>
      <c r="B2788" s="225"/>
      <c r="C2788" s="190"/>
      <c r="D2788" s="190"/>
      <c r="E2788" s="232"/>
      <c r="F2788" s="185"/>
      <c r="G2788" s="185"/>
      <c r="H2788" s="190"/>
      <c r="I2788" s="190"/>
      <c r="J2788" s="190"/>
      <c r="K2788" s="190"/>
      <c r="L2788" s="190"/>
      <c r="M2788" s="190"/>
      <c r="N2788" s="190"/>
      <c r="O2788" s="190"/>
      <c r="P2788" s="190"/>
      <c r="Q2788" s="190"/>
      <c r="R2788" s="190"/>
      <c r="S2788" s="190" t="s">
        <v>503</v>
      </c>
      <c r="T2788" s="43">
        <f t="shared" si="68"/>
        <v>1</v>
      </c>
      <c r="U2788" s="167">
        <f t="shared" si="66"/>
        <v>0</v>
      </c>
      <c r="V2788" s="43"/>
      <c r="W2788" s="43"/>
      <c r="X2788" s="43"/>
      <c r="Y2788" s="43"/>
      <c r="Z2788" s="43"/>
      <c r="AA2788" s="43"/>
      <c r="AB2788" s="43"/>
    </row>
    <row r="2789" spans="1:28" ht="14.25" hidden="1" customHeight="1">
      <c r="A2789" s="190"/>
      <c r="B2789" s="225"/>
      <c r="C2789" s="190"/>
      <c r="D2789" s="190"/>
      <c r="E2789" s="232"/>
      <c r="F2789" s="185"/>
      <c r="G2789" s="185"/>
      <c r="H2789" s="190"/>
      <c r="I2789" s="190"/>
      <c r="J2789" s="190"/>
      <c r="K2789" s="190"/>
      <c r="L2789" s="190"/>
      <c r="M2789" s="190"/>
      <c r="N2789" s="190"/>
      <c r="O2789" s="190"/>
      <c r="P2789" s="190"/>
      <c r="Q2789" s="190"/>
      <c r="R2789" s="190"/>
      <c r="S2789" s="190" t="s">
        <v>364</v>
      </c>
      <c r="T2789" s="43">
        <f t="shared" si="68"/>
        <v>1</v>
      </c>
      <c r="U2789" s="167">
        <f t="shared" si="66"/>
        <v>0</v>
      </c>
      <c r="V2789" s="43"/>
      <c r="W2789" s="43"/>
      <c r="X2789" s="43"/>
      <c r="Y2789" s="43"/>
      <c r="Z2789" s="43"/>
      <c r="AA2789" s="43"/>
      <c r="AB2789" s="43"/>
    </row>
    <row r="2790" spans="1:28" ht="14.25" hidden="1" customHeight="1">
      <c r="A2790" s="190"/>
      <c r="B2790" s="225"/>
      <c r="C2790" s="190"/>
      <c r="D2790" s="190"/>
      <c r="E2790" s="232"/>
      <c r="F2790" s="185"/>
      <c r="G2790" s="185"/>
      <c r="H2790" s="190"/>
      <c r="I2790" s="190"/>
      <c r="J2790" s="190"/>
      <c r="K2790" s="190"/>
      <c r="L2790" s="190"/>
      <c r="M2790" s="190"/>
      <c r="N2790" s="190"/>
      <c r="O2790" s="190"/>
      <c r="P2790" s="190"/>
      <c r="Q2790" s="190"/>
      <c r="R2790" s="190"/>
      <c r="S2790" s="190" t="s">
        <v>507</v>
      </c>
      <c r="T2790" s="43">
        <f t="shared" si="68"/>
        <v>1</v>
      </c>
      <c r="U2790" s="167">
        <f t="shared" si="66"/>
        <v>0</v>
      </c>
      <c r="V2790" s="43"/>
      <c r="W2790" s="43"/>
      <c r="X2790" s="43"/>
      <c r="Y2790" s="43"/>
      <c r="Z2790" s="43"/>
      <c r="AA2790" s="43"/>
      <c r="AB2790" s="43"/>
    </row>
    <row r="2791" spans="1:28" ht="14.25" hidden="1" customHeight="1">
      <c r="A2791" s="190"/>
      <c r="B2791" s="225"/>
      <c r="C2791" s="190"/>
      <c r="D2791" s="190"/>
      <c r="E2791" s="232"/>
      <c r="F2791" s="185"/>
      <c r="G2791" s="185"/>
      <c r="H2791" s="190"/>
      <c r="I2791" s="190"/>
      <c r="J2791" s="190"/>
      <c r="K2791" s="190"/>
      <c r="L2791" s="190"/>
      <c r="M2791" s="190"/>
      <c r="N2791" s="190"/>
      <c r="O2791" s="190"/>
      <c r="P2791" s="190"/>
      <c r="Q2791" s="190"/>
      <c r="R2791" s="190"/>
      <c r="S2791" s="190" t="s">
        <v>320</v>
      </c>
      <c r="T2791" s="43">
        <f t="shared" si="68"/>
        <v>1</v>
      </c>
      <c r="U2791" s="167">
        <f t="shared" si="66"/>
        <v>0</v>
      </c>
      <c r="V2791" s="43"/>
      <c r="W2791" s="43"/>
      <c r="X2791" s="43"/>
      <c r="Y2791" s="43"/>
      <c r="Z2791" s="43"/>
      <c r="AA2791" s="43"/>
      <c r="AB2791" s="43"/>
    </row>
    <row r="2792" spans="1:28" ht="14.25" hidden="1" customHeight="1">
      <c r="A2792" s="190"/>
      <c r="B2792" s="225"/>
      <c r="C2792" s="190"/>
      <c r="D2792" s="190"/>
      <c r="E2792" s="232"/>
      <c r="F2792" s="191"/>
      <c r="G2792" s="185"/>
      <c r="H2792" s="190"/>
      <c r="I2792" s="190"/>
      <c r="J2792" s="190"/>
      <c r="K2792" s="190"/>
      <c r="L2792" s="190"/>
      <c r="M2792" s="190"/>
      <c r="N2792" s="190"/>
      <c r="O2792" s="190"/>
      <c r="P2792" s="190"/>
      <c r="Q2792" s="190"/>
      <c r="R2792" s="190"/>
      <c r="S2792" s="190"/>
      <c r="T2792" s="43">
        <f t="shared" si="68"/>
        <v>1</v>
      </c>
      <c r="U2792" s="167">
        <f t="shared" si="66"/>
        <v>0</v>
      </c>
      <c r="V2792" s="43"/>
      <c r="W2792" s="43"/>
      <c r="X2792" s="43"/>
      <c r="Y2792" s="43"/>
      <c r="Z2792" s="43"/>
      <c r="AA2792" s="43"/>
      <c r="AB2792" s="43"/>
    </row>
    <row r="2793" spans="1:28" ht="14.25" hidden="1" customHeight="1">
      <c r="A2793" s="190"/>
      <c r="B2793" s="225"/>
      <c r="C2793" s="190"/>
      <c r="D2793" s="190"/>
      <c r="E2793" s="232"/>
      <c r="F2793" s="191"/>
      <c r="G2793" s="185"/>
      <c r="H2793" s="190"/>
      <c r="I2793" s="190"/>
      <c r="J2793" s="190"/>
      <c r="K2793" s="190"/>
      <c r="L2793" s="190"/>
      <c r="M2793" s="190"/>
      <c r="N2793" s="190"/>
      <c r="O2793" s="190"/>
      <c r="P2793" s="190"/>
      <c r="Q2793" s="190"/>
      <c r="R2793" s="190"/>
      <c r="S2793" s="190" t="s">
        <v>1863</v>
      </c>
      <c r="T2793" s="43">
        <f t="shared" si="68"/>
        <v>1</v>
      </c>
      <c r="U2793" s="167">
        <f t="shared" si="66"/>
        <v>0</v>
      </c>
      <c r="V2793" s="43"/>
      <c r="W2793" s="43"/>
      <c r="X2793" s="43"/>
      <c r="Y2793" s="43"/>
      <c r="Z2793" s="43"/>
      <c r="AA2793" s="43"/>
      <c r="AB2793" s="43"/>
    </row>
    <row r="2794" spans="1:28" ht="14.25" hidden="1" customHeight="1">
      <c r="A2794" s="190"/>
      <c r="B2794" s="225"/>
      <c r="C2794" s="190"/>
      <c r="D2794" s="190"/>
      <c r="E2794" s="232"/>
      <c r="F2794" s="191"/>
      <c r="G2794" s="185"/>
      <c r="H2794" s="190"/>
      <c r="I2794" s="190"/>
      <c r="J2794" s="190"/>
      <c r="K2794" s="190"/>
      <c r="L2794" s="190"/>
      <c r="M2794" s="190"/>
      <c r="N2794" s="190"/>
      <c r="O2794" s="190"/>
      <c r="P2794" s="190"/>
      <c r="Q2794" s="190"/>
      <c r="R2794" s="190"/>
      <c r="S2794" s="190" t="s">
        <v>650</v>
      </c>
      <c r="T2794" s="43">
        <f t="shared" si="68"/>
        <v>1</v>
      </c>
      <c r="U2794" s="167">
        <f t="shared" si="66"/>
        <v>0</v>
      </c>
      <c r="V2794" s="43"/>
      <c r="W2794" s="43"/>
      <c r="X2794" s="43"/>
      <c r="Y2794" s="43"/>
      <c r="Z2794" s="43"/>
      <c r="AA2794" s="43"/>
      <c r="AB2794" s="43"/>
    </row>
    <row r="2795" spans="1:28" ht="14.25" hidden="1" customHeight="1">
      <c r="A2795" s="190"/>
      <c r="B2795" s="225"/>
      <c r="C2795" s="190"/>
      <c r="D2795" s="190"/>
      <c r="E2795" s="232"/>
      <c r="F2795" s="185"/>
      <c r="G2795" s="185"/>
      <c r="H2795" s="190"/>
      <c r="I2795" s="190"/>
      <c r="J2795" s="190"/>
      <c r="K2795" s="190"/>
      <c r="L2795" s="190"/>
      <c r="M2795" s="190"/>
      <c r="N2795" s="190"/>
      <c r="O2795" s="190"/>
      <c r="P2795" s="190"/>
      <c r="Q2795" s="190"/>
      <c r="R2795" s="190"/>
      <c r="S2795" s="190" t="s">
        <v>390</v>
      </c>
      <c r="T2795" s="43">
        <f t="shared" si="68"/>
        <v>1</v>
      </c>
      <c r="U2795" s="167">
        <f t="shared" si="66"/>
        <v>0</v>
      </c>
      <c r="V2795" s="43"/>
      <c r="W2795" s="43"/>
      <c r="X2795" s="43"/>
      <c r="Y2795" s="43"/>
      <c r="Z2795" s="43"/>
      <c r="AA2795" s="43"/>
      <c r="AB2795" s="43"/>
    </row>
    <row r="2796" spans="1:28" ht="14.25" hidden="1" customHeight="1">
      <c r="A2796" s="190"/>
      <c r="B2796" s="225"/>
      <c r="C2796" s="190"/>
      <c r="D2796" s="190"/>
      <c r="E2796" s="232"/>
      <c r="F2796" s="185"/>
      <c r="G2796" s="185"/>
      <c r="H2796" s="190"/>
      <c r="I2796" s="190"/>
      <c r="J2796" s="190"/>
      <c r="K2796" s="190"/>
      <c r="L2796" s="190"/>
      <c r="M2796" s="190"/>
      <c r="N2796" s="190"/>
      <c r="O2796" s="190"/>
      <c r="P2796" s="190"/>
      <c r="Q2796" s="190"/>
      <c r="R2796" s="190"/>
      <c r="S2796" s="190" t="s">
        <v>700</v>
      </c>
      <c r="T2796" s="43">
        <f t="shared" si="68"/>
        <v>1</v>
      </c>
      <c r="U2796" s="167">
        <f t="shared" si="66"/>
        <v>0</v>
      </c>
      <c r="V2796" s="43"/>
      <c r="W2796" s="43"/>
      <c r="X2796" s="43"/>
      <c r="Y2796" s="43"/>
      <c r="Z2796" s="43"/>
      <c r="AA2796" s="43"/>
      <c r="AB2796" s="43"/>
    </row>
    <row r="2797" spans="1:28" ht="14.25" hidden="1" customHeight="1">
      <c r="A2797" s="190"/>
      <c r="B2797" s="225"/>
      <c r="C2797" s="190"/>
      <c r="D2797" s="190"/>
      <c r="E2797" s="232"/>
      <c r="F2797" s="185"/>
      <c r="G2797" s="185"/>
      <c r="H2797" s="190"/>
      <c r="I2797" s="190"/>
      <c r="J2797" s="190"/>
      <c r="K2797" s="190"/>
      <c r="L2797" s="190"/>
      <c r="M2797" s="190"/>
      <c r="N2797" s="190"/>
      <c r="O2797" s="190"/>
      <c r="P2797" s="190"/>
      <c r="Q2797" s="190"/>
      <c r="R2797" s="190"/>
      <c r="S2797" s="190" t="s">
        <v>1016</v>
      </c>
      <c r="T2797" s="43">
        <f t="shared" si="68"/>
        <v>1</v>
      </c>
      <c r="U2797" s="167">
        <f t="shared" si="66"/>
        <v>0</v>
      </c>
      <c r="V2797" s="43"/>
      <c r="W2797" s="43"/>
      <c r="X2797" s="43"/>
      <c r="Y2797" s="43"/>
      <c r="Z2797" s="43"/>
      <c r="AA2797" s="43"/>
      <c r="AB2797" s="43"/>
    </row>
    <row r="2798" spans="1:28" ht="14.25" hidden="1" customHeight="1">
      <c r="A2798" s="190"/>
      <c r="B2798" s="225"/>
      <c r="C2798" s="190"/>
      <c r="D2798" s="190"/>
      <c r="E2798" s="232"/>
      <c r="F2798" s="185"/>
      <c r="G2798" s="185"/>
      <c r="H2798" s="190"/>
      <c r="I2798" s="190"/>
      <c r="J2798" s="190"/>
      <c r="K2798" s="190"/>
      <c r="L2798" s="190"/>
      <c r="M2798" s="190"/>
      <c r="N2798" s="190"/>
      <c r="O2798" s="190"/>
      <c r="P2798" s="190"/>
      <c r="Q2798" s="190"/>
      <c r="R2798" s="190"/>
      <c r="S2798" s="190" t="s">
        <v>80</v>
      </c>
      <c r="T2798" s="43">
        <f t="shared" si="68"/>
        <v>1</v>
      </c>
      <c r="U2798" s="167">
        <f t="shared" si="66"/>
        <v>0</v>
      </c>
      <c r="V2798" s="43"/>
      <c r="W2798" s="43"/>
      <c r="X2798" s="43"/>
      <c r="Y2798" s="43"/>
      <c r="Z2798" s="43"/>
      <c r="AA2798" s="43"/>
      <c r="AB2798" s="43"/>
    </row>
    <row r="2799" spans="1:28" ht="14.25" hidden="1" customHeight="1">
      <c r="A2799" s="190"/>
      <c r="B2799" s="225"/>
      <c r="C2799" s="190"/>
      <c r="D2799" s="190"/>
      <c r="E2799" s="232"/>
      <c r="F2799" s="185"/>
      <c r="G2799" s="185"/>
      <c r="H2799" s="190"/>
      <c r="I2799" s="190"/>
      <c r="J2799" s="190"/>
      <c r="K2799" s="190"/>
      <c r="L2799" s="190"/>
      <c r="M2799" s="190"/>
      <c r="N2799" s="190"/>
      <c r="O2799" s="190"/>
      <c r="P2799" s="190"/>
      <c r="Q2799" s="190"/>
      <c r="R2799" s="190"/>
      <c r="S2799" s="190" t="s">
        <v>1272</v>
      </c>
      <c r="T2799" s="43">
        <f t="shared" si="68"/>
        <v>1</v>
      </c>
      <c r="U2799" s="167">
        <f t="shared" si="66"/>
        <v>0</v>
      </c>
      <c r="V2799" s="43"/>
      <c r="W2799" s="43"/>
      <c r="X2799" s="43"/>
      <c r="Y2799" s="43"/>
      <c r="Z2799" s="43"/>
      <c r="AA2799" s="43"/>
      <c r="AB2799" s="43"/>
    </row>
    <row r="2800" spans="1:28" ht="14.25" hidden="1" customHeight="1">
      <c r="A2800" s="190"/>
      <c r="B2800" s="225"/>
      <c r="C2800" s="190"/>
      <c r="D2800" s="190"/>
      <c r="E2800" s="232"/>
      <c r="F2800" s="185"/>
      <c r="G2800" s="185"/>
      <c r="H2800" s="190"/>
      <c r="I2800" s="190"/>
      <c r="J2800" s="190"/>
      <c r="K2800" s="190"/>
      <c r="L2800" s="190"/>
      <c r="M2800" s="190"/>
      <c r="N2800" s="190"/>
      <c r="O2800" s="190"/>
      <c r="P2800" s="190"/>
      <c r="Q2800" s="190"/>
      <c r="R2800" s="190"/>
      <c r="S2800" s="190" t="s">
        <v>390</v>
      </c>
      <c r="T2800" s="43">
        <f t="shared" si="68"/>
        <v>1</v>
      </c>
      <c r="U2800" s="167">
        <f t="shared" si="66"/>
        <v>0</v>
      </c>
      <c r="V2800" s="43"/>
      <c r="W2800" s="43"/>
      <c r="X2800" s="43"/>
      <c r="Y2800" s="43"/>
      <c r="Z2800" s="43"/>
      <c r="AA2800" s="43"/>
      <c r="AB2800" s="43"/>
    </row>
    <row r="2801" spans="1:28" ht="14.25" hidden="1" customHeight="1">
      <c r="A2801" s="190"/>
      <c r="B2801" s="225"/>
      <c r="C2801" s="190"/>
      <c r="D2801" s="190"/>
      <c r="E2801" s="232"/>
      <c r="F2801" s="191"/>
      <c r="G2801" s="185"/>
      <c r="H2801" s="190"/>
      <c r="I2801" s="190"/>
      <c r="J2801" s="190"/>
      <c r="K2801" s="190"/>
      <c r="L2801" s="190"/>
      <c r="M2801" s="190"/>
      <c r="N2801" s="190"/>
      <c r="O2801" s="190"/>
      <c r="P2801" s="190"/>
      <c r="Q2801" s="190"/>
      <c r="R2801" s="190"/>
      <c r="S2801" s="190"/>
      <c r="T2801" s="43">
        <f t="shared" si="68"/>
        <v>1</v>
      </c>
      <c r="U2801" s="167">
        <f t="shared" si="66"/>
        <v>0</v>
      </c>
      <c r="V2801" s="43"/>
      <c r="W2801" s="43"/>
      <c r="X2801" s="43"/>
      <c r="Y2801" s="43"/>
      <c r="Z2801" s="43"/>
      <c r="AA2801" s="43"/>
      <c r="AB2801" s="43"/>
    </row>
    <row r="2802" spans="1:28" ht="14.25" hidden="1" customHeight="1">
      <c r="A2802" s="190"/>
      <c r="B2802" s="225"/>
      <c r="C2802" s="190"/>
      <c r="D2802" s="190"/>
      <c r="E2802" s="232"/>
      <c r="F2802" s="191"/>
      <c r="G2802" s="185"/>
      <c r="H2802" s="190"/>
      <c r="I2802" s="190"/>
      <c r="J2802" s="190"/>
      <c r="K2802" s="190"/>
      <c r="L2802" s="190"/>
      <c r="M2802" s="190"/>
      <c r="N2802" s="190"/>
      <c r="O2802" s="190"/>
      <c r="P2802" s="190"/>
      <c r="Q2802" s="190"/>
      <c r="R2802" s="190"/>
      <c r="S2802" s="190" t="s">
        <v>1620</v>
      </c>
      <c r="T2802" s="43">
        <f t="shared" si="68"/>
        <v>1</v>
      </c>
      <c r="U2802" s="167">
        <f t="shared" si="66"/>
        <v>0</v>
      </c>
      <c r="V2802" s="43"/>
      <c r="W2802" s="43"/>
      <c r="X2802" s="43"/>
      <c r="Y2802" s="43"/>
      <c r="Z2802" s="43"/>
      <c r="AA2802" s="43"/>
      <c r="AB2802" s="43"/>
    </row>
    <row r="2803" spans="1:28" ht="14.25" hidden="1" customHeight="1">
      <c r="A2803" s="190"/>
      <c r="B2803" s="225"/>
      <c r="C2803" s="190"/>
      <c r="D2803" s="190"/>
      <c r="E2803" s="232"/>
      <c r="F2803" s="191"/>
      <c r="G2803" s="185"/>
      <c r="H2803" s="190"/>
      <c r="I2803" s="190"/>
      <c r="J2803" s="190"/>
      <c r="K2803" s="190"/>
      <c r="L2803" s="190"/>
      <c r="M2803" s="190"/>
      <c r="N2803" s="190"/>
      <c r="O2803" s="190"/>
      <c r="P2803" s="190"/>
      <c r="Q2803" s="190"/>
      <c r="R2803" s="190"/>
      <c r="S2803" s="190" t="s">
        <v>1360</v>
      </c>
      <c r="T2803" s="43">
        <f t="shared" si="68"/>
        <v>1</v>
      </c>
      <c r="U2803" s="167">
        <f t="shared" si="66"/>
        <v>0</v>
      </c>
      <c r="V2803" s="43"/>
      <c r="W2803" s="43"/>
      <c r="X2803" s="43"/>
      <c r="Y2803" s="43"/>
      <c r="Z2803" s="43"/>
      <c r="AA2803" s="43"/>
      <c r="AB2803" s="43"/>
    </row>
    <row r="2804" spans="1:28" ht="14.25" hidden="1" customHeight="1">
      <c r="A2804" s="190"/>
      <c r="B2804" s="225"/>
      <c r="C2804" s="190"/>
      <c r="D2804" s="190"/>
      <c r="E2804" s="232"/>
      <c r="F2804" s="191"/>
      <c r="G2804" s="185"/>
      <c r="H2804" s="190"/>
      <c r="I2804" s="190"/>
      <c r="J2804" s="190"/>
      <c r="K2804" s="190"/>
      <c r="L2804" s="190"/>
      <c r="M2804" s="190"/>
      <c r="N2804" s="190"/>
      <c r="O2804" s="190"/>
      <c r="P2804" s="190"/>
      <c r="Q2804" s="190"/>
      <c r="R2804" s="190"/>
      <c r="S2804" s="190" t="s">
        <v>827</v>
      </c>
      <c r="T2804" s="43">
        <f t="shared" si="68"/>
        <v>1</v>
      </c>
      <c r="U2804" s="167">
        <f t="shared" si="66"/>
        <v>0</v>
      </c>
      <c r="V2804" s="43"/>
      <c r="W2804" s="43"/>
      <c r="X2804" s="43"/>
      <c r="Y2804" s="43"/>
      <c r="Z2804" s="43"/>
      <c r="AA2804" s="43"/>
      <c r="AB2804" s="43"/>
    </row>
    <row r="2805" spans="1:28" ht="14.25" hidden="1" customHeight="1">
      <c r="A2805" s="190"/>
      <c r="B2805" s="225"/>
      <c r="C2805" s="190"/>
      <c r="D2805" s="190"/>
      <c r="E2805" s="232"/>
      <c r="F2805" s="191"/>
      <c r="G2805" s="185"/>
      <c r="H2805" s="190"/>
      <c r="I2805" s="190"/>
      <c r="J2805" s="190"/>
      <c r="K2805" s="190"/>
      <c r="L2805" s="190"/>
      <c r="M2805" s="190"/>
      <c r="N2805" s="190"/>
      <c r="O2805" s="190"/>
      <c r="P2805" s="190"/>
      <c r="Q2805" s="190"/>
      <c r="R2805" s="190"/>
      <c r="S2805" s="190" t="s">
        <v>834</v>
      </c>
      <c r="T2805" s="43">
        <f t="shared" si="68"/>
        <v>1</v>
      </c>
      <c r="U2805" s="167">
        <f t="shared" si="66"/>
        <v>0</v>
      </c>
      <c r="V2805" s="43"/>
      <c r="W2805" s="43"/>
      <c r="X2805" s="43"/>
      <c r="Y2805" s="43"/>
      <c r="Z2805" s="43"/>
      <c r="AA2805" s="43"/>
      <c r="AB2805" s="43"/>
    </row>
    <row r="2806" spans="1:28" ht="14.25" hidden="1" customHeight="1">
      <c r="A2806" s="190"/>
      <c r="B2806" s="225"/>
      <c r="C2806" s="190"/>
      <c r="D2806" s="190"/>
      <c r="E2806" s="232"/>
      <c r="F2806" s="191"/>
      <c r="G2806" s="185"/>
      <c r="H2806" s="190"/>
      <c r="I2806" s="190"/>
      <c r="J2806" s="190"/>
      <c r="K2806" s="190"/>
      <c r="L2806" s="190"/>
      <c r="M2806" s="190"/>
      <c r="N2806" s="190"/>
      <c r="O2806" s="190"/>
      <c r="P2806" s="190"/>
      <c r="Q2806" s="190"/>
      <c r="R2806" s="190"/>
      <c r="S2806" s="190" t="s">
        <v>1096</v>
      </c>
      <c r="T2806" s="43">
        <f t="shared" si="68"/>
        <v>1</v>
      </c>
      <c r="U2806" s="167">
        <f t="shared" si="66"/>
        <v>0</v>
      </c>
      <c r="V2806" s="43"/>
      <c r="W2806" s="43"/>
      <c r="X2806" s="43"/>
      <c r="Y2806" s="43"/>
      <c r="Z2806" s="43"/>
      <c r="AA2806" s="43"/>
      <c r="AB2806" s="43"/>
    </row>
    <row r="2807" spans="1:28" ht="14.25" hidden="1" customHeight="1">
      <c r="A2807" s="190"/>
      <c r="B2807" s="225"/>
      <c r="C2807" s="190"/>
      <c r="D2807" s="190"/>
      <c r="E2807" s="232"/>
      <c r="F2807" s="191"/>
      <c r="G2807" s="185"/>
      <c r="H2807" s="190"/>
      <c r="I2807" s="190"/>
      <c r="J2807" s="190"/>
      <c r="K2807" s="190"/>
      <c r="L2807" s="190"/>
      <c r="M2807" s="190"/>
      <c r="N2807" s="190"/>
      <c r="O2807" s="190"/>
      <c r="P2807" s="190"/>
      <c r="Q2807" s="190"/>
      <c r="R2807" s="190"/>
      <c r="S2807" s="190" t="s">
        <v>742</v>
      </c>
      <c r="T2807" s="43">
        <f t="shared" si="68"/>
        <v>1</v>
      </c>
      <c r="U2807" s="167">
        <f t="shared" si="66"/>
        <v>0</v>
      </c>
      <c r="V2807" s="43"/>
      <c r="W2807" s="43"/>
      <c r="X2807" s="43"/>
      <c r="Y2807" s="43"/>
      <c r="Z2807" s="43"/>
      <c r="AA2807" s="43"/>
      <c r="AB2807" s="43"/>
    </row>
    <row r="2808" spans="1:28" ht="14.25" hidden="1" customHeight="1">
      <c r="A2808" s="190"/>
      <c r="B2808" s="225"/>
      <c r="C2808" s="190"/>
      <c r="D2808" s="190"/>
      <c r="E2808" s="232"/>
      <c r="F2808" s="191"/>
      <c r="G2808" s="185"/>
      <c r="H2808" s="190"/>
      <c r="I2808" s="190"/>
      <c r="J2808" s="190"/>
      <c r="K2808" s="190"/>
      <c r="L2808" s="190"/>
      <c r="M2808" s="190"/>
      <c r="N2808" s="190"/>
      <c r="O2808" s="190"/>
      <c r="P2808" s="190"/>
      <c r="Q2808" s="190"/>
      <c r="R2808" s="190"/>
      <c r="S2808" s="190" t="s">
        <v>643</v>
      </c>
      <c r="T2808" s="43">
        <f t="shared" si="68"/>
        <v>1</v>
      </c>
      <c r="U2808" s="167">
        <f t="shared" si="66"/>
        <v>0</v>
      </c>
      <c r="V2808" s="43"/>
      <c r="W2808" s="43"/>
      <c r="X2808" s="43"/>
      <c r="Y2808" s="43"/>
      <c r="Z2808" s="43"/>
      <c r="AA2808" s="43"/>
      <c r="AB2808" s="43"/>
    </row>
    <row r="2809" spans="1:28" ht="14.25" hidden="1" customHeight="1">
      <c r="A2809" s="190"/>
      <c r="B2809" s="225"/>
      <c r="C2809" s="190"/>
      <c r="D2809" s="190"/>
      <c r="E2809" s="232"/>
      <c r="F2809" s="185"/>
      <c r="G2809" s="185"/>
      <c r="H2809" s="190"/>
      <c r="I2809" s="190"/>
      <c r="J2809" s="190"/>
      <c r="K2809" s="190"/>
      <c r="L2809" s="190"/>
      <c r="M2809" s="190"/>
      <c r="N2809" s="190"/>
      <c r="O2809" s="190"/>
      <c r="P2809" s="190"/>
      <c r="Q2809" s="190"/>
      <c r="R2809" s="190"/>
      <c r="S2809" s="190" t="s">
        <v>1525</v>
      </c>
      <c r="T2809" s="43">
        <f t="shared" si="68"/>
        <v>1</v>
      </c>
      <c r="U2809" s="167">
        <f t="shared" si="66"/>
        <v>0</v>
      </c>
      <c r="V2809" s="43"/>
      <c r="W2809" s="43"/>
      <c r="X2809" s="43"/>
      <c r="Y2809" s="43"/>
      <c r="Z2809" s="43"/>
      <c r="AA2809" s="43"/>
      <c r="AB2809" s="43"/>
    </row>
    <row r="2810" spans="1:28" ht="14.25" hidden="1" customHeight="1">
      <c r="A2810" s="190"/>
      <c r="B2810" s="225"/>
      <c r="C2810" s="190"/>
      <c r="D2810" s="190"/>
      <c r="E2810" s="232"/>
      <c r="F2810" s="185"/>
      <c r="G2810" s="185"/>
      <c r="H2810" s="190"/>
      <c r="I2810" s="190"/>
      <c r="J2810" s="190"/>
      <c r="K2810" s="190"/>
      <c r="L2810" s="190"/>
      <c r="M2810" s="190"/>
      <c r="N2810" s="190"/>
      <c r="O2810" s="190"/>
      <c r="P2810" s="190"/>
      <c r="Q2810" s="190"/>
      <c r="R2810" s="190"/>
      <c r="S2810" s="190" t="s">
        <v>667</v>
      </c>
      <c r="T2810" s="43">
        <f t="shared" si="68"/>
        <v>1</v>
      </c>
      <c r="U2810" s="167">
        <f t="shared" si="66"/>
        <v>0</v>
      </c>
      <c r="V2810" s="43"/>
      <c r="W2810" s="43"/>
      <c r="X2810" s="43"/>
      <c r="Y2810" s="43"/>
      <c r="Z2810" s="43"/>
      <c r="AA2810" s="43"/>
      <c r="AB2810" s="43"/>
    </row>
    <row r="2811" spans="1:28" ht="14.25" hidden="1" customHeight="1">
      <c r="A2811" s="190"/>
      <c r="B2811" s="225"/>
      <c r="C2811" s="190"/>
      <c r="D2811" s="190"/>
      <c r="E2811" s="232"/>
      <c r="F2811" s="185"/>
      <c r="G2811" s="185"/>
      <c r="H2811" s="190"/>
      <c r="I2811" s="190"/>
      <c r="J2811" s="190"/>
      <c r="K2811" s="190"/>
      <c r="L2811" s="190"/>
      <c r="M2811" s="190"/>
      <c r="N2811" s="190"/>
      <c r="O2811" s="190"/>
      <c r="P2811" s="190"/>
      <c r="Q2811" s="190"/>
      <c r="R2811" s="190"/>
      <c r="S2811" s="190" t="s">
        <v>329</v>
      </c>
      <c r="T2811" s="43">
        <f t="shared" si="68"/>
        <v>1</v>
      </c>
      <c r="U2811" s="167">
        <f t="shared" si="66"/>
        <v>0</v>
      </c>
      <c r="V2811" s="43"/>
      <c r="W2811" s="43"/>
      <c r="X2811" s="43"/>
      <c r="Y2811" s="43"/>
      <c r="Z2811" s="43"/>
      <c r="AA2811" s="43"/>
      <c r="AB2811" s="43"/>
    </row>
    <row r="2812" spans="1:28" ht="14.25" hidden="1" customHeight="1">
      <c r="A2812" s="190"/>
      <c r="B2812" s="225"/>
      <c r="C2812" s="190"/>
      <c r="D2812" s="190"/>
      <c r="E2812" s="232"/>
      <c r="F2812" s="185"/>
      <c r="G2812" s="185"/>
      <c r="H2812" s="190"/>
      <c r="I2812" s="190"/>
      <c r="J2812" s="190"/>
      <c r="K2812" s="190"/>
      <c r="L2812" s="190"/>
      <c r="M2812" s="190"/>
      <c r="N2812" s="190"/>
      <c r="O2812" s="190"/>
      <c r="P2812" s="190"/>
      <c r="Q2812" s="190"/>
      <c r="R2812" s="190"/>
      <c r="S2812" s="190" t="s">
        <v>864</v>
      </c>
      <c r="T2812" s="43">
        <f t="shared" si="68"/>
        <v>1</v>
      </c>
      <c r="U2812" s="167">
        <f t="shared" si="66"/>
        <v>0</v>
      </c>
      <c r="V2812" s="43"/>
      <c r="W2812" s="43"/>
      <c r="X2812" s="43"/>
      <c r="Y2812" s="43"/>
      <c r="Z2812" s="43"/>
      <c r="AA2812" s="43"/>
      <c r="AB2812" s="43"/>
    </row>
    <row r="2813" spans="1:28" ht="14.25" hidden="1" customHeight="1">
      <c r="A2813" s="190"/>
      <c r="B2813" s="225"/>
      <c r="C2813" s="190"/>
      <c r="D2813" s="190"/>
      <c r="E2813" s="232"/>
      <c r="F2813" s="185"/>
      <c r="G2813" s="185"/>
      <c r="H2813" s="190"/>
      <c r="I2813" s="190"/>
      <c r="J2813" s="190"/>
      <c r="K2813" s="190"/>
      <c r="L2813" s="190"/>
      <c r="M2813" s="190"/>
      <c r="N2813" s="190"/>
      <c r="O2813" s="190"/>
      <c r="P2813" s="190"/>
      <c r="Q2813" s="190"/>
      <c r="R2813" s="190"/>
      <c r="S2813" s="190" t="s">
        <v>672</v>
      </c>
      <c r="T2813" s="43">
        <f t="shared" si="68"/>
        <v>1</v>
      </c>
      <c r="U2813" s="167">
        <f t="shared" si="66"/>
        <v>0</v>
      </c>
      <c r="V2813" s="43"/>
      <c r="W2813" s="43"/>
      <c r="X2813" s="43"/>
      <c r="Y2813" s="43"/>
      <c r="Z2813" s="43"/>
      <c r="AA2813" s="43"/>
      <c r="AB2813" s="43"/>
    </row>
    <row r="2814" spans="1:28" ht="14.25" hidden="1" customHeight="1">
      <c r="A2814" s="190"/>
      <c r="B2814" s="225"/>
      <c r="C2814" s="190"/>
      <c r="D2814" s="190"/>
      <c r="E2814" s="232"/>
      <c r="F2814" s="185"/>
      <c r="G2814" s="185"/>
      <c r="H2814" s="190"/>
      <c r="I2814" s="190"/>
      <c r="J2814" s="190"/>
      <c r="K2814" s="190"/>
      <c r="L2814" s="190"/>
      <c r="M2814" s="190"/>
      <c r="N2814" s="190"/>
      <c r="O2814" s="190"/>
      <c r="P2814" s="190"/>
      <c r="Q2814" s="190"/>
      <c r="R2814" s="190"/>
      <c r="S2814" s="190" t="s">
        <v>676</v>
      </c>
      <c r="T2814" s="43">
        <f t="shared" si="68"/>
        <v>1</v>
      </c>
      <c r="U2814" s="167">
        <f t="shared" si="66"/>
        <v>0</v>
      </c>
      <c r="V2814" s="43"/>
      <c r="W2814" s="43"/>
      <c r="X2814" s="43"/>
      <c r="Y2814" s="43"/>
      <c r="Z2814" s="43"/>
      <c r="AA2814" s="43"/>
      <c r="AB2814" s="43"/>
    </row>
    <row r="2815" spans="1:28" ht="14.25" hidden="1" customHeight="1">
      <c r="A2815" s="190"/>
      <c r="B2815" s="225"/>
      <c r="C2815" s="190"/>
      <c r="D2815" s="190"/>
      <c r="E2815" s="232"/>
      <c r="F2815" s="185"/>
      <c r="G2815" s="185"/>
      <c r="H2815" s="190"/>
      <c r="I2815" s="190"/>
      <c r="J2815" s="190"/>
      <c r="K2815" s="190"/>
      <c r="L2815" s="190"/>
      <c r="M2815" s="190"/>
      <c r="N2815" s="190"/>
      <c r="O2815" s="190"/>
      <c r="P2815" s="190"/>
      <c r="Q2815" s="190"/>
      <c r="R2815" s="190"/>
      <c r="S2815" s="190" t="s">
        <v>1864</v>
      </c>
      <c r="T2815" s="43">
        <f t="shared" si="68"/>
        <v>1</v>
      </c>
      <c r="U2815" s="167">
        <f t="shared" si="66"/>
        <v>0</v>
      </c>
      <c r="V2815" s="43"/>
      <c r="W2815" s="43"/>
      <c r="X2815" s="43"/>
      <c r="Y2815" s="43"/>
      <c r="Z2815" s="43"/>
      <c r="AA2815" s="43"/>
      <c r="AB2815" s="43"/>
    </row>
    <row r="2816" spans="1:28" ht="14.25" hidden="1" customHeight="1">
      <c r="A2816" s="190"/>
      <c r="B2816" s="225"/>
      <c r="C2816" s="190"/>
      <c r="D2816" s="190"/>
      <c r="E2816" s="232"/>
      <c r="F2816" s="185"/>
      <c r="G2816" s="185"/>
      <c r="H2816" s="190"/>
      <c r="I2816" s="190"/>
      <c r="J2816" s="190"/>
      <c r="K2816" s="190"/>
      <c r="L2816" s="190"/>
      <c r="M2816" s="190"/>
      <c r="N2816" s="190"/>
      <c r="O2816" s="190"/>
      <c r="P2816" s="190"/>
      <c r="Q2816" s="190"/>
      <c r="R2816" s="190"/>
      <c r="S2816" s="190" t="s">
        <v>680</v>
      </c>
      <c r="T2816" s="43">
        <f t="shared" si="68"/>
        <v>1</v>
      </c>
      <c r="U2816" s="167">
        <f t="shared" si="66"/>
        <v>0</v>
      </c>
      <c r="V2816" s="43"/>
      <c r="W2816" s="43"/>
      <c r="X2816" s="43"/>
      <c r="Y2816" s="43"/>
      <c r="Z2816" s="43"/>
      <c r="AA2816" s="43"/>
      <c r="AB2816" s="43"/>
    </row>
    <row r="2817" spans="1:28" ht="14.25" hidden="1" customHeight="1">
      <c r="A2817" s="190"/>
      <c r="B2817" s="225"/>
      <c r="C2817" s="190"/>
      <c r="D2817" s="190"/>
      <c r="E2817" s="232"/>
      <c r="F2817" s="185"/>
      <c r="G2817" s="185"/>
      <c r="H2817" s="190"/>
      <c r="I2817" s="190"/>
      <c r="J2817" s="190"/>
      <c r="K2817" s="190"/>
      <c r="L2817" s="190"/>
      <c r="M2817" s="190"/>
      <c r="N2817" s="190"/>
      <c r="O2817" s="190"/>
      <c r="P2817" s="190"/>
      <c r="Q2817" s="190"/>
      <c r="R2817" s="190"/>
      <c r="S2817" s="190" t="s">
        <v>843</v>
      </c>
      <c r="T2817" s="43">
        <f t="shared" si="68"/>
        <v>1</v>
      </c>
      <c r="U2817" s="167">
        <f t="shared" si="66"/>
        <v>0</v>
      </c>
      <c r="V2817" s="43"/>
      <c r="W2817" s="43"/>
      <c r="X2817" s="43"/>
      <c r="Y2817" s="43"/>
      <c r="Z2817" s="43"/>
      <c r="AA2817" s="43"/>
      <c r="AB2817" s="43"/>
    </row>
    <row r="2818" spans="1:28" ht="14.25" hidden="1" customHeight="1">
      <c r="A2818" s="190"/>
      <c r="B2818" s="225"/>
      <c r="C2818" s="190"/>
      <c r="D2818" s="190"/>
      <c r="E2818" s="232"/>
      <c r="F2818" s="185"/>
      <c r="G2818" s="185"/>
      <c r="H2818" s="190"/>
      <c r="I2818" s="190"/>
      <c r="J2818" s="190"/>
      <c r="K2818" s="190"/>
      <c r="L2818" s="190"/>
      <c r="M2818" s="190"/>
      <c r="N2818" s="190"/>
      <c r="O2818" s="190"/>
      <c r="P2818" s="190"/>
      <c r="Q2818" s="190"/>
      <c r="R2818" s="190"/>
      <c r="S2818" s="190" t="s">
        <v>759</v>
      </c>
      <c r="T2818" s="43">
        <f t="shared" si="68"/>
        <v>1</v>
      </c>
      <c r="U2818" s="167">
        <f t="shared" si="66"/>
        <v>0</v>
      </c>
      <c r="V2818" s="43"/>
      <c r="W2818" s="43"/>
      <c r="X2818" s="43"/>
      <c r="Y2818" s="43"/>
      <c r="Z2818" s="43"/>
      <c r="AA2818" s="43"/>
      <c r="AB2818" s="43"/>
    </row>
    <row r="2819" spans="1:28" ht="14.25" hidden="1" customHeight="1">
      <c r="A2819" s="190"/>
      <c r="B2819" s="225"/>
      <c r="C2819" s="190"/>
      <c r="D2819" s="190"/>
      <c r="E2819" s="232"/>
      <c r="F2819" s="185"/>
      <c r="G2819" s="185"/>
      <c r="H2819" s="190"/>
      <c r="I2819" s="190"/>
      <c r="J2819" s="190"/>
      <c r="K2819" s="190"/>
      <c r="L2819" s="190"/>
      <c r="M2819" s="190"/>
      <c r="N2819" s="190"/>
      <c r="O2819" s="190"/>
      <c r="P2819" s="190"/>
      <c r="Q2819" s="190"/>
      <c r="R2819" s="190"/>
      <c r="S2819" s="190" t="s">
        <v>684</v>
      </c>
      <c r="T2819" s="43">
        <f t="shared" si="68"/>
        <v>1</v>
      </c>
      <c r="U2819" s="167">
        <f t="shared" si="66"/>
        <v>0</v>
      </c>
      <c r="V2819" s="43"/>
      <c r="W2819" s="43"/>
      <c r="X2819" s="43"/>
      <c r="Y2819" s="43"/>
      <c r="Z2819" s="43"/>
      <c r="AA2819" s="43"/>
      <c r="AB2819" s="43"/>
    </row>
    <row r="2820" spans="1:28" ht="14.25" hidden="1" customHeight="1">
      <c r="A2820" s="190"/>
      <c r="B2820" s="225"/>
      <c r="C2820" s="190"/>
      <c r="D2820" s="190"/>
      <c r="E2820" s="232"/>
      <c r="F2820" s="185"/>
      <c r="G2820" s="185"/>
      <c r="H2820" s="190"/>
      <c r="I2820" s="190"/>
      <c r="J2820" s="190"/>
      <c r="K2820" s="190"/>
      <c r="L2820" s="190"/>
      <c r="M2820" s="190"/>
      <c r="N2820" s="190"/>
      <c r="O2820" s="190"/>
      <c r="P2820" s="190"/>
      <c r="Q2820" s="190"/>
      <c r="R2820" s="190"/>
      <c r="S2820" s="190" t="s">
        <v>689</v>
      </c>
      <c r="T2820" s="43">
        <f t="shared" si="68"/>
        <v>1</v>
      </c>
      <c r="U2820" s="167">
        <f t="shared" si="66"/>
        <v>0</v>
      </c>
      <c r="V2820" s="43"/>
      <c r="W2820" s="43"/>
      <c r="X2820" s="43"/>
      <c r="Y2820" s="43"/>
      <c r="Z2820" s="43"/>
      <c r="AA2820" s="43"/>
      <c r="AB2820" s="43"/>
    </row>
    <row r="2821" spans="1:28" ht="14.25" hidden="1" customHeight="1">
      <c r="A2821" s="190"/>
      <c r="B2821" s="225"/>
      <c r="C2821" s="190"/>
      <c r="D2821" s="190"/>
      <c r="E2821" s="232"/>
      <c r="F2821" s="185"/>
      <c r="G2821" s="185"/>
      <c r="H2821" s="190"/>
      <c r="I2821" s="190"/>
      <c r="J2821" s="190"/>
      <c r="K2821" s="190"/>
      <c r="L2821" s="190"/>
      <c r="M2821" s="190"/>
      <c r="N2821" s="190"/>
      <c r="O2821" s="190"/>
      <c r="P2821" s="190"/>
      <c r="Q2821" s="190"/>
      <c r="R2821" s="190"/>
      <c r="S2821" s="190" t="s">
        <v>693</v>
      </c>
      <c r="T2821" s="43">
        <f t="shared" si="68"/>
        <v>1</v>
      </c>
      <c r="U2821" s="167">
        <f t="shared" si="66"/>
        <v>0</v>
      </c>
      <c r="V2821" s="43"/>
      <c r="W2821" s="43"/>
      <c r="X2821" s="43"/>
      <c r="Y2821" s="43"/>
      <c r="Z2821" s="43"/>
      <c r="AA2821" s="43"/>
      <c r="AB2821" s="43"/>
    </row>
    <row r="2822" spans="1:28" ht="14.25" hidden="1" customHeight="1">
      <c r="A2822" s="190"/>
      <c r="B2822" s="225"/>
      <c r="C2822" s="190"/>
      <c r="D2822" s="190"/>
      <c r="E2822" s="232"/>
      <c r="F2822" s="185"/>
      <c r="G2822" s="185"/>
      <c r="H2822" s="190"/>
      <c r="I2822" s="190"/>
      <c r="J2822" s="190"/>
      <c r="K2822" s="190"/>
      <c r="L2822" s="190"/>
      <c r="M2822" s="190"/>
      <c r="N2822" s="190"/>
      <c r="O2822" s="190"/>
      <c r="P2822" s="190"/>
      <c r="Q2822" s="190"/>
      <c r="R2822" s="190"/>
      <c r="S2822" s="190" t="s">
        <v>315</v>
      </c>
      <c r="T2822" s="43">
        <f t="shared" si="68"/>
        <v>1</v>
      </c>
      <c r="U2822" s="167">
        <f t="shared" si="66"/>
        <v>0</v>
      </c>
      <c r="V2822" s="43"/>
      <c r="W2822" s="43"/>
      <c r="X2822" s="43"/>
      <c r="Y2822" s="43"/>
      <c r="Z2822" s="43"/>
      <c r="AA2822" s="43"/>
      <c r="AB2822" s="43"/>
    </row>
    <row r="2823" spans="1:28" ht="14.25" hidden="1" customHeight="1">
      <c r="A2823" s="190"/>
      <c r="B2823" s="225"/>
      <c r="C2823" s="190"/>
      <c r="D2823" s="190"/>
      <c r="E2823" s="232"/>
      <c r="F2823" s="185"/>
      <c r="G2823" s="185"/>
      <c r="H2823" s="190"/>
      <c r="I2823" s="190"/>
      <c r="J2823" s="190"/>
      <c r="K2823" s="190"/>
      <c r="L2823" s="190"/>
      <c r="M2823" s="190"/>
      <c r="N2823" s="190"/>
      <c r="O2823" s="190"/>
      <c r="P2823" s="190"/>
      <c r="Q2823" s="190"/>
      <c r="R2823" s="190"/>
      <c r="S2823" s="190" t="s">
        <v>754</v>
      </c>
      <c r="T2823" s="43">
        <f t="shared" si="68"/>
        <v>1</v>
      </c>
      <c r="U2823" s="167">
        <f t="shared" si="66"/>
        <v>0</v>
      </c>
      <c r="V2823" s="43"/>
      <c r="W2823" s="43"/>
      <c r="X2823" s="43"/>
      <c r="Y2823" s="43"/>
      <c r="Z2823" s="43"/>
      <c r="AA2823" s="43"/>
      <c r="AB2823" s="43"/>
    </row>
    <row r="2824" spans="1:28" ht="14.25" hidden="1" customHeight="1">
      <c r="A2824" s="190"/>
      <c r="B2824" s="225"/>
      <c r="C2824" s="190"/>
      <c r="D2824" s="190"/>
      <c r="E2824" s="232"/>
      <c r="F2824" s="185"/>
      <c r="G2824" s="185"/>
      <c r="H2824" s="190"/>
      <c r="I2824" s="190"/>
      <c r="J2824" s="190"/>
      <c r="K2824" s="190"/>
      <c r="L2824" s="190"/>
      <c r="M2824" s="190"/>
      <c r="N2824" s="190"/>
      <c r="O2824" s="190"/>
      <c r="P2824" s="190"/>
      <c r="Q2824" s="190"/>
      <c r="R2824" s="190"/>
      <c r="S2824" s="190" t="s">
        <v>311</v>
      </c>
      <c r="T2824" s="43">
        <f t="shared" si="68"/>
        <v>1</v>
      </c>
      <c r="U2824" s="167">
        <f t="shared" si="66"/>
        <v>0</v>
      </c>
      <c r="V2824" s="43"/>
      <c r="W2824" s="43"/>
      <c r="X2824" s="43"/>
      <c r="Y2824" s="43"/>
      <c r="Z2824" s="43"/>
      <c r="AA2824" s="43"/>
      <c r="AB2824" s="43"/>
    </row>
    <row r="2825" spans="1:28" ht="14.25" hidden="1" customHeight="1">
      <c r="A2825" s="190"/>
      <c r="B2825" s="225"/>
      <c r="C2825" s="190"/>
      <c r="D2825" s="190"/>
      <c r="E2825" s="232"/>
      <c r="F2825" s="185"/>
      <c r="G2825" s="185"/>
      <c r="H2825" s="190"/>
      <c r="I2825" s="190"/>
      <c r="J2825" s="190"/>
      <c r="K2825" s="190"/>
      <c r="L2825" s="190"/>
      <c r="M2825" s="190"/>
      <c r="N2825" s="190"/>
      <c r="O2825" s="190"/>
      <c r="P2825" s="190"/>
      <c r="Q2825" s="190"/>
      <c r="R2825" s="190"/>
      <c r="S2825" s="190" t="s">
        <v>728</v>
      </c>
      <c r="T2825" s="43">
        <f t="shared" si="68"/>
        <v>1</v>
      </c>
      <c r="U2825" s="167">
        <f t="shared" si="66"/>
        <v>0</v>
      </c>
      <c r="V2825" s="43"/>
      <c r="W2825" s="43"/>
      <c r="X2825" s="43"/>
      <c r="Y2825" s="43"/>
      <c r="Z2825" s="43"/>
      <c r="AA2825" s="43"/>
      <c r="AB2825" s="43"/>
    </row>
    <row r="2826" spans="1:28" ht="14.25" hidden="1" customHeight="1">
      <c r="A2826" s="190"/>
      <c r="B2826" s="225"/>
      <c r="C2826" s="190"/>
      <c r="D2826" s="190"/>
      <c r="E2826" s="232"/>
      <c r="F2826" s="185"/>
      <c r="G2826" s="185"/>
      <c r="H2826" s="190"/>
      <c r="I2826" s="190"/>
      <c r="J2826" s="190"/>
      <c r="K2826" s="190"/>
      <c r="L2826" s="190"/>
      <c r="M2826" s="190"/>
      <c r="N2826" s="190"/>
      <c r="O2826" s="190"/>
      <c r="P2826" s="190"/>
      <c r="Q2826" s="190"/>
      <c r="R2826" s="190"/>
      <c r="S2826" s="190" t="s">
        <v>703</v>
      </c>
      <c r="T2826" s="43">
        <f t="shared" si="68"/>
        <v>1</v>
      </c>
      <c r="U2826" s="167">
        <f t="shared" si="66"/>
        <v>0</v>
      </c>
      <c r="V2826" s="43"/>
      <c r="W2826" s="43"/>
      <c r="X2826" s="43"/>
      <c r="Y2826" s="43"/>
      <c r="Z2826" s="43"/>
      <c r="AA2826" s="43"/>
      <c r="AB2826" s="43"/>
    </row>
    <row r="2827" spans="1:28" ht="14.25" hidden="1" customHeight="1">
      <c r="A2827" s="190"/>
      <c r="B2827" s="225"/>
      <c r="C2827" s="190"/>
      <c r="D2827" s="190"/>
      <c r="E2827" s="232"/>
      <c r="F2827" s="185"/>
      <c r="G2827" s="185"/>
      <c r="H2827" s="190"/>
      <c r="I2827" s="190"/>
      <c r="J2827" s="190"/>
      <c r="K2827" s="190"/>
      <c r="L2827" s="190"/>
      <c r="M2827" s="190"/>
      <c r="N2827" s="190"/>
      <c r="O2827" s="190"/>
      <c r="P2827" s="190"/>
      <c r="Q2827" s="190"/>
      <c r="R2827" s="190"/>
      <c r="S2827" s="190" t="s">
        <v>707</v>
      </c>
      <c r="T2827" s="43">
        <f t="shared" si="68"/>
        <v>1</v>
      </c>
      <c r="U2827" s="167">
        <f t="shared" si="66"/>
        <v>0</v>
      </c>
      <c r="V2827" s="43"/>
      <c r="W2827" s="43"/>
      <c r="X2827" s="43"/>
      <c r="Y2827" s="43"/>
      <c r="Z2827" s="43"/>
      <c r="AA2827" s="43"/>
      <c r="AB2827" s="43"/>
    </row>
    <row r="2828" spans="1:28" ht="14.25" hidden="1" customHeight="1">
      <c r="A2828" s="190"/>
      <c r="B2828" s="225"/>
      <c r="C2828" s="190"/>
      <c r="D2828" s="190"/>
      <c r="E2828" s="232"/>
      <c r="F2828" s="191"/>
      <c r="G2828" s="185"/>
      <c r="H2828" s="190"/>
      <c r="I2828" s="190"/>
      <c r="J2828" s="190"/>
      <c r="K2828" s="190"/>
      <c r="L2828" s="190"/>
      <c r="M2828" s="190"/>
      <c r="N2828" s="190"/>
      <c r="O2828" s="190"/>
      <c r="P2828" s="190"/>
      <c r="Q2828" s="190"/>
      <c r="R2828" s="190"/>
      <c r="S2828" s="190"/>
      <c r="T2828" s="43">
        <f t="shared" si="68"/>
        <v>1</v>
      </c>
      <c r="U2828" s="167">
        <f t="shared" si="66"/>
        <v>0</v>
      </c>
      <c r="V2828" s="43"/>
      <c r="W2828" s="43"/>
      <c r="X2828" s="43"/>
      <c r="Y2828" s="43"/>
      <c r="Z2828" s="43"/>
      <c r="AA2828" s="43"/>
      <c r="AB2828" s="43"/>
    </row>
    <row r="2829" spans="1:28" ht="14.25" hidden="1" customHeight="1">
      <c r="A2829" s="190"/>
      <c r="B2829" s="225"/>
      <c r="C2829" s="190"/>
      <c r="D2829" s="190"/>
      <c r="E2829" s="232"/>
      <c r="F2829" s="185"/>
      <c r="G2829" s="185"/>
      <c r="H2829" s="190"/>
      <c r="I2829" s="190"/>
      <c r="J2829" s="190"/>
      <c r="K2829" s="190"/>
      <c r="L2829" s="190"/>
      <c r="M2829" s="190"/>
      <c r="N2829" s="190"/>
      <c r="O2829" s="190"/>
      <c r="P2829" s="190"/>
      <c r="Q2829" s="190"/>
      <c r="R2829" s="190"/>
      <c r="S2829" s="190" t="s">
        <v>776</v>
      </c>
      <c r="T2829" s="43">
        <f t="shared" si="68"/>
        <v>1</v>
      </c>
      <c r="U2829" s="167">
        <f t="shared" si="66"/>
        <v>0</v>
      </c>
      <c r="V2829" s="43"/>
      <c r="W2829" s="43"/>
      <c r="X2829" s="43"/>
      <c r="Y2829" s="43"/>
      <c r="Z2829" s="43"/>
      <c r="AA2829" s="43"/>
      <c r="AB2829" s="43"/>
    </row>
    <row r="2830" spans="1:28" ht="14.25" hidden="1" customHeight="1">
      <c r="A2830" s="190"/>
      <c r="B2830" s="225"/>
      <c r="C2830" s="190"/>
      <c r="D2830" s="190"/>
      <c r="E2830" s="232"/>
      <c r="F2830" s="191"/>
      <c r="G2830" s="185"/>
      <c r="H2830" s="190"/>
      <c r="I2830" s="190"/>
      <c r="J2830" s="190"/>
      <c r="K2830" s="190"/>
      <c r="L2830" s="190"/>
      <c r="M2830" s="190"/>
      <c r="N2830" s="190"/>
      <c r="O2830" s="190"/>
      <c r="P2830" s="190"/>
      <c r="Q2830" s="190"/>
      <c r="R2830" s="190"/>
      <c r="S2830" s="190"/>
      <c r="T2830" s="43">
        <f t="shared" si="68"/>
        <v>1</v>
      </c>
      <c r="U2830" s="167">
        <f t="shared" si="66"/>
        <v>0</v>
      </c>
      <c r="V2830" s="43"/>
      <c r="W2830" s="43"/>
      <c r="X2830" s="43"/>
      <c r="Y2830" s="43"/>
      <c r="Z2830" s="43"/>
      <c r="AA2830" s="43"/>
      <c r="AB2830" s="43"/>
    </row>
    <row r="2831" spans="1:28" ht="14.25" hidden="1" customHeight="1">
      <c r="A2831" s="190"/>
      <c r="B2831" s="225"/>
      <c r="C2831" s="190"/>
      <c r="D2831" s="190"/>
      <c r="E2831" s="232"/>
      <c r="F2831" s="185"/>
      <c r="G2831" s="185"/>
      <c r="H2831" s="190"/>
      <c r="I2831" s="190"/>
      <c r="J2831" s="190"/>
      <c r="K2831" s="190"/>
      <c r="L2831" s="190"/>
      <c r="M2831" s="190"/>
      <c r="N2831" s="190"/>
      <c r="O2831" s="190"/>
      <c r="P2831" s="190"/>
      <c r="Q2831" s="190"/>
      <c r="R2831" s="190"/>
      <c r="S2831" s="190" t="s">
        <v>781</v>
      </c>
      <c r="T2831" s="43">
        <f t="shared" si="68"/>
        <v>1</v>
      </c>
      <c r="U2831" s="167">
        <f t="shared" si="66"/>
        <v>0</v>
      </c>
      <c r="V2831" s="43"/>
      <c r="W2831" s="43"/>
      <c r="X2831" s="43"/>
      <c r="Y2831" s="43"/>
      <c r="Z2831" s="43"/>
      <c r="AA2831" s="43"/>
      <c r="AB2831" s="43"/>
    </row>
    <row r="2832" spans="1:28" ht="14.25" hidden="1" customHeight="1">
      <c r="A2832" s="190"/>
      <c r="B2832" s="225"/>
      <c r="C2832" s="190"/>
      <c r="D2832" s="190"/>
      <c r="E2832" s="232"/>
      <c r="F2832" s="185"/>
      <c r="G2832" s="185"/>
      <c r="H2832" s="190"/>
      <c r="I2832" s="190"/>
      <c r="J2832" s="190"/>
      <c r="K2832" s="190"/>
      <c r="L2832" s="190"/>
      <c r="M2832" s="190"/>
      <c r="N2832" s="190"/>
      <c r="O2832" s="190"/>
      <c r="P2832" s="190"/>
      <c r="Q2832" s="190"/>
      <c r="R2832" s="190"/>
      <c r="S2832" s="190" t="s">
        <v>79</v>
      </c>
      <c r="T2832" s="43">
        <f t="shared" si="68"/>
        <v>1</v>
      </c>
      <c r="U2832" s="167">
        <f t="shared" si="66"/>
        <v>0</v>
      </c>
      <c r="V2832" s="43"/>
      <c r="W2832" s="43"/>
      <c r="X2832" s="43"/>
      <c r="Y2832" s="43"/>
      <c r="Z2832" s="43"/>
      <c r="AA2832" s="43"/>
      <c r="AB2832" s="43"/>
    </row>
    <row r="2833" spans="1:28" ht="14.25" hidden="1" customHeight="1">
      <c r="A2833" s="190"/>
      <c r="B2833" s="225"/>
      <c r="C2833" s="190"/>
      <c r="D2833" s="190"/>
      <c r="E2833" s="232"/>
      <c r="F2833" s="185"/>
      <c r="G2833" s="185"/>
      <c r="H2833" s="190"/>
      <c r="I2833" s="190"/>
      <c r="J2833" s="190"/>
      <c r="K2833" s="190"/>
      <c r="L2833" s="190"/>
      <c r="M2833" s="190"/>
      <c r="N2833" s="190"/>
      <c r="O2833" s="190"/>
      <c r="P2833" s="190"/>
      <c r="Q2833" s="190"/>
      <c r="R2833" s="190"/>
      <c r="S2833" s="190" t="s">
        <v>768</v>
      </c>
      <c r="T2833" s="43">
        <f t="shared" si="68"/>
        <v>1</v>
      </c>
      <c r="U2833" s="167">
        <f t="shared" si="66"/>
        <v>0</v>
      </c>
      <c r="V2833" s="43"/>
      <c r="W2833" s="43"/>
      <c r="X2833" s="43"/>
      <c r="Y2833" s="43"/>
      <c r="Z2833" s="43"/>
      <c r="AA2833" s="43"/>
      <c r="AB2833" s="43"/>
    </row>
    <row r="2834" spans="1:28" ht="14.25" hidden="1" customHeight="1">
      <c r="A2834" s="190"/>
      <c r="B2834" s="225"/>
      <c r="C2834" s="190"/>
      <c r="D2834" s="190"/>
      <c r="E2834" s="232"/>
      <c r="F2834" s="185"/>
      <c r="G2834" s="185"/>
      <c r="H2834" s="190"/>
      <c r="I2834" s="190"/>
      <c r="J2834" s="190"/>
      <c r="K2834" s="190"/>
      <c r="L2834" s="190"/>
      <c r="M2834" s="190"/>
      <c r="N2834" s="190"/>
      <c r="O2834" s="190"/>
      <c r="P2834" s="190"/>
      <c r="Q2834" s="190"/>
      <c r="R2834" s="190"/>
      <c r="S2834" s="190" t="s">
        <v>772</v>
      </c>
      <c r="T2834" s="43">
        <f t="shared" si="68"/>
        <v>1</v>
      </c>
      <c r="U2834" s="167">
        <f t="shared" si="66"/>
        <v>0</v>
      </c>
      <c r="V2834" s="43"/>
      <c r="W2834" s="43"/>
      <c r="X2834" s="43"/>
      <c r="Y2834" s="43"/>
      <c r="Z2834" s="43"/>
      <c r="AA2834" s="43"/>
      <c r="AB2834" s="43"/>
    </row>
    <row r="2835" spans="1:28" ht="14.25" hidden="1" customHeight="1">
      <c r="A2835" s="190"/>
      <c r="B2835" s="225"/>
      <c r="C2835" s="190"/>
      <c r="D2835" s="190"/>
      <c r="E2835" s="232"/>
      <c r="F2835" s="191"/>
      <c r="G2835" s="185"/>
      <c r="H2835" s="190"/>
      <c r="I2835" s="190"/>
      <c r="J2835" s="190"/>
      <c r="K2835" s="190"/>
      <c r="L2835" s="190"/>
      <c r="M2835" s="190"/>
      <c r="N2835" s="190"/>
      <c r="O2835" s="190"/>
      <c r="P2835" s="190"/>
      <c r="Q2835" s="190"/>
      <c r="R2835" s="190"/>
      <c r="S2835" s="190"/>
      <c r="T2835" s="43">
        <f t="shared" si="68"/>
        <v>1</v>
      </c>
      <c r="U2835" s="167">
        <f t="shared" si="66"/>
        <v>0</v>
      </c>
      <c r="V2835" s="43"/>
      <c r="W2835" s="43"/>
      <c r="X2835" s="43"/>
      <c r="Y2835" s="43"/>
      <c r="Z2835" s="43"/>
      <c r="AA2835" s="43"/>
      <c r="AB2835" s="43"/>
    </row>
    <row r="2836" spans="1:28" ht="14.25" hidden="1" customHeight="1">
      <c r="A2836" s="190"/>
      <c r="B2836" s="225"/>
      <c r="C2836" s="190"/>
      <c r="D2836" s="190"/>
      <c r="E2836" s="232"/>
      <c r="F2836" s="191"/>
      <c r="G2836" s="185"/>
      <c r="H2836" s="190"/>
      <c r="I2836" s="190"/>
      <c r="J2836" s="190"/>
      <c r="K2836" s="190"/>
      <c r="L2836" s="190"/>
      <c r="M2836" s="190"/>
      <c r="N2836" s="190"/>
      <c r="O2836" s="190"/>
      <c r="P2836" s="190"/>
      <c r="Q2836" s="190"/>
      <c r="R2836" s="190"/>
      <c r="S2836" s="190" t="s">
        <v>79</v>
      </c>
      <c r="T2836" s="43">
        <f t="shared" si="68"/>
        <v>1</v>
      </c>
      <c r="U2836" s="167">
        <f t="shared" si="66"/>
        <v>0</v>
      </c>
      <c r="V2836" s="43"/>
      <c r="W2836" s="43"/>
      <c r="X2836" s="43"/>
      <c r="Y2836" s="43"/>
      <c r="Z2836" s="43"/>
      <c r="AA2836" s="43"/>
      <c r="AB2836" s="43"/>
    </row>
    <row r="2837" spans="1:28" ht="14.25" hidden="1" customHeight="1">
      <c r="A2837" s="190"/>
      <c r="B2837" s="225"/>
      <c r="C2837" s="190"/>
      <c r="D2837" s="190"/>
      <c r="E2837" s="232"/>
      <c r="F2837" s="191"/>
      <c r="G2837" s="185"/>
      <c r="H2837" s="190"/>
      <c r="I2837" s="190"/>
      <c r="J2837" s="190"/>
      <c r="K2837" s="190"/>
      <c r="L2837" s="190"/>
      <c r="M2837" s="190"/>
      <c r="N2837" s="190"/>
      <c r="O2837" s="190"/>
      <c r="P2837" s="190"/>
      <c r="Q2837" s="190"/>
      <c r="R2837" s="190"/>
      <c r="S2837" s="190" t="s">
        <v>79</v>
      </c>
      <c r="T2837" s="43">
        <f t="shared" si="68"/>
        <v>1</v>
      </c>
      <c r="U2837" s="167">
        <f t="shared" si="66"/>
        <v>0</v>
      </c>
      <c r="V2837" s="43"/>
      <c r="W2837" s="43"/>
      <c r="X2837" s="43"/>
      <c r="Y2837" s="43"/>
      <c r="Z2837" s="43"/>
      <c r="AA2837" s="43"/>
      <c r="AB2837" s="43"/>
    </row>
    <row r="2838" spans="1:28" ht="14.25" hidden="1" customHeight="1">
      <c r="A2838" s="190"/>
      <c r="B2838" s="225"/>
      <c r="C2838" s="190"/>
      <c r="D2838" s="190"/>
      <c r="E2838" s="232"/>
      <c r="F2838" s="185"/>
      <c r="G2838" s="185"/>
      <c r="H2838" s="190"/>
      <c r="I2838" s="190"/>
      <c r="J2838" s="190"/>
      <c r="K2838" s="190"/>
      <c r="L2838" s="190"/>
      <c r="M2838" s="190"/>
      <c r="N2838" s="190"/>
      <c r="O2838" s="190"/>
      <c r="P2838" s="190"/>
      <c r="Q2838" s="190"/>
      <c r="R2838" s="190"/>
      <c r="S2838" s="190" t="s">
        <v>1391</v>
      </c>
      <c r="T2838" s="43">
        <f t="shared" si="68"/>
        <v>1</v>
      </c>
      <c r="U2838" s="167">
        <f t="shared" si="66"/>
        <v>0</v>
      </c>
      <c r="V2838" s="43"/>
      <c r="W2838" s="43"/>
      <c r="X2838" s="43"/>
      <c r="Y2838" s="43"/>
      <c r="Z2838" s="43"/>
      <c r="AA2838" s="43"/>
      <c r="AB2838" s="43"/>
    </row>
    <row r="2839" spans="1:28" ht="14.25" hidden="1" customHeight="1">
      <c r="A2839" s="190"/>
      <c r="B2839" s="225"/>
      <c r="C2839" s="190"/>
      <c r="D2839" s="190"/>
      <c r="E2839" s="232"/>
      <c r="F2839" s="191"/>
      <c r="G2839" s="185"/>
      <c r="H2839" s="190"/>
      <c r="I2839" s="190"/>
      <c r="J2839" s="190"/>
      <c r="K2839" s="190"/>
      <c r="L2839" s="190"/>
      <c r="M2839" s="190"/>
      <c r="N2839" s="190"/>
      <c r="O2839" s="190"/>
      <c r="P2839" s="190"/>
      <c r="Q2839" s="190"/>
      <c r="R2839" s="190"/>
      <c r="S2839" s="190"/>
      <c r="T2839" s="43">
        <f t="shared" si="68"/>
        <v>1</v>
      </c>
      <c r="U2839" s="167">
        <f t="shared" si="66"/>
        <v>0</v>
      </c>
      <c r="V2839" s="43"/>
      <c r="W2839" s="43"/>
      <c r="X2839" s="43"/>
      <c r="Y2839" s="43"/>
      <c r="Z2839" s="43"/>
      <c r="AA2839" s="43"/>
      <c r="AB2839" s="43"/>
    </row>
    <row r="2840" spans="1:28" ht="14.25" hidden="1" customHeight="1">
      <c r="A2840" s="190"/>
      <c r="B2840" s="225"/>
      <c r="C2840" s="190"/>
      <c r="D2840" s="190"/>
      <c r="E2840" s="232"/>
      <c r="F2840" s="185"/>
      <c r="G2840" s="185"/>
      <c r="H2840" s="190"/>
      <c r="I2840" s="190"/>
      <c r="J2840" s="190"/>
      <c r="K2840" s="190"/>
      <c r="L2840" s="190"/>
      <c r="M2840" s="190"/>
      <c r="N2840" s="190"/>
      <c r="O2840" s="190"/>
      <c r="P2840" s="190"/>
      <c r="Q2840" s="190"/>
      <c r="R2840" s="190"/>
      <c r="S2840" s="190" t="s">
        <v>1156</v>
      </c>
      <c r="T2840" s="43">
        <f t="shared" si="68"/>
        <v>1</v>
      </c>
      <c r="U2840" s="167">
        <f t="shared" si="66"/>
        <v>0</v>
      </c>
      <c r="V2840" s="167"/>
      <c r="W2840" s="43"/>
      <c r="X2840" s="43"/>
      <c r="Y2840" s="43"/>
      <c r="Z2840" s="43"/>
      <c r="AA2840" s="43"/>
      <c r="AB2840" s="43"/>
    </row>
    <row r="2841" spans="1:28" ht="14.25" hidden="1" customHeight="1">
      <c r="A2841" s="190"/>
      <c r="B2841" s="225"/>
      <c r="C2841" s="190"/>
      <c r="D2841" s="190"/>
      <c r="E2841" s="232"/>
      <c r="F2841" s="191"/>
      <c r="G2841" s="185"/>
      <c r="H2841" s="190"/>
      <c r="I2841" s="190"/>
      <c r="J2841" s="190"/>
      <c r="K2841" s="190"/>
      <c r="L2841" s="190"/>
      <c r="M2841" s="190"/>
      <c r="N2841" s="190"/>
      <c r="O2841" s="190"/>
      <c r="P2841" s="190"/>
      <c r="Q2841" s="190"/>
      <c r="R2841" s="190"/>
      <c r="S2841" s="190"/>
      <c r="T2841" s="43">
        <f t="shared" si="68"/>
        <v>1</v>
      </c>
      <c r="U2841" s="167">
        <f t="shared" si="66"/>
        <v>0</v>
      </c>
      <c r="V2841" s="43"/>
      <c r="W2841" s="43"/>
      <c r="X2841" s="43"/>
      <c r="Y2841" s="43"/>
      <c r="Z2841" s="43"/>
      <c r="AA2841" s="43"/>
      <c r="AB2841" s="43"/>
    </row>
    <row r="2842" spans="1:28" ht="14.25" hidden="1" customHeight="1">
      <c r="A2842" s="190"/>
      <c r="B2842" s="225"/>
      <c r="C2842" s="190"/>
      <c r="D2842" s="190"/>
      <c r="E2842" s="232"/>
      <c r="F2842" s="191"/>
      <c r="G2842" s="185"/>
      <c r="H2842" s="190"/>
      <c r="I2842" s="190"/>
      <c r="J2842" s="190"/>
      <c r="K2842" s="190"/>
      <c r="L2842" s="190"/>
      <c r="M2842" s="190"/>
      <c r="N2842" s="190"/>
      <c r="O2842" s="190"/>
      <c r="P2842" s="190"/>
      <c r="Q2842" s="190"/>
      <c r="R2842" s="190"/>
      <c r="S2842" s="190" t="s">
        <v>1044</v>
      </c>
      <c r="T2842" s="43">
        <f t="shared" si="68"/>
        <v>1</v>
      </c>
      <c r="U2842" s="167">
        <f t="shared" si="66"/>
        <v>0</v>
      </c>
      <c r="V2842" s="43"/>
      <c r="W2842" s="43"/>
      <c r="X2842" s="43"/>
      <c r="Y2842" s="43"/>
      <c r="Z2842" s="43"/>
      <c r="AA2842" s="43"/>
      <c r="AB2842" s="43"/>
    </row>
    <row r="2843" spans="1:28" ht="14.25" hidden="1" customHeight="1">
      <c r="A2843" s="190"/>
      <c r="B2843" s="225"/>
      <c r="C2843" s="190"/>
      <c r="D2843" s="190"/>
      <c r="E2843" s="232"/>
      <c r="F2843" s="191"/>
      <c r="G2843" s="185"/>
      <c r="H2843" s="190"/>
      <c r="I2843" s="190"/>
      <c r="J2843" s="190"/>
      <c r="K2843" s="190"/>
      <c r="L2843" s="190"/>
      <c r="M2843" s="190"/>
      <c r="N2843" s="190"/>
      <c r="O2843" s="190"/>
      <c r="P2843" s="190"/>
      <c r="Q2843" s="190"/>
      <c r="R2843" s="190"/>
      <c r="S2843" s="190" t="s">
        <v>1254</v>
      </c>
      <c r="T2843" s="43">
        <f t="shared" si="68"/>
        <v>1</v>
      </c>
      <c r="U2843" s="167">
        <f t="shared" si="66"/>
        <v>0</v>
      </c>
      <c r="V2843" s="43"/>
      <c r="W2843" s="43"/>
      <c r="X2843" s="43"/>
      <c r="Y2843" s="43"/>
      <c r="Z2843" s="43"/>
      <c r="AA2843" s="43"/>
      <c r="AB2843" s="43"/>
    </row>
    <row r="2844" spans="1:28" ht="14.25" hidden="1" customHeight="1">
      <c r="A2844" s="190"/>
      <c r="B2844" s="225"/>
      <c r="C2844" s="190"/>
      <c r="D2844" s="190"/>
      <c r="E2844" s="232"/>
      <c r="F2844" s="191"/>
      <c r="G2844" s="185"/>
      <c r="H2844" s="190"/>
      <c r="I2844" s="190"/>
      <c r="J2844" s="190"/>
      <c r="K2844" s="190"/>
      <c r="L2844" s="190"/>
      <c r="M2844" s="190"/>
      <c r="N2844" s="190"/>
      <c r="O2844" s="190"/>
      <c r="P2844" s="190"/>
      <c r="Q2844" s="190"/>
      <c r="R2844" s="190"/>
      <c r="S2844" s="190" t="s">
        <v>975</v>
      </c>
      <c r="T2844" s="43">
        <f t="shared" si="68"/>
        <v>1</v>
      </c>
      <c r="U2844" s="167">
        <f t="shared" si="66"/>
        <v>0</v>
      </c>
      <c r="V2844" s="43"/>
      <c r="W2844" s="43"/>
      <c r="X2844" s="43"/>
      <c r="Y2844" s="43"/>
      <c r="Z2844" s="43"/>
      <c r="AA2844" s="43"/>
      <c r="AB2844" s="43"/>
    </row>
    <row r="2845" spans="1:28" ht="14.25" hidden="1" customHeight="1">
      <c r="A2845" s="190"/>
      <c r="B2845" s="225"/>
      <c r="C2845" s="190"/>
      <c r="D2845" s="190"/>
      <c r="E2845" s="232"/>
      <c r="F2845" s="191"/>
      <c r="G2845" s="185"/>
      <c r="H2845" s="190"/>
      <c r="I2845" s="190"/>
      <c r="J2845" s="190"/>
      <c r="K2845" s="190"/>
      <c r="L2845" s="190"/>
      <c r="M2845" s="190"/>
      <c r="N2845" s="190"/>
      <c r="O2845" s="190"/>
      <c r="P2845" s="190"/>
      <c r="Q2845" s="190"/>
      <c r="R2845" s="190"/>
      <c r="S2845" s="190" t="s">
        <v>1246</v>
      </c>
      <c r="T2845" s="43">
        <f t="shared" si="68"/>
        <v>1</v>
      </c>
      <c r="U2845" s="167">
        <f t="shared" si="66"/>
        <v>0</v>
      </c>
      <c r="V2845" s="43"/>
      <c r="W2845" s="43"/>
      <c r="X2845" s="43"/>
      <c r="Y2845" s="43"/>
      <c r="Z2845" s="43"/>
      <c r="AA2845" s="43"/>
      <c r="AB2845" s="43"/>
    </row>
    <row r="2846" spans="1:28" ht="14.25" hidden="1" customHeight="1">
      <c r="A2846" s="190"/>
      <c r="B2846" s="225"/>
      <c r="C2846" s="190"/>
      <c r="D2846" s="190"/>
      <c r="E2846" s="232"/>
      <c r="F2846" s="185"/>
      <c r="G2846" s="185"/>
      <c r="H2846" s="190"/>
      <c r="I2846" s="190"/>
      <c r="J2846" s="190"/>
      <c r="K2846" s="190"/>
      <c r="L2846" s="190"/>
      <c r="M2846" s="190"/>
      <c r="N2846" s="190"/>
      <c r="O2846" s="190"/>
      <c r="P2846" s="190"/>
      <c r="Q2846" s="190"/>
      <c r="R2846" s="190"/>
      <c r="S2846" s="190" t="s">
        <v>1156</v>
      </c>
      <c r="T2846" s="43">
        <f t="shared" si="68"/>
        <v>1</v>
      </c>
      <c r="U2846" s="167">
        <f t="shared" si="66"/>
        <v>0</v>
      </c>
      <c r="V2846" s="167"/>
      <c r="W2846" s="43"/>
      <c r="X2846" s="43"/>
      <c r="Y2846" s="43"/>
      <c r="Z2846" s="43"/>
      <c r="AA2846" s="43"/>
      <c r="AB2846" s="43"/>
    </row>
    <row r="2847" spans="1:28" ht="14.25" hidden="1" customHeight="1">
      <c r="A2847" s="190"/>
      <c r="B2847" s="225"/>
      <c r="C2847" s="190"/>
      <c r="D2847" s="190"/>
      <c r="E2847" s="232"/>
      <c r="F2847" s="185"/>
      <c r="G2847" s="185"/>
      <c r="H2847" s="190"/>
      <c r="I2847" s="190"/>
      <c r="J2847" s="190"/>
      <c r="K2847" s="190"/>
      <c r="L2847" s="190"/>
      <c r="M2847" s="190"/>
      <c r="N2847" s="190"/>
      <c r="O2847" s="190"/>
      <c r="P2847" s="190"/>
      <c r="Q2847" s="190"/>
      <c r="R2847" s="190"/>
      <c r="S2847" s="190" t="s">
        <v>299</v>
      </c>
      <c r="T2847" s="43">
        <f t="shared" si="68"/>
        <v>1</v>
      </c>
      <c r="U2847" s="167">
        <f t="shared" si="66"/>
        <v>0</v>
      </c>
      <c r="V2847" s="43"/>
      <c r="W2847" s="43"/>
      <c r="X2847" s="43"/>
      <c r="Y2847" s="43"/>
      <c r="Z2847" s="43"/>
      <c r="AA2847" s="43"/>
      <c r="AB2847" s="43"/>
    </row>
    <row r="2848" spans="1:28" ht="14.25" hidden="1" customHeight="1">
      <c r="A2848" s="190"/>
      <c r="B2848" s="225"/>
      <c r="C2848" s="190"/>
      <c r="D2848" s="190"/>
      <c r="E2848" s="232"/>
      <c r="F2848" s="185"/>
      <c r="G2848" s="185"/>
      <c r="H2848" s="190"/>
      <c r="I2848" s="190"/>
      <c r="J2848" s="190"/>
      <c r="K2848" s="190"/>
      <c r="L2848" s="190"/>
      <c r="M2848" s="190"/>
      <c r="N2848" s="190"/>
      <c r="O2848" s="190"/>
      <c r="P2848" s="190"/>
      <c r="Q2848" s="190"/>
      <c r="R2848" s="190"/>
      <c r="S2848" s="190" t="s">
        <v>299</v>
      </c>
      <c r="T2848" s="43">
        <f t="shared" si="68"/>
        <v>1</v>
      </c>
      <c r="U2848" s="167">
        <f t="shared" si="66"/>
        <v>0</v>
      </c>
      <c r="V2848" s="43"/>
      <c r="W2848" s="43"/>
      <c r="X2848" s="43"/>
      <c r="Y2848" s="43"/>
      <c r="Z2848" s="43"/>
      <c r="AA2848" s="43"/>
      <c r="AB2848" s="43"/>
    </row>
    <row r="2849" spans="1:28" ht="14.25" hidden="1" customHeight="1">
      <c r="A2849" s="190"/>
      <c r="B2849" s="225"/>
      <c r="C2849" s="190"/>
      <c r="D2849" s="190"/>
      <c r="E2849" s="232"/>
      <c r="F2849" s="185"/>
      <c r="G2849" s="185"/>
      <c r="H2849" s="190"/>
      <c r="I2849" s="190"/>
      <c r="J2849" s="190"/>
      <c r="K2849" s="190"/>
      <c r="L2849" s="190"/>
      <c r="M2849" s="190"/>
      <c r="N2849" s="190"/>
      <c r="O2849" s="190"/>
      <c r="P2849" s="190"/>
      <c r="Q2849" s="190"/>
      <c r="R2849" s="190"/>
      <c r="S2849" s="190" t="s">
        <v>1000</v>
      </c>
      <c r="T2849" s="43">
        <f t="shared" si="68"/>
        <v>1</v>
      </c>
      <c r="U2849" s="167">
        <f t="shared" si="66"/>
        <v>0</v>
      </c>
      <c r="V2849" s="43"/>
      <c r="W2849" s="43"/>
      <c r="X2849" s="43"/>
      <c r="Y2849" s="43"/>
      <c r="Z2849" s="43"/>
      <c r="AA2849" s="43"/>
      <c r="AB2849" s="43"/>
    </row>
    <row r="2850" spans="1:28" ht="14.25" hidden="1" customHeight="1">
      <c r="A2850" s="190"/>
      <c r="B2850" s="225"/>
      <c r="C2850" s="190"/>
      <c r="D2850" s="190"/>
      <c r="E2850" s="232"/>
      <c r="F2850" s="185"/>
      <c r="G2850" s="185"/>
      <c r="H2850" s="190"/>
      <c r="I2850" s="190"/>
      <c r="J2850" s="190"/>
      <c r="K2850" s="190"/>
      <c r="L2850" s="190"/>
      <c r="M2850" s="190"/>
      <c r="N2850" s="190"/>
      <c r="O2850" s="190"/>
      <c r="P2850" s="190"/>
      <c r="Q2850" s="190"/>
      <c r="R2850" s="190"/>
      <c r="S2850" s="190" t="s">
        <v>299</v>
      </c>
      <c r="T2850" s="43">
        <f t="shared" si="68"/>
        <v>1</v>
      </c>
      <c r="U2850" s="167">
        <f t="shared" si="66"/>
        <v>0</v>
      </c>
      <c r="V2850" s="43"/>
      <c r="W2850" s="43"/>
      <c r="X2850" s="43"/>
      <c r="Y2850" s="43"/>
      <c r="Z2850" s="43"/>
      <c r="AA2850" s="43"/>
      <c r="AB2850" s="43"/>
    </row>
    <row r="2851" spans="1:28" ht="14.25" hidden="1" customHeight="1">
      <c r="A2851" s="190"/>
      <c r="B2851" s="225"/>
      <c r="C2851" s="190"/>
      <c r="D2851" s="190"/>
      <c r="E2851" s="232"/>
      <c r="F2851" s="185"/>
      <c r="G2851" s="185"/>
      <c r="H2851" s="190"/>
      <c r="I2851" s="190"/>
      <c r="J2851" s="190"/>
      <c r="K2851" s="190"/>
      <c r="L2851" s="190"/>
      <c r="M2851" s="190"/>
      <c r="N2851" s="190"/>
      <c r="O2851" s="190"/>
      <c r="P2851" s="190"/>
      <c r="Q2851" s="190"/>
      <c r="R2851" s="190"/>
      <c r="S2851" s="190" t="s">
        <v>299</v>
      </c>
      <c r="T2851" s="43">
        <f t="shared" si="68"/>
        <v>1</v>
      </c>
      <c r="U2851" s="167">
        <f t="shared" si="66"/>
        <v>0</v>
      </c>
      <c r="V2851" s="43"/>
      <c r="W2851" s="43"/>
      <c r="X2851" s="43"/>
      <c r="Y2851" s="43"/>
      <c r="Z2851" s="43"/>
      <c r="AA2851" s="43"/>
      <c r="AB2851" s="43"/>
    </row>
    <row r="2852" spans="1:28" ht="14.25" hidden="1" customHeight="1">
      <c r="A2852" s="190"/>
      <c r="B2852" s="225"/>
      <c r="C2852" s="190"/>
      <c r="D2852" s="190"/>
      <c r="E2852" s="232"/>
      <c r="F2852" s="185"/>
      <c r="G2852" s="185"/>
      <c r="H2852" s="190"/>
      <c r="I2852" s="190"/>
      <c r="J2852" s="190"/>
      <c r="K2852" s="190"/>
      <c r="L2852" s="190"/>
      <c r="M2852" s="190"/>
      <c r="N2852" s="190"/>
      <c r="O2852" s="190"/>
      <c r="P2852" s="190"/>
      <c r="Q2852" s="190"/>
      <c r="R2852" s="190"/>
      <c r="S2852" s="190" t="s">
        <v>1016</v>
      </c>
      <c r="T2852" s="43">
        <f t="shared" si="68"/>
        <v>1</v>
      </c>
      <c r="U2852" s="167">
        <f t="shared" si="66"/>
        <v>0</v>
      </c>
      <c r="V2852" s="43"/>
      <c r="W2852" s="43"/>
      <c r="X2852" s="43"/>
      <c r="Y2852" s="43"/>
      <c r="Z2852" s="43"/>
      <c r="AA2852" s="43"/>
      <c r="AB2852" s="43"/>
    </row>
    <row r="2853" spans="1:28" ht="14.25" hidden="1" customHeight="1">
      <c r="A2853" s="190"/>
      <c r="B2853" s="225"/>
      <c r="C2853" s="190"/>
      <c r="D2853" s="190"/>
      <c r="E2853" s="232"/>
      <c r="F2853" s="185"/>
      <c r="G2853" s="185"/>
      <c r="H2853" s="190"/>
      <c r="I2853" s="190"/>
      <c r="J2853" s="190"/>
      <c r="K2853" s="190"/>
      <c r="L2853" s="190"/>
      <c r="M2853" s="190"/>
      <c r="N2853" s="190"/>
      <c r="O2853" s="190"/>
      <c r="P2853" s="190"/>
      <c r="Q2853" s="190"/>
      <c r="R2853" s="190"/>
      <c r="S2853" s="190"/>
      <c r="T2853" s="43">
        <f t="shared" si="68"/>
        <v>1</v>
      </c>
      <c r="U2853" s="167">
        <f t="shared" si="66"/>
        <v>0</v>
      </c>
      <c r="V2853" s="43"/>
      <c r="W2853" s="43"/>
      <c r="X2853" s="43"/>
      <c r="Y2853" s="43"/>
      <c r="Z2853" s="43"/>
      <c r="AA2853" s="43"/>
      <c r="AB2853" s="43"/>
    </row>
    <row r="2854" spans="1:28" ht="14.25" hidden="1" customHeight="1">
      <c r="A2854" s="190"/>
      <c r="B2854" s="225"/>
      <c r="C2854" s="190"/>
      <c r="D2854" s="190"/>
      <c r="E2854" s="232"/>
      <c r="F2854" s="185"/>
      <c r="G2854" s="185"/>
      <c r="H2854" s="190"/>
      <c r="I2854" s="190"/>
      <c r="J2854" s="190"/>
      <c r="K2854" s="190"/>
      <c r="L2854" s="190"/>
      <c r="M2854" s="190"/>
      <c r="N2854" s="190"/>
      <c r="O2854" s="190"/>
      <c r="P2854" s="190"/>
      <c r="Q2854" s="190"/>
      <c r="R2854" s="190"/>
      <c r="S2854" s="190" t="s">
        <v>1154</v>
      </c>
      <c r="T2854" s="43">
        <f t="shared" si="68"/>
        <v>1</v>
      </c>
      <c r="U2854" s="167">
        <f t="shared" si="66"/>
        <v>0</v>
      </c>
      <c r="V2854" s="43"/>
      <c r="W2854" s="43"/>
      <c r="X2854" s="43"/>
      <c r="Y2854" s="43"/>
      <c r="Z2854" s="43"/>
      <c r="AA2854" s="43"/>
      <c r="AB2854" s="43"/>
    </row>
    <row r="2855" spans="1:28" ht="14.25" hidden="1" customHeight="1">
      <c r="A2855" s="190"/>
      <c r="B2855" s="225"/>
      <c r="C2855" s="190"/>
      <c r="D2855" s="190"/>
      <c r="E2855" s="232"/>
      <c r="F2855" s="185"/>
      <c r="G2855" s="185"/>
      <c r="H2855" s="190"/>
      <c r="I2855" s="190"/>
      <c r="J2855" s="190"/>
      <c r="K2855" s="190"/>
      <c r="L2855" s="190"/>
      <c r="M2855" s="190"/>
      <c r="N2855" s="190"/>
      <c r="O2855" s="190"/>
      <c r="P2855" s="190"/>
      <c r="Q2855" s="190"/>
      <c r="R2855" s="190"/>
      <c r="S2855" s="190" t="s">
        <v>923</v>
      </c>
      <c r="T2855" s="43">
        <f t="shared" si="68"/>
        <v>1</v>
      </c>
      <c r="U2855" s="167">
        <f t="shared" si="66"/>
        <v>0</v>
      </c>
      <c r="V2855" s="43"/>
      <c r="W2855" s="43"/>
      <c r="X2855" s="43"/>
      <c r="Y2855" s="43"/>
      <c r="Z2855" s="43"/>
      <c r="AA2855" s="43"/>
      <c r="AB2855" s="43"/>
    </row>
    <row r="2856" spans="1:28" ht="14.25" hidden="1" customHeight="1">
      <c r="A2856" s="190"/>
      <c r="B2856" s="225"/>
      <c r="C2856" s="190"/>
      <c r="D2856" s="190"/>
      <c r="E2856" s="232"/>
      <c r="F2856" s="185"/>
      <c r="G2856" s="185"/>
      <c r="H2856" s="190"/>
      <c r="I2856" s="190"/>
      <c r="J2856" s="190"/>
      <c r="K2856" s="190"/>
      <c r="L2856" s="190"/>
      <c r="M2856" s="190"/>
      <c r="N2856" s="190"/>
      <c r="O2856" s="190"/>
      <c r="P2856" s="190"/>
      <c r="Q2856" s="190"/>
      <c r="R2856" s="190"/>
      <c r="S2856" s="190" t="s">
        <v>923</v>
      </c>
      <c r="T2856" s="43">
        <f t="shared" si="68"/>
        <v>1</v>
      </c>
      <c r="U2856" s="167">
        <f t="shared" si="66"/>
        <v>0</v>
      </c>
      <c r="V2856" s="43"/>
      <c r="W2856" s="43"/>
      <c r="X2856" s="43"/>
      <c r="Y2856" s="43"/>
      <c r="Z2856" s="43"/>
      <c r="AA2856" s="43"/>
      <c r="AB2856" s="43"/>
    </row>
    <row r="2857" spans="1:28" ht="14.25" hidden="1" customHeight="1">
      <c r="A2857" s="190"/>
      <c r="B2857" s="225"/>
      <c r="C2857" s="190"/>
      <c r="D2857" s="190"/>
      <c r="E2857" s="232"/>
      <c r="F2857" s="185"/>
      <c r="G2857" s="185"/>
      <c r="H2857" s="190"/>
      <c r="I2857" s="190"/>
      <c r="J2857" s="190"/>
      <c r="K2857" s="190"/>
      <c r="L2857" s="190"/>
      <c r="M2857" s="190"/>
      <c r="N2857" s="190"/>
      <c r="O2857" s="190"/>
      <c r="P2857" s="190"/>
      <c r="Q2857" s="190"/>
      <c r="R2857" s="190"/>
      <c r="S2857" s="190" t="s">
        <v>997</v>
      </c>
      <c r="T2857" s="43">
        <f t="shared" si="68"/>
        <v>1</v>
      </c>
      <c r="U2857" s="167">
        <f t="shared" si="66"/>
        <v>0</v>
      </c>
      <c r="V2857" s="43"/>
      <c r="W2857" s="43"/>
      <c r="X2857" s="43"/>
      <c r="Y2857" s="43"/>
      <c r="Z2857" s="43"/>
      <c r="AA2857" s="43"/>
      <c r="AB2857" s="43"/>
    </row>
    <row r="2858" spans="1:28" ht="14.25" hidden="1" customHeight="1">
      <c r="A2858" s="190"/>
      <c r="B2858" s="225"/>
      <c r="C2858" s="190"/>
      <c r="D2858" s="190"/>
      <c r="E2858" s="232"/>
      <c r="F2858" s="185"/>
      <c r="G2858" s="185"/>
      <c r="H2858" s="190"/>
      <c r="I2858" s="190"/>
      <c r="J2858" s="190"/>
      <c r="K2858" s="190"/>
      <c r="L2858" s="190"/>
      <c r="M2858" s="190"/>
      <c r="N2858" s="190"/>
      <c r="O2858" s="190"/>
      <c r="P2858" s="190"/>
      <c r="Q2858" s="190"/>
      <c r="R2858" s="190"/>
      <c r="S2858" s="190" t="s">
        <v>1005</v>
      </c>
      <c r="T2858" s="43">
        <f t="shared" si="68"/>
        <v>1</v>
      </c>
      <c r="U2858" s="167">
        <f t="shared" si="66"/>
        <v>0</v>
      </c>
      <c r="V2858" s="43"/>
      <c r="W2858" s="43"/>
      <c r="X2858" s="43"/>
      <c r="Y2858" s="43"/>
      <c r="Z2858" s="43"/>
      <c r="AA2858" s="43"/>
      <c r="AB2858" s="43"/>
    </row>
    <row r="2859" spans="1:28" ht="14.25" hidden="1" customHeight="1">
      <c r="A2859" s="190"/>
      <c r="B2859" s="225"/>
      <c r="C2859" s="190"/>
      <c r="D2859" s="190"/>
      <c r="E2859" s="232"/>
      <c r="F2859" s="191"/>
      <c r="G2859" s="185"/>
      <c r="H2859" s="190"/>
      <c r="I2859" s="190"/>
      <c r="J2859" s="190"/>
      <c r="K2859" s="190"/>
      <c r="L2859" s="190"/>
      <c r="M2859" s="190"/>
      <c r="N2859" s="190"/>
      <c r="O2859" s="190"/>
      <c r="P2859" s="190"/>
      <c r="Q2859" s="190"/>
      <c r="R2859" s="190"/>
      <c r="S2859" s="190"/>
      <c r="T2859" s="43">
        <f t="shared" si="68"/>
        <v>1</v>
      </c>
      <c r="U2859" s="167">
        <f t="shared" si="66"/>
        <v>0</v>
      </c>
      <c r="V2859" s="43"/>
      <c r="W2859" s="43"/>
      <c r="X2859" s="43"/>
      <c r="Y2859" s="43"/>
      <c r="Z2859" s="43"/>
      <c r="AA2859" s="43"/>
      <c r="AB2859" s="43"/>
    </row>
    <row r="2860" spans="1:28" ht="14.25" hidden="1" customHeight="1">
      <c r="A2860" s="190"/>
      <c r="B2860" s="225"/>
      <c r="C2860" s="190"/>
      <c r="D2860" s="190"/>
      <c r="E2860" s="232"/>
      <c r="F2860" s="191"/>
      <c r="G2860" s="185"/>
      <c r="H2860" s="190"/>
      <c r="I2860" s="190"/>
      <c r="J2860" s="190"/>
      <c r="K2860" s="190"/>
      <c r="L2860" s="190"/>
      <c r="M2860" s="190"/>
      <c r="N2860" s="190"/>
      <c r="O2860" s="190"/>
      <c r="P2860" s="190"/>
      <c r="Q2860" s="190"/>
      <c r="R2860" s="190"/>
      <c r="S2860" s="190" t="s">
        <v>1417</v>
      </c>
      <c r="T2860" s="43">
        <f t="shared" si="68"/>
        <v>1</v>
      </c>
      <c r="U2860" s="167">
        <f t="shared" si="66"/>
        <v>0</v>
      </c>
      <c r="V2860" s="43"/>
      <c r="W2860" s="43"/>
      <c r="X2860" s="43"/>
      <c r="Y2860" s="43"/>
      <c r="Z2860" s="43"/>
      <c r="AA2860" s="43"/>
      <c r="AB2860" s="43"/>
    </row>
    <row r="2861" spans="1:28" ht="14.25" hidden="1" customHeight="1">
      <c r="A2861" s="190"/>
      <c r="B2861" s="225"/>
      <c r="C2861" s="190"/>
      <c r="D2861" s="190"/>
      <c r="E2861" s="232"/>
      <c r="F2861" s="191"/>
      <c r="G2861" s="185"/>
      <c r="H2861" s="190"/>
      <c r="I2861" s="190"/>
      <c r="J2861" s="190"/>
      <c r="K2861" s="190"/>
      <c r="L2861" s="190"/>
      <c r="M2861" s="190"/>
      <c r="N2861" s="190"/>
      <c r="O2861" s="190"/>
      <c r="P2861" s="190"/>
      <c r="Q2861" s="190"/>
      <c r="R2861" s="190"/>
      <c r="S2861" s="190" t="s">
        <v>1112</v>
      </c>
      <c r="T2861" s="43">
        <f t="shared" si="68"/>
        <v>1</v>
      </c>
      <c r="U2861" s="167">
        <f t="shared" si="66"/>
        <v>0</v>
      </c>
      <c r="V2861" s="43"/>
      <c r="W2861" s="43"/>
      <c r="X2861" s="43"/>
      <c r="Y2861" s="43"/>
      <c r="Z2861" s="43"/>
      <c r="AA2861" s="43"/>
      <c r="AB2861" s="43"/>
    </row>
    <row r="2862" spans="1:28" ht="14.25" hidden="1" customHeight="1">
      <c r="A2862" s="190"/>
      <c r="B2862" s="225"/>
      <c r="C2862" s="190"/>
      <c r="D2862" s="190"/>
      <c r="E2862" s="232"/>
      <c r="F2862" s="191"/>
      <c r="G2862" s="185"/>
      <c r="H2862" s="190"/>
      <c r="I2862" s="190"/>
      <c r="J2862" s="190"/>
      <c r="K2862" s="190"/>
      <c r="L2862" s="190"/>
      <c r="M2862" s="190"/>
      <c r="N2862" s="190"/>
      <c r="O2862" s="190"/>
      <c r="P2862" s="190"/>
      <c r="Q2862" s="190"/>
      <c r="R2862" s="190"/>
      <c r="S2862" s="190" t="s">
        <v>1085</v>
      </c>
      <c r="T2862" s="43">
        <f t="shared" si="68"/>
        <v>1</v>
      </c>
      <c r="U2862" s="167">
        <f t="shared" si="66"/>
        <v>0</v>
      </c>
      <c r="V2862" s="43"/>
      <c r="W2862" s="43"/>
      <c r="X2862" s="43"/>
      <c r="Y2862" s="43"/>
      <c r="Z2862" s="43"/>
      <c r="AA2862" s="43"/>
      <c r="AB2862" s="43"/>
    </row>
    <row r="2863" spans="1:28" ht="14.25" hidden="1" customHeight="1">
      <c r="A2863" s="190"/>
      <c r="B2863" s="225"/>
      <c r="C2863" s="190"/>
      <c r="D2863" s="190"/>
      <c r="E2863" s="232"/>
      <c r="F2863" s="191"/>
      <c r="G2863" s="185"/>
      <c r="H2863" s="190"/>
      <c r="I2863" s="190"/>
      <c r="J2863" s="190"/>
      <c r="K2863" s="190"/>
      <c r="L2863" s="190"/>
      <c r="M2863" s="190"/>
      <c r="N2863" s="190"/>
      <c r="O2863" s="190"/>
      <c r="P2863" s="190"/>
      <c r="Q2863" s="190"/>
      <c r="R2863" s="190"/>
      <c r="S2863" s="190" t="s">
        <v>1059</v>
      </c>
      <c r="T2863" s="43">
        <f t="shared" si="68"/>
        <v>1</v>
      </c>
      <c r="U2863" s="167">
        <f t="shared" si="66"/>
        <v>0</v>
      </c>
      <c r="V2863" s="43"/>
      <c r="W2863" s="43"/>
      <c r="X2863" s="43"/>
      <c r="Y2863" s="43"/>
      <c r="Z2863" s="43"/>
      <c r="AA2863" s="43"/>
      <c r="AB2863" s="43"/>
    </row>
    <row r="2864" spans="1:28" ht="14.25" hidden="1" customHeight="1">
      <c r="A2864" s="190"/>
      <c r="B2864" s="225"/>
      <c r="C2864" s="190"/>
      <c r="D2864" s="190"/>
      <c r="E2864" s="232"/>
      <c r="F2864" s="191"/>
      <c r="G2864" s="185"/>
      <c r="H2864" s="190"/>
      <c r="I2864" s="190"/>
      <c r="J2864" s="190"/>
      <c r="K2864" s="190"/>
      <c r="L2864" s="190"/>
      <c r="M2864" s="190"/>
      <c r="N2864" s="190"/>
      <c r="O2864" s="190"/>
      <c r="P2864" s="190"/>
      <c r="Q2864" s="190"/>
      <c r="R2864" s="190"/>
      <c r="S2864" s="190" t="s">
        <v>1052</v>
      </c>
      <c r="T2864" s="43">
        <f t="shared" si="68"/>
        <v>1</v>
      </c>
      <c r="U2864" s="167">
        <f t="shared" si="66"/>
        <v>0</v>
      </c>
      <c r="V2864" s="43"/>
      <c r="W2864" s="43"/>
      <c r="X2864" s="43"/>
      <c r="Y2864" s="43"/>
      <c r="Z2864" s="43"/>
      <c r="AA2864" s="43"/>
      <c r="AB2864" s="43"/>
    </row>
    <row r="2865" spans="1:28" ht="14.25" hidden="1" customHeight="1">
      <c r="A2865" s="190"/>
      <c r="B2865" s="225"/>
      <c r="C2865" s="190"/>
      <c r="D2865" s="190"/>
      <c r="E2865" s="232"/>
      <c r="F2865" s="191"/>
      <c r="G2865" s="185"/>
      <c r="H2865" s="190"/>
      <c r="I2865" s="190"/>
      <c r="J2865" s="190"/>
      <c r="K2865" s="190"/>
      <c r="L2865" s="190"/>
      <c r="M2865" s="190"/>
      <c r="N2865" s="190"/>
      <c r="O2865" s="190"/>
      <c r="P2865" s="190"/>
      <c r="Q2865" s="190"/>
      <c r="R2865" s="190"/>
      <c r="S2865" s="190" t="s">
        <v>1025</v>
      </c>
      <c r="T2865" s="43">
        <f t="shared" si="68"/>
        <v>1</v>
      </c>
      <c r="U2865" s="167">
        <f t="shared" si="66"/>
        <v>0</v>
      </c>
      <c r="V2865" s="43"/>
      <c r="W2865" s="43"/>
      <c r="X2865" s="43"/>
      <c r="Y2865" s="43"/>
      <c r="Z2865" s="43"/>
      <c r="AA2865" s="43"/>
      <c r="AB2865" s="43"/>
    </row>
    <row r="2866" spans="1:28" ht="14.25" hidden="1" customHeight="1">
      <c r="A2866" s="190"/>
      <c r="B2866" s="225"/>
      <c r="C2866" s="190"/>
      <c r="D2866" s="190"/>
      <c r="E2866" s="232"/>
      <c r="F2866" s="185"/>
      <c r="G2866" s="185"/>
      <c r="H2866" s="190"/>
      <c r="I2866" s="190"/>
      <c r="J2866" s="190"/>
      <c r="K2866" s="190"/>
      <c r="L2866" s="190"/>
      <c r="M2866" s="190"/>
      <c r="N2866" s="190"/>
      <c r="O2866" s="190"/>
      <c r="P2866" s="190"/>
      <c r="Q2866" s="190"/>
      <c r="R2866" s="190"/>
      <c r="S2866" s="190" t="s">
        <v>390</v>
      </c>
      <c r="T2866" s="43">
        <f t="shared" si="68"/>
        <v>1</v>
      </c>
      <c r="U2866" s="167">
        <f t="shared" si="66"/>
        <v>0</v>
      </c>
      <c r="V2866" s="43"/>
      <c r="W2866" s="43"/>
      <c r="X2866" s="43"/>
      <c r="Y2866" s="43"/>
      <c r="Z2866" s="43"/>
      <c r="AA2866" s="43"/>
      <c r="AB2866" s="43"/>
    </row>
    <row r="2867" spans="1:28" ht="14.25" hidden="1" customHeight="1">
      <c r="A2867" s="190"/>
      <c r="B2867" s="225"/>
      <c r="C2867" s="190"/>
      <c r="D2867" s="190"/>
      <c r="E2867" s="232"/>
      <c r="F2867" s="185"/>
      <c r="G2867" s="185"/>
      <c r="H2867" s="190"/>
      <c r="I2867" s="190"/>
      <c r="J2867" s="190"/>
      <c r="K2867" s="190"/>
      <c r="L2867" s="190"/>
      <c r="M2867" s="190"/>
      <c r="N2867" s="190"/>
      <c r="O2867" s="190"/>
      <c r="P2867" s="190"/>
      <c r="Q2867" s="190"/>
      <c r="R2867" s="190"/>
      <c r="S2867" s="190" t="s">
        <v>354</v>
      </c>
      <c r="T2867" s="43">
        <f t="shared" si="68"/>
        <v>1</v>
      </c>
      <c r="U2867" s="167">
        <f t="shared" si="66"/>
        <v>0</v>
      </c>
      <c r="V2867" s="43"/>
      <c r="W2867" s="43"/>
      <c r="X2867" s="43"/>
      <c r="Y2867" s="43"/>
      <c r="Z2867" s="43"/>
      <c r="AA2867" s="43"/>
      <c r="AB2867" s="43"/>
    </row>
    <row r="2868" spans="1:28" ht="14.25" hidden="1" customHeight="1">
      <c r="A2868" s="190"/>
      <c r="B2868" s="225"/>
      <c r="C2868" s="190"/>
      <c r="D2868" s="190"/>
      <c r="E2868" s="232"/>
      <c r="F2868" s="185"/>
      <c r="G2868" s="185"/>
      <c r="H2868" s="190"/>
      <c r="I2868" s="190"/>
      <c r="J2868" s="190"/>
      <c r="K2868" s="190"/>
      <c r="L2868" s="190"/>
      <c r="M2868" s="190"/>
      <c r="N2868" s="190"/>
      <c r="O2868" s="190"/>
      <c r="P2868" s="190"/>
      <c r="Q2868" s="190"/>
      <c r="R2868" s="190"/>
      <c r="S2868" s="190" t="s">
        <v>1076</v>
      </c>
      <c r="T2868" s="43">
        <f t="shared" si="68"/>
        <v>1</v>
      </c>
      <c r="U2868" s="167">
        <f t="shared" si="66"/>
        <v>0</v>
      </c>
      <c r="V2868" s="43"/>
      <c r="W2868" s="43"/>
      <c r="X2868" s="43"/>
      <c r="Y2868" s="43"/>
      <c r="Z2868" s="43"/>
      <c r="AA2868" s="43"/>
      <c r="AB2868" s="43"/>
    </row>
    <row r="2869" spans="1:28" ht="14.25" hidden="1" customHeight="1">
      <c r="A2869" s="190"/>
      <c r="B2869" s="225"/>
      <c r="C2869" s="190"/>
      <c r="D2869" s="190"/>
      <c r="E2869" s="232"/>
      <c r="F2869" s="185"/>
      <c r="G2869" s="185"/>
      <c r="H2869" s="190"/>
      <c r="I2869" s="190"/>
      <c r="J2869" s="190"/>
      <c r="K2869" s="190"/>
      <c r="L2869" s="190"/>
      <c r="M2869" s="190"/>
      <c r="N2869" s="190"/>
      <c r="O2869" s="190"/>
      <c r="P2869" s="190"/>
      <c r="Q2869" s="190"/>
      <c r="R2869" s="190"/>
      <c r="S2869" s="190" t="s">
        <v>440</v>
      </c>
      <c r="T2869" s="43">
        <f t="shared" si="68"/>
        <v>1</v>
      </c>
      <c r="U2869" s="167">
        <f t="shared" si="66"/>
        <v>0</v>
      </c>
      <c r="V2869" s="43"/>
      <c r="W2869" s="43"/>
      <c r="X2869" s="43"/>
      <c r="Y2869" s="43"/>
      <c r="Z2869" s="43"/>
      <c r="AA2869" s="43"/>
      <c r="AB2869" s="43"/>
    </row>
    <row r="2870" spans="1:28" ht="14.25" hidden="1" customHeight="1">
      <c r="A2870" s="190"/>
      <c r="B2870" s="225"/>
      <c r="C2870" s="190"/>
      <c r="D2870" s="190"/>
      <c r="E2870" s="232"/>
      <c r="F2870" s="185"/>
      <c r="G2870" s="185"/>
      <c r="H2870" s="190"/>
      <c r="I2870" s="190"/>
      <c r="J2870" s="190"/>
      <c r="K2870" s="190"/>
      <c r="L2870" s="190"/>
      <c r="M2870" s="190"/>
      <c r="N2870" s="190"/>
      <c r="O2870" s="190"/>
      <c r="P2870" s="190"/>
      <c r="Q2870" s="190"/>
      <c r="R2870" s="190"/>
      <c r="S2870" s="190" t="s">
        <v>361</v>
      </c>
      <c r="T2870" s="43">
        <f t="shared" si="68"/>
        <v>1</v>
      </c>
      <c r="U2870" s="167">
        <f t="shared" si="66"/>
        <v>0</v>
      </c>
      <c r="V2870" s="43"/>
      <c r="W2870" s="43"/>
      <c r="X2870" s="43"/>
      <c r="Y2870" s="43"/>
      <c r="Z2870" s="43"/>
      <c r="AA2870" s="43"/>
      <c r="AB2870" s="43"/>
    </row>
    <row r="2871" spans="1:28" ht="14.25" hidden="1" customHeight="1">
      <c r="A2871" s="190"/>
      <c r="B2871" s="225"/>
      <c r="C2871" s="190"/>
      <c r="D2871" s="190"/>
      <c r="E2871" s="232"/>
      <c r="F2871" s="185"/>
      <c r="G2871" s="185"/>
      <c r="H2871" s="190"/>
      <c r="I2871" s="190"/>
      <c r="J2871" s="190"/>
      <c r="K2871" s="190"/>
      <c r="L2871" s="190"/>
      <c r="M2871" s="190"/>
      <c r="N2871" s="190"/>
      <c r="O2871" s="190"/>
      <c r="P2871" s="190"/>
      <c r="Q2871" s="190"/>
      <c r="R2871" s="190"/>
      <c r="S2871" s="190" t="s">
        <v>459</v>
      </c>
      <c r="T2871" s="43">
        <f t="shared" si="68"/>
        <v>1</v>
      </c>
      <c r="U2871" s="167">
        <f t="shared" si="66"/>
        <v>0</v>
      </c>
      <c r="V2871" s="43"/>
      <c r="W2871" s="43"/>
      <c r="X2871" s="43"/>
      <c r="Y2871" s="43"/>
      <c r="Z2871" s="43"/>
      <c r="AA2871" s="43"/>
      <c r="AB2871" s="43"/>
    </row>
    <row r="2872" spans="1:28" ht="14.25" hidden="1" customHeight="1">
      <c r="A2872" s="190"/>
      <c r="B2872" s="225"/>
      <c r="C2872" s="190"/>
      <c r="D2872" s="190"/>
      <c r="E2872" s="232"/>
      <c r="F2872" s="185"/>
      <c r="G2872" s="185"/>
      <c r="H2872" s="190"/>
      <c r="I2872" s="190"/>
      <c r="J2872" s="190"/>
      <c r="K2872" s="190"/>
      <c r="L2872" s="190"/>
      <c r="M2872" s="190"/>
      <c r="N2872" s="190"/>
      <c r="O2872" s="190"/>
      <c r="P2872" s="190"/>
      <c r="Q2872" s="190"/>
      <c r="R2872" s="190"/>
      <c r="S2872" s="190" t="s">
        <v>468</v>
      </c>
      <c r="T2872" s="43">
        <f t="shared" si="68"/>
        <v>1</v>
      </c>
      <c r="U2872" s="167">
        <f t="shared" si="66"/>
        <v>0</v>
      </c>
      <c r="V2872" s="43"/>
      <c r="W2872" s="43"/>
      <c r="X2872" s="43"/>
      <c r="Y2872" s="43"/>
      <c r="Z2872" s="43"/>
      <c r="AA2872" s="43"/>
      <c r="AB2872" s="43"/>
    </row>
    <row r="2873" spans="1:28" ht="14.25" hidden="1" customHeight="1">
      <c r="A2873" s="190"/>
      <c r="B2873" s="225"/>
      <c r="C2873" s="190"/>
      <c r="D2873" s="190"/>
      <c r="E2873" s="232"/>
      <c r="F2873" s="185"/>
      <c r="G2873" s="185"/>
      <c r="H2873" s="190"/>
      <c r="I2873" s="190"/>
      <c r="J2873" s="190"/>
      <c r="K2873" s="190"/>
      <c r="L2873" s="190"/>
      <c r="M2873" s="190"/>
      <c r="N2873" s="190"/>
      <c r="O2873" s="190"/>
      <c r="P2873" s="190"/>
      <c r="Q2873" s="190"/>
      <c r="R2873" s="190"/>
      <c r="S2873" s="190"/>
      <c r="T2873" s="43">
        <f t="shared" si="68"/>
        <v>1</v>
      </c>
      <c r="U2873" s="167">
        <f t="shared" si="66"/>
        <v>0</v>
      </c>
      <c r="V2873" s="43"/>
      <c r="W2873" s="43"/>
      <c r="X2873" s="43"/>
      <c r="Y2873" s="43"/>
      <c r="Z2873" s="43"/>
      <c r="AA2873" s="43"/>
      <c r="AB2873" s="43"/>
    </row>
    <row r="2874" spans="1:28" ht="14.25" hidden="1" customHeight="1">
      <c r="A2874" s="190"/>
      <c r="B2874" s="225"/>
      <c r="C2874" s="190"/>
      <c r="D2874" s="190"/>
      <c r="E2874" s="232"/>
      <c r="F2874" s="185"/>
      <c r="G2874" s="185"/>
      <c r="H2874" s="190"/>
      <c r="I2874" s="190"/>
      <c r="J2874" s="190"/>
      <c r="K2874" s="190"/>
      <c r="L2874" s="190"/>
      <c r="M2874" s="190"/>
      <c r="N2874" s="190"/>
      <c r="O2874" s="190"/>
      <c r="P2874" s="190"/>
      <c r="Q2874" s="190"/>
      <c r="R2874" s="190"/>
      <c r="S2874" s="190"/>
      <c r="T2874" s="43">
        <f t="shared" si="68"/>
        <v>1</v>
      </c>
      <c r="U2874" s="167">
        <f t="shared" si="66"/>
        <v>0</v>
      </c>
      <c r="V2874" s="43"/>
      <c r="W2874" s="43"/>
      <c r="X2874" s="43"/>
      <c r="Y2874" s="43"/>
      <c r="Z2874" s="43"/>
      <c r="AA2874" s="43"/>
      <c r="AB2874" s="43"/>
    </row>
    <row r="2875" spans="1:28" ht="14.25" hidden="1" customHeight="1">
      <c r="A2875" s="190"/>
      <c r="B2875" s="225"/>
      <c r="C2875" s="190"/>
      <c r="D2875" s="190"/>
      <c r="E2875" s="232"/>
      <c r="F2875" s="185"/>
      <c r="G2875" s="185"/>
      <c r="H2875" s="190"/>
      <c r="I2875" s="190"/>
      <c r="J2875" s="190"/>
      <c r="K2875" s="190"/>
      <c r="L2875" s="190"/>
      <c r="M2875" s="190"/>
      <c r="N2875" s="190"/>
      <c r="O2875" s="190"/>
      <c r="P2875" s="190"/>
      <c r="Q2875" s="190"/>
      <c r="R2875" s="190"/>
      <c r="S2875" s="190" t="s">
        <v>453</v>
      </c>
      <c r="T2875" s="43">
        <f t="shared" si="68"/>
        <v>1</v>
      </c>
      <c r="U2875" s="167">
        <f t="shared" si="66"/>
        <v>0</v>
      </c>
      <c r="V2875" s="43"/>
      <c r="W2875" s="43"/>
      <c r="X2875" s="43"/>
      <c r="Y2875" s="43"/>
      <c r="Z2875" s="43"/>
      <c r="AA2875" s="43"/>
      <c r="AB2875" s="43"/>
    </row>
    <row r="2876" spans="1:28" ht="14.25" hidden="1" customHeight="1">
      <c r="A2876" s="190"/>
      <c r="B2876" s="225"/>
      <c r="C2876" s="190"/>
      <c r="D2876" s="190"/>
      <c r="E2876" s="232"/>
      <c r="F2876" s="185"/>
      <c r="G2876" s="185"/>
      <c r="H2876" s="190"/>
      <c r="I2876" s="190"/>
      <c r="J2876" s="190"/>
      <c r="K2876" s="190"/>
      <c r="L2876" s="190"/>
      <c r="M2876" s="190"/>
      <c r="N2876" s="190"/>
      <c r="O2876" s="190"/>
      <c r="P2876" s="190"/>
      <c r="Q2876" s="190"/>
      <c r="R2876" s="190"/>
      <c r="S2876" s="190" t="s">
        <v>320</v>
      </c>
      <c r="T2876" s="43">
        <f t="shared" si="68"/>
        <v>1</v>
      </c>
      <c r="U2876" s="167">
        <f t="shared" si="66"/>
        <v>0</v>
      </c>
      <c r="V2876" s="43"/>
      <c r="W2876" s="43"/>
      <c r="X2876" s="43"/>
      <c r="Y2876" s="43"/>
      <c r="Z2876" s="43"/>
      <c r="AA2876" s="43"/>
      <c r="AB2876" s="43"/>
    </row>
    <row r="2877" spans="1:28" ht="14.25" hidden="1" customHeight="1">
      <c r="A2877" s="190"/>
      <c r="B2877" s="225"/>
      <c r="C2877" s="190"/>
      <c r="D2877" s="190"/>
      <c r="E2877" s="232"/>
      <c r="F2877" s="191"/>
      <c r="G2877" s="185"/>
      <c r="H2877" s="190"/>
      <c r="I2877" s="190"/>
      <c r="J2877" s="190"/>
      <c r="K2877" s="190"/>
      <c r="L2877" s="190"/>
      <c r="M2877" s="190"/>
      <c r="N2877" s="190"/>
      <c r="O2877" s="190"/>
      <c r="P2877" s="190"/>
      <c r="Q2877" s="190"/>
      <c r="R2877" s="190"/>
      <c r="S2877" s="190"/>
      <c r="T2877" s="43">
        <f t="shared" si="68"/>
        <v>1</v>
      </c>
      <c r="U2877" s="167">
        <f t="shared" si="66"/>
        <v>0</v>
      </c>
      <c r="V2877" s="43"/>
      <c r="W2877" s="43"/>
      <c r="X2877" s="43"/>
      <c r="Y2877" s="43"/>
      <c r="Z2877" s="43"/>
      <c r="AA2877" s="43"/>
      <c r="AB2877" s="43"/>
    </row>
    <row r="2878" spans="1:28" ht="14.25" hidden="1" customHeight="1">
      <c r="A2878" s="190"/>
      <c r="B2878" s="225"/>
      <c r="C2878" s="190"/>
      <c r="D2878" s="190"/>
      <c r="E2878" s="232"/>
      <c r="F2878" s="191"/>
      <c r="G2878" s="185"/>
      <c r="H2878" s="190"/>
      <c r="I2878" s="190"/>
      <c r="J2878" s="190"/>
      <c r="K2878" s="190"/>
      <c r="L2878" s="190"/>
      <c r="M2878" s="190"/>
      <c r="N2878" s="190"/>
      <c r="O2878" s="190"/>
      <c r="P2878" s="190"/>
      <c r="Q2878" s="190"/>
      <c r="R2878" s="190"/>
      <c r="S2878" s="190" t="s">
        <v>1439</v>
      </c>
      <c r="T2878" s="43">
        <f t="shared" si="68"/>
        <v>1</v>
      </c>
      <c r="U2878" s="167">
        <f t="shared" si="66"/>
        <v>0</v>
      </c>
      <c r="V2878" s="43"/>
      <c r="W2878" s="43"/>
      <c r="X2878" s="43"/>
      <c r="Y2878" s="43"/>
      <c r="Z2878" s="43"/>
      <c r="AA2878" s="43"/>
      <c r="AB2878" s="43"/>
    </row>
    <row r="2879" spans="1:28" ht="14.25" hidden="1" customHeight="1">
      <c r="A2879" s="190"/>
      <c r="B2879" s="225"/>
      <c r="C2879" s="190"/>
      <c r="D2879" s="190"/>
      <c r="E2879" s="232"/>
      <c r="F2879" s="185"/>
      <c r="G2879" s="185"/>
      <c r="H2879" s="190"/>
      <c r="I2879" s="190"/>
      <c r="J2879" s="190"/>
      <c r="K2879" s="190"/>
      <c r="L2879" s="190"/>
      <c r="M2879" s="190"/>
      <c r="N2879" s="190"/>
      <c r="O2879" s="190"/>
      <c r="P2879" s="190"/>
      <c r="Q2879" s="190"/>
      <c r="R2879" s="190"/>
      <c r="S2879" s="190" t="s">
        <v>1212</v>
      </c>
      <c r="T2879" s="43">
        <f t="shared" si="68"/>
        <v>1</v>
      </c>
      <c r="U2879" s="167">
        <f t="shared" si="66"/>
        <v>0</v>
      </c>
      <c r="V2879" s="43"/>
      <c r="W2879" s="43"/>
      <c r="X2879" s="43"/>
      <c r="Y2879" s="43"/>
      <c r="Z2879" s="43"/>
      <c r="AA2879" s="43"/>
      <c r="AB2879" s="43"/>
    </row>
    <row r="2880" spans="1:28" ht="14.25" hidden="1" customHeight="1">
      <c r="A2880" s="190"/>
      <c r="B2880" s="225"/>
      <c r="C2880" s="190"/>
      <c r="D2880" s="190"/>
      <c r="E2880" s="232"/>
      <c r="F2880" s="185"/>
      <c r="G2880" s="185"/>
      <c r="H2880" s="190"/>
      <c r="I2880" s="190"/>
      <c r="J2880" s="190"/>
      <c r="K2880" s="190"/>
      <c r="L2880" s="190"/>
      <c r="M2880" s="190"/>
      <c r="N2880" s="190"/>
      <c r="O2880" s="190"/>
      <c r="P2880" s="190"/>
      <c r="Q2880" s="190"/>
      <c r="R2880" s="190"/>
      <c r="S2880" s="190" t="s">
        <v>1016</v>
      </c>
      <c r="T2880" s="43">
        <f t="shared" si="68"/>
        <v>1</v>
      </c>
      <c r="U2880" s="167">
        <f t="shared" si="66"/>
        <v>0</v>
      </c>
      <c r="V2880" s="43"/>
      <c r="W2880" s="43"/>
      <c r="X2880" s="43"/>
      <c r="Y2880" s="43"/>
      <c r="Z2880" s="43"/>
      <c r="AA2880" s="43"/>
      <c r="AB2880" s="43"/>
    </row>
    <row r="2881" spans="1:28" ht="14.25" hidden="1" customHeight="1">
      <c r="A2881" s="190"/>
      <c r="B2881" s="225"/>
      <c r="C2881" s="190"/>
      <c r="D2881" s="190"/>
      <c r="E2881" s="232"/>
      <c r="F2881" s="185"/>
      <c r="G2881" s="185"/>
      <c r="H2881" s="190"/>
      <c r="I2881" s="190"/>
      <c r="J2881" s="190"/>
      <c r="K2881" s="190"/>
      <c r="L2881" s="190"/>
      <c r="M2881" s="190"/>
      <c r="N2881" s="190"/>
      <c r="O2881" s="190"/>
      <c r="P2881" s="190"/>
      <c r="Q2881" s="190"/>
      <c r="R2881" s="190"/>
      <c r="S2881" s="190" t="s">
        <v>1275</v>
      </c>
      <c r="T2881" s="43">
        <f t="shared" si="68"/>
        <v>1</v>
      </c>
      <c r="U2881" s="167">
        <f t="shared" si="66"/>
        <v>0</v>
      </c>
      <c r="V2881" s="43"/>
      <c r="W2881" s="43"/>
      <c r="X2881" s="43"/>
      <c r="Y2881" s="43"/>
      <c r="Z2881" s="43"/>
      <c r="AA2881" s="43"/>
      <c r="AB2881" s="43"/>
    </row>
    <row r="2882" spans="1:28" ht="14.25" hidden="1" customHeight="1">
      <c r="A2882" s="190"/>
      <c r="B2882" s="225"/>
      <c r="C2882" s="190"/>
      <c r="D2882" s="190"/>
      <c r="E2882" s="232"/>
      <c r="F2882" s="185"/>
      <c r="G2882" s="185"/>
      <c r="H2882" s="190"/>
      <c r="I2882" s="190"/>
      <c r="J2882" s="190"/>
      <c r="K2882" s="190"/>
      <c r="L2882" s="190"/>
      <c r="M2882" s="190"/>
      <c r="N2882" s="190"/>
      <c r="O2882" s="190"/>
      <c r="P2882" s="190"/>
      <c r="Q2882" s="190"/>
      <c r="R2882" s="190"/>
      <c r="S2882" s="190" t="s">
        <v>1100</v>
      </c>
      <c r="T2882" s="43">
        <f t="shared" si="68"/>
        <v>1</v>
      </c>
      <c r="U2882" s="167">
        <f t="shared" si="66"/>
        <v>0</v>
      </c>
      <c r="V2882" s="43"/>
      <c r="W2882" s="43"/>
      <c r="X2882" s="43"/>
      <c r="Y2882" s="43"/>
      <c r="Z2882" s="43"/>
      <c r="AA2882" s="43"/>
      <c r="AB2882" s="43"/>
    </row>
    <row r="2883" spans="1:28" ht="14.25" hidden="1" customHeight="1">
      <c r="A2883" s="190"/>
      <c r="B2883" s="225"/>
      <c r="C2883" s="190"/>
      <c r="D2883" s="190"/>
      <c r="E2883" s="232"/>
      <c r="F2883" s="185"/>
      <c r="G2883" s="185"/>
      <c r="H2883" s="190"/>
      <c r="I2883" s="190"/>
      <c r="J2883" s="190"/>
      <c r="K2883" s="190"/>
      <c r="L2883" s="190"/>
      <c r="M2883" s="190"/>
      <c r="N2883" s="190"/>
      <c r="O2883" s="190"/>
      <c r="P2883" s="190"/>
      <c r="Q2883" s="190"/>
      <c r="R2883" s="190"/>
      <c r="S2883" s="190"/>
      <c r="T2883" s="43">
        <f t="shared" si="68"/>
        <v>1</v>
      </c>
      <c r="U2883" s="167">
        <f t="shared" si="66"/>
        <v>0</v>
      </c>
      <c r="V2883" s="43"/>
      <c r="W2883" s="43"/>
      <c r="X2883" s="43"/>
      <c r="Y2883" s="43"/>
      <c r="Z2883" s="43"/>
      <c r="AA2883" s="43"/>
      <c r="AB2883" s="43"/>
    </row>
    <row r="2884" spans="1:28" ht="14.25" hidden="1" customHeight="1">
      <c r="A2884" s="190"/>
      <c r="B2884" s="225"/>
      <c r="C2884" s="190"/>
      <c r="D2884" s="190"/>
      <c r="E2884" s="232"/>
      <c r="F2884" s="191"/>
      <c r="G2884" s="185"/>
      <c r="H2884" s="190"/>
      <c r="I2884" s="190"/>
      <c r="J2884" s="190"/>
      <c r="K2884" s="190"/>
      <c r="L2884" s="190"/>
      <c r="M2884" s="190"/>
      <c r="N2884" s="190"/>
      <c r="O2884" s="190"/>
      <c r="P2884" s="190"/>
      <c r="Q2884" s="190"/>
      <c r="R2884" s="190"/>
      <c r="S2884" s="190"/>
      <c r="T2884" s="43">
        <f t="shared" si="68"/>
        <v>1</v>
      </c>
      <c r="U2884" s="167">
        <f t="shared" si="66"/>
        <v>0</v>
      </c>
      <c r="V2884" s="43"/>
      <c r="W2884" s="43"/>
      <c r="X2884" s="43"/>
      <c r="Y2884" s="43"/>
      <c r="Z2884" s="43"/>
      <c r="AA2884" s="43"/>
      <c r="AB2884" s="43"/>
    </row>
    <row r="2885" spans="1:28" ht="14.25" hidden="1" customHeight="1">
      <c r="A2885" s="190"/>
      <c r="B2885" s="225"/>
      <c r="C2885" s="190"/>
      <c r="D2885" s="190"/>
      <c r="E2885" s="232"/>
      <c r="F2885" s="185"/>
      <c r="G2885" s="185"/>
      <c r="H2885" s="190"/>
      <c r="I2885" s="190"/>
      <c r="J2885" s="190"/>
      <c r="K2885" s="190"/>
      <c r="L2885" s="190"/>
      <c r="M2885" s="190"/>
      <c r="N2885" s="190"/>
      <c r="O2885" s="190"/>
      <c r="P2885" s="190"/>
      <c r="Q2885" s="190"/>
      <c r="R2885" s="190"/>
      <c r="S2885" s="190"/>
      <c r="T2885" s="43">
        <f t="shared" si="68"/>
        <v>1</v>
      </c>
      <c r="U2885" s="167">
        <f t="shared" si="66"/>
        <v>0</v>
      </c>
      <c r="V2885" s="43"/>
      <c r="W2885" s="43"/>
      <c r="X2885" s="43"/>
      <c r="Y2885" s="43"/>
      <c r="Z2885" s="43"/>
      <c r="AA2885" s="43"/>
      <c r="AB2885" s="43"/>
    </row>
    <row r="2886" spans="1:28" ht="14.25" hidden="1" customHeight="1">
      <c r="A2886" s="190"/>
      <c r="B2886" s="225"/>
      <c r="C2886" s="190"/>
      <c r="D2886" s="190"/>
      <c r="E2886" s="232"/>
      <c r="F2886" s="185"/>
      <c r="G2886" s="185"/>
      <c r="H2886" s="190"/>
      <c r="I2886" s="190"/>
      <c r="J2886" s="190"/>
      <c r="K2886" s="190"/>
      <c r="L2886" s="190"/>
      <c r="M2886" s="190"/>
      <c r="N2886" s="190"/>
      <c r="O2886" s="190"/>
      <c r="P2886" s="190"/>
      <c r="Q2886" s="190"/>
      <c r="R2886" s="190"/>
      <c r="S2886" s="190"/>
      <c r="T2886" s="43">
        <f t="shared" si="68"/>
        <v>1</v>
      </c>
      <c r="U2886" s="167">
        <f t="shared" si="66"/>
        <v>0</v>
      </c>
      <c r="V2886" s="43"/>
      <c r="W2886" s="43"/>
      <c r="X2886" s="43"/>
      <c r="Y2886" s="43"/>
      <c r="Z2886" s="43"/>
      <c r="AA2886" s="43"/>
      <c r="AB2886" s="43"/>
    </row>
    <row r="2887" spans="1:28" ht="14.25" hidden="1" customHeight="1">
      <c r="A2887" s="190"/>
      <c r="B2887" s="225"/>
      <c r="C2887" s="190"/>
      <c r="D2887" s="190"/>
      <c r="E2887" s="232"/>
      <c r="F2887" s="185"/>
      <c r="G2887" s="185"/>
      <c r="H2887" s="190"/>
      <c r="I2887" s="190"/>
      <c r="J2887" s="190"/>
      <c r="K2887" s="190"/>
      <c r="L2887" s="190"/>
      <c r="M2887" s="190"/>
      <c r="N2887" s="190"/>
      <c r="O2887" s="190"/>
      <c r="P2887" s="190"/>
      <c r="Q2887" s="190"/>
      <c r="R2887" s="190"/>
      <c r="S2887" s="190" t="s">
        <v>1446</v>
      </c>
      <c r="T2887" s="43">
        <f t="shared" si="68"/>
        <v>1</v>
      </c>
      <c r="U2887" s="167">
        <f t="shared" si="66"/>
        <v>0</v>
      </c>
      <c r="V2887" s="43"/>
      <c r="W2887" s="43"/>
      <c r="X2887" s="43"/>
      <c r="Y2887" s="43"/>
      <c r="Z2887" s="43"/>
      <c r="AA2887" s="43"/>
      <c r="AB2887" s="43"/>
    </row>
    <row r="2888" spans="1:28" ht="14.25" hidden="1" customHeight="1">
      <c r="A2888" s="190"/>
      <c r="B2888" s="225"/>
      <c r="C2888" s="190"/>
      <c r="D2888" s="190"/>
      <c r="E2888" s="232"/>
      <c r="F2888" s="191"/>
      <c r="G2888" s="185"/>
      <c r="H2888" s="190"/>
      <c r="I2888" s="190"/>
      <c r="J2888" s="190"/>
      <c r="K2888" s="190"/>
      <c r="L2888" s="190"/>
      <c r="M2888" s="190"/>
      <c r="N2888" s="190"/>
      <c r="O2888" s="190"/>
      <c r="P2888" s="190"/>
      <c r="Q2888" s="190"/>
      <c r="R2888" s="190"/>
      <c r="S2888" s="190"/>
      <c r="T2888" s="43">
        <f t="shared" si="68"/>
        <v>1</v>
      </c>
      <c r="U2888" s="167">
        <f t="shared" si="66"/>
        <v>0</v>
      </c>
      <c r="V2888" s="43"/>
      <c r="W2888" s="43"/>
      <c r="X2888" s="43"/>
      <c r="Y2888" s="43"/>
      <c r="Z2888" s="43"/>
      <c r="AA2888" s="43"/>
      <c r="AB2888" s="43"/>
    </row>
    <row r="2889" spans="1:28" ht="14.25" hidden="1" customHeight="1">
      <c r="A2889" s="190"/>
      <c r="B2889" s="225"/>
      <c r="C2889" s="190"/>
      <c r="D2889" s="190"/>
      <c r="E2889" s="232"/>
      <c r="F2889" s="191"/>
      <c r="G2889" s="185"/>
      <c r="H2889" s="190"/>
      <c r="I2889" s="190"/>
      <c r="J2889" s="190"/>
      <c r="K2889" s="190"/>
      <c r="L2889" s="190"/>
      <c r="M2889" s="190"/>
      <c r="N2889" s="190"/>
      <c r="O2889" s="190"/>
      <c r="P2889" s="190"/>
      <c r="Q2889" s="190"/>
      <c r="R2889" s="190"/>
      <c r="S2889" s="190" t="s">
        <v>1208</v>
      </c>
      <c r="T2889" s="43">
        <f t="shared" si="68"/>
        <v>1</v>
      </c>
      <c r="U2889" s="167">
        <f t="shared" si="66"/>
        <v>0</v>
      </c>
      <c r="V2889" s="43"/>
      <c r="W2889" s="43"/>
      <c r="X2889" s="43"/>
      <c r="Y2889" s="43"/>
      <c r="Z2889" s="43"/>
      <c r="AA2889" s="43"/>
      <c r="AB2889" s="43"/>
    </row>
    <row r="2890" spans="1:28" ht="14.25" hidden="1" customHeight="1">
      <c r="A2890" s="190"/>
      <c r="B2890" s="225"/>
      <c r="C2890" s="190"/>
      <c r="D2890" s="190"/>
      <c r="E2890" s="232"/>
      <c r="F2890" s="191"/>
      <c r="G2890" s="185"/>
      <c r="H2890" s="190"/>
      <c r="I2890" s="190"/>
      <c r="J2890" s="190"/>
      <c r="K2890" s="190"/>
      <c r="L2890" s="190"/>
      <c r="M2890" s="190"/>
      <c r="N2890" s="190"/>
      <c r="O2890" s="190"/>
      <c r="P2890" s="190"/>
      <c r="Q2890" s="190"/>
      <c r="R2890" s="190"/>
      <c r="S2890" s="190" t="s">
        <v>1194</v>
      </c>
      <c r="T2890" s="43">
        <f t="shared" si="68"/>
        <v>1</v>
      </c>
      <c r="U2890" s="167">
        <f t="shared" si="66"/>
        <v>0</v>
      </c>
      <c r="V2890" s="43"/>
      <c r="W2890" s="43"/>
      <c r="X2890" s="43"/>
      <c r="Y2890" s="43"/>
      <c r="Z2890" s="43"/>
      <c r="AA2890" s="43"/>
      <c r="AB2890" s="43"/>
    </row>
    <row r="2891" spans="1:28" ht="14.25" hidden="1" customHeight="1">
      <c r="A2891" s="190"/>
      <c r="B2891" s="225"/>
      <c r="C2891" s="190"/>
      <c r="D2891" s="190"/>
      <c r="E2891" s="232"/>
      <c r="F2891" s="191"/>
      <c r="G2891" s="185"/>
      <c r="H2891" s="190"/>
      <c r="I2891" s="190"/>
      <c r="J2891" s="190"/>
      <c r="K2891" s="190"/>
      <c r="L2891" s="190"/>
      <c r="M2891" s="190"/>
      <c r="N2891" s="190"/>
      <c r="O2891" s="190"/>
      <c r="P2891" s="190"/>
      <c r="Q2891" s="190"/>
      <c r="R2891" s="190"/>
      <c r="S2891" s="190" t="s">
        <v>1180</v>
      </c>
      <c r="T2891" s="43">
        <f t="shared" si="68"/>
        <v>1</v>
      </c>
      <c r="U2891" s="167">
        <f t="shared" si="66"/>
        <v>0</v>
      </c>
      <c r="V2891" s="43"/>
      <c r="W2891" s="43"/>
      <c r="X2891" s="43"/>
      <c r="Y2891" s="43"/>
      <c r="Z2891" s="43"/>
      <c r="AA2891" s="43"/>
      <c r="AB2891" s="43"/>
    </row>
    <row r="2892" spans="1:28" ht="14.25" hidden="1" customHeight="1">
      <c r="A2892" s="190"/>
      <c r="B2892" s="225"/>
      <c r="C2892" s="190"/>
      <c r="D2892" s="190"/>
      <c r="E2892" s="232"/>
      <c r="F2892" s="191"/>
      <c r="G2892" s="185"/>
      <c r="H2892" s="190"/>
      <c r="I2892" s="190"/>
      <c r="J2892" s="190"/>
      <c r="K2892" s="190"/>
      <c r="L2892" s="190"/>
      <c r="M2892" s="190"/>
      <c r="N2892" s="190"/>
      <c r="O2892" s="190"/>
      <c r="P2892" s="190"/>
      <c r="Q2892" s="190"/>
      <c r="R2892" s="190"/>
      <c r="S2892" s="190" t="s">
        <v>1164</v>
      </c>
      <c r="T2892" s="43">
        <f t="shared" si="68"/>
        <v>1</v>
      </c>
      <c r="U2892" s="167">
        <f t="shared" si="66"/>
        <v>0</v>
      </c>
      <c r="V2892" s="43"/>
      <c r="W2892" s="43"/>
      <c r="X2892" s="43"/>
      <c r="Y2892" s="43"/>
      <c r="Z2892" s="43"/>
      <c r="AA2892" s="43"/>
      <c r="AB2892" s="43"/>
    </row>
    <row r="2893" spans="1:28" ht="14.25" hidden="1" customHeight="1">
      <c r="A2893" s="190"/>
      <c r="B2893" s="225"/>
      <c r="C2893" s="190"/>
      <c r="D2893" s="190"/>
      <c r="E2893" s="232"/>
      <c r="F2893" s="191"/>
      <c r="G2893" s="185"/>
      <c r="H2893" s="190"/>
      <c r="I2893" s="190"/>
      <c r="J2893" s="190"/>
      <c r="K2893" s="190"/>
      <c r="L2893" s="190"/>
      <c r="M2893" s="190"/>
      <c r="N2893" s="190"/>
      <c r="O2893" s="190"/>
      <c r="P2893" s="190"/>
      <c r="Q2893" s="190"/>
      <c r="R2893" s="190"/>
      <c r="S2893" s="190" t="s">
        <v>1229</v>
      </c>
      <c r="T2893" s="43">
        <f t="shared" si="68"/>
        <v>1</v>
      </c>
      <c r="U2893" s="167">
        <f t="shared" si="66"/>
        <v>0</v>
      </c>
      <c r="V2893" s="43"/>
      <c r="W2893" s="43"/>
      <c r="X2893" s="43"/>
      <c r="Y2893" s="43"/>
      <c r="Z2893" s="43"/>
      <c r="AA2893" s="43"/>
      <c r="AB2893" s="43"/>
    </row>
    <row r="2894" spans="1:28" ht="14.25" hidden="1" customHeight="1">
      <c r="A2894" s="190"/>
      <c r="B2894" s="225"/>
      <c r="C2894" s="190"/>
      <c r="D2894" s="190"/>
      <c r="E2894" s="232"/>
      <c r="F2894" s="191"/>
      <c r="G2894" s="185"/>
      <c r="H2894" s="190"/>
      <c r="I2894" s="190"/>
      <c r="J2894" s="190"/>
      <c r="K2894" s="190"/>
      <c r="L2894" s="190"/>
      <c r="M2894" s="190"/>
      <c r="N2894" s="190"/>
      <c r="O2894" s="190"/>
      <c r="P2894" s="190"/>
      <c r="Q2894" s="190"/>
      <c r="R2894" s="190"/>
      <c r="S2894" s="190" t="s">
        <v>1285</v>
      </c>
      <c r="T2894" s="43">
        <f t="shared" si="68"/>
        <v>1</v>
      </c>
      <c r="U2894" s="167">
        <f t="shared" si="66"/>
        <v>0</v>
      </c>
      <c r="V2894" s="43"/>
      <c r="W2894" s="43"/>
      <c r="X2894" s="43"/>
      <c r="Y2894" s="43"/>
      <c r="Z2894" s="43"/>
      <c r="AA2894" s="43"/>
      <c r="AB2894" s="43"/>
    </row>
    <row r="2895" spans="1:28" ht="14.25" hidden="1" customHeight="1">
      <c r="A2895" s="190"/>
      <c r="B2895" s="225"/>
      <c r="C2895" s="190"/>
      <c r="D2895" s="190"/>
      <c r="E2895" s="232"/>
      <c r="F2895" s="191"/>
      <c r="G2895" s="185"/>
      <c r="H2895" s="190"/>
      <c r="I2895" s="190"/>
      <c r="J2895" s="190"/>
      <c r="K2895" s="190"/>
      <c r="L2895" s="190"/>
      <c r="M2895" s="190"/>
      <c r="N2895" s="190"/>
      <c r="O2895" s="190"/>
      <c r="P2895" s="190"/>
      <c r="Q2895" s="190"/>
      <c r="R2895" s="190"/>
      <c r="S2895" s="190" t="s">
        <v>1262</v>
      </c>
      <c r="T2895" s="43">
        <f t="shared" si="68"/>
        <v>1</v>
      </c>
      <c r="U2895" s="167">
        <f t="shared" si="66"/>
        <v>0</v>
      </c>
      <c r="V2895" s="43"/>
      <c r="W2895" s="43"/>
      <c r="X2895" s="43"/>
      <c r="Y2895" s="43"/>
      <c r="Z2895" s="43"/>
      <c r="AA2895" s="43"/>
      <c r="AB2895" s="43"/>
    </row>
    <row r="2896" spans="1:28" ht="14.25" hidden="1" customHeight="1">
      <c r="A2896" s="190"/>
      <c r="B2896" s="225"/>
      <c r="C2896" s="190"/>
      <c r="D2896" s="190"/>
      <c r="E2896" s="232"/>
      <c r="F2896" s="191"/>
      <c r="G2896" s="185"/>
      <c r="H2896" s="190"/>
      <c r="I2896" s="190"/>
      <c r="J2896" s="190"/>
      <c r="K2896" s="190"/>
      <c r="L2896" s="190"/>
      <c r="M2896" s="190"/>
      <c r="N2896" s="190"/>
      <c r="O2896" s="190"/>
      <c r="P2896" s="190"/>
      <c r="Q2896" s="190"/>
      <c r="R2896" s="190"/>
      <c r="S2896" s="190" t="s">
        <v>1172</v>
      </c>
      <c r="T2896" s="43">
        <f t="shared" si="68"/>
        <v>1</v>
      </c>
      <c r="U2896" s="167">
        <f t="shared" si="66"/>
        <v>0</v>
      </c>
      <c r="V2896" s="43"/>
      <c r="W2896" s="43"/>
      <c r="X2896" s="43"/>
      <c r="Y2896" s="43"/>
      <c r="Z2896" s="43"/>
      <c r="AA2896" s="43"/>
      <c r="AB2896" s="43"/>
    </row>
    <row r="2897" spans="1:28" ht="14.25" hidden="1" customHeight="1">
      <c r="A2897" s="190"/>
      <c r="B2897" s="225"/>
      <c r="C2897" s="190"/>
      <c r="D2897" s="190"/>
      <c r="E2897" s="232"/>
      <c r="F2897" s="191"/>
      <c r="G2897" s="185"/>
      <c r="H2897" s="190"/>
      <c r="I2897" s="190"/>
      <c r="J2897" s="190"/>
      <c r="K2897" s="190"/>
      <c r="L2897" s="190"/>
      <c r="M2897" s="190"/>
      <c r="N2897" s="190"/>
      <c r="O2897" s="190"/>
      <c r="P2897" s="190"/>
      <c r="Q2897" s="190"/>
      <c r="R2897" s="190"/>
      <c r="S2897" s="190" t="s">
        <v>1129</v>
      </c>
      <c r="T2897" s="43">
        <f t="shared" si="68"/>
        <v>1</v>
      </c>
      <c r="U2897" s="167">
        <f t="shared" ref="U2897:U2934" si="69">IF(V2897="",B2897,V2897)</f>
        <v>0</v>
      </c>
      <c r="V2897" s="43"/>
      <c r="W2897" s="43"/>
      <c r="X2897" s="43"/>
      <c r="Y2897" s="43"/>
      <c r="Z2897" s="43"/>
      <c r="AA2897" s="43"/>
      <c r="AB2897" s="43"/>
    </row>
    <row r="2898" spans="1:28" ht="14.25" hidden="1" customHeight="1">
      <c r="A2898" s="190"/>
      <c r="B2898" s="225"/>
      <c r="C2898" s="190"/>
      <c r="D2898" s="190"/>
      <c r="E2898" s="232"/>
      <c r="F2898" s="191"/>
      <c r="G2898" s="185"/>
      <c r="H2898" s="190"/>
      <c r="I2898" s="190"/>
      <c r="J2898" s="190"/>
      <c r="K2898" s="190"/>
      <c r="L2898" s="190"/>
      <c r="M2898" s="190"/>
      <c r="N2898" s="190"/>
      <c r="O2898" s="190"/>
      <c r="P2898" s="190"/>
      <c r="Q2898" s="190"/>
      <c r="R2898" s="190"/>
      <c r="S2898" s="190" t="s">
        <v>1121</v>
      </c>
      <c r="T2898" s="43">
        <f t="shared" si="68"/>
        <v>1</v>
      </c>
      <c r="U2898" s="167">
        <f t="shared" si="69"/>
        <v>0</v>
      </c>
      <c r="V2898" s="43"/>
      <c r="W2898" s="43"/>
      <c r="X2898" s="43"/>
      <c r="Y2898" s="43"/>
      <c r="Z2898" s="43"/>
      <c r="AA2898" s="43"/>
      <c r="AB2898" s="43"/>
    </row>
    <row r="2899" spans="1:28" ht="14.25" hidden="1" customHeight="1">
      <c r="A2899" s="190"/>
      <c r="B2899" s="225"/>
      <c r="C2899" s="190"/>
      <c r="D2899" s="190"/>
      <c r="E2899" s="232"/>
      <c r="F2899" s="191"/>
      <c r="G2899" s="185"/>
      <c r="H2899" s="190"/>
      <c r="I2899" s="190"/>
      <c r="J2899" s="190"/>
      <c r="K2899" s="190"/>
      <c r="L2899" s="190"/>
      <c r="M2899" s="190"/>
      <c r="N2899" s="190"/>
      <c r="O2899" s="190"/>
      <c r="P2899" s="190"/>
      <c r="Q2899" s="190"/>
      <c r="R2899" s="190"/>
      <c r="S2899" s="190" t="s">
        <v>1203</v>
      </c>
      <c r="T2899" s="43">
        <f t="shared" si="68"/>
        <v>1</v>
      </c>
      <c r="U2899" s="167">
        <f t="shared" si="69"/>
        <v>0</v>
      </c>
      <c r="V2899" s="43"/>
      <c r="W2899" s="43"/>
      <c r="X2899" s="43"/>
      <c r="Y2899" s="43"/>
      <c r="Z2899" s="43"/>
      <c r="AA2899" s="43"/>
      <c r="AB2899" s="43"/>
    </row>
    <row r="2900" spans="1:28" ht="14.25" hidden="1" customHeight="1">
      <c r="A2900" s="190"/>
      <c r="B2900" s="225"/>
      <c r="C2900" s="190"/>
      <c r="D2900" s="190"/>
      <c r="E2900" s="232"/>
      <c r="F2900" s="191"/>
      <c r="G2900" s="185"/>
      <c r="H2900" s="190"/>
      <c r="I2900" s="190"/>
      <c r="J2900" s="190"/>
      <c r="K2900" s="190"/>
      <c r="L2900" s="190"/>
      <c r="M2900" s="190"/>
      <c r="N2900" s="190"/>
      <c r="O2900" s="190"/>
      <c r="P2900" s="190"/>
      <c r="Q2900" s="190"/>
      <c r="R2900" s="190"/>
      <c r="S2900" s="190" t="s">
        <v>1187</v>
      </c>
      <c r="T2900" s="43">
        <f t="shared" si="68"/>
        <v>1</v>
      </c>
      <c r="U2900" s="167">
        <f t="shared" si="69"/>
        <v>0</v>
      </c>
      <c r="V2900" s="43"/>
      <c r="W2900" s="43"/>
      <c r="X2900" s="43"/>
      <c r="Y2900" s="43"/>
      <c r="Z2900" s="43"/>
      <c r="AA2900" s="43"/>
      <c r="AB2900" s="43"/>
    </row>
    <row r="2901" spans="1:28" ht="14.25" hidden="1" customHeight="1">
      <c r="A2901" s="190"/>
      <c r="B2901" s="225"/>
      <c r="C2901" s="190"/>
      <c r="D2901" s="190"/>
      <c r="E2901" s="232"/>
      <c r="F2901" s="191"/>
      <c r="G2901" s="185"/>
      <c r="H2901" s="190"/>
      <c r="I2901" s="190"/>
      <c r="J2901" s="190"/>
      <c r="K2901" s="190"/>
      <c r="L2901" s="190"/>
      <c r="M2901" s="190"/>
      <c r="N2901" s="190"/>
      <c r="O2901" s="190"/>
      <c r="P2901" s="190"/>
      <c r="Q2901" s="190"/>
      <c r="R2901" s="190"/>
      <c r="S2901" s="190" t="s">
        <v>1137</v>
      </c>
      <c r="T2901" s="43">
        <f t="shared" si="68"/>
        <v>1</v>
      </c>
      <c r="U2901" s="167">
        <f t="shared" si="69"/>
        <v>0</v>
      </c>
      <c r="V2901" s="43"/>
      <c r="W2901" s="43"/>
      <c r="X2901" s="43"/>
      <c r="Y2901" s="43"/>
      <c r="Z2901" s="43"/>
      <c r="AA2901" s="43"/>
      <c r="AB2901" s="43"/>
    </row>
    <row r="2902" spans="1:28" ht="14.25" hidden="1" customHeight="1">
      <c r="A2902" s="190"/>
      <c r="B2902" s="225"/>
      <c r="C2902" s="190"/>
      <c r="D2902" s="190"/>
      <c r="E2902" s="232"/>
      <c r="F2902" s="191"/>
      <c r="G2902" s="185"/>
      <c r="H2902" s="190"/>
      <c r="I2902" s="190"/>
      <c r="J2902" s="190"/>
      <c r="K2902" s="190"/>
      <c r="L2902" s="190"/>
      <c r="M2902" s="190"/>
      <c r="N2902" s="190"/>
      <c r="O2902" s="190"/>
      <c r="P2902" s="190"/>
      <c r="Q2902" s="190"/>
      <c r="R2902" s="190"/>
      <c r="S2902" s="190" t="s">
        <v>621</v>
      </c>
      <c r="T2902" s="43">
        <f t="shared" si="68"/>
        <v>1</v>
      </c>
      <c r="U2902" s="167">
        <f t="shared" si="69"/>
        <v>0</v>
      </c>
      <c r="V2902" s="43"/>
      <c r="W2902" s="43"/>
      <c r="X2902" s="43"/>
      <c r="Y2902" s="43"/>
      <c r="Z2902" s="43"/>
      <c r="AA2902" s="43"/>
      <c r="AB2902" s="43"/>
    </row>
    <row r="2903" spans="1:28" ht="14.25" hidden="1" customHeight="1">
      <c r="A2903" s="190"/>
      <c r="B2903" s="225"/>
      <c r="C2903" s="190"/>
      <c r="D2903" s="190"/>
      <c r="E2903" s="232"/>
      <c r="F2903" s="185"/>
      <c r="G2903" s="185"/>
      <c r="H2903" s="190"/>
      <c r="I2903" s="190"/>
      <c r="J2903" s="190"/>
      <c r="K2903" s="190"/>
      <c r="L2903" s="190"/>
      <c r="M2903" s="190"/>
      <c r="N2903" s="190"/>
      <c r="O2903" s="190"/>
      <c r="P2903" s="190"/>
      <c r="Q2903" s="190"/>
      <c r="R2903" s="190"/>
      <c r="S2903" s="190" t="s">
        <v>1005</v>
      </c>
      <c r="T2903" s="43">
        <f t="shared" si="68"/>
        <v>1</v>
      </c>
      <c r="U2903" s="167">
        <f t="shared" si="69"/>
        <v>0</v>
      </c>
      <c r="V2903" s="43"/>
      <c r="W2903" s="43"/>
      <c r="X2903" s="43"/>
      <c r="Y2903" s="43"/>
      <c r="Z2903" s="43"/>
      <c r="AA2903" s="43"/>
      <c r="AB2903" s="43"/>
    </row>
    <row r="2904" spans="1:28" ht="14.25" hidden="1" customHeight="1">
      <c r="A2904" s="190"/>
      <c r="B2904" s="225"/>
      <c r="C2904" s="190"/>
      <c r="D2904" s="190"/>
      <c r="E2904" s="232"/>
      <c r="F2904" s="185"/>
      <c r="G2904" s="185"/>
      <c r="H2904" s="190"/>
      <c r="I2904" s="190"/>
      <c r="J2904" s="190"/>
      <c r="K2904" s="190"/>
      <c r="L2904" s="190"/>
      <c r="M2904" s="190"/>
      <c r="N2904" s="190"/>
      <c r="O2904" s="190"/>
      <c r="P2904" s="190"/>
      <c r="Q2904" s="190"/>
      <c r="R2904" s="190"/>
      <c r="S2904" s="190" t="s">
        <v>847</v>
      </c>
      <c r="T2904" s="43">
        <f t="shared" si="68"/>
        <v>1</v>
      </c>
      <c r="U2904" s="167">
        <f t="shared" si="69"/>
        <v>0</v>
      </c>
      <c r="V2904" s="43"/>
      <c r="W2904" s="43"/>
      <c r="X2904" s="43"/>
      <c r="Y2904" s="43"/>
      <c r="Z2904" s="43"/>
      <c r="AA2904" s="43"/>
      <c r="AB2904" s="43"/>
    </row>
    <row r="2905" spans="1:28" ht="14.25" hidden="1" customHeight="1">
      <c r="A2905" s="190"/>
      <c r="B2905" s="225"/>
      <c r="C2905" s="190"/>
      <c r="D2905" s="190"/>
      <c r="E2905" s="232"/>
      <c r="F2905" s="185"/>
      <c r="G2905" s="185"/>
      <c r="H2905" s="190"/>
      <c r="I2905" s="190"/>
      <c r="J2905" s="190"/>
      <c r="K2905" s="190"/>
      <c r="L2905" s="190"/>
      <c r="M2905" s="190"/>
      <c r="N2905" s="190"/>
      <c r="O2905" s="190"/>
      <c r="P2905" s="190"/>
      <c r="Q2905" s="190"/>
      <c r="R2905" s="190"/>
      <c r="S2905" s="190"/>
      <c r="T2905" s="43">
        <f t="shared" si="68"/>
        <v>1</v>
      </c>
      <c r="U2905" s="167">
        <f t="shared" si="69"/>
        <v>0</v>
      </c>
      <c r="V2905" s="43"/>
      <c r="W2905" s="43"/>
      <c r="X2905" s="43"/>
      <c r="Y2905" s="43"/>
      <c r="Z2905" s="43"/>
      <c r="AA2905" s="43"/>
      <c r="AB2905" s="43"/>
    </row>
    <row r="2906" spans="1:28" ht="14.25" hidden="1" customHeight="1">
      <c r="A2906" s="190"/>
      <c r="B2906" s="225"/>
      <c r="C2906" s="190"/>
      <c r="D2906" s="190"/>
      <c r="E2906" s="232"/>
      <c r="F2906" s="191"/>
      <c r="G2906" s="185"/>
      <c r="H2906" s="190"/>
      <c r="I2906" s="190"/>
      <c r="J2906" s="190"/>
      <c r="K2906" s="190"/>
      <c r="L2906" s="190"/>
      <c r="M2906" s="190"/>
      <c r="N2906" s="190"/>
      <c r="O2906" s="190"/>
      <c r="P2906" s="190"/>
      <c r="Q2906" s="190"/>
      <c r="R2906" s="190"/>
      <c r="S2906" s="190"/>
      <c r="T2906" s="43">
        <f t="shared" si="68"/>
        <v>1</v>
      </c>
      <c r="U2906" s="167">
        <f t="shared" si="69"/>
        <v>0</v>
      </c>
      <c r="V2906" s="43"/>
      <c r="W2906" s="43"/>
      <c r="X2906" s="43"/>
      <c r="Y2906" s="43"/>
      <c r="Z2906" s="43"/>
      <c r="AA2906" s="43"/>
      <c r="AB2906" s="43"/>
    </row>
    <row r="2907" spans="1:28" ht="14.25" hidden="1" customHeight="1">
      <c r="A2907" s="190"/>
      <c r="B2907" s="225"/>
      <c r="C2907" s="190"/>
      <c r="D2907" s="190"/>
      <c r="E2907" s="232"/>
      <c r="F2907" s="191"/>
      <c r="G2907" s="185"/>
      <c r="H2907" s="190"/>
      <c r="I2907" s="190"/>
      <c r="J2907" s="190"/>
      <c r="K2907" s="190"/>
      <c r="L2907" s="190"/>
      <c r="M2907" s="190"/>
      <c r="N2907" s="190"/>
      <c r="O2907" s="190"/>
      <c r="P2907" s="190"/>
      <c r="Q2907" s="190"/>
      <c r="R2907" s="190"/>
      <c r="S2907" s="190" t="s">
        <v>1238</v>
      </c>
      <c r="T2907" s="43">
        <f t="shared" si="68"/>
        <v>1</v>
      </c>
      <c r="U2907" s="167">
        <f t="shared" si="69"/>
        <v>0</v>
      </c>
      <c r="V2907" s="43"/>
      <c r="W2907" s="43"/>
      <c r="X2907" s="43"/>
      <c r="Y2907" s="43"/>
      <c r="Z2907" s="43"/>
      <c r="AA2907" s="43"/>
      <c r="AB2907" s="43"/>
    </row>
    <row r="2908" spans="1:28" ht="14.25" hidden="1" customHeight="1">
      <c r="A2908" s="190"/>
      <c r="B2908" s="225"/>
      <c r="C2908" s="190"/>
      <c r="D2908" s="190"/>
      <c r="E2908" s="232"/>
      <c r="F2908" s="185"/>
      <c r="G2908" s="185"/>
      <c r="H2908" s="190"/>
      <c r="I2908" s="190"/>
      <c r="J2908" s="190"/>
      <c r="K2908" s="190"/>
      <c r="L2908" s="190"/>
      <c r="M2908" s="190"/>
      <c r="N2908" s="190"/>
      <c r="O2908" s="190"/>
      <c r="P2908" s="190"/>
      <c r="Q2908" s="190"/>
      <c r="R2908" s="190"/>
      <c r="S2908" s="190" t="s">
        <v>991</v>
      </c>
      <c r="T2908" s="43">
        <f t="shared" ref="T2908:T2934" si="70">MONTH(B2908)</f>
        <v>1</v>
      </c>
      <c r="U2908" s="167">
        <f t="shared" si="69"/>
        <v>0</v>
      </c>
      <c r="V2908" s="43"/>
      <c r="W2908" s="43"/>
      <c r="X2908" s="43"/>
      <c r="Y2908" s="43"/>
      <c r="Z2908" s="43"/>
      <c r="AA2908" s="43"/>
      <c r="AB2908" s="43"/>
    </row>
    <row r="2909" spans="1:28" ht="14.25" hidden="1" customHeight="1">
      <c r="A2909" s="190"/>
      <c r="B2909" s="225"/>
      <c r="C2909" s="190"/>
      <c r="D2909" s="190"/>
      <c r="E2909" s="232"/>
      <c r="F2909" s="185"/>
      <c r="G2909" s="185"/>
      <c r="H2909" s="190"/>
      <c r="I2909" s="190"/>
      <c r="J2909" s="190"/>
      <c r="K2909" s="190"/>
      <c r="L2909" s="190"/>
      <c r="M2909" s="190"/>
      <c r="N2909" s="190"/>
      <c r="O2909" s="190"/>
      <c r="P2909" s="190"/>
      <c r="Q2909" s="190"/>
      <c r="R2909" s="190"/>
      <c r="S2909" s="190" t="s">
        <v>1291</v>
      </c>
      <c r="T2909" s="43">
        <f t="shared" si="70"/>
        <v>1</v>
      </c>
      <c r="U2909" s="167">
        <f t="shared" si="69"/>
        <v>0</v>
      </c>
      <c r="V2909" s="43"/>
      <c r="W2909" s="43"/>
      <c r="X2909" s="43"/>
      <c r="Y2909" s="43"/>
      <c r="Z2909" s="43"/>
      <c r="AA2909" s="43"/>
      <c r="AB2909" s="43"/>
    </row>
    <row r="2910" spans="1:28" ht="14.25" hidden="1" customHeight="1">
      <c r="A2910" s="190"/>
      <c r="B2910" s="225"/>
      <c r="C2910" s="190"/>
      <c r="D2910" s="190"/>
      <c r="E2910" s="232"/>
      <c r="F2910" s="185"/>
      <c r="G2910" s="185"/>
      <c r="H2910" s="190"/>
      <c r="I2910" s="190"/>
      <c r="J2910" s="190"/>
      <c r="K2910" s="190"/>
      <c r="L2910" s="190"/>
      <c r="M2910" s="190"/>
      <c r="N2910" s="190"/>
      <c r="O2910" s="190"/>
      <c r="P2910" s="190"/>
      <c r="Q2910" s="190"/>
      <c r="R2910" s="190"/>
      <c r="S2910" s="190" t="s">
        <v>1395</v>
      </c>
      <c r="T2910" s="43">
        <f t="shared" si="70"/>
        <v>1</v>
      </c>
      <c r="U2910" s="167">
        <f t="shared" si="69"/>
        <v>0</v>
      </c>
      <c r="V2910" s="43"/>
      <c r="W2910" s="43"/>
      <c r="X2910" s="43"/>
      <c r="Y2910" s="43"/>
      <c r="Z2910" s="43"/>
      <c r="AA2910" s="43"/>
      <c r="AB2910" s="43"/>
    </row>
    <row r="2911" spans="1:28" ht="14.25" hidden="1" customHeight="1">
      <c r="A2911" s="190"/>
      <c r="B2911" s="225"/>
      <c r="C2911" s="190"/>
      <c r="D2911" s="190"/>
      <c r="E2911" s="232"/>
      <c r="F2911" s="191"/>
      <c r="G2911" s="185"/>
      <c r="H2911" s="190"/>
      <c r="I2911" s="190"/>
      <c r="J2911" s="190"/>
      <c r="K2911" s="190"/>
      <c r="L2911" s="190"/>
      <c r="M2911" s="190"/>
      <c r="N2911" s="190"/>
      <c r="O2911" s="190"/>
      <c r="P2911" s="190"/>
      <c r="Q2911" s="190"/>
      <c r="R2911" s="190"/>
      <c r="S2911" s="190"/>
      <c r="T2911" s="43">
        <f t="shared" si="70"/>
        <v>1</v>
      </c>
      <c r="U2911" s="167">
        <f t="shared" si="69"/>
        <v>0</v>
      </c>
      <c r="V2911" s="43"/>
      <c r="W2911" s="43"/>
      <c r="X2911" s="43"/>
      <c r="Y2911" s="43"/>
      <c r="Z2911" s="43"/>
      <c r="AA2911" s="43"/>
      <c r="AB2911" s="43"/>
    </row>
    <row r="2912" spans="1:28" ht="14.25" hidden="1" customHeight="1">
      <c r="A2912" s="190"/>
      <c r="B2912" s="225"/>
      <c r="C2912" s="190"/>
      <c r="D2912" s="190"/>
      <c r="E2912" s="232"/>
      <c r="F2912" s="191"/>
      <c r="G2912" s="185"/>
      <c r="H2912" s="190"/>
      <c r="I2912" s="190"/>
      <c r="J2912" s="190"/>
      <c r="K2912" s="190"/>
      <c r="L2912" s="190"/>
      <c r="M2912" s="190"/>
      <c r="N2912" s="190"/>
      <c r="O2912" s="190"/>
      <c r="P2912" s="190"/>
      <c r="Q2912" s="190"/>
      <c r="R2912" s="190"/>
      <c r="S2912" s="190" t="s">
        <v>1221</v>
      </c>
      <c r="T2912" s="43">
        <f t="shared" si="70"/>
        <v>1</v>
      </c>
      <c r="U2912" s="167">
        <f t="shared" si="69"/>
        <v>0</v>
      </c>
      <c r="V2912" s="43"/>
      <c r="W2912" s="43"/>
      <c r="X2912" s="43"/>
      <c r="Y2912" s="43"/>
      <c r="Z2912" s="43"/>
      <c r="AA2912" s="43"/>
      <c r="AB2912" s="43"/>
    </row>
    <row r="2913" spans="1:28" ht="14.25" hidden="1" customHeight="1">
      <c r="A2913" s="190"/>
      <c r="B2913" s="225"/>
      <c r="C2913" s="190"/>
      <c r="D2913" s="190"/>
      <c r="E2913" s="232"/>
      <c r="F2913" s="191"/>
      <c r="G2913" s="185"/>
      <c r="H2913" s="190"/>
      <c r="I2913" s="190"/>
      <c r="J2913" s="190"/>
      <c r="K2913" s="190"/>
      <c r="L2913" s="190"/>
      <c r="M2913" s="190"/>
      <c r="N2913" s="190"/>
      <c r="O2913" s="190"/>
      <c r="P2913" s="190"/>
      <c r="Q2913" s="190"/>
      <c r="R2913" s="190"/>
      <c r="S2913" s="190" t="s">
        <v>1634</v>
      </c>
      <c r="T2913" s="43">
        <f t="shared" si="70"/>
        <v>1</v>
      </c>
      <c r="U2913" s="167">
        <f t="shared" si="69"/>
        <v>0</v>
      </c>
      <c r="V2913" s="43"/>
      <c r="W2913" s="43"/>
      <c r="X2913" s="43"/>
      <c r="Y2913" s="43"/>
      <c r="Z2913" s="43"/>
      <c r="AA2913" s="43"/>
      <c r="AB2913" s="43"/>
    </row>
    <row r="2914" spans="1:28" ht="14.25" hidden="1" customHeight="1">
      <c r="A2914" s="190"/>
      <c r="B2914" s="225"/>
      <c r="C2914" s="190"/>
      <c r="D2914" s="190"/>
      <c r="E2914" s="232"/>
      <c r="F2914" s="185"/>
      <c r="G2914" s="185"/>
      <c r="H2914" s="190"/>
      <c r="I2914" s="190"/>
      <c r="J2914" s="190"/>
      <c r="K2914" s="190"/>
      <c r="L2914" s="190"/>
      <c r="M2914" s="190"/>
      <c r="N2914" s="190"/>
      <c r="O2914" s="190"/>
      <c r="P2914" s="190"/>
      <c r="Q2914" s="190"/>
      <c r="R2914" s="190"/>
      <c r="S2914" s="190" t="s">
        <v>323</v>
      </c>
      <c r="T2914" s="43">
        <f t="shared" si="70"/>
        <v>1</v>
      </c>
      <c r="U2914" s="167">
        <f t="shared" si="69"/>
        <v>0</v>
      </c>
      <c r="V2914" s="43"/>
      <c r="W2914" s="43"/>
      <c r="X2914" s="43"/>
      <c r="Y2914" s="43"/>
      <c r="Z2914" s="43"/>
      <c r="AA2914" s="43"/>
      <c r="AB2914" s="43"/>
    </row>
    <row r="2915" spans="1:28" ht="14.25" hidden="1" customHeight="1">
      <c r="A2915" s="190"/>
      <c r="B2915" s="225"/>
      <c r="C2915" s="190"/>
      <c r="D2915" s="190"/>
      <c r="E2915" s="232"/>
      <c r="F2915" s="185"/>
      <c r="G2915" s="185"/>
      <c r="H2915" s="190"/>
      <c r="I2915" s="190"/>
      <c r="J2915" s="190"/>
      <c r="K2915" s="190"/>
      <c r="L2915" s="190"/>
      <c r="M2915" s="190"/>
      <c r="N2915" s="190"/>
      <c r="O2915" s="190"/>
      <c r="P2915" s="190"/>
      <c r="Q2915" s="190"/>
      <c r="R2915" s="190"/>
      <c r="S2915" s="190" t="s">
        <v>449</v>
      </c>
      <c r="T2915" s="43">
        <f t="shared" si="70"/>
        <v>1</v>
      </c>
      <c r="U2915" s="167">
        <f t="shared" si="69"/>
        <v>0</v>
      </c>
      <c r="V2915" s="43"/>
      <c r="W2915" s="43"/>
      <c r="X2915" s="43"/>
      <c r="Y2915" s="43"/>
      <c r="Z2915" s="43"/>
      <c r="AA2915" s="43"/>
      <c r="AB2915" s="43"/>
    </row>
    <row r="2916" spans="1:28" ht="14.25" hidden="1" customHeight="1">
      <c r="A2916" s="190"/>
      <c r="B2916" s="225"/>
      <c r="C2916" s="190"/>
      <c r="D2916" s="190"/>
      <c r="E2916" s="232"/>
      <c r="F2916" s="185"/>
      <c r="G2916" s="185"/>
      <c r="H2916" s="190"/>
      <c r="I2916" s="190"/>
      <c r="J2916" s="190"/>
      <c r="K2916" s="190"/>
      <c r="L2916" s="190"/>
      <c r="M2916" s="190"/>
      <c r="N2916" s="190"/>
      <c r="O2916" s="190"/>
      <c r="P2916" s="190"/>
      <c r="Q2916" s="190"/>
      <c r="R2916" s="190"/>
      <c r="S2916" s="190" t="s">
        <v>453</v>
      </c>
      <c r="T2916" s="43">
        <f t="shared" si="70"/>
        <v>1</v>
      </c>
      <c r="U2916" s="167">
        <f t="shared" si="69"/>
        <v>0</v>
      </c>
      <c r="V2916" s="43"/>
      <c r="W2916" s="43"/>
      <c r="X2916" s="43"/>
      <c r="Y2916" s="43"/>
      <c r="Z2916" s="43"/>
      <c r="AA2916" s="43"/>
      <c r="AB2916" s="43"/>
    </row>
    <row r="2917" spans="1:28" ht="14.25" hidden="1" customHeight="1">
      <c r="A2917" s="190"/>
      <c r="B2917" s="225"/>
      <c r="C2917" s="190"/>
      <c r="D2917" s="190"/>
      <c r="E2917" s="232"/>
      <c r="F2917" s="185"/>
      <c r="G2917" s="185"/>
      <c r="H2917" s="190"/>
      <c r="I2917" s="190"/>
      <c r="J2917" s="190"/>
      <c r="K2917" s="190"/>
      <c r="L2917" s="190"/>
      <c r="M2917" s="190"/>
      <c r="N2917" s="190"/>
      <c r="O2917" s="190"/>
      <c r="P2917" s="190"/>
      <c r="Q2917" s="190"/>
      <c r="R2917" s="190"/>
      <c r="S2917" s="190" t="s">
        <v>465</v>
      </c>
      <c r="T2917" s="43">
        <f t="shared" si="70"/>
        <v>1</v>
      </c>
      <c r="U2917" s="167">
        <f t="shared" si="69"/>
        <v>0</v>
      </c>
      <c r="V2917" s="43"/>
      <c r="W2917" s="43"/>
      <c r="X2917" s="43"/>
      <c r="Y2917" s="43"/>
      <c r="Z2917" s="43"/>
      <c r="AA2917" s="43"/>
      <c r="AB2917" s="43"/>
    </row>
    <row r="2918" spans="1:28" ht="14.25" hidden="1" customHeight="1">
      <c r="A2918" s="190"/>
      <c r="B2918" s="225"/>
      <c r="C2918" s="190"/>
      <c r="D2918" s="190"/>
      <c r="E2918" s="232"/>
      <c r="F2918" s="185"/>
      <c r="G2918" s="185"/>
      <c r="H2918" s="190"/>
      <c r="I2918" s="190"/>
      <c r="J2918" s="190"/>
      <c r="K2918" s="190"/>
      <c r="L2918" s="190"/>
      <c r="M2918" s="190"/>
      <c r="N2918" s="190"/>
      <c r="O2918" s="190"/>
      <c r="P2918" s="190"/>
      <c r="Q2918" s="190"/>
      <c r="R2918" s="190"/>
      <c r="S2918" s="190" t="s">
        <v>471</v>
      </c>
      <c r="T2918" s="43">
        <f t="shared" si="70"/>
        <v>1</v>
      </c>
      <c r="U2918" s="167">
        <f t="shared" si="69"/>
        <v>0</v>
      </c>
      <c r="V2918" s="43"/>
      <c r="W2918" s="43"/>
      <c r="X2918" s="43"/>
      <c r="Y2918" s="43"/>
      <c r="Z2918" s="43"/>
      <c r="AA2918" s="43"/>
      <c r="AB2918" s="43"/>
    </row>
    <row r="2919" spans="1:28" ht="14.25" hidden="1" customHeight="1">
      <c r="A2919" s="190"/>
      <c r="B2919" s="225"/>
      <c r="C2919" s="190"/>
      <c r="D2919" s="190"/>
      <c r="E2919" s="232"/>
      <c r="F2919" s="185"/>
      <c r="G2919" s="185"/>
      <c r="H2919" s="190"/>
      <c r="I2919" s="190"/>
      <c r="J2919" s="190"/>
      <c r="K2919" s="190"/>
      <c r="L2919" s="190"/>
      <c r="M2919" s="190"/>
      <c r="N2919" s="190"/>
      <c r="O2919" s="190"/>
      <c r="P2919" s="190"/>
      <c r="Q2919" s="190"/>
      <c r="R2919" s="190"/>
      <c r="S2919" s="190" t="s">
        <v>1325</v>
      </c>
      <c r="T2919" s="43">
        <f t="shared" si="70"/>
        <v>1</v>
      </c>
      <c r="U2919" s="167">
        <f t="shared" si="69"/>
        <v>0</v>
      </c>
      <c r="V2919" s="43"/>
      <c r="W2919" s="43"/>
      <c r="X2919" s="43"/>
      <c r="Y2919" s="43"/>
      <c r="Z2919" s="43"/>
      <c r="AA2919" s="43"/>
      <c r="AB2919" s="43"/>
    </row>
    <row r="2920" spans="1:28" ht="14.25" hidden="1" customHeight="1">
      <c r="A2920" s="190"/>
      <c r="B2920" s="225"/>
      <c r="C2920" s="190"/>
      <c r="D2920" s="190"/>
      <c r="E2920" s="232"/>
      <c r="F2920" s="185"/>
      <c r="G2920" s="185"/>
      <c r="H2920" s="190"/>
      <c r="I2920" s="190"/>
      <c r="J2920" s="190"/>
      <c r="K2920" s="190"/>
      <c r="L2920" s="190"/>
      <c r="M2920" s="190"/>
      <c r="N2920" s="190"/>
      <c r="O2920" s="190"/>
      <c r="P2920" s="190"/>
      <c r="Q2920" s="190"/>
      <c r="R2920" s="190"/>
      <c r="S2920" s="190" t="s">
        <v>361</v>
      </c>
      <c r="T2920" s="43">
        <f t="shared" si="70"/>
        <v>1</v>
      </c>
      <c r="U2920" s="167">
        <f t="shared" si="69"/>
        <v>0</v>
      </c>
      <c r="V2920" s="43"/>
      <c r="W2920" s="43"/>
      <c r="X2920" s="43"/>
      <c r="Y2920" s="43"/>
      <c r="Z2920" s="43"/>
      <c r="AA2920" s="43"/>
      <c r="AB2920" s="43"/>
    </row>
    <row r="2921" spans="1:28" ht="14.25" hidden="1" customHeight="1">
      <c r="A2921" s="190"/>
      <c r="B2921" s="225"/>
      <c r="C2921" s="190"/>
      <c r="D2921" s="190"/>
      <c r="E2921" s="232"/>
      <c r="F2921" s="185"/>
      <c r="G2921" s="185"/>
      <c r="H2921" s="190"/>
      <c r="I2921" s="190"/>
      <c r="J2921" s="190"/>
      <c r="K2921" s="190"/>
      <c r="L2921" s="190"/>
      <c r="M2921" s="190"/>
      <c r="N2921" s="190"/>
      <c r="O2921" s="190"/>
      <c r="P2921" s="190"/>
      <c r="Q2921" s="190"/>
      <c r="R2921" s="190"/>
      <c r="S2921" s="190"/>
      <c r="T2921" s="43">
        <f t="shared" si="70"/>
        <v>1</v>
      </c>
      <c r="U2921" s="167">
        <f t="shared" si="69"/>
        <v>0</v>
      </c>
      <c r="V2921" s="43"/>
      <c r="W2921" s="43"/>
      <c r="X2921" s="43"/>
      <c r="Y2921" s="43"/>
      <c r="Z2921" s="43"/>
      <c r="AA2921" s="43"/>
      <c r="AB2921" s="43"/>
    </row>
    <row r="2922" spans="1:28" ht="14.25" hidden="1" customHeight="1">
      <c r="A2922" s="190"/>
      <c r="B2922" s="225"/>
      <c r="C2922" s="190"/>
      <c r="D2922" s="190"/>
      <c r="E2922" s="232"/>
      <c r="F2922" s="185"/>
      <c r="G2922" s="185"/>
      <c r="H2922" s="190"/>
      <c r="I2922" s="190"/>
      <c r="J2922" s="190"/>
      <c r="K2922" s="190"/>
      <c r="L2922" s="190"/>
      <c r="M2922" s="190"/>
      <c r="N2922" s="190"/>
      <c r="O2922" s="190"/>
      <c r="P2922" s="190"/>
      <c r="Q2922" s="190"/>
      <c r="R2922" s="190"/>
      <c r="S2922" s="190" t="s">
        <v>1016</v>
      </c>
      <c r="T2922" s="43">
        <f t="shared" si="70"/>
        <v>1</v>
      </c>
      <c r="U2922" s="167">
        <f t="shared" si="69"/>
        <v>0</v>
      </c>
      <c r="V2922" s="43"/>
      <c r="W2922" s="43"/>
      <c r="X2922" s="43"/>
      <c r="Y2922" s="43"/>
      <c r="Z2922" s="43"/>
      <c r="AA2922" s="43"/>
      <c r="AB2922" s="43"/>
    </row>
    <row r="2923" spans="1:28" ht="14.25" hidden="1" customHeight="1">
      <c r="A2923" s="190"/>
      <c r="B2923" s="225"/>
      <c r="C2923" s="190"/>
      <c r="D2923" s="190"/>
      <c r="E2923" s="232"/>
      <c r="F2923" s="185"/>
      <c r="G2923" s="185"/>
      <c r="H2923" s="190"/>
      <c r="I2923" s="190"/>
      <c r="J2923" s="190"/>
      <c r="K2923" s="190"/>
      <c r="L2923" s="190"/>
      <c r="M2923" s="190"/>
      <c r="N2923" s="190"/>
      <c r="O2923" s="190"/>
      <c r="P2923" s="190"/>
      <c r="Q2923" s="190"/>
      <c r="R2923" s="190"/>
      <c r="S2923" s="190" t="s">
        <v>982</v>
      </c>
      <c r="T2923" s="43">
        <f t="shared" si="70"/>
        <v>1</v>
      </c>
      <c r="U2923" s="167">
        <f t="shared" si="69"/>
        <v>0</v>
      </c>
      <c r="V2923" s="43"/>
      <c r="W2923" s="43"/>
      <c r="X2923" s="43"/>
      <c r="Y2923" s="43"/>
      <c r="Z2923" s="43"/>
      <c r="AA2923" s="43"/>
      <c r="AB2923" s="43"/>
    </row>
    <row r="2924" spans="1:28" ht="14.25" hidden="1" customHeight="1">
      <c r="A2924" s="190"/>
      <c r="B2924" s="225"/>
      <c r="C2924" s="190"/>
      <c r="D2924" s="190"/>
      <c r="E2924" s="232"/>
      <c r="F2924" s="185"/>
      <c r="G2924" s="185"/>
      <c r="H2924" s="190"/>
      <c r="I2924" s="190"/>
      <c r="J2924" s="190"/>
      <c r="K2924" s="190"/>
      <c r="L2924" s="190"/>
      <c r="M2924" s="190"/>
      <c r="N2924" s="190"/>
      <c r="O2924" s="190"/>
      <c r="P2924" s="190"/>
      <c r="Q2924" s="190"/>
      <c r="R2924" s="190"/>
      <c r="S2924" s="190" t="s">
        <v>1036</v>
      </c>
      <c r="T2924" s="43">
        <f t="shared" si="70"/>
        <v>1</v>
      </c>
      <c r="U2924" s="167">
        <f t="shared" si="69"/>
        <v>0</v>
      </c>
      <c r="V2924" s="43"/>
      <c r="W2924" s="43"/>
      <c r="X2924" s="43"/>
      <c r="Y2924" s="43"/>
      <c r="Z2924" s="43"/>
      <c r="AA2924" s="43"/>
      <c r="AB2924" s="43"/>
    </row>
    <row r="2925" spans="1:28" ht="14.25" hidden="1" customHeight="1">
      <c r="A2925" s="190"/>
      <c r="B2925" s="225"/>
      <c r="C2925" s="190"/>
      <c r="D2925" s="190"/>
      <c r="E2925" s="232"/>
      <c r="F2925" s="191"/>
      <c r="G2925" s="185"/>
      <c r="H2925" s="190"/>
      <c r="I2925" s="190"/>
      <c r="J2925" s="190"/>
      <c r="K2925" s="190"/>
      <c r="L2925" s="190"/>
      <c r="M2925" s="190"/>
      <c r="N2925" s="190"/>
      <c r="O2925" s="190"/>
      <c r="P2925" s="190"/>
      <c r="Q2925" s="190"/>
      <c r="R2925" s="190"/>
      <c r="S2925" s="190"/>
      <c r="T2925" s="43">
        <f t="shared" si="70"/>
        <v>1</v>
      </c>
      <c r="U2925" s="167">
        <f t="shared" si="69"/>
        <v>0</v>
      </c>
      <c r="V2925" s="43"/>
      <c r="W2925" s="43"/>
      <c r="X2925" s="43"/>
      <c r="Y2925" s="43"/>
      <c r="Z2925" s="43"/>
      <c r="AA2925" s="43"/>
      <c r="AB2925" s="43"/>
    </row>
    <row r="2926" spans="1:28" ht="14.25" hidden="1" customHeight="1">
      <c r="A2926" s="190"/>
      <c r="B2926" s="225"/>
      <c r="C2926" s="190"/>
      <c r="D2926" s="190"/>
      <c r="E2926" s="232"/>
      <c r="F2926" s="185"/>
      <c r="G2926" s="185"/>
      <c r="H2926" s="190"/>
      <c r="I2926" s="190"/>
      <c r="J2926" s="190"/>
      <c r="K2926" s="190"/>
      <c r="L2926" s="190"/>
      <c r="M2926" s="190"/>
      <c r="N2926" s="190"/>
      <c r="O2926" s="190"/>
      <c r="P2926" s="190"/>
      <c r="Q2926" s="190"/>
      <c r="R2926" s="190"/>
      <c r="S2926" s="190"/>
      <c r="T2926" s="43">
        <f t="shared" si="70"/>
        <v>1</v>
      </c>
      <c r="U2926" s="167">
        <f t="shared" si="69"/>
        <v>0</v>
      </c>
      <c r="V2926" s="43"/>
      <c r="W2926" s="43"/>
      <c r="X2926" s="43"/>
      <c r="Y2926" s="43"/>
      <c r="Z2926" s="43"/>
      <c r="AA2926" s="43"/>
      <c r="AB2926" s="43"/>
    </row>
    <row r="2927" spans="1:28" ht="14.25" hidden="1" customHeight="1">
      <c r="A2927" s="190"/>
      <c r="B2927" s="225"/>
      <c r="C2927" s="190"/>
      <c r="D2927" s="190"/>
      <c r="E2927" s="232"/>
      <c r="F2927" s="185"/>
      <c r="G2927" s="185"/>
      <c r="H2927" s="190"/>
      <c r="I2927" s="190"/>
      <c r="J2927" s="190"/>
      <c r="K2927" s="190"/>
      <c r="L2927" s="190"/>
      <c r="M2927" s="190"/>
      <c r="N2927" s="190"/>
      <c r="O2927" s="190"/>
      <c r="P2927" s="190"/>
      <c r="Q2927" s="190"/>
      <c r="R2927" s="190"/>
      <c r="S2927" s="190" t="s">
        <v>438</v>
      </c>
      <c r="T2927" s="43">
        <f t="shared" si="70"/>
        <v>1</v>
      </c>
      <c r="U2927" s="167">
        <f t="shared" si="69"/>
        <v>0</v>
      </c>
      <c r="V2927" s="43"/>
      <c r="W2927" s="43"/>
      <c r="X2927" s="43"/>
      <c r="Y2927" s="43"/>
      <c r="Z2927" s="43"/>
      <c r="AA2927" s="43"/>
      <c r="AB2927" s="43"/>
    </row>
    <row r="2928" spans="1:28" ht="14.25" hidden="1" customHeight="1">
      <c r="A2928" s="190"/>
      <c r="B2928" s="225"/>
      <c r="C2928" s="190"/>
      <c r="D2928" s="190"/>
      <c r="E2928" s="232"/>
      <c r="F2928" s="185"/>
      <c r="G2928" s="185"/>
      <c r="H2928" s="190"/>
      <c r="I2928" s="190"/>
      <c r="J2928" s="190"/>
      <c r="K2928" s="190"/>
      <c r="L2928" s="190"/>
      <c r="M2928" s="190"/>
      <c r="N2928" s="190"/>
      <c r="O2928" s="190"/>
      <c r="P2928" s="190"/>
      <c r="Q2928" s="190"/>
      <c r="R2928" s="190"/>
      <c r="S2928" s="190" t="s">
        <v>468</v>
      </c>
      <c r="T2928" s="43">
        <f t="shared" si="70"/>
        <v>1</v>
      </c>
      <c r="U2928" s="167">
        <f t="shared" si="69"/>
        <v>0</v>
      </c>
      <c r="V2928" s="43"/>
      <c r="W2928" s="43"/>
      <c r="X2928" s="43"/>
      <c r="Y2928" s="43"/>
      <c r="Z2928" s="43"/>
      <c r="AA2928" s="43"/>
      <c r="AB2928" s="43"/>
    </row>
    <row r="2929" spans="1:28" ht="14.25" hidden="1" customHeight="1">
      <c r="A2929" s="190"/>
      <c r="B2929" s="225"/>
      <c r="C2929" s="190"/>
      <c r="D2929" s="190"/>
      <c r="E2929" s="232"/>
      <c r="F2929" s="185"/>
      <c r="G2929" s="185"/>
      <c r="H2929" s="190"/>
      <c r="I2929" s="190"/>
      <c r="J2929" s="190"/>
      <c r="K2929" s="190"/>
      <c r="L2929" s="190"/>
      <c r="M2929" s="190"/>
      <c r="N2929" s="190"/>
      <c r="O2929" s="190"/>
      <c r="P2929" s="190"/>
      <c r="Q2929" s="190"/>
      <c r="R2929" s="190"/>
      <c r="S2929" s="190" t="s">
        <v>503</v>
      </c>
      <c r="T2929" s="43">
        <f t="shared" si="70"/>
        <v>1</v>
      </c>
      <c r="U2929" s="167">
        <f t="shared" si="69"/>
        <v>0</v>
      </c>
      <c r="V2929" s="43"/>
      <c r="W2929" s="43"/>
      <c r="X2929" s="43"/>
      <c r="Y2929" s="43"/>
      <c r="Z2929" s="43"/>
      <c r="AA2929" s="43"/>
      <c r="AB2929" s="43"/>
    </row>
    <row r="2930" spans="1:28" ht="14.25" hidden="1" customHeight="1">
      <c r="A2930" s="190"/>
      <c r="B2930" s="225"/>
      <c r="C2930" s="190"/>
      <c r="D2930" s="190"/>
      <c r="E2930" s="232"/>
      <c r="F2930" s="185"/>
      <c r="G2930" s="185"/>
      <c r="H2930" s="190"/>
      <c r="I2930" s="190"/>
      <c r="J2930" s="190"/>
      <c r="K2930" s="190"/>
      <c r="L2930" s="190"/>
      <c r="M2930" s="190"/>
      <c r="N2930" s="190"/>
      <c r="O2930" s="190"/>
      <c r="P2930" s="190"/>
      <c r="Q2930" s="190"/>
      <c r="R2930" s="190"/>
      <c r="S2930" s="190" t="s">
        <v>507</v>
      </c>
      <c r="T2930" s="43">
        <f t="shared" si="70"/>
        <v>1</v>
      </c>
      <c r="U2930" s="167">
        <f t="shared" si="69"/>
        <v>0</v>
      </c>
      <c r="V2930" s="43"/>
      <c r="W2930" s="43"/>
      <c r="X2930" s="43"/>
      <c r="Y2930" s="43"/>
      <c r="Z2930" s="43"/>
      <c r="AA2930" s="43"/>
      <c r="AB2930" s="43"/>
    </row>
    <row r="2931" spans="1:28" ht="14.25" hidden="1" customHeight="1">
      <c r="A2931" s="190"/>
      <c r="B2931" s="225"/>
      <c r="C2931" s="190"/>
      <c r="D2931" s="190"/>
      <c r="E2931" s="232"/>
      <c r="F2931" s="185"/>
      <c r="G2931" s="185"/>
      <c r="H2931" s="190"/>
      <c r="I2931" s="190"/>
      <c r="J2931" s="190"/>
      <c r="K2931" s="190"/>
      <c r="L2931" s="190"/>
      <c r="M2931" s="190"/>
      <c r="N2931" s="190"/>
      <c r="O2931" s="190"/>
      <c r="P2931" s="190"/>
      <c r="Q2931" s="190"/>
      <c r="R2931" s="190"/>
      <c r="S2931" s="190" t="s">
        <v>487</v>
      </c>
      <c r="T2931" s="43">
        <f t="shared" si="70"/>
        <v>1</v>
      </c>
      <c r="U2931" s="167">
        <f t="shared" si="69"/>
        <v>0</v>
      </c>
      <c r="V2931" s="43"/>
      <c r="W2931" s="43"/>
      <c r="X2931" s="43"/>
      <c r="Y2931" s="43"/>
      <c r="Z2931" s="43"/>
      <c r="AA2931" s="43"/>
      <c r="AB2931" s="43"/>
    </row>
    <row r="2932" spans="1:28" ht="14.25" hidden="1" customHeight="1">
      <c r="A2932" s="190"/>
      <c r="B2932" s="225"/>
      <c r="C2932" s="190"/>
      <c r="D2932" s="190"/>
      <c r="E2932" s="232"/>
      <c r="F2932" s="185"/>
      <c r="G2932" s="185"/>
      <c r="H2932" s="190"/>
      <c r="I2932" s="190"/>
      <c r="J2932" s="190"/>
      <c r="K2932" s="190"/>
      <c r="L2932" s="190"/>
      <c r="M2932" s="190"/>
      <c r="N2932" s="190"/>
      <c r="O2932" s="190"/>
      <c r="P2932" s="190"/>
      <c r="Q2932" s="190"/>
      <c r="R2932" s="190"/>
      <c r="S2932" s="190" t="s">
        <v>1306</v>
      </c>
      <c r="T2932" s="43">
        <f t="shared" si="70"/>
        <v>1</v>
      </c>
      <c r="U2932" s="167">
        <f t="shared" si="69"/>
        <v>0</v>
      </c>
      <c r="V2932" s="43"/>
      <c r="W2932" s="43"/>
      <c r="X2932" s="43"/>
      <c r="Y2932" s="43"/>
      <c r="Z2932" s="43"/>
      <c r="AA2932" s="43"/>
      <c r="AB2932" s="43"/>
    </row>
    <row r="2933" spans="1:28" ht="14.25" hidden="1" customHeight="1">
      <c r="A2933" s="190"/>
      <c r="B2933" s="225"/>
      <c r="C2933" s="190"/>
      <c r="D2933" s="190"/>
      <c r="E2933" s="232"/>
      <c r="F2933" s="185"/>
      <c r="G2933" s="185"/>
      <c r="H2933" s="190"/>
      <c r="I2933" s="190"/>
      <c r="J2933" s="190"/>
      <c r="K2933" s="190"/>
      <c r="L2933" s="190"/>
      <c r="M2933" s="190"/>
      <c r="N2933" s="190"/>
      <c r="O2933" s="190"/>
      <c r="P2933" s="190"/>
      <c r="Q2933" s="190"/>
      <c r="R2933" s="190"/>
      <c r="S2933" s="190" t="s">
        <v>1306</v>
      </c>
      <c r="T2933" s="43">
        <f t="shared" si="70"/>
        <v>1</v>
      </c>
      <c r="U2933" s="167">
        <f t="shared" si="69"/>
        <v>0</v>
      </c>
      <c r="V2933" s="43"/>
      <c r="W2933" s="43"/>
      <c r="X2933" s="43"/>
      <c r="Y2933" s="43"/>
      <c r="Z2933" s="43"/>
      <c r="AA2933" s="43"/>
      <c r="AB2933" s="43"/>
    </row>
    <row r="2934" spans="1:28" ht="14.25" hidden="1" customHeight="1">
      <c r="A2934" s="190"/>
      <c r="B2934" s="225"/>
      <c r="C2934" s="190"/>
      <c r="D2934" s="190"/>
      <c r="E2934" s="232"/>
      <c r="F2934" s="191"/>
      <c r="G2934" s="185"/>
      <c r="H2934" s="190"/>
      <c r="I2934" s="190"/>
      <c r="J2934" s="190"/>
      <c r="K2934" s="190"/>
      <c r="L2934" s="190"/>
      <c r="M2934" s="190"/>
      <c r="N2934" s="190"/>
      <c r="O2934" s="190"/>
      <c r="P2934" s="190"/>
      <c r="Q2934" s="190"/>
      <c r="R2934" s="190"/>
      <c r="S2934" s="190"/>
      <c r="T2934" s="43">
        <f t="shared" si="70"/>
        <v>1</v>
      </c>
      <c r="U2934" s="167">
        <f t="shared" si="69"/>
        <v>0</v>
      </c>
      <c r="V2934" s="43"/>
      <c r="W2934" s="43"/>
      <c r="X2934" s="43"/>
      <c r="Y2934" s="43"/>
      <c r="Z2934" s="43"/>
      <c r="AA2934" s="43"/>
      <c r="AB2934" s="43"/>
    </row>
  </sheetData>
  <autoFilter ref="A1:AA2934" xr:uid="{00000000-0009-0000-0000-000012000000}">
    <filterColumn colId="4">
      <filters>
        <filter val="13º Salário"/>
        <filter val="Alimentação"/>
        <filter val="Alimentação e transporte evento"/>
        <filter val="Aluguel Div"/>
        <filter val="ASO"/>
        <filter val="Bonificação"/>
        <filter val="Certificado Digital"/>
        <filter val="Comissões"/>
        <filter val="Comissões (55,032938%); Serviços Contratados (44,967062%)"/>
        <filter val="Computadores e periféricos"/>
        <filter val="Correio"/>
        <filter val="Despesas Escritório"/>
        <filter val="Despesas Marketing"/>
        <filter val="Despesas Viagens"/>
        <filter val="Despesas Viagens , Estadias e Refeições"/>
        <filter val="Devolução de Cliente"/>
        <filter val="Devolução de Taxa de Franquia"/>
        <filter val="Domínios"/>
        <filter val="Energia Elétrica"/>
        <filter val="Entrada de Transferência"/>
        <filter val="Exames"/>
        <filter val="Franquias - Outras Receitas"/>
        <filter val="Guia judicial"/>
        <filter val="Hospedagem"/>
        <filter val="Indenizações Tributárias e Trabalhistas"/>
        <filter val="Manutenção Predial"/>
        <filter val="Marcas e Patentes"/>
        <filter val="Multa"/>
        <filter val="Parcelas Long Beach"/>
        <filter val="Recepcionista Evento"/>
        <filter val="Reembolso Cartão Simples Evento"/>
        <filter val="Reembolso Caução"/>
        <filter val="Reembolso Evento"/>
        <filter val="Reembolso Transfer Bellino"/>
        <filter val="Reembolso Viagem"/>
        <filter val="Reembolsos"/>
        <filter val="Repasse de Franqueado"/>
        <filter val="Repasse de franqueados"/>
        <filter val="Rescisão Serviços Contratados"/>
        <filter val="Saída de Transferência"/>
        <filter val="Salário"/>
        <filter val="Salários"/>
        <filter val="Saldo"/>
        <filter val="Seguros"/>
        <filter val="Tarifas"/>
        <filter val="Tarifas bancárias"/>
        <filter val="Transporte"/>
        <filter val="Viagem"/>
        <filter val="Viagem (alimentação)"/>
        <filter val="Viagem (ônibus)"/>
        <filter val="Viagem (vôo)"/>
      </filters>
    </filterColumn>
    <filterColumn colId="5">
      <filters>
        <filter val="(0.50)"/>
        <filter val="(1,000.00)"/>
        <filter val="(1,001.86)"/>
        <filter val="(1,007.01)"/>
        <filter val="(1,021.10)"/>
        <filter val="(1,023.40)"/>
        <filter val="(1,032.00)"/>
        <filter val="(1,033.33)"/>
        <filter val="(1,033.60)"/>
        <filter val="(1,048.34)"/>
        <filter val="(1,050.00)"/>
        <filter val="(1,054.22)"/>
        <filter val="(1,068.09)"/>
        <filter val="(1,075.90)"/>
        <filter val="(1,085.00)"/>
        <filter val="(1,089.54)"/>
        <filter val="(1,100.00)"/>
        <filter val="(1,110.00)"/>
        <filter val="(1,119.00)"/>
        <filter val="(1,120.00)"/>
        <filter val="(1,123.00)"/>
        <filter val="(1,125.00)"/>
        <filter val="(1,140.16)"/>
        <filter val="(1,142.53)"/>
        <filter val="(1,150.27)"/>
        <filter val="(1,157.00)"/>
        <filter val="(1,157.74)"/>
        <filter val="(1,161.25)"/>
        <filter val="(1,181.05)"/>
        <filter val="(1,184.00)"/>
        <filter val="(1,190.00)"/>
        <filter val="(1,193.00)"/>
        <filter val="(1,200.00)"/>
        <filter val="(1,204.63)"/>
        <filter val="(1,210.25)"/>
        <filter val="(1,215.40)"/>
        <filter val="(1,225.00)"/>
        <filter val="(1,237.59)"/>
        <filter val="(1,237.67)"/>
        <filter val="(1,240.44)"/>
        <filter val="(1,250.00)"/>
        <filter val="(1,258.91)"/>
        <filter val="(1,266.66)"/>
        <filter val="(1,266.67)"/>
        <filter val="(1,283.33)"/>
        <filter val="(1,292.13)"/>
        <filter val="(1,294.80)"/>
        <filter val="(1,295.76)"/>
        <filter val="(1,296.18)"/>
        <filter val="(1,297.50)"/>
        <filter val="(1,300.00)"/>
        <filter val="(1,312.90)"/>
        <filter val="(1,323.09)"/>
        <filter val="(1,323.88)"/>
        <filter val="(1,324.68)"/>
        <filter val="(1,331.90)"/>
        <filter val="(1,333.34)"/>
        <filter val="(1,343.17)"/>
        <filter val="(1,349.88)"/>
        <filter val="(1,355.85)"/>
        <filter val="(1,357.21)"/>
        <filter val="(1,358.33)"/>
        <filter val="(1,359.77)"/>
        <filter val="(1,361.64)"/>
        <filter val="(1,365.31)"/>
        <filter val="(1,366.48)"/>
        <filter val="(1,367.72)"/>
        <filter val="(1,376.37)"/>
        <filter val="(1,380.00)"/>
        <filter val="(1,380.81)"/>
        <filter val="(1,391.34)"/>
        <filter val="(1,391.64)"/>
        <filter val="(1,398.99)"/>
        <filter val="(1,400.00)"/>
        <filter val="(1,408.00)"/>
        <filter val="(1,412.00)"/>
        <filter val="(1,422.96)"/>
        <filter val="(1,429.53)"/>
        <filter val="(1,441.18)"/>
        <filter val="(1,442.12)"/>
        <filter val="(1,442.77)"/>
        <filter val="(1,446.16)"/>
        <filter val="(1,450.60)"/>
        <filter val="(1,459.30)"/>
        <filter val="(1,459.65)"/>
        <filter val="(1,463.80)"/>
        <filter val="(1,465.80)"/>
        <filter val="(1,466.66)"/>
        <filter val="(1,471.31)"/>
        <filter val="(1,471.69)"/>
        <filter val="(1,498.50)"/>
        <filter val="(1,500.00)"/>
        <filter val="(1,504.98)"/>
        <filter val="(1,517.62)"/>
        <filter val="(1,518.00)"/>
        <filter val="(1,524.27)"/>
        <filter val="(1,527.65)"/>
        <filter val="(1,531.30)"/>
        <filter val="(1,541.44)"/>
        <filter val="(1,550.00)"/>
        <filter val="(1,562.95)"/>
        <filter val="(1,599.50)"/>
        <filter val="(1,600.00)"/>
        <filter val="(1,601.00)"/>
        <filter val="(1,602.53)"/>
        <filter val="(1,611.17)"/>
        <filter val="(1,614.69)"/>
        <filter val="(1,615.27)"/>
        <filter val="(1,623.51)"/>
        <filter val="(1,625.00)"/>
        <filter val="(1,638.16)"/>
        <filter val="(1,640.73)"/>
        <filter val="(1,641.20)"/>
        <filter val="(1,642.32)"/>
        <filter val="(1,642.79)"/>
        <filter val="(1,648.61)"/>
        <filter val="(1,660.77)"/>
        <filter val="(1,673.00)"/>
        <filter val="(1,679.25)"/>
        <filter val="(1,680.40)"/>
        <filter val="(1,686.48)"/>
        <filter val="(1,721.18)"/>
        <filter val="(1,723.81)"/>
        <filter val="(1,737.53)"/>
        <filter val="(1,743.59)"/>
        <filter val="(1,749.50)"/>
        <filter val="(1,774.74)"/>
        <filter val="(1,796.18)"/>
        <filter val="(1,797.77)"/>
        <filter val="(1,800.00)"/>
        <filter val="(1,821.09)"/>
        <filter val="(1,826.02)"/>
        <filter val="(1,827.40)"/>
        <filter val="(1,829.00)"/>
        <filter val="(1,841.18)"/>
        <filter val="(1,842.77)"/>
        <filter val="(1,852.92)"/>
        <filter val="(1,853.41)"/>
        <filter val="(1,861.02)"/>
        <filter val="(1,866.54)"/>
        <filter val="(1,866.67)"/>
        <filter val="(1,866.78)"/>
        <filter val="(1,867.98)"/>
        <filter val="(1,870.00)"/>
        <filter val="(1,874.58)"/>
        <filter val="(1,887.35)"/>
        <filter val="(1,887.81)"/>
        <filter val="(1,892.76)"/>
        <filter val="(1,900.00)"/>
        <filter val="(1,919.37)"/>
        <filter val="(1,935.13)"/>
        <filter val="(1,975.00)"/>
        <filter val="(1,990.00)"/>
        <filter val="(1,992.22)"/>
        <filter val="(1,997.00)"/>
        <filter val="(1.00)"/>
        <filter val="(1.19)"/>
        <filter val="(1.50)"/>
        <filter val="(1.99)"/>
        <filter val="(10,000.00)"/>
        <filter val="(10,163.39)"/>
        <filter val="(10,316.65)"/>
        <filter val="(10,387.05)"/>
        <filter val="(10,458.75)"/>
        <filter val="(10,466.67)"/>
        <filter val="(10,500.00)"/>
        <filter val="(10,722.00)"/>
        <filter val="(10,935.16)"/>
        <filter val="(10.46)"/>
        <filter val="(10.47)"/>
        <filter val="(10.48)"/>
        <filter val="(10.97)"/>
        <filter val="(10.99)"/>
        <filter val="(100.00)"/>
        <filter val="(103.60)"/>
        <filter val="(104.00)"/>
        <filter val="(105.00)"/>
        <filter val="(105.63)"/>
        <filter val="(106.00)"/>
        <filter val="(107.55)"/>
        <filter val="(108.80)"/>
        <filter val="(11,158.34)"/>
        <filter val="(11,253.38)"/>
        <filter val="(11,271.97)"/>
        <filter val="(11,612.91)"/>
        <filter val="(11,645.92)"/>
        <filter val="(110.01)"/>
        <filter val="(111.00)"/>
        <filter val="(112.50)"/>
        <filter val="(115.00)"/>
        <filter val="(116.66)"/>
        <filter val="(12,000.00)"/>
        <filter val="(12,180.00)"/>
        <filter val="(12,987.80)"/>
        <filter val="(12.44)"/>
        <filter val="(12.95)"/>
        <filter val="(12.97)"/>
        <filter val="(120.00)"/>
        <filter val="(121.22)"/>
        <filter val="(121.98)"/>
        <filter val="(122.15)"/>
        <filter val="(123.69)"/>
        <filter val="(126.00)"/>
        <filter val="(128.00)"/>
        <filter val="(13,000.00)"/>
        <filter val="(13,000.79)"/>
        <filter val="(13,133.46)"/>
        <filter val="(13,343.10)"/>
        <filter val="(13,433.46)"/>
        <filter val="(13,536.51)"/>
        <filter val="(13,698.58)"/>
        <filter val="(13,973.20)"/>
        <filter val="(13.99)"/>
        <filter val="(130.00)"/>
        <filter val="(131.35)"/>
        <filter val="(132.00)"/>
        <filter val="(135.00)"/>
        <filter val="(135.05)"/>
        <filter val="(136.50)"/>
        <filter val="(14,043.80)"/>
        <filter val="(14,390.00)"/>
        <filter val="(14,507.88)"/>
        <filter val="(14,714.62)"/>
        <filter val="(14.49)"/>
        <filter val="(14.93)"/>
        <filter val="(14.94)"/>
        <filter val="(140.00)"/>
        <filter val="(143.15)"/>
        <filter val="(146.58)"/>
        <filter val="(147.00)"/>
        <filter val="(147.37)"/>
        <filter val="(15,000.00)"/>
        <filter val="(15,098.40)"/>
        <filter val="(15,130.40)"/>
        <filter val="(15.43)"/>
        <filter val="(15.52)"/>
        <filter val="(15.97)"/>
        <filter val="(150.00)"/>
        <filter val="(155.00)"/>
        <filter val="(157.50)"/>
        <filter val="(158.24)"/>
        <filter val="(16,953.00)"/>
        <filter val="(160.00)"/>
        <filter val="(165.00)"/>
        <filter val="(166.50)"/>
        <filter val="(166.67)"/>
        <filter val="(167.00)"/>
        <filter val="(17,000.00)"/>
        <filter val="(17,146.40)"/>
        <filter val="(17,178.40)"/>
        <filter val="(171.81)"/>
        <filter val="(172.50)"/>
        <filter val="(175.00)"/>
        <filter val="(18,405.18)"/>
        <filter val="(18,454.24)"/>
        <filter val="(18,500.00)"/>
        <filter val="(18,687.47)"/>
        <filter val="(183.33)"/>
        <filter val="(183.87)"/>
        <filter val="(184.00)"/>
        <filter val="(187.52)"/>
        <filter val="(187.90)"/>
        <filter val="(188.70)"/>
        <filter val="(189.00)"/>
        <filter val="(195.20)"/>
        <filter val="(195.41)"/>
        <filter val="(195.44)"/>
        <filter val="(199.10)"/>
        <filter val="(199.12)"/>
        <filter val="(2,000.00)"/>
        <filter val="(2,023.18)"/>
        <filter val="(2,024.77)"/>
        <filter val="(2,028.70)"/>
        <filter val="(2,029.32)"/>
        <filter val="(2,037.77)"/>
        <filter val="(2,054.85)"/>
        <filter val="(2,058.80)"/>
        <filter val="(2,061.79)"/>
        <filter val="(2,076.31)"/>
        <filter val="(2,080.00)"/>
        <filter val="(2,083.45)"/>
        <filter val="(2,090.38)"/>
        <filter val="(2,100.00)"/>
        <filter val="(2,115.83)"/>
        <filter val="(2,148.69)"/>
        <filter val="(2,157.50)"/>
        <filter val="(2,160.49)"/>
        <filter val="(2,166.67)"/>
        <filter val="(2,176.33)"/>
        <filter val="(2,190.47)"/>
        <filter val="(2,193.04)"/>
        <filter val="(2,200.00)"/>
        <filter val="(2,202.27)"/>
        <filter val="(2,213.53)"/>
        <filter val="(2,216.97)"/>
        <filter val="(2,225.57)"/>
        <filter val="(2,227.16)"/>
        <filter val="(2,235.99)"/>
        <filter val="(2,243.17)"/>
        <filter val="(2,250.00)"/>
        <filter val="(2,253.30)"/>
        <filter val="(2,266.66)"/>
        <filter val="(2,268.50)"/>
        <filter val="(2,294.56)"/>
        <filter val="(2,295.41)"/>
        <filter val="(2,296.18)"/>
        <filter val="(2,297.77)"/>
        <filter val="(2,315.41)"/>
        <filter val="(2,315.61)"/>
        <filter val="(2,322.98)"/>
        <filter val="(2,329.00)"/>
        <filter val="(2,332.73)"/>
        <filter val="(2,333.33)"/>
        <filter val="(2,340.00)"/>
        <filter val="(2,362.00)"/>
        <filter val="(2,371.74)"/>
        <filter val="(2,382.04)"/>
        <filter val="(2,383.23)"/>
        <filter val="(2,386.60)"/>
        <filter val="(2,397.47)"/>
        <filter val="(2,400.00)"/>
        <filter val="(2,411.65)"/>
        <filter val="(2,422.35)"/>
        <filter val="(2,427.76)"/>
        <filter val="(2,428.81)"/>
        <filter val="(2,443.03)"/>
        <filter val="(2,449.44)"/>
        <filter val="(2,457.27)"/>
        <filter val="(2,477.65)"/>
        <filter val="(2,478.06)"/>
        <filter val="(2,480.11)"/>
        <filter val="(2,486.80)"/>
        <filter val="(2,495.17)"/>
        <filter val="(2,500.00)"/>
        <filter val="(2,500.60)"/>
        <filter val="(2,512.50)"/>
        <filter val="(2,514.79)"/>
        <filter val="(2,517.34)"/>
        <filter val="(2,520.00)"/>
        <filter val="(2,521.30)"/>
        <filter val="(2,522.08)"/>
        <filter val="(2,523.23)"/>
        <filter val="(2,537.07)"/>
        <filter val="(2,542.34)"/>
        <filter val="(2,559.06)"/>
        <filter val="(2,576.04)"/>
        <filter val="(2,600.00)"/>
        <filter val="(2,608.35)"/>
        <filter val="(2,625.13)"/>
        <filter val="(2,625.85)"/>
        <filter val="(2,661.88)"/>
        <filter val="(2,676.09)"/>
        <filter val="(2,686.08)"/>
        <filter val="(2,700.00)"/>
        <filter val="(2,702.83)"/>
        <filter val="(2,709.85)"/>
        <filter val="(2,710.00)"/>
        <filter val="(2,712.16)"/>
        <filter val="(2,717.24)"/>
        <filter val="(2,720.64)"/>
        <filter val="(2,733.40)"/>
        <filter val="(2,788.05)"/>
        <filter val="(2,800.00)"/>
        <filter val="(2,833.22)"/>
        <filter val="(2,840.03)"/>
        <filter val="(2,854.83)"/>
        <filter val="(2,858.17)"/>
        <filter val="(2,888.99)"/>
        <filter val="(2,928.60)"/>
        <filter val="(2,990.00)"/>
        <filter val="(2.00)"/>
        <filter val="(2.49)"/>
        <filter val="(2.99)"/>
        <filter val="(20,000.00)"/>
        <filter val="(20,373.81)"/>
        <filter val="(20,670.00)"/>
        <filter val="(20,710.21)"/>
        <filter val="(200.00)"/>
        <filter val="(200.42)"/>
        <filter val="(205.00)"/>
        <filter val="(205.88)"/>
        <filter val="(205.98)"/>
        <filter val="(206.46)"/>
        <filter val="(206.51)"/>
        <filter val="(208.33)"/>
        <filter val="(21.00)"/>
        <filter val="(21.49)"/>
        <filter val="(210.00)"/>
        <filter val="(210.90)"/>
        <filter val="(210.92)"/>
        <filter val="(212.36)"/>
        <filter val="(217.74)"/>
        <filter val="(217.89)"/>
        <filter val="(218.50)"/>
        <filter val="(22,746.50)"/>
        <filter val="(22.00)"/>
        <filter val="(220.00)"/>
        <filter val="(220.50)"/>
        <filter val="(220.80)"/>
        <filter val="(224.00)"/>
        <filter val="(225.00)"/>
        <filter val="(227.73)"/>
        <filter val="(228.13)"/>
        <filter val="(229.90)"/>
        <filter val="(230.00)"/>
        <filter val="(230.36)"/>
        <filter val="(230.76)"/>
        <filter val="(239.10)"/>
        <filter val="(24,196.08)"/>
        <filter val="(24,932.18)"/>
        <filter val="(24.00)"/>
        <filter val="(240.00)"/>
        <filter val="(241.50)"/>
        <filter val="(244.20)"/>
        <filter val="(244.30)"/>
        <filter val="(25,566.99)"/>
        <filter val="(25,992.33)"/>
        <filter val="(250.00)"/>
        <filter val="(251.10)"/>
        <filter val="(255.00)"/>
        <filter val="(26.80)"/>
        <filter val="(260.00)"/>
        <filter val="(262.22)"/>
        <filter val="(266.34)"/>
        <filter val="(27,137.47)"/>
        <filter val="(27.98)"/>
        <filter val="(270.00)"/>
        <filter val="(275.00)"/>
        <filter val="(276.73)"/>
        <filter val="(278.00)"/>
        <filter val="(280.00)"/>
        <filter val="(283.32)"/>
        <filter val="(285.00)"/>
        <filter val="(286.00)"/>
        <filter val="(286.81)"/>
        <filter val="(288.00)"/>
        <filter val="(29.47)"/>
        <filter val="(293.23)"/>
        <filter val="(294.44)"/>
        <filter val="(296.10)"/>
        <filter val="(298.14)"/>
        <filter val="(3,000.00)"/>
        <filter val="(3,009.71)"/>
        <filter val="(3,033.33)"/>
        <filter val="(3,058.88)"/>
        <filter val="(3,068.00)"/>
        <filter val="(3,082.69)"/>
        <filter val="(3,093.21)"/>
        <filter val="(3,122.35)"/>
        <filter val="(3,127.76)"/>
        <filter val="(3,154.50)"/>
        <filter val="(3,166.15)"/>
        <filter val="(3,181.00)"/>
        <filter val="(3,250.00)"/>
        <filter val="(3,268.35)"/>
        <filter val="(3,346.80)"/>
        <filter val="(3,446.33)"/>
        <filter val="(3,487.35)"/>
        <filter val="(3,492.76)"/>
        <filter val="(3,500.00)"/>
        <filter val="(3,556.63)"/>
        <filter val="(3,568.36)"/>
        <filter val="(3,575.05)"/>
        <filter val="(3,600.00)"/>
        <filter val="(3,639.19)"/>
        <filter val="(3,670.37)"/>
        <filter val="(3,677.02)"/>
        <filter val="(3,700.00)"/>
        <filter val="(3,727.43)"/>
        <filter val="(3,754.25)"/>
        <filter val="(3,808.88)"/>
        <filter val="(3,808.89)"/>
        <filter val="(3,828.54)"/>
        <filter val="(3,837.77)"/>
        <filter val="(3,849.90)"/>
        <filter val="(3,880.00)"/>
        <filter val="(3,900.00)"/>
        <filter val="(3,901.82)"/>
        <filter val="(3,914.26)"/>
        <filter val="(3,950.37)"/>
        <filter val="(3,950.43)"/>
        <filter val="(3,957.12)"/>
        <filter val="(3,998.60)"/>
        <filter val="(3.00)"/>
        <filter val="(3.49)"/>
        <filter val="(3.50)"/>
        <filter val="(3.98)"/>
        <filter val="(3.99)"/>
        <filter val="(30,000.00)"/>
        <filter val="(300.00)"/>
        <filter val="(302.02)"/>
        <filter val="(305.12)"/>
        <filter val="(307.00)"/>
        <filter val="(31.99)"/>
        <filter val="(311.10)"/>
        <filter val="(312.50)"/>
        <filter val="(316.70)"/>
        <filter val="(32.00)"/>
        <filter val="(32.48)"/>
        <filter val="(320.00)"/>
        <filter val="(320.21)"/>
        <filter val="(328.16)"/>
        <filter val="(34.99)"/>
        <filter val="(340.00)"/>
        <filter val="(345.00)"/>
        <filter val="(347.00)"/>
        <filter val="(347.24)"/>
        <filter val="(35,000.00)"/>
        <filter val="(35,500.00)"/>
        <filter val="(350.00)"/>
        <filter val="(352.00)"/>
        <filter val="(355.56)"/>
        <filter val="(357.60)"/>
        <filter val="(360.00)"/>
        <filter val="(375.00)"/>
        <filter val="(375.31)"/>
        <filter val="(376.79)"/>
        <filter val="(378.55)"/>
        <filter val="(390.31)"/>
        <filter val="(391.98)"/>
        <filter val="(396.34)"/>
        <filter val="(399.00)"/>
        <filter val="(4,000.00)"/>
        <filter val="(4,034.06)"/>
        <filter val="(4,044.74)"/>
        <filter val="(4,050.00)"/>
        <filter val="(4,106.08)"/>
        <filter val="(4,137.08)"/>
        <filter val="(4,266.67)"/>
        <filter val="(4,272.72)"/>
        <filter val="(4,273.04)"/>
        <filter val="(4,279.41)"/>
        <filter val="(4,283.48)"/>
        <filter val="(4,318.84)"/>
        <filter val="(4,324.24)"/>
        <filter val="(4,394.40)"/>
        <filter val="(4,425.44)"/>
        <filter val="(4,450.00)"/>
        <filter val="(4,500.71)"/>
        <filter val="(4,502.00)"/>
        <filter val="(4,520.00)"/>
        <filter val="(4,692.50)"/>
        <filter val="(4,724.98)"/>
        <filter val="(4,738.78)"/>
        <filter val="(4,800.00)"/>
        <filter val="(4,828.50)"/>
        <filter val="(4,900.00)"/>
        <filter val="(4.00)"/>
        <filter val="(4.48)"/>
        <filter val="(4.50)"/>
        <filter val="(4.70)"/>
        <filter val="(4.76)"/>
        <filter val="(4.98)"/>
        <filter val="(4.99)"/>
        <filter val="(40.00)"/>
        <filter val="(400.00)"/>
        <filter val="(401.64)"/>
        <filter val="(407.40)"/>
        <filter val="(418.00)"/>
        <filter val="(42.00)"/>
        <filter val="(422.50)"/>
        <filter val="(424.59)"/>
        <filter val="(427.26)"/>
        <filter val="(431.67)"/>
        <filter val="(433.33)"/>
        <filter val="(436.80)"/>
        <filter val="(437.50)"/>
        <filter val="(439.20)"/>
        <filter val="(44.00)"/>
        <filter val="(44.97)"/>
        <filter val="(440.00)"/>
        <filter val="(448.00)"/>
        <filter val="(450.00)"/>
        <filter val="(460.00)"/>
        <filter val="(464.00)"/>
        <filter val="(478.89)"/>
        <filter val="(481.85)"/>
        <filter val="(486.68)"/>
        <filter val="(487.50)"/>
        <filter val="(499.17)"/>
        <filter val="(5,000.00)"/>
        <filter val="(5,013.49)"/>
        <filter val="(5,019.49)"/>
        <filter val="(5,080.11)"/>
        <filter val="(5,100.00)"/>
        <filter val="(5,110.00)"/>
        <filter val="(5,119.57)"/>
        <filter val="(5,154.99)"/>
        <filter val="(5,205.36)"/>
        <filter val="(5,500.00)"/>
        <filter val="(5,502.83)"/>
        <filter val="(5,523.93)"/>
        <filter val="(5,550.00)"/>
        <filter val="(5,582.51)"/>
        <filter val="(5,609.71)"/>
        <filter val="(5,705.14)"/>
        <filter val="(5,711.83)"/>
        <filter val="(5,716.59)"/>
        <filter val="(5,753.92)"/>
        <filter val="(5,958.33)"/>
        <filter val="(5.07)"/>
        <filter val="(5.48)"/>
        <filter val="(5.49)"/>
        <filter val="(5.98)"/>
        <filter val="(5.99)"/>
        <filter val="(50.00)"/>
        <filter val="(500.00)"/>
        <filter val="(511.33)"/>
        <filter val="(512.00)"/>
        <filter val="(516.67)"/>
        <filter val="(52.50)"/>
        <filter val="(520.00)"/>
        <filter val="(532.15)"/>
        <filter val="(539.59)"/>
        <filter val="(540.00)"/>
        <filter val="(541.67)"/>
        <filter val="(544.00)"/>
        <filter val="(550.00)"/>
        <filter val="(551.09)"/>
        <filter val="(552.00)"/>
        <filter val="(554.43)"/>
        <filter val="(556.94)"/>
        <filter val="(57.00)"/>
        <filter val="(57.50)"/>
        <filter val="(570.83)"/>
        <filter val="(579.00)"/>
        <filter val="(580.00)"/>
        <filter val="(585.42)"/>
        <filter val="(59.50)"/>
        <filter val="(596.00)"/>
        <filter val="(6,000.00)"/>
        <filter val="(6,068.00)"/>
        <filter val="(6,097.25)"/>
        <filter val="(6,156.74)"/>
        <filter val="(6,331.00)"/>
        <filter val="(6,413.27)"/>
        <filter val="(6,463.18)"/>
        <filter val="(6,466.67)"/>
        <filter val="(6,500.00)"/>
        <filter val="(6,588.61)"/>
        <filter val="(6,742.68)"/>
        <filter val="(6,806.84)"/>
        <filter val="(6,960.21)"/>
        <filter val="(6,976.18)"/>
        <filter val="(6,991.20)"/>
        <filter val="(6.00)"/>
        <filter val="(6.47)"/>
        <filter val="(6.97)"/>
        <filter val="(60,148.21)"/>
        <filter val="(60.00)"/>
        <filter val="(600.00)"/>
        <filter val="(604.38)"/>
        <filter val="(608.00)"/>
        <filter val="(61.19)"/>
        <filter val="(610.81)"/>
        <filter val="(613.03)"/>
        <filter val="(615.52)"/>
        <filter val="(616.67)"/>
        <filter val="(63.00)"/>
        <filter val="(63.85)"/>
        <filter val="(64.50)"/>
        <filter val="(65.00)"/>
        <filter val="(650.00)"/>
        <filter val="(66.40)"/>
        <filter val="(66.88)"/>
        <filter val="(660.00)"/>
        <filter val="(665.00)"/>
        <filter val="(666.67)"/>
        <filter val="(669.90)"/>
        <filter val="(675.00)"/>
        <filter val="(7,000.00)"/>
        <filter val="(7,060.27)"/>
        <filter val="(7,150.00)"/>
        <filter val="(7,200.00)"/>
        <filter val="(7,315.00)"/>
        <filter val="(7,329.00)"/>
        <filter val="(7,349.78)"/>
        <filter val="(7,385.85)"/>
        <filter val="(7,500.00)"/>
        <filter val="(7,536.66)"/>
        <filter val="(7,756.90)"/>
        <filter val="(7,800.00)"/>
        <filter val="(7,931.25)"/>
        <filter val="(7,949.02)"/>
        <filter val="(7.47)"/>
        <filter val="(7.48)"/>
        <filter val="(7.49)"/>
        <filter val="(7.97)"/>
        <filter val="(7.98)"/>
        <filter val="(7.99)"/>
        <filter val="(70.00)"/>
        <filter val="(700.00)"/>
        <filter val="(700.20)"/>
        <filter val="(702.92)"/>
        <filter val="(717.00)"/>
        <filter val="(720.00)"/>
        <filter val="(722.59)"/>
        <filter val="(724.85)"/>
        <filter val="(73,345.07)"/>
        <filter val="(73.50)"/>
        <filter val="(730.00)"/>
        <filter val="(730.88)"/>
        <filter val="(732.32)"/>
        <filter val="(734.05)"/>
        <filter val="(74.50)"/>
        <filter val="(74.70)"/>
        <filter val="(749.09)"/>
        <filter val="(75.00)"/>
        <filter val="(750.00)"/>
        <filter val="(76.66)"/>
        <filter val="(760.00)"/>
        <filter val="(762.50)"/>
        <filter val="(77.64)"/>
        <filter val="(770.84)"/>
        <filter val="(771.77)"/>
        <filter val="(78.99)"/>
        <filter val="(780.20)"/>
        <filter val="(799.50)"/>
        <filter val="(8,000.00)"/>
        <filter val="(8,067.08)"/>
        <filter val="(8,083.55)"/>
        <filter val="(8,109.40)"/>
        <filter val="(8,133.00)"/>
        <filter val="(8,157.00)"/>
        <filter val="(8,217.03)"/>
        <filter val="(8,300.00)"/>
        <filter val="(8,330.63)"/>
        <filter val="(8,347.50)"/>
        <filter val="(8,400.00)"/>
        <filter val="(8,500.00)"/>
        <filter val="(8,549.99)"/>
        <filter val="(8,606.89)"/>
        <filter val="(8,702.58)"/>
        <filter val="(8,746.50)"/>
        <filter val="(8,803.53)"/>
        <filter val="(8,879.65)"/>
        <filter val="(8,892.52)"/>
        <filter val="(8,913.30)"/>
        <filter val="(8.00)"/>
        <filter val="(8.18)"/>
        <filter val="(8.46)"/>
        <filter val="(8.96)"/>
        <filter val="(8.97)"/>
        <filter val="(8.98)"/>
        <filter val="(80.00)"/>
        <filter val="(800.00)"/>
        <filter val="(802.30)"/>
        <filter val="(81.40)"/>
        <filter val="(812.80)"/>
        <filter val="(813.52)"/>
        <filter val="(817.23)"/>
        <filter val="(823.14)"/>
        <filter val="(83.00)"/>
        <filter val="(830.00)"/>
        <filter val="(832.00)"/>
        <filter val="(84.00)"/>
        <filter val="(841.00)"/>
        <filter val="(850.00)"/>
        <filter val="(860.00)"/>
        <filter val="(860.29)"/>
        <filter val="(863.96)"/>
        <filter val="(87.60)"/>
        <filter val="(870.00)"/>
        <filter val="(875.00)"/>
        <filter val="(879.00)"/>
        <filter val="(88.35)"/>
        <filter val="(880.00)"/>
        <filter val="(881.60)"/>
        <filter val="(89.59)"/>
        <filter val="(897.45)"/>
        <filter val="(897.74)"/>
        <filter val="(898.34)"/>
        <filter val="(899.50)"/>
        <filter val="(9,005.50)"/>
        <filter val="(9,084.96)"/>
        <filter val="(9,258.97)"/>
        <filter val="(9,284.66)"/>
        <filter val="(9,385.00)"/>
        <filter val="(9,421.48)"/>
        <filter val="(9,542.22)"/>
        <filter val="(9,800.00)"/>
        <filter val="(9,977.52)"/>
        <filter val="(9.29)"/>
        <filter val="(9.49)"/>
        <filter val="(9.50)"/>
        <filter val="(9.95)"/>
        <filter val="(9.98)"/>
        <filter val="(9.99)"/>
        <filter val="(90.00)"/>
        <filter val="(90.26)"/>
        <filter val="(903.58)"/>
        <filter val="(909.52)"/>
        <filter val="(915.00)"/>
        <filter val="(922.41)"/>
        <filter val="(933.33)"/>
        <filter val="(933.34)"/>
        <filter val="(935.00)"/>
        <filter val="(939.50)"/>
        <filter val="(94.50)"/>
        <filter val="(949.00)"/>
        <filter val="(95.00)"/>
        <filter val="(95.20)"/>
        <filter val="(95.40)"/>
        <filter val="(950.00)"/>
        <filter val="(99.60)"/>
        <filter val="0"/>
        <filter val="0.00"/>
        <filter val="0.01"/>
        <filter val="0.50"/>
        <filter val="1,000.00"/>
        <filter val="1,191.28"/>
        <filter val="1,198.55"/>
        <filter val="1,200.00"/>
        <filter val="1,224.80"/>
        <filter val="1,225.20"/>
        <filter val="1,226.80"/>
        <filter val="1,500.00"/>
        <filter val="1,529.15"/>
        <filter val="1,545.60"/>
        <filter val="1,599.00"/>
        <filter val="1,600.00"/>
        <filter val="1,654.40"/>
        <filter val="1,670.00"/>
        <filter val="1,750.00"/>
        <filter val="1,786.75"/>
        <filter val="1,792.60"/>
        <filter val="1,799.00"/>
        <filter val="1,836.18"/>
        <filter val="1,900.00"/>
        <filter val="1,939.26"/>
        <filter val="1,943.06"/>
        <filter val="1,950.00"/>
        <filter val="1,989.64"/>
        <filter val="10,000.00"/>
        <filter val="10,500.00"/>
        <filter val="100,000.00"/>
        <filter val="110,000.00"/>
        <filter val="12,000.00"/>
        <filter val="12,500.00"/>
        <filter val="13,133.46"/>
        <filter val="15,000.00"/>
        <filter val="17,000.00"/>
        <filter val="17,020.00"/>
        <filter val="17,500.00"/>
        <filter val="17,850.00"/>
        <filter val="2,000.00"/>
        <filter val="2,100.00"/>
        <filter val="2,199.00"/>
        <filter val="2,200.00"/>
        <filter val="2,250.00"/>
        <filter val="2,333.33"/>
        <filter val="2,500.00"/>
        <filter val="2,550.83"/>
        <filter val="2,600.00"/>
        <filter val="2,800.00"/>
        <filter val="2,840.03"/>
        <filter val="2,950.00"/>
        <filter val="2,953.91"/>
        <filter val="2,975.00"/>
        <filter val="2,997.00"/>
        <filter val="20,000.00"/>
        <filter val="24,990.00"/>
        <filter val="25,000.00"/>
        <filter val="25,500.00"/>
        <filter val="26,000.00"/>
        <filter val="28,000.00"/>
        <filter val="3,000.00"/>
        <filter val="3,050.00"/>
        <filter val="3,063.99"/>
        <filter val="3,067.00"/>
        <filter val="3,099.00"/>
        <filter val="3,100.00"/>
        <filter val="3,150.00"/>
        <filter val="3,200.00"/>
        <filter val="3,265.06"/>
        <filter val="3,266.13"/>
        <filter val="3,273.59"/>
        <filter val="3,300.00"/>
        <filter val="3,348.52"/>
        <filter val="3,416.67"/>
        <filter val="3,499.00"/>
        <filter val="3,500.00"/>
        <filter val="3,571.16"/>
        <filter val="3,700.00"/>
        <filter val="3,710.25"/>
        <filter val="3,999.00"/>
        <filter val="30,000.00"/>
        <filter val="34,990.00"/>
        <filter val="34,999.99"/>
        <filter val="35,000.00"/>
        <filter val="4,199.00"/>
        <filter val="4,200.00"/>
        <filter val="4,216.67"/>
        <filter val="4,285.39"/>
        <filter val="4,285.40"/>
        <filter val="4,288.19"/>
        <filter val="4,288.20"/>
        <filter val="4,289.60"/>
        <filter val="4,300.00"/>
        <filter val="4,313.40"/>
        <filter val="4,365.00"/>
        <filter val="4,390.00"/>
        <filter val="4,466.67"/>
        <filter val="4,500.00"/>
        <filter val="4,590.00"/>
        <filter val="4,594.49"/>
        <filter val="4,800.00"/>
        <filter val="40,000.00"/>
        <filter val="45,000.00"/>
        <filter val="5,000.00"/>
        <filter val="5,300.00"/>
        <filter val="5,400.00"/>
        <filter val="5,500.00"/>
        <filter val="5.59"/>
        <filter val="50,000.00"/>
        <filter val="50.00"/>
        <filter val="500.00"/>
        <filter val="-55000"/>
        <filter val="6,700.00"/>
        <filter val="60,000.00"/>
        <filter val="7,000.00"/>
        <filter val="7,500.00"/>
        <filter val="7,949.02"/>
        <filter val="70,000.00"/>
        <filter val="74,000.00"/>
        <filter val="74,775.00"/>
        <filter val="75,000.00"/>
        <filter val="750.00"/>
        <filter val="8,000.00"/>
        <filter val="8,162.66"/>
        <filter val="84,000.00"/>
        <filter val="86,466.67"/>
        <filter val="9,000.00"/>
        <filter val="9,250.00"/>
      </filters>
    </filterColumn>
    <filterColumn colId="20">
      <filters blank="1">
        <filter val="1/1/2025"/>
        <filter val="1/4/2025"/>
        <filter val="10/4/2025"/>
        <filter val="10/8/2025"/>
        <filter val="11/2/2025"/>
        <filter val="11/4/2025"/>
        <filter val="12/2/2025"/>
        <filter val="12/3/2025"/>
        <filter val="12/31/2024"/>
        <filter val="12/5/2025"/>
        <filter val="13/2/2025"/>
        <filter val="13/5/2025"/>
        <filter val="14/4/2025"/>
        <filter val="14/5/2025"/>
        <filter val="15/4/2025"/>
        <filter val="15/5/2025"/>
        <filter val="16/4/2025"/>
        <filter val="16/5/2025"/>
        <filter val="17/2/2025"/>
        <filter val="17/3/2025"/>
        <filter val="17/4/2025"/>
        <filter val="18/2/2025"/>
        <filter val="18/3/2025"/>
        <filter val="19/2/2025"/>
        <filter val="19/5/2025"/>
        <filter val="2/4/2025"/>
        <filter val="2/5/2025"/>
        <filter val="20/2/2025"/>
        <filter val="20/3/2025"/>
        <filter val="20/5/2025"/>
        <filter val="21/5/2025"/>
        <filter val="22/4/2025"/>
        <filter val="22/5/2025"/>
        <filter val="23/4/2025"/>
        <filter val="23/5/2025"/>
        <filter val="24/12/2024"/>
        <filter val="24/2/2025"/>
        <filter val="24/3/2025"/>
        <filter val="24/4/2025"/>
        <filter val="25/3/2025"/>
        <filter val="25/4/2025"/>
        <filter val="26/11/2024"/>
        <filter val="26/3/2025"/>
        <filter val="26/5/2025"/>
        <filter val="27/2/2025"/>
        <filter val="27/3/2025"/>
        <filter val="28/3/2025"/>
        <filter val="28/4/2025"/>
        <filter val="28/5/2025"/>
        <filter val="29/4/2025"/>
        <filter val="29/5/2025"/>
        <filter val="3/4/2025"/>
        <filter val="30/4/2025"/>
        <filter val="30/5/2025"/>
        <filter val="30/6/2025"/>
        <filter val="30/7/2025"/>
        <filter val="31/12/2024"/>
        <filter val="4/1/2025"/>
        <filter val="4/2/2025"/>
        <filter val="4/3/2025"/>
        <filter val="4/4/2025"/>
        <filter val="5/5/2025"/>
        <filter val="6/5/2025"/>
        <filter val="7/4/2025"/>
        <filter val="7/5/2025"/>
        <filter val="8/4/2025"/>
        <filter val="8/5/2025"/>
        <filter val="9/4/2025"/>
        <filter val="9/5/2025"/>
      </filters>
    </filterColumn>
  </autoFilter>
  <pageMargins left="0" right="0" top="0.75" bottom="0.75" header="0" footer="0"/>
  <pageSetup paperSize="9" orientation="landscape"/>
  <headerFooter>
    <oddFooter>&amp;LFinanÃ§as - Extrato&amp;RPágina &amp;P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heetPr>
  <dimension ref="A1:AG1010"/>
  <sheetViews>
    <sheetView showGridLines="0" topLeftCell="AD1" workbookViewId="0"/>
  </sheetViews>
  <sheetFormatPr defaultColWidth="14.42578125" defaultRowHeight="15" customHeight="1" outlineLevelCol="1"/>
  <cols>
    <col min="1" max="1" width="14.42578125" hidden="1" outlineLevel="1"/>
    <col min="2" max="2" width="21.85546875" hidden="1" customWidth="1" outlineLevel="1"/>
    <col min="3" max="3" width="14.42578125" hidden="1" outlineLevel="1"/>
    <col min="4" max="4" width="51.42578125" hidden="1" customWidth="1" outlineLevel="1"/>
    <col min="5" max="6" width="14.42578125" hidden="1" outlineLevel="1"/>
    <col min="7" max="7" width="31.140625" hidden="1" customWidth="1" outlineLevel="1"/>
    <col min="8" max="8" width="14.42578125" hidden="1" outlineLevel="1"/>
    <col min="9" max="10" width="41.28515625" hidden="1" customWidth="1" outlineLevel="1"/>
    <col min="11" max="13" width="14.42578125" hidden="1" outlineLevel="1"/>
    <col min="14" max="14" width="25" hidden="1" customWidth="1" outlineLevel="1"/>
    <col min="15" max="20" width="14.42578125" hidden="1" outlineLevel="1"/>
    <col min="21" max="21" width="28.28515625" hidden="1" customWidth="1" outlineLevel="1"/>
    <col min="22" max="25" width="14.42578125" hidden="1" outlineLevel="1"/>
    <col min="26" max="26" width="28.28515625" hidden="1" customWidth="1" outlineLevel="1"/>
    <col min="27" max="29" width="14.42578125" hidden="1" outlineLevel="1"/>
    <col min="30" max="30" width="14.42578125" collapsed="1"/>
    <col min="31" max="31" width="33.28515625" customWidth="1"/>
    <col min="33" max="33" width="100.28515625" customWidth="1"/>
  </cols>
  <sheetData>
    <row r="1" spans="1:33" ht="15" customHeight="1">
      <c r="A1" s="154"/>
      <c r="B1" s="154" t="s">
        <v>1871</v>
      </c>
      <c r="C1" s="154"/>
      <c r="D1" s="154"/>
      <c r="E1" s="154"/>
      <c r="F1" s="154"/>
      <c r="G1" s="154" t="s">
        <v>1872</v>
      </c>
      <c r="H1" s="154"/>
      <c r="I1" s="154"/>
      <c r="J1" s="154"/>
      <c r="K1" s="154"/>
      <c r="L1" s="154"/>
      <c r="M1" s="154" t="s">
        <v>1873</v>
      </c>
      <c r="N1" s="154"/>
      <c r="O1" s="154"/>
      <c r="P1" s="154"/>
      <c r="Q1" s="154"/>
      <c r="R1" s="154"/>
      <c r="S1" s="154"/>
      <c r="T1" s="154"/>
      <c r="U1" s="154"/>
      <c r="V1" s="154">
        <v>4</v>
      </c>
      <c r="W1" s="154">
        <v>3</v>
      </c>
      <c r="X1" s="154"/>
      <c r="Y1" s="154"/>
      <c r="Z1" s="154"/>
      <c r="AA1" s="12">
        <v>3</v>
      </c>
      <c r="AB1" s="12">
        <v>4</v>
      </c>
      <c r="AC1" s="12" t="s">
        <v>1874</v>
      </c>
      <c r="AD1" s="98"/>
      <c r="AE1" s="303" t="s">
        <v>1875</v>
      </c>
      <c r="AF1" s="304" t="e">
        <f>SUM(AF2:AF5)</f>
        <v>#REF!</v>
      </c>
      <c r="AG1" s="98"/>
    </row>
    <row r="2" spans="1:33" ht="15" customHeight="1">
      <c r="A2" s="12" t="s">
        <v>256</v>
      </c>
      <c r="B2" s="12" t="s">
        <v>1876</v>
      </c>
      <c r="C2" s="12" t="s">
        <v>119</v>
      </c>
      <c r="D2" s="12" t="s">
        <v>77</v>
      </c>
      <c r="E2" s="12"/>
      <c r="F2" s="12" t="s">
        <v>1877</v>
      </c>
      <c r="G2" s="12" t="s">
        <v>1878</v>
      </c>
      <c r="H2" s="12" t="s">
        <v>1876</v>
      </c>
      <c r="I2" s="12" t="s">
        <v>119</v>
      </c>
      <c r="J2" s="12" t="s">
        <v>77</v>
      </c>
      <c r="K2" s="12"/>
      <c r="L2" s="12" t="s">
        <v>1877</v>
      </c>
      <c r="M2" s="12" t="s">
        <v>1878</v>
      </c>
      <c r="N2" s="12" t="s">
        <v>1876</v>
      </c>
      <c r="O2" s="12" t="s">
        <v>119</v>
      </c>
      <c r="P2" s="12" t="s">
        <v>77</v>
      </c>
      <c r="Q2" s="12"/>
      <c r="R2" s="12"/>
      <c r="S2" s="12"/>
      <c r="T2" s="12"/>
      <c r="U2" s="12"/>
      <c r="V2" s="12"/>
      <c r="W2" s="12"/>
      <c r="X2" s="12"/>
      <c r="Y2" s="12"/>
      <c r="Z2" s="12"/>
      <c r="AA2" s="12"/>
      <c r="AB2" s="12"/>
      <c r="AD2" s="43"/>
      <c r="AE2" s="43" t="s">
        <v>82</v>
      </c>
      <c r="AF2" s="305" t="e">
        <v>#REF!</v>
      </c>
      <c r="AG2" s="88"/>
    </row>
    <row r="3" spans="1:33" ht="15" customHeight="1">
      <c r="A3" s="306">
        <v>45708</v>
      </c>
      <c r="B3" s="307" t="s">
        <v>1879</v>
      </c>
      <c r="C3" s="308">
        <v>18603.740000000002</v>
      </c>
      <c r="D3" s="307"/>
      <c r="E3" s="145"/>
      <c r="F3" s="309">
        <v>45708</v>
      </c>
      <c r="G3" s="309">
        <v>45713</v>
      </c>
      <c r="H3" s="257" t="s">
        <v>1880</v>
      </c>
      <c r="I3" s="310">
        <v>7000</v>
      </c>
      <c r="J3" s="257"/>
      <c r="L3" s="311">
        <v>45713</v>
      </c>
      <c r="M3" s="312">
        <v>45736</v>
      </c>
      <c r="N3" s="313" t="s">
        <v>1881</v>
      </c>
      <c r="O3" s="314">
        <v>9800</v>
      </c>
      <c r="P3" s="313"/>
      <c r="U3" s="154" t="s">
        <v>1882</v>
      </c>
      <c r="V3" s="155">
        <f t="shared" ref="V3:W3" si="0">SUM(V4:V16)</f>
        <v>0</v>
      </c>
      <c r="W3" s="155">
        <f t="shared" si="0"/>
        <v>0</v>
      </c>
      <c r="Y3" s="143"/>
      <c r="Z3" s="154" t="s">
        <v>1882</v>
      </c>
      <c r="AA3" s="155">
        <f t="shared" ref="AA3:AB3" si="1">SUM(AA4:AA16)</f>
        <v>-50408.05</v>
      </c>
      <c r="AB3" s="155">
        <f t="shared" si="1"/>
        <v>0</v>
      </c>
      <c r="AC3" s="155">
        <f t="shared" ref="AC3:AC5" si="2">SUM(AA3:AB3)</f>
        <v>-50408.05</v>
      </c>
      <c r="AD3" s="315"/>
      <c r="AE3" s="43" t="s">
        <v>1883</v>
      </c>
      <c r="AF3" s="305" t="e">
        <v>#REF!</v>
      </c>
      <c r="AG3" s="88"/>
    </row>
    <row r="4" spans="1:33" ht="15" customHeight="1">
      <c r="A4" s="306">
        <v>45708</v>
      </c>
      <c r="B4" s="307" t="s">
        <v>1376</v>
      </c>
      <c r="C4" s="308">
        <v>909.52</v>
      </c>
      <c r="D4" s="307"/>
      <c r="E4" s="145"/>
      <c r="F4" s="309">
        <v>45708</v>
      </c>
      <c r="G4" s="309">
        <v>45712</v>
      </c>
      <c r="H4" s="257" t="s">
        <v>1073</v>
      </c>
      <c r="I4" s="310">
        <v>608</v>
      </c>
      <c r="J4" s="257" t="s">
        <v>1884</v>
      </c>
      <c r="L4" s="311">
        <v>45713</v>
      </c>
      <c r="M4" s="312">
        <v>45736</v>
      </c>
      <c r="N4" s="313" t="s">
        <v>1603</v>
      </c>
      <c r="O4" s="314">
        <v>6000</v>
      </c>
      <c r="P4" s="313"/>
      <c r="U4" s="143" t="s">
        <v>18</v>
      </c>
      <c r="V4" s="150" t="s">
        <v>1885</v>
      </c>
      <c r="W4" s="150" t="s">
        <v>1886</v>
      </c>
      <c r="Y4" s="143"/>
      <c r="Z4" s="316" t="s">
        <v>18</v>
      </c>
      <c r="AA4" s="317"/>
      <c r="AB4" s="317" t="s">
        <v>1886</v>
      </c>
      <c r="AC4" s="317">
        <f t="shared" si="2"/>
        <v>0</v>
      </c>
      <c r="AD4" s="43"/>
      <c r="AE4" s="43" t="s">
        <v>1887</v>
      </c>
      <c r="AF4" s="305" t="e">
        <v>#REF!</v>
      </c>
      <c r="AG4" s="88"/>
    </row>
    <row r="5" spans="1:33" ht="15" customHeight="1">
      <c r="A5" s="306">
        <v>45708</v>
      </c>
      <c r="B5" s="307" t="s">
        <v>1061</v>
      </c>
      <c r="C5" s="308">
        <v>6806.84</v>
      </c>
      <c r="D5" s="307"/>
      <c r="E5" s="145"/>
      <c r="F5" s="309">
        <v>45709</v>
      </c>
      <c r="G5" s="309">
        <v>45712</v>
      </c>
      <c r="H5" s="257" t="s">
        <v>199</v>
      </c>
      <c r="I5" s="310">
        <v>909.73</v>
      </c>
      <c r="J5" s="257"/>
      <c r="L5" s="311">
        <v>45659</v>
      </c>
      <c r="M5" s="312">
        <v>45736</v>
      </c>
      <c r="N5" s="313" t="s">
        <v>1462</v>
      </c>
      <c r="O5" s="314">
        <v>5000</v>
      </c>
      <c r="P5" s="313" t="s">
        <v>1888</v>
      </c>
      <c r="U5" s="143" t="s">
        <v>301</v>
      </c>
      <c r="V5" s="150" t="s">
        <v>1885</v>
      </c>
      <c r="W5" s="150" t="s">
        <v>1886</v>
      </c>
      <c r="Y5" s="143"/>
      <c r="Z5" s="316" t="s">
        <v>301</v>
      </c>
      <c r="AA5" s="317"/>
      <c r="AB5" s="317" t="s">
        <v>1886</v>
      </c>
      <c r="AC5" s="317">
        <f t="shared" si="2"/>
        <v>0</v>
      </c>
      <c r="AD5" s="43"/>
      <c r="AE5" s="43" t="s">
        <v>1889</v>
      </c>
      <c r="AF5" s="305">
        <v>20000</v>
      </c>
      <c r="AG5" s="88"/>
    </row>
    <row r="6" spans="1:33" ht="15" customHeight="1">
      <c r="A6" s="306"/>
      <c r="B6" s="307"/>
      <c r="C6" s="308"/>
      <c r="D6" s="307"/>
      <c r="E6" s="145"/>
      <c r="F6" s="309"/>
      <c r="G6" s="309"/>
      <c r="H6" s="257"/>
      <c r="I6" s="318"/>
      <c r="J6" s="257"/>
      <c r="L6" s="311"/>
      <c r="M6" s="312"/>
      <c r="N6" s="313"/>
      <c r="O6" s="314"/>
      <c r="P6" s="313"/>
      <c r="U6" s="143"/>
      <c r="V6" s="150"/>
      <c r="W6" s="150"/>
      <c r="Y6" s="143"/>
      <c r="Z6" s="316"/>
      <c r="AA6" s="317"/>
      <c r="AB6" s="317"/>
      <c r="AC6" s="319"/>
      <c r="AD6" s="43"/>
      <c r="AE6" s="43"/>
      <c r="AF6" s="305"/>
      <c r="AG6" s="88"/>
    </row>
    <row r="7" spans="1:33" ht="15" customHeight="1">
      <c r="A7" s="306"/>
      <c r="B7" s="307"/>
      <c r="C7" s="308"/>
      <c r="D7" s="307"/>
      <c r="E7" s="145"/>
      <c r="F7" s="309"/>
      <c r="G7" s="309"/>
      <c r="H7" s="257"/>
      <c r="I7" s="318"/>
      <c r="J7" s="257"/>
      <c r="L7" s="311"/>
      <c r="M7" s="312"/>
      <c r="N7" s="313"/>
      <c r="O7" s="314"/>
      <c r="P7" s="313"/>
      <c r="U7" s="143"/>
      <c r="V7" s="150"/>
      <c r="W7" s="150"/>
      <c r="Y7" s="143"/>
      <c r="Z7" s="316" t="s">
        <v>1314</v>
      </c>
      <c r="AA7" s="317"/>
      <c r="AB7" s="317" t="s">
        <v>1886</v>
      </c>
      <c r="AC7" s="317">
        <f t="shared" ref="AC7:AC11" si="3">SUM(AA7:AB7)</f>
        <v>0</v>
      </c>
      <c r="AD7" s="43"/>
      <c r="AE7" s="320" t="s">
        <v>1890</v>
      </c>
      <c r="AF7" s="321" t="e">
        <f>SUM(AF8,AF15,AF17,AF21)</f>
        <v>#REF!</v>
      </c>
      <c r="AG7" s="88"/>
    </row>
    <row r="8" spans="1:33" ht="15" customHeight="1">
      <c r="A8" s="306">
        <v>45708</v>
      </c>
      <c r="B8" s="307" t="s">
        <v>122</v>
      </c>
      <c r="C8" s="308">
        <v>11003.1</v>
      </c>
      <c r="D8" s="307"/>
      <c r="E8" s="145"/>
      <c r="F8" s="309">
        <v>45712</v>
      </c>
      <c r="G8" s="309">
        <v>45716</v>
      </c>
      <c r="H8" s="257" t="s">
        <v>24</v>
      </c>
      <c r="I8" s="318">
        <v>25566.99</v>
      </c>
      <c r="J8" s="257"/>
      <c r="L8" s="311">
        <v>45691</v>
      </c>
      <c r="M8" s="312">
        <v>45736</v>
      </c>
      <c r="N8" s="313" t="s">
        <v>1276</v>
      </c>
      <c r="O8" s="314">
        <v>1297.5</v>
      </c>
      <c r="P8" s="313"/>
      <c r="U8" s="143" t="s">
        <v>202</v>
      </c>
      <c r="V8" s="150" t="s">
        <v>1886</v>
      </c>
      <c r="W8" s="150" t="s">
        <v>1886</v>
      </c>
      <c r="Y8" s="143"/>
      <c r="Z8" s="316" t="s">
        <v>202</v>
      </c>
      <c r="AA8" s="317"/>
      <c r="AB8" s="317" t="s">
        <v>1886</v>
      </c>
      <c r="AC8" s="317">
        <f t="shared" si="3"/>
        <v>0</v>
      </c>
      <c r="AD8" s="43"/>
      <c r="AE8" s="315" t="s">
        <v>1891</v>
      </c>
      <c r="AF8" s="322" t="e">
        <f>SUM(AF9:AF14)</f>
        <v>#REF!</v>
      </c>
      <c r="AG8" s="88"/>
    </row>
    <row r="9" spans="1:33" ht="15" customHeight="1">
      <c r="A9" s="306">
        <v>45709</v>
      </c>
      <c r="B9" s="307" t="s">
        <v>1376</v>
      </c>
      <c r="C9" s="308">
        <v>1749.5</v>
      </c>
      <c r="D9" s="307"/>
      <c r="F9" s="309">
        <v>45712</v>
      </c>
      <c r="G9" s="257"/>
      <c r="H9" s="257" t="s">
        <v>199</v>
      </c>
      <c r="I9" s="310">
        <v>1429</v>
      </c>
      <c r="J9" s="257" t="s">
        <v>1884</v>
      </c>
      <c r="L9" s="311">
        <v>45708</v>
      </c>
      <c r="M9" s="312">
        <v>45726</v>
      </c>
      <c r="N9" s="313" t="s">
        <v>1862</v>
      </c>
      <c r="O9" s="314">
        <v>11271.97</v>
      </c>
      <c r="P9" s="313" t="s">
        <v>1892</v>
      </c>
      <c r="U9" s="143" t="s">
        <v>1031</v>
      </c>
      <c r="V9" s="150" t="s">
        <v>1886</v>
      </c>
      <c r="W9" s="150" t="s">
        <v>1886</v>
      </c>
      <c r="Y9" s="143"/>
      <c r="Z9" s="316" t="s">
        <v>1031</v>
      </c>
      <c r="AA9" s="317"/>
      <c r="AB9" s="317" t="s">
        <v>1886</v>
      </c>
      <c r="AC9" s="317">
        <f t="shared" si="3"/>
        <v>0</v>
      </c>
      <c r="AD9" s="43"/>
      <c r="AE9" s="43" t="s">
        <v>1893</v>
      </c>
      <c r="AF9" s="305" t="e">
        <v>#REF!</v>
      </c>
      <c r="AG9" s="88" t="s">
        <v>1314</v>
      </c>
    </row>
    <row r="10" spans="1:33" ht="15" customHeight="1">
      <c r="A10" s="306">
        <v>45709</v>
      </c>
      <c r="B10" s="307" t="s">
        <v>1010</v>
      </c>
      <c r="C10" s="308">
        <v>1500</v>
      </c>
      <c r="D10" s="307"/>
      <c r="F10" s="309">
        <v>45714</v>
      </c>
      <c r="G10" s="257"/>
      <c r="H10" s="257" t="s">
        <v>1894</v>
      </c>
      <c r="I10" s="310">
        <v>1225</v>
      </c>
      <c r="J10" s="257" t="s">
        <v>1884</v>
      </c>
      <c r="L10" s="313"/>
      <c r="M10" s="313"/>
      <c r="N10" s="313"/>
      <c r="O10" s="313"/>
      <c r="P10" s="313"/>
      <c r="U10" s="143" t="s">
        <v>791</v>
      </c>
      <c r="V10" s="150" t="s">
        <v>1886</v>
      </c>
      <c r="W10" s="150" t="s">
        <v>1886</v>
      </c>
      <c r="Y10" s="143"/>
      <c r="Z10" s="323" t="s">
        <v>791</v>
      </c>
      <c r="AA10" s="324" t="s">
        <v>1886</v>
      </c>
      <c r="AB10" s="324" t="s">
        <v>1886</v>
      </c>
      <c r="AC10" s="324">
        <f t="shared" si="3"/>
        <v>0</v>
      </c>
      <c r="AD10" s="43"/>
      <c r="AE10" s="43" t="s">
        <v>1895</v>
      </c>
      <c r="AF10" s="305" t="e">
        <v>#REF!</v>
      </c>
      <c r="AG10" s="88"/>
    </row>
    <row r="11" spans="1:33" ht="15" customHeight="1">
      <c r="A11" s="306">
        <v>45712</v>
      </c>
      <c r="B11" s="307" t="s">
        <v>1010</v>
      </c>
      <c r="C11" s="308">
        <v>1200</v>
      </c>
      <c r="D11" s="307"/>
      <c r="F11" s="309">
        <v>45702</v>
      </c>
      <c r="G11" s="309">
        <v>45716</v>
      </c>
      <c r="H11" s="257" t="s">
        <v>1896</v>
      </c>
      <c r="I11" s="310">
        <v>6000</v>
      </c>
      <c r="J11" s="257" t="s">
        <v>1897</v>
      </c>
      <c r="L11" s="313"/>
      <c r="M11" s="313"/>
      <c r="N11" s="313"/>
      <c r="O11" s="313"/>
      <c r="P11" s="313"/>
      <c r="U11" s="49" t="s">
        <v>120</v>
      </c>
      <c r="V11" s="150" t="s">
        <v>1886</v>
      </c>
      <c r="W11" s="150" t="s">
        <v>1886</v>
      </c>
      <c r="Y11" s="143"/>
      <c r="Z11" s="319" t="s">
        <v>120</v>
      </c>
      <c r="AA11" s="317">
        <v>-26211.97</v>
      </c>
      <c r="AB11" s="317" t="s">
        <v>1885</v>
      </c>
      <c r="AC11" s="317">
        <f t="shared" si="3"/>
        <v>-26211.97</v>
      </c>
      <c r="AD11" s="43"/>
      <c r="AE11" s="43" t="s">
        <v>1898</v>
      </c>
      <c r="AF11" s="305" t="e">
        <v>#REF!</v>
      </c>
      <c r="AG11" s="88" t="s">
        <v>1899</v>
      </c>
    </row>
    <row r="12" spans="1:33" ht="15" customHeight="1">
      <c r="A12" s="306"/>
      <c r="B12" s="307"/>
      <c r="C12" s="308"/>
      <c r="D12" s="307"/>
      <c r="F12" s="309"/>
      <c r="G12" s="309"/>
      <c r="H12" s="257"/>
      <c r="I12" s="310"/>
      <c r="J12" s="257"/>
      <c r="L12" s="313"/>
      <c r="M12" s="313"/>
      <c r="N12" s="313"/>
      <c r="O12" s="313"/>
      <c r="P12" s="313"/>
      <c r="U12" s="49"/>
      <c r="V12" s="150"/>
      <c r="W12" s="150"/>
      <c r="Y12" s="143"/>
      <c r="Z12" s="319"/>
      <c r="AA12" s="317"/>
      <c r="AB12" s="317"/>
      <c r="AC12" s="319"/>
      <c r="AD12" s="43"/>
      <c r="AE12" s="43" t="s">
        <v>1900</v>
      </c>
      <c r="AF12" s="305" t="e">
        <v>#REF!</v>
      </c>
      <c r="AG12" s="88" t="s">
        <v>1901</v>
      </c>
    </row>
    <row r="13" spans="1:33" ht="15" customHeight="1">
      <c r="A13" s="306"/>
      <c r="B13" s="307"/>
      <c r="C13" s="308"/>
      <c r="D13" s="307"/>
      <c r="F13" s="309"/>
      <c r="G13" s="309"/>
      <c r="H13" s="257"/>
      <c r="I13" s="310"/>
      <c r="J13" s="257"/>
      <c r="L13" s="313"/>
      <c r="M13" s="313"/>
      <c r="N13" s="313"/>
      <c r="O13" s="313"/>
      <c r="P13" s="313"/>
      <c r="U13" s="49"/>
      <c r="V13" s="150"/>
      <c r="W13" s="150"/>
      <c r="Y13" s="143"/>
      <c r="Z13" s="319"/>
      <c r="AA13" s="317"/>
      <c r="AB13" s="317"/>
      <c r="AC13" s="319"/>
      <c r="AD13" s="43"/>
      <c r="AE13" s="43" t="s">
        <v>224</v>
      </c>
      <c r="AF13" s="305" t="e">
        <v>#REF!</v>
      </c>
      <c r="AG13" s="88"/>
    </row>
    <row r="14" spans="1:33" ht="15" customHeight="1">
      <c r="A14" s="306"/>
      <c r="B14" s="307"/>
      <c r="C14" s="308"/>
      <c r="D14" s="307"/>
      <c r="F14" s="309"/>
      <c r="G14" s="309"/>
      <c r="H14" s="257"/>
      <c r="I14" s="310"/>
      <c r="J14" s="257"/>
      <c r="L14" s="313"/>
      <c r="M14" s="313"/>
      <c r="N14" s="313"/>
      <c r="O14" s="313"/>
      <c r="P14" s="313"/>
      <c r="U14" s="49"/>
      <c r="V14" s="150"/>
      <c r="W14" s="150"/>
      <c r="Y14" s="143"/>
      <c r="Z14" s="319"/>
      <c r="AA14" s="317"/>
      <c r="AB14" s="317"/>
      <c r="AC14" s="319"/>
      <c r="AD14" s="43"/>
      <c r="AE14" s="43" t="s">
        <v>1902</v>
      </c>
      <c r="AF14" s="305" t="e">
        <v>#REF!</v>
      </c>
      <c r="AG14" s="88" t="s">
        <v>1903</v>
      </c>
    </row>
    <row r="15" spans="1:33" ht="15" customHeight="1">
      <c r="A15" s="306">
        <v>45712</v>
      </c>
      <c r="B15" s="307" t="s">
        <v>190</v>
      </c>
      <c r="C15" s="308">
        <v>200</v>
      </c>
      <c r="D15" s="307"/>
      <c r="F15" s="309">
        <v>45705</v>
      </c>
      <c r="G15" s="309">
        <v>45716</v>
      </c>
      <c r="H15" s="257" t="s">
        <v>1904</v>
      </c>
      <c r="I15" s="310">
        <v>9385</v>
      </c>
      <c r="J15" s="257" t="s">
        <v>1897</v>
      </c>
      <c r="L15" s="313"/>
      <c r="M15" s="313"/>
      <c r="N15" s="313"/>
      <c r="O15" s="313"/>
      <c r="P15" s="313"/>
      <c r="U15" s="49" t="s">
        <v>1061</v>
      </c>
      <c r="V15" s="150" t="s">
        <v>1886</v>
      </c>
      <c r="W15" s="150" t="s">
        <v>1886</v>
      </c>
      <c r="Y15" s="143"/>
      <c r="Z15" s="319" t="s">
        <v>1061</v>
      </c>
      <c r="AA15" s="317">
        <v>-24196.080000000002</v>
      </c>
      <c r="AB15" s="317" t="s">
        <v>1885</v>
      </c>
      <c r="AC15" s="317">
        <f t="shared" ref="AC15:AC16" si="4">SUM(AA15:AB15)</f>
        <v>-24196.080000000002</v>
      </c>
      <c r="AD15" s="43"/>
      <c r="AE15" s="315" t="s">
        <v>25</v>
      </c>
      <c r="AF15" s="322" t="e">
        <f>SUM(AF16)</f>
        <v>#REF!</v>
      </c>
      <c r="AG15" s="88"/>
    </row>
    <row r="16" spans="1:33" ht="15" customHeight="1">
      <c r="A16" s="306">
        <v>45714</v>
      </c>
      <c r="B16" s="307" t="s">
        <v>1905</v>
      </c>
      <c r="C16" s="308">
        <v>17000</v>
      </c>
      <c r="D16" s="307"/>
      <c r="F16" s="325">
        <v>45624</v>
      </c>
      <c r="G16" s="309">
        <v>45721</v>
      </c>
      <c r="H16" s="257" t="s">
        <v>1906</v>
      </c>
      <c r="I16" s="310">
        <v>6976.18</v>
      </c>
      <c r="J16" s="257" t="s">
        <v>1907</v>
      </c>
      <c r="L16" s="313"/>
      <c r="M16" s="313"/>
      <c r="N16" s="313"/>
      <c r="O16" s="313"/>
      <c r="P16" s="313"/>
      <c r="U16" s="49" t="s">
        <v>122</v>
      </c>
      <c r="V16" s="150" t="s">
        <v>1886</v>
      </c>
      <c r="W16" s="150" t="s">
        <v>1886</v>
      </c>
      <c r="Y16" s="143"/>
      <c r="Z16" s="319" t="s">
        <v>122</v>
      </c>
      <c r="AA16" s="317" t="s">
        <v>1886</v>
      </c>
      <c r="AB16" s="317" t="s">
        <v>1886</v>
      </c>
      <c r="AC16" s="317">
        <f t="shared" si="4"/>
        <v>0</v>
      </c>
      <c r="AD16" s="43"/>
      <c r="AE16" s="43" t="s">
        <v>1908</v>
      </c>
      <c r="AF16" s="305" t="e">
        <v>#REF!</v>
      </c>
      <c r="AG16" s="43"/>
    </row>
    <row r="17" spans="1:33" ht="15" customHeight="1">
      <c r="A17" s="306">
        <v>45716</v>
      </c>
      <c r="B17" s="307" t="s">
        <v>1852</v>
      </c>
      <c r="C17" s="308">
        <v>18780.97</v>
      </c>
      <c r="D17" s="307" t="s">
        <v>1909</v>
      </c>
      <c r="F17" s="309">
        <v>45708</v>
      </c>
      <c r="G17" s="309">
        <v>45716</v>
      </c>
      <c r="H17" s="257" t="s">
        <v>1425</v>
      </c>
      <c r="I17" s="318">
        <v>60148.21</v>
      </c>
      <c r="J17" s="257"/>
      <c r="L17" s="313"/>
      <c r="M17" s="313"/>
      <c r="N17" s="313"/>
      <c r="O17" s="313"/>
      <c r="P17" s="313"/>
      <c r="Y17" s="143"/>
      <c r="AD17" s="43"/>
      <c r="AE17" s="315" t="s">
        <v>86</v>
      </c>
      <c r="AF17" s="322" t="e">
        <f>SUM(AF18:AF20)</f>
        <v>#REF!</v>
      </c>
      <c r="AG17" s="43"/>
    </row>
    <row r="18" spans="1:33" ht="15" customHeight="1">
      <c r="A18" s="306">
        <v>45716</v>
      </c>
      <c r="B18" s="307" t="s">
        <v>1010</v>
      </c>
      <c r="C18" s="308">
        <v>1200</v>
      </c>
      <c r="D18" s="307"/>
      <c r="F18" s="309">
        <v>45716</v>
      </c>
      <c r="G18" s="309"/>
      <c r="H18" s="257" t="s">
        <v>199</v>
      </c>
      <c r="I18" s="310">
        <v>9634</v>
      </c>
      <c r="J18" s="257" t="s">
        <v>1884</v>
      </c>
      <c r="L18" s="313"/>
      <c r="M18" s="313"/>
      <c r="N18" s="313"/>
      <c r="O18" s="313"/>
      <c r="P18" s="313"/>
      <c r="U18" s="154" t="s">
        <v>1910</v>
      </c>
      <c r="V18" s="155">
        <f>SUM(V19:V32)</f>
        <v>-30000</v>
      </c>
      <c r="Y18" s="143"/>
      <c r="Z18" s="154" t="s">
        <v>1910</v>
      </c>
      <c r="AA18" s="155">
        <f t="shared" ref="AA18:AB18" si="5">SUM(AA19:AA26)</f>
        <v>-11729</v>
      </c>
      <c r="AB18" s="155">
        <f t="shared" si="5"/>
        <v>-30000</v>
      </c>
      <c r="AC18" s="155">
        <f t="shared" ref="AC18:AC19" si="6">SUM(AA18:AB18)</f>
        <v>-41729</v>
      </c>
      <c r="AD18" s="315"/>
      <c r="AE18" s="43" t="s">
        <v>221</v>
      </c>
      <c r="AF18" s="305" t="e">
        <v>#REF!</v>
      </c>
      <c r="AG18" s="43" t="s">
        <v>1911</v>
      </c>
    </row>
    <row r="19" spans="1:33" ht="15" customHeight="1">
      <c r="A19" s="306">
        <v>45716</v>
      </c>
      <c r="B19" s="307" t="s">
        <v>1912</v>
      </c>
      <c r="C19" s="308">
        <v>1274.2</v>
      </c>
      <c r="D19" s="307"/>
      <c r="F19" s="309">
        <v>45708</v>
      </c>
      <c r="G19" s="309">
        <v>45721</v>
      </c>
      <c r="H19" s="257" t="s">
        <v>1913</v>
      </c>
      <c r="I19" s="310">
        <v>1527.65</v>
      </c>
      <c r="J19" s="257"/>
      <c r="L19" s="313"/>
      <c r="M19" s="313"/>
      <c r="N19" s="313"/>
      <c r="O19" s="313"/>
      <c r="P19" s="313"/>
      <c r="U19" s="49" t="s">
        <v>199</v>
      </c>
      <c r="V19" s="150" t="s">
        <v>1885</v>
      </c>
      <c r="Y19" s="143"/>
      <c r="Z19" s="49" t="s">
        <v>199</v>
      </c>
      <c r="AA19" s="150">
        <f>AA29</f>
        <v>-6729</v>
      </c>
      <c r="AB19" s="150" t="s">
        <v>1885</v>
      </c>
      <c r="AC19" s="150">
        <f t="shared" si="6"/>
        <v>-6729</v>
      </c>
      <c r="AD19" s="43"/>
      <c r="AE19" s="43" t="s">
        <v>1914</v>
      </c>
      <c r="AF19" s="305" t="e">
        <v>#REF!</v>
      </c>
      <c r="AG19" s="43" t="s">
        <v>1915</v>
      </c>
    </row>
    <row r="20" spans="1:33" ht="15" customHeight="1">
      <c r="A20" s="306"/>
      <c r="B20" s="307"/>
      <c r="C20" s="308"/>
      <c r="D20" s="307"/>
      <c r="F20" s="309"/>
      <c r="G20" s="309"/>
      <c r="H20" s="257"/>
      <c r="I20" s="310"/>
      <c r="J20" s="257"/>
      <c r="L20" s="313"/>
      <c r="M20" s="313"/>
      <c r="N20" s="313"/>
      <c r="O20" s="313"/>
      <c r="P20" s="313"/>
      <c r="U20" s="49"/>
      <c r="V20" s="150"/>
      <c r="Y20" s="143"/>
      <c r="Z20" s="319"/>
      <c r="AA20" s="319"/>
      <c r="AB20" s="317"/>
      <c r="AC20" s="317"/>
      <c r="AD20" s="88"/>
      <c r="AE20" s="88" t="s">
        <v>1916</v>
      </c>
      <c r="AF20" s="305" t="e">
        <v>#REF!</v>
      </c>
      <c r="AG20" s="88" t="s">
        <v>1917</v>
      </c>
    </row>
    <row r="21" spans="1:33" ht="15" customHeight="1">
      <c r="A21" s="306"/>
      <c r="B21" s="307"/>
      <c r="C21" s="308"/>
      <c r="D21" s="307"/>
      <c r="F21" s="309"/>
      <c r="G21" s="309"/>
      <c r="H21" s="257"/>
      <c r="I21" s="310"/>
      <c r="J21" s="257"/>
      <c r="L21" s="313"/>
      <c r="M21" s="313"/>
      <c r="N21" s="313"/>
      <c r="O21" s="313"/>
      <c r="P21" s="313"/>
      <c r="U21" s="49"/>
      <c r="V21" s="150"/>
      <c r="Y21" s="143"/>
      <c r="Z21" s="319"/>
      <c r="AA21" s="319"/>
      <c r="AB21" s="317"/>
      <c r="AC21" s="317"/>
      <c r="AD21" s="88"/>
      <c r="AE21" s="326" t="s">
        <v>1918</v>
      </c>
      <c r="AF21" s="322" t="e">
        <f>SUM(AF22:AF26)</f>
        <v>#REF!</v>
      </c>
      <c r="AG21" s="88"/>
    </row>
    <row r="22" spans="1:33" ht="15" customHeight="1">
      <c r="A22" s="306"/>
      <c r="B22" s="307"/>
      <c r="C22" s="308"/>
      <c r="D22" s="307"/>
      <c r="F22" s="309"/>
      <c r="G22" s="309"/>
      <c r="H22" s="257"/>
      <c r="I22" s="310"/>
      <c r="J22" s="257"/>
      <c r="L22" s="313"/>
      <c r="M22" s="313"/>
      <c r="N22" s="313"/>
      <c r="O22" s="313"/>
      <c r="P22" s="313"/>
      <c r="U22" s="49"/>
      <c r="V22" s="150"/>
      <c r="Y22" s="143"/>
      <c r="Z22" s="319"/>
      <c r="AA22" s="319"/>
      <c r="AB22" s="317"/>
      <c r="AC22" s="317"/>
      <c r="AD22" s="88"/>
      <c r="AE22" s="88" t="s">
        <v>228</v>
      </c>
      <c r="AF22" s="305" t="e">
        <v>#REF!</v>
      </c>
      <c r="AG22" s="88" t="s">
        <v>1919</v>
      </c>
    </row>
    <row r="23" spans="1:33" ht="15" customHeight="1">
      <c r="A23" s="306"/>
      <c r="B23" s="307"/>
      <c r="C23" s="308"/>
      <c r="D23" s="307"/>
      <c r="F23" s="309"/>
      <c r="G23" s="309"/>
      <c r="H23" s="257"/>
      <c r="I23" s="310"/>
      <c r="J23" s="257"/>
      <c r="L23" s="313"/>
      <c r="M23" s="313"/>
      <c r="N23" s="313"/>
      <c r="O23" s="313"/>
      <c r="P23" s="313"/>
      <c r="U23" s="49"/>
      <c r="V23" s="150"/>
      <c r="Y23" s="143"/>
      <c r="Z23" s="319"/>
      <c r="AA23" s="319"/>
      <c r="AB23" s="317"/>
      <c r="AC23" s="317"/>
      <c r="AD23" s="88"/>
      <c r="AE23" s="88" t="s">
        <v>1920</v>
      </c>
      <c r="AF23" s="305" t="e">
        <v>#REF!</v>
      </c>
      <c r="AG23" s="88" t="s">
        <v>1921</v>
      </c>
    </row>
    <row r="24" spans="1:33" ht="15" customHeight="1">
      <c r="A24" s="306"/>
      <c r="B24" s="307"/>
      <c r="C24" s="308"/>
      <c r="D24" s="307"/>
      <c r="F24" s="309"/>
      <c r="G24" s="309"/>
      <c r="H24" s="257"/>
      <c r="I24" s="310"/>
      <c r="J24" s="257"/>
      <c r="L24" s="313"/>
      <c r="M24" s="313"/>
      <c r="N24" s="313"/>
      <c r="O24" s="313"/>
      <c r="P24" s="313"/>
      <c r="U24" s="49"/>
      <c r="V24" s="150"/>
      <c r="Y24" s="143"/>
      <c r="Z24" s="319"/>
      <c r="AA24" s="319"/>
      <c r="AB24" s="317"/>
      <c r="AC24" s="317"/>
      <c r="AD24" s="88"/>
      <c r="AE24" s="88" t="s">
        <v>1922</v>
      </c>
      <c r="AF24" s="305" t="e">
        <v>#REF!</v>
      </c>
      <c r="AG24" s="88" t="s">
        <v>992</v>
      </c>
    </row>
    <row r="25" spans="1:33" ht="15" customHeight="1">
      <c r="A25" s="306">
        <v>45716</v>
      </c>
      <c r="B25" s="307" t="s">
        <v>1593</v>
      </c>
      <c r="C25" s="308">
        <v>7329</v>
      </c>
      <c r="D25" s="307"/>
      <c r="F25" s="309">
        <v>45716</v>
      </c>
      <c r="G25" s="309">
        <v>45723</v>
      </c>
      <c r="H25" s="257" t="s">
        <v>1923</v>
      </c>
      <c r="I25" s="310">
        <v>6000</v>
      </c>
      <c r="J25" s="257"/>
      <c r="L25" s="313"/>
      <c r="M25" s="313"/>
      <c r="N25" s="313"/>
      <c r="O25" s="313"/>
      <c r="P25" s="313"/>
      <c r="U25" s="49" t="s">
        <v>1478</v>
      </c>
      <c r="V25" s="150">
        <v>-30000</v>
      </c>
      <c r="Y25" s="143"/>
      <c r="Z25" s="319" t="s">
        <v>1478</v>
      </c>
      <c r="AA25" s="319">
        <v>-5000</v>
      </c>
      <c r="AB25" s="317">
        <v>-30000</v>
      </c>
      <c r="AC25" s="317">
        <f>SUM(AA25:AB25)</f>
        <v>-35000</v>
      </c>
      <c r="AD25" s="88"/>
      <c r="AE25" s="88" t="s">
        <v>1924</v>
      </c>
      <c r="AF25" s="305" t="e">
        <v>#REF!</v>
      </c>
      <c r="AG25" s="88" t="s">
        <v>1925</v>
      </c>
    </row>
    <row r="26" spans="1:33" ht="15" customHeight="1">
      <c r="A26" s="306">
        <v>45716</v>
      </c>
      <c r="B26" s="307" t="s">
        <v>1904</v>
      </c>
      <c r="C26" s="308">
        <v>8606.89</v>
      </c>
      <c r="D26" s="307" t="s">
        <v>1926</v>
      </c>
      <c r="F26" s="309">
        <v>45713</v>
      </c>
      <c r="G26" s="309">
        <v>45721</v>
      </c>
      <c r="H26" s="257" t="s">
        <v>1927</v>
      </c>
      <c r="I26" s="310">
        <v>7000</v>
      </c>
      <c r="J26" s="257" t="s">
        <v>1928</v>
      </c>
      <c r="L26" s="313"/>
      <c r="M26" s="313"/>
      <c r="N26" s="313"/>
      <c r="O26" s="313"/>
      <c r="P26" s="313"/>
      <c r="Y26" s="143"/>
      <c r="AD26" s="43"/>
      <c r="AE26" s="43" t="s">
        <v>1929</v>
      </c>
      <c r="AF26" s="305" t="e">
        <v>#REF!</v>
      </c>
      <c r="AG26" s="43" t="s">
        <v>1930</v>
      </c>
    </row>
    <row r="27" spans="1:33" ht="15" customHeight="1">
      <c r="A27" s="306"/>
      <c r="B27" s="307"/>
      <c r="C27" s="308"/>
      <c r="D27" s="307"/>
      <c r="F27" s="309"/>
      <c r="G27" s="309"/>
      <c r="H27" s="257"/>
      <c r="I27" s="310"/>
      <c r="J27" s="257"/>
      <c r="L27" s="313"/>
      <c r="M27" s="313"/>
      <c r="N27" s="313"/>
      <c r="O27" s="313"/>
      <c r="P27" s="313"/>
      <c r="Y27" s="143"/>
      <c r="Z27" s="154"/>
      <c r="AA27" s="154"/>
      <c r="AB27" s="154"/>
      <c r="AC27" s="154"/>
      <c r="AD27" s="315"/>
      <c r="AE27" s="98"/>
      <c r="AF27" s="327"/>
      <c r="AG27" s="315"/>
    </row>
    <row r="28" spans="1:33" ht="15" customHeight="1">
      <c r="A28" s="306"/>
      <c r="B28" s="307"/>
      <c r="C28" s="308"/>
      <c r="D28" s="307"/>
      <c r="F28" s="309"/>
      <c r="G28" s="309"/>
      <c r="H28" s="257"/>
      <c r="I28" s="310"/>
      <c r="J28" s="257"/>
      <c r="L28" s="313"/>
      <c r="M28" s="313"/>
      <c r="N28" s="313"/>
      <c r="O28" s="313"/>
      <c r="P28" s="313"/>
      <c r="Y28" s="143"/>
      <c r="Z28" s="154"/>
      <c r="AA28" s="154"/>
      <c r="AB28" s="154"/>
      <c r="AC28" s="154"/>
      <c r="AD28" s="315"/>
      <c r="AE28" s="328" t="s">
        <v>1931</v>
      </c>
      <c r="AF28" s="329" t="e">
        <f>SUM(AF29)</f>
        <v>#REF!</v>
      </c>
      <c r="AG28" s="315"/>
    </row>
    <row r="29" spans="1:33" ht="15" customHeight="1">
      <c r="A29" s="306">
        <v>45716</v>
      </c>
      <c r="B29" s="307" t="s">
        <v>1923</v>
      </c>
      <c r="C29" s="308">
        <v>5958.33</v>
      </c>
      <c r="D29" s="307" t="s">
        <v>1926</v>
      </c>
      <c r="F29" s="309">
        <v>45708</v>
      </c>
      <c r="G29" s="309">
        <v>45713</v>
      </c>
      <c r="H29" s="257" t="s">
        <v>1932</v>
      </c>
      <c r="I29" s="310">
        <v>4450</v>
      </c>
      <c r="J29" s="257"/>
      <c r="L29" s="313"/>
      <c r="M29" s="313"/>
      <c r="N29" s="313"/>
      <c r="O29" s="313"/>
      <c r="P29" s="313"/>
      <c r="Y29" s="143"/>
      <c r="Z29" s="154" t="s">
        <v>1933</v>
      </c>
      <c r="AA29" s="155">
        <f t="shared" ref="AA29:AB29" si="7">SUM(AA30:AA57)</f>
        <v>-6729</v>
      </c>
      <c r="AB29" s="155">
        <f t="shared" si="7"/>
        <v>-5110</v>
      </c>
      <c r="AC29" s="155">
        <f t="shared" ref="AC29:AC34" si="8">SUM(AA29:AB29)</f>
        <v>-11839</v>
      </c>
      <c r="AD29" s="315"/>
      <c r="AE29" s="315" t="s">
        <v>994</v>
      </c>
      <c r="AF29" s="322" t="e">
        <f>SUM(AF30:AF34)</f>
        <v>#REF!</v>
      </c>
      <c r="AG29" s="315"/>
    </row>
    <row r="30" spans="1:33" ht="15" customHeight="1">
      <c r="A30" s="306">
        <v>45716</v>
      </c>
      <c r="B30" s="307" t="s">
        <v>1934</v>
      </c>
      <c r="C30" s="308">
        <v>5000</v>
      </c>
      <c r="D30" s="307" t="s">
        <v>1926</v>
      </c>
      <c r="F30" s="257"/>
      <c r="G30" s="257"/>
      <c r="H30" s="257"/>
      <c r="I30" s="310"/>
      <c r="J30" s="257"/>
      <c r="L30" s="313"/>
      <c r="M30" s="313"/>
      <c r="N30" s="313"/>
      <c r="O30" s="313"/>
      <c r="P30" s="313"/>
      <c r="Y30" s="143"/>
      <c r="Z30" s="49" t="s">
        <v>1606</v>
      </c>
      <c r="AA30" s="150" t="s">
        <v>1886</v>
      </c>
      <c r="AB30" s="150" t="s">
        <v>1886</v>
      </c>
      <c r="AC30" s="150">
        <f t="shared" si="8"/>
        <v>0</v>
      </c>
      <c r="AD30" s="43"/>
      <c r="AE30" s="43" t="s">
        <v>1935</v>
      </c>
      <c r="AF30" s="305" t="e">
        <v>#REF!</v>
      </c>
      <c r="AG30" s="43" t="s">
        <v>1936</v>
      </c>
    </row>
    <row r="31" spans="1:33" ht="15" customHeight="1">
      <c r="A31" s="306">
        <v>45716</v>
      </c>
      <c r="B31" s="307" t="s">
        <v>1937</v>
      </c>
      <c r="C31" s="308">
        <v>1500</v>
      </c>
      <c r="D31" s="307"/>
      <c r="F31" s="257"/>
      <c r="G31" s="257"/>
      <c r="H31" s="257"/>
      <c r="I31" s="310"/>
      <c r="J31" s="257"/>
      <c r="L31" s="313"/>
      <c r="M31" s="313"/>
      <c r="N31" s="313"/>
      <c r="O31" s="313"/>
      <c r="P31" s="313"/>
      <c r="Y31" s="143"/>
      <c r="Z31" s="49" t="s">
        <v>1938</v>
      </c>
      <c r="AA31" s="150" t="s">
        <v>1886</v>
      </c>
      <c r="AB31" s="150" t="s">
        <v>1886</v>
      </c>
      <c r="AC31" s="150">
        <f t="shared" si="8"/>
        <v>0</v>
      </c>
      <c r="AD31" s="43"/>
      <c r="AE31" s="43" t="s">
        <v>1939</v>
      </c>
      <c r="AF31" s="305" t="e">
        <v>#REF!</v>
      </c>
      <c r="AG31" s="43" t="s">
        <v>1940</v>
      </c>
    </row>
    <row r="32" spans="1:33" ht="15" customHeight="1">
      <c r="A32" s="306">
        <v>45716</v>
      </c>
      <c r="B32" s="307" t="s">
        <v>1941</v>
      </c>
      <c r="C32" s="308">
        <v>3000</v>
      </c>
      <c r="D32" s="307"/>
      <c r="F32" s="257"/>
      <c r="G32" s="257"/>
      <c r="H32" s="257"/>
      <c r="I32" s="310"/>
      <c r="J32" s="257"/>
      <c r="L32" s="313"/>
      <c r="M32" s="313"/>
      <c r="N32" s="313"/>
      <c r="O32" s="313"/>
      <c r="P32" s="313"/>
      <c r="Y32" s="143"/>
      <c r="Z32" s="163" t="s">
        <v>1323</v>
      </c>
      <c r="AA32" s="150" t="s">
        <v>1886</v>
      </c>
      <c r="AB32" s="150" t="s">
        <v>1886</v>
      </c>
      <c r="AC32" s="150">
        <f t="shared" si="8"/>
        <v>0</v>
      </c>
      <c r="AD32" s="43"/>
      <c r="AE32" s="43" t="s">
        <v>1924</v>
      </c>
      <c r="AF32" s="305" t="e">
        <v>#REF!</v>
      </c>
      <c r="AG32" s="43" t="s">
        <v>1942</v>
      </c>
    </row>
    <row r="33" spans="1:33" ht="15" customHeight="1">
      <c r="A33" s="306"/>
      <c r="B33" s="307"/>
      <c r="C33" s="308"/>
      <c r="D33" s="307"/>
      <c r="F33" s="257"/>
      <c r="G33" s="257"/>
      <c r="H33" s="257"/>
      <c r="I33" s="310"/>
      <c r="J33" s="257"/>
      <c r="L33" s="313"/>
      <c r="M33" s="313"/>
      <c r="N33" s="313"/>
      <c r="O33" s="313"/>
      <c r="P33" s="313"/>
      <c r="Y33" s="143"/>
      <c r="Z33" s="49" t="s">
        <v>1943</v>
      </c>
      <c r="AA33" s="150">
        <v>-1119</v>
      </c>
      <c r="AB33" s="150" t="s">
        <v>1885</v>
      </c>
      <c r="AC33" s="150">
        <f t="shared" si="8"/>
        <v>-1119</v>
      </c>
      <c r="AD33" s="43"/>
      <c r="AE33" s="43" t="s">
        <v>1944</v>
      </c>
      <c r="AF33" s="305" t="e">
        <v>#REF!</v>
      </c>
      <c r="AG33" s="43" t="s">
        <v>1945</v>
      </c>
    </row>
    <row r="34" spans="1:33" ht="15" customHeight="1">
      <c r="A34" s="306"/>
      <c r="B34" s="307"/>
      <c r="C34" s="308"/>
      <c r="D34" s="307"/>
      <c r="F34" s="257"/>
      <c r="G34" s="257"/>
      <c r="H34" s="257"/>
      <c r="I34" s="310"/>
      <c r="J34" s="257"/>
      <c r="L34" s="313"/>
      <c r="M34" s="313"/>
      <c r="N34" s="313"/>
      <c r="O34" s="313"/>
      <c r="P34" s="313"/>
      <c r="Y34" s="143"/>
      <c r="Z34" s="49" t="s">
        <v>1946</v>
      </c>
      <c r="AA34" s="150" t="s">
        <v>1886</v>
      </c>
      <c r="AB34" s="150" t="s">
        <v>1886</v>
      </c>
      <c r="AC34" s="150">
        <f t="shared" si="8"/>
        <v>0</v>
      </c>
      <c r="AD34" s="43"/>
      <c r="AE34" s="43" t="s">
        <v>1916</v>
      </c>
      <c r="AF34" s="305" t="e">
        <v>#REF!</v>
      </c>
      <c r="AG34" s="43" t="s">
        <v>1947</v>
      </c>
    </row>
    <row r="35" spans="1:33" ht="15" customHeight="1">
      <c r="A35" s="306"/>
      <c r="B35" s="307"/>
      <c r="C35" s="308"/>
      <c r="D35" s="307"/>
      <c r="F35" s="257"/>
      <c r="G35" s="257"/>
      <c r="H35" s="257"/>
      <c r="I35" s="310"/>
      <c r="J35" s="257"/>
      <c r="L35" s="313"/>
      <c r="M35" s="313"/>
      <c r="N35" s="313"/>
      <c r="O35" s="313"/>
      <c r="P35" s="313"/>
      <c r="Y35" s="143"/>
      <c r="AD35" s="43"/>
      <c r="AE35" s="43"/>
      <c r="AF35" s="305"/>
      <c r="AG35" s="43"/>
    </row>
    <row r="36" spans="1:33">
      <c r="D36" s="49"/>
      <c r="J36" s="49"/>
      <c r="P36" s="49"/>
      <c r="Y36" s="143"/>
      <c r="Z36" s="330" t="s">
        <v>1948</v>
      </c>
      <c r="AA36" s="324"/>
      <c r="AB36" s="324" t="s">
        <v>1886</v>
      </c>
      <c r="AC36" s="324">
        <f t="shared" ref="AC36:AC38" si="9">SUM(AA36:AB36)</f>
        <v>0</v>
      </c>
      <c r="AD36" s="43"/>
      <c r="AE36" s="43"/>
      <c r="AF36" s="305"/>
      <c r="AG36" s="43"/>
    </row>
    <row r="37" spans="1:33">
      <c r="D37" s="49"/>
      <c r="J37" s="49"/>
      <c r="P37" s="49"/>
      <c r="Y37" s="143"/>
      <c r="Z37" s="319" t="s">
        <v>1013</v>
      </c>
      <c r="AA37" s="317">
        <v>-500</v>
      </c>
      <c r="AB37" s="317" t="s">
        <v>1886</v>
      </c>
      <c r="AC37" s="317">
        <f t="shared" si="9"/>
        <v>-500</v>
      </c>
      <c r="AD37" s="43"/>
      <c r="AE37" s="43"/>
      <c r="AF37" s="305"/>
      <c r="AG37" s="43"/>
    </row>
    <row r="38" spans="1:33">
      <c r="D38" s="49"/>
      <c r="J38" s="49"/>
      <c r="P38" s="49"/>
      <c r="Y38" s="143" t="s">
        <v>1949</v>
      </c>
      <c r="Z38" s="331" t="s">
        <v>1305</v>
      </c>
      <c r="AA38" s="324" t="s">
        <v>1886</v>
      </c>
      <c r="AB38" s="324" t="s">
        <v>1886</v>
      </c>
      <c r="AC38" s="324">
        <f t="shared" si="9"/>
        <v>0</v>
      </c>
      <c r="AD38" s="43"/>
      <c r="AE38" s="43"/>
      <c r="AF38" s="305"/>
      <c r="AG38" s="43"/>
    </row>
    <row r="39" spans="1:33">
      <c r="D39" s="49"/>
      <c r="E39" s="332" t="s">
        <v>1877</v>
      </c>
      <c r="F39" s="332" t="s">
        <v>1878</v>
      </c>
      <c r="G39" s="332" t="s">
        <v>1950</v>
      </c>
      <c r="H39" s="332" t="s">
        <v>119</v>
      </c>
      <c r="I39" s="332" t="s">
        <v>77</v>
      </c>
      <c r="J39" s="49"/>
      <c r="P39" s="49"/>
      <c r="Y39" s="143"/>
      <c r="AD39" s="43"/>
      <c r="AE39" s="43"/>
      <c r="AF39" s="305"/>
      <c r="AG39" s="43"/>
    </row>
    <row r="40" spans="1:33">
      <c r="E40" s="309">
        <v>45708</v>
      </c>
      <c r="F40" s="309">
        <v>45712</v>
      </c>
      <c r="G40" s="257" t="s">
        <v>1880</v>
      </c>
      <c r="H40" s="318">
        <v>7000</v>
      </c>
      <c r="I40" s="257"/>
      <c r="P40" s="49"/>
      <c r="Y40" s="143"/>
      <c r="Z40" s="163" t="s">
        <v>698</v>
      </c>
      <c r="AB40" s="150" t="s">
        <v>1885</v>
      </c>
      <c r="AC40" s="49">
        <f t="shared" ref="AC40:AC44" si="10">SUM(AA40:AB40)</f>
        <v>0</v>
      </c>
      <c r="AD40" s="43"/>
      <c r="AE40" s="43"/>
      <c r="AF40" s="305"/>
      <c r="AG40" s="43"/>
    </row>
    <row r="41" spans="1:33">
      <c r="E41" s="309">
        <v>45708</v>
      </c>
      <c r="F41" s="257"/>
      <c r="G41" s="257" t="s">
        <v>1073</v>
      </c>
      <c r="H41" s="310">
        <v>608</v>
      </c>
      <c r="I41" s="257" t="s">
        <v>1884</v>
      </c>
      <c r="P41" s="49"/>
      <c r="W41" s="163"/>
      <c r="Y41" s="143"/>
      <c r="Z41" s="333" t="s">
        <v>133</v>
      </c>
      <c r="AA41" s="317" t="s">
        <v>1886</v>
      </c>
      <c r="AB41" s="317" t="s">
        <v>1886</v>
      </c>
      <c r="AC41" s="317">
        <f t="shared" si="10"/>
        <v>0</v>
      </c>
      <c r="AD41" s="43"/>
      <c r="AE41" s="43"/>
      <c r="AF41" s="305"/>
      <c r="AG41" s="43"/>
    </row>
    <row r="42" spans="1:33">
      <c r="E42" s="309">
        <v>45712</v>
      </c>
      <c r="F42" s="309">
        <v>45716</v>
      </c>
      <c r="G42" s="257" t="s">
        <v>24</v>
      </c>
      <c r="H42" s="318">
        <v>25566.99</v>
      </c>
      <c r="I42" s="257"/>
      <c r="P42" s="49"/>
      <c r="W42" s="163"/>
      <c r="Y42" s="143"/>
      <c r="Z42" s="333" t="s">
        <v>131</v>
      </c>
      <c r="AA42" s="317">
        <v>-5110</v>
      </c>
      <c r="AB42" s="317">
        <f>AA42</f>
        <v>-5110</v>
      </c>
      <c r="AC42" s="317">
        <f t="shared" si="10"/>
        <v>-10220</v>
      </c>
      <c r="AD42" s="43"/>
      <c r="AE42" s="43"/>
      <c r="AF42" s="305"/>
      <c r="AG42" s="43"/>
    </row>
    <row r="43" spans="1:33">
      <c r="E43" s="309">
        <v>45700</v>
      </c>
      <c r="F43" s="309">
        <v>45716</v>
      </c>
      <c r="G43" s="257" t="s">
        <v>23</v>
      </c>
      <c r="H43" s="318">
        <v>8157</v>
      </c>
      <c r="I43" s="257"/>
      <c r="P43" s="49"/>
      <c r="Y43" s="143"/>
      <c r="Z43" s="163" t="s">
        <v>552</v>
      </c>
      <c r="AB43" s="150" t="s">
        <v>1885</v>
      </c>
      <c r="AC43" s="49">
        <f t="shared" si="10"/>
        <v>0</v>
      </c>
      <c r="AD43" s="43"/>
      <c r="AE43" s="43"/>
      <c r="AF43" s="305"/>
      <c r="AG43" s="43"/>
    </row>
    <row r="44" spans="1:33">
      <c r="E44" s="309">
        <v>45702</v>
      </c>
      <c r="F44" s="309">
        <v>45716</v>
      </c>
      <c r="G44" s="257" t="s">
        <v>1896</v>
      </c>
      <c r="H44" s="318">
        <v>6000</v>
      </c>
      <c r="I44" s="257" t="s">
        <v>1897</v>
      </c>
      <c r="P44" s="49"/>
      <c r="W44" s="163"/>
      <c r="Y44" s="143"/>
      <c r="Z44" s="319" t="s">
        <v>198</v>
      </c>
      <c r="AA44" s="317" t="s">
        <v>1886</v>
      </c>
      <c r="AB44" s="317" t="s">
        <v>1886</v>
      </c>
      <c r="AC44" s="317">
        <f t="shared" si="10"/>
        <v>0</v>
      </c>
      <c r="AD44" s="43"/>
      <c r="AE44" s="43"/>
      <c r="AF44" s="305"/>
      <c r="AG44" s="43"/>
    </row>
    <row r="45" spans="1:33">
      <c r="D45" s="49"/>
      <c r="E45" s="309">
        <v>45705</v>
      </c>
      <c r="F45" s="309">
        <v>45716</v>
      </c>
      <c r="G45" s="257" t="s">
        <v>1904</v>
      </c>
      <c r="H45" s="318">
        <v>9385</v>
      </c>
      <c r="I45" s="257" t="s">
        <v>1897</v>
      </c>
      <c r="P45" s="49"/>
      <c r="Y45" s="143"/>
      <c r="AD45" s="43"/>
      <c r="AE45" s="43"/>
      <c r="AF45" s="305"/>
      <c r="AG45" s="43"/>
    </row>
    <row r="46" spans="1:33">
      <c r="D46" s="49"/>
      <c r="E46" s="309">
        <v>45708</v>
      </c>
      <c r="F46" s="309">
        <v>45716</v>
      </c>
      <c r="G46" s="257" t="s">
        <v>1425</v>
      </c>
      <c r="H46" s="310">
        <v>60148.21</v>
      </c>
      <c r="I46" s="257"/>
      <c r="P46" s="49"/>
      <c r="W46" s="163"/>
      <c r="Y46" s="143"/>
      <c r="Z46" s="257" t="s">
        <v>1407</v>
      </c>
      <c r="AA46" s="257"/>
      <c r="AB46" s="334" t="s">
        <v>1885</v>
      </c>
      <c r="AC46" s="257">
        <f t="shared" ref="AC46:AC56" si="11">SUM(AA46:AB46)</f>
        <v>0</v>
      </c>
      <c r="AD46" s="43"/>
      <c r="AE46" s="43"/>
      <c r="AF46" s="305"/>
      <c r="AG46" s="43"/>
    </row>
    <row r="47" spans="1:33">
      <c r="D47" s="49"/>
      <c r="E47" s="309">
        <v>45708</v>
      </c>
      <c r="F47" s="309">
        <v>45712</v>
      </c>
      <c r="G47" s="257" t="s">
        <v>1913</v>
      </c>
      <c r="H47" s="310">
        <v>1527.65</v>
      </c>
      <c r="I47" s="257"/>
      <c r="P47" s="49"/>
      <c r="Y47" s="143"/>
      <c r="Z47" s="257" t="s">
        <v>1951</v>
      </c>
      <c r="AA47" s="334" t="s">
        <v>1886</v>
      </c>
      <c r="AB47" s="334" t="s">
        <v>1886</v>
      </c>
      <c r="AC47" s="334">
        <f t="shared" si="11"/>
        <v>0</v>
      </c>
      <c r="AD47" s="43"/>
      <c r="AE47" s="43"/>
      <c r="AF47" s="305"/>
      <c r="AG47" s="43"/>
    </row>
    <row r="48" spans="1:33">
      <c r="D48" s="49"/>
      <c r="F48" s="306">
        <v>45716</v>
      </c>
      <c r="G48" s="307" t="s">
        <v>1934</v>
      </c>
      <c r="H48" s="308">
        <v>5000</v>
      </c>
      <c r="I48" s="307" t="s">
        <v>1926</v>
      </c>
      <c r="P48" s="49"/>
      <c r="Y48" s="143"/>
      <c r="Z48" s="335" t="s">
        <v>132</v>
      </c>
      <c r="AA48" s="257"/>
      <c r="AB48" s="334" t="s">
        <v>1886</v>
      </c>
      <c r="AC48" s="257">
        <f t="shared" si="11"/>
        <v>0</v>
      </c>
      <c r="AD48" s="43"/>
      <c r="AE48" s="43"/>
      <c r="AF48" s="305"/>
      <c r="AG48" s="43"/>
    </row>
    <row r="49" spans="4:33">
      <c r="D49" s="49"/>
      <c r="F49" s="306">
        <v>45716</v>
      </c>
      <c r="G49" s="307" t="s">
        <v>1904</v>
      </c>
      <c r="H49" s="308">
        <v>8606.89</v>
      </c>
      <c r="I49" s="307" t="s">
        <v>1926</v>
      </c>
      <c r="P49" s="49"/>
      <c r="W49" s="163"/>
      <c r="Y49" s="143"/>
      <c r="Z49" s="335" t="s">
        <v>1295</v>
      </c>
      <c r="AA49" s="257"/>
      <c r="AB49" s="334" t="s">
        <v>1886</v>
      </c>
      <c r="AC49" s="257">
        <f t="shared" si="11"/>
        <v>0</v>
      </c>
      <c r="AD49" s="43"/>
      <c r="AE49" s="43"/>
      <c r="AF49" s="305"/>
      <c r="AG49" s="43"/>
    </row>
    <row r="50" spans="4:33">
      <c r="D50" s="49"/>
      <c r="F50" s="306">
        <v>45713</v>
      </c>
      <c r="G50" s="307" t="s">
        <v>1927</v>
      </c>
      <c r="H50" s="308">
        <v>7000</v>
      </c>
      <c r="I50" s="307" t="s">
        <v>1928</v>
      </c>
      <c r="P50" s="49"/>
      <c r="W50" s="163"/>
      <c r="Y50" s="143"/>
      <c r="Z50" s="335" t="s">
        <v>126</v>
      </c>
      <c r="AA50" s="257"/>
      <c r="AB50" s="334" t="s">
        <v>1886</v>
      </c>
      <c r="AC50" s="257">
        <f t="shared" si="11"/>
        <v>0</v>
      </c>
      <c r="AD50" s="43"/>
      <c r="AE50" s="43"/>
      <c r="AF50" s="305"/>
      <c r="AG50" s="43"/>
    </row>
    <row r="51" spans="4:33">
      <c r="D51" s="49"/>
      <c r="F51" s="306">
        <v>45708</v>
      </c>
      <c r="G51" s="307" t="s">
        <v>1932</v>
      </c>
      <c r="H51" s="308">
        <v>4450</v>
      </c>
      <c r="I51" s="307"/>
      <c r="P51" s="49"/>
      <c r="W51" s="163"/>
      <c r="Y51" s="143"/>
      <c r="Z51" s="335" t="s">
        <v>1370</v>
      </c>
      <c r="AA51" s="257"/>
      <c r="AB51" s="334" t="s">
        <v>1886</v>
      </c>
      <c r="AC51" s="257">
        <f t="shared" si="11"/>
        <v>0</v>
      </c>
      <c r="AD51" s="43"/>
      <c r="AE51" s="43"/>
      <c r="AF51" s="305"/>
      <c r="AG51" s="43"/>
    </row>
    <row r="52" spans="4:33">
      <c r="D52" s="49"/>
      <c r="F52" s="306">
        <v>45708</v>
      </c>
      <c r="G52" s="307" t="s">
        <v>122</v>
      </c>
      <c r="H52" s="308">
        <v>14507.88</v>
      </c>
      <c r="I52" s="307"/>
      <c r="P52" s="49"/>
      <c r="W52" s="163"/>
      <c r="Y52" s="143"/>
      <c r="Z52" s="335" t="s">
        <v>1371</v>
      </c>
      <c r="AA52" s="257"/>
      <c r="AB52" s="334" t="s">
        <v>1886</v>
      </c>
      <c r="AC52" s="257">
        <f t="shared" si="11"/>
        <v>0</v>
      </c>
      <c r="AD52" s="43"/>
      <c r="AE52" s="43"/>
      <c r="AF52" s="305"/>
      <c r="AG52" s="43"/>
    </row>
    <row r="53" spans="4:33">
      <c r="D53" s="49"/>
      <c r="H53" s="142">
        <f>SUM(H40:H52)</f>
        <v>157957.62</v>
      </c>
      <c r="J53" s="49"/>
      <c r="P53" s="49"/>
      <c r="Y53" s="143"/>
      <c r="Z53" s="335" t="s">
        <v>1389</v>
      </c>
      <c r="AA53" s="257"/>
      <c r="AB53" s="334" t="s">
        <v>1886</v>
      </c>
      <c r="AC53" s="257">
        <f t="shared" si="11"/>
        <v>0</v>
      </c>
      <c r="AD53" s="43"/>
      <c r="AE53" s="43"/>
      <c r="AF53" s="305"/>
      <c r="AG53" s="43"/>
    </row>
    <row r="54" spans="4:33">
      <c r="D54" s="49"/>
      <c r="J54" s="49"/>
      <c r="P54" s="49"/>
      <c r="Y54" s="143"/>
      <c r="Z54" s="335" t="s">
        <v>1393</v>
      </c>
      <c r="AA54" s="257"/>
      <c r="AB54" s="334" t="s">
        <v>1886</v>
      </c>
      <c r="AC54" s="257">
        <f t="shared" si="11"/>
        <v>0</v>
      </c>
      <c r="AD54" s="43"/>
      <c r="AE54" s="43"/>
      <c r="AF54" s="305"/>
      <c r="AG54" s="43"/>
    </row>
    <row r="55" spans="4:33">
      <c r="D55" s="49"/>
      <c r="J55" s="49"/>
      <c r="P55" s="49"/>
      <c r="Y55" s="143"/>
      <c r="Z55" s="335" t="s">
        <v>1846</v>
      </c>
      <c r="AA55" s="257"/>
      <c r="AB55" s="334" t="s">
        <v>1886</v>
      </c>
      <c r="AC55" s="257">
        <f t="shared" si="11"/>
        <v>0</v>
      </c>
      <c r="AD55" s="43"/>
      <c r="AE55" s="43"/>
      <c r="AF55" s="305"/>
      <c r="AG55" s="43"/>
    </row>
    <row r="56" spans="4:33">
      <c r="D56" s="49"/>
      <c r="J56" s="49"/>
      <c r="P56" s="49"/>
      <c r="Y56" s="143"/>
      <c r="Z56" s="335" t="s">
        <v>1326</v>
      </c>
      <c r="AA56" s="334" t="s">
        <v>1886</v>
      </c>
      <c r="AB56" s="334" t="s">
        <v>1886</v>
      </c>
      <c r="AC56" s="334">
        <f t="shared" si="11"/>
        <v>0</v>
      </c>
      <c r="AD56" s="43"/>
      <c r="AE56" s="43"/>
      <c r="AF56" s="305"/>
      <c r="AG56" s="43"/>
    </row>
    <row r="57" spans="4:33">
      <c r="D57" s="49"/>
      <c r="J57" s="49"/>
      <c r="P57" s="49"/>
      <c r="Y57" s="143"/>
      <c r="AD57" s="43"/>
      <c r="AE57" s="43"/>
      <c r="AF57" s="305"/>
      <c r="AG57" s="43"/>
    </row>
    <row r="58" spans="4:33">
      <c r="D58" s="49"/>
      <c r="J58" s="49"/>
      <c r="P58" s="49"/>
      <c r="AD58" s="43"/>
      <c r="AE58" s="43"/>
      <c r="AF58" s="305"/>
      <c r="AG58" s="43"/>
    </row>
    <row r="59" spans="4:33">
      <c r="D59" s="49"/>
      <c r="J59" s="49"/>
      <c r="P59" s="49"/>
      <c r="Z59" s="154" t="s">
        <v>1952</v>
      </c>
      <c r="AA59" s="155">
        <f t="shared" ref="AA59:AB59" si="12">SUM(AA60:AA61)</f>
        <v>-41857.53</v>
      </c>
      <c r="AB59" s="155">
        <f t="shared" si="12"/>
        <v>0</v>
      </c>
      <c r="AC59" s="155">
        <f t="shared" ref="AC59:AC61" si="13">SUM(AA59:AB59)</f>
        <v>-41857.53</v>
      </c>
      <c r="AD59" s="315"/>
      <c r="AE59" s="315"/>
      <c r="AF59" s="322"/>
      <c r="AG59" s="315"/>
    </row>
    <row r="60" spans="4:33">
      <c r="D60" s="49"/>
      <c r="J60" s="49"/>
      <c r="P60" s="49"/>
      <c r="Z60" s="335" t="s">
        <v>993</v>
      </c>
      <c r="AA60" s="334">
        <v>-41857.53</v>
      </c>
      <c r="AB60" s="334" t="s">
        <v>1885</v>
      </c>
      <c r="AC60" s="334">
        <f t="shared" si="13"/>
        <v>-41857.53</v>
      </c>
      <c r="AD60" s="43"/>
      <c r="AE60" s="43"/>
      <c r="AF60" s="305"/>
      <c r="AG60" s="43"/>
    </row>
    <row r="61" spans="4:33">
      <c r="D61" s="49"/>
      <c r="J61" s="49"/>
      <c r="P61" s="49"/>
      <c r="Z61" s="333" t="s">
        <v>760</v>
      </c>
      <c r="AA61" s="317" t="s">
        <v>1886</v>
      </c>
      <c r="AB61" s="317" t="s">
        <v>1886</v>
      </c>
      <c r="AC61" s="317">
        <f t="shared" si="13"/>
        <v>0</v>
      </c>
      <c r="AD61" s="43"/>
      <c r="AE61" s="43"/>
      <c r="AF61" s="305"/>
      <c r="AG61" s="43"/>
    </row>
    <row r="62" spans="4:33">
      <c r="D62" s="49"/>
      <c r="J62" s="49"/>
      <c r="P62" s="49"/>
      <c r="AC62" s="154"/>
      <c r="AD62" s="315"/>
      <c r="AE62" s="315"/>
      <c r="AF62" s="322"/>
      <c r="AG62" s="315"/>
    </row>
    <row r="63" spans="4:33">
      <c r="D63" s="49"/>
      <c r="J63" s="49"/>
      <c r="P63" s="49"/>
      <c r="AC63" s="154"/>
      <c r="AD63" s="315"/>
      <c r="AE63" s="315"/>
      <c r="AF63" s="322"/>
      <c r="AG63" s="315"/>
    </row>
    <row r="64" spans="4:33">
      <c r="D64" s="49"/>
      <c r="J64" s="49"/>
      <c r="P64" s="49"/>
      <c r="Z64" s="154" t="s">
        <v>1953</v>
      </c>
      <c r="AA64" s="155">
        <f t="shared" ref="AA64:AB64" si="14">SUM(AA65:AA77)</f>
        <v>-22885</v>
      </c>
      <c r="AB64" s="155">
        <f t="shared" si="14"/>
        <v>-15885</v>
      </c>
      <c r="AC64" s="155">
        <f t="shared" ref="AC64:AC77" si="15">SUM(AA64:AB64)</f>
        <v>-38770</v>
      </c>
      <c r="AD64" s="315"/>
      <c r="AE64" s="315"/>
      <c r="AF64" s="322"/>
      <c r="AG64" s="315"/>
    </row>
    <row r="65" spans="4:33">
      <c r="D65" s="49"/>
      <c r="J65" s="49"/>
      <c r="P65" s="49"/>
      <c r="Z65" s="330" t="s">
        <v>372</v>
      </c>
      <c r="AA65" s="330"/>
      <c r="AB65" s="324" t="s">
        <v>1885</v>
      </c>
      <c r="AC65" s="324">
        <f t="shared" si="15"/>
        <v>0</v>
      </c>
      <c r="AD65" s="88"/>
      <c r="AE65" s="88"/>
      <c r="AF65" s="305"/>
      <c r="AG65" s="88"/>
    </row>
    <row r="66" spans="4:33">
      <c r="D66" s="49"/>
      <c r="J66" s="49"/>
      <c r="P66" s="49"/>
      <c r="Z66" s="330" t="s">
        <v>1954</v>
      </c>
      <c r="AA66" s="324">
        <v>-7000</v>
      </c>
      <c r="AB66" s="324" t="s">
        <v>1886</v>
      </c>
      <c r="AC66" s="324">
        <f t="shared" si="15"/>
        <v>-7000</v>
      </c>
      <c r="AD66" s="43"/>
      <c r="AE66" s="43"/>
      <c r="AF66" s="305"/>
      <c r="AG66" s="43"/>
    </row>
    <row r="67" spans="4:33">
      <c r="D67" s="49"/>
      <c r="J67" s="49"/>
      <c r="P67" s="49"/>
      <c r="Z67" s="331" t="s">
        <v>1836</v>
      </c>
      <c r="AA67" s="324"/>
      <c r="AB67" s="324" t="s">
        <v>1886</v>
      </c>
      <c r="AC67" s="324">
        <f t="shared" si="15"/>
        <v>0</v>
      </c>
      <c r="AD67" s="43"/>
      <c r="AE67" s="43"/>
      <c r="AF67" s="305"/>
      <c r="AG67" s="43"/>
    </row>
    <row r="68" spans="4:33">
      <c r="D68" s="49"/>
      <c r="J68" s="49"/>
      <c r="P68" s="49"/>
      <c r="Y68" s="143" t="e">
        <f t="array" aca="1" ref="Y68" ca="1">_xludf.UNIQUE(Y4:Y58)</f>
        <v>#NAME?</v>
      </c>
      <c r="Z68" s="331" t="s">
        <v>1848</v>
      </c>
      <c r="AA68" s="324"/>
      <c r="AB68" s="324" t="s">
        <v>1886</v>
      </c>
      <c r="AC68" s="324">
        <f t="shared" si="15"/>
        <v>0</v>
      </c>
      <c r="AD68" s="43"/>
      <c r="AE68" s="43"/>
      <c r="AF68" s="305"/>
      <c r="AG68" s="43"/>
    </row>
    <row r="69" spans="4:33">
      <c r="D69" s="49"/>
      <c r="J69" s="49"/>
      <c r="P69" s="49"/>
      <c r="Y69" s="143"/>
      <c r="Z69" s="335" t="s">
        <v>919</v>
      </c>
      <c r="AA69" s="334" t="s">
        <v>1885</v>
      </c>
      <c r="AB69" s="334" t="s">
        <v>1885</v>
      </c>
      <c r="AC69" s="334">
        <f t="shared" si="15"/>
        <v>0</v>
      </c>
      <c r="AD69" s="43"/>
      <c r="AE69" s="43"/>
      <c r="AF69" s="305"/>
      <c r="AG69" s="43"/>
    </row>
    <row r="70" spans="4:33">
      <c r="D70" s="49"/>
      <c r="J70" s="49"/>
      <c r="P70" s="49"/>
      <c r="Z70" s="335" t="s">
        <v>1155</v>
      </c>
      <c r="AA70" s="334">
        <v>-9385</v>
      </c>
      <c r="AB70" s="334">
        <v>-9385</v>
      </c>
      <c r="AC70" s="334">
        <f t="shared" si="15"/>
        <v>-18770</v>
      </c>
      <c r="AD70" s="43"/>
      <c r="AE70" s="43"/>
      <c r="AF70" s="305"/>
      <c r="AG70" s="43"/>
    </row>
    <row r="71" spans="4:33">
      <c r="D71" s="49"/>
      <c r="J71" s="49"/>
      <c r="P71" s="49"/>
      <c r="Z71" s="333" t="s">
        <v>293</v>
      </c>
      <c r="AA71" s="317" t="s">
        <v>1886</v>
      </c>
      <c r="AB71" s="317" t="s">
        <v>1886</v>
      </c>
      <c r="AC71" s="317">
        <f t="shared" si="15"/>
        <v>0</v>
      </c>
      <c r="AD71" s="43"/>
      <c r="AE71" s="43"/>
      <c r="AF71" s="305"/>
      <c r="AG71" s="43"/>
    </row>
    <row r="72" spans="4:33">
      <c r="D72" s="49"/>
      <c r="J72" s="49"/>
      <c r="P72" s="49"/>
      <c r="Z72" s="333" t="s">
        <v>1803</v>
      </c>
      <c r="AA72" s="317" t="s">
        <v>1886</v>
      </c>
      <c r="AB72" s="317" t="s">
        <v>1886</v>
      </c>
      <c r="AC72" s="317">
        <f t="shared" si="15"/>
        <v>0</v>
      </c>
      <c r="AD72" s="43"/>
      <c r="AE72" s="43"/>
      <c r="AF72" s="305"/>
      <c r="AG72" s="43"/>
    </row>
    <row r="73" spans="4:33">
      <c r="D73" s="49"/>
      <c r="J73" s="49"/>
      <c r="P73" s="49"/>
      <c r="Z73" s="316" t="s">
        <v>1840</v>
      </c>
      <c r="AA73" s="317" t="s">
        <v>1886</v>
      </c>
      <c r="AB73" s="317" t="s">
        <v>1886</v>
      </c>
      <c r="AC73" s="317">
        <f t="shared" si="15"/>
        <v>0</v>
      </c>
      <c r="AD73" s="43"/>
      <c r="AE73" s="43"/>
      <c r="AF73" s="305"/>
      <c r="AG73" s="43"/>
    </row>
    <row r="74" spans="4:33">
      <c r="D74" s="49"/>
      <c r="J74" s="49"/>
      <c r="P74" s="49"/>
      <c r="Z74" s="336" t="s">
        <v>1811</v>
      </c>
      <c r="AA74" s="334" t="s">
        <v>1886</v>
      </c>
      <c r="AB74" s="334" t="s">
        <v>1886</v>
      </c>
      <c r="AC74" s="334">
        <f t="shared" si="15"/>
        <v>0</v>
      </c>
      <c r="AD74" s="43"/>
      <c r="AE74" s="43"/>
      <c r="AF74" s="305"/>
      <c r="AG74" s="43"/>
    </row>
    <row r="75" spans="4:33">
      <c r="D75" s="49"/>
      <c r="J75" s="49"/>
      <c r="P75" s="49"/>
      <c r="Z75" s="323" t="s">
        <v>1006</v>
      </c>
      <c r="AA75" s="324" t="s">
        <v>1886</v>
      </c>
      <c r="AB75" s="324" t="s">
        <v>1886</v>
      </c>
      <c r="AC75" s="324">
        <f t="shared" si="15"/>
        <v>0</v>
      </c>
      <c r="AD75" s="43"/>
      <c r="AE75" s="43"/>
      <c r="AF75" s="305"/>
      <c r="AG75" s="43"/>
    </row>
    <row r="76" spans="4:33">
      <c r="D76" s="49"/>
      <c r="J76" s="49"/>
      <c r="P76" s="49"/>
      <c r="Z76" s="335" t="s">
        <v>1287</v>
      </c>
      <c r="AA76" s="334">
        <v>-6500</v>
      </c>
      <c r="AB76" s="334">
        <v>-6500</v>
      </c>
      <c r="AC76" s="334">
        <f t="shared" si="15"/>
        <v>-13000</v>
      </c>
      <c r="AD76" s="43"/>
      <c r="AE76" s="43"/>
      <c r="AF76" s="305"/>
      <c r="AG76" s="43"/>
    </row>
    <row r="77" spans="4:33">
      <c r="D77" s="49"/>
      <c r="J77" s="49"/>
      <c r="P77" s="49"/>
      <c r="Z77" s="335" t="s">
        <v>1073</v>
      </c>
      <c r="AA77" s="334" t="s">
        <v>1886</v>
      </c>
      <c r="AB77" s="334" t="s">
        <v>1886</v>
      </c>
      <c r="AC77" s="334">
        <f t="shared" si="15"/>
        <v>0</v>
      </c>
      <c r="AD77" s="43"/>
      <c r="AE77" s="43"/>
      <c r="AF77" s="305"/>
      <c r="AG77" s="43"/>
    </row>
    <row r="78" spans="4:33">
      <c r="D78" s="49"/>
      <c r="J78" s="49"/>
      <c r="P78" s="49"/>
      <c r="AA78" s="150"/>
      <c r="AB78" s="150"/>
      <c r="AD78" s="43"/>
      <c r="AE78" s="43"/>
      <c r="AF78" s="305"/>
      <c r="AG78" s="43"/>
    </row>
    <row r="79" spans="4:33">
      <c r="D79" s="49"/>
      <c r="J79" s="49"/>
      <c r="P79" s="49"/>
      <c r="AD79" s="43"/>
      <c r="AE79" s="43"/>
      <c r="AF79" s="305"/>
      <c r="AG79" s="43"/>
    </row>
    <row r="80" spans="4:33">
      <c r="D80" s="49"/>
      <c r="J80" s="49"/>
      <c r="P80" s="49"/>
      <c r="Z80" s="154" t="s">
        <v>1955</v>
      </c>
      <c r="AA80" s="155">
        <f t="shared" ref="AA80:AB80" si="16">SUM(AA81:AA90)</f>
        <v>-14565.22</v>
      </c>
      <c r="AB80" s="155">
        <f t="shared" si="16"/>
        <v>-14565.22</v>
      </c>
      <c r="AC80" s="155">
        <f t="shared" ref="AC80:AC90" si="17">SUM(AA80:AB80)</f>
        <v>-29130.44</v>
      </c>
      <c r="AD80" s="315"/>
      <c r="AE80" s="315"/>
      <c r="AF80" s="322"/>
      <c r="AG80" s="315"/>
    </row>
    <row r="81" spans="4:33">
      <c r="D81" s="49"/>
      <c r="J81" s="49"/>
      <c r="P81" s="49"/>
      <c r="Z81" s="257" t="s">
        <v>998</v>
      </c>
      <c r="AA81" s="334" t="s">
        <v>1886</v>
      </c>
      <c r="AB81" s="334" t="s">
        <v>1886</v>
      </c>
      <c r="AC81" s="334">
        <f t="shared" si="17"/>
        <v>0</v>
      </c>
      <c r="AD81" s="43"/>
      <c r="AE81" s="43"/>
      <c r="AF81" s="305"/>
      <c r="AG81" s="43"/>
    </row>
    <row r="82" spans="4:33">
      <c r="D82" s="49"/>
      <c r="J82" s="49"/>
      <c r="P82" s="49"/>
      <c r="Z82" s="335" t="s">
        <v>1155</v>
      </c>
      <c r="AA82" s="334">
        <v>-8606.89</v>
      </c>
      <c r="AB82" s="334">
        <v>-8606.89</v>
      </c>
      <c r="AC82" s="334">
        <f t="shared" si="17"/>
        <v>-17213.78</v>
      </c>
      <c r="AD82" s="43"/>
      <c r="AE82" s="43"/>
      <c r="AF82" s="305"/>
      <c r="AG82" s="43"/>
    </row>
    <row r="83" spans="4:33">
      <c r="D83" s="49"/>
      <c r="J83" s="49"/>
      <c r="P83" s="49"/>
      <c r="Z83" s="335" t="s">
        <v>1462</v>
      </c>
      <c r="AA83" s="334" t="s">
        <v>1886</v>
      </c>
      <c r="AB83" s="334" t="s">
        <v>1886</v>
      </c>
      <c r="AC83" s="334">
        <f t="shared" si="17"/>
        <v>0</v>
      </c>
      <c r="AD83" s="43"/>
      <c r="AE83" s="43"/>
      <c r="AF83" s="305"/>
      <c r="AG83" s="43"/>
    </row>
    <row r="84" spans="4:33">
      <c r="D84" s="49"/>
      <c r="J84" s="49"/>
      <c r="P84" s="49"/>
      <c r="Z84" s="335" t="s">
        <v>1287</v>
      </c>
      <c r="AA84" s="334">
        <v>-5958.33</v>
      </c>
      <c r="AB84" s="334">
        <v>-5958.33</v>
      </c>
      <c r="AC84" s="334">
        <f t="shared" si="17"/>
        <v>-11916.66</v>
      </c>
      <c r="AD84" s="43"/>
      <c r="AE84" s="43"/>
      <c r="AF84" s="305"/>
      <c r="AG84" s="43"/>
    </row>
    <row r="85" spans="4:33">
      <c r="D85" s="49"/>
      <c r="J85" s="49"/>
      <c r="P85" s="49"/>
      <c r="Z85" s="335" t="s">
        <v>1837</v>
      </c>
      <c r="AA85" s="334" t="s">
        <v>1886</v>
      </c>
      <c r="AB85" s="334" t="s">
        <v>1886</v>
      </c>
      <c r="AC85" s="334">
        <f t="shared" si="17"/>
        <v>0</v>
      </c>
      <c r="AD85" s="43"/>
      <c r="AE85" s="43"/>
      <c r="AF85" s="305"/>
      <c r="AG85" s="43"/>
    </row>
    <row r="86" spans="4:33">
      <c r="D86" s="49"/>
      <c r="J86" s="49"/>
      <c r="P86" s="49"/>
      <c r="Z86" s="335" t="s">
        <v>1862</v>
      </c>
      <c r="AA86" s="334"/>
      <c r="AB86" s="334" t="s">
        <v>1885</v>
      </c>
      <c r="AC86" s="334">
        <f t="shared" si="17"/>
        <v>0</v>
      </c>
      <c r="AD86" s="43"/>
      <c r="AE86" s="43"/>
      <c r="AF86" s="305"/>
      <c r="AG86" s="43"/>
    </row>
    <row r="87" spans="4:33">
      <c r="D87" s="49"/>
      <c r="J87" s="49"/>
      <c r="P87" s="49"/>
      <c r="Z87" s="335" t="s">
        <v>1276</v>
      </c>
      <c r="AA87" s="334" t="s">
        <v>1886</v>
      </c>
      <c r="AB87" s="334" t="s">
        <v>1886</v>
      </c>
      <c r="AC87" s="334">
        <f t="shared" si="17"/>
        <v>0</v>
      </c>
      <c r="AD87" s="43"/>
      <c r="AE87" s="43"/>
      <c r="AF87" s="305"/>
      <c r="AG87" s="43"/>
    </row>
    <row r="88" spans="4:33">
      <c r="D88" s="49"/>
      <c r="J88" s="49"/>
      <c r="P88" s="49"/>
      <c r="Z88" s="335" t="s">
        <v>1644</v>
      </c>
      <c r="AA88" s="334" t="s">
        <v>1886</v>
      </c>
      <c r="AB88" s="334" t="s">
        <v>1886</v>
      </c>
      <c r="AC88" s="334">
        <f t="shared" si="17"/>
        <v>0</v>
      </c>
      <c r="AD88" s="43"/>
      <c r="AE88" s="43"/>
      <c r="AF88" s="305"/>
      <c r="AG88" s="43"/>
    </row>
    <row r="89" spans="4:33">
      <c r="D89" s="49"/>
      <c r="J89" s="49"/>
      <c r="P89" s="49"/>
      <c r="Z89" s="335" t="s">
        <v>1635</v>
      </c>
      <c r="AA89" s="334" t="s">
        <v>1886</v>
      </c>
      <c r="AB89" s="334" t="s">
        <v>1886</v>
      </c>
      <c r="AC89" s="334">
        <f t="shared" si="17"/>
        <v>0</v>
      </c>
      <c r="AD89" s="43"/>
      <c r="AE89" s="43"/>
      <c r="AF89" s="305"/>
      <c r="AG89" s="43"/>
    </row>
    <row r="90" spans="4:33">
      <c r="D90" s="49"/>
      <c r="J90" s="49"/>
      <c r="P90" s="49"/>
      <c r="Z90" s="335" t="s">
        <v>1098</v>
      </c>
      <c r="AA90" s="334" t="s">
        <v>1886</v>
      </c>
      <c r="AB90" s="334" t="s">
        <v>1886</v>
      </c>
      <c r="AC90" s="334">
        <f t="shared" si="17"/>
        <v>0</v>
      </c>
      <c r="AD90" s="43"/>
      <c r="AE90" s="43"/>
      <c r="AF90" s="305"/>
      <c r="AG90" s="43"/>
    </row>
    <row r="91" spans="4:33">
      <c r="D91" s="49"/>
      <c r="J91" s="49"/>
      <c r="P91" s="49"/>
      <c r="AD91" s="43"/>
      <c r="AE91" s="43"/>
      <c r="AF91" s="305"/>
      <c r="AG91" s="43"/>
    </row>
    <row r="92" spans="4:33">
      <c r="D92" s="49"/>
      <c r="J92" s="49"/>
      <c r="P92" s="49"/>
      <c r="AD92" s="43"/>
      <c r="AE92" s="43"/>
      <c r="AF92" s="305"/>
      <c r="AG92" s="43"/>
    </row>
    <row r="93" spans="4:33">
      <c r="D93" s="49"/>
      <c r="J93" s="49"/>
      <c r="P93" s="49"/>
      <c r="Z93" s="154" t="s">
        <v>1956</v>
      </c>
      <c r="AA93" s="155">
        <f t="shared" ref="AA93:AB93" si="18">SUM(AA94:AA96)</f>
        <v>0</v>
      </c>
      <c r="AB93" s="155">
        <f t="shared" si="18"/>
        <v>0</v>
      </c>
      <c r="AC93" s="155">
        <f t="shared" ref="AC93:AC98" si="19">SUM(AA93:AB93)</f>
        <v>0</v>
      </c>
      <c r="AD93" s="315"/>
      <c r="AE93" s="315"/>
      <c r="AF93" s="322"/>
      <c r="AG93" s="315"/>
    </row>
    <row r="94" spans="4:33">
      <c r="D94" s="49"/>
      <c r="J94" s="49"/>
      <c r="P94" s="49"/>
      <c r="Z94" s="337" t="s">
        <v>1444</v>
      </c>
      <c r="AA94" s="338" t="s">
        <v>1886</v>
      </c>
      <c r="AB94" s="338" t="s">
        <v>1886</v>
      </c>
      <c r="AC94" s="338">
        <f t="shared" si="19"/>
        <v>0</v>
      </c>
      <c r="AD94" s="43"/>
      <c r="AE94" s="43"/>
      <c r="AF94" s="305"/>
      <c r="AG94" s="43"/>
    </row>
    <row r="95" spans="4:33">
      <c r="D95" s="49"/>
      <c r="J95" s="49"/>
      <c r="P95" s="49"/>
      <c r="Z95" s="337" t="s">
        <v>1425</v>
      </c>
      <c r="AA95" s="338" t="s">
        <v>1886</v>
      </c>
      <c r="AB95" s="338" t="s">
        <v>1886</v>
      </c>
      <c r="AC95" s="338">
        <f t="shared" si="19"/>
        <v>0</v>
      </c>
      <c r="AD95" s="43"/>
      <c r="AE95" s="43"/>
      <c r="AF95" s="305"/>
      <c r="AG95" s="43"/>
    </row>
    <row r="96" spans="4:33">
      <c r="D96" s="49"/>
      <c r="J96" s="49"/>
      <c r="P96" s="49"/>
      <c r="Z96" s="337" t="s">
        <v>23</v>
      </c>
      <c r="AA96" s="338" t="s">
        <v>1886</v>
      </c>
      <c r="AB96" s="338" t="s">
        <v>1886</v>
      </c>
      <c r="AC96" s="338">
        <f t="shared" si="19"/>
        <v>0</v>
      </c>
      <c r="AD96" s="43"/>
      <c r="AE96" s="43"/>
      <c r="AF96" s="305"/>
      <c r="AG96" s="43"/>
    </row>
    <row r="97" spans="4:33">
      <c r="D97" s="49"/>
      <c r="J97" s="49"/>
      <c r="P97" s="49"/>
      <c r="Z97" s="337" t="s">
        <v>1426</v>
      </c>
      <c r="AA97" s="338" t="s">
        <v>1886</v>
      </c>
      <c r="AB97" s="338" t="s">
        <v>1886</v>
      </c>
      <c r="AC97" s="338">
        <f t="shared" si="19"/>
        <v>0</v>
      </c>
      <c r="AD97" s="43"/>
      <c r="AE97" s="43"/>
      <c r="AF97" s="305"/>
      <c r="AG97" s="43"/>
    </row>
    <row r="98" spans="4:33">
      <c r="D98" s="49"/>
      <c r="J98" s="49"/>
      <c r="P98" s="49"/>
      <c r="Z98" s="337" t="s">
        <v>1578</v>
      </c>
      <c r="AA98" s="338" t="s">
        <v>1886</v>
      </c>
      <c r="AB98" s="338" t="s">
        <v>1886</v>
      </c>
      <c r="AC98" s="338">
        <f t="shared" si="19"/>
        <v>0</v>
      </c>
      <c r="AD98" s="43"/>
      <c r="AE98" s="43"/>
      <c r="AF98" s="305"/>
      <c r="AG98" s="43"/>
    </row>
    <row r="99" spans="4:33">
      <c r="D99" s="49"/>
      <c r="J99" s="49"/>
      <c r="P99" s="49"/>
      <c r="AD99" s="43"/>
      <c r="AE99" s="43"/>
      <c r="AF99" s="305"/>
      <c r="AG99" s="43"/>
    </row>
    <row r="100" spans="4:33">
      <c r="D100" s="49"/>
      <c r="J100" s="49"/>
      <c r="P100" s="49"/>
      <c r="AD100" s="43"/>
      <c r="AE100" s="43"/>
      <c r="AF100" s="305"/>
      <c r="AG100" s="43"/>
    </row>
    <row r="101" spans="4:33">
      <c r="D101" s="49"/>
      <c r="J101" s="49"/>
      <c r="P101" s="49"/>
      <c r="AD101" s="43"/>
      <c r="AE101" s="43"/>
      <c r="AF101" s="305"/>
      <c r="AG101" s="43"/>
    </row>
    <row r="102" spans="4:33">
      <c r="D102" s="49"/>
      <c r="J102" s="49"/>
      <c r="P102" s="49"/>
      <c r="AA102" s="49">
        <v>3</v>
      </c>
      <c r="AB102" s="49">
        <v>4</v>
      </c>
      <c r="AD102" s="43"/>
      <c r="AE102" s="43"/>
      <c r="AF102" s="305"/>
      <c r="AG102" s="43"/>
    </row>
    <row r="103" spans="4:33">
      <c r="D103" s="49"/>
      <c r="J103" s="49"/>
      <c r="P103" s="49"/>
      <c r="AA103" s="317">
        <f t="shared" ref="AA103:AB103" si="20">SUM(AA4:AA9,AA11:AA16,AA25,AA41:AA42,AA61,AA71:AA73,AA37,AA44)</f>
        <v>-61018.05</v>
      </c>
      <c r="AB103" s="317">
        <f t="shared" si="20"/>
        <v>-35110</v>
      </c>
      <c r="AD103" s="43"/>
      <c r="AE103" s="43"/>
      <c r="AF103" s="305"/>
      <c r="AG103" s="43"/>
    </row>
    <row r="104" spans="4:33">
      <c r="D104" s="49"/>
      <c r="J104" s="49"/>
      <c r="P104" s="49"/>
      <c r="AD104" s="43"/>
      <c r="AE104" s="43"/>
      <c r="AF104" s="305"/>
      <c r="AG104" s="43"/>
    </row>
    <row r="105" spans="4:33">
      <c r="D105" s="49"/>
      <c r="J105" s="49"/>
      <c r="P105" s="49"/>
      <c r="AD105" s="43"/>
      <c r="AE105" s="43"/>
      <c r="AF105" s="305"/>
      <c r="AG105" s="43"/>
    </row>
    <row r="106" spans="4:33">
      <c r="D106" s="49"/>
      <c r="J106" s="49"/>
      <c r="P106" s="49"/>
      <c r="AD106" s="43"/>
      <c r="AE106" s="43"/>
      <c r="AF106" s="305"/>
      <c r="AG106" s="43"/>
    </row>
    <row r="107" spans="4:33">
      <c r="D107" s="49"/>
      <c r="J107" s="49"/>
      <c r="P107" s="49"/>
      <c r="AD107" s="43"/>
      <c r="AE107" s="43"/>
      <c r="AF107" s="305"/>
      <c r="AG107" s="43"/>
    </row>
    <row r="108" spans="4:33">
      <c r="D108" s="49"/>
      <c r="J108" s="49"/>
      <c r="P108" s="49"/>
      <c r="AD108" s="43"/>
      <c r="AE108" s="43"/>
      <c r="AF108" s="305"/>
      <c r="AG108" s="43"/>
    </row>
    <row r="109" spans="4:33">
      <c r="D109" s="49"/>
      <c r="J109" s="49"/>
      <c r="P109" s="49"/>
      <c r="AD109" s="43"/>
      <c r="AE109" s="43"/>
      <c r="AF109" s="305"/>
      <c r="AG109" s="43"/>
    </row>
    <row r="110" spans="4:33">
      <c r="D110" s="49"/>
      <c r="J110" s="49"/>
      <c r="P110" s="49"/>
      <c r="AD110" s="43"/>
      <c r="AE110" s="43"/>
      <c r="AF110" s="305"/>
      <c r="AG110" s="43"/>
    </row>
    <row r="111" spans="4:33">
      <c r="D111" s="49"/>
      <c r="J111" s="49"/>
      <c r="P111" s="49"/>
      <c r="AD111" s="43"/>
      <c r="AE111" s="43"/>
      <c r="AF111" s="305"/>
      <c r="AG111" s="43"/>
    </row>
    <row r="112" spans="4:33">
      <c r="D112" s="49"/>
      <c r="J112" s="49"/>
      <c r="P112" s="49"/>
      <c r="AD112" s="43"/>
      <c r="AE112" s="43"/>
      <c r="AF112" s="305"/>
      <c r="AG112" s="43"/>
    </row>
    <row r="113" spans="4:33">
      <c r="D113" s="49"/>
      <c r="J113" s="49"/>
      <c r="P113" s="49"/>
      <c r="AD113" s="43"/>
      <c r="AE113" s="43"/>
      <c r="AF113" s="305"/>
      <c r="AG113" s="43"/>
    </row>
    <row r="114" spans="4:33">
      <c r="D114" s="49"/>
      <c r="J114" s="49"/>
      <c r="P114" s="49"/>
      <c r="AD114" s="43"/>
      <c r="AE114" s="43"/>
      <c r="AF114" s="305"/>
      <c r="AG114" s="43"/>
    </row>
    <row r="115" spans="4:33">
      <c r="D115" s="49"/>
      <c r="J115" s="49"/>
      <c r="P115" s="49"/>
      <c r="AD115" s="43"/>
      <c r="AE115" s="43"/>
      <c r="AF115" s="305"/>
      <c r="AG115" s="43"/>
    </row>
    <row r="116" spans="4:33">
      <c r="D116" s="49"/>
      <c r="J116" s="49"/>
      <c r="P116" s="49"/>
      <c r="AD116" s="43"/>
      <c r="AE116" s="43"/>
      <c r="AF116" s="305"/>
      <c r="AG116" s="43"/>
    </row>
    <row r="117" spans="4:33">
      <c r="D117" s="49"/>
      <c r="J117" s="49"/>
      <c r="P117" s="49"/>
      <c r="AD117" s="43"/>
      <c r="AE117" s="43"/>
      <c r="AF117" s="305"/>
      <c r="AG117" s="43"/>
    </row>
    <row r="118" spans="4:33">
      <c r="D118" s="49"/>
      <c r="J118" s="49"/>
      <c r="P118" s="49"/>
      <c r="AD118" s="43"/>
      <c r="AE118" s="43"/>
      <c r="AF118" s="305"/>
      <c r="AG118" s="43"/>
    </row>
    <row r="119" spans="4:33">
      <c r="D119" s="49"/>
      <c r="J119" s="49"/>
      <c r="P119" s="49"/>
      <c r="AD119" s="43"/>
      <c r="AE119" s="43"/>
      <c r="AF119" s="305"/>
      <c r="AG119" s="43"/>
    </row>
    <row r="120" spans="4:33">
      <c r="D120" s="49"/>
      <c r="J120" s="49"/>
      <c r="P120" s="49"/>
      <c r="AD120" s="43"/>
      <c r="AE120" s="43"/>
      <c r="AF120" s="305"/>
      <c r="AG120" s="43"/>
    </row>
    <row r="121" spans="4:33">
      <c r="D121" s="49"/>
      <c r="J121" s="49"/>
      <c r="P121" s="49"/>
      <c r="AD121" s="43"/>
      <c r="AE121" s="43"/>
      <c r="AF121" s="305"/>
      <c r="AG121" s="43"/>
    </row>
    <row r="122" spans="4:33">
      <c r="D122" s="49"/>
      <c r="J122" s="49"/>
      <c r="P122" s="49"/>
      <c r="AD122" s="43"/>
      <c r="AE122" s="43"/>
      <c r="AF122" s="305"/>
      <c r="AG122" s="43"/>
    </row>
    <row r="123" spans="4:33">
      <c r="D123" s="49"/>
      <c r="J123" s="49"/>
      <c r="P123" s="49"/>
      <c r="AD123" s="43"/>
      <c r="AE123" s="43"/>
      <c r="AF123" s="305"/>
      <c r="AG123" s="43"/>
    </row>
    <row r="124" spans="4:33">
      <c r="D124" s="49"/>
      <c r="J124" s="49"/>
      <c r="P124" s="49"/>
      <c r="AD124" s="43"/>
      <c r="AE124" s="43"/>
      <c r="AF124" s="305"/>
      <c r="AG124" s="43"/>
    </row>
    <row r="125" spans="4:33">
      <c r="D125" s="49"/>
      <c r="J125" s="49"/>
      <c r="P125" s="49"/>
      <c r="AD125" s="43"/>
      <c r="AE125" s="43"/>
      <c r="AF125" s="305"/>
      <c r="AG125" s="43"/>
    </row>
    <row r="126" spans="4:33">
      <c r="D126" s="49"/>
      <c r="J126" s="49"/>
      <c r="P126" s="49"/>
      <c r="AD126" s="43"/>
      <c r="AE126" s="43"/>
      <c r="AF126" s="305"/>
      <c r="AG126" s="43"/>
    </row>
    <row r="127" spans="4:33">
      <c r="D127" s="49"/>
      <c r="J127" s="49"/>
      <c r="P127" s="49"/>
      <c r="AD127" s="43"/>
      <c r="AE127" s="43"/>
      <c r="AF127" s="305"/>
      <c r="AG127" s="43"/>
    </row>
    <row r="128" spans="4:33">
      <c r="D128" s="49"/>
      <c r="J128" s="49"/>
      <c r="P128" s="49"/>
      <c r="AD128" s="43"/>
      <c r="AE128" s="43"/>
      <c r="AF128" s="305"/>
      <c r="AG128" s="43"/>
    </row>
    <row r="129" spans="4:33">
      <c r="D129" s="49"/>
      <c r="J129" s="49"/>
      <c r="P129" s="49"/>
      <c r="AD129" s="43"/>
      <c r="AE129" s="43"/>
      <c r="AF129" s="305"/>
      <c r="AG129" s="43"/>
    </row>
    <row r="130" spans="4:33">
      <c r="D130" s="49"/>
      <c r="J130" s="49"/>
      <c r="P130" s="49"/>
      <c r="AD130" s="43"/>
      <c r="AE130" s="43"/>
      <c r="AF130" s="305"/>
      <c r="AG130" s="43"/>
    </row>
    <row r="131" spans="4:33">
      <c r="D131" s="49"/>
      <c r="J131" s="49"/>
      <c r="P131" s="49"/>
      <c r="AD131" s="43"/>
      <c r="AE131" s="43"/>
      <c r="AF131" s="305"/>
      <c r="AG131" s="43"/>
    </row>
    <row r="132" spans="4:33">
      <c r="D132" s="49"/>
      <c r="J132" s="49"/>
      <c r="P132" s="49"/>
      <c r="AD132" s="43"/>
      <c r="AE132" s="43"/>
      <c r="AF132" s="305"/>
      <c r="AG132" s="43"/>
    </row>
    <row r="133" spans="4:33">
      <c r="D133" s="49"/>
      <c r="J133" s="49"/>
      <c r="P133" s="49"/>
      <c r="AD133" s="43"/>
      <c r="AE133" s="43"/>
      <c r="AF133" s="305"/>
      <c r="AG133" s="43"/>
    </row>
    <row r="134" spans="4:33">
      <c r="D134" s="49"/>
      <c r="J134" s="49"/>
      <c r="P134" s="49"/>
      <c r="AD134" s="43"/>
      <c r="AE134" s="43"/>
      <c r="AF134" s="305"/>
      <c r="AG134" s="43"/>
    </row>
    <row r="135" spans="4:33">
      <c r="D135" s="49"/>
      <c r="J135" s="49"/>
      <c r="P135" s="49"/>
      <c r="AD135" s="43"/>
      <c r="AE135" s="43"/>
      <c r="AF135" s="305"/>
      <c r="AG135" s="43"/>
    </row>
    <row r="136" spans="4:33">
      <c r="D136" s="49"/>
      <c r="J136" s="49"/>
      <c r="P136" s="49"/>
      <c r="AD136" s="43"/>
      <c r="AE136" s="43"/>
      <c r="AF136" s="305"/>
      <c r="AG136" s="43"/>
    </row>
    <row r="137" spans="4:33">
      <c r="D137" s="49"/>
      <c r="J137" s="49"/>
      <c r="P137" s="49"/>
      <c r="AD137" s="43"/>
      <c r="AE137" s="43"/>
      <c r="AF137" s="305"/>
      <c r="AG137" s="43"/>
    </row>
    <row r="138" spans="4:33">
      <c r="D138" s="49"/>
      <c r="J138" s="49"/>
      <c r="P138" s="49"/>
      <c r="AD138" s="43"/>
      <c r="AE138" s="43"/>
      <c r="AF138" s="305"/>
      <c r="AG138" s="43"/>
    </row>
    <row r="139" spans="4:33">
      <c r="D139" s="49"/>
      <c r="J139" s="49"/>
      <c r="P139" s="49"/>
      <c r="AD139" s="43"/>
      <c r="AE139" s="43"/>
      <c r="AF139" s="305"/>
      <c r="AG139" s="43"/>
    </row>
    <row r="140" spans="4:33">
      <c r="D140" s="49"/>
      <c r="J140" s="49"/>
      <c r="P140" s="49"/>
      <c r="AD140" s="43"/>
      <c r="AE140" s="43"/>
      <c r="AF140" s="305"/>
      <c r="AG140" s="43"/>
    </row>
    <row r="141" spans="4:33">
      <c r="D141" s="49"/>
      <c r="J141" s="49"/>
      <c r="P141" s="49"/>
      <c r="AD141" s="43"/>
      <c r="AE141" s="43"/>
      <c r="AF141" s="305"/>
      <c r="AG141" s="43"/>
    </row>
    <row r="142" spans="4:33">
      <c r="D142" s="49"/>
      <c r="J142" s="49"/>
      <c r="P142" s="49"/>
      <c r="AD142" s="43"/>
      <c r="AE142" s="43"/>
      <c r="AF142" s="305"/>
      <c r="AG142" s="43"/>
    </row>
    <row r="143" spans="4:33">
      <c r="D143" s="49"/>
      <c r="J143" s="49"/>
      <c r="P143" s="49"/>
      <c r="AD143" s="43"/>
      <c r="AE143" s="43"/>
      <c r="AF143" s="305"/>
      <c r="AG143" s="43"/>
    </row>
    <row r="144" spans="4:33">
      <c r="D144" s="49"/>
      <c r="J144" s="49"/>
      <c r="P144" s="49"/>
      <c r="AD144" s="43"/>
      <c r="AE144" s="43"/>
      <c r="AF144" s="305"/>
      <c r="AG144" s="43"/>
    </row>
    <row r="145" spans="4:33">
      <c r="D145" s="49"/>
      <c r="J145" s="49"/>
      <c r="P145" s="49"/>
      <c r="AD145" s="43"/>
      <c r="AE145" s="43"/>
      <c r="AF145" s="305"/>
      <c r="AG145" s="43"/>
    </row>
    <row r="146" spans="4:33">
      <c r="D146" s="49"/>
      <c r="J146" s="49"/>
      <c r="P146" s="49"/>
      <c r="AD146" s="43"/>
      <c r="AE146" s="43"/>
      <c r="AF146" s="305"/>
      <c r="AG146" s="43"/>
    </row>
    <row r="147" spans="4:33">
      <c r="D147" s="49"/>
      <c r="J147" s="49"/>
      <c r="P147" s="49"/>
      <c r="AD147" s="43"/>
      <c r="AE147" s="43"/>
      <c r="AF147" s="305"/>
      <c r="AG147" s="43"/>
    </row>
    <row r="148" spans="4:33">
      <c r="D148" s="49"/>
      <c r="J148" s="49"/>
      <c r="P148" s="49"/>
      <c r="AD148" s="43"/>
      <c r="AE148" s="43"/>
      <c r="AF148" s="305"/>
      <c r="AG148" s="43"/>
    </row>
    <row r="149" spans="4:33">
      <c r="D149" s="49"/>
      <c r="J149" s="49"/>
      <c r="P149" s="49"/>
      <c r="AD149" s="43"/>
      <c r="AE149" s="43"/>
      <c r="AF149" s="305"/>
      <c r="AG149" s="43"/>
    </row>
    <row r="150" spans="4:33">
      <c r="D150" s="49"/>
      <c r="J150" s="49"/>
      <c r="P150" s="49"/>
      <c r="AD150" s="43"/>
      <c r="AE150" s="43"/>
      <c r="AF150" s="305"/>
      <c r="AG150" s="43"/>
    </row>
    <row r="151" spans="4:33">
      <c r="D151" s="49"/>
      <c r="J151" s="49"/>
      <c r="P151" s="49"/>
      <c r="AD151" s="43"/>
      <c r="AE151" s="43"/>
      <c r="AF151" s="305"/>
      <c r="AG151" s="43"/>
    </row>
    <row r="152" spans="4:33">
      <c r="D152" s="49"/>
      <c r="J152" s="49"/>
      <c r="P152" s="49"/>
      <c r="AD152" s="43"/>
      <c r="AE152" s="43"/>
      <c r="AF152" s="305"/>
      <c r="AG152" s="43"/>
    </row>
    <row r="153" spans="4:33">
      <c r="D153" s="49"/>
      <c r="J153" s="49"/>
      <c r="P153" s="49"/>
      <c r="AD153" s="43"/>
      <c r="AE153" s="43"/>
      <c r="AF153" s="305"/>
      <c r="AG153" s="43"/>
    </row>
    <row r="154" spans="4:33">
      <c r="D154" s="49"/>
      <c r="J154" s="49"/>
      <c r="P154" s="49"/>
      <c r="AD154" s="43"/>
      <c r="AE154" s="43"/>
      <c r="AF154" s="305"/>
      <c r="AG154" s="43"/>
    </row>
    <row r="155" spans="4:33">
      <c r="D155" s="49"/>
      <c r="J155" s="49"/>
      <c r="P155" s="49"/>
      <c r="AD155" s="43"/>
      <c r="AE155" s="43"/>
      <c r="AF155" s="305"/>
      <c r="AG155" s="43"/>
    </row>
    <row r="156" spans="4:33">
      <c r="D156" s="49"/>
      <c r="J156" s="49"/>
      <c r="P156" s="49"/>
      <c r="AD156" s="43"/>
      <c r="AE156" s="43"/>
      <c r="AF156" s="305"/>
      <c r="AG156" s="43"/>
    </row>
    <row r="157" spans="4:33">
      <c r="D157" s="49"/>
      <c r="J157" s="49"/>
      <c r="P157" s="49"/>
      <c r="AD157" s="43"/>
      <c r="AE157" s="43"/>
      <c r="AF157" s="305"/>
      <c r="AG157" s="43"/>
    </row>
    <row r="158" spans="4:33">
      <c r="D158" s="49"/>
      <c r="J158" s="49"/>
      <c r="P158" s="49"/>
      <c r="AD158" s="43"/>
      <c r="AE158" s="43"/>
      <c r="AF158" s="305"/>
      <c r="AG158" s="43"/>
    </row>
    <row r="159" spans="4:33">
      <c r="D159" s="49"/>
      <c r="J159" s="49"/>
      <c r="P159" s="49"/>
      <c r="AD159" s="43"/>
      <c r="AE159" s="43"/>
      <c r="AF159" s="305"/>
      <c r="AG159" s="43"/>
    </row>
    <row r="160" spans="4:33">
      <c r="D160" s="49"/>
      <c r="J160" s="49"/>
      <c r="P160" s="49"/>
      <c r="AD160" s="43"/>
      <c r="AE160" s="43"/>
      <c r="AF160" s="305"/>
      <c r="AG160" s="43"/>
    </row>
    <row r="161" spans="4:33">
      <c r="D161" s="49"/>
      <c r="J161" s="49"/>
      <c r="P161" s="49"/>
      <c r="AD161" s="43"/>
      <c r="AE161" s="43"/>
      <c r="AF161" s="305"/>
      <c r="AG161" s="43"/>
    </row>
    <row r="162" spans="4:33">
      <c r="D162" s="49"/>
      <c r="J162" s="49"/>
      <c r="P162" s="49"/>
      <c r="AD162" s="43"/>
      <c r="AE162" s="43"/>
      <c r="AF162" s="305"/>
      <c r="AG162" s="43"/>
    </row>
    <row r="163" spans="4:33">
      <c r="D163" s="49"/>
      <c r="J163" s="49"/>
      <c r="P163" s="49"/>
      <c r="AD163" s="43"/>
      <c r="AE163" s="43"/>
      <c r="AF163" s="305"/>
      <c r="AG163" s="43"/>
    </row>
    <row r="164" spans="4:33">
      <c r="D164" s="49"/>
      <c r="J164" s="49"/>
      <c r="P164" s="49"/>
      <c r="AD164" s="43"/>
      <c r="AE164" s="43"/>
      <c r="AF164" s="305"/>
      <c r="AG164" s="43"/>
    </row>
    <row r="165" spans="4:33">
      <c r="D165" s="49"/>
      <c r="J165" s="49"/>
      <c r="P165" s="49"/>
      <c r="AD165" s="43"/>
      <c r="AE165" s="43"/>
      <c r="AF165" s="305"/>
      <c r="AG165" s="43"/>
    </row>
    <row r="166" spans="4:33">
      <c r="D166" s="49"/>
      <c r="J166" s="49"/>
      <c r="P166" s="49"/>
      <c r="AD166" s="43"/>
      <c r="AE166" s="43"/>
      <c r="AF166" s="305"/>
      <c r="AG166" s="43"/>
    </row>
    <row r="167" spans="4:33">
      <c r="D167" s="49"/>
      <c r="J167" s="49"/>
      <c r="P167" s="49"/>
      <c r="AD167" s="43"/>
      <c r="AE167" s="43"/>
      <c r="AF167" s="305"/>
      <c r="AG167" s="43"/>
    </row>
    <row r="168" spans="4:33">
      <c r="D168" s="49"/>
      <c r="J168" s="49"/>
      <c r="P168" s="49"/>
      <c r="AD168" s="43"/>
      <c r="AE168" s="43"/>
      <c r="AF168" s="305"/>
      <c r="AG168" s="43"/>
    </row>
    <row r="169" spans="4:33">
      <c r="D169" s="49"/>
      <c r="J169" s="49"/>
      <c r="P169" s="49"/>
      <c r="AD169" s="43"/>
      <c r="AE169" s="43"/>
      <c r="AF169" s="305"/>
      <c r="AG169" s="43"/>
    </row>
    <row r="170" spans="4:33">
      <c r="D170" s="49"/>
      <c r="J170" s="49"/>
      <c r="P170" s="49"/>
      <c r="AD170" s="43"/>
      <c r="AE170" s="43"/>
      <c r="AF170" s="305"/>
      <c r="AG170" s="43"/>
    </row>
    <row r="171" spans="4:33">
      <c r="D171" s="49"/>
      <c r="J171" s="49"/>
      <c r="P171" s="49"/>
      <c r="AD171" s="43"/>
      <c r="AE171" s="43"/>
      <c r="AF171" s="305"/>
      <c r="AG171" s="43"/>
    </row>
    <row r="172" spans="4:33">
      <c r="D172" s="49"/>
      <c r="J172" s="49"/>
      <c r="P172" s="49"/>
      <c r="AD172" s="43"/>
      <c r="AE172" s="43"/>
      <c r="AF172" s="305"/>
      <c r="AG172" s="43"/>
    </row>
    <row r="173" spans="4:33">
      <c r="D173" s="49"/>
      <c r="J173" s="49"/>
      <c r="P173" s="49"/>
      <c r="AD173" s="43"/>
      <c r="AE173" s="43"/>
      <c r="AF173" s="305"/>
      <c r="AG173" s="43"/>
    </row>
    <row r="174" spans="4:33">
      <c r="D174" s="49"/>
      <c r="J174" s="49"/>
      <c r="P174" s="49"/>
      <c r="AD174" s="43"/>
      <c r="AE174" s="43"/>
      <c r="AF174" s="305"/>
      <c r="AG174" s="43"/>
    </row>
    <row r="175" spans="4:33">
      <c r="D175" s="49"/>
      <c r="J175" s="49"/>
      <c r="P175" s="49"/>
      <c r="AD175" s="43"/>
      <c r="AE175" s="43"/>
      <c r="AF175" s="305"/>
      <c r="AG175" s="43"/>
    </row>
    <row r="176" spans="4:33">
      <c r="D176" s="49"/>
      <c r="J176" s="49"/>
      <c r="P176" s="49"/>
      <c r="AD176" s="43"/>
      <c r="AE176" s="43"/>
      <c r="AF176" s="305"/>
      <c r="AG176" s="43"/>
    </row>
    <row r="177" spans="4:33">
      <c r="D177" s="49"/>
      <c r="J177" s="49"/>
      <c r="P177" s="49"/>
      <c r="AD177" s="43"/>
      <c r="AE177" s="43"/>
      <c r="AF177" s="305"/>
      <c r="AG177" s="43"/>
    </row>
    <row r="178" spans="4:33">
      <c r="D178" s="49"/>
      <c r="J178" s="49"/>
      <c r="P178" s="49"/>
      <c r="AD178" s="43"/>
      <c r="AE178" s="43"/>
      <c r="AF178" s="305"/>
      <c r="AG178" s="43"/>
    </row>
    <row r="179" spans="4:33">
      <c r="D179" s="49"/>
      <c r="J179" s="49"/>
      <c r="P179" s="49"/>
      <c r="AD179" s="43"/>
      <c r="AE179" s="43"/>
      <c r="AF179" s="305"/>
      <c r="AG179" s="43"/>
    </row>
    <row r="180" spans="4:33">
      <c r="D180" s="49"/>
      <c r="J180" s="49"/>
      <c r="P180" s="49"/>
      <c r="AD180" s="43"/>
      <c r="AE180" s="43"/>
      <c r="AF180" s="305"/>
      <c r="AG180" s="43"/>
    </row>
    <row r="181" spans="4:33">
      <c r="D181" s="49"/>
      <c r="J181" s="49"/>
      <c r="P181" s="49"/>
      <c r="AD181" s="43"/>
      <c r="AE181" s="43"/>
      <c r="AF181" s="305"/>
      <c r="AG181" s="43"/>
    </row>
    <row r="182" spans="4:33">
      <c r="D182" s="49"/>
      <c r="J182" s="49"/>
      <c r="P182" s="49"/>
      <c r="AD182" s="43"/>
      <c r="AE182" s="43"/>
      <c r="AF182" s="305"/>
      <c r="AG182" s="43"/>
    </row>
    <row r="183" spans="4:33">
      <c r="D183" s="49"/>
      <c r="J183" s="49"/>
      <c r="P183" s="49"/>
      <c r="AD183" s="43"/>
      <c r="AE183" s="43"/>
      <c r="AF183" s="305"/>
      <c r="AG183" s="43"/>
    </row>
    <row r="184" spans="4:33">
      <c r="D184" s="49"/>
      <c r="J184" s="49"/>
      <c r="P184" s="49"/>
      <c r="AD184" s="43"/>
      <c r="AE184" s="43"/>
      <c r="AF184" s="305"/>
      <c r="AG184" s="43"/>
    </row>
    <row r="185" spans="4:33">
      <c r="D185" s="49"/>
      <c r="J185" s="49"/>
      <c r="P185" s="49"/>
      <c r="AD185" s="43"/>
      <c r="AE185" s="43"/>
      <c r="AF185" s="305"/>
      <c r="AG185" s="43"/>
    </row>
    <row r="186" spans="4:33">
      <c r="D186" s="49"/>
      <c r="J186" s="49"/>
      <c r="P186" s="49"/>
      <c r="AD186" s="43"/>
      <c r="AE186" s="43"/>
      <c r="AF186" s="305"/>
      <c r="AG186" s="43"/>
    </row>
    <row r="187" spans="4:33">
      <c r="D187" s="49"/>
      <c r="J187" s="49"/>
      <c r="P187" s="49"/>
      <c r="AD187" s="43"/>
      <c r="AE187" s="43"/>
      <c r="AF187" s="305"/>
      <c r="AG187" s="43"/>
    </row>
    <row r="188" spans="4:33">
      <c r="D188" s="49"/>
      <c r="J188" s="49"/>
      <c r="P188" s="49"/>
      <c r="AD188" s="43"/>
      <c r="AE188" s="43"/>
      <c r="AF188" s="305"/>
      <c r="AG188" s="43"/>
    </row>
    <row r="189" spans="4:33">
      <c r="D189" s="49"/>
      <c r="J189" s="49"/>
      <c r="P189" s="49"/>
      <c r="AD189" s="43"/>
      <c r="AE189" s="43"/>
      <c r="AF189" s="305"/>
      <c r="AG189" s="43"/>
    </row>
    <row r="190" spans="4:33">
      <c r="D190" s="49"/>
      <c r="J190" s="49"/>
      <c r="P190" s="49"/>
      <c r="AD190" s="43"/>
      <c r="AE190" s="43"/>
      <c r="AF190" s="305"/>
      <c r="AG190" s="43"/>
    </row>
    <row r="191" spans="4:33">
      <c r="D191" s="49"/>
      <c r="J191" s="49"/>
      <c r="P191" s="49"/>
      <c r="AD191" s="43"/>
      <c r="AE191" s="43"/>
      <c r="AF191" s="305"/>
      <c r="AG191" s="43"/>
    </row>
    <row r="192" spans="4:33">
      <c r="D192" s="49"/>
      <c r="J192" s="49"/>
      <c r="P192" s="49"/>
      <c r="AD192" s="43"/>
      <c r="AE192" s="43"/>
      <c r="AF192" s="305"/>
      <c r="AG192" s="43"/>
    </row>
    <row r="193" spans="4:33">
      <c r="D193" s="49"/>
      <c r="J193" s="49"/>
      <c r="P193" s="49"/>
      <c r="AD193" s="43"/>
      <c r="AE193" s="43"/>
      <c r="AF193" s="305"/>
      <c r="AG193" s="43"/>
    </row>
    <row r="194" spans="4:33">
      <c r="D194" s="49"/>
      <c r="J194" s="49"/>
      <c r="P194" s="49"/>
      <c r="AD194" s="43"/>
      <c r="AE194" s="43"/>
      <c r="AF194" s="305"/>
      <c r="AG194" s="43"/>
    </row>
    <row r="195" spans="4:33">
      <c r="D195" s="49"/>
      <c r="J195" s="49"/>
      <c r="P195" s="49"/>
      <c r="AD195" s="43"/>
      <c r="AE195" s="43"/>
      <c r="AF195" s="305"/>
      <c r="AG195" s="43"/>
    </row>
    <row r="196" spans="4:33">
      <c r="D196" s="49"/>
      <c r="J196" s="49"/>
      <c r="P196" s="49"/>
      <c r="AD196" s="43"/>
      <c r="AE196" s="43"/>
      <c r="AF196" s="305"/>
      <c r="AG196" s="43"/>
    </row>
    <row r="197" spans="4:33">
      <c r="D197" s="49"/>
      <c r="J197" s="49"/>
      <c r="P197" s="49"/>
      <c r="AD197" s="43"/>
      <c r="AE197" s="43"/>
      <c r="AF197" s="305"/>
      <c r="AG197" s="43"/>
    </row>
    <row r="198" spans="4:33">
      <c r="D198" s="49"/>
      <c r="J198" s="49"/>
      <c r="P198" s="49"/>
      <c r="AD198" s="43"/>
      <c r="AE198" s="43"/>
      <c r="AF198" s="305"/>
      <c r="AG198" s="43"/>
    </row>
    <row r="199" spans="4:33">
      <c r="D199" s="49"/>
      <c r="J199" s="49"/>
      <c r="P199" s="49"/>
      <c r="AD199" s="43"/>
      <c r="AE199" s="43"/>
      <c r="AF199" s="305"/>
      <c r="AG199" s="43"/>
    </row>
    <row r="200" spans="4:33">
      <c r="D200" s="49"/>
      <c r="J200" s="49"/>
      <c r="P200" s="49"/>
      <c r="AD200" s="43"/>
      <c r="AE200" s="43"/>
      <c r="AF200" s="305"/>
      <c r="AG200" s="43"/>
    </row>
    <row r="201" spans="4:33">
      <c r="D201" s="49"/>
      <c r="J201" s="49"/>
      <c r="P201" s="49"/>
      <c r="AD201" s="43"/>
      <c r="AE201" s="43"/>
      <c r="AF201" s="305"/>
      <c r="AG201" s="43"/>
    </row>
    <row r="202" spans="4:33">
      <c r="D202" s="49"/>
      <c r="J202" s="49"/>
      <c r="P202" s="49"/>
      <c r="AD202" s="43"/>
      <c r="AE202" s="43"/>
      <c r="AF202" s="305"/>
      <c r="AG202" s="43"/>
    </row>
    <row r="203" spans="4:33">
      <c r="D203" s="49"/>
      <c r="J203" s="49"/>
      <c r="P203" s="49"/>
      <c r="AD203" s="43"/>
      <c r="AE203" s="43"/>
      <c r="AF203" s="305"/>
      <c r="AG203" s="43"/>
    </row>
    <row r="204" spans="4:33">
      <c r="D204" s="49"/>
      <c r="J204" s="49"/>
      <c r="P204" s="49"/>
      <c r="AD204" s="43"/>
      <c r="AE204" s="43"/>
      <c r="AF204" s="305"/>
      <c r="AG204" s="43"/>
    </row>
    <row r="205" spans="4:33">
      <c r="D205" s="49"/>
      <c r="J205" s="49"/>
      <c r="P205" s="49"/>
      <c r="AD205" s="43"/>
      <c r="AE205" s="43"/>
      <c r="AF205" s="305"/>
      <c r="AG205" s="43"/>
    </row>
    <row r="206" spans="4:33">
      <c r="D206" s="49"/>
      <c r="J206" s="49"/>
      <c r="P206" s="49"/>
      <c r="AD206" s="43"/>
      <c r="AE206" s="43"/>
      <c r="AF206" s="305"/>
      <c r="AG206" s="43"/>
    </row>
    <row r="207" spans="4:33">
      <c r="D207" s="49"/>
      <c r="J207" s="49"/>
      <c r="P207" s="49"/>
      <c r="AD207" s="43"/>
      <c r="AE207" s="43"/>
      <c r="AF207" s="305"/>
      <c r="AG207" s="43"/>
    </row>
    <row r="208" spans="4:33">
      <c r="D208" s="49"/>
      <c r="J208" s="49"/>
      <c r="P208" s="49"/>
      <c r="AD208" s="43"/>
      <c r="AE208" s="43"/>
      <c r="AF208" s="305"/>
      <c r="AG208" s="43"/>
    </row>
    <row r="209" spans="4:33">
      <c r="D209" s="49"/>
      <c r="J209" s="49"/>
      <c r="P209" s="49"/>
      <c r="AD209" s="43"/>
      <c r="AE209" s="43"/>
      <c r="AF209" s="305"/>
      <c r="AG209" s="43"/>
    </row>
    <row r="210" spans="4:33">
      <c r="D210" s="49"/>
      <c r="J210" s="49"/>
      <c r="P210" s="49"/>
      <c r="AD210" s="43"/>
      <c r="AE210" s="43"/>
      <c r="AF210" s="305"/>
      <c r="AG210" s="43"/>
    </row>
    <row r="211" spans="4:33">
      <c r="D211" s="49"/>
      <c r="J211" s="49"/>
      <c r="P211" s="49"/>
      <c r="AD211" s="43"/>
      <c r="AE211" s="43"/>
      <c r="AF211" s="305"/>
      <c r="AG211" s="43"/>
    </row>
    <row r="212" spans="4:33">
      <c r="D212" s="49"/>
      <c r="J212" s="49"/>
      <c r="P212" s="49"/>
      <c r="AD212" s="43"/>
      <c r="AE212" s="43"/>
      <c r="AF212" s="305"/>
      <c r="AG212" s="43"/>
    </row>
    <row r="213" spans="4:33">
      <c r="D213" s="49"/>
      <c r="J213" s="49"/>
      <c r="P213" s="49"/>
      <c r="AD213" s="43"/>
      <c r="AE213" s="43"/>
      <c r="AF213" s="305"/>
      <c r="AG213" s="43"/>
    </row>
    <row r="214" spans="4:33">
      <c r="D214" s="49"/>
      <c r="J214" s="49"/>
      <c r="P214" s="49"/>
      <c r="AD214" s="43"/>
      <c r="AE214" s="43"/>
      <c r="AF214" s="305"/>
      <c r="AG214" s="43"/>
    </row>
    <row r="215" spans="4:33">
      <c r="D215" s="49"/>
      <c r="J215" s="49"/>
      <c r="P215" s="49"/>
      <c r="AD215" s="43"/>
      <c r="AE215" s="43"/>
      <c r="AF215" s="305"/>
      <c r="AG215" s="43"/>
    </row>
    <row r="216" spans="4:33">
      <c r="D216" s="49"/>
      <c r="J216" s="49"/>
      <c r="P216" s="49"/>
      <c r="AD216" s="43"/>
      <c r="AE216" s="43"/>
      <c r="AF216" s="305"/>
      <c r="AG216" s="43"/>
    </row>
    <row r="217" spans="4:33">
      <c r="D217" s="49"/>
      <c r="J217" s="49"/>
      <c r="P217" s="49"/>
      <c r="AD217" s="43"/>
      <c r="AE217" s="43"/>
      <c r="AF217" s="305"/>
      <c r="AG217" s="43"/>
    </row>
    <row r="218" spans="4:33">
      <c r="D218" s="49"/>
      <c r="J218" s="49"/>
      <c r="P218" s="49"/>
      <c r="AD218" s="43"/>
      <c r="AE218" s="43"/>
      <c r="AF218" s="305"/>
      <c r="AG218" s="43"/>
    </row>
    <row r="219" spans="4:33">
      <c r="D219" s="49"/>
      <c r="J219" s="49"/>
      <c r="P219" s="49"/>
      <c r="AD219" s="43"/>
      <c r="AE219" s="43"/>
      <c r="AF219" s="305"/>
      <c r="AG219" s="43"/>
    </row>
    <row r="220" spans="4:33">
      <c r="D220" s="49"/>
      <c r="J220" s="49"/>
      <c r="P220" s="49"/>
      <c r="AD220" s="43"/>
      <c r="AE220" s="43"/>
      <c r="AF220" s="305"/>
      <c r="AG220" s="43"/>
    </row>
    <row r="221" spans="4:33">
      <c r="D221" s="49"/>
      <c r="J221" s="49"/>
      <c r="P221" s="49"/>
      <c r="AD221" s="43"/>
      <c r="AE221" s="43"/>
      <c r="AF221" s="305"/>
      <c r="AG221" s="43"/>
    </row>
    <row r="222" spans="4:33">
      <c r="D222" s="49"/>
      <c r="J222" s="49"/>
      <c r="P222" s="49"/>
      <c r="AD222" s="43"/>
      <c r="AE222" s="43"/>
      <c r="AF222" s="305"/>
      <c r="AG222" s="43"/>
    </row>
    <row r="223" spans="4:33">
      <c r="D223" s="49"/>
      <c r="J223" s="49"/>
      <c r="P223" s="49"/>
      <c r="AD223" s="43"/>
      <c r="AE223" s="43"/>
      <c r="AF223" s="305"/>
      <c r="AG223" s="43"/>
    </row>
    <row r="224" spans="4:33">
      <c r="D224" s="49"/>
      <c r="J224" s="49"/>
      <c r="P224" s="49"/>
      <c r="AD224" s="43"/>
      <c r="AE224" s="43"/>
      <c r="AF224" s="305"/>
      <c r="AG224" s="43"/>
    </row>
    <row r="225" spans="4:33">
      <c r="D225" s="49"/>
      <c r="J225" s="49"/>
      <c r="P225" s="49"/>
      <c r="AD225" s="43"/>
      <c r="AE225" s="43"/>
      <c r="AF225" s="305"/>
      <c r="AG225" s="43"/>
    </row>
    <row r="226" spans="4:33">
      <c r="D226" s="49"/>
      <c r="J226" s="49"/>
      <c r="P226" s="49"/>
      <c r="AD226" s="43"/>
      <c r="AE226" s="43"/>
      <c r="AF226" s="305"/>
      <c r="AG226" s="43"/>
    </row>
    <row r="227" spans="4:33">
      <c r="D227" s="49"/>
      <c r="J227" s="49"/>
      <c r="P227" s="49"/>
      <c r="AD227" s="43"/>
      <c r="AE227" s="43"/>
      <c r="AF227" s="305"/>
      <c r="AG227" s="43"/>
    </row>
    <row r="228" spans="4:33">
      <c r="D228" s="49"/>
      <c r="J228" s="49"/>
      <c r="P228" s="49"/>
      <c r="AD228" s="43"/>
      <c r="AE228" s="43"/>
      <c r="AF228" s="305"/>
      <c r="AG228" s="43"/>
    </row>
    <row r="229" spans="4:33">
      <c r="D229" s="49"/>
      <c r="J229" s="49"/>
      <c r="P229" s="49"/>
      <c r="AD229" s="43"/>
      <c r="AE229" s="43"/>
      <c r="AF229" s="305"/>
      <c r="AG229" s="43"/>
    </row>
    <row r="230" spans="4:33">
      <c r="D230" s="49"/>
      <c r="J230" s="49"/>
      <c r="P230" s="49"/>
      <c r="AD230" s="43"/>
      <c r="AE230" s="43"/>
      <c r="AF230" s="305"/>
      <c r="AG230" s="43"/>
    </row>
    <row r="231" spans="4:33">
      <c r="D231" s="49"/>
      <c r="J231" s="49"/>
      <c r="P231" s="49"/>
      <c r="AD231" s="43"/>
      <c r="AE231" s="43"/>
      <c r="AF231" s="305"/>
      <c r="AG231" s="43"/>
    </row>
    <row r="232" spans="4:33">
      <c r="D232" s="49"/>
      <c r="J232" s="49"/>
      <c r="P232" s="49"/>
      <c r="AD232" s="43"/>
      <c r="AE232" s="43"/>
      <c r="AF232" s="305"/>
      <c r="AG232" s="43"/>
    </row>
    <row r="233" spans="4:33">
      <c r="D233" s="49"/>
      <c r="J233" s="49"/>
      <c r="P233" s="49"/>
      <c r="AD233" s="43"/>
      <c r="AE233" s="43"/>
      <c r="AF233" s="305"/>
      <c r="AG233" s="43"/>
    </row>
    <row r="234" spans="4:33">
      <c r="D234" s="49"/>
      <c r="J234" s="49"/>
      <c r="P234" s="49"/>
      <c r="AD234" s="43"/>
      <c r="AE234" s="43"/>
      <c r="AF234" s="305"/>
      <c r="AG234" s="43"/>
    </row>
    <row r="235" spans="4:33">
      <c r="D235" s="49"/>
      <c r="J235" s="49"/>
      <c r="P235" s="49"/>
      <c r="AD235" s="43"/>
      <c r="AE235" s="43"/>
      <c r="AF235" s="305"/>
      <c r="AG235" s="43"/>
    </row>
    <row r="236" spans="4:33">
      <c r="D236" s="49"/>
      <c r="J236" s="49"/>
      <c r="P236" s="49"/>
      <c r="AD236" s="43"/>
      <c r="AE236" s="43"/>
      <c r="AF236" s="305"/>
      <c r="AG236" s="43"/>
    </row>
    <row r="237" spans="4:33">
      <c r="D237" s="49"/>
      <c r="J237" s="49"/>
      <c r="P237" s="49"/>
      <c r="AD237" s="43"/>
      <c r="AE237" s="43"/>
      <c r="AF237" s="305"/>
      <c r="AG237" s="43"/>
    </row>
    <row r="238" spans="4:33">
      <c r="D238" s="49"/>
      <c r="J238" s="49"/>
      <c r="P238" s="49"/>
      <c r="AD238" s="43"/>
      <c r="AE238" s="43"/>
      <c r="AF238" s="305"/>
      <c r="AG238" s="43"/>
    </row>
    <row r="239" spans="4:33">
      <c r="D239" s="49"/>
      <c r="J239" s="49"/>
      <c r="P239" s="49"/>
      <c r="AD239" s="43"/>
      <c r="AE239" s="43"/>
      <c r="AF239" s="305"/>
      <c r="AG239" s="43"/>
    </row>
    <row r="240" spans="4:33">
      <c r="D240" s="49"/>
      <c r="J240" s="49"/>
      <c r="P240" s="49"/>
      <c r="AD240" s="43"/>
      <c r="AE240" s="43"/>
      <c r="AF240" s="305"/>
      <c r="AG240" s="43"/>
    </row>
    <row r="241" spans="4:33">
      <c r="D241" s="49"/>
      <c r="J241" s="49"/>
      <c r="P241" s="49"/>
      <c r="AD241" s="43"/>
      <c r="AE241" s="43"/>
      <c r="AF241" s="305"/>
      <c r="AG241" s="43"/>
    </row>
    <row r="242" spans="4:33">
      <c r="D242" s="49"/>
      <c r="J242" s="49"/>
      <c r="P242" s="49"/>
      <c r="AD242" s="43"/>
      <c r="AE242" s="43"/>
      <c r="AF242" s="305"/>
      <c r="AG242" s="43"/>
    </row>
    <row r="243" spans="4:33">
      <c r="D243" s="49"/>
      <c r="J243" s="49"/>
      <c r="P243" s="49"/>
      <c r="AD243" s="43"/>
      <c r="AE243" s="43"/>
      <c r="AF243" s="305"/>
      <c r="AG243" s="43"/>
    </row>
    <row r="244" spans="4:33">
      <c r="D244" s="49"/>
      <c r="J244" s="49"/>
      <c r="P244" s="49"/>
      <c r="AD244" s="43"/>
      <c r="AE244" s="43"/>
      <c r="AF244" s="305"/>
      <c r="AG244" s="43"/>
    </row>
    <row r="245" spans="4:33">
      <c r="D245" s="49"/>
      <c r="J245" s="49"/>
      <c r="P245" s="49"/>
      <c r="AD245" s="43"/>
      <c r="AE245" s="43"/>
      <c r="AF245" s="305"/>
      <c r="AG245" s="43"/>
    </row>
    <row r="246" spans="4:33">
      <c r="D246" s="49"/>
      <c r="J246" s="49"/>
      <c r="P246" s="49"/>
      <c r="AD246" s="43"/>
      <c r="AE246" s="43"/>
      <c r="AF246" s="305"/>
      <c r="AG246" s="43"/>
    </row>
    <row r="247" spans="4:33">
      <c r="D247" s="49"/>
      <c r="J247" s="49"/>
      <c r="P247" s="49"/>
      <c r="AD247" s="43"/>
      <c r="AE247" s="43"/>
      <c r="AF247" s="305"/>
      <c r="AG247" s="43"/>
    </row>
    <row r="248" spans="4:33">
      <c r="D248" s="49"/>
      <c r="J248" s="49"/>
      <c r="P248" s="49"/>
      <c r="AD248" s="43"/>
      <c r="AE248" s="43"/>
      <c r="AF248" s="305"/>
      <c r="AG248" s="43"/>
    </row>
    <row r="249" spans="4:33">
      <c r="D249" s="49"/>
      <c r="J249" s="49"/>
      <c r="P249" s="49"/>
      <c r="AD249" s="43"/>
      <c r="AE249" s="43"/>
      <c r="AF249" s="305"/>
      <c r="AG249" s="43"/>
    </row>
    <row r="250" spans="4:33">
      <c r="D250" s="49"/>
      <c r="J250" s="49"/>
      <c r="P250" s="49"/>
      <c r="AD250" s="43"/>
      <c r="AE250" s="43"/>
      <c r="AF250" s="305"/>
      <c r="AG250" s="43"/>
    </row>
    <row r="251" spans="4:33">
      <c r="D251" s="49"/>
      <c r="J251" s="49"/>
      <c r="P251" s="49"/>
      <c r="AD251" s="43"/>
      <c r="AE251" s="43"/>
      <c r="AF251" s="305"/>
      <c r="AG251" s="43"/>
    </row>
    <row r="252" spans="4:33">
      <c r="D252" s="49"/>
      <c r="J252" s="49"/>
      <c r="P252" s="49"/>
      <c r="AD252" s="43"/>
      <c r="AE252" s="43"/>
      <c r="AF252" s="305"/>
      <c r="AG252" s="43"/>
    </row>
    <row r="253" spans="4:33">
      <c r="D253" s="49"/>
      <c r="J253" s="49"/>
      <c r="P253" s="49"/>
      <c r="AD253" s="43"/>
      <c r="AE253" s="43"/>
      <c r="AF253" s="305"/>
      <c r="AG253" s="43"/>
    </row>
    <row r="254" spans="4:33">
      <c r="D254" s="49"/>
      <c r="J254" s="49"/>
      <c r="P254" s="49"/>
      <c r="AD254" s="43"/>
      <c r="AE254" s="43"/>
      <c r="AF254" s="305"/>
      <c r="AG254" s="43"/>
    </row>
    <row r="255" spans="4:33">
      <c r="D255" s="49"/>
      <c r="J255" s="49"/>
      <c r="P255" s="49"/>
      <c r="AD255" s="43"/>
      <c r="AE255" s="43"/>
      <c r="AF255" s="305"/>
      <c r="AG255" s="43"/>
    </row>
    <row r="256" spans="4:33">
      <c r="D256" s="49"/>
      <c r="J256" s="49"/>
      <c r="P256" s="49"/>
      <c r="AD256" s="43"/>
      <c r="AE256" s="43"/>
      <c r="AF256" s="305"/>
      <c r="AG256" s="43"/>
    </row>
    <row r="257" spans="4:33">
      <c r="D257" s="49"/>
      <c r="J257" s="49"/>
      <c r="P257" s="49"/>
      <c r="AD257" s="43"/>
      <c r="AE257" s="43"/>
      <c r="AF257" s="305"/>
      <c r="AG257" s="43"/>
    </row>
    <row r="258" spans="4:33">
      <c r="D258" s="49"/>
      <c r="J258" s="49"/>
      <c r="P258" s="49"/>
      <c r="AD258" s="43"/>
      <c r="AE258" s="43"/>
      <c r="AF258" s="305"/>
      <c r="AG258" s="43"/>
    </row>
    <row r="259" spans="4:33">
      <c r="D259" s="49"/>
      <c r="J259" s="49"/>
      <c r="P259" s="49"/>
      <c r="AD259" s="43"/>
      <c r="AE259" s="43"/>
      <c r="AF259" s="305"/>
      <c r="AG259" s="43"/>
    </row>
    <row r="260" spans="4:33">
      <c r="D260" s="49"/>
      <c r="J260" s="49"/>
      <c r="P260" s="49"/>
      <c r="AD260" s="43"/>
      <c r="AE260" s="43"/>
      <c r="AF260" s="305"/>
      <c r="AG260" s="43"/>
    </row>
    <row r="261" spans="4:33">
      <c r="D261" s="49"/>
      <c r="J261" s="49"/>
      <c r="P261" s="49"/>
      <c r="AD261" s="43"/>
      <c r="AE261" s="43"/>
      <c r="AF261" s="305"/>
      <c r="AG261" s="43"/>
    </row>
    <row r="262" spans="4:33">
      <c r="D262" s="49"/>
      <c r="J262" s="49"/>
      <c r="P262" s="49"/>
      <c r="AD262" s="43"/>
      <c r="AE262" s="43"/>
      <c r="AF262" s="305"/>
      <c r="AG262" s="43"/>
    </row>
    <row r="263" spans="4:33">
      <c r="D263" s="49"/>
      <c r="J263" s="49"/>
      <c r="P263" s="49"/>
      <c r="AD263" s="43"/>
      <c r="AE263" s="43"/>
      <c r="AF263" s="305"/>
      <c r="AG263" s="43"/>
    </row>
    <row r="264" spans="4:33">
      <c r="D264" s="49"/>
      <c r="J264" s="49"/>
      <c r="P264" s="49"/>
      <c r="AD264" s="43"/>
      <c r="AE264" s="43"/>
      <c r="AF264" s="305"/>
      <c r="AG264" s="43"/>
    </row>
    <row r="265" spans="4:33">
      <c r="D265" s="49"/>
      <c r="J265" s="49"/>
      <c r="P265" s="49"/>
      <c r="AD265" s="43"/>
      <c r="AE265" s="43"/>
      <c r="AF265" s="305"/>
      <c r="AG265" s="43"/>
    </row>
    <row r="266" spans="4:33">
      <c r="D266" s="49"/>
      <c r="J266" s="49"/>
      <c r="P266" s="49"/>
      <c r="AD266" s="43"/>
      <c r="AE266" s="43"/>
      <c r="AF266" s="305"/>
      <c r="AG266" s="43"/>
    </row>
    <row r="267" spans="4:33">
      <c r="D267" s="49"/>
      <c r="J267" s="49"/>
      <c r="P267" s="49"/>
      <c r="AD267" s="43"/>
      <c r="AE267" s="43"/>
      <c r="AF267" s="305"/>
      <c r="AG267" s="43"/>
    </row>
    <row r="268" spans="4:33">
      <c r="D268" s="49"/>
      <c r="J268" s="49"/>
      <c r="P268" s="49"/>
      <c r="AD268" s="43"/>
      <c r="AE268" s="43"/>
      <c r="AF268" s="305"/>
      <c r="AG268" s="43"/>
    </row>
    <row r="269" spans="4:33">
      <c r="D269" s="49"/>
      <c r="J269" s="49"/>
      <c r="P269" s="49"/>
      <c r="AD269" s="43"/>
      <c r="AE269" s="43"/>
      <c r="AF269" s="305"/>
      <c r="AG269" s="43"/>
    </row>
    <row r="270" spans="4:33">
      <c r="D270" s="49"/>
      <c r="J270" s="49"/>
      <c r="P270" s="49"/>
      <c r="AD270" s="43"/>
      <c r="AE270" s="43"/>
      <c r="AF270" s="305"/>
      <c r="AG270" s="43"/>
    </row>
    <row r="271" spans="4:33">
      <c r="D271" s="49"/>
      <c r="J271" s="49"/>
      <c r="P271" s="49"/>
      <c r="AD271" s="43"/>
      <c r="AE271" s="43"/>
      <c r="AF271" s="305"/>
      <c r="AG271" s="43"/>
    </row>
    <row r="272" spans="4:33">
      <c r="D272" s="49"/>
      <c r="J272" s="49"/>
      <c r="P272" s="49"/>
      <c r="AD272" s="43"/>
      <c r="AE272" s="43"/>
      <c r="AF272" s="305"/>
      <c r="AG272" s="43"/>
    </row>
    <row r="273" spans="4:33">
      <c r="D273" s="49"/>
      <c r="J273" s="49"/>
      <c r="P273" s="49"/>
      <c r="AD273" s="43"/>
      <c r="AE273" s="43"/>
      <c r="AF273" s="305"/>
      <c r="AG273" s="43"/>
    </row>
    <row r="274" spans="4:33">
      <c r="D274" s="49"/>
      <c r="J274" s="49"/>
      <c r="P274" s="49"/>
      <c r="AD274" s="43"/>
      <c r="AE274" s="43"/>
      <c r="AF274" s="305"/>
      <c r="AG274" s="43"/>
    </row>
    <row r="275" spans="4:33">
      <c r="D275" s="49"/>
      <c r="J275" s="49"/>
      <c r="P275" s="49"/>
      <c r="AD275" s="43"/>
      <c r="AE275" s="43"/>
      <c r="AF275" s="305"/>
      <c r="AG275" s="43"/>
    </row>
    <row r="276" spans="4:33">
      <c r="D276" s="49"/>
      <c r="J276" s="49"/>
      <c r="P276" s="49"/>
      <c r="AD276" s="43"/>
      <c r="AE276" s="43"/>
      <c r="AF276" s="305"/>
      <c r="AG276" s="43"/>
    </row>
    <row r="277" spans="4:33">
      <c r="D277" s="49"/>
      <c r="J277" s="49"/>
      <c r="P277" s="49"/>
      <c r="AD277" s="43"/>
      <c r="AE277" s="43"/>
      <c r="AF277" s="305"/>
      <c r="AG277" s="43"/>
    </row>
    <row r="278" spans="4:33">
      <c r="D278" s="49"/>
      <c r="J278" s="49"/>
      <c r="P278" s="49"/>
      <c r="AD278" s="43"/>
      <c r="AE278" s="43"/>
      <c r="AF278" s="305"/>
      <c r="AG278" s="43"/>
    </row>
    <row r="279" spans="4:33">
      <c r="D279" s="49"/>
      <c r="J279" s="49"/>
      <c r="P279" s="49"/>
      <c r="AD279" s="43"/>
      <c r="AE279" s="43"/>
      <c r="AF279" s="305"/>
      <c r="AG279" s="43"/>
    </row>
    <row r="280" spans="4:33">
      <c r="D280" s="49"/>
      <c r="J280" s="49"/>
      <c r="P280" s="49"/>
      <c r="AD280" s="43"/>
      <c r="AE280" s="43"/>
      <c r="AF280" s="305"/>
      <c r="AG280" s="43"/>
    </row>
    <row r="281" spans="4:33">
      <c r="D281" s="49"/>
      <c r="J281" s="49"/>
      <c r="P281" s="49"/>
      <c r="AD281" s="43"/>
      <c r="AE281" s="43"/>
      <c r="AF281" s="305"/>
      <c r="AG281" s="43"/>
    </row>
    <row r="282" spans="4:33">
      <c r="D282" s="49"/>
      <c r="J282" s="49"/>
      <c r="P282" s="49"/>
      <c r="AD282" s="43"/>
      <c r="AE282" s="43"/>
      <c r="AF282" s="305"/>
      <c r="AG282" s="43"/>
    </row>
    <row r="283" spans="4:33">
      <c r="D283" s="49"/>
      <c r="J283" s="49"/>
      <c r="P283" s="49"/>
      <c r="AD283" s="43"/>
      <c r="AE283" s="43"/>
      <c r="AF283" s="305"/>
      <c r="AG283" s="43"/>
    </row>
    <row r="284" spans="4:33">
      <c r="D284" s="49"/>
      <c r="J284" s="49"/>
      <c r="P284" s="49"/>
      <c r="AD284" s="43"/>
      <c r="AE284" s="43"/>
      <c r="AF284" s="305"/>
      <c r="AG284" s="43"/>
    </row>
    <row r="285" spans="4:33">
      <c r="D285" s="49"/>
      <c r="J285" s="49"/>
      <c r="P285" s="49"/>
      <c r="AD285" s="43"/>
      <c r="AE285" s="43"/>
      <c r="AF285" s="305"/>
      <c r="AG285" s="43"/>
    </row>
    <row r="286" spans="4:33">
      <c r="D286" s="49"/>
      <c r="J286" s="49"/>
      <c r="P286" s="49"/>
      <c r="AD286" s="43"/>
      <c r="AE286" s="43"/>
      <c r="AF286" s="305"/>
      <c r="AG286" s="43"/>
    </row>
    <row r="287" spans="4:33">
      <c r="D287" s="49"/>
      <c r="J287" s="49"/>
      <c r="P287" s="49"/>
      <c r="AD287" s="43"/>
      <c r="AE287" s="43"/>
      <c r="AF287" s="305"/>
      <c r="AG287" s="43"/>
    </row>
    <row r="288" spans="4:33">
      <c r="D288" s="49"/>
      <c r="J288" s="49"/>
      <c r="P288" s="49"/>
      <c r="AD288" s="43"/>
      <c r="AE288" s="43"/>
      <c r="AF288" s="305"/>
      <c r="AG288" s="43"/>
    </row>
    <row r="289" spans="4:33">
      <c r="D289" s="49"/>
      <c r="J289" s="49"/>
      <c r="P289" s="49"/>
      <c r="AD289" s="43"/>
      <c r="AE289" s="43"/>
      <c r="AF289" s="305"/>
      <c r="AG289" s="43"/>
    </row>
    <row r="290" spans="4:33">
      <c r="D290" s="49"/>
      <c r="J290" s="49"/>
      <c r="P290" s="49"/>
      <c r="AD290" s="43"/>
      <c r="AE290" s="43"/>
      <c r="AF290" s="305"/>
      <c r="AG290" s="43"/>
    </row>
    <row r="291" spans="4:33">
      <c r="D291" s="49"/>
      <c r="J291" s="49"/>
      <c r="P291" s="49"/>
      <c r="AD291" s="43"/>
      <c r="AE291" s="43"/>
      <c r="AF291" s="305"/>
      <c r="AG291" s="43"/>
    </row>
    <row r="292" spans="4:33">
      <c r="D292" s="49"/>
      <c r="J292" s="49"/>
      <c r="P292" s="49"/>
      <c r="AD292" s="43"/>
      <c r="AE292" s="43"/>
      <c r="AF292" s="305"/>
      <c r="AG292" s="43"/>
    </row>
    <row r="293" spans="4:33">
      <c r="D293" s="49"/>
      <c r="J293" s="49"/>
      <c r="P293" s="49"/>
      <c r="AD293" s="43"/>
      <c r="AE293" s="43"/>
      <c r="AF293" s="305"/>
      <c r="AG293" s="43"/>
    </row>
    <row r="294" spans="4:33">
      <c r="D294" s="49"/>
      <c r="J294" s="49"/>
      <c r="P294" s="49"/>
      <c r="AD294" s="43"/>
      <c r="AE294" s="43"/>
      <c r="AF294" s="305"/>
      <c r="AG294" s="43"/>
    </row>
    <row r="295" spans="4:33">
      <c r="D295" s="49"/>
      <c r="J295" s="49"/>
      <c r="P295" s="49"/>
      <c r="AD295" s="43"/>
      <c r="AE295" s="43"/>
      <c r="AF295" s="305"/>
      <c r="AG295" s="43"/>
    </row>
    <row r="296" spans="4:33">
      <c r="D296" s="49"/>
      <c r="J296" s="49"/>
      <c r="P296" s="49"/>
      <c r="AD296" s="43"/>
      <c r="AE296" s="43"/>
      <c r="AF296" s="305"/>
      <c r="AG296" s="43"/>
    </row>
    <row r="297" spans="4:33">
      <c r="D297" s="49"/>
      <c r="J297" s="49"/>
      <c r="P297" s="49"/>
      <c r="AD297" s="43"/>
      <c r="AE297" s="43"/>
      <c r="AF297" s="305"/>
      <c r="AG297" s="43"/>
    </row>
    <row r="298" spans="4:33">
      <c r="D298" s="49"/>
      <c r="J298" s="49"/>
      <c r="P298" s="49"/>
      <c r="AD298" s="43"/>
      <c r="AE298" s="43"/>
      <c r="AF298" s="305"/>
      <c r="AG298" s="43"/>
    </row>
    <row r="299" spans="4:33">
      <c r="D299" s="49"/>
      <c r="J299" s="49"/>
      <c r="P299" s="49"/>
      <c r="AD299" s="43"/>
      <c r="AE299" s="43"/>
      <c r="AF299" s="305"/>
      <c r="AG299" s="43"/>
    </row>
    <row r="300" spans="4:33">
      <c r="D300" s="49"/>
      <c r="J300" s="49"/>
      <c r="P300" s="49"/>
      <c r="AD300" s="43"/>
      <c r="AE300" s="43"/>
      <c r="AF300" s="305"/>
      <c r="AG300" s="43"/>
    </row>
    <row r="301" spans="4:33">
      <c r="D301" s="49"/>
      <c r="J301" s="49"/>
      <c r="P301" s="49"/>
      <c r="AD301" s="43"/>
      <c r="AE301" s="43"/>
      <c r="AF301" s="305"/>
      <c r="AG301" s="43"/>
    </row>
    <row r="302" spans="4:33">
      <c r="D302" s="49"/>
      <c r="J302" s="49"/>
      <c r="P302" s="49"/>
      <c r="AD302" s="43"/>
      <c r="AE302" s="43"/>
      <c r="AF302" s="305"/>
      <c r="AG302" s="43"/>
    </row>
    <row r="303" spans="4:33">
      <c r="D303" s="49"/>
      <c r="J303" s="49"/>
      <c r="P303" s="49"/>
      <c r="AD303" s="43"/>
      <c r="AE303" s="43"/>
      <c r="AF303" s="305"/>
      <c r="AG303" s="43"/>
    </row>
    <row r="304" spans="4:33">
      <c r="D304" s="49"/>
      <c r="J304" s="49"/>
      <c r="P304" s="49"/>
      <c r="AD304" s="43"/>
      <c r="AE304" s="43"/>
      <c r="AF304" s="305"/>
      <c r="AG304" s="43"/>
    </row>
    <row r="305" spans="4:33">
      <c r="D305" s="49"/>
      <c r="J305" s="49"/>
      <c r="P305" s="49"/>
      <c r="AD305" s="43"/>
      <c r="AE305" s="43"/>
      <c r="AF305" s="305"/>
      <c r="AG305" s="43"/>
    </row>
    <row r="306" spans="4:33">
      <c r="D306" s="49"/>
      <c r="J306" s="49"/>
      <c r="P306" s="49"/>
      <c r="AD306" s="43"/>
      <c r="AE306" s="43"/>
      <c r="AF306" s="305"/>
      <c r="AG306" s="43"/>
    </row>
    <row r="307" spans="4:33">
      <c r="D307" s="49"/>
      <c r="J307" s="49"/>
      <c r="P307" s="49"/>
      <c r="AD307" s="43"/>
      <c r="AE307" s="43"/>
      <c r="AF307" s="305"/>
      <c r="AG307" s="43"/>
    </row>
    <row r="308" spans="4:33">
      <c r="D308" s="49"/>
      <c r="J308" s="49"/>
      <c r="P308" s="49"/>
      <c r="AD308" s="43"/>
      <c r="AE308" s="43"/>
      <c r="AF308" s="305"/>
      <c r="AG308" s="43"/>
    </row>
    <row r="309" spans="4:33">
      <c r="D309" s="49"/>
      <c r="J309" s="49"/>
      <c r="P309" s="49"/>
      <c r="AD309" s="43"/>
      <c r="AE309" s="43"/>
      <c r="AF309" s="305"/>
      <c r="AG309" s="43"/>
    </row>
    <row r="310" spans="4:33">
      <c r="D310" s="49"/>
      <c r="J310" s="49"/>
      <c r="P310" s="49"/>
      <c r="AD310" s="43"/>
      <c r="AE310" s="43"/>
      <c r="AF310" s="305"/>
      <c r="AG310" s="43"/>
    </row>
    <row r="311" spans="4:33">
      <c r="D311" s="49"/>
      <c r="J311" s="49"/>
      <c r="P311" s="49"/>
      <c r="AD311" s="43"/>
      <c r="AE311" s="43"/>
      <c r="AF311" s="305"/>
      <c r="AG311" s="43"/>
    </row>
    <row r="312" spans="4:33">
      <c r="D312" s="49"/>
      <c r="J312" s="49"/>
      <c r="P312" s="49"/>
      <c r="AD312" s="43"/>
      <c r="AE312" s="43"/>
      <c r="AF312" s="305"/>
      <c r="AG312" s="43"/>
    </row>
    <row r="313" spans="4:33">
      <c r="D313" s="49"/>
      <c r="J313" s="49"/>
      <c r="P313" s="49"/>
      <c r="AD313" s="43"/>
      <c r="AE313" s="43"/>
      <c r="AF313" s="305"/>
      <c r="AG313" s="43"/>
    </row>
    <row r="314" spans="4:33">
      <c r="D314" s="49"/>
      <c r="J314" s="49"/>
      <c r="P314" s="49"/>
      <c r="AD314" s="43"/>
      <c r="AE314" s="43"/>
      <c r="AF314" s="305"/>
      <c r="AG314" s="43"/>
    </row>
    <row r="315" spans="4:33">
      <c r="D315" s="49"/>
      <c r="J315" s="49"/>
      <c r="P315" s="49"/>
      <c r="AD315" s="43"/>
      <c r="AE315" s="43"/>
      <c r="AF315" s="305"/>
      <c r="AG315" s="43"/>
    </row>
    <row r="316" spans="4:33">
      <c r="D316" s="49"/>
      <c r="J316" s="49"/>
      <c r="P316" s="49"/>
      <c r="AD316" s="43"/>
      <c r="AE316" s="43"/>
      <c r="AF316" s="305"/>
      <c r="AG316" s="43"/>
    </row>
    <row r="317" spans="4:33">
      <c r="D317" s="49"/>
      <c r="J317" s="49"/>
      <c r="P317" s="49"/>
      <c r="AD317" s="43"/>
      <c r="AE317" s="43"/>
      <c r="AF317" s="305"/>
      <c r="AG317" s="43"/>
    </row>
    <row r="318" spans="4:33">
      <c r="D318" s="49"/>
      <c r="J318" s="49"/>
      <c r="P318" s="49"/>
      <c r="AD318" s="43"/>
      <c r="AE318" s="43"/>
      <c r="AF318" s="305"/>
      <c r="AG318" s="43"/>
    </row>
    <row r="319" spans="4:33">
      <c r="D319" s="49"/>
      <c r="J319" s="49"/>
      <c r="P319" s="49"/>
      <c r="AD319" s="43"/>
      <c r="AE319" s="43"/>
      <c r="AF319" s="305"/>
      <c r="AG319" s="43"/>
    </row>
    <row r="320" spans="4:33">
      <c r="D320" s="49"/>
      <c r="J320" s="49"/>
      <c r="P320" s="49"/>
      <c r="AD320" s="43"/>
      <c r="AE320" s="43"/>
      <c r="AF320" s="305"/>
      <c r="AG320" s="43"/>
    </row>
    <row r="321" spans="4:33">
      <c r="D321" s="49"/>
      <c r="J321" s="49"/>
      <c r="P321" s="49"/>
      <c r="AD321" s="43"/>
      <c r="AE321" s="43"/>
      <c r="AF321" s="305"/>
      <c r="AG321" s="43"/>
    </row>
    <row r="322" spans="4:33">
      <c r="D322" s="49"/>
      <c r="J322" s="49"/>
      <c r="P322" s="49"/>
      <c r="AD322" s="43"/>
      <c r="AE322" s="43"/>
      <c r="AF322" s="305"/>
      <c r="AG322" s="43"/>
    </row>
    <row r="323" spans="4:33">
      <c r="D323" s="49"/>
      <c r="J323" s="49"/>
      <c r="P323" s="49"/>
      <c r="AD323" s="43"/>
      <c r="AE323" s="43"/>
      <c r="AF323" s="305"/>
      <c r="AG323" s="43"/>
    </row>
    <row r="324" spans="4:33">
      <c r="D324" s="49"/>
      <c r="J324" s="49"/>
      <c r="P324" s="49"/>
      <c r="AD324" s="43"/>
      <c r="AE324" s="43"/>
      <c r="AF324" s="305"/>
      <c r="AG324" s="43"/>
    </row>
    <row r="325" spans="4:33">
      <c r="D325" s="49"/>
      <c r="J325" s="49"/>
      <c r="P325" s="49"/>
      <c r="AD325" s="43"/>
      <c r="AE325" s="43"/>
      <c r="AF325" s="305"/>
      <c r="AG325" s="43"/>
    </row>
    <row r="326" spans="4:33">
      <c r="D326" s="49"/>
      <c r="J326" s="49"/>
      <c r="P326" s="49"/>
      <c r="AD326" s="43"/>
      <c r="AE326" s="43"/>
      <c r="AF326" s="305"/>
      <c r="AG326" s="43"/>
    </row>
    <row r="327" spans="4:33">
      <c r="D327" s="49"/>
      <c r="J327" s="49"/>
      <c r="P327" s="49"/>
      <c r="AD327" s="43"/>
      <c r="AE327" s="43"/>
      <c r="AF327" s="305"/>
      <c r="AG327" s="43"/>
    </row>
    <row r="328" spans="4:33">
      <c r="D328" s="49"/>
      <c r="J328" s="49"/>
      <c r="P328" s="49"/>
      <c r="AD328" s="43"/>
      <c r="AE328" s="43"/>
      <c r="AF328" s="305"/>
      <c r="AG328" s="43"/>
    </row>
    <row r="329" spans="4:33">
      <c r="D329" s="49"/>
      <c r="J329" s="49"/>
      <c r="P329" s="49"/>
      <c r="AD329" s="43"/>
      <c r="AE329" s="43"/>
      <c r="AF329" s="305"/>
      <c r="AG329" s="43"/>
    </row>
    <row r="330" spans="4:33">
      <c r="D330" s="49"/>
      <c r="J330" s="49"/>
      <c r="P330" s="49"/>
      <c r="AD330" s="43"/>
      <c r="AE330" s="43"/>
      <c r="AF330" s="305"/>
      <c r="AG330" s="43"/>
    </row>
    <row r="331" spans="4:33">
      <c r="D331" s="49"/>
      <c r="J331" s="49"/>
      <c r="P331" s="49"/>
      <c r="AD331" s="43"/>
      <c r="AE331" s="43"/>
      <c r="AF331" s="305"/>
      <c r="AG331" s="43"/>
    </row>
    <row r="332" spans="4:33">
      <c r="D332" s="49"/>
      <c r="J332" s="49"/>
      <c r="P332" s="49"/>
      <c r="AD332" s="43"/>
      <c r="AE332" s="43"/>
      <c r="AF332" s="305"/>
      <c r="AG332" s="43"/>
    </row>
    <row r="333" spans="4:33">
      <c r="D333" s="49"/>
      <c r="J333" s="49"/>
      <c r="P333" s="49"/>
      <c r="AD333" s="43"/>
      <c r="AE333" s="43"/>
      <c r="AF333" s="305"/>
      <c r="AG333" s="43"/>
    </row>
    <row r="334" spans="4:33">
      <c r="D334" s="49"/>
      <c r="J334" s="49"/>
      <c r="P334" s="49"/>
      <c r="AD334" s="43"/>
      <c r="AE334" s="43"/>
      <c r="AF334" s="305"/>
      <c r="AG334" s="43"/>
    </row>
    <row r="335" spans="4:33">
      <c r="D335" s="49"/>
      <c r="J335" s="49"/>
      <c r="P335" s="49"/>
      <c r="AD335" s="43"/>
      <c r="AE335" s="43"/>
      <c r="AF335" s="305"/>
      <c r="AG335" s="43"/>
    </row>
    <row r="336" spans="4:33">
      <c r="D336" s="49"/>
      <c r="J336" s="49"/>
      <c r="P336" s="49"/>
      <c r="AD336" s="43"/>
      <c r="AE336" s="43"/>
      <c r="AF336" s="305"/>
      <c r="AG336" s="43"/>
    </row>
    <row r="337" spans="4:33">
      <c r="D337" s="49"/>
      <c r="J337" s="49"/>
      <c r="P337" s="49"/>
      <c r="AD337" s="43"/>
      <c r="AE337" s="43"/>
      <c r="AF337" s="305"/>
      <c r="AG337" s="43"/>
    </row>
    <row r="338" spans="4:33">
      <c r="D338" s="49"/>
      <c r="J338" s="49"/>
      <c r="P338" s="49"/>
      <c r="AD338" s="43"/>
      <c r="AE338" s="43"/>
      <c r="AF338" s="305"/>
      <c r="AG338" s="43"/>
    </row>
    <row r="339" spans="4:33">
      <c r="D339" s="49"/>
      <c r="J339" s="49"/>
      <c r="P339" s="49"/>
      <c r="AD339" s="43"/>
      <c r="AE339" s="43"/>
      <c r="AF339" s="305"/>
      <c r="AG339" s="43"/>
    </row>
    <row r="340" spans="4:33">
      <c r="D340" s="49"/>
      <c r="J340" s="49"/>
      <c r="P340" s="49"/>
      <c r="AD340" s="43"/>
      <c r="AE340" s="43"/>
      <c r="AF340" s="305"/>
      <c r="AG340" s="43"/>
    </row>
    <row r="341" spans="4:33">
      <c r="D341" s="49"/>
      <c r="J341" s="49"/>
      <c r="P341" s="49"/>
      <c r="AD341" s="43"/>
      <c r="AE341" s="43"/>
      <c r="AF341" s="305"/>
      <c r="AG341" s="43"/>
    </row>
    <row r="342" spans="4:33">
      <c r="D342" s="49"/>
      <c r="J342" s="49"/>
      <c r="P342" s="49"/>
      <c r="AD342" s="43"/>
      <c r="AE342" s="43"/>
      <c r="AF342" s="305"/>
      <c r="AG342" s="43"/>
    </row>
    <row r="343" spans="4:33">
      <c r="D343" s="49"/>
      <c r="J343" s="49"/>
      <c r="P343" s="49"/>
      <c r="AD343" s="43"/>
      <c r="AE343" s="43"/>
      <c r="AF343" s="305"/>
      <c r="AG343" s="43"/>
    </row>
    <row r="344" spans="4:33">
      <c r="D344" s="49"/>
      <c r="J344" s="49"/>
      <c r="P344" s="49"/>
      <c r="AD344" s="43"/>
      <c r="AE344" s="43"/>
      <c r="AF344" s="305"/>
      <c r="AG344" s="43"/>
    </row>
    <row r="345" spans="4:33">
      <c r="D345" s="49"/>
      <c r="J345" s="49"/>
      <c r="P345" s="49"/>
      <c r="AD345" s="43"/>
      <c r="AE345" s="43"/>
      <c r="AF345" s="305"/>
      <c r="AG345" s="43"/>
    </row>
    <row r="346" spans="4:33">
      <c r="D346" s="49"/>
      <c r="J346" s="49"/>
      <c r="P346" s="49"/>
      <c r="AD346" s="43"/>
      <c r="AE346" s="43"/>
      <c r="AF346" s="305"/>
      <c r="AG346" s="43"/>
    </row>
    <row r="347" spans="4:33">
      <c r="D347" s="49"/>
      <c r="J347" s="49"/>
      <c r="P347" s="49"/>
      <c r="AD347" s="43"/>
      <c r="AE347" s="43"/>
      <c r="AF347" s="305"/>
      <c r="AG347" s="43"/>
    </row>
    <row r="348" spans="4:33">
      <c r="D348" s="49"/>
      <c r="J348" s="49"/>
      <c r="P348" s="49"/>
      <c r="AD348" s="43"/>
      <c r="AE348" s="43"/>
      <c r="AF348" s="305"/>
      <c r="AG348" s="43"/>
    </row>
    <row r="349" spans="4:33">
      <c r="D349" s="49"/>
      <c r="J349" s="49"/>
      <c r="P349" s="49"/>
      <c r="AD349" s="43"/>
      <c r="AE349" s="43"/>
      <c r="AF349" s="305"/>
      <c r="AG349" s="43"/>
    </row>
    <row r="350" spans="4:33">
      <c r="D350" s="49"/>
      <c r="J350" s="49"/>
      <c r="P350" s="49"/>
      <c r="AD350" s="43"/>
      <c r="AE350" s="43"/>
      <c r="AF350" s="305"/>
      <c r="AG350" s="43"/>
    </row>
    <row r="351" spans="4:33">
      <c r="D351" s="49"/>
      <c r="J351" s="49"/>
      <c r="P351" s="49"/>
      <c r="AD351" s="43"/>
      <c r="AE351" s="43"/>
      <c r="AF351" s="305"/>
      <c r="AG351" s="43"/>
    </row>
    <row r="352" spans="4:33">
      <c r="D352" s="49"/>
      <c r="J352" s="49"/>
      <c r="P352" s="49"/>
      <c r="AD352" s="43"/>
      <c r="AE352" s="43"/>
      <c r="AF352" s="305"/>
      <c r="AG352" s="43"/>
    </row>
    <row r="353" spans="4:33">
      <c r="D353" s="49"/>
      <c r="J353" s="49"/>
      <c r="P353" s="49"/>
      <c r="AD353" s="43"/>
      <c r="AE353" s="43"/>
      <c r="AF353" s="305"/>
      <c r="AG353" s="43"/>
    </row>
    <row r="354" spans="4:33">
      <c r="D354" s="49"/>
      <c r="J354" s="49"/>
      <c r="P354" s="49"/>
      <c r="AD354" s="43"/>
      <c r="AE354" s="43"/>
      <c r="AF354" s="305"/>
      <c r="AG354" s="43"/>
    </row>
    <row r="355" spans="4:33">
      <c r="D355" s="49"/>
      <c r="J355" s="49"/>
      <c r="P355" s="49"/>
      <c r="AD355" s="43"/>
      <c r="AE355" s="43"/>
      <c r="AF355" s="305"/>
      <c r="AG355" s="43"/>
    </row>
    <row r="356" spans="4:33">
      <c r="D356" s="49"/>
      <c r="J356" s="49"/>
      <c r="P356" s="49"/>
      <c r="AD356" s="43"/>
      <c r="AE356" s="43"/>
      <c r="AF356" s="305"/>
      <c r="AG356" s="43"/>
    </row>
    <row r="357" spans="4:33">
      <c r="D357" s="49"/>
      <c r="J357" s="49"/>
      <c r="P357" s="49"/>
      <c r="AD357" s="43"/>
      <c r="AE357" s="43"/>
      <c r="AF357" s="305"/>
      <c r="AG357" s="43"/>
    </row>
    <row r="358" spans="4:33">
      <c r="D358" s="49"/>
      <c r="J358" s="49"/>
      <c r="P358" s="49"/>
      <c r="AD358" s="43"/>
      <c r="AE358" s="43"/>
      <c r="AF358" s="305"/>
      <c r="AG358" s="43"/>
    </row>
    <row r="359" spans="4:33">
      <c r="D359" s="49"/>
      <c r="J359" s="49"/>
      <c r="P359" s="49"/>
      <c r="AD359" s="43"/>
      <c r="AE359" s="43"/>
      <c r="AF359" s="305"/>
      <c r="AG359" s="43"/>
    </row>
    <row r="360" spans="4:33">
      <c r="D360" s="49"/>
      <c r="J360" s="49"/>
      <c r="P360" s="49"/>
      <c r="AD360" s="43"/>
      <c r="AE360" s="43"/>
      <c r="AF360" s="305"/>
      <c r="AG360" s="43"/>
    </row>
    <row r="361" spans="4:33">
      <c r="D361" s="49"/>
      <c r="J361" s="49"/>
      <c r="P361" s="49"/>
      <c r="AD361" s="43"/>
      <c r="AE361" s="43"/>
      <c r="AF361" s="305"/>
      <c r="AG361" s="43"/>
    </row>
    <row r="362" spans="4:33">
      <c r="D362" s="49"/>
      <c r="J362" s="49"/>
      <c r="P362" s="49"/>
      <c r="AD362" s="43"/>
      <c r="AE362" s="43"/>
      <c r="AF362" s="305"/>
      <c r="AG362" s="43"/>
    </row>
    <row r="363" spans="4:33">
      <c r="D363" s="49"/>
      <c r="J363" s="49"/>
      <c r="P363" s="49"/>
      <c r="AD363" s="43"/>
      <c r="AE363" s="43"/>
      <c r="AF363" s="305"/>
      <c r="AG363" s="43"/>
    </row>
    <row r="364" spans="4:33">
      <c r="D364" s="49"/>
      <c r="J364" s="49"/>
      <c r="P364" s="49"/>
      <c r="AD364" s="43"/>
      <c r="AE364" s="43"/>
      <c r="AF364" s="305"/>
      <c r="AG364" s="43"/>
    </row>
    <row r="365" spans="4:33">
      <c r="D365" s="49"/>
      <c r="J365" s="49"/>
      <c r="P365" s="49"/>
      <c r="AD365" s="43"/>
      <c r="AE365" s="43"/>
      <c r="AF365" s="305"/>
      <c r="AG365" s="43"/>
    </row>
    <row r="366" spans="4:33">
      <c r="D366" s="49"/>
      <c r="J366" s="49"/>
      <c r="P366" s="49"/>
      <c r="AD366" s="43"/>
      <c r="AE366" s="43"/>
      <c r="AF366" s="305"/>
      <c r="AG366" s="43"/>
    </row>
    <row r="367" spans="4:33">
      <c r="D367" s="49"/>
      <c r="J367" s="49"/>
      <c r="P367" s="49"/>
      <c r="AD367" s="43"/>
      <c r="AE367" s="43"/>
      <c r="AF367" s="305"/>
      <c r="AG367" s="43"/>
    </row>
    <row r="368" spans="4:33">
      <c r="D368" s="49"/>
      <c r="J368" s="49"/>
      <c r="P368" s="49"/>
      <c r="AD368" s="43"/>
      <c r="AE368" s="43"/>
      <c r="AF368" s="305"/>
      <c r="AG368" s="43"/>
    </row>
    <row r="369" spans="4:33">
      <c r="D369" s="49"/>
      <c r="J369" s="49"/>
      <c r="P369" s="49"/>
      <c r="AD369" s="43"/>
      <c r="AE369" s="43"/>
      <c r="AF369" s="305"/>
      <c r="AG369" s="43"/>
    </row>
    <row r="370" spans="4:33">
      <c r="D370" s="49"/>
      <c r="J370" s="49"/>
      <c r="P370" s="49"/>
      <c r="AD370" s="43"/>
      <c r="AE370" s="43"/>
      <c r="AF370" s="305"/>
      <c r="AG370" s="43"/>
    </row>
    <row r="371" spans="4:33">
      <c r="D371" s="49"/>
      <c r="J371" s="49"/>
      <c r="P371" s="49"/>
      <c r="AD371" s="43"/>
      <c r="AE371" s="43"/>
      <c r="AF371" s="305"/>
      <c r="AG371" s="43"/>
    </row>
    <row r="372" spans="4:33">
      <c r="D372" s="49"/>
      <c r="J372" s="49"/>
      <c r="P372" s="49"/>
      <c r="AD372" s="43"/>
      <c r="AE372" s="43"/>
      <c r="AF372" s="305"/>
      <c r="AG372" s="43"/>
    </row>
    <row r="373" spans="4:33">
      <c r="D373" s="49"/>
      <c r="J373" s="49"/>
      <c r="P373" s="49"/>
      <c r="AD373" s="43"/>
      <c r="AE373" s="43"/>
      <c r="AF373" s="305"/>
      <c r="AG373" s="43"/>
    </row>
    <row r="374" spans="4:33">
      <c r="D374" s="49"/>
      <c r="J374" s="49"/>
      <c r="P374" s="49"/>
      <c r="AD374" s="43"/>
      <c r="AE374" s="43"/>
      <c r="AF374" s="305"/>
      <c r="AG374" s="43"/>
    </row>
    <row r="375" spans="4:33">
      <c r="D375" s="49"/>
      <c r="J375" s="49"/>
      <c r="P375" s="49"/>
      <c r="AD375" s="43"/>
      <c r="AE375" s="43"/>
      <c r="AF375" s="305"/>
      <c r="AG375" s="43"/>
    </row>
    <row r="376" spans="4:33">
      <c r="D376" s="49"/>
      <c r="J376" s="49"/>
      <c r="P376" s="49"/>
      <c r="AD376" s="43"/>
      <c r="AE376" s="43"/>
      <c r="AF376" s="305"/>
      <c r="AG376" s="43"/>
    </row>
    <row r="377" spans="4:33">
      <c r="D377" s="49"/>
      <c r="J377" s="49"/>
      <c r="P377" s="49"/>
      <c r="AD377" s="43"/>
      <c r="AE377" s="43"/>
      <c r="AF377" s="305"/>
      <c r="AG377" s="43"/>
    </row>
    <row r="378" spans="4:33">
      <c r="D378" s="49"/>
      <c r="J378" s="49"/>
      <c r="P378" s="49"/>
      <c r="AD378" s="43"/>
      <c r="AE378" s="43"/>
      <c r="AF378" s="305"/>
      <c r="AG378" s="43"/>
    </row>
    <row r="379" spans="4:33">
      <c r="D379" s="49"/>
      <c r="J379" s="49"/>
      <c r="P379" s="49"/>
      <c r="AD379" s="43"/>
      <c r="AE379" s="43"/>
      <c r="AF379" s="305"/>
      <c r="AG379" s="43"/>
    </row>
    <row r="380" spans="4:33">
      <c r="D380" s="49"/>
      <c r="J380" s="49"/>
      <c r="P380" s="49"/>
      <c r="AD380" s="43"/>
      <c r="AE380" s="43"/>
      <c r="AF380" s="305"/>
      <c r="AG380" s="43"/>
    </row>
    <row r="381" spans="4:33">
      <c r="D381" s="49"/>
      <c r="J381" s="49"/>
      <c r="P381" s="49"/>
      <c r="AD381" s="43"/>
      <c r="AE381" s="43"/>
      <c r="AF381" s="305"/>
      <c r="AG381" s="43"/>
    </row>
    <row r="382" spans="4:33">
      <c r="D382" s="49"/>
      <c r="J382" s="49"/>
      <c r="P382" s="49"/>
      <c r="AD382" s="43"/>
      <c r="AE382" s="43"/>
      <c r="AF382" s="305"/>
      <c r="AG382" s="43"/>
    </row>
    <row r="383" spans="4:33">
      <c r="D383" s="49"/>
      <c r="J383" s="49"/>
      <c r="P383" s="49"/>
      <c r="AD383" s="43"/>
      <c r="AE383" s="43"/>
      <c r="AF383" s="305"/>
      <c r="AG383" s="43"/>
    </row>
    <row r="384" spans="4:33">
      <c r="D384" s="49"/>
      <c r="J384" s="49"/>
      <c r="P384" s="49"/>
      <c r="AD384" s="43"/>
      <c r="AE384" s="43"/>
      <c r="AF384" s="305"/>
      <c r="AG384" s="43"/>
    </row>
    <row r="385" spans="4:33">
      <c r="D385" s="49"/>
      <c r="J385" s="49"/>
      <c r="P385" s="49"/>
      <c r="AD385" s="43"/>
      <c r="AE385" s="43"/>
      <c r="AF385" s="305"/>
      <c r="AG385" s="43"/>
    </row>
    <row r="386" spans="4:33">
      <c r="D386" s="49"/>
      <c r="J386" s="49"/>
      <c r="P386" s="49"/>
      <c r="AD386" s="43"/>
      <c r="AE386" s="43"/>
      <c r="AF386" s="305"/>
      <c r="AG386" s="43"/>
    </row>
    <row r="387" spans="4:33">
      <c r="D387" s="49"/>
      <c r="J387" s="49"/>
      <c r="P387" s="49"/>
      <c r="AD387" s="43"/>
      <c r="AE387" s="43"/>
      <c r="AF387" s="305"/>
      <c r="AG387" s="43"/>
    </row>
    <row r="388" spans="4:33">
      <c r="D388" s="49"/>
      <c r="J388" s="49"/>
      <c r="P388" s="49"/>
      <c r="AD388" s="43"/>
      <c r="AE388" s="43"/>
      <c r="AF388" s="305"/>
      <c r="AG388" s="43"/>
    </row>
    <row r="389" spans="4:33">
      <c r="D389" s="49"/>
      <c r="J389" s="49"/>
      <c r="P389" s="49"/>
      <c r="AD389" s="43"/>
      <c r="AE389" s="43"/>
      <c r="AF389" s="305"/>
      <c r="AG389" s="43"/>
    </row>
    <row r="390" spans="4:33">
      <c r="D390" s="49"/>
      <c r="J390" s="49"/>
      <c r="P390" s="49"/>
      <c r="AD390" s="43"/>
      <c r="AE390" s="43"/>
      <c r="AF390" s="305"/>
      <c r="AG390" s="43"/>
    </row>
    <row r="391" spans="4:33">
      <c r="D391" s="49"/>
      <c r="J391" s="49"/>
      <c r="P391" s="49"/>
      <c r="AD391" s="43"/>
      <c r="AE391" s="43"/>
      <c r="AF391" s="305"/>
      <c r="AG391" s="43"/>
    </row>
    <row r="392" spans="4:33">
      <c r="D392" s="49"/>
      <c r="J392" s="49"/>
      <c r="P392" s="49"/>
      <c r="AD392" s="43"/>
      <c r="AE392" s="43"/>
      <c r="AF392" s="305"/>
      <c r="AG392" s="43"/>
    </row>
    <row r="393" spans="4:33">
      <c r="D393" s="49"/>
      <c r="J393" s="49"/>
      <c r="P393" s="49"/>
      <c r="AD393" s="43"/>
      <c r="AE393" s="43"/>
      <c r="AF393" s="305"/>
      <c r="AG393" s="43"/>
    </row>
    <row r="394" spans="4:33">
      <c r="D394" s="49"/>
      <c r="J394" s="49"/>
      <c r="P394" s="49"/>
      <c r="AD394" s="43"/>
      <c r="AE394" s="43"/>
      <c r="AF394" s="305"/>
      <c r="AG394" s="43"/>
    </row>
    <row r="395" spans="4:33">
      <c r="D395" s="49"/>
      <c r="J395" s="49"/>
      <c r="P395" s="49"/>
      <c r="AD395" s="43"/>
      <c r="AE395" s="43"/>
      <c r="AF395" s="305"/>
      <c r="AG395" s="43"/>
    </row>
    <row r="396" spans="4:33">
      <c r="D396" s="49"/>
      <c r="J396" s="49"/>
      <c r="P396" s="49"/>
      <c r="AD396" s="43"/>
      <c r="AE396" s="43"/>
      <c r="AF396" s="305"/>
      <c r="AG396" s="43"/>
    </row>
    <row r="397" spans="4:33">
      <c r="D397" s="49"/>
      <c r="J397" s="49"/>
      <c r="P397" s="49"/>
      <c r="AD397" s="43"/>
      <c r="AE397" s="43"/>
      <c r="AF397" s="305"/>
      <c r="AG397" s="43"/>
    </row>
    <row r="398" spans="4:33">
      <c r="D398" s="49"/>
      <c r="J398" s="49"/>
      <c r="P398" s="49"/>
      <c r="AD398" s="43"/>
      <c r="AE398" s="43"/>
      <c r="AF398" s="305"/>
      <c r="AG398" s="43"/>
    </row>
    <row r="399" spans="4:33">
      <c r="D399" s="49"/>
      <c r="J399" s="49"/>
      <c r="P399" s="49"/>
      <c r="AD399" s="43"/>
      <c r="AE399" s="43"/>
      <c r="AF399" s="305"/>
      <c r="AG399" s="43"/>
    </row>
    <row r="400" spans="4:33">
      <c r="D400" s="49"/>
      <c r="J400" s="49"/>
      <c r="P400" s="49"/>
      <c r="AD400" s="43"/>
      <c r="AE400" s="43"/>
      <c r="AF400" s="305"/>
      <c r="AG400" s="43"/>
    </row>
    <row r="401" spans="4:33">
      <c r="D401" s="49"/>
      <c r="J401" s="49"/>
      <c r="P401" s="49"/>
      <c r="AD401" s="43"/>
      <c r="AE401" s="43"/>
      <c r="AF401" s="305"/>
      <c r="AG401" s="43"/>
    </row>
    <row r="402" spans="4:33">
      <c r="D402" s="49"/>
      <c r="J402" s="49"/>
      <c r="P402" s="49"/>
      <c r="AD402" s="43"/>
      <c r="AE402" s="43"/>
      <c r="AF402" s="305"/>
      <c r="AG402" s="43"/>
    </row>
    <row r="403" spans="4:33">
      <c r="D403" s="49"/>
      <c r="J403" s="49"/>
      <c r="P403" s="49"/>
      <c r="AD403" s="43"/>
      <c r="AE403" s="43"/>
      <c r="AF403" s="305"/>
      <c r="AG403" s="43"/>
    </row>
    <row r="404" spans="4:33">
      <c r="D404" s="49"/>
      <c r="J404" s="49"/>
      <c r="P404" s="49"/>
      <c r="AD404" s="43"/>
      <c r="AE404" s="43"/>
      <c r="AF404" s="305"/>
      <c r="AG404" s="43"/>
    </row>
    <row r="405" spans="4:33">
      <c r="D405" s="49"/>
      <c r="J405" s="49"/>
      <c r="P405" s="49"/>
      <c r="AD405" s="43"/>
      <c r="AE405" s="43"/>
      <c r="AF405" s="305"/>
      <c r="AG405" s="43"/>
    </row>
    <row r="406" spans="4:33">
      <c r="D406" s="49"/>
      <c r="J406" s="49"/>
      <c r="P406" s="49"/>
      <c r="AD406" s="43"/>
      <c r="AE406" s="43"/>
      <c r="AF406" s="305"/>
      <c r="AG406" s="43"/>
    </row>
    <row r="407" spans="4:33">
      <c r="D407" s="49"/>
      <c r="J407" s="49"/>
      <c r="P407" s="49"/>
      <c r="AD407" s="43"/>
      <c r="AE407" s="43"/>
      <c r="AF407" s="305"/>
      <c r="AG407" s="43"/>
    </row>
    <row r="408" spans="4:33">
      <c r="D408" s="49"/>
      <c r="J408" s="49"/>
      <c r="P408" s="49"/>
      <c r="AD408" s="43"/>
      <c r="AE408" s="43"/>
      <c r="AF408" s="305"/>
      <c r="AG408" s="43"/>
    </row>
    <row r="409" spans="4:33">
      <c r="D409" s="49"/>
      <c r="J409" s="49"/>
      <c r="P409" s="49"/>
      <c r="AD409" s="43"/>
      <c r="AE409" s="43"/>
      <c r="AF409" s="305"/>
      <c r="AG409" s="43"/>
    </row>
    <row r="410" spans="4:33">
      <c r="D410" s="49"/>
      <c r="J410" s="49"/>
      <c r="P410" s="49"/>
      <c r="AD410" s="43"/>
      <c r="AE410" s="43"/>
      <c r="AF410" s="305"/>
      <c r="AG410" s="43"/>
    </row>
    <row r="411" spans="4:33">
      <c r="D411" s="49"/>
      <c r="J411" s="49"/>
      <c r="P411" s="49"/>
      <c r="AD411" s="43"/>
      <c r="AE411" s="43"/>
      <c r="AF411" s="305"/>
      <c r="AG411" s="43"/>
    </row>
    <row r="412" spans="4:33">
      <c r="D412" s="49"/>
      <c r="J412" s="49"/>
      <c r="P412" s="49"/>
      <c r="AD412" s="43"/>
      <c r="AE412" s="43"/>
      <c r="AF412" s="305"/>
      <c r="AG412" s="43"/>
    </row>
    <row r="413" spans="4:33">
      <c r="D413" s="49"/>
      <c r="J413" s="49"/>
      <c r="P413" s="49"/>
      <c r="AD413" s="43"/>
      <c r="AE413" s="43"/>
      <c r="AF413" s="305"/>
      <c r="AG413" s="43"/>
    </row>
    <row r="414" spans="4:33">
      <c r="D414" s="49"/>
      <c r="J414" s="49"/>
      <c r="P414" s="49"/>
      <c r="AD414" s="43"/>
      <c r="AE414" s="43"/>
      <c r="AF414" s="305"/>
      <c r="AG414" s="43"/>
    </row>
    <row r="415" spans="4:33">
      <c r="D415" s="49"/>
      <c r="J415" s="49"/>
      <c r="P415" s="49"/>
      <c r="AD415" s="43"/>
      <c r="AE415" s="43"/>
      <c r="AF415" s="305"/>
      <c r="AG415" s="43"/>
    </row>
    <row r="416" spans="4:33">
      <c r="D416" s="49"/>
      <c r="J416" s="49"/>
      <c r="P416" s="49"/>
      <c r="AD416" s="43"/>
      <c r="AE416" s="43"/>
      <c r="AF416" s="305"/>
      <c r="AG416" s="43"/>
    </row>
    <row r="417" spans="4:33">
      <c r="D417" s="49"/>
      <c r="J417" s="49"/>
      <c r="P417" s="49"/>
      <c r="AD417" s="43"/>
      <c r="AE417" s="43"/>
      <c r="AF417" s="305"/>
      <c r="AG417" s="43"/>
    </row>
    <row r="418" spans="4:33">
      <c r="D418" s="49"/>
      <c r="J418" s="49"/>
      <c r="P418" s="49"/>
      <c r="AD418" s="43"/>
      <c r="AE418" s="43"/>
      <c r="AF418" s="305"/>
      <c r="AG418" s="43"/>
    </row>
    <row r="419" spans="4:33">
      <c r="D419" s="49"/>
      <c r="J419" s="49"/>
      <c r="P419" s="49"/>
      <c r="AD419" s="43"/>
      <c r="AE419" s="43"/>
      <c r="AF419" s="305"/>
      <c r="AG419" s="43"/>
    </row>
    <row r="420" spans="4:33">
      <c r="D420" s="49"/>
      <c r="J420" s="49"/>
      <c r="P420" s="49"/>
      <c r="AD420" s="43"/>
      <c r="AE420" s="43"/>
      <c r="AF420" s="305"/>
      <c r="AG420" s="43"/>
    </row>
    <row r="421" spans="4:33">
      <c r="D421" s="49"/>
      <c r="J421" s="49"/>
      <c r="P421" s="49"/>
      <c r="AD421" s="43"/>
      <c r="AE421" s="43"/>
      <c r="AF421" s="305"/>
      <c r="AG421" s="43"/>
    </row>
    <row r="422" spans="4:33">
      <c r="D422" s="49"/>
      <c r="J422" s="49"/>
      <c r="P422" s="49"/>
      <c r="AD422" s="43"/>
      <c r="AE422" s="43"/>
      <c r="AF422" s="305"/>
      <c r="AG422" s="43"/>
    </row>
    <row r="423" spans="4:33">
      <c r="D423" s="49"/>
      <c r="J423" s="49"/>
      <c r="P423" s="49"/>
      <c r="AD423" s="43"/>
      <c r="AE423" s="43"/>
      <c r="AF423" s="305"/>
      <c r="AG423" s="43"/>
    </row>
    <row r="424" spans="4:33">
      <c r="D424" s="49"/>
      <c r="J424" s="49"/>
      <c r="P424" s="49"/>
      <c r="AD424" s="43"/>
      <c r="AE424" s="43"/>
      <c r="AF424" s="305"/>
      <c r="AG424" s="43"/>
    </row>
    <row r="425" spans="4:33">
      <c r="D425" s="49"/>
      <c r="J425" s="49"/>
      <c r="P425" s="49"/>
      <c r="AD425" s="43"/>
      <c r="AE425" s="43"/>
      <c r="AF425" s="305"/>
      <c r="AG425" s="43"/>
    </row>
    <row r="426" spans="4:33">
      <c r="D426" s="49"/>
      <c r="J426" s="49"/>
      <c r="P426" s="49"/>
      <c r="AD426" s="43"/>
      <c r="AE426" s="43"/>
      <c r="AF426" s="305"/>
      <c r="AG426" s="43"/>
    </row>
    <row r="427" spans="4:33">
      <c r="D427" s="49"/>
      <c r="J427" s="49"/>
      <c r="P427" s="49"/>
      <c r="AD427" s="43"/>
      <c r="AE427" s="43"/>
      <c r="AF427" s="305"/>
      <c r="AG427" s="43"/>
    </row>
    <row r="428" spans="4:33">
      <c r="D428" s="49"/>
      <c r="J428" s="49"/>
      <c r="P428" s="49"/>
      <c r="AD428" s="43"/>
      <c r="AE428" s="43"/>
      <c r="AF428" s="305"/>
      <c r="AG428" s="43"/>
    </row>
    <row r="429" spans="4:33">
      <c r="D429" s="49"/>
      <c r="J429" s="49"/>
      <c r="P429" s="49"/>
      <c r="AD429" s="43"/>
      <c r="AE429" s="43"/>
      <c r="AF429" s="305"/>
      <c r="AG429" s="43"/>
    </row>
    <row r="430" spans="4:33">
      <c r="D430" s="49"/>
      <c r="J430" s="49"/>
      <c r="P430" s="49"/>
      <c r="AD430" s="43"/>
      <c r="AE430" s="43"/>
      <c r="AF430" s="305"/>
      <c r="AG430" s="43"/>
    </row>
    <row r="431" spans="4:33">
      <c r="D431" s="49"/>
      <c r="J431" s="49"/>
      <c r="P431" s="49"/>
      <c r="AD431" s="43"/>
      <c r="AE431" s="43"/>
      <c r="AF431" s="305"/>
      <c r="AG431" s="43"/>
    </row>
    <row r="432" spans="4:33">
      <c r="D432" s="49"/>
      <c r="J432" s="49"/>
      <c r="P432" s="49"/>
      <c r="AD432" s="43"/>
      <c r="AE432" s="43"/>
      <c r="AF432" s="305"/>
      <c r="AG432" s="43"/>
    </row>
    <row r="433" spans="4:33">
      <c r="D433" s="49"/>
      <c r="J433" s="49"/>
      <c r="P433" s="49"/>
      <c r="AD433" s="43"/>
      <c r="AE433" s="43"/>
      <c r="AF433" s="305"/>
      <c r="AG433" s="43"/>
    </row>
    <row r="434" spans="4:33">
      <c r="D434" s="49"/>
      <c r="J434" s="49"/>
      <c r="P434" s="49"/>
      <c r="AD434" s="43"/>
      <c r="AE434" s="43"/>
      <c r="AF434" s="305"/>
      <c r="AG434" s="43"/>
    </row>
    <row r="435" spans="4:33">
      <c r="D435" s="49"/>
      <c r="J435" s="49"/>
      <c r="P435" s="49"/>
      <c r="AD435" s="43"/>
      <c r="AE435" s="43"/>
      <c r="AF435" s="305"/>
      <c r="AG435" s="43"/>
    </row>
    <row r="436" spans="4:33">
      <c r="D436" s="49"/>
      <c r="J436" s="49"/>
      <c r="P436" s="49"/>
      <c r="AD436" s="43"/>
      <c r="AE436" s="43"/>
      <c r="AF436" s="305"/>
      <c r="AG436" s="43"/>
    </row>
    <row r="437" spans="4:33">
      <c r="D437" s="49"/>
      <c r="J437" s="49"/>
      <c r="P437" s="49"/>
      <c r="AD437" s="43"/>
      <c r="AE437" s="43"/>
      <c r="AF437" s="305"/>
      <c r="AG437" s="43"/>
    </row>
    <row r="438" spans="4:33">
      <c r="D438" s="49"/>
      <c r="J438" s="49"/>
      <c r="P438" s="49"/>
      <c r="AD438" s="43"/>
      <c r="AE438" s="43"/>
      <c r="AF438" s="305"/>
      <c r="AG438" s="43"/>
    </row>
    <row r="439" spans="4:33">
      <c r="D439" s="49"/>
      <c r="J439" s="49"/>
      <c r="P439" s="49"/>
      <c r="AD439" s="43"/>
      <c r="AE439" s="43"/>
      <c r="AF439" s="305"/>
      <c r="AG439" s="43"/>
    </row>
    <row r="440" spans="4:33">
      <c r="D440" s="49"/>
      <c r="J440" s="49"/>
      <c r="P440" s="49"/>
      <c r="AD440" s="43"/>
      <c r="AE440" s="43"/>
      <c r="AF440" s="305"/>
      <c r="AG440" s="43"/>
    </row>
    <row r="441" spans="4:33">
      <c r="D441" s="49"/>
      <c r="J441" s="49"/>
      <c r="P441" s="49"/>
      <c r="AD441" s="43"/>
      <c r="AE441" s="43"/>
      <c r="AF441" s="305"/>
      <c r="AG441" s="43"/>
    </row>
    <row r="442" spans="4:33">
      <c r="D442" s="49"/>
      <c r="J442" s="49"/>
      <c r="P442" s="49"/>
      <c r="AD442" s="43"/>
      <c r="AE442" s="43"/>
      <c r="AF442" s="305"/>
      <c r="AG442" s="43"/>
    </row>
    <row r="443" spans="4:33">
      <c r="D443" s="49"/>
      <c r="J443" s="49"/>
      <c r="P443" s="49"/>
      <c r="AD443" s="43"/>
      <c r="AE443" s="43"/>
      <c r="AF443" s="305"/>
      <c r="AG443" s="43"/>
    </row>
    <row r="444" spans="4:33">
      <c r="D444" s="49"/>
      <c r="J444" s="49"/>
      <c r="P444" s="49"/>
      <c r="AD444" s="43"/>
      <c r="AE444" s="43"/>
      <c r="AF444" s="305"/>
      <c r="AG444" s="43"/>
    </row>
    <row r="445" spans="4:33">
      <c r="D445" s="49"/>
      <c r="J445" s="49"/>
      <c r="P445" s="49"/>
      <c r="AD445" s="43"/>
      <c r="AE445" s="43"/>
      <c r="AF445" s="305"/>
      <c r="AG445" s="43"/>
    </row>
    <row r="446" spans="4:33">
      <c r="D446" s="49"/>
      <c r="J446" s="49"/>
      <c r="P446" s="49"/>
      <c r="AD446" s="43"/>
      <c r="AE446" s="43"/>
      <c r="AF446" s="305"/>
      <c r="AG446" s="43"/>
    </row>
    <row r="447" spans="4:33">
      <c r="D447" s="49"/>
      <c r="J447" s="49"/>
      <c r="P447" s="49"/>
      <c r="AD447" s="43"/>
      <c r="AE447" s="43"/>
      <c r="AF447" s="305"/>
      <c r="AG447" s="43"/>
    </row>
    <row r="448" spans="4:33">
      <c r="D448" s="49"/>
      <c r="J448" s="49"/>
      <c r="P448" s="49"/>
      <c r="AD448" s="43"/>
      <c r="AE448" s="43"/>
      <c r="AF448" s="305"/>
      <c r="AG448" s="43"/>
    </row>
    <row r="449" spans="4:33">
      <c r="D449" s="49"/>
      <c r="J449" s="49"/>
      <c r="P449" s="49"/>
      <c r="AD449" s="43"/>
      <c r="AE449" s="43"/>
      <c r="AF449" s="305"/>
      <c r="AG449" s="43"/>
    </row>
    <row r="450" spans="4:33">
      <c r="D450" s="49"/>
      <c r="J450" s="49"/>
      <c r="P450" s="49"/>
      <c r="AD450" s="43"/>
      <c r="AE450" s="43"/>
      <c r="AF450" s="305"/>
      <c r="AG450" s="43"/>
    </row>
    <row r="451" spans="4:33">
      <c r="D451" s="49"/>
      <c r="J451" s="49"/>
      <c r="P451" s="49"/>
      <c r="AD451" s="43"/>
      <c r="AE451" s="43"/>
      <c r="AF451" s="305"/>
      <c r="AG451" s="43"/>
    </row>
    <row r="452" spans="4:33">
      <c r="D452" s="49"/>
      <c r="J452" s="49"/>
      <c r="P452" s="49"/>
      <c r="AD452" s="43"/>
      <c r="AE452" s="43"/>
      <c r="AF452" s="305"/>
      <c r="AG452" s="43"/>
    </row>
    <row r="453" spans="4:33">
      <c r="D453" s="49"/>
      <c r="J453" s="49"/>
      <c r="P453" s="49"/>
      <c r="AD453" s="43"/>
      <c r="AE453" s="43"/>
      <c r="AF453" s="305"/>
      <c r="AG453" s="43"/>
    </row>
    <row r="454" spans="4:33">
      <c r="D454" s="49"/>
      <c r="J454" s="49"/>
      <c r="P454" s="49"/>
      <c r="AD454" s="43"/>
      <c r="AE454" s="43"/>
      <c r="AF454" s="305"/>
      <c r="AG454" s="43"/>
    </row>
    <row r="455" spans="4:33">
      <c r="D455" s="49"/>
      <c r="J455" s="49"/>
      <c r="P455" s="49"/>
      <c r="AD455" s="43"/>
      <c r="AE455" s="43"/>
      <c r="AF455" s="305"/>
      <c r="AG455" s="43"/>
    </row>
    <row r="456" spans="4:33">
      <c r="D456" s="49"/>
      <c r="J456" s="49"/>
      <c r="P456" s="49"/>
      <c r="AD456" s="43"/>
      <c r="AE456" s="43"/>
      <c r="AF456" s="305"/>
      <c r="AG456" s="43"/>
    </row>
    <row r="457" spans="4:33">
      <c r="D457" s="49"/>
      <c r="J457" s="49"/>
      <c r="P457" s="49"/>
      <c r="AD457" s="43"/>
      <c r="AE457" s="43"/>
      <c r="AF457" s="305"/>
      <c r="AG457" s="43"/>
    </row>
    <row r="458" spans="4:33">
      <c r="D458" s="49"/>
      <c r="J458" s="49"/>
      <c r="P458" s="49"/>
      <c r="AD458" s="43"/>
      <c r="AE458" s="43"/>
      <c r="AF458" s="305"/>
      <c r="AG458" s="43"/>
    </row>
    <row r="459" spans="4:33">
      <c r="D459" s="49"/>
      <c r="J459" s="49"/>
      <c r="P459" s="49"/>
      <c r="AD459" s="43"/>
      <c r="AE459" s="43"/>
      <c r="AF459" s="305"/>
      <c r="AG459" s="43"/>
    </row>
    <row r="460" spans="4:33">
      <c r="D460" s="49"/>
      <c r="J460" s="49"/>
      <c r="P460" s="49"/>
      <c r="AD460" s="43"/>
      <c r="AE460" s="43"/>
      <c r="AF460" s="305"/>
      <c r="AG460" s="43"/>
    </row>
    <row r="461" spans="4:33">
      <c r="D461" s="49"/>
      <c r="J461" s="49"/>
      <c r="P461" s="49"/>
      <c r="AD461" s="43"/>
      <c r="AE461" s="43"/>
      <c r="AF461" s="305"/>
      <c r="AG461" s="43"/>
    </row>
    <row r="462" spans="4:33">
      <c r="D462" s="49"/>
      <c r="J462" s="49"/>
      <c r="P462" s="49"/>
      <c r="AD462" s="43"/>
      <c r="AE462" s="43"/>
      <c r="AF462" s="305"/>
      <c r="AG462" s="43"/>
    </row>
    <row r="463" spans="4:33">
      <c r="D463" s="49"/>
      <c r="J463" s="49"/>
      <c r="P463" s="49"/>
      <c r="AD463" s="43"/>
      <c r="AE463" s="43"/>
      <c r="AF463" s="305"/>
      <c r="AG463" s="43"/>
    </row>
    <row r="464" spans="4:33">
      <c r="D464" s="49"/>
      <c r="J464" s="49"/>
      <c r="P464" s="49"/>
      <c r="AD464" s="43"/>
      <c r="AE464" s="43"/>
      <c r="AF464" s="305"/>
      <c r="AG464" s="43"/>
    </row>
    <row r="465" spans="4:33">
      <c r="D465" s="49"/>
      <c r="J465" s="49"/>
      <c r="P465" s="49"/>
      <c r="AD465" s="43"/>
      <c r="AE465" s="43"/>
      <c r="AF465" s="305"/>
      <c r="AG465" s="43"/>
    </row>
    <row r="466" spans="4:33">
      <c r="D466" s="49"/>
      <c r="J466" s="49"/>
      <c r="P466" s="49"/>
      <c r="AD466" s="43"/>
      <c r="AE466" s="43"/>
      <c r="AF466" s="305"/>
      <c r="AG466" s="43"/>
    </row>
    <row r="467" spans="4:33">
      <c r="D467" s="49"/>
      <c r="J467" s="49"/>
      <c r="P467" s="49"/>
      <c r="AD467" s="43"/>
      <c r="AE467" s="43"/>
      <c r="AF467" s="305"/>
      <c r="AG467" s="43"/>
    </row>
    <row r="468" spans="4:33">
      <c r="D468" s="49"/>
      <c r="J468" s="49"/>
      <c r="P468" s="49"/>
      <c r="AD468" s="43"/>
      <c r="AE468" s="43"/>
      <c r="AF468" s="305"/>
      <c r="AG468" s="43"/>
    </row>
    <row r="469" spans="4:33">
      <c r="D469" s="49"/>
      <c r="J469" s="49"/>
      <c r="P469" s="49"/>
      <c r="AD469" s="43"/>
      <c r="AE469" s="43"/>
      <c r="AF469" s="305"/>
      <c r="AG469" s="43"/>
    </row>
    <row r="470" spans="4:33">
      <c r="D470" s="49"/>
      <c r="J470" s="49"/>
      <c r="P470" s="49"/>
      <c r="AD470" s="43"/>
      <c r="AE470" s="43"/>
      <c r="AF470" s="305"/>
      <c r="AG470" s="43"/>
    </row>
    <row r="471" spans="4:33">
      <c r="D471" s="49"/>
      <c r="J471" s="49"/>
      <c r="P471" s="49"/>
      <c r="AD471" s="43"/>
      <c r="AE471" s="43"/>
      <c r="AF471" s="305"/>
      <c r="AG471" s="43"/>
    </row>
    <row r="472" spans="4:33">
      <c r="D472" s="49"/>
      <c r="J472" s="49"/>
      <c r="P472" s="49"/>
      <c r="AD472" s="43"/>
      <c r="AE472" s="43"/>
      <c r="AF472" s="305"/>
      <c r="AG472" s="43"/>
    </row>
    <row r="473" spans="4:33">
      <c r="D473" s="49"/>
      <c r="J473" s="49"/>
      <c r="P473" s="49"/>
      <c r="AD473" s="43"/>
      <c r="AE473" s="43"/>
      <c r="AF473" s="305"/>
      <c r="AG473" s="43"/>
    </row>
    <row r="474" spans="4:33">
      <c r="D474" s="49"/>
      <c r="J474" s="49"/>
      <c r="P474" s="49"/>
      <c r="AD474" s="43"/>
      <c r="AE474" s="43"/>
      <c r="AF474" s="305"/>
      <c r="AG474" s="43"/>
    </row>
    <row r="475" spans="4:33">
      <c r="D475" s="49"/>
      <c r="J475" s="49"/>
      <c r="P475" s="49"/>
      <c r="AD475" s="43"/>
      <c r="AE475" s="43"/>
      <c r="AF475" s="305"/>
      <c r="AG475" s="43"/>
    </row>
    <row r="476" spans="4:33">
      <c r="D476" s="49"/>
      <c r="J476" s="49"/>
      <c r="P476" s="49"/>
      <c r="AD476" s="43"/>
      <c r="AE476" s="43"/>
      <c r="AF476" s="305"/>
      <c r="AG476" s="43"/>
    </row>
    <row r="477" spans="4:33">
      <c r="D477" s="49"/>
      <c r="J477" s="49"/>
      <c r="P477" s="49"/>
      <c r="AD477" s="43"/>
      <c r="AE477" s="43"/>
      <c r="AF477" s="305"/>
      <c r="AG477" s="43"/>
    </row>
    <row r="478" spans="4:33">
      <c r="D478" s="49"/>
      <c r="J478" s="49"/>
      <c r="P478" s="49"/>
      <c r="AD478" s="43"/>
      <c r="AE478" s="43"/>
      <c r="AF478" s="305"/>
      <c r="AG478" s="43"/>
    </row>
    <row r="479" spans="4:33">
      <c r="D479" s="49"/>
      <c r="J479" s="49"/>
      <c r="P479" s="49"/>
      <c r="AD479" s="43"/>
      <c r="AE479" s="43"/>
      <c r="AF479" s="305"/>
      <c r="AG479" s="43"/>
    </row>
    <row r="480" spans="4:33">
      <c r="D480" s="49"/>
      <c r="J480" s="49"/>
      <c r="P480" s="49"/>
      <c r="AD480" s="43"/>
      <c r="AE480" s="43"/>
      <c r="AF480" s="305"/>
      <c r="AG480" s="43"/>
    </row>
    <row r="481" spans="4:33">
      <c r="D481" s="49"/>
      <c r="J481" s="49"/>
      <c r="P481" s="49"/>
      <c r="AD481" s="43"/>
      <c r="AE481" s="43"/>
      <c r="AF481" s="305"/>
      <c r="AG481" s="43"/>
    </row>
    <row r="482" spans="4:33">
      <c r="D482" s="49"/>
      <c r="J482" s="49"/>
      <c r="P482" s="49"/>
      <c r="AD482" s="43"/>
      <c r="AE482" s="43"/>
      <c r="AF482" s="305"/>
      <c r="AG482" s="43"/>
    </row>
    <row r="483" spans="4:33">
      <c r="D483" s="49"/>
      <c r="J483" s="49"/>
      <c r="P483" s="49"/>
      <c r="AD483" s="43"/>
      <c r="AE483" s="43"/>
      <c r="AF483" s="305"/>
      <c r="AG483" s="43"/>
    </row>
    <row r="484" spans="4:33">
      <c r="D484" s="49"/>
      <c r="J484" s="49"/>
      <c r="P484" s="49"/>
      <c r="AD484" s="43"/>
      <c r="AE484" s="43"/>
      <c r="AF484" s="305"/>
      <c r="AG484" s="43"/>
    </row>
    <row r="485" spans="4:33">
      <c r="D485" s="49"/>
      <c r="J485" s="49"/>
      <c r="P485" s="49"/>
      <c r="AD485" s="43"/>
      <c r="AE485" s="43"/>
      <c r="AF485" s="305"/>
      <c r="AG485" s="43"/>
    </row>
    <row r="486" spans="4:33">
      <c r="D486" s="49"/>
      <c r="J486" s="49"/>
      <c r="P486" s="49"/>
      <c r="AD486" s="43"/>
      <c r="AE486" s="43"/>
      <c r="AF486" s="305"/>
      <c r="AG486" s="43"/>
    </row>
    <row r="487" spans="4:33">
      <c r="D487" s="49"/>
      <c r="J487" s="49"/>
      <c r="P487" s="49"/>
      <c r="AD487" s="43"/>
      <c r="AE487" s="43"/>
      <c r="AF487" s="305"/>
      <c r="AG487" s="43"/>
    </row>
    <row r="488" spans="4:33">
      <c r="D488" s="49"/>
      <c r="J488" s="49"/>
      <c r="P488" s="49"/>
      <c r="AD488" s="43"/>
      <c r="AE488" s="43"/>
      <c r="AF488" s="305"/>
      <c r="AG488" s="43"/>
    </row>
    <row r="489" spans="4:33">
      <c r="D489" s="49"/>
      <c r="J489" s="49"/>
      <c r="P489" s="49"/>
      <c r="AD489" s="43"/>
      <c r="AE489" s="43"/>
      <c r="AF489" s="305"/>
      <c r="AG489" s="43"/>
    </row>
    <row r="490" spans="4:33">
      <c r="D490" s="49"/>
      <c r="J490" s="49"/>
      <c r="P490" s="49"/>
      <c r="AD490" s="43"/>
      <c r="AE490" s="43"/>
      <c r="AF490" s="305"/>
      <c r="AG490" s="43"/>
    </row>
    <row r="491" spans="4:33">
      <c r="D491" s="49"/>
      <c r="J491" s="49"/>
      <c r="P491" s="49"/>
      <c r="AD491" s="43"/>
      <c r="AE491" s="43"/>
      <c r="AF491" s="305"/>
      <c r="AG491" s="43"/>
    </row>
    <row r="492" spans="4:33">
      <c r="D492" s="49"/>
      <c r="J492" s="49"/>
      <c r="P492" s="49"/>
      <c r="AD492" s="43"/>
      <c r="AE492" s="43"/>
      <c r="AF492" s="305"/>
      <c r="AG492" s="43"/>
    </row>
    <row r="493" spans="4:33">
      <c r="D493" s="49"/>
      <c r="J493" s="49"/>
      <c r="P493" s="49"/>
      <c r="AD493" s="43"/>
      <c r="AE493" s="43"/>
      <c r="AF493" s="305"/>
      <c r="AG493" s="43"/>
    </row>
    <row r="494" spans="4:33">
      <c r="D494" s="49"/>
      <c r="J494" s="49"/>
      <c r="P494" s="49"/>
      <c r="AD494" s="43"/>
      <c r="AE494" s="43"/>
      <c r="AF494" s="305"/>
      <c r="AG494" s="43"/>
    </row>
    <row r="495" spans="4:33">
      <c r="D495" s="49"/>
      <c r="J495" s="49"/>
      <c r="P495" s="49"/>
      <c r="AD495" s="43"/>
      <c r="AE495" s="43"/>
      <c r="AF495" s="305"/>
      <c r="AG495" s="43"/>
    </row>
    <row r="496" spans="4:33">
      <c r="D496" s="49"/>
      <c r="J496" s="49"/>
      <c r="P496" s="49"/>
      <c r="AD496" s="43"/>
      <c r="AE496" s="43"/>
      <c r="AF496" s="305"/>
      <c r="AG496" s="43"/>
    </row>
    <row r="497" spans="4:33">
      <c r="D497" s="49"/>
      <c r="J497" s="49"/>
      <c r="P497" s="49"/>
      <c r="AD497" s="43"/>
      <c r="AE497" s="43"/>
      <c r="AF497" s="305"/>
      <c r="AG497" s="43"/>
    </row>
    <row r="498" spans="4:33">
      <c r="D498" s="49"/>
      <c r="J498" s="49"/>
      <c r="P498" s="49"/>
      <c r="AD498" s="43"/>
      <c r="AE498" s="43"/>
      <c r="AF498" s="305"/>
      <c r="AG498" s="43"/>
    </row>
    <row r="499" spans="4:33">
      <c r="D499" s="49"/>
      <c r="J499" s="49"/>
      <c r="P499" s="49"/>
      <c r="AD499" s="43"/>
      <c r="AE499" s="43"/>
      <c r="AF499" s="305"/>
      <c r="AG499" s="43"/>
    </row>
    <row r="500" spans="4:33">
      <c r="D500" s="49"/>
      <c r="J500" s="49"/>
      <c r="P500" s="49"/>
      <c r="AD500" s="43"/>
      <c r="AE500" s="43"/>
      <c r="AF500" s="305"/>
      <c r="AG500" s="43"/>
    </row>
    <row r="501" spans="4:33">
      <c r="D501" s="49"/>
      <c r="J501" s="49"/>
      <c r="P501" s="49"/>
      <c r="AD501" s="43"/>
      <c r="AE501" s="43"/>
      <c r="AF501" s="305"/>
      <c r="AG501" s="43"/>
    </row>
    <row r="502" spans="4:33">
      <c r="D502" s="49"/>
      <c r="J502" s="49"/>
      <c r="P502" s="49"/>
      <c r="AD502" s="43"/>
      <c r="AE502" s="43"/>
      <c r="AF502" s="305"/>
      <c r="AG502" s="43"/>
    </row>
    <row r="503" spans="4:33">
      <c r="D503" s="49"/>
      <c r="J503" s="49"/>
      <c r="P503" s="49"/>
      <c r="AD503" s="43"/>
      <c r="AE503" s="43"/>
      <c r="AF503" s="305"/>
      <c r="AG503" s="43"/>
    </row>
    <row r="504" spans="4:33">
      <c r="D504" s="49"/>
      <c r="J504" s="49"/>
      <c r="P504" s="49"/>
      <c r="AD504" s="43"/>
      <c r="AE504" s="43"/>
      <c r="AF504" s="305"/>
      <c r="AG504" s="43"/>
    </row>
    <row r="505" spans="4:33">
      <c r="D505" s="49"/>
      <c r="J505" s="49"/>
      <c r="P505" s="49"/>
      <c r="AD505" s="43"/>
      <c r="AE505" s="43"/>
      <c r="AF505" s="305"/>
      <c r="AG505" s="43"/>
    </row>
    <row r="506" spans="4:33">
      <c r="D506" s="49"/>
      <c r="J506" s="49"/>
      <c r="P506" s="49"/>
      <c r="AD506" s="43"/>
      <c r="AE506" s="43"/>
      <c r="AF506" s="305"/>
      <c r="AG506" s="43"/>
    </row>
    <row r="507" spans="4:33">
      <c r="D507" s="49"/>
      <c r="J507" s="49"/>
      <c r="P507" s="49"/>
      <c r="AD507" s="43"/>
      <c r="AE507" s="43"/>
      <c r="AF507" s="305"/>
      <c r="AG507" s="43"/>
    </row>
    <row r="508" spans="4:33">
      <c r="D508" s="49"/>
      <c r="J508" s="49"/>
      <c r="P508" s="49"/>
      <c r="AD508" s="43"/>
      <c r="AE508" s="43"/>
      <c r="AF508" s="305"/>
      <c r="AG508" s="43"/>
    </row>
    <row r="509" spans="4:33">
      <c r="D509" s="49"/>
      <c r="J509" s="49"/>
      <c r="P509" s="49"/>
      <c r="AD509" s="43"/>
      <c r="AE509" s="43"/>
      <c r="AF509" s="305"/>
      <c r="AG509" s="43"/>
    </row>
    <row r="510" spans="4:33">
      <c r="D510" s="49"/>
      <c r="J510" s="49"/>
      <c r="P510" s="49"/>
      <c r="AD510" s="43"/>
      <c r="AE510" s="43"/>
      <c r="AF510" s="305"/>
      <c r="AG510" s="43"/>
    </row>
    <row r="511" spans="4:33">
      <c r="D511" s="49"/>
      <c r="J511" s="49"/>
      <c r="P511" s="49"/>
      <c r="AD511" s="43"/>
      <c r="AE511" s="43"/>
      <c r="AF511" s="305"/>
      <c r="AG511" s="43"/>
    </row>
    <row r="512" spans="4:33">
      <c r="D512" s="49"/>
      <c r="J512" s="49"/>
      <c r="P512" s="49"/>
      <c r="AD512" s="43"/>
      <c r="AE512" s="43"/>
      <c r="AF512" s="305"/>
      <c r="AG512" s="43"/>
    </row>
    <row r="513" spans="4:33">
      <c r="D513" s="49"/>
      <c r="J513" s="49"/>
      <c r="P513" s="49"/>
      <c r="AD513" s="43"/>
      <c r="AE513" s="43"/>
      <c r="AF513" s="305"/>
      <c r="AG513" s="43"/>
    </row>
    <row r="514" spans="4:33">
      <c r="D514" s="49"/>
      <c r="J514" s="49"/>
      <c r="P514" s="49"/>
      <c r="AD514" s="43"/>
      <c r="AE514" s="43"/>
      <c r="AF514" s="305"/>
      <c r="AG514" s="43"/>
    </row>
    <row r="515" spans="4:33">
      <c r="D515" s="49"/>
      <c r="J515" s="49"/>
      <c r="P515" s="49"/>
      <c r="AD515" s="43"/>
      <c r="AE515" s="43"/>
      <c r="AF515" s="305"/>
      <c r="AG515" s="43"/>
    </row>
    <row r="516" spans="4:33">
      <c r="D516" s="49"/>
      <c r="J516" s="49"/>
      <c r="P516" s="49"/>
      <c r="AD516" s="43"/>
      <c r="AE516" s="43"/>
      <c r="AF516" s="305"/>
      <c r="AG516" s="43"/>
    </row>
    <row r="517" spans="4:33">
      <c r="D517" s="49"/>
      <c r="J517" s="49"/>
      <c r="P517" s="49"/>
      <c r="AD517" s="43"/>
      <c r="AE517" s="43"/>
      <c r="AF517" s="305"/>
      <c r="AG517" s="43"/>
    </row>
    <row r="518" spans="4:33">
      <c r="D518" s="49"/>
      <c r="J518" s="49"/>
      <c r="P518" s="49"/>
      <c r="AD518" s="43"/>
      <c r="AE518" s="43"/>
      <c r="AF518" s="305"/>
      <c r="AG518" s="43"/>
    </row>
    <row r="519" spans="4:33">
      <c r="D519" s="49"/>
      <c r="J519" s="49"/>
      <c r="P519" s="49"/>
      <c r="AD519" s="43"/>
      <c r="AE519" s="43"/>
      <c r="AF519" s="305"/>
      <c r="AG519" s="43"/>
    </row>
    <row r="520" spans="4:33">
      <c r="D520" s="49"/>
      <c r="J520" s="49"/>
      <c r="P520" s="49"/>
      <c r="AD520" s="43"/>
      <c r="AE520" s="43"/>
      <c r="AF520" s="305"/>
      <c r="AG520" s="43"/>
    </row>
    <row r="521" spans="4:33">
      <c r="D521" s="49"/>
      <c r="J521" s="49"/>
      <c r="P521" s="49"/>
      <c r="AD521" s="43"/>
      <c r="AE521" s="43"/>
      <c r="AF521" s="305"/>
      <c r="AG521" s="43"/>
    </row>
    <row r="522" spans="4:33">
      <c r="D522" s="49"/>
      <c r="J522" s="49"/>
      <c r="P522" s="49"/>
      <c r="AD522" s="43"/>
      <c r="AE522" s="43"/>
      <c r="AF522" s="305"/>
      <c r="AG522" s="43"/>
    </row>
    <row r="523" spans="4:33">
      <c r="D523" s="49"/>
      <c r="J523" s="49"/>
      <c r="P523" s="49"/>
      <c r="AD523" s="43"/>
      <c r="AE523" s="43"/>
      <c r="AF523" s="305"/>
      <c r="AG523" s="43"/>
    </row>
    <row r="524" spans="4:33">
      <c r="D524" s="49"/>
      <c r="J524" s="49"/>
      <c r="P524" s="49"/>
      <c r="AD524" s="43"/>
      <c r="AE524" s="43"/>
      <c r="AF524" s="305"/>
      <c r="AG524" s="43"/>
    </row>
    <row r="525" spans="4:33">
      <c r="D525" s="49"/>
      <c r="J525" s="49"/>
      <c r="P525" s="49"/>
      <c r="AD525" s="43"/>
      <c r="AE525" s="43"/>
      <c r="AF525" s="305"/>
      <c r="AG525" s="43"/>
    </row>
    <row r="526" spans="4:33">
      <c r="D526" s="49"/>
      <c r="J526" s="49"/>
      <c r="P526" s="49"/>
      <c r="AD526" s="43"/>
      <c r="AE526" s="43"/>
      <c r="AF526" s="305"/>
      <c r="AG526" s="43"/>
    </row>
    <row r="527" spans="4:33">
      <c r="D527" s="49"/>
      <c r="J527" s="49"/>
      <c r="P527" s="49"/>
      <c r="AD527" s="43"/>
      <c r="AE527" s="43"/>
      <c r="AF527" s="305"/>
      <c r="AG527" s="43"/>
    </row>
    <row r="528" spans="4:33">
      <c r="D528" s="49"/>
      <c r="J528" s="49"/>
      <c r="P528" s="49"/>
      <c r="AD528" s="43"/>
      <c r="AE528" s="43"/>
      <c r="AF528" s="305"/>
      <c r="AG528" s="43"/>
    </row>
    <row r="529" spans="4:33">
      <c r="D529" s="49"/>
      <c r="J529" s="49"/>
      <c r="P529" s="49"/>
      <c r="AD529" s="43"/>
      <c r="AE529" s="43"/>
      <c r="AF529" s="305"/>
      <c r="AG529" s="43"/>
    </row>
    <row r="530" spans="4:33">
      <c r="D530" s="49"/>
      <c r="J530" s="49"/>
      <c r="P530" s="49"/>
      <c r="AD530" s="43"/>
      <c r="AE530" s="43"/>
      <c r="AF530" s="305"/>
      <c r="AG530" s="43"/>
    </row>
    <row r="531" spans="4:33">
      <c r="D531" s="49"/>
      <c r="J531" s="49"/>
      <c r="P531" s="49"/>
      <c r="AD531" s="43"/>
      <c r="AE531" s="43"/>
      <c r="AF531" s="305"/>
      <c r="AG531" s="43"/>
    </row>
    <row r="532" spans="4:33">
      <c r="D532" s="49"/>
      <c r="J532" s="49"/>
      <c r="P532" s="49"/>
      <c r="AD532" s="43"/>
      <c r="AE532" s="43"/>
      <c r="AF532" s="305"/>
      <c r="AG532" s="43"/>
    </row>
    <row r="533" spans="4:33">
      <c r="D533" s="49"/>
      <c r="J533" s="49"/>
      <c r="P533" s="49"/>
      <c r="AD533" s="43"/>
      <c r="AE533" s="43"/>
      <c r="AF533" s="305"/>
      <c r="AG533" s="43"/>
    </row>
    <row r="534" spans="4:33">
      <c r="D534" s="49"/>
      <c r="J534" s="49"/>
      <c r="P534" s="49"/>
      <c r="AD534" s="43"/>
      <c r="AE534" s="43"/>
      <c r="AF534" s="305"/>
      <c r="AG534" s="43"/>
    </row>
    <row r="535" spans="4:33">
      <c r="D535" s="49"/>
      <c r="J535" s="49"/>
      <c r="P535" s="49"/>
      <c r="AD535" s="43"/>
      <c r="AE535" s="43"/>
      <c r="AF535" s="305"/>
      <c r="AG535" s="43"/>
    </row>
    <row r="536" spans="4:33">
      <c r="D536" s="49"/>
      <c r="J536" s="49"/>
      <c r="P536" s="49"/>
      <c r="AD536" s="43"/>
      <c r="AE536" s="43"/>
      <c r="AF536" s="305"/>
      <c r="AG536" s="43"/>
    </row>
    <row r="537" spans="4:33">
      <c r="D537" s="49"/>
      <c r="J537" s="49"/>
      <c r="P537" s="49"/>
      <c r="AD537" s="43"/>
      <c r="AE537" s="43"/>
      <c r="AF537" s="305"/>
      <c r="AG537" s="43"/>
    </row>
    <row r="538" spans="4:33">
      <c r="D538" s="49"/>
      <c r="J538" s="49"/>
      <c r="P538" s="49"/>
      <c r="AD538" s="43"/>
      <c r="AE538" s="43"/>
      <c r="AF538" s="305"/>
      <c r="AG538" s="43"/>
    </row>
    <row r="539" spans="4:33">
      <c r="D539" s="49"/>
      <c r="J539" s="49"/>
      <c r="P539" s="49"/>
      <c r="AD539" s="43"/>
      <c r="AE539" s="43"/>
      <c r="AF539" s="305"/>
      <c r="AG539" s="43"/>
    </row>
    <row r="540" spans="4:33">
      <c r="D540" s="49"/>
      <c r="J540" s="49"/>
      <c r="P540" s="49"/>
      <c r="AD540" s="43"/>
      <c r="AE540" s="43"/>
      <c r="AF540" s="305"/>
      <c r="AG540" s="43"/>
    </row>
    <row r="541" spans="4:33">
      <c r="D541" s="49"/>
      <c r="J541" s="49"/>
      <c r="P541" s="49"/>
      <c r="AD541" s="43"/>
      <c r="AE541" s="43"/>
      <c r="AF541" s="305"/>
      <c r="AG541" s="43"/>
    </row>
    <row r="542" spans="4:33">
      <c r="D542" s="49"/>
      <c r="J542" s="49"/>
      <c r="P542" s="49"/>
      <c r="AD542" s="43"/>
      <c r="AE542" s="43"/>
      <c r="AF542" s="305"/>
      <c r="AG542" s="43"/>
    </row>
    <row r="543" spans="4:33">
      <c r="D543" s="49"/>
      <c r="J543" s="49"/>
      <c r="P543" s="49"/>
      <c r="AD543" s="43"/>
      <c r="AE543" s="43"/>
      <c r="AF543" s="305"/>
      <c r="AG543" s="43"/>
    </row>
    <row r="544" spans="4:33">
      <c r="D544" s="49"/>
      <c r="J544" s="49"/>
      <c r="P544" s="49"/>
      <c r="AD544" s="43"/>
      <c r="AE544" s="43"/>
      <c r="AF544" s="305"/>
      <c r="AG544" s="43"/>
    </row>
    <row r="545" spans="4:33">
      <c r="D545" s="49"/>
      <c r="J545" s="49"/>
      <c r="P545" s="49"/>
      <c r="AD545" s="43"/>
      <c r="AE545" s="43"/>
      <c r="AF545" s="305"/>
      <c r="AG545" s="43"/>
    </row>
    <row r="546" spans="4:33">
      <c r="D546" s="49"/>
      <c r="J546" s="49"/>
      <c r="P546" s="49"/>
      <c r="AD546" s="43"/>
      <c r="AE546" s="43"/>
      <c r="AF546" s="305"/>
      <c r="AG546" s="43"/>
    </row>
    <row r="547" spans="4:33">
      <c r="D547" s="49"/>
      <c r="J547" s="49"/>
      <c r="P547" s="49"/>
      <c r="AD547" s="43"/>
      <c r="AE547" s="43"/>
      <c r="AF547" s="305"/>
      <c r="AG547" s="43"/>
    </row>
    <row r="548" spans="4:33">
      <c r="D548" s="49"/>
      <c r="J548" s="49"/>
      <c r="P548" s="49"/>
      <c r="AD548" s="43"/>
      <c r="AE548" s="43"/>
      <c r="AF548" s="305"/>
      <c r="AG548" s="43"/>
    </row>
    <row r="549" spans="4:33">
      <c r="D549" s="49"/>
      <c r="J549" s="49"/>
      <c r="P549" s="49"/>
      <c r="AD549" s="43"/>
      <c r="AE549" s="43"/>
      <c r="AF549" s="305"/>
      <c r="AG549" s="43"/>
    </row>
    <row r="550" spans="4:33">
      <c r="D550" s="49"/>
      <c r="J550" s="49"/>
      <c r="P550" s="49"/>
      <c r="AD550" s="43"/>
      <c r="AE550" s="43"/>
      <c r="AF550" s="305"/>
      <c r="AG550" s="43"/>
    </row>
    <row r="551" spans="4:33">
      <c r="D551" s="49"/>
      <c r="J551" s="49"/>
      <c r="P551" s="49"/>
      <c r="AD551" s="43"/>
      <c r="AE551" s="43"/>
      <c r="AF551" s="305"/>
      <c r="AG551" s="43"/>
    </row>
    <row r="552" spans="4:33">
      <c r="D552" s="49"/>
      <c r="J552" s="49"/>
      <c r="P552" s="49"/>
      <c r="AD552" s="43"/>
      <c r="AE552" s="43"/>
      <c r="AF552" s="305"/>
      <c r="AG552" s="43"/>
    </row>
    <row r="553" spans="4:33">
      <c r="D553" s="49"/>
      <c r="J553" s="49"/>
      <c r="P553" s="49"/>
      <c r="AD553" s="43"/>
      <c r="AE553" s="43"/>
      <c r="AF553" s="305"/>
      <c r="AG553" s="43"/>
    </row>
    <row r="554" spans="4:33">
      <c r="D554" s="49"/>
      <c r="J554" s="49"/>
      <c r="P554" s="49"/>
      <c r="AD554" s="43"/>
      <c r="AE554" s="43"/>
      <c r="AF554" s="305"/>
      <c r="AG554" s="43"/>
    </row>
    <row r="555" spans="4:33">
      <c r="D555" s="49"/>
      <c r="J555" s="49"/>
      <c r="P555" s="49"/>
      <c r="AD555" s="43"/>
      <c r="AE555" s="43"/>
      <c r="AF555" s="305"/>
      <c r="AG555" s="43"/>
    </row>
    <row r="556" spans="4:33">
      <c r="D556" s="49"/>
      <c r="J556" s="49"/>
      <c r="P556" s="49"/>
      <c r="AD556" s="43"/>
      <c r="AE556" s="43"/>
      <c r="AF556" s="305"/>
      <c r="AG556" s="43"/>
    </row>
    <row r="557" spans="4:33">
      <c r="D557" s="49"/>
      <c r="J557" s="49"/>
      <c r="P557" s="49"/>
      <c r="AD557" s="43"/>
      <c r="AE557" s="43"/>
      <c r="AF557" s="305"/>
      <c r="AG557" s="43"/>
    </row>
    <row r="558" spans="4:33">
      <c r="D558" s="49"/>
      <c r="J558" s="49"/>
      <c r="P558" s="49"/>
      <c r="AD558" s="43"/>
      <c r="AE558" s="43"/>
      <c r="AF558" s="305"/>
      <c r="AG558" s="43"/>
    </row>
    <row r="559" spans="4:33">
      <c r="D559" s="49"/>
      <c r="J559" s="49"/>
      <c r="P559" s="49"/>
      <c r="AD559" s="43"/>
      <c r="AE559" s="43"/>
      <c r="AF559" s="305"/>
      <c r="AG559" s="43"/>
    </row>
    <row r="560" spans="4:33">
      <c r="D560" s="49"/>
      <c r="J560" s="49"/>
      <c r="P560" s="49"/>
      <c r="AD560" s="43"/>
      <c r="AE560" s="43"/>
      <c r="AF560" s="305"/>
      <c r="AG560" s="43"/>
    </row>
    <row r="561" spans="4:33">
      <c r="D561" s="49"/>
      <c r="J561" s="49"/>
      <c r="P561" s="49"/>
      <c r="AD561" s="43"/>
      <c r="AE561" s="43"/>
      <c r="AF561" s="305"/>
      <c r="AG561" s="43"/>
    </row>
    <row r="562" spans="4:33">
      <c r="D562" s="49"/>
      <c r="J562" s="49"/>
      <c r="P562" s="49"/>
      <c r="AD562" s="43"/>
      <c r="AE562" s="43"/>
      <c r="AF562" s="305"/>
      <c r="AG562" s="43"/>
    </row>
    <row r="563" spans="4:33">
      <c r="D563" s="49"/>
      <c r="J563" s="49"/>
      <c r="P563" s="49"/>
      <c r="AD563" s="43"/>
      <c r="AE563" s="43"/>
      <c r="AF563" s="305"/>
      <c r="AG563" s="43"/>
    </row>
    <row r="564" spans="4:33">
      <c r="D564" s="49"/>
      <c r="J564" s="49"/>
      <c r="P564" s="49"/>
      <c r="AD564" s="43"/>
      <c r="AE564" s="43"/>
      <c r="AF564" s="305"/>
      <c r="AG564" s="43"/>
    </row>
    <row r="565" spans="4:33">
      <c r="D565" s="49"/>
      <c r="J565" s="49"/>
      <c r="P565" s="49"/>
      <c r="AD565" s="43"/>
      <c r="AE565" s="43"/>
      <c r="AF565" s="305"/>
      <c r="AG565" s="43"/>
    </row>
    <row r="566" spans="4:33">
      <c r="D566" s="49"/>
      <c r="J566" s="49"/>
      <c r="P566" s="49"/>
      <c r="AD566" s="43"/>
      <c r="AE566" s="43"/>
      <c r="AF566" s="305"/>
      <c r="AG566" s="43"/>
    </row>
    <row r="567" spans="4:33">
      <c r="D567" s="49"/>
      <c r="J567" s="49"/>
      <c r="P567" s="49"/>
      <c r="AD567" s="43"/>
      <c r="AE567" s="43"/>
      <c r="AF567" s="305"/>
      <c r="AG567" s="43"/>
    </row>
    <row r="568" spans="4:33">
      <c r="D568" s="49"/>
      <c r="J568" s="49"/>
      <c r="P568" s="49"/>
      <c r="AD568" s="43"/>
      <c r="AE568" s="43"/>
      <c r="AF568" s="305"/>
      <c r="AG568" s="43"/>
    </row>
    <row r="569" spans="4:33">
      <c r="D569" s="49"/>
      <c r="J569" s="49"/>
      <c r="P569" s="49"/>
      <c r="AD569" s="43"/>
      <c r="AE569" s="43"/>
      <c r="AF569" s="305"/>
      <c r="AG569" s="43"/>
    </row>
    <row r="570" spans="4:33">
      <c r="D570" s="49"/>
      <c r="J570" s="49"/>
      <c r="P570" s="49"/>
      <c r="AD570" s="43"/>
      <c r="AE570" s="43"/>
      <c r="AF570" s="305"/>
      <c r="AG570" s="43"/>
    </row>
    <row r="571" spans="4:33">
      <c r="D571" s="49"/>
      <c r="J571" s="49"/>
      <c r="P571" s="49"/>
      <c r="AD571" s="43"/>
      <c r="AE571" s="43"/>
      <c r="AF571" s="305"/>
      <c r="AG571" s="43"/>
    </row>
    <row r="572" spans="4:33">
      <c r="D572" s="49"/>
      <c r="J572" s="49"/>
      <c r="P572" s="49"/>
      <c r="AD572" s="43"/>
      <c r="AE572" s="43"/>
      <c r="AF572" s="305"/>
      <c r="AG572" s="43"/>
    </row>
    <row r="573" spans="4:33">
      <c r="D573" s="49"/>
      <c r="J573" s="49"/>
      <c r="P573" s="49"/>
      <c r="AD573" s="43"/>
      <c r="AE573" s="43"/>
      <c r="AF573" s="305"/>
      <c r="AG573" s="43"/>
    </row>
    <row r="574" spans="4:33">
      <c r="D574" s="49"/>
      <c r="J574" s="49"/>
      <c r="P574" s="49"/>
      <c r="AD574" s="43"/>
      <c r="AE574" s="43"/>
      <c r="AF574" s="305"/>
      <c r="AG574" s="43"/>
    </row>
    <row r="575" spans="4:33">
      <c r="D575" s="49"/>
      <c r="J575" s="49"/>
      <c r="P575" s="49"/>
      <c r="AD575" s="43"/>
      <c r="AE575" s="43"/>
      <c r="AF575" s="305"/>
      <c r="AG575" s="43"/>
    </row>
    <row r="576" spans="4:33">
      <c r="D576" s="49"/>
      <c r="J576" s="49"/>
      <c r="P576" s="49"/>
      <c r="AD576" s="43"/>
      <c r="AE576" s="43"/>
      <c r="AF576" s="305"/>
      <c r="AG576" s="43"/>
    </row>
    <row r="577" spans="4:33">
      <c r="D577" s="49"/>
      <c r="J577" s="49"/>
      <c r="P577" s="49"/>
      <c r="AD577" s="43"/>
      <c r="AE577" s="43"/>
      <c r="AF577" s="305"/>
      <c r="AG577" s="43"/>
    </row>
    <row r="578" spans="4:33">
      <c r="D578" s="49"/>
      <c r="J578" s="49"/>
      <c r="P578" s="49"/>
      <c r="AD578" s="43"/>
      <c r="AE578" s="43"/>
      <c r="AF578" s="305"/>
      <c r="AG578" s="43"/>
    </row>
    <row r="579" spans="4:33">
      <c r="D579" s="49"/>
      <c r="J579" s="49"/>
      <c r="P579" s="49"/>
      <c r="AD579" s="43"/>
      <c r="AE579" s="43"/>
      <c r="AF579" s="305"/>
      <c r="AG579" s="43"/>
    </row>
    <row r="580" spans="4:33">
      <c r="D580" s="49"/>
      <c r="J580" s="49"/>
      <c r="P580" s="49"/>
      <c r="AD580" s="43"/>
      <c r="AE580" s="43"/>
      <c r="AF580" s="305"/>
      <c r="AG580" s="43"/>
    </row>
    <row r="581" spans="4:33">
      <c r="D581" s="49"/>
      <c r="J581" s="49"/>
      <c r="P581" s="49"/>
      <c r="AD581" s="43"/>
      <c r="AE581" s="43"/>
      <c r="AF581" s="305"/>
      <c r="AG581" s="43"/>
    </row>
    <row r="582" spans="4:33">
      <c r="D582" s="49"/>
      <c r="J582" s="49"/>
      <c r="P582" s="49"/>
      <c r="AD582" s="43"/>
      <c r="AE582" s="43"/>
      <c r="AF582" s="305"/>
      <c r="AG582" s="43"/>
    </row>
    <row r="583" spans="4:33">
      <c r="D583" s="49"/>
      <c r="J583" s="49"/>
      <c r="P583" s="49"/>
      <c r="AD583" s="43"/>
      <c r="AE583" s="43"/>
      <c r="AF583" s="305"/>
      <c r="AG583" s="43"/>
    </row>
    <row r="584" spans="4:33">
      <c r="D584" s="49"/>
      <c r="J584" s="49"/>
      <c r="P584" s="49"/>
      <c r="AD584" s="43"/>
      <c r="AE584" s="43"/>
      <c r="AF584" s="305"/>
      <c r="AG584" s="43"/>
    </row>
    <row r="585" spans="4:33">
      <c r="D585" s="49"/>
      <c r="J585" s="49"/>
      <c r="P585" s="49"/>
      <c r="AD585" s="43"/>
      <c r="AE585" s="43"/>
      <c r="AF585" s="305"/>
      <c r="AG585" s="43"/>
    </row>
    <row r="586" spans="4:33">
      <c r="D586" s="49"/>
      <c r="J586" s="49"/>
      <c r="P586" s="49"/>
      <c r="AD586" s="43"/>
      <c r="AE586" s="43"/>
      <c r="AF586" s="305"/>
      <c r="AG586" s="43"/>
    </row>
    <row r="587" spans="4:33">
      <c r="D587" s="49"/>
      <c r="J587" s="49"/>
      <c r="P587" s="49"/>
      <c r="AD587" s="43"/>
      <c r="AE587" s="43"/>
      <c r="AF587" s="305"/>
      <c r="AG587" s="43"/>
    </row>
    <row r="588" spans="4:33">
      <c r="D588" s="49"/>
      <c r="J588" s="49"/>
      <c r="P588" s="49"/>
      <c r="AD588" s="43"/>
      <c r="AE588" s="43"/>
      <c r="AF588" s="305"/>
      <c r="AG588" s="43"/>
    </row>
    <row r="589" spans="4:33">
      <c r="D589" s="49"/>
      <c r="J589" s="49"/>
      <c r="P589" s="49"/>
      <c r="AD589" s="43"/>
      <c r="AE589" s="43"/>
      <c r="AF589" s="305"/>
      <c r="AG589" s="43"/>
    </row>
    <row r="590" spans="4:33">
      <c r="D590" s="49"/>
      <c r="J590" s="49"/>
      <c r="P590" s="49"/>
      <c r="AD590" s="43"/>
      <c r="AE590" s="43"/>
      <c r="AF590" s="305"/>
      <c r="AG590" s="43"/>
    </row>
    <row r="591" spans="4:33">
      <c r="D591" s="49"/>
      <c r="J591" s="49"/>
      <c r="P591" s="49"/>
      <c r="AD591" s="43"/>
      <c r="AE591" s="43"/>
      <c r="AF591" s="305"/>
      <c r="AG591" s="43"/>
    </row>
    <row r="592" spans="4:33">
      <c r="D592" s="49"/>
      <c r="J592" s="49"/>
      <c r="P592" s="49"/>
      <c r="AD592" s="43"/>
      <c r="AE592" s="43"/>
      <c r="AF592" s="305"/>
      <c r="AG592" s="43"/>
    </row>
    <row r="593" spans="4:33">
      <c r="D593" s="49"/>
      <c r="J593" s="49"/>
      <c r="P593" s="49"/>
      <c r="AD593" s="43"/>
      <c r="AE593" s="43"/>
      <c r="AF593" s="305"/>
      <c r="AG593" s="43"/>
    </row>
    <row r="594" spans="4:33">
      <c r="D594" s="49"/>
      <c r="J594" s="49"/>
      <c r="P594" s="49"/>
      <c r="AD594" s="43"/>
      <c r="AE594" s="43"/>
      <c r="AF594" s="305"/>
      <c r="AG594" s="43"/>
    </row>
    <row r="595" spans="4:33">
      <c r="D595" s="49"/>
      <c r="J595" s="49"/>
      <c r="P595" s="49"/>
      <c r="AD595" s="43"/>
      <c r="AE595" s="43"/>
      <c r="AF595" s="305"/>
      <c r="AG595" s="43"/>
    </row>
    <row r="596" spans="4:33">
      <c r="D596" s="49"/>
      <c r="J596" s="49"/>
      <c r="P596" s="49"/>
      <c r="AD596" s="43"/>
      <c r="AE596" s="43"/>
      <c r="AF596" s="305"/>
      <c r="AG596" s="43"/>
    </row>
    <row r="597" spans="4:33">
      <c r="D597" s="49"/>
      <c r="J597" s="49"/>
      <c r="P597" s="49"/>
      <c r="AD597" s="43"/>
      <c r="AE597" s="43"/>
      <c r="AF597" s="305"/>
      <c r="AG597" s="43"/>
    </row>
    <row r="598" spans="4:33">
      <c r="D598" s="49"/>
      <c r="J598" s="49"/>
      <c r="P598" s="49"/>
      <c r="AD598" s="43"/>
      <c r="AE598" s="43"/>
      <c r="AF598" s="305"/>
      <c r="AG598" s="43"/>
    </row>
    <row r="599" spans="4:33">
      <c r="D599" s="49"/>
      <c r="J599" s="49"/>
      <c r="P599" s="49"/>
      <c r="AD599" s="43"/>
      <c r="AE599" s="43"/>
      <c r="AF599" s="305"/>
      <c r="AG599" s="43"/>
    </row>
    <row r="600" spans="4:33">
      <c r="D600" s="49"/>
      <c r="J600" s="49"/>
      <c r="P600" s="49"/>
      <c r="AD600" s="43"/>
      <c r="AE600" s="43"/>
      <c r="AF600" s="305"/>
      <c r="AG600" s="43"/>
    </row>
    <row r="601" spans="4:33">
      <c r="D601" s="49"/>
      <c r="J601" s="49"/>
      <c r="P601" s="49"/>
      <c r="AD601" s="43"/>
      <c r="AE601" s="43"/>
      <c r="AF601" s="305"/>
      <c r="AG601" s="43"/>
    </row>
    <row r="602" spans="4:33">
      <c r="D602" s="49"/>
      <c r="J602" s="49"/>
      <c r="P602" s="49"/>
      <c r="AD602" s="43"/>
      <c r="AE602" s="43"/>
      <c r="AF602" s="305"/>
      <c r="AG602" s="43"/>
    </row>
    <row r="603" spans="4:33">
      <c r="D603" s="49"/>
      <c r="J603" s="49"/>
      <c r="P603" s="49"/>
      <c r="AD603" s="43"/>
      <c r="AE603" s="43"/>
      <c r="AF603" s="305"/>
      <c r="AG603" s="43"/>
    </row>
    <row r="604" spans="4:33">
      <c r="D604" s="49"/>
      <c r="J604" s="49"/>
      <c r="P604" s="49"/>
      <c r="AD604" s="43"/>
      <c r="AE604" s="43"/>
      <c r="AF604" s="305"/>
      <c r="AG604" s="43"/>
    </row>
    <row r="605" spans="4:33">
      <c r="D605" s="49"/>
      <c r="J605" s="49"/>
      <c r="P605" s="49"/>
      <c r="AD605" s="43"/>
      <c r="AE605" s="43"/>
      <c r="AF605" s="305"/>
      <c r="AG605" s="43"/>
    </row>
    <row r="606" spans="4:33">
      <c r="D606" s="49"/>
      <c r="J606" s="49"/>
      <c r="P606" s="49"/>
      <c r="AD606" s="43"/>
      <c r="AE606" s="43"/>
      <c r="AF606" s="305"/>
      <c r="AG606" s="43"/>
    </row>
    <row r="607" spans="4:33">
      <c r="D607" s="49"/>
      <c r="J607" s="49"/>
      <c r="P607" s="49"/>
      <c r="AD607" s="43"/>
      <c r="AE607" s="43"/>
      <c r="AF607" s="305"/>
      <c r="AG607" s="43"/>
    </row>
    <row r="608" spans="4:33">
      <c r="D608" s="49"/>
      <c r="J608" s="49"/>
      <c r="P608" s="49"/>
      <c r="AD608" s="43"/>
      <c r="AE608" s="43"/>
      <c r="AF608" s="305"/>
      <c r="AG608" s="43"/>
    </row>
    <row r="609" spans="4:33">
      <c r="D609" s="49"/>
      <c r="J609" s="49"/>
      <c r="P609" s="49"/>
      <c r="AD609" s="43"/>
      <c r="AE609" s="43"/>
      <c r="AF609" s="305"/>
      <c r="AG609" s="43"/>
    </row>
    <row r="610" spans="4:33">
      <c r="D610" s="49"/>
      <c r="J610" s="49"/>
      <c r="P610" s="49"/>
      <c r="AD610" s="43"/>
      <c r="AE610" s="43"/>
      <c r="AF610" s="305"/>
      <c r="AG610" s="43"/>
    </row>
    <row r="611" spans="4:33">
      <c r="D611" s="49"/>
      <c r="J611" s="49"/>
      <c r="P611" s="49"/>
      <c r="AD611" s="43"/>
      <c r="AE611" s="43"/>
      <c r="AF611" s="305"/>
      <c r="AG611" s="43"/>
    </row>
    <row r="612" spans="4:33">
      <c r="D612" s="49"/>
      <c r="J612" s="49"/>
      <c r="P612" s="49"/>
      <c r="AD612" s="43"/>
      <c r="AE612" s="43"/>
      <c r="AF612" s="305"/>
      <c r="AG612" s="43"/>
    </row>
    <row r="613" spans="4:33">
      <c r="D613" s="49"/>
      <c r="J613" s="49"/>
      <c r="P613" s="49"/>
      <c r="AD613" s="43"/>
      <c r="AE613" s="43"/>
      <c r="AF613" s="305"/>
      <c r="AG613" s="43"/>
    </row>
    <row r="614" spans="4:33">
      <c r="D614" s="49"/>
      <c r="J614" s="49"/>
      <c r="P614" s="49"/>
      <c r="AD614" s="43"/>
      <c r="AE614" s="43"/>
      <c r="AF614" s="305"/>
      <c r="AG614" s="43"/>
    </row>
    <row r="615" spans="4:33">
      <c r="D615" s="49"/>
      <c r="J615" s="49"/>
      <c r="P615" s="49"/>
      <c r="AD615" s="43"/>
      <c r="AE615" s="43"/>
      <c r="AF615" s="305"/>
      <c r="AG615" s="43"/>
    </row>
    <row r="616" spans="4:33">
      <c r="D616" s="49"/>
      <c r="J616" s="49"/>
      <c r="P616" s="49"/>
      <c r="AD616" s="43"/>
      <c r="AE616" s="43"/>
      <c r="AF616" s="305"/>
      <c r="AG616" s="43"/>
    </row>
    <row r="617" spans="4:33">
      <c r="D617" s="49"/>
      <c r="J617" s="49"/>
      <c r="P617" s="49"/>
      <c r="AD617" s="43"/>
      <c r="AE617" s="43"/>
      <c r="AF617" s="305"/>
      <c r="AG617" s="43"/>
    </row>
    <row r="618" spans="4:33">
      <c r="D618" s="49"/>
      <c r="J618" s="49"/>
      <c r="P618" s="49"/>
      <c r="AD618" s="43"/>
      <c r="AE618" s="43"/>
      <c r="AF618" s="305"/>
      <c r="AG618" s="43"/>
    </row>
    <row r="619" spans="4:33">
      <c r="D619" s="49"/>
      <c r="J619" s="49"/>
      <c r="P619" s="49"/>
      <c r="AD619" s="43"/>
      <c r="AE619" s="43"/>
      <c r="AF619" s="305"/>
      <c r="AG619" s="43"/>
    </row>
    <row r="620" spans="4:33">
      <c r="D620" s="49"/>
      <c r="J620" s="49"/>
      <c r="P620" s="49"/>
      <c r="AD620" s="43"/>
      <c r="AE620" s="43"/>
      <c r="AF620" s="305"/>
      <c r="AG620" s="43"/>
    </row>
    <row r="621" spans="4:33">
      <c r="D621" s="49"/>
      <c r="J621" s="49"/>
      <c r="P621" s="49"/>
      <c r="AD621" s="43"/>
      <c r="AE621" s="43"/>
      <c r="AF621" s="305"/>
      <c r="AG621" s="43"/>
    </row>
    <row r="622" spans="4:33">
      <c r="D622" s="49"/>
      <c r="J622" s="49"/>
      <c r="P622" s="49"/>
      <c r="AD622" s="43"/>
      <c r="AE622" s="43"/>
      <c r="AF622" s="305"/>
      <c r="AG622" s="43"/>
    </row>
    <row r="623" spans="4:33">
      <c r="D623" s="49"/>
      <c r="J623" s="49"/>
      <c r="P623" s="49"/>
      <c r="AD623" s="43"/>
      <c r="AE623" s="43"/>
      <c r="AF623" s="305"/>
      <c r="AG623" s="43"/>
    </row>
    <row r="624" spans="4:33">
      <c r="D624" s="49"/>
      <c r="J624" s="49"/>
      <c r="P624" s="49"/>
      <c r="AD624" s="43"/>
      <c r="AE624" s="43"/>
      <c r="AF624" s="305"/>
      <c r="AG624" s="43"/>
    </row>
    <row r="625" spans="4:33">
      <c r="D625" s="49"/>
      <c r="J625" s="49"/>
      <c r="P625" s="49"/>
      <c r="AD625" s="43"/>
      <c r="AE625" s="43"/>
      <c r="AF625" s="305"/>
      <c r="AG625" s="43"/>
    </row>
    <row r="626" spans="4:33">
      <c r="D626" s="49"/>
      <c r="J626" s="49"/>
      <c r="P626" s="49"/>
      <c r="AD626" s="43"/>
      <c r="AE626" s="43"/>
      <c r="AF626" s="305"/>
      <c r="AG626" s="43"/>
    </row>
    <row r="627" spans="4:33">
      <c r="D627" s="49"/>
      <c r="J627" s="49"/>
      <c r="P627" s="49"/>
      <c r="AD627" s="43"/>
      <c r="AE627" s="43"/>
      <c r="AF627" s="305"/>
      <c r="AG627" s="43"/>
    </row>
    <row r="628" spans="4:33">
      <c r="D628" s="49"/>
      <c r="J628" s="49"/>
      <c r="P628" s="49"/>
      <c r="AD628" s="43"/>
      <c r="AE628" s="43"/>
      <c r="AF628" s="305"/>
      <c r="AG628" s="43"/>
    </row>
    <row r="629" spans="4:33">
      <c r="D629" s="49"/>
      <c r="J629" s="49"/>
      <c r="P629" s="49"/>
      <c r="AD629" s="43"/>
      <c r="AE629" s="43"/>
      <c r="AF629" s="305"/>
      <c r="AG629" s="43"/>
    </row>
    <row r="630" spans="4:33">
      <c r="D630" s="49"/>
      <c r="J630" s="49"/>
      <c r="P630" s="49"/>
      <c r="AD630" s="43"/>
      <c r="AE630" s="43"/>
      <c r="AF630" s="305"/>
      <c r="AG630" s="43"/>
    </row>
    <row r="631" spans="4:33">
      <c r="D631" s="49"/>
      <c r="J631" s="49"/>
      <c r="P631" s="49"/>
      <c r="AD631" s="43"/>
      <c r="AE631" s="43"/>
      <c r="AF631" s="305"/>
      <c r="AG631" s="43"/>
    </row>
    <row r="632" spans="4:33">
      <c r="D632" s="49"/>
      <c r="J632" s="49"/>
      <c r="P632" s="49"/>
      <c r="AD632" s="43"/>
      <c r="AE632" s="43"/>
      <c r="AF632" s="305"/>
      <c r="AG632" s="43"/>
    </row>
    <row r="633" spans="4:33">
      <c r="D633" s="49"/>
      <c r="J633" s="49"/>
      <c r="P633" s="49"/>
      <c r="AD633" s="43"/>
      <c r="AE633" s="43"/>
      <c r="AF633" s="305"/>
      <c r="AG633" s="43"/>
    </row>
    <row r="634" spans="4:33">
      <c r="D634" s="49"/>
      <c r="J634" s="49"/>
      <c r="P634" s="49"/>
      <c r="AD634" s="43"/>
      <c r="AE634" s="43"/>
      <c r="AF634" s="305"/>
      <c r="AG634" s="43"/>
    </row>
    <row r="635" spans="4:33">
      <c r="D635" s="49"/>
      <c r="J635" s="49"/>
      <c r="P635" s="49"/>
      <c r="AD635" s="43"/>
      <c r="AE635" s="43"/>
      <c r="AF635" s="305"/>
      <c r="AG635" s="43"/>
    </row>
    <row r="636" spans="4:33">
      <c r="D636" s="49"/>
      <c r="J636" s="49"/>
      <c r="P636" s="49"/>
      <c r="AD636" s="43"/>
      <c r="AE636" s="43"/>
      <c r="AF636" s="305"/>
      <c r="AG636" s="43"/>
    </row>
    <row r="637" spans="4:33">
      <c r="D637" s="49"/>
      <c r="J637" s="49"/>
      <c r="P637" s="49"/>
      <c r="AD637" s="43"/>
      <c r="AE637" s="43"/>
      <c r="AF637" s="305"/>
      <c r="AG637" s="43"/>
    </row>
    <row r="638" spans="4:33">
      <c r="D638" s="49"/>
      <c r="J638" s="49"/>
      <c r="P638" s="49"/>
      <c r="AD638" s="43"/>
      <c r="AE638" s="43"/>
      <c r="AF638" s="305"/>
      <c r="AG638" s="43"/>
    </row>
    <row r="639" spans="4:33">
      <c r="D639" s="49"/>
      <c r="J639" s="49"/>
      <c r="P639" s="49"/>
      <c r="AD639" s="43"/>
      <c r="AE639" s="43"/>
      <c r="AF639" s="305"/>
      <c r="AG639" s="43"/>
    </row>
    <row r="640" spans="4:33">
      <c r="D640" s="49"/>
      <c r="J640" s="49"/>
      <c r="P640" s="49"/>
      <c r="AD640" s="43"/>
      <c r="AE640" s="43"/>
      <c r="AF640" s="305"/>
      <c r="AG640" s="43"/>
    </row>
    <row r="641" spans="4:33">
      <c r="D641" s="49"/>
      <c r="J641" s="49"/>
      <c r="P641" s="49"/>
      <c r="AD641" s="43"/>
      <c r="AE641" s="43"/>
      <c r="AF641" s="305"/>
      <c r="AG641" s="43"/>
    </row>
    <row r="642" spans="4:33">
      <c r="D642" s="49"/>
      <c r="J642" s="49"/>
      <c r="P642" s="49"/>
      <c r="AD642" s="43"/>
      <c r="AE642" s="43"/>
      <c r="AF642" s="305"/>
      <c r="AG642" s="43"/>
    </row>
    <row r="643" spans="4:33">
      <c r="D643" s="49"/>
      <c r="J643" s="49"/>
      <c r="P643" s="49"/>
      <c r="AD643" s="43"/>
      <c r="AE643" s="43"/>
      <c r="AF643" s="305"/>
      <c r="AG643" s="43"/>
    </row>
    <row r="644" spans="4:33">
      <c r="D644" s="49"/>
      <c r="J644" s="49"/>
      <c r="P644" s="49"/>
      <c r="AD644" s="43"/>
      <c r="AE644" s="43"/>
      <c r="AF644" s="305"/>
      <c r="AG644" s="43"/>
    </row>
    <row r="645" spans="4:33">
      <c r="D645" s="49"/>
      <c r="J645" s="49"/>
      <c r="P645" s="49"/>
      <c r="AD645" s="43"/>
      <c r="AE645" s="43"/>
      <c r="AF645" s="305"/>
      <c r="AG645" s="43"/>
    </row>
    <row r="646" spans="4:33">
      <c r="D646" s="49"/>
      <c r="J646" s="49"/>
      <c r="P646" s="49"/>
      <c r="AD646" s="43"/>
      <c r="AE646" s="43"/>
      <c r="AF646" s="305"/>
      <c r="AG646" s="43"/>
    </row>
    <row r="647" spans="4:33">
      <c r="D647" s="49"/>
      <c r="J647" s="49"/>
      <c r="P647" s="49"/>
      <c r="AD647" s="43"/>
      <c r="AE647" s="43"/>
      <c r="AF647" s="305"/>
      <c r="AG647" s="43"/>
    </row>
    <row r="648" spans="4:33">
      <c r="D648" s="49"/>
      <c r="J648" s="49"/>
      <c r="P648" s="49"/>
      <c r="AD648" s="43"/>
      <c r="AE648" s="43"/>
      <c r="AF648" s="305"/>
      <c r="AG648" s="43"/>
    </row>
    <row r="649" spans="4:33">
      <c r="D649" s="49"/>
      <c r="J649" s="49"/>
      <c r="P649" s="49"/>
      <c r="AD649" s="43"/>
      <c r="AE649" s="43"/>
      <c r="AF649" s="305"/>
      <c r="AG649" s="43"/>
    </row>
    <row r="650" spans="4:33">
      <c r="D650" s="49"/>
      <c r="J650" s="49"/>
      <c r="P650" s="49"/>
      <c r="AD650" s="43"/>
      <c r="AE650" s="43"/>
      <c r="AF650" s="305"/>
      <c r="AG650" s="43"/>
    </row>
    <row r="651" spans="4:33">
      <c r="D651" s="49"/>
      <c r="J651" s="49"/>
      <c r="P651" s="49"/>
      <c r="AD651" s="43"/>
      <c r="AE651" s="43"/>
      <c r="AF651" s="305"/>
      <c r="AG651" s="43"/>
    </row>
    <row r="652" spans="4:33">
      <c r="D652" s="49"/>
      <c r="J652" s="49"/>
      <c r="P652" s="49"/>
      <c r="AD652" s="43"/>
      <c r="AE652" s="43"/>
      <c r="AF652" s="305"/>
      <c r="AG652" s="43"/>
    </row>
    <row r="653" spans="4:33">
      <c r="D653" s="49"/>
      <c r="J653" s="49"/>
      <c r="P653" s="49"/>
      <c r="AD653" s="43"/>
      <c r="AE653" s="43"/>
      <c r="AF653" s="305"/>
      <c r="AG653" s="43"/>
    </row>
    <row r="654" spans="4:33">
      <c r="D654" s="49"/>
      <c r="J654" s="49"/>
      <c r="P654" s="49"/>
      <c r="AD654" s="43"/>
      <c r="AE654" s="43"/>
      <c r="AF654" s="305"/>
      <c r="AG654" s="43"/>
    </row>
    <row r="655" spans="4:33">
      <c r="D655" s="49"/>
      <c r="J655" s="49"/>
      <c r="P655" s="49"/>
      <c r="AD655" s="43"/>
      <c r="AE655" s="43"/>
      <c r="AF655" s="305"/>
      <c r="AG655" s="43"/>
    </row>
    <row r="656" spans="4:33">
      <c r="D656" s="49"/>
      <c r="J656" s="49"/>
      <c r="P656" s="49"/>
      <c r="AD656" s="43"/>
      <c r="AE656" s="43"/>
      <c r="AF656" s="305"/>
      <c r="AG656" s="43"/>
    </row>
    <row r="657" spans="4:33">
      <c r="D657" s="49"/>
      <c r="J657" s="49"/>
      <c r="P657" s="49"/>
      <c r="AD657" s="43"/>
      <c r="AE657" s="43"/>
      <c r="AF657" s="305"/>
      <c r="AG657" s="43"/>
    </row>
    <row r="658" spans="4:33">
      <c r="D658" s="49"/>
      <c r="J658" s="49"/>
      <c r="P658" s="49"/>
      <c r="AD658" s="43"/>
      <c r="AE658" s="43"/>
      <c r="AF658" s="305"/>
      <c r="AG658" s="43"/>
    </row>
    <row r="659" spans="4:33">
      <c r="D659" s="49"/>
      <c r="J659" s="49"/>
      <c r="P659" s="49"/>
      <c r="AD659" s="43"/>
      <c r="AE659" s="43"/>
      <c r="AF659" s="305"/>
      <c r="AG659" s="43"/>
    </row>
    <row r="660" spans="4:33">
      <c r="D660" s="49"/>
      <c r="J660" s="49"/>
      <c r="P660" s="49"/>
      <c r="AD660" s="43"/>
      <c r="AE660" s="43"/>
      <c r="AF660" s="305"/>
      <c r="AG660" s="43"/>
    </row>
    <row r="661" spans="4:33">
      <c r="D661" s="49"/>
      <c r="J661" s="49"/>
      <c r="P661" s="49"/>
      <c r="AD661" s="43"/>
      <c r="AE661" s="43"/>
      <c r="AF661" s="305"/>
      <c r="AG661" s="43"/>
    </row>
    <row r="662" spans="4:33">
      <c r="D662" s="49"/>
      <c r="J662" s="49"/>
      <c r="P662" s="49"/>
      <c r="AD662" s="43"/>
      <c r="AE662" s="43"/>
      <c r="AF662" s="305"/>
      <c r="AG662" s="43"/>
    </row>
    <row r="663" spans="4:33">
      <c r="D663" s="49"/>
      <c r="J663" s="49"/>
      <c r="P663" s="49"/>
      <c r="AD663" s="43"/>
      <c r="AE663" s="43"/>
      <c r="AF663" s="305"/>
      <c r="AG663" s="43"/>
    </row>
    <row r="664" spans="4:33">
      <c r="D664" s="49"/>
      <c r="J664" s="49"/>
      <c r="P664" s="49"/>
      <c r="AD664" s="43"/>
      <c r="AE664" s="43"/>
      <c r="AF664" s="305"/>
      <c r="AG664" s="43"/>
    </row>
    <row r="665" spans="4:33">
      <c r="D665" s="49"/>
      <c r="J665" s="49"/>
      <c r="P665" s="49"/>
      <c r="AD665" s="43"/>
      <c r="AE665" s="43"/>
      <c r="AF665" s="305"/>
      <c r="AG665" s="43"/>
    </row>
    <row r="666" spans="4:33">
      <c r="D666" s="49"/>
      <c r="J666" s="49"/>
      <c r="P666" s="49"/>
      <c r="AD666" s="43"/>
      <c r="AE666" s="43"/>
      <c r="AF666" s="305"/>
      <c r="AG666" s="43"/>
    </row>
    <row r="667" spans="4:33">
      <c r="D667" s="49"/>
      <c r="J667" s="49"/>
      <c r="P667" s="49"/>
      <c r="AD667" s="43"/>
      <c r="AE667" s="43"/>
      <c r="AF667" s="305"/>
      <c r="AG667" s="43"/>
    </row>
    <row r="668" spans="4:33">
      <c r="D668" s="49"/>
      <c r="J668" s="49"/>
      <c r="P668" s="49"/>
      <c r="AD668" s="43"/>
      <c r="AE668" s="43"/>
      <c r="AF668" s="305"/>
      <c r="AG668" s="43"/>
    </row>
    <row r="669" spans="4:33">
      <c r="D669" s="49"/>
      <c r="J669" s="49"/>
      <c r="P669" s="49"/>
      <c r="AD669" s="43"/>
      <c r="AE669" s="43"/>
      <c r="AF669" s="305"/>
      <c r="AG669" s="43"/>
    </row>
    <row r="670" spans="4:33">
      <c r="D670" s="49"/>
      <c r="J670" s="49"/>
      <c r="P670" s="49"/>
      <c r="AD670" s="43"/>
      <c r="AE670" s="43"/>
      <c r="AF670" s="305"/>
      <c r="AG670" s="43"/>
    </row>
    <row r="671" spans="4:33">
      <c r="D671" s="49"/>
      <c r="J671" s="49"/>
      <c r="P671" s="49"/>
      <c r="AD671" s="43"/>
      <c r="AE671" s="43"/>
      <c r="AF671" s="305"/>
      <c r="AG671" s="43"/>
    </row>
    <row r="672" spans="4:33">
      <c r="D672" s="49"/>
      <c r="J672" s="49"/>
      <c r="P672" s="49"/>
      <c r="AD672" s="43"/>
      <c r="AE672" s="43"/>
      <c r="AF672" s="305"/>
      <c r="AG672" s="43"/>
    </row>
    <row r="673" spans="4:33">
      <c r="D673" s="49"/>
      <c r="J673" s="49"/>
      <c r="P673" s="49"/>
      <c r="AD673" s="43"/>
      <c r="AE673" s="43"/>
      <c r="AF673" s="305"/>
      <c r="AG673" s="43"/>
    </row>
    <row r="674" spans="4:33">
      <c r="D674" s="49"/>
      <c r="J674" s="49"/>
      <c r="P674" s="49"/>
      <c r="AD674" s="43"/>
      <c r="AE674" s="43"/>
      <c r="AF674" s="305"/>
      <c r="AG674" s="43"/>
    </row>
    <row r="675" spans="4:33">
      <c r="D675" s="49"/>
      <c r="J675" s="49"/>
      <c r="P675" s="49"/>
      <c r="AD675" s="43"/>
      <c r="AE675" s="43"/>
      <c r="AF675" s="305"/>
      <c r="AG675" s="43"/>
    </row>
    <row r="676" spans="4:33">
      <c r="D676" s="49"/>
      <c r="J676" s="49"/>
      <c r="P676" s="49"/>
      <c r="AD676" s="43"/>
      <c r="AE676" s="43"/>
      <c r="AF676" s="305"/>
      <c r="AG676" s="43"/>
    </row>
    <row r="677" spans="4:33">
      <c r="D677" s="49"/>
      <c r="J677" s="49"/>
      <c r="P677" s="49"/>
      <c r="AD677" s="43"/>
      <c r="AE677" s="43"/>
      <c r="AF677" s="305"/>
      <c r="AG677" s="43"/>
    </row>
    <row r="678" spans="4:33">
      <c r="D678" s="49"/>
      <c r="J678" s="49"/>
      <c r="P678" s="49"/>
      <c r="AD678" s="43"/>
      <c r="AE678" s="43"/>
      <c r="AF678" s="305"/>
      <c r="AG678" s="43"/>
    </row>
    <row r="679" spans="4:33">
      <c r="D679" s="49"/>
      <c r="J679" s="49"/>
      <c r="P679" s="49"/>
      <c r="AD679" s="43"/>
      <c r="AE679" s="43"/>
      <c r="AF679" s="305"/>
      <c r="AG679" s="43"/>
    </row>
    <row r="680" spans="4:33">
      <c r="D680" s="49"/>
      <c r="J680" s="49"/>
      <c r="P680" s="49"/>
      <c r="AD680" s="43"/>
      <c r="AE680" s="43"/>
      <c r="AF680" s="305"/>
      <c r="AG680" s="43"/>
    </row>
    <row r="681" spans="4:33">
      <c r="D681" s="49"/>
      <c r="J681" s="49"/>
      <c r="P681" s="49"/>
      <c r="AD681" s="43"/>
      <c r="AE681" s="43"/>
      <c r="AF681" s="305"/>
      <c r="AG681" s="43"/>
    </row>
    <row r="682" spans="4:33">
      <c r="D682" s="49"/>
      <c r="J682" s="49"/>
      <c r="P682" s="49"/>
      <c r="AD682" s="43"/>
      <c r="AE682" s="43"/>
      <c r="AF682" s="305"/>
      <c r="AG682" s="43"/>
    </row>
    <row r="683" spans="4:33">
      <c r="D683" s="49"/>
      <c r="J683" s="49"/>
      <c r="P683" s="49"/>
      <c r="AD683" s="43"/>
      <c r="AE683" s="43"/>
      <c r="AF683" s="305"/>
      <c r="AG683" s="43"/>
    </row>
    <row r="684" spans="4:33">
      <c r="D684" s="49"/>
      <c r="J684" s="49"/>
      <c r="P684" s="49"/>
      <c r="AD684" s="43"/>
      <c r="AE684" s="43"/>
      <c r="AF684" s="305"/>
      <c r="AG684" s="43"/>
    </row>
    <row r="685" spans="4:33">
      <c r="D685" s="49"/>
      <c r="J685" s="49"/>
      <c r="P685" s="49"/>
      <c r="AD685" s="43"/>
      <c r="AE685" s="43"/>
      <c r="AF685" s="305"/>
      <c r="AG685" s="43"/>
    </row>
    <row r="686" spans="4:33">
      <c r="D686" s="49"/>
      <c r="J686" s="49"/>
      <c r="P686" s="49"/>
      <c r="AD686" s="43"/>
      <c r="AE686" s="43"/>
      <c r="AF686" s="305"/>
      <c r="AG686" s="43"/>
    </row>
    <row r="687" spans="4:33">
      <c r="D687" s="49"/>
      <c r="J687" s="49"/>
      <c r="P687" s="49"/>
      <c r="AD687" s="43"/>
      <c r="AE687" s="43"/>
      <c r="AF687" s="305"/>
      <c r="AG687" s="43"/>
    </row>
    <row r="688" spans="4:33">
      <c r="D688" s="49"/>
      <c r="J688" s="49"/>
      <c r="P688" s="49"/>
      <c r="AD688" s="43"/>
      <c r="AE688" s="43"/>
      <c r="AF688" s="305"/>
      <c r="AG688" s="43"/>
    </row>
    <row r="689" spans="4:33">
      <c r="D689" s="49"/>
      <c r="J689" s="49"/>
      <c r="P689" s="49"/>
      <c r="AD689" s="43"/>
      <c r="AE689" s="43"/>
      <c r="AF689" s="305"/>
      <c r="AG689" s="43"/>
    </row>
    <row r="690" spans="4:33">
      <c r="D690" s="49"/>
      <c r="J690" s="49"/>
      <c r="P690" s="49"/>
      <c r="AD690" s="43"/>
      <c r="AE690" s="43"/>
      <c r="AF690" s="305"/>
      <c r="AG690" s="43"/>
    </row>
    <row r="691" spans="4:33">
      <c r="D691" s="49"/>
      <c r="J691" s="49"/>
      <c r="P691" s="49"/>
      <c r="AD691" s="43"/>
      <c r="AE691" s="43"/>
      <c r="AF691" s="305"/>
      <c r="AG691" s="43"/>
    </row>
    <row r="692" spans="4:33">
      <c r="D692" s="49"/>
      <c r="J692" s="49"/>
      <c r="P692" s="49"/>
      <c r="AD692" s="43"/>
      <c r="AE692" s="43"/>
      <c r="AF692" s="305"/>
      <c r="AG692" s="43"/>
    </row>
    <row r="693" spans="4:33">
      <c r="D693" s="49"/>
      <c r="J693" s="49"/>
      <c r="P693" s="49"/>
      <c r="AD693" s="43"/>
      <c r="AE693" s="43"/>
      <c r="AF693" s="305"/>
      <c r="AG693" s="43"/>
    </row>
    <row r="694" spans="4:33">
      <c r="D694" s="49"/>
      <c r="J694" s="49"/>
      <c r="P694" s="49"/>
      <c r="AD694" s="43"/>
      <c r="AE694" s="43"/>
      <c r="AF694" s="305"/>
      <c r="AG694" s="43"/>
    </row>
    <row r="695" spans="4:33">
      <c r="D695" s="49"/>
      <c r="J695" s="49"/>
      <c r="P695" s="49"/>
      <c r="AD695" s="43"/>
      <c r="AE695" s="43"/>
      <c r="AF695" s="305"/>
      <c r="AG695" s="43"/>
    </row>
    <row r="696" spans="4:33">
      <c r="D696" s="49"/>
      <c r="J696" s="49"/>
      <c r="P696" s="49"/>
      <c r="AD696" s="43"/>
      <c r="AE696" s="43"/>
      <c r="AF696" s="305"/>
      <c r="AG696" s="43"/>
    </row>
    <row r="697" spans="4:33">
      <c r="D697" s="49"/>
      <c r="J697" s="49"/>
      <c r="P697" s="49"/>
      <c r="AD697" s="43"/>
      <c r="AE697" s="43"/>
      <c r="AF697" s="305"/>
      <c r="AG697" s="43"/>
    </row>
    <row r="698" spans="4:33">
      <c r="D698" s="49"/>
      <c r="J698" s="49"/>
      <c r="P698" s="49"/>
      <c r="AD698" s="43"/>
      <c r="AE698" s="43"/>
      <c r="AF698" s="305"/>
      <c r="AG698" s="43"/>
    </row>
    <row r="699" spans="4:33">
      <c r="D699" s="49"/>
      <c r="J699" s="49"/>
      <c r="P699" s="49"/>
      <c r="AD699" s="43"/>
      <c r="AE699" s="43"/>
      <c r="AF699" s="305"/>
      <c r="AG699" s="43"/>
    </row>
    <row r="700" spans="4:33">
      <c r="D700" s="49"/>
      <c r="J700" s="49"/>
      <c r="P700" s="49"/>
      <c r="AD700" s="43"/>
      <c r="AE700" s="43"/>
      <c r="AF700" s="305"/>
      <c r="AG700" s="43"/>
    </row>
    <row r="701" spans="4:33">
      <c r="D701" s="49"/>
      <c r="J701" s="49"/>
      <c r="P701" s="49"/>
      <c r="AD701" s="43"/>
      <c r="AE701" s="43"/>
      <c r="AF701" s="305"/>
      <c r="AG701" s="43"/>
    </row>
    <row r="702" spans="4:33">
      <c r="D702" s="49"/>
      <c r="J702" s="49"/>
      <c r="P702" s="49"/>
      <c r="AD702" s="43"/>
      <c r="AE702" s="43"/>
      <c r="AF702" s="305"/>
      <c r="AG702" s="43"/>
    </row>
    <row r="703" spans="4:33">
      <c r="D703" s="49"/>
      <c r="J703" s="49"/>
      <c r="P703" s="49"/>
      <c r="AD703" s="43"/>
      <c r="AE703" s="43"/>
      <c r="AF703" s="305"/>
      <c r="AG703" s="43"/>
    </row>
    <row r="704" spans="4:33">
      <c r="D704" s="49"/>
      <c r="J704" s="49"/>
      <c r="P704" s="49"/>
      <c r="AD704" s="43"/>
      <c r="AE704" s="43"/>
      <c r="AF704" s="305"/>
      <c r="AG704" s="43"/>
    </row>
    <row r="705" spans="4:33">
      <c r="D705" s="49"/>
      <c r="J705" s="49"/>
      <c r="P705" s="49"/>
      <c r="AD705" s="43"/>
      <c r="AE705" s="43"/>
      <c r="AF705" s="305"/>
      <c r="AG705" s="43"/>
    </row>
    <row r="706" spans="4:33">
      <c r="D706" s="49"/>
      <c r="J706" s="49"/>
      <c r="P706" s="49"/>
      <c r="AD706" s="43"/>
      <c r="AE706" s="43"/>
      <c r="AF706" s="305"/>
      <c r="AG706" s="43"/>
    </row>
    <row r="707" spans="4:33">
      <c r="D707" s="49"/>
      <c r="J707" s="49"/>
      <c r="P707" s="49"/>
      <c r="AD707" s="43"/>
      <c r="AE707" s="43"/>
      <c r="AF707" s="305"/>
      <c r="AG707" s="43"/>
    </row>
    <row r="708" spans="4:33">
      <c r="D708" s="49"/>
      <c r="J708" s="49"/>
      <c r="P708" s="49"/>
      <c r="AD708" s="43"/>
      <c r="AE708" s="43"/>
      <c r="AF708" s="305"/>
      <c r="AG708" s="43"/>
    </row>
    <row r="709" spans="4:33">
      <c r="D709" s="49"/>
      <c r="J709" s="49"/>
      <c r="P709" s="49"/>
      <c r="AD709" s="43"/>
      <c r="AE709" s="43"/>
      <c r="AF709" s="305"/>
      <c r="AG709" s="43"/>
    </row>
    <row r="710" spans="4:33">
      <c r="D710" s="49"/>
      <c r="J710" s="49"/>
      <c r="P710" s="49"/>
      <c r="AD710" s="43"/>
      <c r="AE710" s="43"/>
      <c r="AF710" s="305"/>
      <c r="AG710" s="43"/>
    </row>
    <row r="711" spans="4:33">
      <c r="D711" s="49"/>
      <c r="J711" s="49"/>
      <c r="P711" s="49"/>
      <c r="AD711" s="43"/>
      <c r="AE711" s="43"/>
      <c r="AF711" s="305"/>
      <c r="AG711" s="43"/>
    </row>
    <row r="712" spans="4:33">
      <c r="D712" s="49"/>
      <c r="J712" s="49"/>
      <c r="P712" s="49"/>
      <c r="AD712" s="43"/>
      <c r="AE712" s="43"/>
      <c r="AF712" s="305"/>
      <c r="AG712" s="43"/>
    </row>
    <row r="713" spans="4:33">
      <c r="D713" s="49"/>
      <c r="J713" s="49"/>
      <c r="P713" s="49"/>
      <c r="AD713" s="43"/>
      <c r="AE713" s="43"/>
      <c r="AF713" s="305"/>
      <c r="AG713" s="43"/>
    </row>
    <row r="714" spans="4:33">
      <c r="D714" s="49"/>
      <c r="J714" s="49"/>
      <c r="P714" s="49"/>
      <c r="AD714" s="43"/>
      <c r="AE714" s="43"/>
      <c r="AF714" s="305"/>
      <c r="AG714" s="43"/>
    </row>
    <row r="715" spans="4:33">
      <c r="D715" s="49"/>
      <c r="J715" s="49"/>
      <c r="P715" s="49"/>
      <c r="AD715" s="43"/>
      <c r="AE715" s="43"/>
      <c r="AF715" s="305"/>
      <c r="AG715" s="43"/>
    </row>
    <row r="716" spans="4:33">
      <c r="D716" s="49"/>
      <c r="J716" s="49"/>
      <c r="P716" s="49"/>
      <c r="AD716" s="43"/>
      <c r="AE716" s="43"/>
      <c r="AF716" s="305"/>
      <c r="AG716" s="43"/>
    </row>
    <row r="717" spans="4:33">
      <c r="D717" s="49"/>
      <c r="J717" s="49"/>
      <c r="P717" s="49"/>
      <c r="AD717" s="43"/>
      <c r="AE717" s="43"/>
      <c r="AF717" s="305"/>
      <c r="AG717" s="43"/>
    </row>
    <row r="718" spans="4:33">
      <c r="D718" s="49"/>
      <c r="J718" s="49"/>
      <c r="P718" s="49"/>
      <c r="AD718" s="43"/>
      <c r="AE718" s="43"/>
      <c r="AF718" s="305"/>
      <c r="AG718" s="43"/>
    </row>
    <row r="719" spans="4:33">
      <c r="D719" s="49"/>
      <c r="J719" s="49"/>
      <c r="P719" s="49"/>
      <c r="AD719" s="43"/>
      <c r="AE719" s="43"/>
      <c r="AF719" s="305"/>
      <c r="AG719" s="43"/>
    </row>
    <row r="720" spans="4:33">
      <c r="D720" s="49"/>
      <c r="J720" s="49"/>
      <c r="P720" s="49"/>
      <c r="AD720" s="43"/>
      <c r="AE720" s="43"/>
      <c r="AF720" s="305"/>
      <c r="AG720" s="43"/>
    </row>
    <row r="721" spans="4:33">
      <c r="D721" s="49"/>
      <c r="J721" s="49"/>
      <c r="P721" s="49"/>
      <c r="AD721" s="43"/>
      <c r="AE721" s="43"/>
      <c r="AF721" s="305"/>
      <c r="AG721" s="43"/>
    </row>
    <row r="722" spans="4:33">
      <c r="D722" s="49"/>
      <c r="J722" s="49"/>
      <c r="P722" s="49"/>
      <c r="AD722" s="43"/>
      <c r="AE722" s="43"/>
      <c r="AF722" s="305"/>
      <c r="AG722" s="43"/>
    </row>
    <row r="723" spans="4:33">
      <c r="D723" s="49"/>
      <c r="J723" s="49"/>
      <c r="P723" s="49"/>
      <c r="AD723" s="43"/>
      <c r="AE723" s="43"/>
      <c r="AF723" s="305"/>
      <c r="AG723" s="43"/>
    </row>
    <row r="724" spans="4:33">
      <c r="D724" s="49"/>
      <c r="J724" s="49"/>
      <c r="P724" s="49"/>
      <c r="AD724" s="43"/>
      <c r="AE724" s="43"/>
      <c r="AF724" s="305"/>
      <c r="AG724" s="43"/>
    </row>
    <row r="725" spans="4:33">
      <c r="D725" s="49"/>
      <c r="J725" s="49"/>
      <c r="P725" s="49"/>
      <c r="AD725" s="43"/>
      <c r="AE725" s="43"/>
      <c r="AF725" s="305"/>
      <c r="AG725" s="43"/>
    </row>
    <row r="726" spans="4:33">
      <c r="D726" s="49"/>
      <c r="J726" s="49"/>
      <c r="P726" s="49"/>
      <c r="AD726" s="43"/>
      <c r="AE726" s="43"/>
      <c r="AF726" s="305"/>
      <c r="AG726" s="43"/>
    </row>
    <row r="727" spans="4:33">
      <c r="D727" s="49"/>
      <c r="J727" s="49"/>
      <c r="P727" s="49"/>
      <c r="AD727" s="43"/>
      <c r="AE727" s="43"/>
      <c r="AF727" s="305"/>
      <c r="AG727" s="43"/>
    </row>
    <row r="728" spans="4:33">
      <c r="D728" s="49"/>
      <c r="J728" s="49"/>
      <c r="P728" s="49"/>
      <c r="AD728" s="43"/>
      <c r="AE728" s="43"/>
      <c r="AF728" s="305"/>
      <c r="AG728" s="43"/>
    </row>
    <row r="729" spans="4:33">
      <c r="D729" s="49"/>
      <c r="J729" s="49"/>
      <c r="P729" s="49"/>
      <c r="AD729" s="43"/>
      <c r="AE729" s="43"/>
      <c r="AF729" s="305"/>
      <c r="AG729" s="43"/>
    </row>
    <row r="730" spans="4:33">
      <c r="D730" s="49"/>
      <c r="J730" s="49"/>
      <c r="P730" s="49"/>
      <c r="AD730" s="43"/>
      <c r="AE730" s="43"/>
      <c r="AF730" s="305"/>
      <c r="AG730" s="43"/>
    </row>
    <row r="731" spans="4:33">
      <c r="D731" s="49"/>
      <c r="J731" s="49"/>
      <c r="P731" s="49"/>
      <c r="AD731" s="43"/>
      <c r="AE731" s="43"/>
      <c r="AF731" s="305"/>
      <c r="AG731" s="43"/>
    </row>
    <row r="732" spans="4:33">
      <c r="D732" s="49"/>
      <c r="J732" s="49"/>
      <c r="P732" s="49"/>
      <c r="AD732" s="43"/>
      <c r="AE732" s="43"/>
      <c r="AF732" s="305"/>
      <c r="AG732" s="43"/>
    </row>
    <row r="733" spans="4:33">
      <c r="D733" s="49"/>
      <c r="J733" s="49"/>
      <c r="P733" s="49"/>
      <c r="AD733" s="43"/>
      <c r="AE733" s="43"/>
      <c r="AF733" s="305"/>
      <c r="AG733" s="43"/>
    </row>
    <row r="734" spans="4:33">
      <c r="D734" s="49"/>
      <c r="J734" s="49"/>
      <c r="P734" s="49"/>
      <c r="AD734" s="43"/>
      <c r="AE734" s="43"/>
      <c r="AF734" s="305"/>
      <c r="AG734" s="43"/>
    </row>
    <row r="735" spans="4:33">
      <c r="D735" s="49"/>
      <c r="J735" s="49"/>
      <c r="P735" s="49"/>
      <c r="AD735" s="43"/>
      <c r="AE735" s="43"/>
      <c r="AF735" s="305"/>
      <c r="AG735" s="43"/>
    </row>
    <row r="736" spans="4:33">
      <c r="D736" s="49"/>
      <c r="J736" s="49"/>
      <c r="P736" s="49"/>
      <c r="AD736" s="43"/>
      <c r="AE736" s="43"/>
      <c r="AF736" s="305"/>
      <c r="AG736" s="43"/>
    </row>
    <row r="737" spans="4:33">
      <c r="D737" s="49"/>
      <c r="J737" s="49"/>
      <c r="P737" s="49"/>
      <c r="AD737" s="43"/>
      <c r="AE737" s="43"/>
      <c r="AF737" s="305"/>
      <c r="AG737" s="43"/>
    </row>
    <row r="738" spans="4:33">
      <c r="D738" s="49"/>
      <c r="J738" s="49"/>
      <c r="P738" s="49"/>
      <c r="AD738" s="43"/>
      <c r="AE738" s="43"/>
      <c r="AF738" s="305"/>
      <c r="AG738" s="43"/>
    </row>
    <row r="739" spans="4:33">
      <c r="D739" s="49"/>
      <c r="J739" s="49"/>
      <c r="P739" s="49"/>
      <c r="AD739" s="43"/>
      <c r="AE739" s="43"/>
      <c r="AF739" s="305"/>
      <c r="AG739" s="43"/>
    </row>
    <row r="740" spans="4:33">
      <c r="D740" s="49"/>
      <c r="J740" s="49"/>
      <c r="P740" s="49"/>
      <c r="AD740" s="43"/>
      <c r="AE740" s="43"/>
      <c r="AF740" s="305"/>
      <c r="AG740" s="43"/>
    </row>
    <row r="741" spans="4:33">
      <c r="D741" s="49"/>
      <c r="J741" s="49"/>
      <c r="P741" s="49"/>
      <c r="AD741" s="43"/>
      <c r="AE741" s="43"/>
      <c r="AF741" s="305"/>
      <c r="AG741" s="43"/>
    </row>
    <row r="742" spans="4:33">
      <c r="D742" s="49"/>
      <c r="J742" s="49"/>
      <c r="P742" s="49"/>
      <c r="AD742" s="43"/>
      <c r="AE742" s="43"/>
      <c r="AF742" s="305"/>
      <c r="AG742" s="43"/>
    </row>
    <row r="743" spans="4:33">
      <c r="D743" s="49"/>
      <c r="J743" s="49"/>
      <c r="P743" s="49"/>
      <c r="AD743" s="43"/>
      <c r="AE743" s="43"/>
      <c r="AF743" s="305"/>
      <c r="AG743" s="43"/>
    </row>
    <row r="744" spans="4:33">
      <c r="D744" s="49"/>
      <c r="J744" s="49"/>
      <c r="P744" s="49"/>
      <c r="AD744" s="43"/>
      <c r="AE744" s="43"/>
      <c r="AF744" s="305"/>
      <c r="AG744" s="43"/>
    </row>
    <row r="745" spans="4:33">
      <c r="D745" s="49"/>
      <c r="J745" s="49"/>
      <c r="P745" s="49"/>
      <c r="AD745" s="43"/>
      <c r="AE745" s="43"/>
      <c r="AF745" s="305"/>
      <c r="AG745" s="43"/>
    </row>
    <row r="746" spans="4:33">
      <c r="D746" s="49"/>
      <c r="J746" s="49"/>
      <c r="P746" s="49"/>
      <c r="AD746" s="43"/>
      <c r="AE746" s="43"/>
      <c r="AF746" s="305"/>
      <c r="AG746" s="43"/>
    </row>
    <row r="747" spans="4:33">
      <c r="D747" s="49"/>
      <c r="J747" s="49"/>
      <c r="P747" s="49"/>
      <c r="AD747" s="43"/>
      <c r="AE747" s="43"/>
      <c r="AF747" s="305"/>
      <c r="AG747" s="43"/>
    </row>
    <row r="748" spans="4:33">
      <c r="D748" s="49"/>
      <c r="J748" s="49"/>
      <c r="P748" s="49"/>
      <c r="AD748" s="43"/>
      <c r="AE748" s="43"/>
      <c r="AF748" s="305"/>
      <c r="AG748" s="43"/>
    </row>
    <row r="749" spans="4:33">
      <c r="D749" s="49"/>
      <c r="J749" s="49"/>
      <c r="P749" s="49"/>
      <c r="AD749" s="43"/>
      <c r="AE749" s="43"/>
      <c r="AF749" s="305"/>
      <c r="AG749" s="43"/>
    </row>
    <row r="750" spans="4:33">
      <c r="D750" s="49"/>
      <c r="J750" s="49"/>
      <c r="P750" s="49"/>
      <c r="AD750" s="43"/>
      <c r="AE750" s="43"/>
      <c r="AF750" s="305"/>
      <c r="AG750" s="43"/>
    </row>
    <row r="751" spans="4:33">
      <c r="D751" s="49"/>
      <c r="J751" s="49"/>
      <c r="P751" s="49"/>
      <c r="AD751" s="43"/>
      <c r="AE751" s="43"/>
      <c r="AF751" s="305"/>
      <c r="AG751" s="43"/>
    </row>
    <row r="752" spans="4:33">
      <c r="D752" s="49"/>
      <c r="J752" s="49"/>
      <c r="P752" s="49"/>
      <c r="AD752" s="43"/>
      <c r="AE752" s="43"/>
      <c r="AF752" s="305"/>
      <c r="AG752" s="43"/>
    </row>
    <row r="753" spans="4:33">
      <c r="D753" s="49"/>
      <c r="J753" s="49"/>
      <c r="P753" s="49"/>
      <c r="AD753" s="43"/>
      <c r="AE753" s="43"/>
      <c r="AF753" s="305"/>
      <c r="AG753" s="43"/>
    </row>
    <row r="754" spans="4:33">
      <c r="D754" s="49"/>
      <c r="J754" s="49"/>
      <c r="P754" s="49"/>
      <c r="AD754" s="43"/>
      <c r="AE754" s="43"/>
      <c r="AF754" s="305"/>
      <c r="AG754" s="43"/>
    </row>
    <row r="755" spans="4:33">
      <c r="D755" s="49"/>
      <c r="J755" s="49"/>
      <c r="P755" s="49"/>
      <c r="AD755" s="43"/>
      <c r="AE755" s="43"/>
      <c r="AF755" s="305"/>
      <c r="AG755" s="43"/>
    </row>
    <row r="756" spans="4:33">
      <c r="D756" s="49"/>
      <c r="J756" s="49"/>
      <c r="P756" s="49"/>
      <c r="AD756" s="43"/>
      <c r="AE756" s="43"/>
      <c r="AF756" s="305"/>
      <c r="AG756" s="43"/>
    </row>
    <row r="757" spans="4:33">
      <c r="D757" s="49"/>
      <c r="J757" s="49"/>
      <c r="P757" s="49"/>
      <c r="AD757" s="43"/>
      <c r="AE757" s="43"/>
      <c r="AF757" s="305"/>
      <c r="AG757" s="43"/>
    </row>
    <row r="758" spans="4:33">
      <c r="D758" s="49"/>
      <c r="J758" s="49"/>
      <c r="P758" s="49"/>
      <c r="AD758" s="43"/>
      <c r="AE758" s="43"/>
      <c r="AF758" s="305"/>
      <c r="AG758" s="43"/>
    </row>
    <row r="759" spans="4:33">
      <c r="D759" s="49"/>
      <c r="J759" s="49"/>
      <c r="P759" s="49"/>
      <c r="AD759" s="43"/>
      <c r="AE759" s="43"/>
      <c r="AF759" s="305"/>
      <c r="AG759" s="43"/>
    </row>
    <row r="760" spans="4:33">
      <c r="D760" s="49"/>
      <c r="J760" s="49"/>
      <c r="P760" s="49"/>
      <c r="AD760" s="43"/>
      <c r="AE760" s="43"/>
      <c r="AF760" s="305"/>
      <c r="AG760" s="43"/>
    </row>
    <row r="761" spans="4:33">
      <c r="D761" s="49"/>
      <c r="J761" s="49"/>
      <c r="P761" s="49"/>
      <c r="AD761" s="43"/>
      <c r="AE761" s="43"/>
      <c r="AF761" s="305"/>
      <c r="AG761" s="43"/>
    </row>
    <row r="762" spans="4:33">
      <c r="D762" s="49"/>
      <c r="J762" s="49"/>
      <c r="P762" s="49"/>
      <c r="AD762" s="43"/>
      <c r="AE762" s="43"/>
      <c r="AF762" s="305"/>
      <c r="AG762" s="43"/>
    </row>
    <row r="763" spans="4:33">
      <c r="D763" s="49"/>
      <c r="J763" s="49"/>
      <c r="P763" s="49"/>
      <c r="AD763" s="43"/>
      <c r="AE763" s="43"/>
      <c r="AF763" s="305"/>
      <c r="AG763" s="43"/>
    </row>
    <row r="764" spans="4:33">
      <c r="D764" s="49"/>
      <c r="J764" s="49"/>
      <c r="P764" s="49"/>
      <c r="AD764" s="43"/>
      <c r="AE764" s="43"/>
      <c r="AF764" s="305"/>
      <c r="AG764" s="43"/>
    </row>
    <row r="765" spans="4:33">
      <c r="D765" s="49"/>
      <c r="J765" s="49"/>
      <c r="P765" s="49"/>
      <c r="AD765" s="43"/>
      <c r="AE765" s="43"/>
      <c r="AF765" s="305"/>
      <c r="AG765" s="43"/>
    </row>
    <row r="766" spans="4:33">
      <c r="D766" s="49"/>
      <c r="J766" s="49"/>
      <c r="P766" s="49"/>
      <c r="AD766" s="43"/>
      <c r="AE766" s="43"/>
      <c r="AF766" s="305"/>
      <c r="AG766" s="43"/>
    </row>
    <row r="767" spans="4:33">
      <c r="D767" s="49"/>
      <c r="J767" s="49"/>
      <c r="P767" s="49"/>
      <c r="AD767" s="43"/>
      <c r="AE767" s="43"/>
      <c r="AF767" s="305"/>
      <c r="AG767" s="43"/>
    </row>
    <row r="768" spans="4:33">
      <c r="D768" s="49"/>
      <c r="J768" s="49"/>
      <c r="P768" s="49"/>
      <c r="AD768" s="43"/>
      <c r="AE768" s="43"/>
      <c r="AF768" s="305"/>
      <c r="AG768" s="43"/>
    </row>
    <row r="769" spans="4:33">
      <c r="D769" s="49"/>
      <c r="J769" s="49"/>
      <c r="P769" s="49"/>
      <c r="AD769" s="43"/>
      <c r="AE769" s="43"/>
      <c r="AF769" s="305"/>
      <c r="AG769" s="43"/>
    </row>
    <row r="770" spans="4:33">
      <c r="D770" s="49"/>
      <c r="J770" s="49"/>
      <c r="P770" s="49"/>
      <c r="AD770" s="43"/>
      <c r="AE770" s="43"/>
      <c r="AF770" s="305"/>
      <c r="AG770" s="43"/>
    </row>
    <row r="771" spans="4:33">
      <c r="D771" s="49"/>
      <c r="J771" s="49"/>
      <c r="P771" s="49"/>
      <c r="AD771" s="43"/>
      <c r="AE771" s="43"/>
      <c r="AF771" s="305"/>
      <c r="AG771" s="43"/>
    </row>
    <row r="772" spans="4:33">
      <c r="D772" s="49"/>
      <c r="J772" s="49"/>
      <c r="P772" s="49"/>
      <c r="AD772" s="43"/>
      <c r="AE772" s="43"/>
      <c r="AF772" s="305"/>
      <c r="AG772" s="43"/>
    </row>
    <row r="773" spans="4:33">
      <c r="D773" s="49"/>
      <c r="J773" s="49"/>
      <c r="P773" s="49"/>
      <c r="AD773" s="43"/>
      <c r="AE773" s="43"/>
      <c r="AF773" s="305"/>
      <c r="AG773" s="43"/>
    </row>
    <row r="774" spans="4:33">
      <c r="D774" s="49"/>
      <c r="J774" s="49"/>
      <c r="P774" s="49"/>
      <c r="AD774" s="43"/>
      <c r="AE774" s="43"/>
      <c r="AF774" s="305"/>
      <c r="AG774" s="43"/>
    </row>
    <row r="775" spans="4:33">
      <c r="D775" s="49"/>
      <c r="J775" s="49"/>
      <c r="P775" s="49"/>
      <c r="AD775" s="43"/>
      <c r="AE775" s="43"/>
      <c r="AF775" s="305"/>
      <c r="AG775" s="43"/>
    </row>
    <row r="776" spans="4:33">
      <c r="D776" s="49"/>
      <c r="J776" s="49"/>
      <c r="P776" s="49"/>
      <c r="AD776" s="43"/>
      <c r="AE776" s="43"/>
      <c r="AF776" s="305"/>
      <c r="AG776" s="43"/>
    </row>
    <row r="777" spans="4:33">
      <c r="D777" s="49"/>
      <c r="J777" s="49"/>
      <c r="P777" s="49"/>
      <c r="AD777" s="43"/>
      <c r="AE777" s="43"/>
      <c r="AF777" s="305"/>
      <c r="AG777" s="43"/>
    </row>
    <row r="778" spans="4:33">
      <c r="D778" s="49"/>
      <c r="J778" s="49"/>
      <c r="P778" s="49"/>
      <c r="AD778" s="43"/>
      <c r="AE778" s="43"/>
      <c r="AF778" s="305"/>
      <c r="AG778" s="43"/>
    </row>
    <row r="779" spans="4:33">
      <c r="D779" s="49"/>
      <c r="J779" s="49"/>
      <c r="P779" s="49"/>
      <c r="AD779" s="43"/>
      <c r="AE779" s="43"/>
      <c r="AF779" s="305"/>
      <c r="AG779" s="43"/>
    </row>
    <row r="780" spans="4:33">
      <c r="D780" s="49"/>
      <c r="J780" s="49"/>
      <c r="P780" s="49"/>
      <c r="AD780" s="43"/>
      <c r="AE780" s="43"/>
      <c r="AF780" s="305"/>
      <c r="AG780" s="43"/>
    </row>
    <row r="781" spans="4:33">
      <c r="D781" s="49"/>
      <c r="J781" s="49"/>
      <c r="P781" s="49"/>
      <c r="AD781" s="43"/>
      <c r="AE781" s="43"/>
      <c r="AF781" s="305"/>
      <c r="AG781" s="43"/>
    </row>
    <row r="782" spans="4:33">
      <c r="D782" s="49"/>
      <c r="J782" s="49"/>
      <c r="P782" s="49"/>
      <c r="AD782" s="43"/>
      <c r="AE782" s="43"/>
      <c r="AF782" s="305"/>
      <c r="AG782" s="43"/>
    </row>
    <row r="783" spans="4:33">
      <c r="D783" s="49"/>
      <c r="J783" s="49"/>
      <c r="P783" s="49"/>
      <c r="AD783" s="43"/>
      <c r="AE783" s="43"/>
      <c r="AF783" s="305"/>
      <c r="AG783" s="43"/>
    </row>
    <row r="784" spans="4:33">
      <c r="D784" s="49"/>
      <c r="J784" s="49"/>
      <c r="P784" s="49"/>
      <c r="AD784" s="43"/>
      <c r="AE784" s="43"/>
      <c r="AF784" s="305"/>
      <c r="AG784" s="43"/>
    </row>
    <row r="785" spans="4:33">
      <c r="D785" s="49"/>
      <c r="J785" s="49"/>
      <c r="P785" s="49"/>
      <c r="AD785" s="43"/>
      <c r="AE785" s="43"/>
      <c r="AF785" s="305"/>
      <c r="AG785" s="43"/>
    </row>
    <row r="786" spans="4:33">
      <c r="D786" s="49"/>
      <c r="J786" s="49"/>
      <c r="P786" s="49"/>
      <c r="AD786" s="43"/>
      <c r="AE786" s="43"/>
      <c r="AF786" s="305"/>
      <c r="AG786" s="43"/>
    </row>
    <row r="787" spans="4:33">
      <c r="D787" s="49"/>
      <c r="J787" s="49"/>
      <c r="P787" s="49"/>
      <c r="AD787" s="43"/>
      <c r="AE787" s="43"/>
      <c r="AF787" s="305"/>
      <c r="AG787" s="43"/>
    </row>
    <row r="788" spans="4:33">
      <c r="D788" s="49"/>
      <c r="J788" s="49"/>
      <c r="P788" s="49"/>
      <c r="AD788" s="43"/>
      <c r="AE788" s="43"/>
      <c r="AF788" s="305"/>
      <c r="AG788" s="43"/>
    </row>
    <row r="789" spans="4:33">
      <c r="D789" s="49"/>
      <c r="J789" s="49"/>
      <c r="P789" s="49"/>
      <c r="AD789" s="43"/>
      <c r="AE789" s="43"/>
      <c r="AF789" s="305"/>
      <c r="AG789" s="43"/>
    </row>
    <row r="790" spans="4:33">
      <c r="D790" s="49"/>
      <c r="J790" s="49"/>
      <c r="P790" s="49"/>
      <c r="AD790" s="43"/>
      <c r="AE790" s="43"/>
      <c r="AF790" s="305"/>
      <c r="AG790" s="43"/>
    </row>
    <row r="791" spans="4:33">
      <c r="D791" s="49"/>
      <c r="J791" s="49"/>
      <c r="P791" s="49"/>
      <c r="AD791" s="43"/>
      <c r="AE791" s="43"/>
      <c r="AF791" s="305"/>
      <c r="AG791" s="43"/>
    </row>
    <row r="792" spans="4:33">
      <c r="D792" s="49"/>
      <c r="J792" s="49"/>
      <c r="P792" s="49"/>
      <c r="AD792" s="43"/>
      <c r="AE792" s="43"/>
      <c r="AF792" s="305"/>
      <c r="AG792" s="43"/>
    </row>
    <row r="793" spans="4:33">
      <c r="D793" s="49"/>
      <c r="J793" s="49"/>
      <c r="P793" s="49"/>
      <c r="AD793" s="43"/>
      <c r="AE793" s="43"/>
      <c r="AF793" s="305"/>
      <c r="AG793" s="43"/>
    </row>
    <row r="794" spans="4:33">
      <c r="D794" s="49"/>
      <c r="J794" s="49"/>
      <c r="P794" s="49"/>
      <c r="AD794" s="43"/>
      <c r="AE794" s="43"/>
      <c r="AF794" s="305"/>
      <c r="AG794" s="43"/>
    </row>
    <row r="795" spans="4:33">
      <c r="D795" s="49"/>
      <c r="J795" s="49"/>
      <c r="P795" s="49"/>
      <c r="AD795" s="43"/>
      <c r="AE795" s="43"/>
      <c r="AF795" s="305"/>
      <c r="AG795" s="43"/>
    </row>
    <row r="796" spans="4:33">
      <c r="D796" s="49"/>
      <c r="J796" s="49"/>
      <c r="P796" s="49"/>
      <c r="AD796" s="43"/>
      <c r="AE796" s="43"/>
      <c r="AF796" s="305"/>
      <c r="AG796" s="43"/>
    </row>
    <row r="797" spans="4:33">
      <c r="D797" s="49"/>
      <c r="J797" s="49"/>
      <c r="P797" s="49"/>
      <c r="AD797" s="43"/>
      <c r="AE797" s="43"/>
      <c r="AF797" s="305"/>
      <c r="AG797" s="43"/>
    </row>
    <row r="798" spans="4:33">
      <c r="D798" s="49"/>
      <c r="J798" s="49"/>
      <c r="P798" s="49"/>
      <c r="AD798" s="43"/>
      <c r="AE798" s="43"/>
      <c r="AF798" s="305"/>
      <c r="AG798" s="43"/>
    </row>
    <row r="799" spans="4:33">
      <c r="D799" s="49"/>
      <c r="J799" s="49"/>
      <c r="P799" s="49"/>
      <c r="AD799" s="43"/>
      <c r="AE799" s="43"/>
      <c r="AF799" s="305"/>
      <c r="AG799" s="43"/>
    </row>
    <row r="800" spans="4:33">
      <c r="D800" s="49"/>
      <c r="J800" s="49"/>
      <c r="P800" s="49"/>
      <c r="AD800" s="43"/>
      <c r="AE800" s="43"/>
      <c r="AF800" s="305"/>
      <c r="AG800" s="43"/>
    </row>
    <row r="801" spans="4:33">
      <c r="D801" s="49"/>
      <c r="J801" s="49"/>
      <c r="P801" s="49"/>
      <c r="AD801" s="43"/>
      <c r="AE801" s="43"/>
      <c r="AF801" s="305"/>
      <c r="AG801" s="43"/>
    </row>
    <row r="802" spans="4:33">
      <c r="D802" s="49"/>
      <c r="J802" s="49"/>
      <c r="P802" s="49"/>
      <c r="AD802" s="43"/>
      <c r="AE802" s="43"/>
      <c r="AF802" s="305"/>
      <c r="AG802" s="43"/>
    </row>
    <row r="803" spans="4:33">
      <c r="D803" s="49"/>
      <c r="J803" s="49"/>
      <c r="P803" s="49"/>
      <c r="AD803" s="43"/>
      <c r="AE803" s="43"/>
      <c r="AF803" s="305"/>
      <c r="AG803" s="43"/>
    </row>
    <row r="804" spans="4:33">
      <c r="D804" s="49"/>
      <c r="J804" s="49"/>
      <c r="P804" s="49"/>
      <c r="AD804" s="43"/>
      <c r="AE804" s="43"/>
      <c r="AF804" s="305"/>
      <c r="AG804" s="43"/>
    </row>
    <row r="805" spans="4:33">
      <c r="D805" s="49"/>
      <c r="J805" s="49"/>
      <c r="P805" s="49"/>
      <c r="AD805" s="43"/>
      <c r="AE805" s="43"/>
      <c r="AF805" s="305"/>
      <c r="AG805" s="43"/>
    </row>
    <row r="806" spans="4:33">
      <c r="D806" s="49"/>
      <c r="J806" s="49"/>
      <c r="P806" s="49"/>
      <c r="AD806" s="43"/>
      <c r="AE806" s="43"/>
      <c r="AF806" s="305"/>
      <c r="AG806" s="43"/>
    </row>
    <row r="807" spans="4:33">
      <c r="D807" s="49"/>
      <c r="J807" s="49"/>
      <c r="P807" s="49"/>
      <c r="AD807" s="43"/>
      <c r="AE807" s="43"/>
      <c r="AF807" s="305"/>
      <c r="AG807" s="43"/>
    </row>
    <row r="808" spans="4:33">
      <c r="D808" s="49"/>
      <c r="J808" s="49"/>
      <c r="P808" s="49"/>
      <c r="AD808" s="43"/>
      <c r="AE808" s="43"/>
      <c r="AF808" s="305"/>
      <c r="AG808" s="43"/>
    </row>
    <row r="809" spans="4:33">
      <c r="D809" s="49"/>
      <c r="J809" s="49"/>
      <c r="P809" s="49"/>
      <c r="AD809" s="43"/>
      <c r="AE809" s="43"/>
      <c r="AF809" s="305"/>
      <c r="AG809" s="43"/>
    </row>
    <row r="810" spans="4:33">
      <c r="D810" s="49"/>
      <c r="J810" s="49"/>
      <c r="P810" s="49"/>
      <c r="AD810" s="43"/>
      <c r="AE810" s="43"/>
      <c r="AF810" s="305"/>
      <c r="AG810" s="43"/>
    </row>
    <row r="811" spans="4:33">
      <c r="D811" s="49"/>
      <c r="J811" s="49"/>
      <c r="P811" s="49"/>
      <c r="AD811" s="43"/>
      <c r="AE811" s="43"/>
      <c r="AF811" s="305"/>
      <c r="AG811" s="43"/>
    </row>
    <row r="812" spans="4:33">
      <c r="D812" s="49"/>
      <c r="J812" s="49"/>
      <c r="P812" s="49"/>
      <c r="AD812" s="43"/>
      <c r="AE812" s="43"/>
      <c r="AF812" s="305"/>
      <c r="AG812" s="43"/>
    </row>
    <row r="813" spans="4:33">
      <c r="D813" s="49"/>
      <c r="J813" s="49"/>
      <c r="P813" s="49"/>
      <c r="AD813" s="43"/>
      <c r="AE813" s="43"/>
      <c r="AF813" s="305"/>
      <c r="AG813" s="43"/>
    </row>
    <row r="814" spans="4:33">
      <c r="D814" s="49"/>
      <c r="J814" s="49"/>
      <c r="P814" s="49"/>
      <c r="AD814" s="43"/>
      <c r="AE814" s="43"/>
      <c r="AF814" s="305"/>
      <c r="AG814" s="43"/>
    </row>
    <row r="815" spans="4:33">
      <c r="D815" s="49"/>
      <c r="J815" s="49"/>
      <c r="P815" s="49"/>
      <c r="AD815" s="43"/>
      <c r="AE815" s="43"/>
      <c r="AF815" s="305"/>
      <c r="AG815" s="43"/>
    </row>
    <row r="816" spans="4:33">
      <c r="D816" s="49"/>
      <c r="J816" s="49"/>
      <c r="P816" s="49"/>
      <c r="AD816" s="43"/>
      <c r="AE816" s="43"/>
      <c r="AF816" s="305"/>
      <c r="AG816" s="43"/>
    </row>
    <row r="817" spans="4:33">
      <c r="D817" s="49"/>
      <c r="J817" s="49"/>
      <c r="P817" s="49"/>
      <c r="AD817" s="43"/>
      <c r="AE817" s="43"/>
      <c r="AF817" s="305"/>
      <c r="AG817" s="43"/>
    </row>
    <row r="818" spans="4:33">
      <c r="D818" s="49"/>
      <c r="J818" s="49"/>
      <c r="P818" s="49"/>
      <c r="AD818" s="43"/>
      <c r="AE818" s="43"/>
      <c r="AF818" s="305"/>
      <c r="AG818" s="43"/>
    </row>
    <row r="819" spans="4:33">
      <c r="D819" s="49"/>
      <c r="J819" s="49"/>
      <c r="P819" s="49"/>
      <c r="AD819" s="43"/>
      <c r="AE819" s="43"/>
      <c r="AF819" s="305"/>
      <c r="AG819" s="43"/>
    </row>
    <row r="820" spans="4:33">
      <c r="D820" s="49"/>
      <c r="J820" s="49"/>
      <c r="P820" s="49"/>
      <c r="AD820" s="43"/>
      <c r="AE820" s="43"/>
      <c r="AF820" s="305"/>
      <c r="AG820" s="43"/>
    </row>
    <row r="821" spans="4:33">
      <c r="D821" s="49"/>
      <c r="J821" s="49"/>
      <c r="P821" s="49"/>
      <c r="AD821" s="43"/>
      <c r="AE821" s="43"/>
      <c r="AF821" s="305"/>
      <c r="AG821" s="43"/>
    </row>
    <row r="822" spans="4:33">
      <c r="D822" s="49"/>
      <c r="J822" s="49"/>
      <c r="P822" s="49"/>
      <c r="AD822" s="43"/>
      <c r="AE822" s="43"/>
      <c r="AF822" s="305"/>
      <c r="AG822" s="43"/>
    </row>
    <row r="823" spans="4:33">
      <c r="D823" s="49"/>
      <c r="J823" s="49"/>
      <c r="P823" s="49"/>
      <c r="AD823" s="43"/>
      <c r="AE823" s="43"/>
      <c r="AF823" s="305"/>
      <c r="AG823" s="43"/>
    </row>
    <row r="824" spans="4:33">
      <c r="D824" s="49"/>
      <c r="J824" s="49"/>
      <c r="P824" s="49"/>
      <c r="AD824" s="43"/>
      <c r="AE824" s="43"/>
      <c r="AF824" s="305"/>
      <c r="AG824" s="43"/>
    </row>
    <row r="825" spans="4:33">
      <c r="D825" s="49"/>
      <c r="J825" s="49"/>
      <c r="P825" s="49"/>
      <c r="AD825" s="43"/>
      <c r="AE825" s="43"/>
      <c r="AF825" s="305"/>
      <c r="AG825" s="43"/>
    </row>
    <row r="826" spans="4:33">
      <c r="D826" s="49"/>
      <c r="J826" s="49"/>
      <c r="P826" s="49"/>
      <c r="AD826" s="43"/>
      <c r="AE826" s="43"/>
      <c r="AF826" s="305"/>
      <c r="AG826" s="43"/>
    </row>
    <row r="827" spans="4:33">
      <c r="D827" s="49"/>
      <c r="J827" s="49"/>
      <c r="P827" s="49"/>
      <c r="AD827" s="43"/>
      <c r="AE827" s="43"/>
      <c r="AF827" s="305"/>
      <c r="AG827" s="43"/>
    </row>
    <row r="828" spans="4:33">
      <c r="D828" s="49"/>
      <c r="J828" s="49"/>
      <c r="P828" s="49"/>
      <c r="AD828" s="43"/>
      <c r="AE828" s="43"/>
      <c r="AF828" s="305"/>
      <c r="AG828" s="43"/>
    </row>
    <row r="829" spans="4:33">
      <c r="D829" s="49"/>
      <c r="J829" s="49"/>
      <c r="P829" s="49"/>
      <c r="AD829" s="43"/>
      <c r="AE829" s="43"/>
      <c r="AF829" s="305"/>
      <c r="AG829" s="43"/>
    </row>
    <row r="830" spans="4:33">
      <c r="D830" s="49"/>
      <c r="J830" s="49"/>
      <c r="P830" s="49"/>
      <c r="AD830" s="43"/>
      <c r="AE830" s="43"/>
      <c r="AF830" s="305"/>
      <c r="AG830" s="43"/>
    </row>
    <row r="831" spans="4:33">
      <c r="D831" s="49"/>
      <c r="J831" s="49"/>
      <c r="P831" s="49"/>
      <c r="AD831" s="43"/>
      <c r="AE831" s="43"/>
      <c r="AF831" s="305"/>
      <c r="AG831" s="43"/>
    </row>
    <row r="832" spans="4:33">
      <c r="D832" s="49"/>
      <c r="J832" s="49"/>
      <c r="P832" s="49"/>
      <c r="AD832" s="43"/>
      <c r="AE832" s="43"/>
      <c r="AF832" s="305"/>
      <c r="AG832" s="43"/>
    </row>
    <row r="833" spans="4:33">
      <c r="D833" s="49"/>
      <c r="J833" s="49"/>
      <c r="P833" s="49"/>
      <c r="AD833" s="43"/>
      <c r="AE833" s="43"/>
      <c r="AF833" s="305"/>
      <c r="AG833" s="43"/>
    </row>
    <row r="834" spans="4:33">
      <c r="D834" s="49"/>
      <c r="J834" s="49"/>
      <c r="P834" s="49"/>
      <c r="AD834" s="43"/>
      <c r="AE834" s="43"/>
      <c r="AF834" s="305"/>
      <c r="AG834" s="43"/>
    </row>
    <row r="835" spans="4:33">
      <c r="D835" s="49"/>
      <c r="J835" s="49"/>
      <c r="P835" s="49"/>
      <c r="AD835" s="43"/>
      <c r="AE835" s="43"/>
      <c r="AF835" s="305"/>
      <c r="AG835" s="43"/>
    </row>
    <row r="836" spans="4:33">
      <c r="D836" s="49"/>
      <c r="J836" s="49"/>
      <c r="P836" s="49"/>
      <c r="AD836" s="43"/>
      <c r="AE836" s="43"/>
      <c r="AF836" s="305"/>
      <c r="AG836" s="43"/>
    </row>
    <row r="837" spans="4:33">
      <c r="D837" s="49"/>
      <c r="J837" s="49"/>
      <c r="P837" s="49"/>
      <c r="AD837" s="43"/>
      <c r="AE837" s="43"/>
      <c r="AF837" s="305"/>
      <c r="AG837" s="43"/>
    </row>
    <row r="838" spans="4:33">
      <c r="D838" s="49"/>
      <c r="J838" s="49"/>
      <c r="P838" s="49"/>
      <c r="AD838" s="43"/>
      <c r="AE838" s="43"/>
      <c r="AF838" s="305"/>
      <c r="AG838" s="43"/>
    </row>
    <row r="839" spans="4:33">
      <c r="D839" s="49"/>
      <c r="J839" s="49"/>
      <c r="P839" s="49"/>
      <c r="AD839" s="43"/>
      <c r="AE839" s="43"/>
      <c r="AF839" s="305"/>
      <c r="AG839" s="43"/>
    </row>
    <row r="840" spans="4:33">
      <c r="D840" s="49"/>
      <c r="J840" s="49"/>
      <c r="P840" s="49"/>
      <c r="AD840" s="43"/>
      <c r="AE840" s="43"/>
      <c r="AF840" s="305"/>
      <c r="AG840" s="43"/>
    </row>
    <row r="841" spans="4:33">
      <c r="D841" s="49"/>
      <c r="J841" s="49"/>
      <c r="P841" s="49"/>
      <c r="AD841" s="43"/>
      <c r="AE841" s="43"/>
      <c r="AF841" s="305"/>
      <c r="AG841" s="43"/>
    </row>
    <row r="842" spans="4:33">
      <c r="D842" s="49"/>
      <c r="J842" s="49"/>
      <c r="P842" s="49"/>
      <c r="AD842" s="43"/>
      <c r="AE842" s="43"/>
      <c r="AF842" s="305"/>
      <c r="AG842" s="43"/>
    </row>
    <row r="843" spans="4:33">
      <c r="D843" s="49"/>
      <c r="J843" s="49"/>
      <c r="P843" s="49"/>
      <c r="AD843" s="43"/>
      <c r="AE843" s="43"/>
      <c r="AF843" s="305"/>
      <c r="AG843" s="43"/>
    </row>
    <row r="844" spans="4:33">
      <c r="D844" s="49"/>
      <c r="J844" s="49"/>
      <c r="P844" s="49"/>
      <c r="AD844" s="43"/>
      <c r="AE844" s="43"/>
      <c r="AF844" s="305"/>
      <c r="AG844" s="43"/>
    </row>
    <row r="845" spans="4:33">
      <c r="D845" s="49"/>
      <c r="J845" s="49"/>
      <c r="P845" s="49"/>
      <c r="AD845" s="43"/>
      <c r="AE845" s="43"/>
      <c r="AF845" s="305"/>
      <c r="AG845" s="43"/>
    </row>
    <row r="846" spans="4:33">
      <c r="D846" s="49"/>
      <c r="J846" s="49"/>
      <c r="P846" s="49"/>
      <c r="AD846" s="43"/>
      <c r="AE846" s="43"/>
      <c r="AF846" s="305"/>
      <c r="AG846" s="43"/>
    </row>
    <row r="847" spans="4:33">
      <c r="D847" s="49"/>
      <c r="J847" s="49"/>
      <c r="P847" s="49"/>
      <c r="AD847" s="43"/>
      <c r="AE847" s="43"/>
      <c r="AF847" s="305"/>
      <c r="AG847" s="43"/>
    </row>
    <row r="848" spans="4:33">
      <c r="D848" s="49"/>
      <c r="J848" s="49"/>
      <c r="P848" s="49"/>
      <c r="AD848" s="43"/>
      <c r="AE848" s="43"/>
      <c r="AF848" s="305"/>
      <c r="AG848" s="43"/>
    </row>
    <row r="849" spans="4:33">
      <c r="D849" s="49"/>
      <c r="J849" s="49"/>
      <c r="P849" s="49"/>
      <c r="AD849" s="43"/>
      <c r="AE849" s="43"/>
      <c r="AF849" s="305"/>
      <c r="AG849" s="43"/>
    </row>
    <row r="850" spans="4:33">
      <c r="D850" s="49"/>
      <c r="J850" s="49"/>
      <c r="P850" s="49"/>
      <c r="AD850" s="43"/>
      <c r="AE850" s="43"/>
      <c r="AF850" s="305"/>
      <c r="AG850" s="43"/>
    </row>
    <row r="851" spans="4:33">
      <c r="D851" s="49"/>
      <c r="J851" s="49"/>
      <c r="P851" s="49"/>
      <c r="AD851" s="43"/>
      <c r="AE851" s="43"/>
      <c r="AF851" s="305"/>
      <c r="AG851" s="43"/>
    </row>
    <row r="852" spans="4:33">
      <c r="D852" s="49"/>
      <c r="J852" s="49"/>
      <c r="P852" s="49"/>
      <c r="AD852" s="43"/>
      <c r="AE852" s="43"/>
      <c r="AF852" s="305"/>
      <c r="AG852" s="43"/>
    </row>
    <row r="853" spans="4:33">
      <c r="D853" s="49"/>
      <c r="J853" s="49"/>
      <c r="P853" s="49"/>
      <c r="AD853" s="43"/>
      <c r="AE853" s="43"/>
      <c r="AF853" s="305"/>
      <c r="AG853" s="43"/>
    </row>
    <row r="854" spans="4:33">
      <c r="D854" s="49"/>
      <c r="J854" s="49"/>
      <c r="P854" s="49"/>
      <c r="AD854" s="43"/>
      <c r="AE854" s="43"/>
      <c r="AF854" s="305"/>
      <c r="AG854" s="43"/>
    </row>
    <row r="855" spans="4:33">
      <c r="D855" s="49"/>
      <c r="J855" s="49"/>
      <c r="P855" s="49"/>
      <c r="AD855" s="43"/>
      <c r="AE855" s="43"/>
      <c r="AF855" s="305"/>
      <c r="AG855" s="43"/>
    </row>
    <row r="856" spans="4:33">
      <c r="D856" s="49"/>
      <c r="J856" s="49"/>
      <c r="P856" s="49"/>
      <c r="AD856" s="43"/>
      <c r="AE856" s="43"/>
      <c r="AF856" s="305"/>
      <c r="AG856" s="43"/>
    </row>
    <row r="857" spans="4:33">
      <c r="D857" s="49"/>
      <c r="J857" s="49"/>
      <c r="P857" s="49"/>
      <c r="AD857" s="43"/>
      <c r="AE857" s="43"/>
      <c r="AF857" s="305"/>
      <c r="AG857" s="43"/>
    </row>
    <row r="858" spans="4:33">
      <c r="D858" s="49"/>
      <c r="J858" s="49"/>
      <c r="P858" s="49"/>
      <c r="AD858" s="43"/>
      <c r="AE858" s="43"/>
      <c r="AF858" s="305"/>
      <c r="AG858" s="43"/>
    </row>
    <row r="859" spans="4:33">
      <c r="D859" s="49"/>
      <c r="J859" s="49"/>
      <c r="P859" s="49"/>
      <c r="AD859" s="43"/>
      <c r="AE859" s="43"/>
      <c r="AF859" s="305"/>
      <c r="AG859" s="43"/>
    </row>
    <row r="860" spans="4:33">
      <c r="D860" s="49"/>
      <c r="J860" s="49"/>
      <c r="P860" s="49"/>
      <c r="AD860" s="43"/>
      <c r="AE860" s="43"/>
      <c r="AF860" s="305"/>
      <c r="AG860" s="43"/>
    </row>
    <row r="861" spans="4:33">
      <c r="D861" s="49"/>
      <c r="J861" s="49"/>
      <c r="P861" s="49"/>
      <c r="AD861" s="43"/>
      <c r="AE861" s="43"/>
      <c r="AF861" s="305"/>
      <c r="AG861" s="43"/>
    </row>
    <row r="862" spans="4:33">
      <c r="D862" s="49"/>
      <c r="J862" s="49"/>
      <c r="P862" s="49"/>
      <c r="AD862" s="43"/>
      <c r="AE862" s="43"/>
      <c r="AF862" s="305"/>
      <c r="AG862" s="43"/>
    </row>
    <row r="863" spans="4:33">
      <c r="D863" s="49"/>
      <c r="J863" s="49"/>
      <c r="P863" s="49"/>
      <c r="AD863" s="43"/>
      <c r="AE863" s="43"/>
      <c r="AF863" s="305"/>
      <c r="AG863" s="43"/>
    </row>
    <row r="864" spans="4:33">
      <c r="D864" s="49"/>
      <c r="J864" s="49"/>
      <c r="P864" s="49"/>
      <c r="AD864" s="43"/>
      <c r="AE864" s="43"/>
      <c r="AF864" s="305"/>
      <c r="AG864" s="43"/>
    </row>
    <row r="865" spans="4:33">
      <c r="D865" s="49"/>
      <c r="J865" s="49"/>
      <c r="P865" s="49"/>
      <c r="AD865" s="43"/>
      <c r="AE865" s="43"/>
      <c r="AF865" s="305"/>
      <c r="AG865" s="43"/>
    </row>
    <row r="866" spans="4:33">
      <c r="D866" s="49"/>
      <c r="J866" s="49"/>
      <c r="P866" s="49"/>
      <c r="AD866" s="43"/>
      <c r="AE866" s="43"/>
      <c r="AF866" s="305"/>
      <c r="AG866" s="43"/>
    </row>
    <row r="867" spans="4:33">
      <c r="D867" s="49"/>
      <c r="J867" s="49"/>
      <c r="P867" s="49"/>
      <c r="AD867" s="43"/>
      <c r="AE867" s="43"/>
      <c r="AF867" s="305"/>
      <c r="AG867" s="43"/>
    </row>
    <row r="868" spans="4:33">
      <c r="D868" s="49"/>
      <c r="J868" s="49"/>
      <c r="P868" s="49"/>
      <c r="AD868" s="43"/>
      <c r="AE868" s="43"/>
      <c r="AF868" s="305"/>
      <c r="AG868" s="43"/>
    </row>
    <row r="869" spans="4:33">
      <c r="D869" s="49"/>
      <c r="J869" s="49"/>
      <c r="P869" s="49"/>
      <c r="AD869" s="43"/>
      <c r="AE869" s="43"/>
      <c r="AF869" s="305"/>
      <c r="AG869" s="43"/>
    </row>
    <row r="870" spans="4:33">
      <c r="D870" s="49"/>
      <c r="J870" s="49"/>
      <c r="P870" s="49"/>
      <c r="AD870" s="43"/>
      <c r="AE870" s="43"/>
      <c r="AF870" s="305"/>
      <c r="AG870" s="43"/>
    </row>
    <row r="871" spans="4:33">
      <c r="D871" s="49"/>
      <c r="J871" s="49"/>
      <c r="P871" s="49"/>
      <c r="AD871" s="43"/>
      <c r="AE871" s="43"/>
      <c r="AF871" s="305"/>
      <c r="AG871" s="43"/>
    </row>
    <row r="872" spans="4:33">
      <c r="D872" s="49"/>
      <c r="J872" s="49"/>
      <c r="P872" s="49"/>
      <c r="AD872" s="43"/>
      <c r="AE872" s="43"/>
      <c r="AF872" s="305"/>
      <c r="AG872" s="43"/>
    </row>
    <row r="873" spans="4:33">
      <c r="D873" s="49"/>
      <c r="J873" s="49"/>
      <c r="P873" s="49"/>
      <c r="AD873" s="43"/>
      <c r="AE873" s="43"/>
      <c r="AF873" s="305"/>
      <c r="AG873" s="43"/>
    </row>
    <row r="874" spans="4:33">
      <c r="D874" s="49"/>
      <c r="J874" s="49"/>
      <c r="P874" s="49"/>
      <c r="AD874" s="43"/>
      <c r="AE874" s="43"/>
      <c r="AF874" s="305"/>
      <c r="AG874" s="43"/>
    </row>
    <row r="875" spans="4:33">
      <c r="D875" s="49"/>
      <c r="J875" s="49"/>
      <c r="P875" s="49"/>
      <c r="AD875" s="43"/>
      <c r="AE875" s="43"/>
      <c r="AF875" s="305"/>
      <c r="AG875" s="43"/>
    </row>
    <row r="876" spans="4:33">
      <c r="D876" s="49"/>
      <c r="J876" s="49"/>
      <c r="P876" s="49"/>
      <c r="AD876" s="43"/>
      <c r="AE876" s="43"/>
      <c r="AF876" s="305"/>
      <c r="AG876" s="43"/>
    </row>
    <row r="877" spans="4:33">
      <c r="D877" s="49"/>
      <c r="J877" s="49"/>
      <c r="P877" s="49"/>
      <c r="AD877" s="43"/>
      <c r="AE877" s="43"/>
      <c r="AF877" s="305"/>
      <c r="AG877" s="43"/>
    </row>
    <row r="878" spans="4:33">
      <c r="D878" s="49"/>
      <c r="J878" s="49"/>
      <c r="P878" s="49"/>
      <c r="AD878" s="43"/>
      <c r="AE878" s="43"/>
      <c r="AF878" s="305"/>
      <c r="AG878" s="43"/>
    </row>
    <row r="879" spans="4:33">
      <c r="D879" s="49"/>
      <c r="J879" s="49"/>
      <c r="P879" s="49"/>
      <c r="AD879" s="43"/>
      <c r="AE879" s="43"/>
      <c r="AF879" s="305"/>
      <c r="AG879" s="43"/>
    </row>
    <row r="880" spans="4:33">
      <c r="D880" s="49"/>
      <c r="J880" s="49"/>
      <c r="P880" s="49"/>
      <c r="AD880" s="43"/>
      <c r="AE880" s="43"/>
      <c r="AF880" s="305"/>
      <c r="AG880" s="43"/>
    </row>
    <row r="881" spans="4:33">
      <c r="D881" s="49"/>
      <c r="J881" s="49"/>
      <c r="P881" s="49"/>
      <c r="AD881" s="43"/>
      <c r="AE881" s="43"/>
      <c r="AF881" s="305"/>
      <c r="AG881" s="43"/>
    </row>
    <row r="882" spans="4:33">
      <c r="D882" s="49"/>
      <c r="J882" s="49"/>
      <c r="P882" s="49"/>
      <c r="AD882" s="43"/>
      <c r="AE882" s="43"/>
      <c r="AF882" s="305"/>
      <c r="AG882" s="43"/>
    </row>
    <row r="883" spans="4:33">
      <c r="D883" s="49"/>
      <c r="J883" s="49"/>
      <c r="P883" s="49"/>
      <c r="AD883" s="43"/>
      <c r="AE883" s="43"/>
      <c r="AF883" s="305"/>
      <c r="AG883" s="43"/>
    </row>
    <row r="884" spans="4:33">
      <c r="D884" s="49"/>
      <c r="J884" s="49"/>
      <c r="P884" s="49"/>
      <c r="AD884" s="43"/>
      <c r="AE884" s="43"/>
      <c r="AF884" s="305"/>
      <c r="AG884" s="43"/>
    </row>
    <row r="885" spans="4:33">
      <c r="D885" s="49"/>
      <c r="J885" s="49"/>
      <c r="P885" s="49"/>
      <c r="AD885" s="43"/>
      <c r="AE885" s="43"/>
      <c r="AF885" s="305"/>
      <c r="AG885" s="43"/>
    </row>
    <row r="886" spans="4:33">
      <c r="D886" s="49"/>
      <c r="J886" s="49"/>
      <c r="P886" s="49"/>
      <c r="AD886" s="43"/>
      <c r="AE886" s="43"/>
      <c r="AF886" s="305"/>
      <c r="AG886" s="43"/>
    </row>
    <row r="887" spans="4:33">
      <c r="D887" s="49"/>
      <c r="J887" s="49"/>
      <c r="P887" s="49"/>
      <c r="AD887" s="43"/>
      <c r="AE887" s="43"/>
      <c r="AF887" s="305"/>
      <c r="AG887" s="43"/>
    </row>
    <row r="888" spans="4:33">
      <c r="D888" s="49"/>
      <c r="J888" s="49"/>
      <c r="P888" s="49"/>
      <c r="AD888" s="43"/>
      <c r="AE888" s="43"/>
      <c r="AF888" s="305"/>
      <c r="AG888" s="43"/>
    </row>
    <row r="889" spans="4:33">
      <c r="D889" s="49"/>
      <c r="J889" s="49"/>
      <c r="P889" s="49"/>
      <c r="AD889" s="43"/>
      <c r="AE889" s="43"/>
      <c r="AF889" s="305"/>
      <c r="AG889" s="43"/>
    </row>
    <row r="890" spans="4:33">
      <c r="D890" s="49"/>
      <c r="J890" s="49"/>
      <c r="P890" s="49"/>
      <c r="AD890" s="43"/>
      <c r="AE890" s="43"/>
      <c r="AF890" s="305"/>
      <c r="AG890" s="43"/>
    </row>
    <row r="891" spans="4:33">
      <c r="D891" s="49"/>
      <c r="J891" s="49"/>
      <c r="P891" s="49"/>
      <c r="AD891" s="43"/>
      <c r="AE891" s="43"/>
      <c r="AF891" s="305"/>
      <c r="AG891" s="43"/>
    </row>
    <row r="892" spans="4:33">
      <c r="D892" s="49"/>
      <c r="J892" s="49"/>
      <c r="P892" s="49"/>
      <c r="AD892" s="43"/>
      <c r="AE892" s="43"/>
      <c r="AF892" s="305"/>
      <c r="AG892" s="43"/>
    </row>
    <row r="893" spans="4:33">
      <c r="D893" s="49"/>
      <c r="J893" s="49"/>
      <c r="P893" s="49"/>
      <c r="AD893" s="43"/>
      <c r="AE893" s="43"/>
      <c r="AF893" s="305"/>
      <c r="AG893" s="43"/>
    </row>
    <row r="894" spans="4:33">
      <c r="D894" s="49"/>
      <c r="J894" s="49"/>
      <c r="P894" s="49"/>
      <c r="AD894" s="43"/>
      <c r="AE894" s="43"/>
      <c r="AF894" s="305"/>
      <c r="AG894" s="43"/>
    </row>
    <row r="895" spans="4:33">
      <c r="D895" s="49"/>
      <c r="J895" s="49"/>
      <c r="P895" s="49"/>
      <c r="AD895" s="43"/>
      <c r="AE895" s="43"/>
      <c r="AF895" s="305"/>
      <c r="AG895" s="43"/>
    </row>
    <row r="896" spans="4:33">
      <c r="D896" s="49"/>
      <c r="J896" s="49"/>
      <c r="P896" s="49"/>
      <c r="AD896" s="43"/>
      <c r="AE896" s="43"/>
      <c r="AF896" s="305"/>
      <c r="AG896" s="43"/>
    </row>
    <row r="897" spans="4:33">
      <c r="D897" s="49"/>
      <c r="J897" s="49"/>
      <c r="P897" s="49"/>
      <c r="AD897" s="43"/>
      <c r="AE897" s="43"/>
      <c r="AF897" s="305"/>
      <c r="AG897" s="43"/>
    </row>
    <row r="898" spans="4:33">
      <c r="D898" s="49"/>
      <c r="J898" s="49"/>
      <c r="P898" s="49"/>
      <c r="AD898" s="43"/>
      <c r="AE898" s="43"/>
      <c r="AF898" s="305"/>
      <c r="AG898" s="43"/>
    </row>
    <row r="899" spans="4:33">
      <c r="D899" s="49"/>
      <c r="J899" s="49"/>
      <c r="P899" s="49"/>
      <c r="AD899" s="43"/>
      <c r="AE899" s="43"/>
      <c r="AF899" s="305"/>
      <c r="AG899" s="43"/>
    </row>
    <row r="900" spans="4:33">
      <c r="D900" s="49"/>
      <c r="J900" s="49"/>
      <c r="P900" s="49"/>
      <c r="AD900" s="43"/>
      <c r="AE900" s="43"/>
      <c r="AF900" s="305"/>
      <c r="AG900" s="43"/>
    </row>
    <row r="901" spans="4:33">
      <c r="D901" s="49"/>
      <c r="J901" s="49"/>
      <c r="P901" s="49"/>
      <c r="AD901" s="43"/>
      <c r="AE901" s="43"/>
      <c r="AF901" s="305"/>
      <c r="AG901" s="43"/>
    </row>
    <row r="902" spans="4:33">
      <c r="D902" s="49"/>
      <c r="J902" s="49"/>
      <c r="P902" s="49"/>
      <c r="AD902" s="43"/>
      <c r="AE902" s="43"/>
      <c r="AF902" s="305"/>
      <c r="AG902" s="43"/>
    </row>
    <row r="903" spans="4:33">
      <c r="D903" s="49"/>
      <c r="J903" s="49"/>
      <c r="P903" s="49"/>
      <c r="AD903" s="43"/>
      <c r="AE903" s="43"/>
      <c r="AF903" s="305"/>
      <c r="AG903" s="43"/>
    </row>
    <row r="904" spans="4:33">
      <c r="D904" s="49"/>
      <c r="J904" s="49"/>
      <c r="P904" s="49"/>
      <c r="AD904" s="43"/>
      <c r="AE904" s="43"/>
      <c r="AF904" s="305"/>
      <c r="AG904" s="43"/>
    </row>
    <row r="905" spans="4:33">
      <c r="D905" s="49"/>
      <c r="J905" s="49"/>
      <c r="P905" s="49"/>
      <c r="AD905" s="43"/>
      <c r="AE905" s="43"/>
      <c r="AF905" s="305"/>
      <c r="AG905" s="43"/>
    </row>
    <row r="906" spans="4:33">
      <c r="D906" s="49"/>
      <c r="J906" s="49"/>
      <c r="P906" s="49"/>
      <c r="AD906" s="43"/>
      <c r="AE906" s="43"/>
      <c r="AF906" s="305"/>
      <c r="AG906" s="43"/>
    </row>
    <row r="907" spans="4:33">
      <c r="D907" s="49"/>
      <c r="J907" s="49"/>
      <c r="P907" s="49"/>
      <c r="AD907" s="43"/>
      <c r="AE907" s="43"/>
      <c r="AF907" s="305"/>
      <c r="AG907" s="43"/>
    </row>
    <row r="908" spans="4:33">
      <c r="D908" s="49"/>
      <c r="J908" s="49"/>
      <c r="P908" s="49"/>
      <c r="AD908" s="43"/>
      <c r="AE908" s="43"/>
      <c r="AF908" s="305"/>
      <c r="AG908" s="43"/>
    </row>
    <row r="909" spans="4:33">
      <c r="D909" s="49"/>
      <c r="J909" s="49"/>
      <c r="P909" s="49"/>
      <c r="AD909" s="43"/>
      <c r="AE909" s="43"/>
      <c r="AF909" s="305"/>
      <c r="AG909" s="43"/>
    </row>
    <row r="910" spans="4:33">
      <c r="D910" s="49"/>
      <c r="J910" s="49"/>
      <c r="P910" s="49"/>
      <c r="AD910" s="43"/>
      <c r="AE910" s="43"/>
      <c r="AF910" s="305"/>
      <c r="AG910" s="43"/>
    </row>
    <row r="911" spans="4:33">
      <c r="D911" s="49"/>
      <c r="J911" s="49"/>
      <c r="P911" s="49"/>
      <c r="AD911" s="43"/>
      <c r="AE911" s="43"/>
      <c r="AF911" s="305"/>
      <c r="AG911" s="43"/>
    </row>
    <row r="912" spans="4:33">
      <c r="D912" s="49"/>
      <c r="J912" s="49"/>
      <c r="P912" s="49"/>
      <c r="AD912" s="43"/>
      <c r="AE912" s="43"/>
      <c r="AF912" s="305"/>
      <c r="AG912" s="43"/>
    </row>
    <row r="913" spans="4:33">
      <c r="D913" s="49"/>
      <c r="J913" s="49"/>
      <c r="P913" s="49"/>
      <c r="AD913" s="43"/>
      <c r="AE913" s="43"/>
      <c r="AF913" s="305"/>
      <c r="AG913" s="43"/>
    </row>
    <row r="914" spans="4:33">
      <c r="D914" s="49"/>
      <c r="J914" s="49"/>
      <c r="P914" s="49"/>
      <c r="AD914" s="43"/>
      <c r="AE914" s="43"/>
      <c r="AF914" s="305"/>
      <c r="AG914" s="43"/>
    </row>
    <row r="915" spans="4:33">
      <c r="D915" s="49"/>
      <c r="J915" s="49"/>
      <c r="P915" s="49"/>
      <c r="AD915" s="43"/>
      <c r="AE915" s="43"/>
      <c r="AF915" s="305"/>
      <c r="AG915" s="43"/>
    </row>
    <row r="916" spans="4:33">
      <c r="D916" s="49"/>
      <c r="J916" s="49"/>
      <c r="P916" s="49"/>
      <c r="AD916" s="43"/>
      <c r="AE916" s="43"/>
      <c r="AF916" s="305"/>
      <c r="AG916" s="43"/>
    </row>
    <row r="917" spans="4:33">
      <c r="D917" s="49"/>
      <c r="J917" s="49"/>
      <c r="P917" s="49"/>
      <c r="AD917" s="43"/>
      <c r="AE917" s="43"/>
      <c r="AF917" s="305"/>
      <c r="AG917" s="43"/>
    </row>
    <row r="918" spans="4:33">
      <c r="D918" s="49"/>
      <c r="J918" s="49"/>
      <c r="P918" s="49"/>
      <c r="AD918" s="43"/>
      <c r="AE918" s="43"/>
      <c r="AF918" s="305"/>
      <c r="AG918" s="43"/>
    </row>
    <row r="919" spans="4:33">
      <c r="D919" s="49"/>
      <c r="J919" s="49"/>
      <c r="P919" s="49"/>
      <c r="AD919" s="43"/>
      <c r="AE919" s="43"/>
      <c r="AF919" s="305"/>
      <c r="AG919" s="43"/>
    </row>
    <row r="920" spans="4:33">
      <c r="D920" s="49"/>
      <c r="J920" s="49"/>
      <c r="P920" s="49"/>
      <c r="AD920" s="43"/>
      <c r="AE920" s="43"/>
      <c r="AF920" s="305"/>
      <c r="AG920" s="43"/>
    </row>
    <row r="921" spans="4:33">
      <c r="D921" s="49"/>
      <c r="J921" s="49"/>
      <c r="P921" s="49"/>
      <c r="AD921" s="43"/>
      <c r="AE921" s="43"/>
      <c r="AF921" s="305"/>
      <c r="AG921" s="43"/>
    </row>
    <row r="922" spans="4:33">
      <c r="D922" s="49"/>
      <c r="J922" s="49"/>
      <c r="P922" s="49"/>
      <c r="AD922" s="43"/>
      <c r="AE922" s="43"/>
      <c r="AF922" s="305"/>
      <c r="AG922" s="43"/>
    </row>
    <row r="923" spans="4:33">
      <c r="D923" s="49"/>
      <c r="J923" s="49"/>
      <c r="P923" s="49"/>
      <c r="AD923" s="43"/>
      <c r="AE923" s="43"/>
      <c r="AF923" s="305"/>
      <c r="AG923" s="43"/>
    </row>
    <row r="924" spans="4:33">
      <c r="D924" s="49"/>
      <c r="J924" s="49"/>
      <c r="P924" s="49"/>
      <c r="AD924" s="43"/>
      <c r="AE924" s="43"/>
      <c r="AF924" s="305"/>
      <c r="AG924" s="43"/>
    </row>
    <row r="925" spans="4:33">
      <c r="D925" s="49"/>
      <c r="J925" s="49"/>
      <c r="P925" s="49"/>
      <c r="AD925" s="43"/>
      <c r="AE925" s="43"/>
      <c r="AF925" s="305"/>
      <c r="AG925" s="43"/>
    </row>
    <row r="926" spans="4:33">
      <c r="D926" s="49"/>
      <c r="J926" s="49"/>
      <c r="P926" s="49"/>
      <c r="AD926" s="43"/>
      <c r="AE926" s="43"/>
      <c r="AF926" s="305"/>
      <c r="AG926" s="43"/>
    </row>
    <row r="927" spans="4:33">
      <c r="D927" s="49"/>
      <c r="J927" s="49"/>
      <c r="P927" s="49"/>
      <c r="AD927" s="43"/>
      <c r="AE927" s="43"/>
      <c r="AF927" s="305"/>
      <c r="AG927" s="43"/>
    </row>
    <row r="928" spans="4:33">
      <c r="D928" s="49"/>
      <c r="J928" s="49"/>
      <c r="P928" s="49"/>
      <c r="AD928" s="43"/>
      <c r="AE928" s="43"/>
      <c r="AF928" s="305"/>
      <c r="AG928" s="43"/>
    </row>
    <row r="929" spans="4:33">
      <c r="D929" s="49"/>
      <c r="J929" s="49"/>
      <c r="P929" s="49"/>
      <c r="AD929" s="43"/>
      <c r="AE929" s="43"/>
      <c r="AF929" s="305"/>
      <c r="AG929" s="43"/>
    </row>
    <row r="930" spans="4:33">
      <c r="D930" s="49"/>
      <c r="J930" s="49"/>
      <c r="P930" s="49"/>
      <c r="AD930" s="43"/>
      <c r="AE930" s="43"/>
      <c r="AF930" s="305"/>
      <c r="AG930" s="43"/>
    </row>
    <row r="931" spans="4:33">
      <c r="D931" s="49"/>
      <c r="J931" s="49"/>
      <c r="P931" s="49"/>
      <c r="AD931" s="43"/>
      <c r="AE931" s="43"/>
      <c r="AF931" s="305"/>
      <c r="AG931" s="43"/>
    </row>
    <row r="932" spans="4:33">
      <c r="D932" s="49"/>
      <c r="J932" s="49"/>
      <c r="P932" s="49"/>
      <c r="AD932" s="43"/>
      <c r="AE932" s="43"/>
      <c r="AF932" s="305"/>
      <c r="AG932" s="43"/>
    </row>
    <row r="933" spans="4:33">
      <c r="D933" s="49"/>
      <c r="J933" s="49"/>
      <c r="P933" s="49"/>
      <c r="AD933" s="43"/>
      <c r="AE933" s="43"/>
      <c r="AF933" s="305"/>
      <c r="AG933" s="43"/>
    </row>
    <row r="934" spans="4:33">
      <c r="D934" s="49"/>
      <c r="J934" s="49"/>
      <c r="P934" s="49"/>
      <c r="AD934" s="43"/>
      <c r="AE934" s="43"/>
      <c r="AF934" s="305"/>
      <c r="AG934" s="43"/>
    </row>
    <row r="935" spans="4:33">
      <c r="D935" s="49"/>
      <c r="J935" s="49"/>
      <c r="P935" s="49"/>
      <c r="AD935" s="43"/>
      <c r="AE935" s="43"/>
      <c r="AF935" s="305"/>
      <c r="AG935" s="43"/>
    </row>
    <row r="936" spans="4:33">
      <c r="D936" s="49"/>
      <c r="J936" s="49"/>
      <c r="P936" s="49"/>
      <c r="AD936" s="43"/>
      <c r="AE936" s="43"/>
      <c r="AF936" s="305"/>
      <c r="AG936" s="43"/>
    </row>
    <row r="937" spans="4:33">
      <c r="D937" s="49"/>
      <c r="J937" s="49"/>
      <c r="P937" s="49"/>
      <c r="AD937" s="43"/>
      <c r="AE937" s="43"/>
      <c r="AF937" s="305"/>
      <c r="AG937" s="43"/>
    </row>
    <row r="938" spans="4:33">
      <c r="D938" s="49"/>
      <c r="J938" s="49"/>
      <c r="P938" s="49"/>
      <c r="AD938" s="43"/>
      <c r="AE938" s="43"/>
      <c r="AF938" s="305"/>
      <c r="AG938" s="43"/>
    </row>
    <row r="939" spans="4:33">
      <c r="D939" s="49"/>
      <c r="J939" s="49"/>
      <c r="P939" s="49"/>
      <c r="AD939" s="43"/>
      <c r="AE939" s="43"/>
      <c r="AF939" s="305"/>
      <c r="AG939" s="43"/>
    </row>
    <row r="940" spans="4:33">
      <c r="D940" s="49"/>
      <c r="J940" s="49"/>
      <c r="P940" s="49"/>
      <c r="AD940" s="43"/>
      <c r="AE940" s="43"/>
      <c r="AF940" s="305"/>
      <c r="AG940" s="43"/>
    </row>
    <row r="941" spans="4:33">
      <c r="D941" s="49"/>
      <c r="J941" s="49"/>
      <c r="P941" s="49"/>
      <c r="AD941" s="43"/>
      <c r="AE941" s="43"/>
      <c r="AF941" s="305"/>
      <c r="AG941" s="43"/>
    </row>
    <row r="942" spans="4:33">
      <c r="D942" s="49"/>
      <c r="J942" s="49"/>
      <c r="P942" s="49"/>
      <c r="AD942" s="43"/>
      <c r="AE942" s="43"/>
      <c r="AF942" s="305"/>
      <c r="AG942" s="43"/>
    </row>
    <row r="943" spans="4:33">
      <c r="D943" s="49"/>
      <c r="J943" s="49"/>
      <c r="P943" s="49"/>
      <c r="AD943" s="43"/>
      <c r="AE943" s="43"/>
      <c r="AF943" s="305"/>
      <c r="AG943" s="43"/>
    </row>
    <row r="944" spans="4:33">
      <c r="D944" s="49"/>
      <c r="J944" s="49"/>
      <c r="P944" s="49"/>
      <c r="AD944" s="43"/>
      <c r="AE944" s="43"/>
      <c r="AF944" s="305"/>
      <c r="AG944" s="43"/>
    </row>
    <row r="945" spans="4:33">
      <c r="D945" s="49"/>
      <c r="J945" s="49"/>
      <c r="P945" s="49"/>
      <c r="AD945" s="43"/>
      <c r="AE945" s="43"/>
      <c r="AF945" s="305"/>
      <c r="AG945" s="43"/>
    </row>
    <row r="946" spans="4:33">
      <c r="D946" s="49"/>
      <c r="J946" s="49"/>
      <c r="P946" s="49"/>
      <c r="AD946" s="43"/>
      <c r="AE946" s="43"/>
      <c r="AF946" s="305"/>
      <c r="AG946" s="43"/>
    </row>
    <row r="947" spans="4:33">
      <c r="D947" s="49"/>
      <c r="J947" s="49"/>
      <c r="P947" s="49"/>
      <c r="AD947" s="43"/>
      <c r="AE947" s="43"/>
      <c r="AF947" s="305"/>
      <c r="AG947" s="43"/>
    </row>
    <row r="948" spans="4:33">
      <c r="D948" s="49"/>
      <c r="J948" s="49"/>
      <c r="P948" s="49"/>
      <c r="AD948" s="43"/>
      <c r="AE948" s="43"/>
      <c r="AF948" s="305"/>
      <c r="AG948" s="43"/>
    </row>
    <row r="949" spans="4:33">
      <c r="D949" s="49"/>
      <c r="J949" s="49"/>
      <c r="P949" s="49"/>
      <c r="AD949" s="43"/>
      <c r="AE949" s="43"/>
      <c r="AF949" s="305"/>
      <c r="AG949" s="43"/>
    </row>
    <row r="950" spans="4:33">
      <c r="D950" s="49"/>
      <c r="J950" s="49"/>
      <c r="P950" s="49"/>
      <c r="AD950" s="43"/>
      <c r="AE950" s="43"/>
      <c r="AF950" s="305"/>
      <c r="AG950" s="43"/>
    </row>
    <row r="951" spans="4:33">
      <c r="D951" s="49"/>
      <c r="J951" s="49"/>
      <c r="P951" s="49"/>
      <c r="AD951" s="43"/>
      <c r="AE951" s="43"/>
      <c r="AF951" s="305"/>
      <c r="AG951" s="43"/>
    </row>
    <row r="952" spans="4:33">
      <c r="D952" s="49"/>
      <c r="J952" s="49"/>
      <c r="P952" s="49"/>
      <c r="AD952" s="43"/>
      <c r="AE952" s="43"/>
      <c r="AF952" s="305"/>
      <c r="AG952" s="43"/>
    </row>
    <row r="953" spans="4:33">
      <c r="D953" s="49"/>
      <c r="J953" s="49"/>
      <c r="P953" s="49"/>
      <c r="AD953" s="43"/>
      <c r="AE953" s="43"/>
      <c r="AF953" s="305"/>
      <c r="AG953" s="43"/>
    </row>
    <row r="954" spans="4:33">
      <c r="D954" s="49"/>
      <c r="J954" s="49"/>
      <c r="P954" s="49"/>
      <c r="AD954" s="43"/>
      <c r="AE954" s="43"/>
      <c r="AF954" s="305"/>
      <c r="AG954" s="43"/>
    </row>
    <row r="955" spans="4:33">
      <c r="D955" s="49"/>
      <c r="J955" s="49"/>
      <c r="P955" s="49"/>
      <c r="AD955" s="43"/>
      <c r="AE955" s="43"/>
      <c r="AF955" s="305"/>
      <c r="AG955" s="43"/>
    </row>
    <row r="956" spans="4:33">
      <c r="D956" s="49"/>
      <c r="J956" s="49"/>
      <c r="P956" s="49"/>
      <c r="AD956" s="43"/>
      <c r="AE956" s="43"/>
      <c r="AF956" s="305"/>
      <c r="AG956" s="43"/>
    </row>
    <row r="957" spans="4:33">
      <c r="D957" s="49"/>
      <c r="J957" s="49"/>
      <c r="P957" s="49"/>
      <c r="AD957" s="43"/>
      <c r="AE957" s="43"/>
      <c r="AF957" s="305"/>
      <c r="AG957" s="43"/>
    </row>
    <row r="958" spans="4:33">
      <c r="D958" s="49"/>
      <c r="J958" s="49"/>
      <c r="P958" s="49"/>
      <c r="AD958" s="43"/>
      <c r="AE958" s="43"/>
      <c r="AF958" s="305"/>
      <c r="AG958" s="43"/>
    </row>
    <row r="959" spans="4:33">
      <c r="D959" s="49"/>
      <c r="J959" s="49"/>
      <c r="P959" s="49"/>
      <c r="AD959" s="43"/>
      <c r="AE959" s="43"/>
      <c r="AF959" s="305"/>
      <c r="AG959" s="43"/>
    </row>
    <row r="960" spans="4:33">
      <c r="D960" s="49"/>
      <c r="J960" s="49"/>
      <c r="P960" s="49"/>
      <c r="AD960" s="43"/>
      <c r="AE960" s="43"/>
      <c r="AF960" s="305"/>
      <c r="AG960" s="43"/>
    </row>
    <row r="961" spans="4:33">
      <c r="D961" s="49"/>
      <c r="J961" s="49"/>
      <c r="P961" s="49"/>
      <c r="AD961" s="43"/>
      <c r="AE961" s="43"/>
      <c r="AF961" s="305"/>
      <c r="AG961" s="43"/>
    </row>
    <row r="962" spans="4:33">
      <c r="D962" s="49"/>
      <c r="J962" s="49"/>
      <c r="P962" s="49"/>
      <c r="AD962" s="43"/>
      <c r="AE962" s="43"/>
      <c r="AF962" s="305"/>
      <c r="AG962" s="43"/>
    </row>
    <row r="963" spans="4:33">
      <c r="D963" s="49"/>
      <c r="J963" s="49"/>
      <c r="P963" s="49"/>
      <c r="AD963" s="43"/>
      <c r="AE963" s="43"/>
      <c r="AF963" s="305"/>
      <c r="AG963" s="43"/>
    </row>
    <row r="964" spans="4:33">
      <c r="D964" s="49"/>
      <c r="J964" s="49"/>
      <c r="P964" s="49"/>
      <c r="AD964" s="43"/>
      <c r="AE964" s="43"/>
      <c r="AF964" s="305"/>
      <c r="AG964" s="43"/>
    </row>
    <row r="965" spans="4:33">
      <c r="D965" s="49"/>
      <c r="J965" s="49"/>
      <c r="P965" s="49"/>
      <c r="AD965" s="43"/>
      <c r="AE965" s="43"/>
      <c r="AF965" s="305"/>
      <c r="AG965" s="43"/>
    </row>
    <row r="966" spans="4:33">
      <c r="D966" s="49"/>
      <c r="J966" s="49"/>
      <c r="P966" s="49"/>
      <c r="AD966" s="43"/>
      <c r="AE966" s="43"/>
      <c r="AF966" s="305"/>
      <c r="AG966" s="43"/>
    </row>
    <row r="967" spans="4:33">
      <c r="D967" s="49"/>
      <c r="J967" s="49"/>
      <c r="P967" s="49"/>
      <c r="AD967" s="43"/>
      <c r="AE967" s="43"/>
      <c r="AF967" s="305"/>
      <c r="AG967" s="43"/>
    </row>
    <row r="968" spans="4:33">
      <c r="D968" s="49"/>
      <c r="J968" s="49"/>
      <c r="P968" s="49"/>
      <c r="AD968" s="43"/>
      <c r="AE968" s="43"/>
      <c r="AF968" s="305"/>
      <c r="AG968" s="43"/>
    </row>
    <row r="969" spans="4:33">
      <c r="D969" s="49"/>
      <c r="J969" s="49"/>
      <c r="P969" s="49"/>
      <c r="AD969" s="43"/>
      <c r="AE969" s="43"/>
      <c r="AF969" s="305"/>
      <c r="AG969" s="43"/>
    </row>
    <row r="970" spans="4:33">
      <c r="D970" s="49"/>
      <c r="J970" s="49"/>
      <c r="P970" s="49"/>
      <c r="AD970" s="43"/>
      <c r="AE970" s="43"/>
      <c r="AF970" s="305"/>
      <c r="AG970" s="43"/>
    </row>
    <row r="971" spans="4:33">
      <c r="D971" s="49"/>
      <c r="J971" s="49"/>
      <c r="P971" s="49"/>
      <c r="AD971" s="43"/>
      <c r="AE971" s="43"/>
      <c r="AF971" s="305"/>
      <c r="AG971" s="43"/>
    </row>
    <row r="972" spans="4:33">
      <c r="D972" s="49"/>
      <c r="J972" s="49"/>
      <c r="P972" s="49"/>
      <c r="AD972" s="43"/>
      <c r="AE972" s="43"/>
      <c r="AF972" s="305"/>
      <c r="AG972" s="43"/>
    </row>
    <row r="973" spans="4:33">
      <c r="D973" s="49"/>
      <c r="J973" s="49"/>
      <c r="P973" s="49"/>
      <c r="AD973" s="43"/>
      <c r="AE973" s="43"/>
      <c r="AF973" s="305"/>
      <c r="AG973" s="43"/>
    </row>
    <row r="974" spans="4:33">
      <c r="D974" s="49"/>
      <c r="J974" s="49"/>
      <c r="P974" s="49"/>
      <c r="AD974" s="43"/>
      <c r="AE974" s="43"/>
      <c r="AF974" s="305"/>
      <c r="AG974" s="43"/>
    </row>
    <row r="975" spans="4:33">
      <c r="D975" s="49"/>
      <c r="J975" s="49"/>
      <c r="P975" s="49"/>
      <c r="AD975" s="43"/>
      <c r="AE975" s="43"/>
      <c r="AF975" s="305"/>
      <c r="AG975" s="43"/>
    </row>
    <row r="976" spans="4:33">
      <c r="D976" s="49"/>
      <c r="J976" s="49"/>
      <c r="P976" s="49"/>
      <c r="AD976" s="43"/>
      <c r="AE976" s="43"/>
      <c r="AF976" s="305"/>
      <c r="AG976" s="43"/>
    </row>
    <row r="977" spans="4:33">
      <c r="D977" s="49"/>
      <c r="J977" s="49"/>
      <c r="P977" s="49"/>
      <c r="AD977" s="43"/>
      <c r="AE977" s="43"/>
      <c r="AF977" s="305"/>
      <c r="AG977" s="43"/>
    </row>
    <row r="978" spans="4:33">
      <c r="D978" s="49"/>
      <c r="J978" s="49"/>
      <c r="P978" s="49"/>
      <c r="AD978" s="43"/>
      <c r="AE978" s="43"/>
      <c r="AF978" s="305"/>
      <c r="AG978" s="43"/>
    </row>
    <row r="979" spans="4:33">
      <c r="D979" s="49"/>
      <c r="J979" s="49"/>
      <c r="P979" s="49"/>
      <c r="AD979" s="43"/>
      <c r="AE979" s="43"/>
      <c r="AF979" s="305"/>
      <c r="AG979" s="43"/>
    </row>
    <row r="980" spans="4:33">
      <c r="D980" s="49"/>
      <c r="J980" s="49"/>
      <c r="P980" s="49"/>
      <c r="AD980" s="43"/>
      <c r="AE980" s="43"/>
      <c r="AF980" s="305"/>
      <c r="AG980" s="43"/>
    </row>
    <row r="981" spans="4:33">
      <c r="D981" s="49"/>
      <c r="J981" s="49"/>
      <c r="P981" s="49"/>
      <c r="AD981" s="43"/>
      <c r="AE981" s="43"/>
      <c r="AF981" s="305"/>
      <c r="AG981" s="43"/>
    </row>
    <row r="982" spans="4:33">
      <c r="D982" s="49"/>
      <c r="J982" s="49"/>
      <c r="P982" s="49"/>
      <c r="AD982" s="43"/>
      <c r="AE982" s="43"/>
      <c r="AF982" s="305"/>
      <c r="AG982" s="43"/>
    </row>
    <row r="983" spans="4:33">
      <c r="D983" s="49"/>
      <c r="J983" s="49"/>
      <c r="P983" s="49"/>
      <c r="AD983" s="43"/>
      <c r="AE983" s="43"/>
      <c r="AF983" s="305"/>
      <c r="AG983" s="43"/>
    </row>
    <row r="984" spans="4:33">
      <c r="D984" s="49"/>
      <c r="J984" s="49"/>
      <c r="P984" s="49"/>
      <c r="AD984" s="43"/>
      <c r="AE984" s="43"/>
      <c r="AF984" s="305"/>
      <c r="AG984" s="43"/>
    </row>
    <row r="985" spans="4:33">
      <c r="D985" s="49"/>
      <c r="J985" s="49"/>
      <c r="P985" s="49"/>
      <c r="AD985" s="43"/>
      <c r="AE985" s="43"/>
      <c r="AF985" s="305"/>
      <c r="AG985" s="43"/>
    </row>
    <row r="986" spans="4:33">
      <c r="D986" s="49"/>
      <c r="J986" s="49"/>
      <c r="P986" s="49"/>
      <c r="AD986" s="43"/>
      <c r="AE986" s="43"/>
      <c r="AF986" s="305"/>
      <c r="AG986" s="43"/>
    </row>
    <row r="987" spans="4:33">
      <c r="D987" s="49"/>
      <c r="J987" s="49"/>
      <c r="P987" s="49"/>
      <c r="AD987" s="43"/>
      <c r="AE987" s="43"/>
      <c r="AF987" s="305"/>
      <c r="AG987" s="43"/>
    </row>
    <row r="988" spans="4:33">
      <c r="D988" s="49"/>
      <c r="J988" s="49"/>
      <c r="P988" s="49"/>
      <c r="AD988" s="43"/>
      <c r="AE988" s="43"/>
      <c r="AF988" s="305"/>
      <c r="AG988" s="43"/>
    </row>
    <row r="989" spans="4:33">
      <c r="D989" s="49"/>
      <c r="J989" s="49"/>
      <c r="P989" s="49"/>
      <c r="AD989" s="43"/>
      <c r="AE989" s="43"/>
      <c r="AF989" s="305"/>
      <c r="AG989" s="43"/>
    </row>
    <row r="990" spans="4:33">
      <c r="D990" s="49"/>
      <c r="J990" s="49"/>
      <c r="P990" s="49"/>
      <c r="AD990" s="43"/>
      <c r="AE990" s="43"/>
      <c r="AF990" s="305"/>
      <c r="AG990" s="43"/>
    </row>
    <row r="991" spans="4:33">
      <c r="D991" s="49"/>
      <c r="J991" s="49"/>
      <c r="P991" s="49"/>
      <c r="AD991" s="43"/>
      <c r="AE991" s="43"/>
      <c r="AF991" s="305"/>
      <c r="AG991" s="43"/>
    </row>
    <row r="992" spans="4:33">
      <c r="D992" s="49"/>
      <c r="J992" s="49"/>
      <c r="P992" s="49"/>
      <c r="AD992" s="43"/>
      <c r="AE992" s="43"/>
      <c r="AF992" s="305"/>
      <c r="AG992" s="43"/>
    </row>
    <row r="993" spans="4:33">
      <c r="D993" s="49"/>
      <c r="J993" s="49"/>
      <c r="P993" s="49"/>
      <c r="AD993" s="43"/>
      <c r="AE993" s="43"/>
      <c r="AF993" s="305"/>
      <c r="AG993" s="43"/>
    </row>
    <row r="994" spans="4:33">
      <c r="D994" s="49"/>
      <c r="J994" s="49"/>
      <c r="P994" s="49"/>
      <c r="AD994" s="43"/>
      <c r="AE994" s="43"/>
      <c r="AF994" s="305"/>
      <c r="AG994" s="43"/>
    </row>
    <row r="995" spans="4:33">
      <c r="D995" s="49"/>
      <c r="J995" s="49"/>
      <c r="P995" s="49"/>
      <c r="AD995" s="43"/>
      <c r="AE995" s="43"/>
      <c r="AF995" s="305"/>
      <c r="AG995" s="43"/>
    </row>
    <row r="996" spans="4:33">
      <c r="D996" s="49"/>
      <c r="J996" s="49"/>
      <c r="P996" s="49"/>
      <c r="AD996" s="43"/>
      <c r="AE996" s="43"/>
      <c r="AF996" s="305"/>
      <c r="AG996" s="43"/>
    </row>
    <row r="997" spans="4:33">
      <c r="D997" s="49"/>
      <c r="J997" s="49"/>
      <c r="P997" s="49"/>
      <c r="AD997" s="43"/>
      <c r="AE997" s="43"/>
      <c r="AF997" s="305"/>
      <c r="AG997" s="43"/>
    </row>
    <row r="998" spans="4:33">
      <c r="D998" s="49"/>
      <c r="J998" s="49"/>
      <c r="P998" s="49"/>
      <c r="AD998" s="43"/>
      <c r="AE998" s="43"/>
      <c r="AF998" s="305"/>
      <c r="AG998" s="43"/>
    </row>
    <row r="999" spans="4:33">
      <c r="D999" s="49"/>
      <c r="J999" s="49"/>
      <c r="P999" s="49"/>
      <c r="AD999" s="43"/>
      <c r="AE999" s="43"/>
      <c r="AF999" s="305"/>
      <c r="AG999" s="43"/>
    </row>
    <row r="1000" spans="4:33">
      <c r="D1000" s="49"/>
      <c r="J1000" s="49"/>
      <c r="P1000" s="49"/>
      <c r="AD1000" s="43"/>
      <c r="AE1000" s="43"/>
      <c r="AF1000" s="305"/>
      <c r="AG1000" s="43"/>
    </row>
    <row r="1001" spans="4:33">
      <c r="D1001" s="49"/>
      <c r="J1001" s="49"/>
      <c r="P1001" s="49"/>
      <c r="AD1001" s="43"/>
      <c r="AE1001" s="43"/>
      <c r="AF1001" s="305"/>
      <c r="AG1001" s="43"/>
    </row>
    <row r="1002" spans="4:33">
      <c r="D1002" s="49"/>
      <c r="J1002" s="49"/>
      <c r="P1002" s="49"/>
      <c r="AD1002" s="43"/>
      <c r="AE1002" s="43"/>
      <c r="AF1002" s="305"/>
      <c r="AG1002" s="43"/>
    </row>
    <row r="1003" spans="4:33">
      <c r="D1003" s="49"/>
      <c r="J1003" s="49"/>
      <c r="P1003" s="49"/>
      <c r="AD1003" s="43"/>
      <c r="AE1003" s="43"/>
      <c r="AF1003" s="305"/>
      <c r="AG1003" s="43"/>
    </row>
    <row r="1004" spans="4:33">
      <c r="D1004" s="49"/>
      <c r="J1004" s="49"/>
      <c r="P1004" s="49"/>
      <c r="AD1004" s="43"/>
      <c r="AE1004" s="43"/>
      <c r="AF1004" s="305"/>
      <c r="AG1004" s="43"/>
    </row>
    <row r="1005" spans="4:33">
      <c r="D1005" s="49"/>
      <c r="J1005" s="49"/>
      <c r="P1005" s="49"/>
      <c r="AD1005" s="43"/>
      <c r="AE1005" s="43"/>
      <c r="AF1005" s="305"/>
      <c r="AG1005" s="43"/>
    </row>
    <row r="1006" spans="4:33">
      <c r="D1006" s="49"/>
      <c r="J1006" s="49"/>
      <c r="P1006" s="49"/>
      <c r="AD1006" s="43"/>
      <c r="AE1006" s="43"/>
      <c r="AF1006" s="305"/>
      <c r="AG1006" s="43"/>
    </row>
    <row r="1007" spans="4:33">
      <c r="D1007" s="49"/>
      <c r="J1007" s="49"/>
      <c r="P1007" s="49"/>
      <c r="AD1007" s="43"/>
      <c r="AE1007" s="43"/>
      <c r="AF1007" s="305"/>
      <c r="AG1007" s="43"/>
    </row>
    <row r="1008" spans="4:33">
      <c r="D1008" s="49"/>
      <c r="J1008" s="49"/>
      <c r="P1008" s="49"/>
      <c r="AD1008" s="43"/>
      <c r="AE1008" s="43"/>
      <c r="AF1008" s="305"/>
      <c r="AG1008" s="43"/>
    </row>
    <row r="1009" spans="4:33">
      <c r="D1009" s="49"/>
      <c r="J1009" s="49"/>
      <c r="P1009" s="49"/>
      <c r="AD1009" s="43"/>
      <c r="AE1009" s="43"/>
      <c r="AF1009" s="305"/>
      <c r="AG1009" s="43"/>
    </row>
    <row r="1010" spans="4:33">
      <c r="D1010" s="49"/>
      <c r="J1010" s="49"/>
      <c r="P1010" s="49"/>
      <c r="AD1010" s="43"/>
      <c r="AE1010" s="43"/>
      <c r="AF1010" s="305"/>
      <c r="AG1010" s="43"/>
    </row>
  </sheetData>
  <pageMargins left="0.511811024" right="0.511811024" top="0.78740157499999996" bottom="0.78740157499999996"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AD1015"/>
  <sheetViews>
    <sheetView showGridLines="0" topLeftCell="A2" workbookViewId="0"/>
  </sheetViews>
  <sheetFormatPr defaultColWidth="14.42578125" defaultRowHeight="15" customHeight="1" outlineLevelRow="1"/>
  <cols>
    <col min="6" max="6" width="25.28515625" customWidth="1"/>
    <col min="7" max="7" width="14.42578125" hidden="1"/>
    <col min="8" max="8" width="18" customWidth="1"/>
    <col min="9" max="9" width="14.42578125" hidden="1"/>
    <col min="10" max="10" width="27.28515625" customWidth="1"/>
    <col min="13" max="22" width="14.42578125" hidden="1"/>
    <col min="23" max="23" width="48.85546875" customWidth="1"/>
    <col min="24" max="24" width="14.42578125" hidden="1"/>
    <col min="25" max="25" width="17.7109375" hidden="1" customWidth="1"/>
    <col min="26" max="26" width="21.42578125" customWidth="1"/>
    <col min="27" max="27" width="14.42578125" hidden="1"/>
  </cols>
  <sheetData>
    <row r="1" spans="1:30" hidden="1">
      <c r="A1" s="49" t="s">
        <v>1957</v>
      </c>
      <c r="B1" s="49">
        <v>10</v>
      </c>
      <c r="AB1" s="142"/>
    </row>
    <row r="2" spans="1:30">
      <c r="A2" s="49" t="s">
        <v>1958</v>
      </c>
      <c r="B2" s="49">
        <v>2024</v>
      </c>
      <c r="AB2" s="142"/>
    </row>
    <row r="3" spans="1:30">
      <c r="AB3" s="142"/>
    </row>
    <row r="4" spans="1:30">
      <c r="AB4" s="142"/>
    </row>
    <row r="5" spans="1:30">
      <c r="AB5" s="142"/>
    </row>
    <row r="6" spans="1:30">
      <c r="AB6" s="142"/>
    </row>
    <row r="7" spans="1:30">
      <c r="AB7" s="142"/>
    </row>
    <row r="8" spans="1:30">
      <c r="AB8" s="142"/>
      <c r="AD8" s="49">
        <f>-20000+1000+400+1000+500+3500+22746.5+18500</f>
        <v>27646.5</v>
      </c>
    </row>
    <row r="9" spans="1:30">
      <c r="AB9" s="142"/>
    </row>
    <row r="10" spans="1:30">
      <c r="AB10" s="142"/>
    </row>
    <row r="11" spans="1:30">
      <c r="AB11" s="142"/>
    </row>
    <row r="12" spans="1:30">
      <c r="AB12" s="142"/>
    </row>
    <row r="13" spans="1:30">
      <c r="AB13" s="142"/>
    </row>
    <row r="14" spans="1:30">
      <c r="AB14" s="142"/>
    </row>
    <row r="15" spans="1:30">
      <c r="AB15" s="142"/>
    </row>
    <row r="16" spans="1:30">
      <c r="AB16" s="142"/>
    </row>
    <row r="17" spans="1:28">
      <c r="AB17" s="142"/>
    </row>
    <row r="18" spans="1:28">
      <c r="AB18" s="142"/>
    </row>
    <row r="19" spans="1:28" ht="18.75" collapsed="1">
      <c r="A19" s="339" t="s">
        <v>256</v>
      </c>
      <c r="B19" s="339" t="s">
        <v>1959</v>
      </c>
      <c r="C19" s="339" t="s">
        <v>1960</v>
      </c>
      <c r="D19" s="339" t="s">
        <v>1785</v>
      </c>
      <c r="F19" s="340" t="s">
        <v>255</v>
      </c>
      <c r="G19" s="340" t="s">
        <v>256</v>
      </c>
      <c r="H19" s="340" t="s">
        <v>257</v>
      </c>
      <c r="I19" s="340" t="s">
        <v>258</v>
      </c>
      <c r="J19" s="340" t="s">
        <v>180</v>
      </c>
      <c r="K19" s="340" t="s">
        <v>259</v>
      </c>
      <c r="L19" s="340" t="s">
        <v>260</v>
      </c>
      <c r="M19" s="340" t="s">
        <v>261</v>
      </c>
      <c r="N19" s="340" t="s">
        <v>262</v>
      </c>
      <c r="O19" s="340" t="s">
        <v>263</v>
      </c>
      <c r="P19" s="340" t="s">
        <v>264</v>
      </c>
      <c r="Q19" s="340" t="s">
        <v>265</v>
      </c>
      <c r="R19" s="340" t="s">
        <v>266</v>
      </c>
      <c r="S19" s="340" t="s">
        <v>267</v>
      </c>
      <c r="T19" s="340" t="s">
        <v>268</v>
      </c>
      <c r="U19" s="340" t="s">
        <v>269</v>
      </c>
      <c r="V19" s="340" t="s">
        <v>270</v>
      </c>
      <c r="W19" s="340" t="s">
        <v>271</v>
      </c>
      <c r="X19" s="340" t="s">
        <v>272</v>
      </c>
      <c r="Y19" s="341" t="s">
        <v>74</v>
      </c>
      <c r="Z19" s="341" t="s">
        <v>274</v>
      </c>
      <c r="AB19" s="142"/>
    </row>
    <row r="20" spans="1:28" hidden="1" outlineLevel="1">
      <c r="A20" s="93" t="s">
        <v>1961</v>
      </c>
      <c r="B20" s="342"/>
      <c r="C20" s="342"/>
      <c r="D20" s="342" t="e">
        <v>#REF!</v>
      </c>
      <c r="F20" s="143" t="str">
        <f ca="1">IFERROR(__xludf.DUMMYFUNCTION("FILTER(BD_Omie!A:V,BD_Omie!T:T=B1)"),"#REF!")</f>
        <v>#REF!</v>
      </c>
      <c r="G20" s="145"/>
      <c r="H20" s="143"/>
      <c r="I20" s="143"/>
      <c r="J20" s="143"/>
      <c r="K20" s="342"/>
      <c r="L20" s="342"/>
      <c r="M20" s="143"/>
      <c r="N20" s="143"/>
      <c r="O20" s="143"/>
      <c r="P20" s="143"/>
      <c r="Q20" s="143"/>
      <c r="R20" s="143"/>
      <c r="S20" s="143"/>
      <c r="T20" s="143"/>
      <c r="U20" s="143"/>
      <c r="V20" s="143"/>
      <c r="W20" s="143"/>
      <c r="X20" s="143"/>
      <c r="Y20" s="143"/>
      <c r="Z20" s="145"/>
      <c r="AA20" s="145"/>
      <c r="AB20" s="142"/>
    </row>
    <row r="21" spans="1:28" hidden="1" outlineLevel="1">
      <c r="A21" s="145">
        <f>DATE(B2,12,1)</f>
        <v>45627</v>
      </c>
      <c r="B21" s="342" t="s">
        <v>1886</v>
      </c>
      <c r="C21" s="342" t="s">
        <v>1886</v>
      </c>
      <c r="D21" s="342" t="e">
        <f t="shared" ref="D21:D171" si="0">B21+C21+D20</f>
        <v>#VALUE!</v>
      </c>
      <c r="F21" s="143"/>
      <c r="G21" s="145"/>
      <c r="H21" s="143"/>
      <c r="I21" s="143"/>
      <c r="J21" s="143"/>
      <c r="K21" s="342"/>
      <c r="L21" s="342"/>
      <c r="M21" s="143"/>
      <c r="N21" s="143"/>
      <c r="O21" s="143"/>
      <c r="P21" s="143"/>
      <c r="Q21" s="143"/>
      <c r="R21" s="143"/>
      <c r="S21" s="143"/>
      <c r="T21" s="143"/>
      <c r="U21" s="143"/>
      <c r="V21" s="143"/>
      <c r="W21" s="143"/>
      <c r="X21" s="143"/>
      <c r="Y21" s="143"/>
      <c r="Z21" s="145"/>
      <c r="AA21" s="261"/>
      <c r="AB21" s="142"/>
    </row>
    <row r="22" spans="1:28" hidden="1" outlineLevel="1">
      <c r="A22" s="145">
        <f t="shared" ref="A22:A171" si="1">A21+1</f>
        <v>45628</v>
      </c>
      <c r="B22" s="342" t="s">
        <v>1886</v>
      </c>
      <c r="C22" s="342" t="s">
        <v>1886</v>
      </c>
      <c r="D22" s="342" t="e">
        <f t="shared" si="0"/>
        <v>#VALUE!</v>
      </c>
      <c r="F22" s="143"/>
      <c r="G22" s="145"/>
      <c r="H22" s="143"/>
      <c r="I22" s="143"/>
      <c r="J22" s="143"/>
      <c r="K22" s="342"/>
      <c r="L22" s="342"/>
      <c r="M22" s="143"/>
      <c r="N22" s="143"/>
      <c r="O22" s="143"/>
      <c r="P22" s="143"/>
      <c r="Q22" s="143"/>
      <c r="R22" s="143"/>
      <c r="S22" s="143"/>
      <c r="T22" s="143"/>
      <c r="U22" s="143"/>
      <c r="V22" s="143"/>
      <c r="W22" s="143"/>
      <c r="X22" s="143"/>
      <c r="Y22" s="143"/>
      <c r="Z22" s="145"/>
      <c r="AA22" s="261"/>
      <c r="AB22" s="142"/>
    </row>
    <row r="23" spans="1:28" hidden="1" outlineLevel="1">
      <c r="A23" s="145">
        <f t="shared" si="1"/>
        <v>45629</v>
      </c>
      <c r="B23" s="342" t="s">
        <v>1886</v>
      </c>
      <c r="C23" s="342" t="s">
        <v>1886</v>
      </c>
      <c r="D23" s="342" t="e">
        <f t="shared" si="0"/>
        <v>#VALUE!</v>
      </c>
      <c r="F23" s="143"/>
      <c r="G23" s="145"/>
      <c r="H23" s="143"/>
      <c r="I23" s="143"/>
      <c r="J23" s="143"/>
      <c r="K23" s="342"/>
      <c r="L23" s="342"/>
      <c r="M23" s="143"/>
      <c r="N23" s="143"/>
      <c r="O23" s="143"/>
      <c r="P23" s="143"/>
      <c r="Q23" s="143"/>
      <c r="R23" s="143"/>
      <c r="S23" s="143"/>
      <c r="T23" s="143"/>
      <c r="U23" s="143"/>
      <c r="V23" s="143"/>
      <c r="W23" s="143"/>
      <c r="X23" s="143"/>
      <c r="Y23" s="143"/>
      <c r="Z23" s="145"/>
      <c r="AA23" s="261"/>
      <c r="AB23" s="142"/>
    </row>
    <row r="24" spans="1:28" hidden="1" outlineLevel="1">
      <c r="A24" s="145">
        <f t="shared" si="1"/>
        <v>45630</v>
      </c>
      <c r="B24" s="342" t="s">
        <v>1886</v>
      </c>
      <c r="C24" s="342" t="s">
        <v>1886</v>
      </c>
      <c r="D24" s="342" t="e">
        <f t="shared" si="0"/>
        <v>#VALUE!</v>
      </c>
      <c r="F24" s="143"/>
      <c r="G24" s="145"/>
      <c r="H24" s="143"/>
      <c r="I24" s="143"/>
      <c r="J24" s="143"/>
      <c r="K24" s="342"/>
      <c r="L24" s="342"/>
      <c r="M24" s="143"/>
      <c r="N24" s="143"/>
      <c r="O24" s="143"/>
      <c r="P24" s="143"/>
      <c r="Q24" s="143"/>
      <c r="R24" s="143"/>
      <c r="S24" s="143"/>
      <c r="T24" s="143"/>
      <c r="U24" s="143"/>
      <c r="V24" s="143"/>
      <c r="W24" s="143"/>
      <c r="X24" s="143"/>
      <c r="Y24" s="143"/>
      <c r="Z24" s="145"/>
      <c r="AA24" s="261"/>
      <c r="AB24" s="142"/>
    </row>
    <row r="25" spans="1:28" hidden="1" outlineLevel="1">
      <c r="A25" s="145">
        <f t="shared" si="1"/>
        <v>45631</v>
      </c>
      <c r="B25" s="342" t="s">
        <v>1886</v>
      </c>
      <c r="C25" s="342" t="s">
        <v>1886</v>
      </c>
      <c r="D25" s="342" t="e">
        <f t="shared" si="0"/>
        <v>#VALUE!</v>
      </c>
      <c r="F25" s="143"/>
      <c r="G25" s="145"/>
      <c r="H25" s="143"/>
      <c r="I25" s="143"/>
      <c r="J25" s="143"/>
      <c r="K25" s="342"/>
      <c r="L25" s="342"/>
      <c r="M25" s="143"/>
      <c r="N25" s="143"/>
      <c r="O25" s="143"/>
      <c r="P25" s="143"/>
      <c r="Q25" s="143"/>
      <c r="R25" s="143"/>
      <c r="S25" s="143"/>
      <c r="T25" s="143"/>
      <c r="U25" s="143"/>
      <c r="V25" s="143"/>
      <c r="W25" s="143"/>
      <c r="X25" s="143"/>
      <c r="Y25" s="143"/>
      <c r="Z25" s="145"/>
      <c r="AA25" s="261"/>
      <c r="AB25" s="142"/>
    </row>
    <row r="26" spans="1:28" hidden="1" outlineLevel="1">
      <c r="A26" s="145">
        <f t="shared" si="1"/>
        <v>45632</v>
      </c>
      <c r="B26" s="342" t="s">
        <v>1886</v>
      </c>
      <c r="C26" s="342" t="s">
        <v>1886</v>
      </c>
      <c r="D26" s="342" t="e">
        <f t="shared" si="0"/>
        <v>#VALUE!</v>
      </c>
      <c r="F26" s="143"/>
      <c r="G26" s="145"/>
      <c r="H26" s="143"/>
      <c r="I26" s="143"/>
      <c r="J26" s="143"/>
      <c r="K26" s="342"/>
      <c r="L26" s="342"/>
      <c r="M26" s="143"/>
      <c r="N26" s="143"/>
      <c r="O26" s="143"/>
      <c r="P26" s="143"/>
      <c r="Q26" s="143"/>
      <c r="R26" s="143"/>
      <c r="S26" s="143"/>
      <c r="T26" s="143"/>
      <c r="U26" s="143"/>
      <c r="V26" s="143"/>
      <c r="W26" s="143"/>
      <c r="X26" s="143"/>
      <c r="Y26" s="143"/>
      <c r="Z26" s="145"/>
      <c r="AA26" s="261"/>
      <c r="AB26" s="142"/>
    </row>
    <row r="27" spans="1:28" hidden="1" outlineLevel="1">
      <c r="A27" s="145">
        <f t="shared" si="1"/>
        <v>45633</v>
      </c>
      <c r="B27" s="342" t="s">
        <v>1886</v>
      </c>
      <c r="C27" s="342" t="s">
        <v>1886</v>
      </c>
      <c r="D27" s="342" t="e">
        <f t="shared" si="0"/>
        <v>#VALUE!</v>
      </c>
      <c r="F27" s="143"/>
      <c r="G27" s="145"/>
      <c r="H27" s="143"/>
      <c r="I27" s="143"/>
      <c r="J27" s="143"/>
      <c r="K27" s="342"/>
      <c r="L27" s="342"/>
      <c r="M27" s="143"/>
      <c r="N27" s="143"/>
      <c r="O27" s="143"/>
      <c r="P27" s="143"/>
      <c r="Q27" s="143"/>
      <c r="R27" s="143"/>
      <c r="S27" s="143"/>
      <c r="T27" s="143"/>
      <c r="U27" s="143"/>
      <c r="V27" s="143"/>
      <c r="W27" s="143"/>
      <c r="X27" s="143"/>
      <c r="Y27" s="143"/>
      <c r="Z27" s="145"/>
      <c r="AA27" s="261"/>
      <c r="AB27" s="142"/>
    </row>
    <row r="28" spans="1:28" hidden="1" outlineLevel="1">
      <c r="A28" s="145">
        <f t="shared" si="1"/>
        <v>45634</v>
      </c>
      <c r="B28" s="342" t="s">
        <v>1886</v>
      </c>
      <c r="C28" s="342" t="s">
        <v>1886</v>
      </c>
      <c r="D28" s="342" t="e">
        <f t="shared" si="0"/>
        <v>#VALUE!</v>
      </c>
      <c r="F28" s="143"/>
      <c r="G28" s="145"/>
      <c r="H28" s="143"/>
      <c r="I28" s="143"/>
      <c r="J28" s="143"/>
      <c r="K28" s="342"/>
      <c r="L28" s="342"/>
      <c r="M28" s="143"/>
      <c r="N28" s="143"/>
      <c r="O28" s="143"/>
      <c r="P28" s="143"/>
      <c r="Q28" s="143"/>
      <c r="R28" s="143"/>
      <c r="S28" s="143"/>
      <c r="T28" s="143"/>
      <c r="U28" s="143"/>
      <c r="V28" s="143"/>
      <c r="W28" s="143"/>
      <c r="X28" s="143"/>
      <c r="Y28" s="143"/>
      <c r="Z28" s="145"/>
      <c r="AA28" s="261"/>
      <c r="AB28" s="142"/>
    </row>
    <row r="29" spans="1:28" hidden="1" outlineLevel="1">
      <c r="A29" s="145">
        <f t="shared" si="1"/>
        <v>45635</v>
      </c>
      <c r="B29" s="342" t="s">
        <v>1886</v>
      </c>
      <c r="C29" s="342" t="s">
        <v>1886</v>
      </c>
      <c r="D29" s="342" t="e">
        <f t="shared" si="0"/>
        <v>#VALUE!</v>
      </c>
      <c r="F29" s="143"/>
      <c r="G29" s="145"/>
      <c r="H29" s="143"/>
      <c r="I29" s="143"/>
      <c r="J29" s="143"/>
      <c r="K29" s="342"/>
      <c r="L29" s="342"/>
      <c r="M29" s="143"/>
      <c r="N29" s="143"/>
      <c r="O29" s="143"/>
      <c r="P29" s="143"/>
      <c r="Q29" s="143"/>
      <c r="R29" s="143"/>
      <c r="S29" s="143"/>
      <c r="T29" s="143"/>
      <c r="U29" s="143"/>
      <c r="V29" s="143"/>
      <c r="W29" s="143"/>
      <c r="X29" s="143"/>
      <c r="Y29" s="143"/>
      <c r="Z29" s="145"/>
      <c r="AA29" s="261"/>
      <c r="AB29" s="142"/>
    </row>
    <row r="30" spans="1:28" hidden="1" outlineLevel="1">
      <c r="A30" s="145">
        <f t="shared" si="1"/>
        <v>45636</v>
      </c>
      <c r="B30" s="342" t="s">
        <v>1886</v>
      </c>
      <c r="C30" s="342" t="s">
        <v>1886</v>
      </c>
      <c r="D30" s="342" t="e">
        <f t="shared" si="0"/>
        <v>#VALUE!</v>
      </c>
      <c r="F30" s="143"/>
      <c r="G30" s="145"/>
      <c r="H30" s="143"/>
      <c r="I30" s="143"/>
      <c r="J30" s="143"/>
      <c r="K30" s="342"/>
      <c r="L30" s="342"/>
      <c r="M30" s="143"/>
      <c r="N30" s="143"/>
      <c r="O30" s="143"/>
      <c r="P30" s="143"/>
      <c r="Q30" s="143"/>
      <c r="R30" s="143"/>
      <c r="S30" s="143"/>
      <c r="T30" s="143"/>
      <c r="U30" s="143"/>
      <c r="V30" s="143"/>
      <c r="W30" s="143"/>
      <c r="X30" s="143"/>
      <c r="Y30" s="143"/>
      <c r="Z30" s="145"/>
      <c r="AA30" s="261"/>
      <c r="AB30" s="142"/>
    </row>
    <row r="31" spans="1:28" hidden="1" outlineLevel="1">
      <c r="A31" s="145">
        <f t="shared" si="1"/>
        <v>45637</v>
      </c>
      <c r="B31" s="342" t="s">
        <v>1886</v>
      </c>
      <c r="C31" s="342" t="s">
        <v>1886</v>
      </c>
      <c r="D31" s="342" t="e">
        <f t="shared" si="0"/>
        <v>#VALUE!</v>
      </c>
      <c r="F31" s="143"/>
      <c r="G31" s="145"/>
      <c r="H31" s="143"/>
      <c r="I31" s="143"/>
      <c r="J31" s="143"/>
      <c r="K31" s="342"/>
      <c r="L31" s="342"/>
      <c r="M31" s="143"/>
      <c r="N31" s="143"/>
      <c r="O31" s="143"/>
      <c r="P31" s="143"/>
      <c r="Q31" s="143"/>
      <c r="R31" s="143"/>
      <c r="S31" s="143"/>
      <c r="T31" s="143"/>
      <c r="U31" s="143"/>
      <c r="V31" s="143"/>
      <c r="W31" s="143"/>
      <c r="X31" s="143"/>
      <c r="Y31" s="143"/>
      <c r="Z31" s="145"/>
      <c r="AA31" s="261"/>
      <c r="AB31" s="142"/>
    </row>
    <row r="32" spans="1:28" hidden="1" outlineLevel="1">
      <c r="A32" s="145">
        <f t="shared" si="1"/>
        <v>45638</v>
      </c>
      <c r="B32" s="342" t="s">
        <v>1886</v>
      </c>
      <c r="C32" s="342" t="s">
        <v>1886</v>
      </c>
      <c r="D32" s="342" t="e">
        <f t="shared" si="0"/>
        <v>#VALUE!</v>
      </c>
      <c r="F32" s="143"/>
      <c r="G32" s="145"/>
      <c r="H32" s="143"/>
      <c r="I32" s="143"/>
      <c r="J32" s="143"/>
      <c r="K32" s="342"/>
      <c r="L32" s="342"/>
      <c r="M32" s="143"/>
      <c r="N32" s="143"/>
      <c r="O32" s="143"/>
      <c r="P32" s="143"/>
      <c r="Q32" s="143"/>
      <c r="R32" s="143"/>
      <c r="S32" s="143"/>
      <c r="T32" s="143"/>
      <c r="U32" s="143"/>
      <c r="V32" s="143"/>
      <c r="W32" s="143"/>
      <c r="X32" s="143"/>
      <c r="Y32" s="143"/>
      <c r="Z32" s="145"/>
      <c r="AA32" s="261"/>
      <c r="AB32" s="142"/>
    </row>
    <row r="33" spans="1:28" hidden="1" outlineLevel="1">
      <c r="A33" s="145">
        <f t="shared" si="1"/>
        <v>45639</v>
      </c>
      <c r="B33" s="342" t="s">
        <v>1886</v>
      </c>
      <c r="C33" s="342" t="s">
        <v>1886</v>
      </c>
      <c r="D33" s="342" t="e">
        <f t="shared" si="0"/>
        <v>#VALUE!</v>
      </c>
      <c r="F33" s="143"/>
      <c r="G33" s="145"/>
      <c r="H33" s="143"/>
      <c r="I33" s="143"/>
      <c r="J33" s="143"/>
      <c r="K33" s="342"/>
      <c r="L33" s="342"/>
      <c r="M33" s="143"/>
      <c r="N33" s="143"/>
      <c r="O33" s="143"/>
      <c r="P33" s="143"/>
      <c r="Q33" s="143"/>
      <c r="R33" s="143"/>
      <c r="S33" s="143"/>
      <c r="T33" s="143"/>
      <c r="U33" s="143"/>
      <c r="V33" s="143"/>
      <c r="W33" s="143"/>
      <c r="X33" s="143"/>
      <c r="Y33" s="143"/>
      <c r="Z33" s="145"/>
      <c r="AA33" s="261"/>
      <c r="AB33" s="142"/>
    </row>
    <row r="34" spans="1:28" hidden="1" outlineLevel="1">
      <c r="A34" s="145">
        <f t="shared" si="1"/>
        <v>45640</v>
      </c>
      <c r="B34" s="342" t="s">
        <v>1886</v>
      </c>
      <c r="C34" s="342" t="s">
        <v>1886</v>
      </c>
      <c r="D34" s="342" t="e">
        <f t="shared" si="0"/>
        <v>#VALUE!</v>
      </c>
      <c r="F34" s="143"/>
      <c r="G34" s="145"/>
      <c r="H34" s="143"/>
      <c r="I34" s="143"/>
      <c r="J34" s="143"/>
      <c r="K34" s="342"/>
      <c r="L34" s="342"/>
      <c r="M34" s="143"/>
      <c r="N34" s="143"/>
      <c r="O34" s="143"/>
      <c r="P34" s="143"/>
      <c r="Q34" s="143"/>
      <c r="R34" s="143"/>
      <c r="S34" s="143"/>
      <c r="T34" s="143"/>
      <c r="U34" s="143"/>
      <c r="V34" s="143"/>
      <c r="W34" s="143"/>
      <c r="X34" s="143"/>
      <c r="Y34" s="143"/>
      <c r="Z34" s="145"/>
      <c r="AA34" s="145"/>
      <c r="AB34" s="142"/>
    </row>
    <row r="35" spans="1:28" hidden="1" outlineLevel="1">
      <c r="A35" s="145">
        <f t="shared" si="1"/>
        <v>45641</v>
      </c>
      <c r="B35" s="342" t="s">
        <v>1886</v>
      </c>
      <c r="C35" s="342" t="s">
        <v>1886</v>
      </c>
      <c r="D35" s="342" t="e">
        <f t="shared" si="0"/>
        <v>#VALUE!</v>
      </c>
      <c r="F35" s="143"/>
      <c r="G35" s="145"/>
      <c r="H35" s="143"/>
      <c r="I35" s="143"/>
      <c r="J35" s="143"/>
      <c r="K35" s="342"/>
      <c r="L35" s="342"/>
      <c r="M35" s="143"/>
      <c r="N35" s="143"/>
      <c r="O35" s="143"/>
      <c r="P35" s="143"/>
      <c r="Q35" s="143"/>
      <c r="R35" s="143"/>
      <c r="S35" s="143"/>
      <c r="T35" s="143"/>
      <c r="U35" s="143"/>
      <c r="V35" s="143"/>
      <c r="W35" s="143"/>
      <c r="X35" s="143"/>
      <c r="Y35" s="143"/>
      <c r="Z35" s="145"/>
      <c r="AA35" s="145"/>
      <c r="AB35" s="142"/>
    </row>
    <row r="36" spans="1:28" hidden="1" outlineLevel="1">
      <c r="A36" s="145">
        <f t="shared" si="1"/>
        <v>45642</v>
      </c>
      <c r="B36" s="342" t="s">
        <v>1886</v>
      </c>
      <c r="C36" s="342" t="s">
        <v>1886</v>
      </c>
      <c r="D36" s="342" t="e">
        <f t="shared" si="0"/>
        <v>#VALUE!</v>
      </c>
      <c r="F36" s="143"/>
      <c r="G36" s="145"/>
      <c r="H36" s="143"/>
      <c r="I36" s="143"/>
      <c r="J36" s="143"/>
      <c r="K36" s="342"/>
      <c r="L36" s="342"/>
      <c r="M36" s="143"/>
      <c r="N36" s="143"/>
      <c r="O36" s="143"/>
      <c r="P36" s="143"/>
      <c r="Q36" s="143"/>
      <c r="R36" s="143"/>
      <c r="S36" s="143"/>
      <c r="T36" s="143"/>
      <c r="U36" s="143"/>
      <c r="V36" s="143"/>
      <c r="W36" s="143"/>
      <c r="X36" s="143"/>
      <c r="Y36" s="143"/>
      <c r="Z36" s="145"/>
      <c r="AA36" s="145"/>
      <c r="AB36" s="142"/>
    </row>
    <row r="37" spans="1:28" hidden="1" outlineLevel="1">
      <c r="A37" s="145">
        <f t="shared" si="1"/>
        <v>45643</v>
      </c>
      <c r="B37" s="342" t="s">
        <v>1886</v>
      </c>
      <c r="C37" s="342" t="s">
        <v>1886</v>
      </c>
      <c r="D37" s="342" t="e">
        <f t="shared" si="0"/>
        <v>#VALUE!</v>
      </c>
      <c r="F37" s="143"/>
      <c r="G37" s="145"/>
      <c r="H37" s="143"/>
      <c r="I37" s="143"/>
      <c r="J37" s="143"/>
      <c r="K37" s="342"/>
      <c r="L37" s="342"/>
      <c r="M37" s="143"/>
      <c r="N37" s="143"/>
      <c r="O37" s="143"/>
      <c r="P37" s="143"/>
      <c r="Q37" s="143"/>
      <c r="R37" s="143"/>
      <c r="S37" s="143"/>
      <c r="T37" s="143"/>
      <c r="U37" s="143"/>
      <c r="V37" s="143"/>
      <c r="W37" s="143"/>
      <c r="X37" s="143"/>
      <c r="Y37" s="143"/>
      <c r="Z37" s="145"/>
      <c r="AA37" s="261"/>
      <c r="AB37" s="142"/>
    </row>
    <row r="38" spans="1:28" hidden="1" outlineLevel="1">
      <c r="A38" s="145">
        <f t="shared" si="1"/>
        <v>45644</v>
      </c>
      <c r="B38" s="342" t="s">
        <v>1886</v>
      </c>
      <c r="C38" s="342" t="s">
        <v>1886</v>
      </c>
      <c r="D38" s="342" t="e">
        <f t="shared" si="0"/>
        <v>#VALUE!</v>
      </c>
      <c r="F38" s="143"/>
      <c r="G38" s="145"/>
      <c r="H38" s="143"/>
      <c r="I38" s="143"/>
      <c r="J38" s="143"/>
      <c r="K38" s="342"/>
      <c r="L38" s="342"/>
      <c r="M38" s="143"/>
      <c r="N38" s="143"/>
      <c r="O38" s="143"/>
      <c r="P38" s="143"/>
      <c r="Q38" s="143"/>
      <c r="R38" s="143"/>
      <c r="S38" s="143"/>
      <c r="T38" s="143"/>
      <c r="U38" s="143"/>
      <c r="V38" s="143"/>
      <c r="W38" s="143"/>
      <c r="X38" s="143"/>
      <c r="Y38" s="143"/>
      <c r="Z38" s="145"/>
      <c r="AA38" s="145"/>
      <c r="AB38" s="142"/>
    </row>
    <row r="39" spans="1:28" hidden="1" outlineLevel="1">
      <c r="A39" s="145">
        <f t="shared" si="1"/>
        <v>45645</v>
      </c>
      <c r="B39" s="342" t="s">
        <v>1886</v>
      </c>
      <c r="C39" s="342" t="s">
        <v>1886</v>
      </c>
      <c r="D39" s="342" t="e">
        <f t="shared" si="0"/>
        <v>#VALUE!</v>
      </c>
      <c r="F39" s="143"/>
      <c r="G39" s="145"/>
      <c r="H39" s="143"/>
      <c r="I39" s="143"/>
      <c r="J39" s="143"/>
      <c r="K39" s="342"/>
      <c r="L39" s="342"/>
      <c r="M39" s="143"/>
      <c r="N39" s="143"/>
      <c r="O39" s="143"/>
      <c r="P39" s="143"/>
      <c r="Q39" s="143"/>
      <c r="R39" s="143"/>
      <c r="S39" s="143"/>
      <c r="T39" s="143"/>
      <c r="U39" s="143"/>
      <c r="V39" s="143"/>
      <c r="W39" s="143"/>
      <c r="X39" s="143"/>
      <c r="Y39" s="143"/>
      <c r="Z39" s="145"/>
      <c r="AA39" s="145"/>
      <c r="AB39" s="142"/>
    </row>
    <row r="40" spans="1:28" hidden="1" outlineLevel="1">
      <c r="A40" s="145">
        <f t="shared" si="1"/>
        <v>45646</v>
      </c>
      <c r="B40" s="342" t="s">
        <v>1886</v>
      </c>
      <c r="C40" s="342" t="s">
        <v>1886</v>
      </c>
      <c r="D40" s="342" t="e">
        <f t="shared" si="0"/>
        <v>#VALUE!</v>
      </c>
      <c r="F40" s="143"/>
      <c r="G40" s="145"/>
      <c r="H40" s="143"/>
      <c r="I40" s="143"/>
      <c r="J40" s="143"/>
      <c r="K40" s="342"/>
      <c r="L40" s="342"/>
      <c r="M40" s="143"/>
      <c r="N40" s="143"/>
      <c r="O40" s="143"/>
      <c r="P40" s="143"/>
      <c r="Q40" s="143"/>
      <c r="R40" s="143"/>
      <c r="S40" s="143"/>
      <c r="T40" s="143"/>
      <c r="U40" s="143"/>
      <c r="V40" s="143"/>
      <c r="W40" s="143"/>
      <c r="X40" s="143"/>
      <c r="Y40" s="143"/>
      <c r="Z40" s="145"/>
      <c r="AA40" s="261"/>
      <c r="AB40" s="142"/>
    </row>
    <row r="41" spans="1:28" hidden="1" outlineLevel="1">
      <c r="A41" s="145">
        <f t="shared" si="1"/>
        <v>45647</v>
      </c>
      <c r="B41" s="342" t="s">
        <v>1886</v>
      </c>
      <c r="C41" s="342" t="s">
        <v>1886</v>
      </c>
      <c r="D41" s="342" t="e">
        <f t="shared" si="0"/>
        <v>#VALUE!</v>
      </c>
      <c r="F41" s="143"/>
      <c r="G41" s="145"/>
      <c r="H41" s="143"/>
      <c r="I41" s="143"/>
      <c r="J41" s="143"/>
      <c r="K41" s="342"/>
      <c r="L41" s="342"/>
      <c r="M41" s="143"/>
      <c r="N41" s="143"/>
      <c r="O41" s="143"/>
      <c r="P41" s="143"/>
      <c r="Q41" s="143"/>
      <c r="R41" s="143"/>
      <c r="S41" s="143"/>
      <c r="T41" s="143"/>
      <c r="U41" s="143"/>
      <c r="V41" s="143"/>
      <c r="W41" s="143"/>
      <c r="X41" s="143"/>
      <c r="Y41" s="143"/>
      <c r="Z41" s="145"/>
      <c r="AA41" s="261"/>
      <c r="AB41" s="142"/>
    </row>
    <row r="42" spans="1:28" hidden="1" outlineLevel="1">
      <c r="A42" s="145">
        <f t="shared" si="1"/>
        <v>45648</v>
      </c>
      <c r="B42" s="342" t="s">
        <v>1886</v>
      </c>
      <c r="C42" s="342" t="s">
        <v>1886</v>
      </c>
      <c r="D42" s="342" t="e">
        <f t="shared" si="0"/>
        <v>#VALUE!</v>
      </c>
      <c r="F42" s="143"/>
      <c r="G42" s="145"/>
      <c r="H42" s="143"/>
      <c r="I42" s="143"/>
      <c r="J42" s="143"/>
      <c r="K42" s="342"/>
      <c r="L42" s="342"/>
      <c r="M42" s="143"/>
      <c r="N42" s="143"/>
      <c r="O42" s="143"/>
      <c r="P42" s="143"/>
      <c r="Q42" s="143"/>
      <c r="R42" s="143"/>
      <c r="S42" s="143"/>
      <c r="T42" s="143"/>
      <c r="U42" s="143"/>
      <c r="V42" s="143"/>
      <c r="W42" s="143"/>
      <c r="X42" s="143"/>
      <c r="Y42" s="143"/>
      <c r="Z42" s="145"/>
      <c r="AA42" s="145"/>
      <c r="AB42" s="142"/>
    </row>
    <row r="43" spans="1:28" hidden="1" outlineLevel="1">
      <c r="A43" s="145">
        <f t="shared" si="1"/>
        <v>45649</v>
      </c>
      <c r="B43" s="342" t="s">
        <v>1886</v>
      </c>
      <c r="C43" s="342" t="s">
        <v>1886</v>
      </c>
      <c r="D43" s="342" t="e">
        <f t="shared" si="0"/>
        <v>#VALUE!</v>
      </c>
      <c r="F43" s="143"/>
      <c r="G43" s="145"/>
      <c r="H43" s="143"/>
      <c r="I43" s="143"/>
      <c r="J43" s="143"/>
      <c r="K43" s="342"/>
      <c r="L43" s="342"/>
      <c r="M43" s="143"/>
      <c r="N43" s="143"/>
      <c r="O43" s="143"/>
      <c r="P43" s="143"/>
      <c r="Q43" s="143"/>
      <c r="R43" s="143"/>
      <c r="S43" s="143"/>
      <c r="T43" s="143"/>
      <c r="U43" s="143"/>
      <c r="V43" s="143"/>
      <c r="W43" s="143"/>
      <c r="X43" s="143"/>
      <c r="Y43" s="143"/>
      <c r="Z43" s="145"/>
      <c r="AA43" s="261"/>
      <c r="AB43" s="142"/>
    </row>
    <row r="44" spans="1:28" hidden="1" outlineLevel="1">
      <c r="A44" s="145">
        <f t="shared" si="1"/>
        <v>45650</v>
      </c>
      <c r="B44" s="342" t="s">
        <v>1886</v>
      </c>
      <c r="C44" s="342" t="s">
        <v>1886</v>
      </c>
      <c r="D44" s="342" t="e">
        <f t="shared" si="0"/>
        <v>#VALUE!</v>
      </c>
      <c r="F44" s="143"/>
      <c r="G44" s="145"/>
      <c r="H44" s="143"/>
      <c r="I44" s="143"/>
      <c r="J44" s="143"/>
      <c r="K44" s="342"/>
      <c r="L44" s="342"/>
      <c r="M44" s="143"/>
      <c r="N44" s="143"/>
      <c r="O44" s="143"/>
      <c r="P44" s="143"/>
      <c r="Q44" s="143"/>
      <c r="R44" s="143"/>
      <c r="S44" s="143"/>
      <c r="T44" s="143"/>
      <c r="U44" s="143"/>
      <c r="V44" s="143"/>
      <c r="W44" s="143"/>
      <c r="X44" s="143"/>
      <c r="Y44" s="143"/>
      <c r="Z44" s="145"/>
      <c r="AA44" s="261"/>
      <c r="AB44" s="142"/>
    </row>
    <row r="45" spans="1:28" hidden="1" outlineLevel="1">
      <c r="A45" s="145">
        <f t="shared" si="1"/>
        <v>45651</v>
      </c>
      <c r="B45" s="342" t="s">
        <v>1886</v>
      </c>
      <c r="C45" s="342" t="s">
        <v>1886</v>
      </c>
      <c r="D45" s="342" t="e">
        <f t="shared" si="0"/>
        <v>#VALUE!</v>
      </c>
      <c r="F45" s="143"/>
      <c r="G45" s="145"/>
      <c r="H45" s="143"/>
      <c r="I45" s="143"/>
      <c r="J45" s="143"/>
      <c r="K45" s="342"/>
      <c r="L45" s="342"/>
      <c r="M45" s="143"/>
      <c r="N45" s="143"/>
      <c r="O45" s="143"/>
      <c r="P45" s="143"/>
      <c r="Q45" s="143"/>
      <c r="R45" s="143"/>
      <c r="S45" s="143"/>
      <c r="T45" s="143"/>
      <c r="U45" s="143"/>
      <c r="V45" s="143"/>
      <c r="W45" s="143"/>
      <c r="X45" s="143"/>
      <c r="Y45" s="143"/>
      <c r="Z45" s="145"/>
      <c r="AA45" s="261"/>
      <c r="AB45" s="142"/>
    </row>
    <row r="46" spans="1:28" hidden="1" outlineLevel="1">
      <c r="A46" s="145">
        <f t="shared" si="1"/>
        <v>45652</v>
      </c>
      <c r="B46" s="342" t="s">
        <v>1886</v>
      </c>
      <c r="C46" s="342" t="s">
        <v>1886</v>
      </c>
      <c r="D46" s="342" t="e">
        <f t="shared" si="0"/>
        <v>#VALUE!</v>
      </c>
      <c r="F46" s="143"/>
      <c r="G46" s="145"/>
      <c r="H46" s="143"/>
      <c r="I46" s="143"/>
      <c r="J46" s="143"/>
      <c r="K46" s="342"/>
      <c r="L46" s="342"/>
      <c r="M46" s="143"/>
      <c r="N46" s="143"/>
      <c r="O46" s="143"/>
      <c r="P46" s="143"/>
      <c r="Q46" s="143"/>
      <c r="R46" s="143"/>
      <c r="S46" s="143"/>
      <c r="T46" s="143"/>
      <c r="U46" s="143"/>
      <c r="V46" s="143"/>
      <c r="W46" s="143"/>
      <c r="X46" s="143"/>
      <c r="Y46" s="143"/>
      <c r="Z46" s="145"/>
      <c r="AA46" s="261"/>
      <c r="AB46" s="142"/>
    </row>
    <row r="47" spans="1:28" hidden="1" outlineLevel="1">
      <c r="A47" s="145">
        <f t="shared" si="1"/>
        <v>45653</v>
      </c>
      <c r="B47" s="342" t="s">
        <v>1886</v>
      </c>
      <c r="C47" s="342" t="s">
        <v>1886</v>
      </c>
      <c r="D47" s="342" t="e">
        <f t="shared" si="0"/>
        <v>#VALUE!</v>
      </c>
      <c r="F47" s="143"/>
      <c r="G47" s="145"/>
      <c r="H47" s="143"/>
      <c r="I47" s="143"/>
      <c r="J47" s="143"/>
      <c r="K47" s="342"/>
      <c r="L47" s="342"/>
      <c r="M47" s="143"/>
      <c r="N47" s="143"/>
      <c r="O47" s="143"/>
      <c r="P47" s="143"/>
      <c r="Q47" s="143"/>
      <c r="R47" s="143"/>
      <c r="S47" s="143"/>
      <c r="T47" s="143"/>
      <c r="U47" s="143"/>
      <c r="V47" s="143"/>
      <c r="W47" s="143"/>
      <c r="X47" s="143"/>
      <c r="Y47" s="143"/>
      <c r="Z47" s="145"/>
      <c r="AA47" s="261"/>
      <c r="AB47" s="142"/>
    </row>
    <row r="48" spans="1:28" hidden="1" outlineLevel="1">
      <c r="A48" s="145">
        <f t="shared" si="1"/>
        <v>45654</v>
      </c>
      <c r="B48" s="342" t="s">
        <v>1886</v>
      </c>
      <c r="C48" s="342" t="s">
        <v>1886</v>
      </c>
      <c r="D48" s="342" t="e">
        <f t="shared" si="0"/>
        <v>#VALUE!</v>
      </c>
      <c r="F48" s="143"/>
      <c r="G48" s="145"/>
      <c r="H48" s="143"/>
      <c r="I48" s="143"/>
      <c r="J48" s="143"/>
      <c r="K48" s="342"/>
      <c r="L48" s="342"/>
      <c r="M48" s="143"/>
      <c r="N48" s="143"/>
      <c r="O48" s="143"/>
      <c r="P48" s="143"/>
      <c r="Q48" s="143"/>
      <c r="R48" s="143"/>
      <c r="S48" s="143"/>
      <c r="T48" s="143"/>
      <c r="U48" s="143"/>
      <c r="V48" s="143"/>
      <c r="W48" s="143"/>
      <c r="X48" s="143"/>
      <c r="Y48" s="143"/>
      <c r="Z48" s="145"/>
      <c r="AA48" s="261"/>
      <c r="AB48" s="142"/>
    </row>
    <row r="49" spans="1:28" hidden="1" outlineLevel="1">
      <c r="A49" s="145">
        <f t="shared" si="1"/>
        <v>45655</v>
      </c>
      <c r="B49" s="342" t="s">
        <v>1886</v>
      </c>
      <c r="C49" s="342" t="s">
        <v>1886</v>
      </c>
      <c r="D49" s="342" t="e">
        <f t="shared" si="0"/>
        <v>#VALUE!</v>
      </c>
      <c r="F49" s="143"/>
      <c r="G49" s="145"/>
      <c r="H49" s="143"/>
      <c r="I49" s="143"/>
      <c r="J49" s="143"/>
      <c r="K49" s="342"/>
      <c r="L49" s="342"/>
      <c r="M49" s="143"/>
      <c r="N49" s="143"/>
      <c r="O49" s="143"/>
      <c r="P49" s="143"/>
      <c r="Q49" s="143"/>
      <c r="R49" s="143"/>
      <c r="S49" s="143"/>
      <c r="T49" s="143"/>
      <c r="U49" s="143"/>
      <c r="V49" s="143"/>
      <c r="W49" s="143"/>
      <c r="X49" s="143"/>
      <c r="Y49" s="143"/>
      <c r="Z49" s="145"/>
      <c r="AA49" s="261"/>
      <c r="AB49" s="142"/>
    </row>
    <row r="50" spans="1:28" hidden="1" outlineLevel="1">
      <c r="A50" s="145">
        <f t="shared" si="1"/>
        <v>45656</v>
      </c>
      <c r="B50" s="342" t="s">
        <v>1886</v>
      </c>
      <c r="C50" s="342" t="s">
        <v>1886</v>
      </c>
      <c r="D50" s="342" t="e">
        <f t="shared" si="0"/>
        <v>#VALUE!</v>
      </c>
      <c r="F50" s="143"/>
      <c r="G50" s="145"/>
      <c r="H50" s="143"/>
      <c r="I50" s="143"/>
      <c r="J50" s="143"/>
      <c r="K50" s="342"/>
      <c r="L50" s="342"/>
      <c r="M50" s="143"/>
      <c r="N50" s="143"/>
      <c r="O50" s="143"/>
      <c r="P50" s="143"/>
      <c r="Q50" s="143"/>
      <c r="R50" s="143"/>
      <c r="S50" s="143"/>
      <c r="T50" s="143"/>
      <c r="U50" s="143"/>
      <c r="V50" s="143"/>
      <c r="W50" s="143"/>
      <c r="X50" s="143"/>
      <c r="Y50" s="143"/>
      <c r="Z50" s="145"/>
      <c r="AA50" s="261"/>
      <c r="AB50" s="142"/>
    </row>
    <row r="51" spans="1:28" hidden="1" outlineLevel="1">
      <c r="A51" s="145">
        <f t="shared" si="1"/>
        <v>45657</v>
      </c>
      <c r="B51" s="342" t="s">
        <v>1886</v>
      </c>
      <c r="C51" s="342" t="s">
        <v>1886</v>
      </c>
      <c r="D51" s="342" t="e">
        <f t="shared" si="0"/>
        <v>#VALUE!</v>
      </c>
      <c r="F51" s="143"/>
      <c r="G51" s="145"/>
      <c r="H51" s="143"/>
      <c r="I51" s="143"/>
      <c r="J51" s="143"/>
      <c r="K51" s="342"/>
      <c r="L51" s="342"/>
      <c r="M51" s="143"/>
      <c r="N51" s="143"/>
      <c r="O51" s="143"/>
      <c r="P51" s="143"/>
      <c r="Q51" s="143"/>
      <c r="R51" s="143"/>
      <c r="S51" s="143"/>
      <c r="T51" s="143"/>
      <c r="U51" s="143"/>
      <c r="V51" s="143"/>
      <c r="W51" s="143"/>
      <c r="X51" s="143"/>
      <c r="Y51" s="143"/>
      <c r="Z51" s="145"/>
      <c r="AA51" s="261"/>
      <c r="AB51" s="142"/>
    </row>
    <row r="52" spans="1:28" hidden="1" outlineLevel="1">
      <c r="A52" s="145">
        <f t="shared" si="1"/>
        <v>45658</v>
      </c>
      <c r="B52" s="342" t="s">
        <v>1886</v>
      </c>
      <c r="C52" s="342" t="s">
        <v>1886</v>
      </c>
      <c r="D52" s="144" t="e">
        <f t="shared" si="0"/>
        <v>#VALUE!</v>
      </c>
      <c r="F52" s="143"/>
      <c r="G52" s="145"/>
      <c r="H52" s="143"/>
      <c r="I52" s="143"/>
      <c r="J52" s="143"/>
      <c r="K52" s="342"/>
      <c r="L52" s="342"/>
      <c r="M52" s="143"/>
      <c r="N52" s="143"/>
      <c r="O52" s="143"/>
      <c r="P52" s="143"/>
      <c r="Q52" s="143"/>
      <c r="R52" s="143"/>
      <c r="S52" s="143"/>
      <c r="T52" s="143"/>
      <c r="U52" s="143"/>
      <c r="V52" s="143"/>
      <c r="W52" s="143"/>
      <c r="X52" s="143"/>
      <c r="Y52" s="143"/>
      <c r="Z52" s="145"/>
      <c r="AA52" s="261"/>
      <c r="AB52" s="142"/>
    </row>
    <row r="53" spans="1:28" hidden="1" outlineLevel="1">
      <c r="A53" s="145">
        <f t="shared" si="1"/>
        <v>45659</v>
      </c>
      <c r="B53" s="342" t="s">
        <v>1886</v>
      </c>
      <c r="C53" s="342" t="s">
        <v>1886</v>
      </c>
      <c r="D53" s="342" t="e">
        <f t="shared" si="0"/>
        <v>#VALUE!</v>
      </c>
      <c r="F53" s="143"/>
      <c r="G53" s="145"/>
      <c r="H53" s="143"/>
      <c r="I53" s="143"/>
      <c r="J53" s="143"/>
      <c r="K53" s="342"/>
      <c r="L53" s="342"/>
      <c r="M53" s="143"/>
      <c r="N53" s="143"/>
      <c r="O53" s="143"/>
      <c r="P53" s="143"/>
      <c r="Q53" s="143"/>
      <c r="R53" s="143"/>
      <c r="S53" s="143"/>
      <c r="T53" s="143"/>
      <c r="U53" s="143"/>
      <c r="V53" s="143"/>
      <c r="W53" s="143"/>
      <c r="X53" s="143"/>
      <c r="Y53" s="143"/>
      <c r="Z53" s="145"/>
      <c r="AA53" s="261"/>
      <c r="AB53" s="142"/>
    </row>
    <row r="54" spans="1:28" hidden="1" outlineLevel="1">
      <c r="A54" s="145">
        <f t="shared" si="1"/>
        <v>45660</v>
      </c>
      <c r="B54" s="342" t="s">
        <v>1886</v>
      </c>
      <c r="C54" s="342" t="s">
        <v>1886</v>
      </c>
      <c r="D54" s="342" t="e">
        <f t="shared" si="0"/>
        <v>#VALUE!</v>
      </c>
      <c r="F54" s="143"/>
      <c r="G54" s="145"/>
      <c r="H54" s="143"/>
      <c r="I54" s="143"/>
      <c r="J54" s="143"/>
      <c r="K54" s="342"/>
      <c r="L54" s="342"/>
      <c r="M54" s="143"/>
      <c r="N54" s="143"/>
      <c r="O54" s="143"/>
      <c r="P54" s="143"/>
      <c r="Q54" s="143"/>
      <c r="R54" s="143"/>
      <c r="S54" s="143"/>
      <c r="T54" s="143"/>
      <c r="U54" s="143"/>
      <c r="V54" s="143"/>
      <c r="W54" s="143"/>
      <c r="X54" s="143"/>
      <c r="Y54" s="143"/>
      <c r="Z54" s="145"/>
      <c r="AA54" s="261"/>
      <c r="AB54" s="142"/>
    </row>
    <row r="55" spans="1:28" hidden="1" outlineLevel="1">
      <c r="A55" s="145">
        <f t="shared" si="1"/>
        <v>45661</v>
      </c>
      <c r="B55" s="342" t="s">
        <v>1886</v>
      </c>
      <c r="C55" s="342" t="s">
        <v>1886</v>
      </c>
      <c r="D55" s="342" t="e">
        <f t="shared" si="0"/>
        <v>#VALUE!</v>
      </c>
      <c r="F55" s="143"/>
      <c r="G55" s="145"/>
      <c r="H55" s="143"/>
      <c r="I55" s="143"/>
      <c r="J55" s="143"/>
      <c r="K55" s="342"/>
      <c r="L55" s="342"/>
      <c r="M55" s="143"/>
      <c r="N55" s="143"/>
      <c r="O55" s="143"/>
      <c r="P55" s="143"/>
      <c r="Q55" s="143"/>
      <c r="R55" s="143"/>
      <c r="S55" s="143"/>
      <c r="T55" s="143"/>
      <c r="U55" s="143"/>
      <c r="V55" s="143"/>
      <c r="W55" s="143"/>
      <c r="X55" s="143"/>
      <c r="Y55" s="143"/>
      <c r="Z55" s="145"/>
      <c r="AA55" s="261"/>
      <c r="AB55" s="142"/>
    </row>
    <row r="56" spans="1:28" hidden="1" outlineLevel="1">
      <c r="A56" s="145">
        <f t="shared" si="1"/>
        <v>45662</v>
      </c>
      <c r="B56" s="342" t="s">
        <v>1886</v>
      </c>
      <c r="C56" s="342" t="s">
        <v>1886</v>
      </c>
      <c r="D56" s="342" t="e">
        <f t="shared" si="0"/>
        <v>#VALUE!</v>
      </c>
      <c r="F56" s="143"/>
      <c r="G56" s="145"/>
      <c r="H56" s="143"/>
      <c r="I56" s="143"/>
      <c r="J56" s="143"/>
      <c r="K56" s="342"/>
      <c r="L56" s="342"/>
      <c r="M56" s="143"/>
      <c r="N56" s="143"/>
      <c r="O56" s="143"/>
      <c r="P56" s="143"/>
      <c r="Q56" s="143"/>
      <c r="R56" s="143"/>
      <c r="S56" s="143"/>
      <c r="T56" s="143"/>
      <c r="U56" s="143"/>
      <c r="V56" s="143"/>
      <c r="W56" s="143"/>
      <c r="X56" s="143"/>
      <c r="Y56" s="143"/>
      <c r="Z56" s="145"/>
      <c r="AA56" s="261"/>
      <c r="AB56" s="142"/>
    </row>
    <row r="57" spans="1:28" hidden="1" outlineLevel="1">
      <c r="A57" s="145">
        <f t="shared" si="1"/>
        <v>45663</v>
      </c>
      <c r="B57" s="342" t="s">
        <v>1886</v>
      </c>
      <c r="C57" s="342" t="s">
        <v>1886</v>
      </c>
      <c r="D57" s="342" t="e">
        <f t="shared" si="0"/>
        <v>#VALUE!</v>
      </c>
      <c r="F57" s="143"/>
      <c r="G57" s="145"/>
      <c r="H57" s="143"/>
      <c r="I57" s="143"/>
      <c r="J57" s="143"/>
      <c r="K57" s="342"/>
      <c r="L57" s="342"/>
      <c r="M57" s="143"/>
      <c r="N57" s="143"/>
      <c r="O57" s="143"/>
      <c r="P57" s="143"/>
      <c r="Q57" s="143"/>
      <c r="R57" s="143"/>
      <c r="S57" s="143"/>
      <c r="T57" s="143"/>
      <c r="U57" s="143"/>
      <c r="V57" s="143"/>
      <c r="W57" s="143"/>
      <c r="X57" s="143"/>
      <c r="Y57" s="143"/>
      <c r="Z57" s="145"/>
      <c r="AA57" s="261"/>
      <c r="AB57" s="142"/>
    </row>
    <row r="58" spans="1:28" hidden="1" outlineLevel="1">
      <c r="A58" s="145">
        <f t="shared" si="1"/>
        <v>45664</v>
      </c>
      <c r="B58" s="342" t="s">
        <v>1886</v>
      </c>
      <c r="C58" s="342" t="s">
        <v>1886</v>
      </c>
      <c r="D58" s="342" t="e">
        <f t="shared" si="0"/>
        <v>#VALUE!</v>
      </c>
      <c r="F58" s="143"/>
      <c r="G58" s="145"/>
      <c r="H58" s="143"/>
      <c r="I58" s="143"/>
      <c r="J58" s="143"/>
      <c r="K58" s="342"/>
      <c r="L58" s="342"/>
      <c r="M58" s="143"/>
      <c r="N58" s="143"/>
      <c r="O58" s="143"/>
      <c r="P58" s="143"/>
      <c r="Q58" s="143"/>
      <c r="R58" s="143"/>
      <c r="S58" s="143"/>
      <c r="T58" s="143"/>
      <c r="U58" s="143"/>
      <c r="V58" s="143"/>
      <c r="W58" s="143"/>
      <c r="X58" s="143"/>
      <c r="Y58" s="143"/>
      <c r="Z58" s="145"/>
      <c r="AA58" s="261"/>
      <c r="AB58" s="142"/>
    </row>
    <row r="59" spans="1:28" hidden="1" outlineLevel="1">
      <c r="A59" s="145">
        <f t="shared" si="1"/>
        <v>45665</v>
      </c>
      <c r="B59" s="342" t="s">
        <v>1886</v>
      </c>
      <c r="C59" s="342" t="s">
        <v>1886</v>
      </c>
      <c r="D59" s="342" t="e">
        <f t="shared" si="0"/>
        <v>#VALUE!</v>
      </c>
      <c r="F59" s="143"/>
      <c r="G59" s="145"/>
      <c r="H59" s="143"/>
      <c r="I59" s="143"/>
      <c r="J59" s="143"/>
      <c r="K59" s="342"/>
      <c r="L59" s="342"/>
      <c r="M59" s="143"/>
      <c r="N59" s="143"/>
      <c r="O59" s="143"/>
      <c r="P59" s="143"/>
      <c r="Q59" s="143"/>
      <c r="R59" s="143"/>
      <c r="S59" s="143"/>
      <c r="T59" s="143"/>
      <c r="U59" s="143"/>
      <c r="V59" s="143"/>
      <c r="W59" s="143"/>
      <c r="X59" s="143"/>
      <c r="Y59" s="143"/>
      <c r="Z59" s="145"/>
      <c r="AA59" s="261"/>
      <c r="AB59" s="142"/>
    </row>
    <row r="60" spans="1:28" hidden="1" outlineLevel="1">
      <c r="A60" s="145">
        <f t="shared" si="1"/>
        <v>45666</v>
      </c>
      <c r="B60" s="342" t="s">
        <v>1886</v>
      </c>
      <c r="C60" s="342" t="s">
        <v>1886</v>
      </c>
      <c r="D60" s="342" t="e">
        <f t="shared" si="0"/>
        <v>#VALUE!</v>
      </c>
      <c r="F60" s="143"/>
      <c r="G60" s="145"/>
      <c r="H60" s="143"/>
      <c r="I60" s="143"/>
      <c r="J60" s="143"/>
      <c r="K60" s="342"/>
      <c r="L60" s="342"/>
      <c r="M60" s="143"/>
      <c r="N60" s="143"/>
      <c r="O60" s="143"/>
      <c r="P60" s="143"/>
      <c r="Q60" s="143"/>
      <c r="R60" s="143"/>
      <c r="S60" s="143"/>
      <c r="T60" s="143"/>
      <c r="U60" s="143"/>
      <c r="V60" s="143"/>
      <c r="W60" s="143"/>
      <c r="X60" s="143"/>
      <c r="Y60" s="143"/>
      <c r="Z60" s="145"/>
      <c r="AA60" s="261"/>
      <c r="AB60" s="142"/>
    </row>
    <row r="61" spans="1:28" hidden="1" outlineLevel="1">
      <c r="A61" s="145">
        <f t="shared" si="1"/>
        <v>45667</v>
      </c>
      <c r="B61" s="342" t="s">
        <v>1886</v>
      </c>
      <c r="C61" s="342" t="s">
        <v>1886</v>
      </c>
      <c r="D61" s="342" t="e">
        <f t="shared" si="0"/>
        <v>#VALUE!</v>
      </c>
      <c r="F61" s="143"/>
      <c r="G61" s="145"/>
      <c r="H61" s="143"/>
      <c r="I61" s="143"/>
      <c r="J61" s="143"/>
      <c r="K61" s="342"/>
      <c r="L61" s="342"/>
      <c r="M61" s="143"/>
      <c r="N61" s="143"/>
      <c r="O61" s="143"/>
      <c r="P61" s="143"/>
      <c r="Q61" s="143"/>
      <c r="R61" s="143"/>
      <c r="S61" s="143"/>
      <c r="T61" s="143"/>
      <c r="U61" s="143"/>
      <c r="V61" s="143"/>
      <c r="W61" s="143"/>
      <c r="X61" s="143"/>
      <c r="Y61" s="143"/>
      <c r="Z61" s="145"/>
      <c r="AA61" s="261"/>
      <c r="AB61" s="142"/>
    </row>
    <row r="62" spans="1:28" hidden="1" outlineLevel="1">
      <c r="A62" s="145">
        <f t="shared" si="1"/>
        <v>45668</v>
      </c>
      <c r="B62" s="342" t="s">
        <v>1886</v>
      </c>
      <c r="C62" s="342" t="s">
        <v>1886</v>
      </c>
      <c r="D62" s="342" t="e">
        <f t="shared" si="0"/>
        <v>#VALUE!</v>
      </c>
      <c r="F62" s="143"/>
      <c r="G62" s="145"/>
      <c r="H62" s="143"/>
      <c r="I62" s="143"/>
      <c r="J62" s="143"/>
      <c r="K62" s="342"/>
      <c r="L62" s="342"/>
      <c r="M62" s="143"/>
      <c r="N62" s="143"/>
      <c r="O62" s="143"/>
      <c r="P62" s="143"/>
      <c r="Q62" s="143"/>
      <c r="R62" s="143"/>
      <c r="S62" s="143"/>
      <c r="T62" s="143"/>
      <c r="U62" s="143"/>
      <c r="V62" s="143"/>
      <c r="W62" s="143"/>
      <c r="X62" s="143"/>
      <c r="Y62" s="143"/>
      <c r="Z62" s="145"/>
      <c r="AA62" s="261"/>
      <c r="AB62" s="142"/>
    </row>
    <row r="63" spans="1:28" hidden="1" outlineLevel="1">
      <c r="A63" s="145">
        <f t="shared" si="1"/>
        <v>45669</v>
      </c>
      <c r="B63" s="342" t="s">
        <v>1886</v>
      </c>
      <c r="C63" s="342" t="s">
        <v>1886</v>
      </c>
      <c r="D63" s="342" t="e">
        <f t="shared" si="0"/>
        <v>#VALUE!</v>
      </c>
      <c r="F63" s="143"/>
      <c r="G63" s="145"/>
      <c r="H63" s="143"/>
      <c r="I63" s="143"/>
      <c r="J63" s="143"/>
      <c r="K63" s="342"/>
      <c r="L63" s="342"/>
      <c r="M63" s="143"/>
      <c r="N63" s="143"/>
      <c r="O63" s="143"/>
      <c r="P63" s="143"/>
      <c r="Q63" s="143"/>
      <c r="R63" s="143"/>
      <c r="S63" s="143"/>
      <c r="T63" s="143"/>
      <c r="U63" s="143"/>
      <c r="V63" s="143"/>
      <c r="W63" s="143"/>
      <c r="X63" s="143"/>
      <c r="Y63" s="143"/>
      <c r="Z63" s="145"/>
      <c r="AA63" s="261"/>
      <c r="AB63" s="142"/>
    </row>
    <row r="64" spans="1:28" hidden="1" outlineLevel="1">
      <c r="A64" s="145">
        <f t="shared" si="1"/>
        <v>45670</v>
      </c>
      <c r="B64" s="342" t="s">
        <v>1886</v>
      </c>
      <c r="C64" s="342" t="s">
        <v>1886</v>
      </c>
      <c r="D64" s="342" t="e">
        <f t="shared" si="0"/>
        <v>#VALUE!</v>
      </c>
      <c r="F64" s="143"/>
      <c r="G64" s="145"/>
      <c r="H64" s="143"/>
      <c r="I64" s="143"/>
      <c r="J64" s="143"/>
      <c r="K64" s="342"/>
      <c r="L64" s="342"/>
      <c r="M64" s="143"/>
      <c r="N64" s="143"/>
      <c r="O64" s="143"/>
      <c r="P64" s="143"/>
      <c r="Q64" s="143"/>
      <c r="R64" s="143"/>
      <c r="S64" s="143"/>
      <c r="T64" s="143"/>
      <c r="U64" s="143"/>
      <c r="V64" s="143"/>
      <c r="W64" s="143"/>
      <c r="X64" s="143"/>
      <c r="Y64" s="143"/>
      <c r="Z64" s="145"/>
      <c r="AA64" s="261"/>
      <c r="AB64" s="142"/>
    </row>
    <row r="65" spans="1:28" hidden="1" outlineLevel="1">
      <c r="A65" s="145">
        <f t="shared" si="1"/>
        <v>45671</v>
      </c>
      <c r="B65" s="342" t="s">
        <v>1886</v>
      </c>
      <c r="C65" s="342" t="s">
        <v>1886</v>
      </c>
      <c r="D65" s="342" t="e">
        <f t="shared" si="0"/>
        <v>#VALUE!</v>
      </c>
      <c r="F65" s="143"/>
      <c r="G65" s="145"/>
      <c r="H65" s="143"/>
      <c r="I65" s="143"/>
      <c r="J65" s="143"/>
      <c r="K65" s="342"/>
      <c r="L65" s="342"/>
      <c r="M65" s="143"/>
      <c r="N65" s="143"/>
      <c r="O65" s="143"/>
      <c r="P65" s="143"/>
      <c r="Q65" s="143"/>
      <c r="R65" s="143"/>
      <c r="S65" s="143"/>
      <c r="T65" s="143"/>
      <c r="U65" s="143"/>
      <c r="V65" s="143"/>
      <c r="W65" s="143"/>
      <c r="X65" s="143"/>
      <c r="Y65" s="143"/>
      <c r="Z65" s="145"/>
      <c r="AA65" s="261"/>
      <c r="AB65" s="142"/>
    </row>
    <row r="66" spans="1:28" hidden="1" outlineLevel="1">
      <c r="A66" s="145">
        <f t="shared" si="1"/>
        <v>45672</v>
      </c>
      <c r="B66" s="342" t="s">
        <v>1886</v>
      </c>
      <c r="C66" s="342" t="s">
        <v>1886</v>
      </c>
      <c r="D66" s="342" t="e">
        <f t="shared" si="0"/>
        <v>#VALUE!</v>
      </c>
      <c r="F66" s="143"/>
      <c r="G66" s="145"/>
      <c r="H66" s="143"/>
      <c r="I66" s="143"/>
      <c r="J66" s="143"/>
      <c r="K66" s="342"/>
      <c r="L66" s="342"/>
      <c r="M66" s="143"/>
      <c r="N66" s="143"/>
      <c r="O66" s="143"/>
      <c r="P66" s="143"/>
      <c r="Q66" s="143"/>
      <c r="R66" s="143"/>
      <c r="S66" s="143"/>
      <c r="T66" s="143"/>
      <c r="U66" s="143"/>
      <c r="V66" s="143"/>
      <c r="W66" s="143"/>
      <c r="X66" s="143"/>
      <c r="Y66" s="143"/>
      <c r="Z66" s="145"/>
      <c r="AA66" s="145"/>
      <c r="AB66" s="142"/>
    </row>
    <row r="67" spans="1:28" hidden="1" outlineLevel="1">
      <c r="A67" s="145">
        <f t="shared" si="1"/>
        <v>45673</v>
      </c>
      <c r="B67" s="342" t="s">
        <v>1886</v>
      </c>
      <c r="C67" s="342" t="s">
        <v>1886</v>
      </c>
      <c r="D67" s="342" t="e">
        <f t="shared" si="0"/>
        <v>#VALUE!</v>
      </c>
      <c r="F67" s="143"/>
      <c r="G67" s="145"/>
      <c r="H67" s="143"/>
      <c r="I67" s="143"/>
      <c r="J67" s="143"/>
      <c r="K67" s="342"/>
      <c r="L67" s="342"/>
      <c r="M67" s="143"/>
      <c r="N67" s="143"/>
      <c r="O67" s="143"/>
      <c r="P67" s="143"/>
      <c r="Q67" s="143"/>
      <c r="R67" s="143"/>
      <c r="S67" s="143"/>
      <c r="T67" s="143"/>
      <c r="U67" s="143"/>
      <c r="V67" s="143"/>
      <c r="W67" s="143"/>
      <c r="X67" s="143"/>
      <c r="Y67" s="143"/>
      <c r="Z67" s="145"/>
      <c r="AA67" s="145"/>
      <c r="AB67" s="142"/>
    </row>
    <row r="68" spans="1:28" hidden="1" outlineLevel="1">
      <c r="A68" s="145">
        <f t="shared" si="1"/>
        <v>45674</v>
      </c>
      <c r="B68" s="342" t="s">
        <v>1886</v>
      </c>
      <c r="C68" s="342" t="s">
        <v>1886</v>
      </c>
      <c r="D68" s="342" t="e">
        <f t="shared" si="0"/>
        <v>#VALUE!</v>
      </c>
      <c r="F68" s="143"/>
      <c r="G68" s="145"/>
      <c r="H68" s="143"/>
      <c r="I68" s="143"/>
      <c r="J68" s="143"/>
      <c r="K68" s="342"/>
      <c r="L68" s="342"/>
      <c r="M68" s="143"/>
      <c r="N68" s="143"/>
      <c r="O68" s="143"/>
      <c r="P68" s="143"/>
      <c r="Q68" s="143"/>
      <c r="R68" s="143"/>
      <c r="S68" s="143"/>
      <c r="T68" s="143"/>
      <c r="U68" s="143"/>
      <c r="V68" s="143"/>
      <c r="W68" s="143"/>
      <c r="X68" s="143"/>
      <c r="Y68" s="143"/>
      <c r="Z68" s="145"/>
      <c r="AA68" s="145"/>
      <c r="AB68" s="142"/>
    </row>
    <row r="69" spans="1:28" hidden="1" outlineLevel="1">
      <c r="A69" s="145">
        <f t="shared" si="1"/>
        <v>45675</v>
      </c>
      <c r="B69" s="342" t="s">
        <v>1886</v>
      </c>
      <c r="C69" s="342" t="s">
        <v>1886</v>
      </c>
      <c r="D69" s="342" t="e">
        <f t="shared" si="0"/>
        <v>#VALUE!</v>
      </c>
      <c r="F69" s="143"/>
      <c r="G69" s="145"/>
      <c r="H69" s="143"/>
      <c r="I69" s="143"/>
      <c r="J69" s="143"/>
      <c r="K69" s="342"/>
      <c r="L69" s="342"/>
      <c r="M69" s="143"/>
      <c r="N69" s="143"/>
      <c r="O69" s="143"/>
      <c r="P69" s="143"/>
      <c r="Q69" s="143"/>
      <c r="R69" s="143"/>
      <c r="S69" s="143"/>
      <c r="T69" s="143"/>
      <c r="U69" s="143"/>
      <c r="V69" s="143"/>
      <c r="W69" s="143"/>
      <c r="X69" s="143"/>
      <c r="Y69" s="143"/>
      <c r="Z69" s="145"/>
      <c r="AA69" s="145"/>
      <c r="AB69" s="142"/>
    </row>
    <row r="70" spans="1:28" hidden="1" outlineLevel="1">
      <c r="A70" s="145">
        <f t="shared" si="1"/>
        <v>45676</v>
      </c>
      <c r="B70" s="342" t="s">
        <v>1886</v>
      </c>
      <c r="C70" s="342" t="s">
        <v>1886</v>
      </c>
      <c r="D70" s="342" t="e">
        <f t="shared" si="0"/>
        <v>#VALUE!</v>
      </c>
      <c r="F70" s="143"/>
      <c r="G70" s="145"/>
      <c r="H70" s="143"/>
      <c r="I70" s="143"/>
      <c r="J70" s="143"/>
      <c r="K70" s="342"/>
      <c r="L70" s="342"/>
      <c r="M70" s="143"/>
      <c r="N70" s="143"/>
      <c r="O70" s="143"/>
      <c r="P70" s="143"/>
      <c r="Q70" s="143"/>
      <c r="R70" s="143"/>
      <c r="S70" s="143"/>
      <c r="T70" s="143"/>
      <c r="U70" s="143"/>
      <c r="V70" s="143"/>
      <c r="W70" s="143"/>
      <c r="X70" s="143"/>
      <c r="Y70" s="143"/>
      <c r="Z70" s="145"/>
      <c r="AA70" s="145"/>
      <c r="AB70" s="142"/>
    </row>
    <row r="71" spans="1:28" hidden="1" outlineLevel="1">
      <c r="A71" s="145">
        <f t="shared" si="1"/>
        <v>45677</v>
      </c>
      <c r="B71" s="342" t="s">
        <v>1886</v>
      </c>
      <c r="C71" s="342" t="s">
        <v>1886</v>
      </c>
      <c r="D71" s="342" t="e">
        <f t="shared" si="0"/>
        <v>#VALUE!</v>
      </c>
      <c r="F71" s="143"/>
      <c r="G71" s="145"/>
      <c r="H71" s="143"/>
      <c r="I71" s="143"/>
      <c r="J71" s="143"/>
      <c r="K71" s="342"/>
      <c r="L71" s="342"/>
      <c r="M71" s="143"/>
      <c r="N71" s="143"/>
      <c r="O71" s="143"/>
      <c r="P71" s="143"/>
      <c r="Q71" s="143"/>
      <c r="R71" s="143"/>
      <c r="S71" s="143"/>
      <c r="T71" s="143"/>
      <c r="U71" s="143"/>
      <c r="V71" s="143"/>
      <c r="W71" s="143"/>
      <c r="X71" s="143"/>
      <c r="Y71" s="143"/>
      <c r="Z71" s="145"/>
      <c r="AA71" s="145"/>
      <c r="AB71" s="142"/>
    </row>
    <row r="72" spans="1:28" hidden="1" outlineLevel="1">
      <c r="A72" s="145">
        <f t="shared" si="1"/>
        <v>45678</v>
      </c>
      <c r="B72" s="342" t="s">
        <v>1886</v>
      </c>
      <c r="C72" s="342" t="s">
        <v>1886</v>
      </c>
      <c r="D72" s="342" t="e">
        <f t="shared" si="0"/>
        <v>#VALUE!</v>
      </c>
      <c r="F72" s="143"/>
      <c r="G72" s="145"/>
      <c r="H72" s="143"/>
      <c r="I72" s="143"/>
      <c r="J72" s="143"/>
      <c r="K72" s="342"/>
      <c r="L72" s="342"/>
      <c r="M72" s="143"/>
      <c r="N72" s="143"/>
      <c r="O72" s="143"/>
      <c r="P72" s="143"/>
      <c r="Q72" s="143"/>
      <c r="R72" s="143"/>
      <c r="S72" s="143"/>
      <c r="T72" s="143"/>
      <c r="U72" s="143"/>
      <c r="V72" s="143"/>
      <c r="W72" s="143"/>
      <c r="X72" s="143"/>
      <c r="Y72" s="143"/>
      <c r="Z72" s="145"/>
      <c r="AA72" s="261"/>
      <c r="AB72" s="142"/>
    </row>
    <row r="73" spans="1:28" hidden="1" outlineLevel="1">
      <c r="A73" s="145">
        <f t="shared" si="1"/>
        <v>45679</v>
      </c>
      <c r="B73" s="342" t="s">
        <v>1886</v>
      </c>
      <c r="C73" s="342" t="s">
        <v>1886</v>
      </c>
      <c r="D73" s="342" t="e">
        <f t="shared" si="0"/>
        <v>#VALUE!</v>
      </c>
      <c r="F73" s="143"/>
      <c r="G73" s="145"/>
      <c r="H73" s="143"/>
      <c r="I73" s="143"/>
      <c r="J73" s="143"/>
      <c r="K73" s="342"/>
      <c r="L73" s="342"/>
      <c r="M73" s="143"/>
      <c r="N73" s="143"/>
      <c r="O73" s="143"/>
      <c r="P73" s="143"/>
      <c r="Q73" s="143"/>
      <c r="R73" s="143"/>
      <c r="S73" s="143"/>
      <c r="T73" s="143"/>
      <c r="U73" s="143"/>
      <c r="V73" s="143"/>
      <c r="W73" s="143"/>
      <c r="X73" s="143"/>
      <c r="Y73" s="143"/>
      <c r="Z73" s="145"/>
      <c r="AA73" s="261"/>
      <c r="AB73" s="142"/>
    </row>
    <row r="74" spans="1:28" hidden="1" outlineLevel="1">
      <c r="A74" s="145">
        <f t="shared" si="1"/>
        <v>45680</v>
      </c>
      <c r="B74" s="342" t="s">
        <v>1886</v>
      </c>
      <c r="C74" s="342" t="s">
        <v>1886</v>
      </c>
      <c r="D74" s="342" t="e">
        <f t="shared" si="0"/>
        <v>#VALUE!</v>
      </c>
      <c r="F74" s="143"/>
      <c r="G74" s="145"/>
      <c r="H74" s="143"/>
      <c r="I74" s="143"/>
      <c r="J74" s="143"/>
      <c r="K74" s="342"/>
      <c r="L74" s="342"/>
      <c r="M74" s="143"/>
      <c r="N74" s="143"/>
      <c r="O74" s="143"/>
      <c r="P74" s="143"/>
      <c r="Q74" s="143"/>
      <c r="R74" s="143"/>
      <c r="S74" s="143"/>
      <c r="T74" s="143"/>
      <c r="U74" s="143"/>
      <c r="V74" s="143"/>
      <c r="W74" s="143"/>
      <c r="X74" s="143"/>
      <c r="Y74" s="143"/>
      <c r="Z74" s="145"/>
      <c r="AA74" s="261"/>
      <c r="AB74" s="142"/>
    </row>
    <row r="75" spans="1:28" hidden="1" outlineLevel="1">
      <c r="A75" s="145">
        <f t="shared" si="1"/>
        <v>45681</v>
      </c>
      <c r="B75" s="342" t="s">
        <v>1886</v>
      </c>
      <c r="C75" s="342" t="s">
        <v>1886</v>
      </c>
      <c r="D75" s="342" t="e">
        <f t="shared" si="0"/>
        <v>#VALUE!</v>
      </c>
      <c r="F75" s="143"/>
      <c r="G75" s="145"/>
      <c r="H75" s="143"/>
      <c r="I75" s="143"/>
      <c r="J75" s="143"/>
      <c r="K75" s="342"/>
      <c r="L75" s="342"/>
      <c r="M75" s="143"/>
      <c r="N75" s="143"/>
      <c r="O75" s="143"/>
      <c r="P75" s="143"/>
      <c r="Q75" s="143"/>
      <c r="R75" s="143"/>
      <c r="S75" s="143"/>
      <c r="T75" s="143"/>
      <c r="U75" s="143"/>
      <c r="V75" s="143"/>
      <c r="W75" s="143"/>
      <c r="X75" s="143"/>
      <c r="Y75" s="143"/>
      <c r="Z75" s="145"/>
      <c r="AA75" s="145"/>
      <c r="AB75" s="142"/>
    </row>
    <row r="76" spans="1:28" hidden="1" outlineLevel="1">
      <c r="A76" s="145">
        <f t="shared" si="1"/>
        <v>45682</v>
      </c>
      <c r="B76" s="342" t="s">
        <v>1886</v>
      </c>
      <c r="C76" s="342" t="s">
        <v>1886</v>
      </c>
      <c r="D76" s="342" t="e">
        <f t="shared" si="0"/>
        <v>#VALUE!</v>
      </c>
      <c r="F76" s="143"/>
      <c r="G76" s="145"/>
      <c r="H76" s="143"/>
      <c r="I76" s="143"/>
      <c r="J76" s="143"/>
      <c r="K76" s="342"/>
      <c r="L76" s="342"/>
      <c r="M76" s="143"/>
      <c r="N76" s="143"/>
      <c r="O76" s="143"/>
      <c r="P76" s="143"/>
      <c r="Q76" s="143"/>
      <c r="R76" s="143"/>
      <c r="S76" s="143"/>
      <c r="T76" s="143"/>
      <c r="U76" s="143"/>
      <c r="V76" s="143"/>
      <c r="W76" s="143"/>
      <c r="X76" s="143"/>
      <c r="Y76" s="143"/>
      <c r="Z76" s="145"/>
      <c r="AA76" s="145"/>
      <c r="AB76" s="142"/>
    </row>
    <row r="77" spans="1:28" hidden="1" outlineLevel="1">
      <c r="A77" s="145">
        <f t="shared" si="1"/>
        <v>45683</v>
      </c>
      <c r="B77" s="342" t="s">
        <v>1886</v>
      </c>
      <c r="C77" s="342" t="s">
        <v>1886</v>
      </c>
      <c r="D77" s="342" t="e">
        <f t="shared" si="0"/>
        <v>#VALUE!</v>
      </c>
      <c r="F77" s="143"/>
      <c r="G77" s="145"/>
      <c r="H77" s="143"/>
      <c r="I77" s="143"/>
      <c r="J77" s="143"/>
      <c r="K77" s="342"/>
      <c r="L77" s="342"/>
      <c r="M77" s="143"/>
      <c r="N77" s="143"/>
      <c r="O77" s="143"/>
      <c r="P77" s="143"/>
      <c r="Q77" s="143"/>
      <c r="R77" s="143"/>
      <c r="S77" s="143"/>
      <c r="T77" s="143"/>
      <c r="U77" s="143"/>
      <c r="V77" s="143"/>
      <c r="W77" s="143"/>
      <c r="X77" s="143"/>
      <c r="Y77" s="143"/>
      <c r="Z77" s="145"/>
      <c r="AA77" s="145"/>
      <c r="AB77" s="142"/>
    </row>
    <row r="78" spans="1:28" hidden="1" outlineLevel="1">
      <c r="A78" s="145">
        <f t="shared" si="1"/>
        <v>45684</v>
      </c>
      <c r="B78" s="342" t="s">
        <v>1886</v>
      </c>
      <c r="C78" s="342" t="s">
        <v>1886</v>
      </c>
      <c r="D78" s="342" t="e">
        <f t="shared" si="0"/>
        <v>#VALUE!</v>
      </c>
      <c r="F78" s="143"/>
      <c r="G78" s="145"/>
      <c r="H78" s="143"/>
      <c r="I78" s="143"/>
      <c r="J78" s="143"/>
      <c r="K78" s="342"/>
      <c r="L78" s="342"/>
      <c r="M78" s="143"/>
      <c r="N78" s="143"/>
      <c r="O78" s="143"/>
      <c r="P78" s="143"/>
      <c r="Q78" s="143"/>
      <c r="R78" s="143"/>
      <c r="S78" s="143"/>
      <c r="T78" s="143"/>
      <c r="U78" s="143"/>
      <c r="V78" s="143"/>
      <c r="W78" s="143"/>
      <c r="X78" s="143"/>
      <c r="Y78" s="143"/>
      <c r="Z78" s="145"/>
      <c r="AA78" s="145"/>
      <c r="AB78" s="142"/>
    </row>
    <row r="79" spans="1:28" hidden="1" outlineLevel="1">
      <c r="A79" s="145">
        <f t="shared" si="1"/>
        <v>45685</v>
      </c>
      <c r="B79" s="342" t="s">
        <v>1886</v>
      </c>
      <c r="C79" s="342" t="s">
        <v>1886</v>
      </c>
      <c r="D79" s="342" t="e">
        <f t="shared" si="0"/>
        <v>#VALUE!</v>
      </c>
      <c r="F79" s="143"/>
      <c r="G79" s="145"/>
      <c r="H79" s="143"/>
      <c r="I79" s="143"/>
      <c r="J79" s="143"/>
      <c r="K79" s="342"/>
      <c r="L79" s="342"/>
      <c r="M79" s="143"/>
      <c r="N79" s="143"/>
      <c r="O79" s="143"/>
      <c r="P79" s="143"/>
      <c r="Q79" s="143"/>
      <c r="R79" s="143"/>
      <c r="S79" s="143"/>
      <c r="T79" s="143"/>
      <c r="U79" s="143"/>
      <c r="V79" s="143"/>
      <c r="W79" s="143"/>
      <c r="X79" s="143"/>
      <c r="Y79" s="143"/>
      <c r="Z79" s="145"/>
      <c r="AA79" s="145"/>
      <c r="AB79" s="142"/>
    </row>
    <row r="80" spans="1:28" hidden="1" outlineLevel="1">
      <c r="A80" s="145">
        <f t="shared" si="1"/>
        <v>45686</v>
      </c>
      <c r="B80" s="342" t="s">
        <v>1886</v>
      </c>
      <c r="C80" s="342" t="s">
        <v>1886</v>
      </c>
      <c r="D80" s="342" t="e">
        <f t="shared" si="0"/>
        <v>#VALUE!</v>
      </c>
      <c r="F80" s="143"/>
      <c r="G80" s="145"/>
      <c r="H80" s="143"/>
      <c r="I80" s="143"/>
      <c r="J80" s="143"/>
      <c r="K80" s="342"/>
      <c r="L80" s="342"/>
      <c r="M80" s="143"/>
      <c r="N80" s="143"/>
      <c r="O80" s="143"/>
      <c r="P80" s="143"/>
      <c r="Q80" s="143"/>
      <c r="R80" s="143"/>
      <c r="S80" s="143"/>
      <c r="T80" s="143"/>
      <c r="U80" s="143"/>
      <c r="V80" s="143"/>
      <c r="W80" s="143"/>
      <c r="X80" s="143"/>
      <c r="Y80" s="143"/>
      <c r="Z80" s="145"/>
      <c r="AA80" s="145"/>
      <c r="AB80" s="142"/>
    </row>
    <row r="81" spans="1:28" hidden="1" outlineLevel="1">
      <c r="A81" s="145">
        <f t="shared" si="1"/>
        <v>45687</v>
      </c>
      <c r="B81" s="342" t="s">
        <v>1886</v>
      </c>
      <c r="C81" s="342" t="s">
        <v>1886</v>
      </c>
      <c r="D81" s="342" t="e">
        <f t="shared" si="0"/>
        <v>#VALUE!</v>
      </c>
      <c r="F81" s="143"/>
      <c r="G81" s="145"/>
      <c r="H81" s="143"/>
      <c r="I81" s="143"/>
      <c r="J81" s="143"/>
      <c r="K81" s="342"/>
      <c r="L81" s="342"/>
      <c r="M81" s="143"/>
      <c r="N81" s="143"/>
      <c r="O81" s="143"/>
      <c r="P81" s="143"/>
      <c r="Q81" s="143"/>
      <c r="R81" s="143"/>
      <c r="S81" s="143"/>
      <c r="T81" s="143"/>
      <c r="U81" s="143"/>
      <c r="V81" s="143"/>
      <c r="W81" s="143"/>
      <c r="X81" s="143"/>
      <c r="Y81" s="143"/>
      <c r="Z81" s="145"/>
      <c r="AA81" s="145"/>
      <c r="AB81" s="142"/>
    </row>
    <row r="82" spans="1:28" hidden="1" outlineLevel="1">
      <c r="A82" s="145">
        <f t="shared" si="1"/>
        <v>45688</v>
      </c>
      <c r="B82" s="342" t="s">
        <v>1886</v>
      </c>
      <c r="C82" s="342" t="s">
        <v>1886</v>
      </c>
      <c r="D82" s="342" t="e">
        <f t="shared" si="0"/>
        <v>#VALUE!</v>
      </c>
      <c r="F82" s="143"/>
      <c r="G82" s="145"/>
      <c r="H82" s="143"/>
      <c r="I82" s="143"/>
      <c r="J82" s="143"/>
      <c r="K82" s="342"/>
      <c r="L82" s="342"/>
      <c r="M82" s="143"/>
      <c r="N82" s="143"/>
      <c r="O82" s="143"/>
      <c r="P82" s="143"/>
      <c r="Q82" s="143"/>
      <c r="R82" s="143"/>
      <c r="S82" s="143"/>
      <c r="T82" s="143"/>
      <c r="U82" s="143"/>
      <c r="V82" s="143"/>
      <c r="W82" s="143"/>
      <c r="X82" s="143"/>
      <c r="Y82" s="143"/>
      <c r="Z82" s="145"/>
      <c r="AA82" s="145"/>
      <c r="AB82" s="142"/>
    </row>
    <row r="83" spans="1:28" hidden="1" outlineLevel="1">
      <c r="A83" s="145">
        <f t="shared" si="1"/>
        <v>45689</v>
      </c>
      <c r="B83" s="342" t="s">
        <v>1886</v>
      </c>
      <c r="C83" s="342" t="s">
        <v>1886</v>
      </c>
      <c r="D83" s="342" t="e">
        <f t="shared" si="0"/>
        <v>#VALUE!</v>
      </c>
      <c r="F83" s="143"/>
      <c r="G83" s="145"/>
      <c r="H83" s="143"/>
      <c r="I83" s="143"/>
      <c r="J83" s="143"/>
      <c r="K83" s="342"/>
      <c r="L83" s="342"/>
      <c r="M83" s="143"/>
      <c r="N83" s="143"/>
      <c r="O83" s="143"/>
      <c r="P83" s="143"/>
      <c r="Q83" s="143"/>
      <c r="R83" s="143"/>
      <c r="S83" s="143"/>
      <c r="T83" s="143"/>
      <c r="U83" s="143"/>
      <c r="V83" s="143"/>
      <c r="W83" s="143"/>
      <c r="X83" s="143"/>
      <c r="Y83" s="143"/>
      <c r="Z83" s="145"/>
      <c r="AA83" s="145"/>
      <c r="AB83" s="142"/>
    </row>
    <row r="84" spans="1:28" hidden="1" outlineLevel="1">
      <c r="A84" s="145">
        <f t="shared" si="1"/>
        <v>45690</v>
      </c>
      <c r="B84" s="342" t="s">
        <v>1886</v>
      </c>
      <c r="C84" s="342" t="s">
        <v>1886</v>
      </c>
      <c r="D84" s="342" t="e">
        <f t="shared" si="0"/>
        <v>#VALUE!</v>
      </c>
      <c r="F84" s="143"/>
      <c r="G84" s="145"/>
      <c r="H84" s="143"/>
      <c r="I84" s="143"/>
      <c r="J84" s="143"/>
      <c r="K84" s="342"/>
      <c r="L84" s="342"/>
      <c r="M84" s="143"/>
      <c r="N84" s="143"/>
      <c r="O84" s="143"/>
      <c r="P84" s="143"/>
      <c r="Q84" s="143"/>
      <c r="R84" s="143"/>
      <c r="S84" s="143"/>
      <c r="T84" s="143"/>
      <c r="U84" s="143"/>
      <c r="V84" s="143"/>
      <c r="W84" s="143"/>
      <c r="X84" s="143"/>
      <c r="Y84" s="143"/>
      <c r="Z84" s="145"/>
      <c r="AA84" s="145"/>
      <c r="AB84" s="142"/>
    </row>
    <row r="85" spans="1:28" hidden="1" outlineLevel="1">
      <c r="A85" s="145">
        <f t="shared" si="1"/>
        <v>45691</v>
      </c>
      <c r="B85" s="342" t="s">
        <v>1886</v>
      </c>
      <c r="C85" s="342" t="s">
        <v>1886</v>
      </c>
      <c r="D85" s="342" t="e">
        <f t="shared" si="0"/>
        <v>#VALUE!</v>
      </c>
      <c r="F85" s="143"/>
      <c r="G85" s="145"/>
      <c r="H85" s="143"/>
      <c r="I85" s="143"/>
      <c r="J85" s="143"/>
      <c r="K85" s="342"/>
      <c r="L85" s="342"/>
      <c r="M85" s="143"/>
      <c r="N85" s="143"/>
      <c r="O85" s="143"/>
      <c r="P85" s="143"/>
      <c r="Q85" s="143"/>
      <c r="R85" s="143"/>
      <c r="S85" s="143"/>
      <c r="T85" s="143"/>
      <c r="U85" s="143"/>
      <c r="V85" s="143"/>
      <c r="W85" s="143"/>
      <c r="X85" s="143"/>
      <c r="Y85" s="143"/>
      <c r="Z85" s="145"/>
      <c r="AA85" s="145"/>
      <c r="AB85" s="142"/>
    </row>
    <row r="86" spans="1:28" hidden="1" outlineLevel="1">
      <c r="A86" s="145">
        <f t="shared" si="1"/>
        <v>45692</v>
      </c>
      <c r="B86" s="342" t="s">
        <v>1886</v>
      </c>
      <c r="C86" s="342" t="s">
        <v>1886</v>
      </c>
      <c r="D86" s="342" t="e">
        <f t="shared" si="0"/>
        <v>#VALUE!</v>
      </c>
      <c r="F86" s="143"/>
      <c r="G86" s="145"/>
      <c r="H86" s="143"/>
      <c r="I86" s="143"/>
      <c r="J86" s="143"/>
      <c r="K86" s="342"/>
      <c r="L86" s="342"/>
      <c r="M86" s="143"/>
      <c r="N86" s="143"/>
      <c r="O86" s="143"/>
      <c r="P86" s="143"/>
      <c r="Q86" s="143"/>
      <c r="R86" s="143"/>
      <c r="S86" s="143"/>
      <c r="T86" s="143"/>
      <c r="U86" s="143"/>
      <c r="V86" s="143"/>
      <c r="W86" s="143"/>
      <c r="X86" s="143"/>
      <c r="Y86" s="143"/>
      <c r="Z86" s="145"/>
      <c r="AA86" s="261"/>
      <c r="AB86" s="142"/>
    </row>
    <row r="87" spans="1:28" hidden="1" outlineLevel="1">
      <c r="A87" s="145">
        <f t="shared" si="1"/>
        <v>45693</v>
      </c>
      <c r="B87" s="342" t="s">
        <v>1886</v>
      </c>
      <c r="C87" s="342" t="s">
        <v>1886</v>
      </c>
      <c r="D87" s="342" t="e">
        <f t="shared" si="0"/>
        <v>#VALUE!</v>
      </c>
      <c r="F87" s="143"/>
      <c r="G87" s="145"/>
      <c r="H87" s="143"/>
      <c r="I87" s="143"/>
      <c r="J87" s="143"/>
      <c r="K87" s="342"/>
      <c r="L87" s="342"/>
      <c r="M87" s="143"/>
      <c r="N87" s="143"/>
      <c r="O87" s="143"/>
      <c r="P87" s="143"/>
      <c r="Q87" s="143"/>
      <c r="R87" s="143"/>
      <c r="S87" s="143"/>
      <c r="T87" s="143"/>
      <c r="U87" s="143"/>
      <c r="V87" s="143"/>
      <c r="W87" s="143"/>
      <c r="X87" s="143"/>
      <c r="Y87" s="143"/>
      <c r="Z87" s="145"/>
      <c r="AA87" s="261"/>
      <c r="AB87" s="142"/>
    </row>
    <row r="88" spans="1:28" hidden="1" outlineLevel="1">
      <c r="A88" s="145">
        <f t="shared" si="1"/>
        <v>45694</v>
      </c>
      <c r="B88" s="342" t="s">
        <v>1886</v>
      </c>
      <c r="C88" s="342" t="s">
        <v>1886</v>
      </c>
      <c r="D88" s="342" t="e">
        <f t="shared" si="0"/>
        <v>#VALUE!</v>
      </c>
      <c r="F88" s="143"/>
      <c r="G88" s="145"/>
      <c r="H88" s="143"/>
      <c r="I88" s="143"/>
      <c r="J88" s="143"/>
      <c r="K88" s="342"/>
      <c r="L88" s="342"/>
      <c r="M88" s="143"/>
      <c r="N88" s="143"/>
      <c r="O88" s="143"/>
      <c r="P88" s="143"/>
      <c r="Q88" s="143"/>
      <c r="R88" s="143"/>
      <c r="S88" s="143"/>
      <c r="T88" s="143"/>
      <c r="U88" s="143"/>
      <c r="V88" s="143"/>
      <c r="W88" s="143"/>
      <c r="X88" s="143"/>
      <c r="Y88" s="143"/>
      <c r="Z88" s="145"/>
      <c r="AA88" s="145"/>
      <c r="AB88" s="142"/>
    </row>
    <row r="89" spans="1:28" hidden="1" outlineLevel="1">
      <c r="A89" s="145">
        <f t="shared" si="1"/>
        <v>45695</v>
      </c>
      <c r="B89" s="342" t="s">
        <v>1886</v>
      </c>
      <c r="C89" s="342" t="s">
        <v>1886</v>
      </c>
      <c r="D89" s="342" t="e">
        <f t="shared" si="0"/>
        <v>#VALUE!</v>
      </c>
      <c r="F89" s="143"/>
      <c r="G89" s="145"/>
      <c r="H89" s="143"/>
      <c r="I89" s="143"/>
      <c r="J89" s="143"/>
      <c r="K89" s="342"/>
      <c r="L89" s="342"/>
      <c r="M89" s="143"/>
      <c r="N89" s="143"/>
      <c r="O89" s="143"/>
      <c r="P89" s="143"/>
      <c r="Q89" s="143"/>
      <c r="R89" s="143"/>
      <c r="S89" s="143"/>
      <c r="T89" s="143"/>
      <c r="U89" s="143"/>
      <c r="V89" s="143"/>
      <c r="W89" s="143"/>
      <c r="X89" s="143"/>
      <c r="Y89" s="143"/>
      <c r="Z89" s="145"/>
      <c r="AA89" s="145"/>
      <c r="AB89" s="142"/>
    </row>
    <row r="90" spans="1:28" hidden="1" outlineLevel="1">
      <c r="A90" s="145">
        <f t="shared" si="1"/>
        <v>45696</v>
      </c>
      <c r="B90" s="342" t="s">
        <v>1886</v>
      </c>
      <c r="C90" s="342" t="s">
        <v>1886</v>
      </c>
      <c r="D90" s="342" t="e">
        <f t="shared" si="0"/>
        <v>#VALUE!</v>
      </c>
      <c r="F90" s="143"/>
      <c r="G90" s="145"/>
      <c r="H90" s="143"/>
      <c r="I90" s="143"/>
      <c r="J90" s="143"/>
      <c r="K90" s="342"/>
      <c r="L90" s="342"/>
      <c r="M90" s="143"/>
      <c r="N90" s="143"/>
      <c r="O90" s="143"/>
      <c r="P90" s="143"/>
      <c r="Q90" s="143"/>
      <c r="R90" s="143"/>
      <c r="S90" s="143"/>
      <c r="T90" s="143"/>
      <c r="U90" s="143"/>
      <c r="V90" s="143"/>
      <c r="W90" s="143"/>
      <c r="X90" s="143"/>
      <c r="Y90" s="143"/>
      <c r="Z90" s="145"/>
      <c r="AA90" s="145"/>
      <c r="AB90" s="142"/>
    </row>
    <row r="91" spans="1:28" hidden="1" outlineLevel="1">
      <c r="A91" s="145">
        <f t="shared" si="1"/>
        <v>45697</v>
      </c>
      <c r="B91" s="342" t="s">
        <v>1886</v>
      </c>
      <c r="C91" s="342" t="s">
        <v>1886</v>
      </c>
      <c r="D91" s="342" t="e">
        <f t="shared" si="0"/>
        <v>#VALUE!</v>
      </c>
      <c r="F91" s="143"/>
      <c r="G91" s="145"/>
      <c r="H91" s="143"/>
      <c r="I91" s="143"/>
      <c r="J91" s="143"/>
      <c r="K91" s="342"/>
      <c r="L91" s="342"/>
      <c r="M91" s="143"/>
      <c r="N91" s="143"/>
      <c r="O91" s="143"/>
      <c r="P91" s="143"/>
      <c r="Q91" s="143"/>
      <c r="R91" s="143"/>
      <c r="S91" s="143"/>
      <c r="T91" s="143"/>
      <c r="U91" s="143"/>
      <c r="V91" s="143"/>
      <c r="W91" s="143"/>
      <c r="X91" s="143"/>
      <c r="Y91" s="143"/>
      <c r="Z91" s="145"/>
      <c r="AA91" s="145"/>
      <c r="AB91" s="142"/>
    </row>
    <row r="92" spans="1:28" hidden="1" outlineLevel="1">
      <c r="A92" s="145">
        <f t="shared" si="1"/>
        <v>45698</v>
      </c>
      <c r="B92" s="342" t="s">
        <v>1886</v>
      </c>
      <c r="C92" s="342" t="s">
        <v>1886</v>
      </c>
      <c r="D92" s="342" t="e">
        <f t="shared" si="0"/>
        <v>#VALUE!</v>
      </c>
      <c r="F92" s="143"/>
      <c r="G92" s="145"/>
      <c r="H92" s="143"/>
      <c r="I92" s="143"/>
      <c r="J92" s="143"/>
      <c r="K92" s="342"/>
      <c r="L92" s="342"/>
      <c r="M92" s="143"/>
      <c r="N92" s="143"/>
      <c r="O92" s="143"/>
      <c r="P92" s="143"/>
      <c r="Q92" s="143"/>
      <c r="R92" s="143"/>
      <c r="S92" s="143"/>
      <c r="T92" s="143"/>
      <c r="U92" s="143"/>
      <c r="V92" s="143"/>
      <c r="W92" s="143"/>
      <c r="X92" s="143"/>
      <c r="Y92" s="143"/>
      <c r="Z92" s="145"/>
      <c r="AA92" s="145"/>
      <c r="AB92" s="142"/>
    </row>
    <row r="93" spans="1:28" hidden="1" outlineLevel="1">
      <c r="A93" s="145">
        <f t="shared" si="1"/>
        <v>45699</v>
      </c>
      <c r="B93" s="342" t="s">
        <v>1886</v>
      </c>
      <c r="C93" s="342" t="s">
        <v>1886</v>
      </c>
      <c r="D93" s="342" t="e">
        <f t="shared" si="0"/>
        <v>#VALUE!</v>
      </c>
      <c r="F93" s="143"/>
      <c r="G93" s="145"/>
      <c r="H93" s="143"/>
      <c r="I93" s="143"/>
      <c r="J93" s="143"/>
      <c r="K93" s="342"/>
      <c r="L93" s="342"/>
      <c r="M93" s="143"/>
      <c r="N93" s="143"/>
      <c r="O93" s="143"/>
      <c r="P93" s="143"/>
      <c r="Q93" s="143"/>
      <c r="R93" s="143"/>
      <c r="S93" s="143"/>
      <c r="T93" s="143"/>
      <c r="U93" s="143"/>
      <c r="V93" s="143"/>
      <c r="W93" s="143"/>
      <c r="X93" s="143"/>
      <c r="Y93" s="143"/>
      <c r="Z93" s="145"/>
      <c r="AA93" s="145"/>
      <c r="AB93" s="142"/>
    </row>
    <row r="94" spans="1:28" hidden="1" outlineLevel="1">
      <c r="A94" s="145">
        <f t="shared" si="1"/>
        <v>45700</v>
      </c>
      <c r="B94" s="342" t="s">
        <v>1886</v>
      </c>
      <c r="C94" s="342" t="s">
        <v>1886</v>
      </c>
      <c r="D94" s="342" t="e">
        <f t="shared" si="0"/>
        <v>#VALUE!</v>
      </c>
      <c r="F94" s="143"/>
      <c r="G94" s="145"/>
      <c r="H94" s="143"/>
      <c r="I94" s="143"/>
      <c r="J94" s="143"/>
      <c r="K94" s="342"/>
      <c r="L94" s="342"/>
      <c r="M94" s="143"/>
      <c r="N94" s="143"/>
      <c r="O94" s="143"/>
      <c r="P94" s="143"/>
      <c r="Q94" s="143"/>
      <c r="R94" s="143"/>
      <c r="S94" s="143"/>
      <c r="T94" s="143"/>
      <c r="U94" s="143"/>
      <c r="V94" s="143"/>
      <c r="W94" s="143"/>
      <c r="X94" s="143"/>
      <c r="Y94" s="143"/>
      <c r="Z94" s="145"/>
      <c r="AA94" s="261"/>
      <c r="AB94" s="142"/>
    </row>
    <row r="95" spans="1:28" hidden="1" outlineLevel="1">
      <c r="A95" s="145">
        <f t="shared" si="1"/>
        <v>45701</v>
      </c>
      <c r="B95" s="342" t="s">
        <v>1886</v>
      </c>
      <c r="C95" s="342" t="s">
        <v>1886</v>
      </c>
      <c r="D95" s="342" t="e">
        <f t="shared" si="0"/>
        <v>#VALUE!</v>
      </c>
      <c r="F95" s="143"/>
      <c r="G95" s="145"/>
      <c r="H95" s="143"/>
      <c r="I95" s="143"/>
      <c r="J95" s="143"/>
      <c r="K95" s="342"/>
      <c r="L95" s="342"/>
      <c r="M95" s="143"/>
      <c r="N95" s="143"/>
      <c r="O95" s="143"/>
      <c r="P95" s="143"/>
      <c r="Q95" s="143"/>
      <c r="R95" s="143"/>
      <c r="S95" s="143"/>
      <c r="T95" s="143"/>
      <c r="U95" s="143"/>
      <c r="V95" s="143"/>
      <c r="W95" s="143"/>
      <c r="X95" s="143"/>
      <c r="Y95" s="143"/>
      <c r="Z95" s="145"/>
      <c r="AA95" s="261"/>
      <c r="AB95" s="142"/>
    </row>
    <row r="96" spans="1:28" hidden="1" outlineLevel="1">
      <c r="A96" s="145">
        <f t="shared" si="1"/>
        <v>45702</v>
      </c>
      <c r="B96" s="144" t="s">
        <v>1886</v>
      </c>
      <c r="C96" s="342" t="s">
        <v>1886</v>
      </c>
      <c r="D96" s="342" t="e">
        <f t="shared" si="0"/>
        <v>#VALUE!</v>
      </c>
      <c r="F96" s="143"/>
      <c r="G96" s="145"/>
      <c r="H96" s="143"/>
      <c r="I96" s="143"/>
      <c r="J96" s="143"/>
      <c r="K96" s="342"/>
      <c r="L96" s="342"/>
      <c r="M96" s="143"/>
      <c r="N96" s="143"/>
      <c r="O96" s="143"/>
      <c r="P96" s="143"/>
      <c r="Q96" s="143"/>
      <c r="R96" s="143"/>
      <c r="S96" s="143"/>
      <c r="T96" s="143"/>
      <c r="U96" s="143"/>
      <c r="V96" s="143"/>
      <c r="W96" s="143"/>
      <c r="X96" s="143"/>
      <c r="Y96" s="143"/>
      <c r="Z96" s="145"/>
      <c r="AA96" s="261"/>
      <c r="AB96" s="142"/>
    </row>
    <row r="97" spans="1:28" hidden="1" outlineLevel="1">
      <c r="A97" s="145">
        <f t="shared" si="1"/>
        <v>45703</v>
      </c>
      <c r="B97" s="144" t="s">
        <v>1886</v>
      </c>
      <c r="C97" s="342" t="s">
        <v>1886</v>
      </c>
      <c r="D97" s="342" t="e">
        <f t="shared" si="0"/>
        <v>#VALUE!</v>
      </c>
      <c r="F97" s="143"/>
      <c r="G97" s="145"/>
      <c r="H97" s="143"/>
      <c r="I97" s="143"/>
      <c r="J97" s="143"/>
      <c r="K97" s="342"/>
      <c r="L97" s="342"/>
      <c r="M97" s="143"/>
      <c r="N97" s="143"/>
      <c r="O97" s="143"/>
      <c r="P97" s="143"/>
      <c r="Q97" s="143"/>
      <c r="R97" s="143"/>
      <c r="S97" s="143"/>
      <c r="T97" s="143"/>
      <c r="U97" s="143"/>
      <c r="V97" s="143"/>
      <c r="W97" s="143"/>
      <c r="X97" s="143"/>
      <c r="Y97" s="143"/>
      <c r="Z97" s="145"/>
      <c r="AA97" s="145"/>
      <c r="AB97" s="142"/>
    </row>
    <row r="98" spans="1:28" hidden="1" outlineLevel="1">
      <c r="A98" s="145">
        <f t="shared" si="1"/>
        <v>45704</v>
      </c>
      <c r="B98" s="342" t="s">
        <v>1886</v>
      </c>
      <c r="C98" s="342" t="s">
        <v>1886</v>
      </c>
      <c r="D98" s="342" t="e">
        <f t="shared" si="0"/>
        <v>#VALUE!</v>
      </c>
      <c r="F98" s="143"/>
      <c r="G98" s="145"/>
      <c r="H98" s="143"/>
      <c r="I98" s="143"/>
      <c r="J98" s="143"/>
      <c r="K98" s="342"/>
      <c r="L98" s="342"/>
      <c r="M98" s="143"/>
      <c r="N98" s="143"/>
      <c r="O98" s="143"/>
      <c r="P98" s="143"/>
      <c r="Q98" s="143"/>
      <c r="R98" s="143"/>
      <c r="S98" s="143"/>
      <c r="T98" s="143"/>
      <c r="U98" s="143"/>
      <c r="V98" s="143"/>
      <c r="W98" s="143"/>
      <c r="X98" s="143"/>
      <c r="Y98" s="143"/>
      <c r="Z98" s="145"/>
      <c r="AA98" s="145"/>
      <c r="AB98" s="142"/>
    </row>
    <row r="99" spans="1:28" hidden="1" outlineLevel="1">
      <c r="A99" s="145">
        <f t="shared" si="1"/>
        <v>45705</v>
      </c>
      <c r="B99" s="342" t="s">
        <v>1886</v>
      </c>
      <c r="C99" s="342" t="s">
        <v>1886</v>
      </c>
      <c r="D99" s="342" t="e">
        <f t="shared" si="0"/>
        <v>#VALUE!</v>
      </c>
      <c r="F99" s="143"/>
      <c r="G99" s="145"/>
      <c r="H99" s="143"/>
      <c r="I99" s="143"/>
      <c r="J99" s="143"/>
      <c r="K99" s="342"/>
      <c r="L99" s="342"/>
      <c r="M99" s="143"/>
      <c r="N99" s="143"/>
      <c r="O99" s="143"/>
      <c r="P99" s="143"/>
      <c r="Q99" s="143"/>
      <c r="R99" s="143"/>
      <c r="S99" s="143"/>
      <c r="T99" s="143"/>
      <c r="U99" s="143"/>
      <c r="V99" s="143"/>
      <c r="W99" s="143"/>
      <c r="X99" s="143"/>
      <c r="Y99" s="143"/>
      <c r="Z99" s="145"/>
      <c r="AA99" s="145"/>
      <c r="AB99" s="142"/>
    </row>
    <row r="100" spans="1:28" hidden="1" outlineLevel="1">
      <c r="A100" s="145">
        <f t="shared" si="1"/>
        <v>45706</v>
      </c>
      <c r="B100" s="342" t="s">
        <v>1886</v>
      </c>
      <c r="C100" s="342" t="s">
        <v>1886</v>
      </c>
      <c r="D100" s="342" t="e">
        <f t="shared" si="0"/>
        <v>#VALUE!</v>
      </c>
      <c r="F100" s="143"/>
      <c r="G100" s="145"/>
      <c r="H100" s="143"/>
      <c r="I100" s="143"/>
      <c r="J100" s="143"/>
      <c r="K100" s="342"/>
      <c r="L100" s="342"/>
      <c r="M100" s="143"/>
      <c r="N100" s="143"/>
      <c r="O100" s="143"/>
      <c r="P100" s="143"/>
      <c r="Q100" s="143"/>
      <c r="R100" s="143"/>
      <c r="S100" s="143"/>
      <c r="T100" s="143"/>
      <c r="U100" s="143"/>
      <c r="V100" s="143"/>
      <c r="W100" s="143"/>
      <c r="X100" s="143"/>
      <c r="Y100" s="143"/>
      <c r="Z100" s="145"/>
      <c r="AA100" s="145"/>
      <c r="AB100" s="142"/>
    </row>
    <row r="101" spans="1:28" hidden="1" outlineLevel="1">
      <c r="A101" s="145">
        <f t="shared" si="1"/>
        <v>45707</v>
      </c>
      <c r="B101" s="342" t="s">
        <v>1886</v>
      </c>
      <c r="C101" s="342" t="s">
        <v>1886</v>
      </c>
      <c r="D101" s="342" t="e">
        <f t="shared" si="0"/>
        <v>#VALUE!</v>
      </c>
      <c r="F101" s="143"/>
      <c r="G101" s="145"/>
      <c r="H101" s="143"/>
      <c r="I101" s="143"/>
      <c r="J101" s="143"/>
      <c r="K101" s="342"/>
      <c r="L101" s="342"/>
      <c r="M101" s="143"/>
      <c r="N101" s="143"/>
      <c r="O101" s="143"/>
      <c r="P101" s="143"/>
      <c r="Q101" s="143"/>
      <c r="R101" s="143"/>
      <c r="S101" s="143"/>
      <c r="T101" s="143"/>
      <c r="U101" s="143"/>
      <c r="V101" s="143"/>
      <c r="W101" s="143"/>
      <c r="X101" s="143"/>
      <c r="Y101" s="143"/>
      <c r="Z101" s="145"/>
      <c r="AA101" s="145"/>
      <c r="AB101" s="142"/>
    </row>
    <row r="102" spans="1:28" hidden="1" outlineLevel="1">
      <c r="A102" s="145">
        <f t="shared" si="1"/>
        <v>45708</v>
      </c>
      <c r="B102" s="342" t="s">
        <v>1886</v>
      </c>
      <c r="C102" s="342" t="s">
        <v>1886</v>
      </c>
      <c r="D102" s="342" t="e">
        <f t="shared" si="0"/>
        <v>#VALUE!</v>
      </c>
      <c r="F102" s="143"/>
      <c r="G102" s="145"/>
      <c r="H102" s="143"/>
      <c r="I102" s="143"/>
      <c r="J102" s="143"/>
      <c r="K102" s="342"/>
      <c r="L102" s="342"/>
      <c r="M102" s="143"/>
      <c r="N102" s="143"/>
      <c r="O102" s="143"/>
      <c r="P102" s="143"/>
      <c r="Q102" s="143"/>
      <c r="R102" s="143"/>
      <c r="S102" s="143"/>
      <c r="T102" s="143"/>
      <c r="U102" s="143"/>
      <c r="V102" s="143"/>
      <c r="W102" s="143"/>
      <c r="X102" s="143"/>
      <c r="Y102" s="143"/>
      <c r="Z102" s="145"/>
      <c r="AA102" s="145"/>
      <c r="AB102" s="142"/>
    </row>
    <row r="103" spans="1:28" hidden="1" outlineLevel="1">
      <c r="A103" s="145">
        <f t="shared" si="1"/>
        <v>45709</v>
      </c>
      <c r="B103" s="342" t="s">
        <v>1886</v>
      </c>
      <c r="C103" s="342" t="s">
        <v>1886</v>
      </c>
      <c r="D103" s="342" t="e">
        <f t="shared" si="0"/>
        <v>#VALUE!</v>
      </c>
      <c r="F103" s="143"/>
      <c r="G103" s="145"/>
      <c r="H103" s="143"/>
      <c r="I103" s="143"/>
      <c r="J103" s="143"/>
      <c r="K103" s="342"/>
      <c r="L103" s="342"/>
      <c r="M103" s="143"/>
      <c r="N103" s="143"/>
      <c r="O103" s="143"/>
      <c r="P103" s="143"/>
      <c r="Q103" s="143"/>
      <c r="R103" s="143"/>
      <c r="S103" s="143"/>
      <c r="T103" s="143"/>
      <c r="U103" s="143"/>
      <c r="V103" s="143"/>
      <c r="W103" s="143"/>
      <c r="X103" s="143"/>
      <c r="Y103" s="143"/>
      <c r="Z103" s="145"/>
      <c r="AA103" s="145"/>
      <c r="AB103" s="142"/>
    </row>
    <row r="104" spans="1:28" hidden="1" outlineLevel="1">
      <c r="A104" s="145">
        <f t="shared" si="1"/>
        <v>45710</v>
      </c>
      <c r="B104" s="342" t="s">
        <v>1886</v>
      </c>
      <c r="C104" s="342" t="s">
        <v>1886</v>
      </c>
      <c r="D104" s="342" t="e">
        <f t="shared" si="0"/>
        <v>#VALUE!</v>
      </c>
      <c r="F104" s="143"/>
      <c r="G104" s="145"/>
      <c r="H104" s="143"/>
      <c r="I104" s="143"/>
      <c r="J104" s="143"/>
      <c r="K104" s="342"/>
      <c r="L104" s="342"/>
      <c r="M104" s="143"/>
      <c r="N104" s="143"/>
      <c r="O104" s="143"/>
      <c r="P104" s="143"/>
      <c r="Q104" s="143"/>
      <c r="R104" s="143"/>
      <c r="S104" s="143"/>
      <c r="T104" s="143"/>
      <c r="U104" s="143"/>
      <c r="V104" s="143"/>
      <c r="W104" s="143"/>
      <c r="X104" s="143"/>
      <c r="Y104" s="143"/>
      <c r="Z104" s="145"/>
      <c r="AA104" s="145"/>
      <c r="AB104" s="142"/>
    </row>
    <row r="105" spans="1:28" hidden="1" outlineLevel="1">
      <c r="A105" s="145">
        <f t="shared" si="1"/>
        <v>45711</v>
      </c>
      <c r="B105" s="342" t="s">
        <v>1886</v>
      </c>
      <c r="C105" s="342" t="s">
        <v>1886</v>
      </c>
      <c r="D105" s="342" t="e">
        <f t="shared" si="0"/>
        <v>#VALUE!</v>
      </c>
      <c r="F105" s="143"/>
      <c r="G105" s="145"/>
      <c r="H105" s="143"/>
      <c r="I105" s="143"/>
      <c r="J105" s="143"/>
      <c r="K105" s="342"/>
      <c r="L105" s="342"/>
      <c r="M105" s="143"/>
      <c r="N105" s="143"/>
      <c r="O105" s="143"/>
      <c r="P105" s="143"/>
      <c r="Q105" s="143"/>
      <c r="R105" s="143"/>
      <c r="S105" s="143"/>
      <c r="T105" s="143"/>
      <c r="U105" s="143"/>
      <c r="V105" s="143"/>
      <c r="W105" s="143"/>
      <c r="X105" s="143"/>
      <c r="Y105" s="143"/>
      <c r="Z105" s="145"/>
      <c r="AA105" s="145"/>
      <c r="AB105" s="142"/>
    </row>
    <row r="106" spans="1:28" hidden="1" outlineLevel="1">
      <c r="A106" s="145">
        <f t="shared" si="1"/>
        <v>45712</v>
      </c>
      <c r="B106" s="342" t="s">
        <v>1886</v>
      </c>
      <c r="C106" s="342" t="s">
        <v>1886</v>
      </c>
      <c r="D106" s="342" t="e">
        <f t="shared" si="0"/>
        <v>#VALUE!</v>
      </c>
      <c r="F106" s="143"/>
      <c r="G106" s="145"/>
      <c r="H106" s="143"/>
      <c r="I106" s="143"/>
      <c r="J106" s="143"/>
      <c r="K106" s="342"/>
      <c r="L106" s="342"/>
      <c r="M106" s="143"/>
      <c r="N106" s="143"/>
      <c r="O106" s="143"/>
      <c r="P106" s="143"/>
      <c r="Q106" s="143"/>
      <c r="R106" s="143"/>
      <c r="S106" s="143"/>
      <c r="T106" s="143"/>
      <c r="U106" s="143"/>
      <c r="V106" s="143"/>
      <c r="W106" s="143"/>
      <c r="X106" s="143"/>
      <c r="Y106" s="143"/>
      <c r="Z106" s="145"/>
      <c r="AA106" s="145"/>
      <c r="AB106" s="142"/>
    </row>
    <row r="107" spans="1:28" hidden="1" outlineLevel="1">
      <c r="A107" s="145">
        <f t="shared" si="1"/>
        <v>45713</v>
      </c>
      <c r="B107" s="342" t="s">
        <v>1886</v>
      </c>
      <c r="C107" s="342" t="s">
        <v>1886</v>
      </c>
      <c r="D107" s="342" t="e">
        <f t="shared" si="0"/>
        <v>#VALUE!</v>
      </c>
      <c r="F107" s="143"/>
      <c r="G107" s="145"/>
      <c r="H107" s="143"/>
      <c r="I107" s="143"/>
      <c r="J107" s="143"/>
      <c r="K107" s="342"/>
      <c r="L107" s="342"/>
      <c r="M107" s="143"/>
      <c r="N107" s="143"/>
      <c r="O107" s="143"/>
      <c r="P107" s="143"/>
      <c r="Q107" s="143"/>
      <c r="R107" s="143"/>
      <c r="S107" s="143"/>
      <c r="T107" s="143"/>
      <c r="U107" s="143"/>
      <c r="V107" s="143"/>
      <c r="W107" s="143"/>
      <c r="X107" s="143"/>
      <c r="Y107" s="143"/>
      <c r="Z107" s="145"/>
      <c r="AA107" s="145"/>
      <c r="AB107" s="142"/>
    </row>
    <row r="108" spans="1:28" hidden="1" outlineLevel="1">
      <c r="A108" s="145">
        <f t="shared" si="1"/>
        <v>45714</v>
      </c>
      <c r="B108" s="342" t="s">
        <v>1886</v>
      </c>
      <c r="C108" s="342" t="s">
        <v>1886</v>
      </c>
      <c r="D108" s="342" t="e">
        <f t="shared" si="0"/>
        <v>#VALUE!</v>
      </c>
      <c r="F108" s="143"/>
      <c r="G108" s="145"/>
      <c r="H108" s="143"/>
      <c r="I108" s="143"/>
      <c r="J108" s="143"/>
      <c r="K108" s="342"/>
      <c r="L108" s="342"/>
      <c r="M108" s="143"/>
      <c r="N108" s="143"/>
      <c r="O108" s="143"/>
      <c r="P108" s="143"/>
      <c r="Q108" s="143"/>
      <c r="R108" s="143"/>
      <c r="S108" s="143"/>
      <c r="T108" s="143"/>
      <c r="U108" s="143"/>
      <c r="V108" s="143"/>
      <c r="W108" s="143"/>
      <c r="X108" s="143"/>
      <c r="Y108" s="143"/>
      <c r="Z108" s="145"/>
      <c r="AA108" s="145"/>
      <c r="AB108" s="142"/>
    </row>
    <row r="109" spans="1:28" hidden="1" outlineLevel="1">
      <c r="A109" s="145">
        <f t="shared" si="1"/>
        <v>45715</v>
      </c>
      <c r="B109" s="342" t="s">
        <v>1886</v>
      </c>
      <c r="C109" s="342" t="s">
        <v>1886</v>
      </c>
      <c r="D109" s="342" t="e">
        <f t="shared" si="0"/>
        <v>#VALUE!</v>
      </c>
      <c r="F109" s="143"/>
      <c r="G109" s="145"/>
      <c r="H109" s="143"/>
      <c r="I109" s="143"/>
      <c r="J109" s="143"/>
      <c r="K109" s="342"/>
      <c r="L109" s="342"/>
      <c r="M109" s="143"/>
      <c r="N109" s="143"/>
      <c r="O109" s="143"/>
      <c r="P109" s="143"/>
      <c r="Q109" s="143"/>
      <c r="R109" s="143"/>
      <c r="S109" s="143"/>
      <c r="T109" s="143"/>
      <c r="U109" s="143"/>
      <c r="V109" s="143"/>
      <c r="W109" s="143"/>
      <c r="X109" s="143"/>
      <c r="Y109" s="143"/>
      <c r="Z109" s="145"/>
      <c r="AA109" s="145"/>
      <c r="AB109" s="142"/>
    </row>
    <row r="110" spans="1:28" hidden="1" outlineLevel="1">
      <c r="A110" s="145">
        <f t="shared" si="1"/>
        <v>45716</v>
      </c>
      <c r="B110" s="342" t="s">
        <v>1886</v>
      </c>
      <c r="C110" s="342" t="s">
        <v>1886</v>
      </c>
      <c r="D110" s="342" t="e">
        <f t="shared" si="0"/>
        <v>#VALUE!</v>
      </c>
      <c r="F110" s="143"/>
      <c r="G110" s="145"/>
      <c r="H110" s="143"/>
      <c r="I110" s="143"/>
      <c r="J110" s="143"/>
      <c r="K110" s="342"/>
      <c r="L110" s="342"/>
      <c r="M110" s="143"/>
      <c r="N110" s="143"/>
      <c r="O110" s="143"/>
      <c r="P110" s="143"/>
      <c r="Q110" s="143"/>
      <c r="R110" s="143"/>
      <c r="S110" s="143"/>
      <c r="T110" s="143"/>
      <c r="U110" s="143"/>
      <c r="V110" s="143"/>
      <c r="W110" s="143"/>
      <c r="X110" s="143"/>
      <c r="Y110" s="143"/>
      <c r="Z110" s="145"/>
      <c r="AA110" s="145"/>
      <c r="AB110" s="142"/>
    </row>
    <row r="111" spans="1:28" hidden="1" outlineLevel="1">
      <c r="A111" s="145">
        <f t="shared" si="1"/>
        <v>45717</v>
      </c>
      <c r="B111" s="342" t="s">
        <v>1886</v>
      </c>
      <c r="C111" s="342" t="s">
        <v>1886</v>
      </c>
      <c r="D111" s="342" t="e">
        <f t="shared" si="0"/>
        <v>#VALUE!</v>
      </c>
      <c r="F111" s="143"/>
      <c r="G111" s="145"/>
      <c r="H111" s="143">
        <f>300000-37500-100000-70000-3500-17000-12000-9000-35000</f>
        <v>16000</v>
      </c>
      <c r="I111" s="143"/>
      <c r="J111" s="143"/>
      <c r="K111" s="342"/>
      <c r="L111" s="342"/>
      <c r="M111" s="143"/>
      <c r="N111" s="143"/>
      <c r="O111" s="143"/>
      <c r="P111" s="143"/>
      <c r="Q111" s="143"/>
      <c r="R111" s="143"/>
      <c r="S111" s="143"/>
      <c r="T111" s="143"/>
      <c r="U111" s="143"/>
      <c r="V111" s="143"/>
      <c r="W111" s="143"/>
      <c r="X111" s="143"/>
      <c r="Y111" s="143"/>
      <c r="Z111" s="145"/>
      <c r="AA111" s="145"/>
      <c r="AB111" s="142"/>
    </row>
    <row r="112" spans="1:28" hidden="1" outlineLevel="1">
      <c r="A112" s="145">
        <f t="shared" si="1"/>
        <v>45718</v>
      </c>
      <c r="B112" s="342" t="s">
        <v>1886</v>
      </c>
      <c r="C112" s="342" t="s">
        <v>1886</v>
      </c>
      <c r="D112" s="342" t="e">
        <f t="shared" si="0"/>
        <v>#VALUE!</v>
      </c>
      <c r="F112" s="143"/>
      <c r="G112" s="145"/>
      <c r="H112" s="143"/>
      <c r="I112" s="143"/>
      <c r="J112" s="143"/>
      <c r="K112" s="342"/>
      <c r="L112" s="342"/>
      <c r="M112" s="143"/>
      <c r="N112" s="143"/>
      <c r="O112" s="143"/>
      <c r="P112" s="143"/>
      <c r="Q112" s="143"/>
      <c r="R112" s="143"/>
      <c r="S112" s="143"/>
      <c r="T112" s="143"/>
      <c r="U112" s="143"/>
      <c r="V112" s="143"/>
      <c r="W112" s="143"/>
      <c r="X112" s="143"/>
      <c r="Y112" s="143"/>
      <c r="Z112" s="145"/>
      <c r="AA112" s="145"/>
      <c r="AB112" s="142"/>
    </row>
    <row r="113" spans="1:28" hidden="1" outlineLevel="1">
      <c r="A113" s="145">
        <f t="shared" si="1"/>
        <v>45719</v>
      </c>
      <c r="B113" s="342" t="s">
        <v>1886</v>
      </c>
      <c r="C113" s="342" t="s">
        <v>1886</v>
      </c>
      <c r="D113" s="342" t="e">
        <f t="shared" si="0"/>
        <v>#VALUE!</v>
      </c>
      <c r="F113" s="143"/>
      <c r="G113" s="145"/>
      <c r="H113" s="143"/>
      <c r="I113" s="143"/>
      <c r="J113" s="143"/>
      <c r="K113" s="342"/>
      <c r="L113" s="342"/>
      <c r="M113" s="143"/>
      <c r="N113" s="143"/>
      <c r="O113" s="143"/>
      <c r="P113" s="143"/>
      <c r="Q113" s="143"/>
      <c r="R113" s="143"/>
      <c r="S113" s="143"/>
      <c r="T113" s="143"/>
      <c r="U113" s="143"/>
      <c r="V113" s="143"/>
      <c r="W113" s="143"/>
      <c r="X113" s="143"/>
      <c r="Y113" s="143"/>
      <c r="Z113" s="145"/>
      <c r="AA113" s="145"/>
      <c r="AB113" s="142"/>
    </row>
    <row r="114" spans="1:28" hidden="1" outlineLevel="1">
      <c r="A114" s="145">
        <f t="shared" si="1"/>
        <v>45720</v>
      </c>
      <c r="B114" s="342" t="s">
        <v>1886</v>
      </c>
      <c r="C114" s="342" t="s">
        <v>1886</v>
      </c>
      <c r="D114" s="342" t="e">
        <f t="shared" si="0"/>
        <v>#VALUE!</v>
      </c>
      <c r="F114" s="143"/>
      <c r="G114" s="145"/>
      <c r="H114" s="143"/>
      <c r="I114" s="143"/>
      <c r="J114" s="143"/>
      <c r="K114" s="342"/>
      <c r="L114" s="342"/>
      <c r="M114" s="143"/>
      <c r="N114" s="143"/>
      <c r="O114" s="143"/>
      <c r="P114" s="143"/>
      <c r="Q114" s="143"/>
      <c r="R114" s="143"/>
      <c r="S114" s="143"/>
      <c r="T114" s="143"/>
      <c r="U114" s="143"/>
      <c r="V114" s="143"/>
      <c r="W114" s="143"/>
      <c r="X114" s="143"/>
      <c r="Y114" s="143"/>
      <c r="Z114" s="145"/>
      <c r="AA114" s="145"/>
      <c r="AB114" s="142"/>
    </row>
    <row r="115" spans="1:28" hidden="1" outlineLevel="1">
      <c r="A115" s="145">
        <f t="shared" si="1"/>
        <v>45721</v>
      </c>
      <c r="B115" s="342" t="s">
        <v>1886</v>
      </c>
      <c r="C115" s="342" t="s">
        <v>1886</v>
      </c>
      <c r="D115" s="342" t="e">
        <f t="shared" si="0"/>
        <v>#VALUE!</v>
      </c>
      <c r="F115" s="143"/>
      <c r="G115" s="145"/>
      <c r="H115" s="143"/>
      <c r="I115" s="143"/>
      <c r="J115" s="143"/>
      <c r="K115" s="342"/>
      <c r="L115" s="342"/>
      <c r="M115" s="143"/>
      <c r="N115" s="143"/>
      <c r="O115" s="143"/>
      <c r="P115" s="143"/>
      <c r="Q115" s="143"/>
      <c r="R115" s="143"/>
      <c r="S115" s="143"/>
      <c r="T115" s="143"/>
      <c r="U115" s="143"/>
      <c r="V115" s="143"/>
      <c r="W115" s="143"/>
      <c r="X115" s="143"/>
      <c r="Y115" s="143"/>
      <c r="Z115" s="145"/>
      <c r="AA115" s="145"/>
      <c r="AB115" s="142"/>
    </row>
    <row r="116" spans="1:28" hidden="1" outlineLevel="1">
      <c r="A116" s="145">
        <f t="shared" si="1"/>
        <v>45722</v>
      </c>
      <c r="B116" s="342" t="s">
        <v>1886</v>
      </c>
      <c r="C116" s="342" t="s">
        <v>1886</v>
      </c>
      <c r="D116" s="342" t="e">
        <f t="shared" si="0"/>
        <v>#VALUE!</v>
      </c>
      <c r="F116" s="143"/>
      <c r="G116" s="145"/>
      <c r="H116" s="143"/>
      <c r="I116" s="143"/>
      <c r="J116" s="143"/>
      <c r="K116" s="342"/>
      <c r="L116" s="342"/>
      <c r="M116" s="143"/>
      <c r="N116" s="143"/>
      <c r="O116" s="143"/>
      <c r="P116" s="143"/>
      <c r="Q116" s="143"/>
      <c r="R116" s="143"/>
      <c r="S116" s="143"/>
      <c r="T116" s="143"/>
      <c r="U116" s="143"/>
      <c r="V116" s="143"/>
      <c r="W116" s="143"/>
      <c r="X116" s="143"/>
      <c r="Y116" s="143"/>
      <c r="Z116" s="145"/>
      <c r="AA116" s="145"/>
      <c r="AB116" s="142"/>
    </row>
    <row r="117" spans="1:28" hidden="1" outlineLevel="1">
      <c r="A117" s="145">
        <f t="shared" si="1"/>
        <v>45723</v>
      </c>
      <c r="B117" s="342" t="s">
        <v>1886</v>
      </c>
      <c r="C117" s="342" t="s">
        <v>1886</v>
      </c>
      <c r="D117" s="342" t="e">
        <f t="shared" si="0"/>
        <v>#VALUE!</v>
      </c>
      <c r="F117" s="143"/>
      <c r="G117" s="145"/>
      <c r="H117" s="143"/>
      <c r="I117" s="143"/>
      <c r="J117" s="143"/>
      <c r="K117" s="342"/>
      <c r="L117" s="342"/>
      <c r="M117" s="143"/>
      <c r="N117" s="143"/>
      <c r="O117" s="143"/>
      <c r="P117" s="143"/>
      <c r="Q117" s="143"/>
      <c r="R117" s="143"/>
      <c r="S117" s="143"/>
      <c r="T117" s="143"/>
      <c r="U117" s="143"/>
      <c r="V117" s="143"/>
      <c r="W117" s="143"/>
      <c r="X117" s="143"/>
      <c r="Y117" s="143"/>
      <c r="Z117" s="145"/>
      <c r="AA117" s="145"/>
      <c r="AB117" s="142"/>
    </row>
    <row r="118" spans="1:28" hidden="1" outlineLevel="1">
      <c r="A118" s="145">
        <f t="shared" si="1"/>
        <v>45724</v>
      </c>
      <c r="B118" s="342" t="s">
        <v>1886</v>
      </c>
      <c r="C118" s="342" t="s">
        <v>1886</v>
      </c>
      <c r="D118" s="342" t="e">
        <f t="shared" si="0"/>
        <v>#VALUE!</v>
      </c>
      <c r="F118" s="143"/>
      <c r="G118" s="145"/>
      <c r="H118" s="143"/>
      <c r="I118" s="143"/>
      <c r="J118" s="143"/>
      <c r="K118" s="342"/>
      <c r="L118" s="342"/>
      <c r="M118" s="143"/>
      <c r="N118" s="143"/>
      <c r="O118" s="143"/>
      <c r="P118" s="143"/>
      <c r="Q118" s="143"/>
      <c r="R118" s="143"/>
      <c r="S118" s="143"/>
      <c r="T118" s="143"/>
      <c r="U118" s="143"/>
      <c r="V118" s="143"/>
      <c r="W118" s="143"/>
      <c r="X118" s="143"/>
      <c r="Y118" s="143"/>
      <c r="Z118" s="145"/>
      <c r="AA118" s="145"/>
      <c r="AB118" s="142"/>
    </row>
    <row r="119" spans="1:28" hidden="1" outlineLevel="1">
      <c r="A119" s="145">
        <f t="shared" si="1"/>
        <v>45725</v>
      </c>
      <c r="B119" s="342" t="s">
        <v>1886</v>
      </c>
      <c r="C119" s="342" t="s">
        <v>1886</v>
      </c>
      <c r="D119" s="342" t="e">
        <f t="shared" si="0"/>
        <v>#VALUE!</v>
      </c>
      <c r="F119" s="143"/>
      <c r="G119" s="145"/>
      <c r="H119" s="143"/>
      <c r="I119" s="143"/>
      <c r="J119" s="143"/>
      <c r="K119" s="342"/>
      <c r="L119" s="342"/>
      <c r="M119" s="143"/>
      <c r="N119" s="143"/>
      <c r="O119" s="143"/>
      <c r="P119" s="143"/>
      <c r="Q119" s="143"/>
      <c r="R119" s="143"/>
      <c r="S119" s="143"/>
      <c r="T119" s="143"/>
      <c r="U119" s="143"/>
      <c r="V119" s="143"/>
      <c r="W119" s="143"/>
      <c r="X119" s="143"/>
      <c r="Y119" s="143"/>
      <c r="Z119" s="145"/>
      <c r="AA119" s="145"/>
      <c r="AB119" s="142"/>
    </row>
    <row r="120" spans="1:28" hidden="1" outlineLevel="1">
      <c r="A120" s="145">
        <f t="shared" si="1"/>
        <v>45726</v>
      </c>
      <c r="B120" s="342" t="s">
        <v>1886</v>
      </c>
      <c r="C120" s="342" t="s">
        <v>1886</v>
      </c>
      <c r="D120" s="342" t="e">
        <f t="shared" si="0"/>
        <v>#VALUE!</v>
      </c>
      <c r="F120" s="143"/>
      <c r="G120" s="145"/>
      <c r="H120" s="143"/>
      <c r="I120" s="143"/>
      <c r="J120" s="143"/>
      <c r="K120" s="342"/>
      <c r="L120" s="342"/>
      <c r="M120" s="143"/>
      <c r="N120" s="143"/>
      <c r="O120" s="143"/>
      <c r="P120" s="143"/>
      <c r="Q120" s="143"/>
      <c r="R120" s="143"/>
      <c r="S120" s="143"/>
      <c r="T120" s="143"/>
      <c r="U120" s="143"/>
      <c r="V120" s="143"/>
      <c r="W120" s="143"/>
      <c r="X120" s="143"/>
      <c r="Y120" s="143"/>
      <c r="Z120" s="145"/>
      <c r="AA120" s="145"/>
      <c r="AB120" s="142"/>
    </row>
    <row r="121" spans="1:28" hidden="1" outlineLevel="1">
      <c r="A121" s="145">
        <f t="shared" si="1"/>
        <v>45727</v>
      </c>
      <c r="B121" s="342" t="s">
        <v>1886</v>
      </c>
      <c r="C121" s="342" t="s">
        <v>1886</v>
      </c>
      <c r="D121" s="342" t="e">
        <f t="shared" si="0"/>
        <v>#VALUE!</v>
      </c>
      <c r="F121" s="143"/>
      <c r="G121" s="145"/>
      <c r="H121" s="143"/>
      <c r="I121" s="143"/>
      <c r="J121" s="143"/>
      <c r="K121" s="342"/>
      <c r="L121" s="342"/>
      <c r="M121" s="143"/>
      <c r="N121" s="143"/>
      <c r="O121" s="143"/>
      <c r="P121" s="143"/>
      <c r="Q121" s="143"/>
      <c r="R121" s="143"/>
      <c r="S121" s="143"/>
      <c r="T121" s="143"/>
      <c r="U121" s="143"/>
      <c r="V121" s="143"/>
      <c r="W121" s="143"/>
      <c r="X121" s="143"/>
      <c r="Y121" s="143"/>
      <c r="Z121" s="145"/>
      <c r="AA121" s="145"/>
      <c r="AB121" s="142"/>
    </row>
    <row r="122" spans="1:28" hidden="1" outlineLevel="1">
      <c r="A122" s="145">
        <f t="shared" si="1"/>
        <v>45728</v>
      </c>
      <c r="B122" s="342" t="s">
        <v>1886</v>
      </c>
      <c r="C122" s="342" t="s">
        <v>1886</v>
      </c>
      <c r="D122" s="342" t="e">
        <f t="shared" si="0"/>
        <v>#VALUE!</v>
      </c>
      <c r="F122" s="143"/>
      <c r="G122" s="145"/>
      <c r="H122" s="143"/>
      <c r="I122" s="143"/>
      <c r="J122" s="143"/>
      <c r="K122" s="342"/>
      <c r="L122" s="342"/>
      <c r="M122" s="143"/>
      <c r="N122" s="143"/>
      <c r="O122" s="143"/>
      <c r="P122" s="143"/>
      <c r="Q122" s="143"/>
      <c r="R122" s="143"/>
      <c r="S122" s="143"/>
      <c r="T122" s="143"/>
      <c r="U122" s="143"/>
      <c r="V122" s="143"/>
      <c r="W122" s="143"/>
      <c r="X122" s="143"/>
      <c r="Y122" s="143"/>
      <c r="Z122" s="145"/>
      <c r="AA122" s="145"/>
      <c r="AB122" s="142"/>
    </row>
    <row r="123" spans="1:28" hidden="1" outlineLevel="1">
      <c r="A123" s="145">
        <f t="shared" si="1"/>
        <v>45729</v>
      </c>
      <c r="B123" s="342" t="s">
        <v>1886</v>
      </c>
      <c r="C123" s="342" t="s">
        <v>1886</v>
      </c>
      <c r="D123" s="342" t="e">
        <f t="shared" si="0"/>
        <v>#VALUE!</v>
      </c>
      <c r="F123" s="143"/>
      <c r="G123" s="145"/>
      <c r="H123" s="143"/>
      <c r="I123" s="143"/>
      <c r="J123" s="143"/>
      <c r="K123" s="342"/>
      <c r="L123" s="342"/>
      <c r="M123" s="143"/>
      <c r="N123" s="143"/>
      <c r="O123" s="143"/>
      <c r="P123" s="143"/>
      <c r="Q123" s="143"/>
      <c r="R123" s="143"/>
      <c r="S123" s="143"/>
      <c r="T123" s="143"/>
      <c r="U123" s="143"/>
      <c r="V123" s="143"/>
      <c r="W123" s="143"/>
      <c r="X123" s="143"/>
      <c r="Y123" s="143"/>
      <c r="Z123" s="145"/>
      <c r="AA123" s="261"/>
      <c r="AB123" s="142"/>
    </row>
    <row r="124" spans="1:28" hidden="1" outlineLevel="1">
      <c r="A124" s="145">
        <f t="shared" si="1"/>
        <v>45730</v>
      </c>
      <c r="B124" s="342" t="s">
        <v>1886</v>
      </c>
      <c r="C124" s="342" t="s">
        <v>1886</v>
      </c>
      <c r="D124" s="342" t="e">
        <f t="shared" si="0"/>
        <v>#VALUE!</v>
      </c>
      <c r="F124" s="143"/>
      <c r="G124" s="145"/>
      <c r="H124" s="143"/>
      <c r="I124" s="143"/>
      <c r="J124" s="143"/>
      <c r="K124" s="342"/>
      <c r="L124" s="342"/>
      <c r="M124" s="143"/>
      <c r="N124" s="143"/>
      <c r="O124" s="143"/>
      <c r="P124" s="143"/>
      <c r="Q124" s="143"/>
      <c r="R124" s="143"/>
      <c r="S124" s="143"/>
      <c r="T124" s="143"/>
      <c r="U124" s="143"/>
      <c r="V124" s="143"/>
      <c r="W124" s="143"/>
      <c r="X124" s="143"/>
      <c r="Y124" s="143"/>
      <c r="Z124" s="145"/>
      <c r="AA124" s="261"/>
      <c r="AB124" s="142"/>
    </row>
    <row r="125" spans="1:28" hidden="1" outlineLevel="1">
      <c r="A125" s="145">
        <f t="shared" si="1"/>
        <v>45731</v>
      </c>
      <c r="B125" s="342" t="s">
        <v>1886</v>
      </c>
      <c r="C125" s="342" t="s">
        <v>1886</v>
      </c>
      <c r="D125" s="342" t="e">
        <f t="shared" si="0"/>
        <v>#VALUE!</v>
      </c>
      <c r="F125" s="143"/>
      <c r="G125" s="145"/>
      <c r="H125" s="143"/>
      <c r="I125" s="143"/>
      <c r="J125" s="143"/>
      <c r="K125" s="342"/>
      <c r="L125" s="342"/>
      <c r="M125" s="143"/>
      <c r="N125" s="143"/>
      <c r="O125" s="143"/>
      <c r="P125" s="143"/>
      <c r="Q125" s="143"/>
      <c r="R125" s="143"/>
      <c r="S125" s="143"/>
      <c r="T125" s="143"/>
      <c r="U125" s="143"/>
      <c r="V125" s="143"/>
      <c r="W125" s="143"/>
      <c r="X125" s="143"/>
      <c r="Y125" s="143"/>
      <c r="Z125" s="145"/>
      <c r="AA125" s="145"/>
      <c r="AB125" s="142"/>
    </row>
    <row r="126" spans="1:28" hidden="1" outlineLevel="1">
      <c r="A126" s="145">
        <f t="shared" si="1"/>
        <v>45732</v>
      </c>
      <c r="B126" s="342" t="s">
        <v>1886</v>
      </c>
      <c r="C126" s="342" t="s">
        <v>1886</v>
      </c>
      <c r="D126" s="342" t="e">
        <f t="shared" si="0"/>
        <v>#VALUE!</v>
      </c>
      <c r="F126" s="143"/>
      <c r="G126" s="145"/>
      <c r="H126" s="143"/>
      <c r="I126" s="143"/>
      <c r="J126" s="143"/>
      <c r="K126" s="342"/>
      <c r="L126" s="342"/>
      <c r="M126" s="143"/>
      <c r="N126" s="143"/>
      <c r="O126" s="143"/>
      <c r="P126" s="143"/>
      <c r="Q126" s="143"/>
      <c r="R126" s="143"/>
      <c r="S126" s="143"/>
      <c r="T126" s="143"/>
      <c r="U126" s="143"/>
      <c r="V126" s="143"/>
      <c r="W126" s="143"/>
      <c r="X126" s="143"/>
      <c r="Y126" s="143"/>
      <c r="Z126" s="145"/>
      <c r="AA126" s="145"/>
      <c r="AB126" s="142"/>
    </row>
    <row r="127" spans="1:28" hidden="1" outlineLevel="1">
      <c r="A127" s="145">
        <f t="shared" si="1"/>
        <v>45733</v>
      </c>
      <c r="B127" s="342" t="s">
        <v>1886</v>
      </c>
      <c r="C127" s="342" t="s">
        <v>1886</v>
      </c>
      <c r="D127" s="342" t="e">
        <f t="shared" si="0"/>
        <v>#VALUE!</v>
      </c>
      <c r="F127" s="143"/>
      <c r="G127" s="145"/>
      <c r="H127" s="143"/>
      <c r="I127" s="143"/>
      <c r="J127" s="143"/>
      <c r="K127" s="342"/>
      <c r="L127" s="342"/>
      <c r="M127" s="143"/>
      <c r="N127" s="143"/>
      <c r="O127" s="143"/>
      <c r="P127" s="143"/>
      <c r="Q127" s="143"/>
      <c r="R127" s="143"/>
      <c r="S127" s="143"/>
      <c r="T127" s="143"/>
      <c r="U127" s="143"/>
      <c r="V127" s="143"/>
      <c r="W127" s="143"/>
      <c r="X127" s="143"/>
      <c r="Y127" s="143"/>
      <c r="Z127" s="145"/>
      <c r="AA127" s="145"/>
      <c r="AB127" s="142"/>
    </row>
    <row r="128" spans="1:28" hidden="1" outlineLevel="1">
      <c r="A128" s="145">
        <f t="shared" si="1"/>
        <v>45734</v>
      </c>
      <c r="B128" s="342" t="s">
        <v>1886</v>
      </c>
      <c r="C128" s="342" t="s">
        <v>1886</v>
      </c>
      <c r="D128" s="342" t="e">
        <f t="shared" si="0"/>
        <v>#VALUE!</v>
      </c>
      <c r="F128" s="143"/>
      <c r="G128" s="145"/>
      <c r="H128" s="143"/>
      <c r="I128" s="143"/>
      <c r="J128" s="143"/>
      <c r="K128" s="342"/>
      <c r="L128" s="342"/>
      <c r="M128" s="143"/>
      <c r="N128" s="143"/>
      <c r="O128" s="143"/>
      <c r="P128" s="143"/>
      <c r="Q128" s="143"/>
      <c r="R128" s="143"/>
      <c r="S128" s="143"/>
      <c r="T128" s="143"/>
      <c r="U128" s="143"/>
      <c r="V128" s="143"/>
      <c r="W128" s="143"/>
      <c r="X128" s="143"/>
      <c r="Y128" s="143"/>
      <c r="Z128" s="145"/>
      <c r="AA128" s="145"/>
      <c r="AB128" s="142"/>
    </row>
    <row r="129" spans="1:28" hidden="1" outlineLevel="1">
      <c r="A129" s="145">
        <f t="shared" si="1"/>
        <v>45735</v>
      </c>
      <c r="B129" s="342" t="s">
        <v>1886</v>
      </c>
      <c r="C129" s="342" t="s">
        <v>1886</v>
      </c>
      <c r="D129" s="342" t="e">
        <f t="shared" si="0"/>
        <v>#VALUE!</v>
      </c>
      <c r="F129" s="143"/>
      <c r="G129" s="145"/>
      <c r="H129" s="143"/>
      <c r="I129" s="143"/>
      <c r="J129" s="143"/>
      <c r="K129" s="342"/>
      <c r="L129" s="342"/>
      <c r="M129" s="143"/>
      <c r="N129" s="143"/>
      <c r="O129" s="143"/>
      <c r="P129" s="143"/>
      <c r="Q129" s="143"/>
      <c r="R129" s="143"/>
      <c r="S129" s="143"/>
      <c r="T129" s="143"/>
      <c r="U129" s="143"/>
      <c r="V129" s="143"/>
      <c r="W129" s="143"/>
      <c r="X129" s="143"/>
      <c r="Y129" s="143"/>
      <c r="Z129" s="145"/>
      <c r="AA129" s="145"/>
      <c r="AB129" s="142"/>
    </row>
    <row r="130" spans="1:28" hidden="1" outlineLevel="1">
      <c r="A130" s="145">
        <f t="shared" si="1"/>
        <v>45736</v>
      </c>
      <c r="B130" s="342" t="s">
        <v>1886</v>
      </c>
      <c r="C130" s="342" t="s">
        <v>1886</v>
      </c>
      <c r="D130" s="342" t="e">
        <f t="shared" si="0"/>
        <v>#VALUE!</v>
      </c>
      <c r="F130" s="143"/>
      <c r="G130" s="145"/>
      <c r="H130" s="143"/>
      <c r="I130" s="143"/>
      <c r="J130" s="143"/>
      <c r="K130" s="342"/>
      <c r="L130" s="342"/>
      <c r="M130" s="143"/>
      <c r="N130" s="143"/>
      <c r="O130" s="143"/>
      <c r="P130" s="143"/>
      <c r="Q130" s="143"/>
      <c r="R130" s="143"/>
      <c r="S130" s="143"/>
      <c r="T130" s="143"/>
      <c r="U130" s="143"/>
      <c r="V130" s="143"/>
      <c r="W130" s="143"/>
      <c r="X130" s="143"/>
      <c r="Y130" s="143"/>
      <c r="Z130" s="145"/>
      <c r="AA130" s="145"/>
      <c r="AB130" s="142"/>
    </row>
    <row r="131" spans="1:28" hidden="1" outlineLevel="1">
      <c r="A131" s="145">
        <f t="shared" si="1"/>
        <v>45737</v>
      </c>
      <c r="B131" s="342" t="s">
        <v>1886</v>
      </c>
      <c r="C131" s="342" t="s">
        <v>1886</v>
      </c>
      <c r="D131" s="342" t="e">
        <f t="shared" si="0"/>
        <v>#VALUE!</v>
      </c>
      <c r="F131" s="143"/>
      <c r="G131" s="145"/>
      <c r="H131" s="143"/>
      <c r="I131" s="143"/>
      <c r="J131" s="143"/>
      <c r="K131" s="342"/>
      <c r="L131" s="342"/>
      <c r="M131" s="143"/>
      <c r="N131" s="143"/>
      <c r="O131" s="143"/>
      <c r="P131" s="143"/>
      <c r="Q131" s="143"/>
      <c r="R131" s="143"/>
      <c r="S131" s="143"/>
      <c r="T131" s="143"/>
      <c r="U131" s="143"/>
      <c r="V131" s="143"/>
      <c r="W131" s="143"/>
      <c r="X131" s="143"/>
      <c r="Y131" s="143"/>
      <c r="Z131" s="145"/>
      <c r="AA131" s="145"/>
      <c r="AB131" s="142"/>
    </row>
    <row r="132" spans="1:28" hidden="1" outlineLevel="1">
      <c r="A132" s="145">
        <f t="shared" si="1"/>
        <v>45738</v>
      </c>
      <c r="B132" s="342" t="s">
        <v>1886</v>
      </c>
      <c r="C132" s="342" t="s">
        <v>1886</v>
      </c>
      <c r="D132" s="342" t="e">
        <f t="shared" si="0"/>
        <v>#VALUE!</v>
      </c>
      <c r="F132" s="143"/>
      <c r="G132" s="145"/>
      <c r="H132" s="143"/>
      <c r="I132" s="143"/>
      <c r="J132" s="143"/>
      <c r="K132" s="342"/>
      <c r="L132" s="342"/>
      <c r="M132" s="143"/>
      <c r="N132" s="143"/>
      <c r="O132" s="143"/>
      <c r="P132" s="143"/>
      <c r="Q132" s="143"/>
      <c r="R132" s="143"/>
      <c r="S132" s="143"/>
      <c r="T132" s="143"/>
      <c r="U132" s="143"/>
      <c r="V132" s="143"/>
      <c r="W132" s="143"/>
      <c r="X132" s="143"/>
      <c r="Y132" s="143"/>
      <c r="Z132" s="145"/>
      <c r="AA132" s="145"/>
      <c r="AB132" s="142"/>
    </row>
    <row r="133" spans="1:28" hidden="1" outlineLevel="1">
      <c r="A133" s="145">
        <f t="shared" si="1"/>
        <v>45739</v>
      </c>
      <c r="B133" s="342" t="s">
        <v>1886</v>
      </c>
      <c r="C133" s="342" t="s">
        <v>1886</v>
      </c>
      <c r="D133" s="342" t="e">
        <f t="shared" si="0"/>
        <v>#VALUE!</v>
      </c>
      <c r="F133" s="143"/>
      <c r="G133" s="145"/>
      <c r="H133" s="143"/>
      <c r="I133" s="143"/>
      <c r="J133" s="143"/>
      <c r="K133" s="342"/>
      <c r="L133" s="342"/>
      <c r="M133" s="143"/>
      <c r="N133" s="143"/>
      <c r="O133" s="143"/>
      <c r="P133" s="143"/>
      <c r="Q133" s="143"/>
      <c r="R133" s="143"/>
      <c r="S133" s="143"/>
      <c r="T133" s="143"/>
      <c r="U133" s="143"/>
      <c r="V133" s="143"/>
      <c r="W133" s="143"/>
      <c r="X133" s="143"/>
      <c r="Y133" s="143"/>
      <c r="Z133" s="145"/>
      <c r="AA133" s="145"/>
      <c r="AB133" s="142"/>
    </row>
    <row r="134" spans="1:28" hidden="1" outlineLevel="1">
      <c r="A134" s="145">
        <f t="shared" si="1"/>
        <v>45740</v>
      </c>
      <c r="B134" s="342" t="s">
        <v>1886</v>
      </c>
      <c r="C134" s="342" t="s">
        <v>1886</v>
      </c>
      <c r="D134" s="342" t="e">
        <f t="shared" si="0"/>
        <v>#VALUE!</v>
      </c>
      <c r="F134" s="143"/>
      <c r="G134" s="145"/>
      <c r="H134" s="143"/>
      <c r="I134" s="143"/>
      <c r="J134" s="143"/>
      <c r="K134" s="342"/>
      <c r="L134" s="342"/>
      <c r="M134" s="143"/>
      <c r="N134" s="143"/>
      <c r="O134" s="143"/>
      <c r="P134" s="143"/>
      <c r="Q134" s="143"/>
      <c r="R134" s="143"/>
      <c r="S134" s="143"/>
      <c r="T134" s="143"/>
      <c r="U134" s="143"/>
      <c r="V134" s="143"/>
      <c r="W134" s="143"/>
      <c r="X134" s="143"/>
      <c r="Y134" s="143"/>
      <c r="Z134" s="145"/>
      <c r="AA134" s="145"/>
      <c r="AB134" s="142"/>
    </row>
    <row r="135" spans="1:28" hidden="1" outlineLevel="1">
      <c r="A135" s="145">
        <f t="shared" si="1"/>
        <v>45741</v>
      </c>
      <c r="B135" s="342" t="s">
        <v>1886</v>
      </c>
      <c r="C135" s="342" t="s">
        <v>1886</v>
      </c>
      <c r="D135" s="342" t="e">
        <f t="shared" si="0"/>
        <v>#VALUE!</v>
      </c>
      <c r="F135" s="143"/>
      <c r="G135" s="145"/>
      <c r="H135" s="143"/>
      <c r="I135" s="143"/>
      <c r="J135" s="143"/>
      <c r="K135" s="342"/>
      <c r="L135" s="342"/>
      <c r="M135" s="143"/>
      <c r="N135" s="143"/>
      <c r="O135" s="143"/>
      <c r="P135" s="143"/>
      <c r="Q135" s="143"/>
      <c r="R135" s="143"/>
      <c r="S135" s="143"/>
      <c r="T135" s="143"/>
      <c r="U135" s="143"/>
      <c r="V135" s="143"/>
      <c r="W135" s="143"/>
      <c r="X135" s="143"/>
      <c r="Y135" s="143"/>
      <c r="Z135" s="145"/>
      <c r="AA135" s="145"/>
      <c r="AB135" s="142"/>
    </row>
    <row r="136" spans="1:28" hidden="1" outlineLevel="1">
      <c r="A136" s="145">
        <f t="shared" si="1"/>
        <v>45742</v>
      </c>
      <c r="B136" s="342" t="s">
        <v>1886</v>
      </c>
      <c r="C136" s="342" t="s">
        <v>1886</v>
      </c>
      <c r="D136" s="342" t="e">
        <f t="shared" si="0"/>
        <v>#VALUE!</v>
      </c>
      <c r="F136" s="143"/>
      <c r="G136" s="145"/>
      <c r="H136" s="143"/>
      <c r="I136" s="143"/>
      <c r="J136" s="143"/>
      <c r="K136" s="342"/>
      <c r="L136" s="342"/>
      <c r="M136" s="143"/>
      <c r="N136" s="143"/>
      <c r="O136" s="143"/>
      <c r="P136" s="143"/>
      <c r="Q136" s="143"/>
      <c r="R136" s="143"/>
      <c r="S136" s="143"/>
      <c r="T136" s="143"/>
      <c r="U136" s="143"/>
      <c r="V136" s="143"/>
      <c r="W136" s="143"/>
      <c r="X136" s="143"/>
      <c r="Y136" s="143"/>
      <c r="Z136" s="145"/>
      <c r="AA136" s="145"/>
      <c r="AB136" s="142"/>
    </row>
    <row r="137" spans="1:28" hidden="1" outlineLevel="1">
      <c r="A137" s="145">
        <f t="shared" si="1"/>
        <v>45743</v>
      </c>
      <c r="B137" s="342" t="s">
        <v>1886</v>
      </c>
      <c r="C137" s="342" t="s">
        <v>1886</v>
      </c>
      <c r="D137" s="342" t="e">
        <f t="shared" si="0"/>
        <v>#VALUE!</v>
      </c>
      <c r="F137" s="143"/>
      <c r="G137" s="145"/>
      <c r="H137" s="143"/>
      <c r="I137" s="143"/>
      <c r="J137" s="143"/>
      <c r="K137" s="342"/>
      <c r="L137" s="342"/>
      <c r="M137" s="143"/>
      <c r="N137" s="143"/>
      <c r="O137" s="143"/>
      <c r="P137" s="143"/>
      <c r="Q137" s="143"/>
      <c r="R137" s="143"/>
      <c r="S137" s="143"/>
      <c r="T137" s="143"/>
      <c r="U137" s="143"/>
      <c r="V137" s="143"/>
      <c r="W137" s="143"/>
      <c r="X137" s="143"/>
      <c r="Y137" s="143"/>
      <c r="Z137" s="145"/>
      <c r="AA137" s="145"/>
      <c r="AB137" s="142"/>
    </row>
    <row r="138" spans="1:28">
      <c r="A138" s="145">
        <f t="shared" si="1"/>
        <v>45744</v>
      </c>
      <c r="B138" s="342" t="s">
        <v>1886</v>
      </c>
      <c r="C138" s="342" t="s">
        <v>1886</v>
      </c>
      <c r="D138" s="342" t="e">
        <f t="shared" si="0"/>
        <v>#VALUE!</v>
      </c>
      <c r="F138" s="143"/>
      <c r="G138" s="145"/>
      <c r="H138" s="143"/>
      <c r="I138" s="143"/>
      <c r="J138" s="143"/>
      <c r="K138" s="342"/>
      <c r="L138" s="342"/>
      <c r="M138" s="143"/>
      <c r="N138" s="143"/>
      <c r="O138" s="143"/>
      <c r="P138" s="143"/>
      <c r="Q138" s="143"/>
      <c r="R138" s="143"/>
      <c r="S138" s="143"/>
      <c r="T138" s="143"/>
      <c r="U138" s="143"/>
      <c r="V138" s="143"/>
      <c r="W138" s="143"/>
      <c r="X138" s="143"/>
      <c r="Y138" s="143"/>
      <c r="Z138" s="145"/>
      <c r="AA138" s="145"/>
      <c r="AB138" s="142"/>
    </row>
    <row r="139" spans="1:28">
      <c r="A139" s="145">
        <f t="shared" si="1"/>
        <v>45745</v>
      </c>
      <c r="B139" s="342" t="s">
        <v>1886</v>
      </c>
      <c r="C139" s="342" t="s">
        <v>1886</v>
      </c>
      <c r="D139" s="342" t="e">
        <f t="shared" si="0"/>
        <v>#VALUE!</v>
      </c>
      <c r="F139" s="143"/>
      <c r="G139" s="145"/>
      <c r="H139" s="143"/>
      <c r="I139" s="143"/>
      <c r="J139" s="143"/>
      <c r="K139" s="342"/>
      <c r="L139" s="342"/>
      <c r="M139" s="143"/>
      <c r="N139" s="143"/>
      <c r="O139" s="143"/>
      <c r="P139" s="143"/>
      <c r="Q139" s="143"/>
      <c r="R139" s="143"/>
      <c r="S139" s="143"/>
      <c r="T139" s="143"/>
      <c r="U139" s="143"/>
      <c r="V139" s="143"/>
      <c r="W139" s="143"/>
      <c r="X139" s="143"/>
      <c r="Y139" s="143"/>
      <c r="Z139" s="145"/>
      <c r="AA139" s="145"/>
      <c r="AB139" s="142"/>
    </row>
    <row r="140" spans="1:28">
      <c r="A140" s="145">
        <f t="shared" si="1"/>
        <v>45746</v>
      </c>
      <c r="B140" s="342" t="s">
        <v>1886</v>
      </c>
      <c r="C140" s="342" t="s">
        <v>1886</v>
      </c>
      <c r="D140" s="342" t="e">
        <f t="shared" si="0"/>
        <v>#VALUE!</v>
      </c>
      <c r="F140" s="143"/>
      <c r="G140" s="145"/>
      <c r="H140" s="143"/>
      <c r="I140" s="143"/>
      <c r="J140" s="143"/>
      <c r="K140" s="342"/>
      <c r="L140" s="342"/>
      <c r="M140" s="143"/>
      <c r="N140" s="143"/>
      <c r="O140" s="143"/>
      <c r="P140" s="143"/>
      <c r="Q140" s="143"/>
      <c r="R140" s="143"/>
      <c r="S140" s="143"/>
      <c r="T140" s="143"/>
      <c r="U140" s="143"/>
      <c r="V140" s="143"/>
      <c r="W140" s="143"/>
      <c r="X140" s="143"/>
      <c r="Y140" s="143"/>
      <c r="Z140" s="145"/>
      <c r="AA140" s="145"/>
      <c r="AB140" s="142"/>
    </row>
    <row r="141" spans="1:28">
      <c r="A141" s="145">
        <f t="shared" si="1"/>
        <v>45747</v>
      </c>
      <c r="B141" s="342" t="s">
        <v>1886</v>
      </c>
      <c r="C141" s="342" t="s">
        <v>1886</v>
      </c>
      <c r="D141" s="342" t="e">
        <f t="shared" si="0"/>
        <v>#VALUE!</v>
      </c>
      <c r="F141" s="143"/>
      <c r="G141" s="145"/>
      <c r="H141" s="143"/>
      <c r="I141" s="143"/>
      <c r="J141" s="143"/>
      <c r="K141" s="342"/>
      <c r="L141" s="342"/>
      <c r="M141" s="143"/>
      <c r="N141" s="143"/>
      <c r="O141" s="143"/>
      <c r="P141" s="143"/>
      <c r="Q141" s="143"/>
      <c r="R141" s="143"/>
      <c r="S141" s="143"/>
      <c r="T141" s="143"/>
      <c r="U141" s="143"/>
      <c r="V141" s="143"/>
      <c r="W141" s="143"/>
      <c r="X141" s="143"/>
      <c r="Y141" s="143"/>
      <c r="Z141" s="145"/>
      <c r="AA141" s="145"/>
      <c r="AB141" s="142"/>
    </row>
    <row r="142" spans="1:28">
      <c r="A142" s="145">
        <f t="shared" si="1"/>
        <v>45748</v>
      </c>
      <c r="B142" s="342" t="s">
        <v>1886</v>
      </c>
      <c r="C142" s="342" t="s">
        <v>1886</v>
      </c>
      <c r="D142" s="342" t="e">
        <f t="shared" si="0"/>
        <v>#VALUE!</v>
      </c>
      <c r="F142" s="143"/>
      <c r="G142" s="145"/>
      <c r="H142" s="143"/>
      <c r="I142" s="143"/>
      <c r="J142" s="143"/>
      <c r="K142" s="342"/>
      <c r="L142" s="342"/>
      <c r="M142" s="143"/>
      <c r="N142" s="143"/>
      <c r="O142" s="143"/>
      <c r="P142" s="143"/>
      <c r="Q142" s="143"/>
      <c r="R142" s="143"/>
      <c r="S142" s="143"/>
      <c r="T142" s="143"/>
      <c r="U142" s="143"/>
      <c r="V142" s="143"/>
      <c r="W142" s="143"/>
      <c r="X142" s="143"/>
      <c r="Y142" s="143"/>
      <c r="Z142" s="145"/>
      <c r="AA142" s="145"/>
      <c r="AB142" s="142"/>
    </row>
    <row r="143" spans="1:28">
      <c r="A143" s="145">
        <f t="shared" si="1"/>
        <v>45749</v>
      </c>
      <c r="B143" s="342" t="s">
        <v>1886</v>
      </c>
      <c r="C143" s="342" t="s">
        <v>1886</v>
      </c>
      <c r="D143" s="342" t="e">
        <f t="shared" si="0"/>
        <v>#VALUE!</v>
      </c>
      <c r="F143" s="143"/>
      <c r="G143" s="145"/>
      <c r="H143" s="143"/>
      <c r="I143" s="143"/>
      <c r="J143" s="143"/>
      <c r="K143" s="342"/>
      <c r="L143" s="342"/>
      <c r="M143" s="143"/>
      <c r="N143" s="143"/>
      <c r="O143" s="143"/>
      <c r="P143" s="143"/>
      <c r="Q143" s="143"/>
      <c r="R143" s="143"/>
      <c r="S143" s="143"/>
      <c r="T143" s="143"/>
      <c r="U143" s="143"/>
      <c r="V143" s="143"/>
      <c r="W143" s="143"/>
      <c r="X143" s="143"/>
      <c r="Y143" s="143"/>
      <c r="Z143" s="145"/>
      <c r="AA143" s="145"/>
      <c r="AB143" s="142"/>
    </row>
    <row r="144" spans="1:28">
      <c r="A144" s="145">
        <f t="shared" si="1"/>
        <v>45750</v>
      </c>
      <c r="B144" s="342" t="s">
        <v>1886</v>
      </c>
      <c r="C144" s="342" t="s">
        <v>1886</v>
      </c>
      <c r="D144" s="342" t="e">
        <f t="shared" si="0"/>
        <v>#VALUE!</v>
      </c>
      <c r="F144" s="143"/>
      <c r="G144" s="145"/>
      <c r="H144" s="143"/>
      <c r="I144" s="143"/>
      <c r="J144" s="143"/>
      <c r="K144" s="342"/>
      <c r="L144" s="342"/>
      <c r="M144" s="143"/>
      <c r="N144" s="143"/>
      <c r="O144" s="143"/>
      <c r="P144" s="143"/>
      <c r="Q144" s="143"/>
      <c r="R144" s="143"/>
      <c r="S144" s="143"/>
      <c r="T144" s="143"/>
      <c r="U144" s="143"/>
      <c r="V144" s="143"/>
      <c r="W144" s="143"/>
      <c r="X144" s="143"/>
      <c r="Y144" s="143"/>
      <c r="Z144" s="145"/>
      <c r="AA144" s="145"/>
      <c r="AB144" s="142"/>
    </row>
    <row r="145" spans="1:28">
      <c r="A145" s="145">
        <f t="shared" si="1"/>
        <v>45751</v>
      </c>
      <c r="B145" s="342" t="s">
        <v>1886</v>
      </c>
      <c r="C145" s="342" t="s">
        <v>1886</v>
      </c>
      <c r="D145" s="342" t="e">
        <f t="shared" si="0"/>
        <v>#VALUE!</v>
      </c>
      <c r="F145" s="143"/>
      <c r="G145" s="145"/>
      <c r="H145" s="143"/>
      <c r="I145" s="143"/>
      <c r="J145" s="143"/>
      <c r="K145" s="342"/>
      <c r="L145" s="342"/>
      <c r="M145" s="143"/>
      <c r="N145" s="143"/>
      <c r="O145" s="143"/>
      <c r="P145" s="143"/>
      <c r="Q145" s="143"/>
      <c r="R145" s="143"/>
      <c r="S145" s="143"/>
      <c r="T145" s="143"/>
      <c r="U145" s="143"/>
      <c r="V145" s="143"/>
      <c r="W145" s="143"/>
      <c r="X145" s="143"/>
      <c r="Y145" s="143"/>
      <c r="Z145" s="145"/>
      <c r="AA145" s="145"/>
      <c r="AB145" s="142"/>
    </row>
    <row r="146" spans="1:28">
      <c r="A146" s="145">
        <f t="shared" si="1"/>
        <v>45752</v>
      </c>
      <c r="B146" s="342" t="s">
        <v>1886</v>
      </c>
      <c r="C146" s="342" t="s">
        <v>1886</v>
      </c>
      <c r="D146" s="342" t="e">
        <f t="shared" si="0"/>
        <v>#VALUE!</v>
      </c>
      <c r="F146" s="143"/>
      <c r="G146" s="145"/>
      <c r="H146" s="143"/>
      <c r="I146" s="143"/>
      <c r="J146" s="143"/>
      <c r="K146" s="342"/>
      <c r="L146" s="342"/>
      <c r="M146" s="143"/>
      <c r="N146" s="143"/>
      <c r="O146" s="143"/>
      <c r="P146" s="143"/>
      <c r="Q146" s="143"/>
      <c r="R146" s="143"/>
      <c r="S146" s="143"/>
      <c r="T146" s="143"/>
      <c r="U146" s="143"/>
      <c r="V146" s="143"/>
      <c r="W146" s="143"/>
      <c r="X146" s="143"/>
      <c r="Y146" s="143"/>
      <c r="Z146" s="145"/>
      <c r="AA146" s="145"/>
      <c r="AB146" s="142"/>
    </row>
    <row r="147" spans="1:28">
      <c r="A147" s="145">
        <f t="shared" si="1"/>
        <v>45753</v>
      </c>
      <c r="B147" s="342" t="s">
        <v>1886</v>
      </c>
      <c r="C147" s="342" t="s">
        <v>1886</v>
      </c>
      <c r="D147" s="342" t="e">
        <f t="shared" si="0"/>
        <v>#VALUE!</v>
      </c>
      <c r="F147" s="143"/>
      <c r="G147" s="145"/>
      <c r="H147" s="143"/>
      <c r="I147" s="143"/>
      <c r="J147" s="143"/>
      <c r="K147" s="342"/>
      <c r="L147" s="342"/>
      <c r="M147" s="143"/>
      <c r="N147" s="143"/>
      <c r="O147" s="143"/>
      <c r="P147" s="143"/>
      <c r="Q147" s="143"/>
      <c r="R147" s="143"/>
      <c r="S147" s="143"/>
      <c r="T147" s="143"/>
      <c r="U147" s="143"/>
      <c r="V147" s="143"/>
      <c r="W147" s="143"/>
      <c r="X147" s="143"/>
      <c r="Y147" s="143"/>
      <c r="Z147" s="145"/>
      <c r="AA147" s="145"/>
      <c r="AB147" s="142"/>
    </row>
    <row r="148" spans="1:28">
      <c r="A148" s="145">
        <f t="shared" si="1"/>
        <v>45754</v>
      </c>
      <c r="B148" s="342" t="s">
        <v>1886</v>
      </c>
      <c r="C148" s="342" t="s">
        <v>1886</v>
      </c>
      <c r="D148" s="342" t="e">
        <f t="shared" si="0"/>
        <v>#VALUE!</v>
      </c>
      <c r="F148" s="143"/>
      <c r="G148" s="145"/>
      <c r="H148" s="143"/>
      <c r="I148" s="143"/>
      <c r="J148" s="143"/>
      <c r="K148" s="342"/>
      <c r="L148" s="342"/>
      <c r="M148" s="143"/>
      <c r="N148" s="143"/>
      <c r="O148" s="143"/>
      <c r="P148" s="143"/>
      <c r="Q148" s="143"/>
      <c r="R148" s="143"/>
      <c r="S148" s="143"/>
      <c r="T148" s="143"/>
      <c r="U148" s="143"/>
      <c r="V148" s="143"/>
      <c r="W148" s="143"/>
      <c r="X148" s="143"/>
      <c r="Y148" s="143"/>
      <c r="Z148" s="145"/>
      <c r="AA148" s="145"/>
      <c r="AB148" s="142"/>
    </row>
    <row r="149" spans="1:28">
      <c r="A149" s="145">
        <f t="shared" si="1"/>
        <v>45755</v>
      </c>
      <c r="B149" s="342" t="s">
        <v>1886</v>
      </c>
      <c r="C149" s="342" t="s">
        <v>1886</v>
      </c>
      <c r="D149" s="342" t="e">
        <f t="shared" si="0"/>
        <v>#VALUE!</v>
      </c>
      <c r="F149" s="143"/>
      <c r="G149" s="145"/>
      <c r="H149" s="143"/>
      <c r="I149" s="143"/>
      <c r="J149" s="143"/>
      <c r="K149" s="342"/>
      <c r="L149" s="342"/>
      <c r="M149" s="143"/>
      <c r="N149" s="143"/>
      <c r="O149" s="143"/>
      <c r="P149" s="143"/>
      <c r="Q149" s="143"/>
      <c r="R149" s="143"/>
      <c r="S149" s="143"/>
      <c r="T149" s="143"/>
      <c r="U149" s="143"/>
      <c r="V149" s="143"/>
      <c r="W149" s="143"/>
      <c r="X149" s="143"/>
      <c r="Y149" s="143"/>
      <c r="Z149" s="145"/>
      <c r="AA149" s="145"/>
      <c r="AB149" s="142"/>
    </row>
    <row r="150" spans="1:28">
      <c r="A150" s="145">
        <f t="shared" si="1"/>
        <v>45756</v>
      </c>
      <c r="B150" s="342" t="s">
        <v>1886</v>
      </c>
      <c r="C150" s="342" t="s">
        <v>1886</v>
      </c>
      <c r="D150" s="342" t="e">
        <f t="shared" si="0"/>
        <v>#VALUE!</v>
      </c>
      <c r="F150" s="143"/>
      <c r="G150" s="145"/>
      <c r="H150" s="143"/>
      <c r="I150" s="143"/>
      <c r="J150" s="143"/>
      <c r="K150" s="342"/>
      <c r="L150" s="342"/>
      <c r="M150" s="143"/>
      <c r="N150" s="143"/>
      <c r="O150" s="143"/>
      <c r="P150" s="143"/>
      <c r="Q150" s="143"/>
      <c r="R150" s="143"/>
      <c r="S150" s="143"/>
      <c r="T150" s="143"/>
      <c r="U150" s="143"/>
      <c r="V150" s="143"/>
      <c r="W150" s="143"/>
      <c r="X150" s="143"/>
      <c r="Y150" s="143"/>
      <c r="Z150" s="145"/>
      <c r="AA150" s="145"/>
      <c r="AB150" s="142"/>
    </row>
    <row r="151" spans="1:28">
      <c r="A151" s="145">
        <f t="shared" si="1"/>
        <v>45757</v>
      </c>
      <c r="B151" s="342" t="s">
        <v>1886</v>
      </c>
      <c r="C151" s="342" t="s">
        <v>1886</v>
      </c>
      <c r="D151" s="342" t="e">
        <f t="shared" si="0"/>
        <v>#VALUE!</v>
      </c>
      <c r="F151" s="143"/>
      <c r="G151" s="145"/>
      <c r="H151" s="143"/>
      <c r="I151" s="143"/>
      <c r="J151" s="143"/>
      <c r="K151" s="342"/>
      <c r="L151" s="342"/>
      <c r="M151" s="143"/>
      <c r="N151" s="143"/>
      <c r="O151" s="143"/>
      <c r="P151" s="143"/>
      <c r="Q151" s="143"/>
      <c r="R151" s="143"/>
      <c r="S151" s="143"/>
      <c r="T151" s="143"/>
      <c r="U151" s="143"/>
      <c r="V151" s="143"/>
      <c r="W151" s="143"/>
      <c r="X151" s="143"/>
      <c r="Y151" s="143"/>
      <c r="Z151" s="145"/>
      <c r="AA151" s="145"/>
      <c r="AB151" s="142"/>
    </row>
    <row r="152" spans="1:28">
      <c r="A152" s="145">
        <f t="shared" si="1"/>
        <v>45758</v>
      </c>
      <c r="B152" s="342" t="s">
        <v>1886</v>
      </c>
      <c r="C152" s="342" t="s">
        <v>1886</v>
      </c>
      <c r="D152" s="342" t="e">
        <f t="shared" si="0"/>
        <v>#VALUE!</v>
      </c>
      <c r="F152" s="143"/>
      <c r="G152" s="145"/>
      <c r="H152" s="143"/>
      <c r="I152" s="143"/>
      <c r="J152" s="143"/>
      <c r="K152" s="342"/>
      <c r="L152" s="342"/>
      <c r="M152" s="143"/>
      <c r="N152" s="143"/>
      <c r="O152" s="143"/>
      <c r="P152" s="143"/>
      <c r="Q152" s="143"/>
      <c r="R152" s="143"/>
      <c r="S152" s="143"/>
      <c r="T152" s="143"/>
      <c r="U152" s="143"/>
      <c r="V152" s="143"/>
      <c r="W152" s="143"/>
      <c r="X152" s="143"/>
      <c r="Y152" s="143"/>
      <c r="Z152" s="145"/>
      <c r="AA152" s="145"/>
      <c r="AB152" s="142"/>
    </row>
    <row r="153" spans="1:28">
      <c r="A153" s="145">
        <f t="shared" si="1"/>
        <v>45759</v>
      </c>
      <c r="B153" s="342" t="s">
        <v>1886</v>
      </c>
      <c r="C153" s="342" t="s">
        <v>1886</v>
      </c>
      <c r="D153" s="342" t="e">
        <f t="shared" si="0"/>
        <v>#VALUE!</v>
      </c>
      <c r="F153" s="143"/>
      <c r="G153" s="145"/>
      <c r="H153" s="143"/>
      <c r="I153" s="143"/>
      <c r="J153" s="143"/>
      <c r="K153" s="342"/>
      <c r="L153" s="342"/>
      <c r="M153" s="143"/>
      <c r="N153" s="143"/>
      <c r="O153" s="143"/>
      <c r="P153" s="143"/>
      <c r="Q153" s="143"/>
      <c r="R153" s="143"/>
      <c r="S153" s="143"/>
      <c r="T153" s="143"/>
      <c r="U153" s="143"/>
      <c r="V153" s="143"/>
      <c r="W153" s="143"/>
      <c r="X153" s="143"/>
      <c r="Y153" s="143"/>
      <c r="Z153" s="145"/>
      <c r="AA153" s="145"/>
      <c r="AB153" s="142"/>
    </row>
    <row r="154" spans="1:28">
      <c r="A154" s="145">
        <f t="shared" si="1"/>
        <v>45760</v>
      </c>
      <c r="B154" s="342" t="s">
        <v>1886</v>
      </c>
      <c r="C154" s="342" t="s">
        <v>1886</v>
      </c>
      <c r="D154" s="342" t="e">
        <f t="shared" si="0"/>
        <v>#VALUE!</v>
      </c>
      <c r="F154" s="143"/>
      <c r="G154" s="145"/>
      <c r="H154" s="143"/>
      <c r="I154" s="143"/>
      <c r="J154" s="143"/>
      <c r="K154" s="342"/>
      <c r="L154" s="342"/>
      <c r="M154" s="143"/>
      <c r="N154" s="143"/>
      <c r="O154" s="143"/>
      <c r="P154" s="143"/>
      <c r="Q154" s="143"/>
      <c r="R154" s="143"/>
      <c r="S154" s="143"/>
      <c r="T154" s="143"/>
      <c r="U154" s="143"/>
      <c r="V154" s="143"/>
      <c r="W154" s="143"/>
      <c r="X154" s="143"/>
      <c r="Y154" s="143"/>
      <c r="Z154" s="145"/>
      <c r="AA154" s="145"/>
      <c r="AB154" s="142"/>
    </row>
    <row r="155" spans="1:28">
      <c r="A155" s="145">
        <f t="shared" si="1"/>
        <v>45761</v>
      </c>
      <c r="B155" s="342" t="s">
        <v>1886</v>
      </c>
      <c r="C155" s="342" t="s">
        <v>1886</v>
      </c>
      <c r="D155" s="342" t="e">
        <f t="shared" si="0"/>
        <v>#VALUE!</v>
      </c>
      <c r="F155" s="143"/>
      <c r="G155" s="145"/>
      <c r="H155" s="143"/>
      <c r="I155" s="143"/>
      <c r="J155" s="143"/>
      <c r="K155" s="342"/>
      <c r="L155" s="342"/>
      <c r="M155" s="143"/>
      <c r="N155" s="143"/>
      <c r="O155" s="143"/>
      <c r="P155" s="143"/>
      <c r="Q155" s="143"/>
      <c r="R155" s="143"/>
      <c r="S155" s="143"/>
      <c r="T155" s="143"/>
      <c r="U155" s="143"/>
      <c r="V155" s="143"/>
      <c r="W155" s="143"/>
      <c r="X155" s="143"/>
      <c r="Y155" s="143"/>
      <c r="Z155" s="145"/>
      <c r="AA155" s="145"/>
      <c r="AB155" s="142"/>
    </row>
    <row r="156" spans="1:28">
      <c r="A156" s="145">
        <f t="shared" si="1"/>
        <v>45762</v>
      </c>
      <c r="B156" s="342" t="s">
        <v>1886</v>
      </c>
      <c r="C156" s="342" t="s">
        <v>1886</v>
      </c>
      <c r="D156" s="342" t="e">
        <f t="shared" si="0"/>
        <v>#VALUE!</v>
      </c>
      <c r="F156" s="143"/>
      <c r="G156" s="145"/>
      <c r="H156" s="143"/>
      <c r="I156" s="143"/>
      <c r="J156" s="143"/>
      <c r="K156" s="342"/>
      <c r="L156" s="342"/>
      <c r="M156" s="143"/>
      <c r="N156" s="143"/>
      <c r="O156" s="143"/>
      <c r="P156" s="143"/>
      <c r="Q156" s="143"/>
      <c r="R156" s="143"/>
      <c r="S156" s="143"/>
      <c r="T156" s="143"/>
      <c r="U156" s="143"/>
      <c r="V156" s="143"/>
      <c r="W156" s="143"/>
      <c r="X156" s="143"/>
      <c r="Y156" s="143"/>
      <c r="Z156" s="145"/>
      <c r="AA156" s="145"/>
      <c r="AB156" s="142"/>
    </row>
    <row r="157" spans="1:28">
      <c r="A157" s="145">
        <f t="shared" si="1"/>
        <v>45763</v>
      </c>
      <c r="B157" s="342" t="s">
        <v>1886</v>
      </c>
      <c r="C157" s="342" t="s">
        <v>1886</v>
      </c>
      <c r="D157" s="342" t="e">
        <f t="shared" si="0"/>
        <v>#VALUE!</v>
      </c>
      <c r="F157" s="143"/>
      <c r="G157" s="145"/>
      <c r="H157" s="143"/>
      <c r="I157" s="143"/>
      <c r="J157" s="143"/>
      <c r="K157" s="342"/>
      <c r="L157" s="342"/>
      <c r="M157" s="143"/>
      <c r="N157" s="143"/>
      <c r="O157" s="143"/>
      <c r="P157" s="143"/>
      <c r="Q157" s="143"/>
      <c r="R157" s="143"/>
      <c r="S157" s="143"/>
      <c r="T157" s="143"/>
      <c r="U157" s="143"/>
      <c r="V157" s="143"/>
      <c r="W157" s="143"/>
      <c r="X157" s="143"/>
      <c r="Y157" s="143"/>
      <c r="Z157" s="145"/>
      <c r="AA157" s="145"/>
      <c r="AB157" s="142"/>
    </row>
    <row r="158" spans="1:28">
      <c r="A158" s="145">
        <f t="shared" si="1"/>
        <v>45764</v>
      </c>
      <c r="B158" s="342" t="s">
        <v>1886</v>
      </c>
      <c r="C158" s="342" t="s">
        <v>1886</v>
      </c>
      <c r="D158" s="342" t="e">
        <f t="shared" si="0"/>
        <v>#VALUE!</v>
      </c>
      <c r="F158" s="143"/>
      <c r="G158" s="145"/>
      <c r="H158" s="143"/>
      <c r="I158" s="143"/>
      <c r="J158" s="143"/>
      <c r="K158" s="342"/>
      <c r="L158" s="342"/>
      <c r="M158" s="143"/>
      <c r="N158" s="143"/>
      <c r="O158" s="143"/>
      <c r="P158" s="143"/>
      <c r="Q158" s="143"/>
      <c r="R158" s="143"/>
      <c r="S158" s="143"/>
      <c r="T158" s="143"/>
      <c r="U158" s="143"/>
      <c r="V158" s="143"/>
      <c r="W158" s="143"/>
      <c r="X158" s="143"/>
      <c r="Y158" s="143"/>
      <c r="Z158" s="145"/>
      <c r="AA158" s="145"/>
      <c r="AB158" s="142"/>
    </row>
    <row r="159" spans="1:28">
      <c r="A159" s="145">
        <f t="shared" si="1"/>
        <v>45765</v>
      </c>
      <c r="B159" s="342" t="s">
        <v>1886</v>
      </c>
      <c r="C159" s="342" t="s">
        <v>1886</v>
      </c>
      <c r="D159" s="342" t="e">
        <f t="shared" si="0"/>
        <v>#VALUE!</v>
      </c>
      <c r="F159" s="143"/>
      <c r="G159" s="145"/>
      <c r="H159" s="143"/>
      <c r="I159" s="143"/>
      <c r="J159" s="143"/>
      <c r="K159" s="342"/>
      <c r="L159" s="342"/>
      <c r="M159" s="143"/>
      <c r="N159" s="143"/>
      <c r="O159" s="143"/>
      <c r="P159" s="143"/>
      <c r="Q159" s="143"/>
      <c r="R159" s="143"/>
      <c r="S159" s="143"/>
      <c r="T159" s="143"/>
      <c r="U159" s="143"/>
      <c r="V159" s="143"/>
      <c r="W159" s="143"/>
      <c r="X159" s="143"/>
      <c r="Y159" s="143"/>
      <c r="Z159" s="145"/>
      <c r="AA159" s="145"/>
      <c r="AB159" s="142"/>
    </row>
    <row r="160" spans="1:28">
      <c r="A160" s="145">
        <f t="shared" si="1"/>
        <v>45766</v>
      </c>
      <c r="B160" s="342" t="s">
        <v>1886</v>
      </c>
      <c r="C160" s="342" t="s">
        <v>1886</v>
      </c>
      <c r="D160" s="342" t="e">
        <f t="shared" si="0"/>
        <v>#VALUE!</v>
      </c>
      <c r="F160" s="143"/>
      <c r="G160" s="145"/>
      <c r="H160" s="143"/>
      <c r="I160" s="143"/>
      <c r="J160" s="143"/>
      <c r="K160" s="342"/>
      <c r="L160" s="342"/>
      <c r="M160" s="143"/>
      <c r="N160" s="143"/>
      <c r="O160" s="143"/>
      <c r="P160" s="143"/>
      <c r="Q160" s="143"/>
      <c r="R160" s="143"/>
      <c r="S160" s="143"/>
      <c r="T160" s="143"/>
      <c r="U160" s="143"/>
      <c r="V160" s="143"/>
      <c r="W160" s="143"/>
      <c r="X160" s="143"/>
      <c r="Y160" s="143"/>
      <c r="Z160" s="145"/>
      <c r="AA160" s="145"/>
      <c r="AB160" s="142"/>
    </row>
    <row r="161" spans="1:28">
      <c r="A161" s="145">
        <f t="shared" si="1"/>
        <v>45767</v>
      </c>
      <c r="B161" s="342" t="s">
        <v>1886</v>
      </c>
      <c r="C161" s="342" t="s">
        <v>1886</v>
      </c>
      <c r="D161" s="342" t="e">
        <f t="shared" si="0"/>
        <v>#VALUE!</v>
      </c>
      <c r="F161" s="143"/>
      <c r="G161" s="145"/>
      <c r="H161" s="143"/>
      <c r="I161" s="143"/>
      <c r="J161" s="143"/>
      <c r="K161" s="342"/>
      <c r="L161" s="342"/>
      <c r="M161" s="143"/>
      <c r="N161" s="143"/>
      <c r="O161" s="143"/>
      <c r="P161" s="143"/>
      <c r="Q161" s="143"/>
      <c r="R161" s="143"/>
      <c r="S161" s="143"/>
      <c r="T161" s="143"/>
      <c r="U161" s="143"/>
      <c r="V161" s="143"/>
      <c r="W161" s="143"/>
      <c r="X161" s="143"/>
      <c r="Y161" s="143"/>
      <c r="Z161" s="145"/>
      <c r="AA161" s="145"/>
      <c r="AB161" s="142"/>
    </row>
    <row r="162" spans="1:28">
      <c r="A162" s="145">
        <f t="shared" si="1"/>
        <v>45768</v>
      </c>
      <c r="B162" s="342" t="s">
        <v>1886</v>
      </c>
      <c r="C162" s="342" t="s">
        <v>1886</v>
      </c>
      <c r="D162" s="342" t="e">
        <f t="shared" si="0"/>
        <v>#VALUE!</v>
      </c>
      <c r="F162" s="143"/>
      <c r="G162" s="145"/>
      <c r="H162" s="143"/>
      <c r="I162" s="143"/>
      <c r="J162" s="143"/>
      <c r="K162" s="342"/>
      <c r="L162" s="342"/>
      <c r="M162" s="143"/>
      <c r="N162" s="143"/>
      <c r="O162" s="143"/>
      <c r="P162" s="143"/>
      <c r="Q162" s="143"/>
      <c r="R162" s="143"/>
      <c r="S162" s="143"/>
      <c r="T162" s="143"/>
      <c r="U162" s="143"/>
      <c r="V162" s="143"/>
      <c r="W162" s="143"/>
      <c r="X162" s="143"/>
      <c r="Y162" s="143"/>
      <c r="Z162" s="145"/>
      <c r="AA162" s="145"/>
      <c r="AB162" s="142"/>
    </row>
    <row r="163" spans="1:28">
      <c r="A163" s="145">
        <f t="shared" si="1"/>
        <v>45769</v>
      </c>
      <c r="B163" s="342" t="s">
        <v>1886</v>
      </c>
      <c r="C163" s="342" t="s">
        <v>1886</v>
      </c>
      <c r="D163" s="342" t="e">
        <f t="shared" si="0"/>
        <v>#VALUE!</v>
      </c>
      <c r="F163" s="143"/>
      <c r="G163" s="145"/>
      <c r="H163" s="143"/>
      <c r="I163" s="143"/>
      <c r="J163" s="143"/>
      <c r="K163" s="342"/>
      <c r="L163" s="342"/>
      <c r="M163" s="143"/>
      <c r="N163" s="143"/>
      <c r="O163" s="143"/>
      <c r="P163" s="143"/>
      <c r="Q163" s="143"/>
      <c r="R163" s="143"/>
      <c r="S163" s="143"/>
      <c r="T163" s="143"/>
      <c r="U163" s="143"/>
      <c r="V163" s="143"/>
      <c r="W163" s="143"/>
      <c r="X163" s="143"/>
      <c r="Y163" s="143"/>
      <c r="Z163" s="145"/>
      <c r="AA163" s="145"/>
      <c r="AB163" s="142"/>
    </row>
    <row r="164" spans="1:28">
      <c r="A164" s="145">
        <f t="shared" si="1"/>
        <v>45770</v>
      </c>
      <c r="B164" s="342" t="s">
        <v>1886</v>
      </c>
      <c r="C164" s="342" t="s">
        <v>1886</v>
      </c>
      <c r="D164" s="342" t="e">
        <f t="shared" si="0"/>
        <v>#VALUE!</v>
      </c>
      <c r="F164" s="143"/>
      <c r="G164" s="145"/>
      <c r="H164" s="143"/>
      <c r="I164" s="143"/>
      <c r="J164" s="143"/>
      <c r="K164" s="342"/>
      <c r="L164" s="342"/>
      <c r="M164" s="143"/>
      <c r="N164" s="143"/>
      <c r="O164" s="143"/>
      <c r="P164" s="143"/>
      <c r="Q164" s="143"/>
      <c r="R164" s="143"/>
      <c r="S164" s="143"/>
      <c r="T164" s="143"/>
      <c r="U164" s="143"/>
      <c r="V164" s="143"/>
      <c r="W164" s="143"/>
      <c r="X164" s="143"/>
      <c r="Y164" s="143"/>
      <c r="Z164" s="145"/>
      <c r="AA164" s="145"/>
      <c r="AB164" s="142"/>
    </row>
    <row r="165" spans="1:28">
      <c r="A165" s="145">
        <f t="shared" si="1"/>
        <v>45771</v>
      </c>
      <c r="B165" s="342" t="s">
        <v>1886</v>
      </c>
      <c r="C165" s="342" t="s">
        <v>1886</v>
      </c>
      <c r="D165" s="342" t="e">
        <f t="shared" si="0"/>
        <v>#VALUE!</v>
      </c>
      <c r="F165" s="143"/>
      <c r="G165" s="145"/>
      <c r="H165" s="143"/>
      <c r="I165" s="143"/>
      <c r="J165" s="143"/>
      <c r="K165" s="342"/>
      <c r="L165" s="342"/>
      <c r="M165" s="143"/>
      <c r="N165" s="143"/>
      <c r="O165" s="143"/>
      <c r="P165" s="143"/>
      <c r="Q165" s="143"/>
      <c r="R165" s="143"/>
      <c r="S165" s="143"/>
      <c r="T165" s="143"/>
      <c r="U165" s="143"/>
      <c r="V165" s="143"/>
      <c r="W165" s="143"/>
      <c r="X165" s="143"/>
      <c r="Y165" s="143"/>
      <c r="Z165" s="145"/>
      <c r="AA165" s="145"/>
      <c r="AB165" s="142"/>
    </row>
    <row r="166" spans="1:28">
      <c r="A166" s="145">
        <f t="shared" si="1"/>
        <v>45772</v>
      </c>
      <c r="B166" s="342" t="s">
        <v>1886</v>
      </c>
      <c r="C166" s="342" t="s">
        <v>1886</v>
      </c>
      <c r="D166" s="342" t="e">
        <f t="shared" si="0"/>
        <v>#VALUE!</v>
      </c>
      <c r="F166" s="143"/>
      <c r="G166" s="145"/>
      <c r="H166" s="143"/>
      <c r="I166" s="143"/>
      <c r="J166" s="143"/>
      <c r="K166" s="342"/>
      <c r="L166" s="342"/>
      <c r="M166" s="143"/>
      <c r="N166" s="143"/>
      <c r="O166" s="143"/>
      <c r="P166" s="143"/>
      <c r="Q166" s="143"/>
      <c r="R166" s="143"/>
      <c r="S166" s="143"/>
      <c r="T166" s="143"/>
      <c r="U166" s="143"/>
      <c r="V166" s="143"/>
      <c r="W166" s="143"/>
      <c r="X166" s="143"/>
      <c r="Y166" s="143"/>
      <c r="Z166" s="145"/>
      <c r="AA166" s="145"/>
      <c r="AB166" s="142"/>
    </row>
    <row r="167" spans="1:28">
      <c r="A167" s="145">
        <f t="shared" si="1"/>
        <v>45773</v>
      </c>
      <c r="B167" s="342" t="s">
        <v>1886</v>
      </c>
      <c r="C167" s="342" t="s">
        <v>1886</v>
      </c>
      <c r="D167" s="342" t="e">
        <f t="shared" si="0"/>
        <v>#VALUE!</v>
      </c>
      <c r="F167" s="143"/>
      <c r="G167" s="145"/>
      <c r="H167" s="143"/>
      <c r="I167" s="143"/>
      <c r="J167" s="143"/>
      <c r="K167" s="342"/>
      <c r="L167" s="342"/>
      <c r="M167" s="143"/>
      <c r="N167" s="143"/>
      <c r="O167" s="143"/>
      <c r="P167" s="143"/>
      <c r="Q167" s="143"/>
      <c r="R167" s="143"/>
      <c r="S167" s="143"/>
      <c r="T167" s="143"/>
      <c r="U167" s="143"/>
      <c r="V167" s="143"/>
      <c r="W167" s="143"/>
      <c r="X167" s="143"/>
      <c r="Y167" s="143"/>
      <c r="Z167" s="145"/>
      <c r="AA167" s="145"/>
      <c r="AB167" s="142"/>
    </row>
    <row r="168" spans="1:28">
      <c r="A168" s="145">
        <f t="shared" si="1"/>
        <v>45774</v>
      </c>
      <c r="B168" s="342" t="s">
        <v>1886</v>
      </c>
      <c r="C168" s="342" t="s">
        <v>1886</v>
      </c>
      <c r="D168" s="342" t="e">
        <f t="shared" si="0"/>
        <v>#VALUE!</v>
      </c>
      <c r="F168" s="143"/>
      <c r="G168" s="145"/>
      <c r="H168" s="143"/>
      <c r="I168" s="143"/>
      <c r="J168" s="143"/>
      <c r="K168" s="342"/>
      <c r="L168" s="342"/>
      <c r="M168" s="143"/>
      <c r="N168" s="143"/>
      <c r="O168" s="143"/>
      <c r="P168" s="143"/>
      <c r="Q168" s="143"/>
      <c r="R168" s="143"/>
      <c r="S168" s="143"/>
      <c r="T168" s="143"/>
      <c r="U168" s="143"/>
      <c r="V168" s="143"/>
      <c r="W168" s="143"/>
      <c r="X168" s="143"/>
      <c r="Y168" s="143"/>
      <c r="Z168" s="145"/>
      <c r="AA168" s="145"/>
      <c r="AB168" s="142"/>
    </row>
    <row r="169" spans="1:28">
      <c r="A169" s="145">
        <f t="shared" si="1"/>
        <v>45775</v>
      </c>
      <c r="B169" s="342" t="s">
        <v>1886</v>
      </c>
      <c r="C169" s="342" t="s">
        <v>1886</v>
      </c>
      <c r="D169" s="342" t="e">
        <f t="shared" si="0"/>
        <v>#VALUE!</v>
      </c>
      <c r="F169" s="143"/>
      <c r="G169" s="145"/>
      <c r="H169" s="143"/>
      <c r="I169" s="143"/>
      <c r="J169" s="143"/>
      <c r="K169" s="342"/>
      <c r="L169" s="342"/>
      <c r="M169" s="143"/>
      <c r="N169" s="143"/>
      <c r="O169" s="143"/>
      <c r="P169" s="143"/>
      <c r="Q169" s="143"/>
      <c r="R169" s="143"/>
      <c r="S169" s="143"/>
      <c r="T169" s="143"/>
      <c r="U169" s="143"/>
      <c r="V169" s="143"/>
      <c r="W169" s="143"/>
      <c r="X169" s="143"/>
      <c r="Y169" s="143"/>
      <c r="Z169" s="145"/>
      <c r="AA169" s="145"/>
      <c r="AB169" s="142"/>
    </row>
    <row r="170" spans="1:28">
      <c r="A170" s="145">
        <f t="shared" si="1"/>
        <v>45776</v>
      </c>
      <c r="B170" s="342" t="s">
        <v>1886</v>
      </c>
      <c r="C170" s="342" t="s">
        <v>1886</v>
      </c>
      <c r="D170" s="342" t="e">
        <f t="shared" si="0"/>
        <v>#VALUE!</v>
      </c>
      <c r="F170" s="143"/>
      <c r="G170" s="145"/>
      <c r="H170" s="143"/>
      <c r="I170" s="143"/>
      <c r="J170" s="143"/>
      <c r="K170" s="342"/>
      <c r="L170" s="342"/>
      <c r="M170" s="143"/>
      <c r="N170" s="143"/>
      <c r="O170" s="143"/>
      <c r="P170" s="143"/>
      <c r="Q170" s="143"/>
      <c r="R170" s="143"/>
      <c r="S170" s="143"/>
      <c r="T170" s="143"/>
      <c r="U170" s="143"/>
      <c r="V170" s="143"/>
      <c r="W170" s="143"/>
      <c r="X170" s="143"/>
      <c r="Y170" s="143"/>
      <c r="Z170" s="145"/>
      <c r="AA170" s="145"/>
      <c r="AB170" s="142"/>
    </row>
    <row r="171" spans="1:28">
      <c r="A171" s="145">
        <f t="shared" si="1"/>
        <v>45777</v>
      </c>
      <c r="B171" s="342" t="s">
        <v>1886</v>
      </c>
      <c r="C171" s="342" t="s">
        <v>1886</v>
      </c>
      <c r="D171" s="342" t="e">
        <f t="shared" si="0"/>
        <v>#VALUE!</v>
      </c>
      <c r="F171" s="143"/>
      <c r="G171" s="145"/>
      <c r="H171" s="143"/>
      <c r="I171" s="143"/>
      <c r="J171" s="143"/>
      <c r="K171" s="342"/>
      <c r="L171" s="342"/>
      <c r="M171" s="143"/>
      <c r="N171" s="143"/>
      <c r="O171" s="143"/>
      <c r="P171" s="143"/>
      <c r="Q171" s="143"/>
      <c r="R171" s="143"/>
      <c r="S171" s="143"/>
      <c r="T171" s="143"/>
      <c r="U171" s="143"/>
      <c r="V171" s="143"/>
      <c r="W171" s="143"/>
      <c r="X171" s="143"/>
      <c r="Y171" s="143"/>
      <c r="Z171" s="145"/>
      <c r="AA171" s="145"/>
      <c r="AB171" s="142"/>
    </row>
    <row r="172" spans="1:28">
      <c r="A172" s="145"/>
      <c r="B172" s="342"/>
      <c r="C172" s="342"/>
      <c r="D172" s="342"/>
      <c r="F172" s="143"/>
      <c r="G172" s="145"/>
      <c r="H172" s="143"/>
      <c r="I172" s="143"/>
      <c r="J172" s="143"/>
      <c r="K172" s="342"/>
      <c r="L172" s="342"/>
      <c r="M172" s="143"/>
      <c r="N172" s="143"/>
      <c r="O172" s="143"/>
      <c r="P172" s="143"/>
      <c r="Q172" s="143"/>
      <c r="R172" s="143"/>
      <c r="S172" s="143"/>
      <c r="T172" s="143"/>
      <c r="U172" s="143"/>
      <c r="V172" s="143"/>
      <c r="W172" s="143"/>
      <c r="X172" s="143"/>
      <c r="Y172" s="143"/>
      <c r="Z172" s="145"/>
      <c r="AA172" s="145"/>
      <c r="AB172" s="142"/>
    </row>
    <row r="173" spans="1:28">
      <c r="A173" s="145"/>
      <c r="B173" s="342"/>
      <c r="C173" s="342"/>
      <c r="D173" s="342"/>
      <c r="F173" s="143"/>
      <c r="G173" s="145"/>
      <c r="H173" s="143"/>
      <c r="I173" s="143"/>
      <c r="J173" s="143"/>
      <c r="K173" s="342"/>
      <c r="L173" s="342"/>
      <c r="M173" s="143"/>
      <c r="N173" s="143"/>
      <c r="O173" s="143"/>
      <c r="P173" s="143"/>
      <c r="Q173" s="143"/>
      <c r="R173" s="143"/>
      <c r="S173" s="143"/>
      <c r="T173" s="143"/>
      <c r="U173" s="143"/>
      <c r="V173" s="143"/>
      <c r="W173" s="143"/>
      <c r="X173" s="143"/>
      <c r="Y173" s="143"/>
      <c r="Z173" s="145"/>
      <c r="AA173" s="145"/>
      <c r="AB173" s="142"/>
    </row>
    <row r="174" spans="1:28">
      <c r="A174" s="145"/>
      <c r="B174" s="342"/>
      <c r="C174" s="342"/>
      <c r="D174" s="342"/>
      <c r="F174" s="143"/>
      <c r="G174" s="145"/>
      <c r="H174" s="143"/>
      <c r="I174" s="143"/>
      <c r="J174" s="143"/>
      <c r="K174" s="342"/>
      <c r="L174" s="342"/>
      <c r="M174" s="143"/>
      <c r="N174" s="143"/>
      <c r="O174" s="143"/>
      <c r="P174" s="143"/>
      <c r="Q174" s="143"/>
      <c r="R174" s="143"/>
      <c r="S174" s="143"/>
      <c r="T174" s="143"/>
      <c r="U174" s="143"/>
      <c r="V174" s="143"/>
      <c r="W174" s="143"/>
      <c r="X174" s="143"/>
      <c r="Y174" s="143"/>
      <c r="Z174" s="145"/>
      <c r="AA174" s="145"/>
      <c r="AB174" s="142"/>
    </row>
    <row r="175" spans="1:28">
      <c r="A175" s="145"/>
      <c r="B175" s="342"/>
      <c r="C175" s="342"/>
      <c r="D175" s="342"/>
      <c r="F175" s="143"/>
      <c r="G175" s="145"/>
      <c r="H175" s="143"/>
      <c r="I175" s="143"/>
      <c r="J175" s="143"/>
      <c r="K175" s="342"/>
      <c r="L175" s="342"/>
      <c r="M175" s="143"/>
      <c r="N175" s="143"/>
      <c r="O175" s="143"/>
      <c r="P175" s="143"/>
      <c r="Q175" s="143"/>
      <c r="R175" s="143"/>
      <c r="S175" s="143"/>
      <c r="T175" s="143"/>
      <c r="U175" s="143"/>
      <c r="V175" s="143"/>
      <c r="W175" s="143"/>
      <c r="X175" s="143"/>
      <c r="Y175" s="143"/>
      <c r="Z175" s="145"/>
      <c r="AA175" s="145"/>
      <c r="AB175" s="142"/>
    </row>
    <row r="176" spans="1:28">
      <c r="A176" s="145"/>
      <c r="B176" s="342"/>
      <c r="C176" s="342"/>
      <c r="D176" s="342"/>
      <c r="F176" s="143"/>
      <c r="G176" s="145"/>
      <c r="H176" s="143"/>
      <c r="I176" s="143"/>
      <c r="J176" s="143"/>
      <c r="K176" s="342"/>
      <c r="L176" s="342"/>
      <c r="M176" s="143"/>
      <c r="N176" s="143"/>
      <c r="O176" s="143"/>
      <c r="P176" s="143"/>
      <c r="Q176" s="143"/>
      <c r="R176" s="143"/>
      <c r="S176" s="143"/>
      <c r="T176" s="143"/>
      <c r="U176" s="143"/>
      <c r="V176" s="143"/>
      <c r="W176" s="143"/>
      <c r="X176" s="143"/>
      <c r="Y176" s="143"/>
      <c r="Z176" s="145"/>
      <c r="AA176" s="145"/>
      <c r="AB176" s="142"/>
    </row>
    <row r="177" spans="1:28">
      <c r="A177" s="145"/>
      <c r="B177" s="342"/>
      <c r="C177" s="342"/>
      <c r="D177" s="342"/>
      <c r="F177" s="143"/>
      <c r="G177" s="145"/>
      <c r="H177" s="143"/>
      <c r="I177" s="143"/>
      <c r="J177" s="143"/>
      <c r="K177" s="342"/>
      <c r="L177" s="342"/>
      <c r="M177" s="143"/>
      <c r="N177" s="143"/>
      <c r="O177" s="143"/>
      <c r="P177" s="143"/>
      <c r="Q177" s="143"/>
      <c r="R177" s="143"/>
      <c r="S177" s="143"/>
      <c r="T177" s="143"/>
      <c r="U177" s="143"/>
      <c r="V177" s="143"/>
      <c r="W177" s="143"/>
      <c r="X177" s="143"/>
      <c r="Y177" s="143"/>
      <c r="Z177" s="145"/>
      <c r="AA177" s="145"/>
      <c r="AB177" s="142"/>
    </row>
    <row r="178" spans="1:28">
      <c r="A178" s="145"/>
      <c r="B178" s="342"/>
      <c r="C178" s="342"/>
      <c r="D178" s="342"/>
      <c r="F178" s="143"/>
      <c r="G178" s="145"/>
      <c r="H178" s="143"/>
      <c r="I178" s="143"/>
      <c r="J178" s="143"/>
      <c r="K178" s="342"/>
      <c r="L178" s="342"/>
      <c r="M178" s="143"/>
      <c r="N178" s="143"/>
      <c r="O178" s="143"/>
      <c r="P178" s="143"/>
      <c r="Q178" s="143"/>
      <c r="R178" s="143"/>
      <c r="S178" s="143"/>
      <c r="T178" s="143"/>
      <c r="U178" s="143"/>
      <c r="V178" s="143"/>
      <c r="W178" s="143"/>
      <c r="X178" s="143"/>
      <c r="Y178" s="143"/>
      <c r="Z178" s="145"/>
      <c r="AA178" s="145"/>
      <c r="AB178" s="142"/>
    </row>
    <row r="179" spans="1:28">
      <c r="A179" s="145"/>
      <c r="B179" s="342"/>
      <c r="C179" s="342"/>
      <c r="D179" s="342"/>
      <c r="F179" s="143"/>
      <c r="G179" s="145"/>
      <c r="H179" s="143"/>
      <c r="I179" s="143"/>
      <c r="J179" s="143"/>
      <c r="K179" s="342"/>
      <c r="L179" s="342"/>
      <c r="M179" s="143"/>
      <c r="N179" s="143"/>
      <c r="O179" s="143"/>
      <c r="P179" s="143"/>
      <c r="Q179" s="143"/>
      <c r="R179" s="143"/>
      <c r="S179" s="143"/>
      <c r="T179" s="143"/>
      <c r="U179" s="143"/>
      <c r="V179" s="143"/>
      <c r="W179" s="143"/>
      <c r="X179" s="143"/>
      <c r="Y179" s="143"/>
      <c r="Z179" s="145"/>
      <c r="AA179" s="145"/>
      <c r="AB179" s="142"/>
    </row>
    <row r="180" spans="1:28">
      <c r="A180" s="145"/>
      <c r="B180" s="342"/>
      <c r="C180" s="342"/>
      <c r="D180" s="342"/>
      <c r="F180" s="143"/>
      <c r="G180" s="145"/>
      <c r="H180" s="143"/>
      <c r="I180" s="143"/>
      <c r="J180" s="143"/>
      <c r="K180" s="342"/>
      <c r="L180" s="342"/>
      <c r="M180" s="143"/>
      <c r="N180" s="143"/>
      <c r="O180" s="143"/>
      <c r="P180" s="143"/>
      <c r="Q180" s="143"/>
      <c r="R180" s="143"/>
      <c r="S180" s="143"/>
      <c r="T180" s="143"/>
      <c r="U180" s="143"/>
      <c r="V180" s="143"/>
      <c r="W180" s="143"/>
      <c r="X180" s="143"/>
      <c r="Y180" s="143"/>
      <c r="Z180" s="145"/>
      <c r="AA180" s="145"/>
      <c r="AB180" s="142"/>
    </row>
    <row r="181" spans="1:28">
      <c r="A181" s="145"/>
      <c r="B181" s="342"/>
      <c r="C181" s="342"/>
      <c r="D181" s="342"/>
      <c r="F181" s="143"/>
      <c r="G181" s="145"/>
      <c r="H181" s="143"/>
      <c r="I181" s="143"/>
      <c r="J181" s="143"/>
      <c r="K181" s="342"/>
      <c r="L181" s="342"/>
      <c r="M181" s="143"/>
      <c r="N181" s="143"/>
      <c r="O181" s="143"/>
      <c r="P181" s="143"/>
      <c r="Q181" s="143"/>
      <c r="R181" s="143"/>
      <c r="S181" s="143"/>
      <c r="T181" s="143"/>
      <c r="U181" s="143"/>
      <c r="V181" s="143"/>
      <c r="W181" s="143"/>
      <c r="X181" s="143"/>
      <c r="Y181" s="143"/>
      <c r="Z181" s="145"/>
      <c r="AA181" s="145"/>
      <c r="AB181" s="142"/>
    </row>
    <row r="182" spans="1:28">
      <c r="A182" s="145"/>
      <c r="B182" s="342"/>
      <c r="C182" s="342"/>
      <c r="D182" s="342"/>
      <c r="F182" s="143"/>
      <c r="G182" s="145"/>
      <c r="H182" s="143"/>
      <c r="I182" s="143"/>
      <c r="J182" s="143"/>
      <c r="K182" s="342"/>
      <c r="L182" s="342"/>
      <c r="M182" s="143"/>
      <c r="N182" s="143"/>
      <c r="O182" s="143"/>
      <c r="P182" s="143"/>
      <c r="Q182" s="143"/>
      <c r="R182" s="143"/>
      <c r="S182" s="143"/>
      <c r="T182" s="143"/>
      <c r="U182" s="143"/>
      <c r="V182" s="143"/>
      <c r="W182" s="143"/>
      <c r="X182" s="143"/>
      <c r="Y182" s="143"/>
      <c r="Z182" s="145"/>
      <c r="AA182" s="145"/>
      <c r="AB182" s="142"/>
    </row>
    <row r="183" spans="1:28">
      <c r="A183" s="145"/>
      <c r="B183" s="342"/>
      <c r="C183" s="342"/>
      <c r="D183" s="342"/>
      <c r="F183" s="143"/>
      <c r="G183" s="145"/>
      <c r="H183" s="143"/>
      <c r="I183" s="143"/>
      <c r="J183" s="143"/>
      <c r="K183" s="342"/>
      <c r="L183" s="342"/>
      <c r="M183" s="143"/>
      <c r="N183" s="143"/>
      <c r="O183" s="143"/>
      <c r="P183" s="143"/>
      <c r="Q183" s="143"/>
      <c r="R183" s="143"/>
      <c r="S183" s="143"/>
      <c r="T183" s="143"/>
      <c r="U183" s="143"/>
      <c r="V183" s="143"/>
      <c r="W183" s="143"/>
      <c r="X183" s="143"/>
      <c r="Y183" s="143"/>
      <c r="Z183" s="145"/>
      <c r="AA183" s="145"/>
      <c r="AB183" s="142"/>
    </row>
    <row r="184" spans="1:28">
      <c r="A184" s="145"/>
      <c r="B184" s="342"/>
      <c r="C184" s="342"/>
      <c r="D184" s="342"/>
      <c r="F184" s="143"/>
      <c r="G184" s="145"/>
      <c r="H184" s="143"/>
      <c r="I184" s="143"/>
      <c r="J184" s="143"/>
      <c r="K184" s="342"/>
      <c r="L184" s="342"/>
      <c r="M184" s="143"/>
      <c r="N184" s="143"/>
      <c r="O184" s="143"/>
      <c r="P184" s="143"/>
      <c r="Q184" s="143"/>
      <c r="R184" s="143"/>
      <c r="S184" s="143"/>
      <c r="T184" s="143"/>
      <c r="U184" s="143"/>
      <c r="V184" s="143"/>
      <c r="W184" s="143"/>
      <c r="X184" s="143"/>
      <c r="Y184" s="143"/>
      <c r="Z184" s="145"/>
      <c r="AA184" s="145"/>
      <c r="AB184" s="142"/>
    </row>
    <row r="185" spans="1:28">
      <c r="A185" s="145"/>
      <c r="B185" s="342"/>
      <c r="C185" s="342"/>
      <c r="D185" s="342"/>
      <c r="F185" s="143"/>
      <c r="G185" s="145"/>
      <c r="H185" s="143"/>
      <c r="I185" s="143"/>
      <c r="J185" s="143"/>
      <c r="K185" s="342"/>
      <c r="L185" s="342"/>
      <c r="M185" s="143"/>
      <c r="N185" s="143"/>
      <c r="O185" s="143"/>
      <c r="P185" s="143"/>
      <c r="Q185" s="143"/>
      <c r="R185" s="143"/>
      <c r="S185" s="143"/>
      <c r="T185" s="143"/>
      <c r="U185" s="143"/>
      <c r="V185" s="143"/>
      <c r="W185" s="143"/>
      <c r="X185" s="143"/>
      <c r="Y185" s="143"/>
      <c r="Z185" s="145"/>
      <c r="AA185" s="145"/>
      <c r="AB185" s="142"/>
    </row>
    <row r="186" spans="1:28">
      <c r="A186" s="145"/>
      <c r="B186" s="342"/>
      <c r="C186" s="342"/>
      <c r="D186" s="342"/>
      <c r="F186" s="143"/>
      <c r="G186" s="145"/>
      <c r="H186" s="143"/>
      <c r="I186" s="143"/>
      <c r="J186" s="143"/>
      <c r="K186" s="342"/>
      <c r="L186" s="342"/>
      <c r="M186" s="143"/>
      <c r="N186" s="143"/>
      <c r="O186" s="143"/>
      <c r="P186" s="143"/>
      <c r="Q186" s="143"/>
      <c r="R186" s="143"/>
      <c r="S186" s="143"/>
      <c r="T186" s="143"/>
      <c r="U186" s="143"/>
      <c r="V186" s="143"/>
      <c r="W186" s="143"/>
      <c r="X186" s="143"/>
      <c r="Y186" s="143"/>
      <c r="Z186" s="145"/>
      <c r="AA186" s="145"/>
      <c r="AB186" s="142"/>
    </row>
    <row r="187" spans="1:28">
      <c r="A187" s="145"/>
      <c r="B187" s="342"/>
      <c r="C187" s="342"/>
      <c r="D187" s="342"/>
      <c r="F187" s="143"/>
      <c r="G187" s="145"/>
      <c r="H187" s="143"/>
      <c r="I187" s="143"/>
      <c r="J187" s="143"/>
      <c r="K187" s="342"/>
      <c r="L187" s="342"/>
      <c r="M187" s="143"/>
      <c r="N187" s="143"/>
      <c r="O187" s="143"/>
      <c r="P187" s="143"/>
      <c r="Q187" s="143"/>
      <c r="R187" s="143"/>
      <c r="S187" s="143"/>
      <c r="T187" s="143"/>
      <c r="U187" s="143"/>
      <c r="V187" s="143"/>
      <c r="W187" s="143"/>
      <c r="X187" s="143"/>
      <c r="Y187" s="143"/>
      <c r="Z187" s="145"/>
      <c r="AA187" s="145"/>
      <c r="AB187" s="142"/>
    </row>
    <row r="188" spans="1:28">
      <c r="A188" s="145"/>
      <c r="B188" s="342"/>
      <c r="C188" s="342"/>
      <c r="D188" s="342"/>
      <c r="F188" s="143"/>
      <c r="G188" s="145"/>
      <c r="H188" s="143"/>
      <c r="I188" s="143"/>
      <c r="J188" s="143"/>
      <c r="K188" s="342"/>
      <c r="L188" s="342"/>
      <c r="M188" s="143"/>
      <c r="N188" s="143"/>
      <c r="O188" s="143"/>
      <c r="P188" s="143"/>
      <c r="Q188" s="143"/>
      <c r="R188" s="143"/>
      <c r="S188" s="143"/>
      <c r="T188" s="143"/>
      <c r="U188" s="143"/>
      <c r="V188" s="143"/>
      <c r="W188" s="143"/>
      <c r="X188" s="143"/>
      <c r="Y188" s="143"/>
      <c r="Z188" s="145"/>
      <c r="AA188" s="145"/>
      <c r="AB188" s="142"/>
    </row>
    <row r="189" spans="1:28">
      <c r="A189" s="145"/>
      <c r="B189" s="342"/>
      <c r="C189" s="342"/>
      <c r="D189" s="342"/>
      <c r="F189" s="143"/>
      <c r="G189" s="145"/>
      <c r="H189" s="143"/>
      <c r="I189" s="143"/>
      <c r="J189" s="143"/>
      <c r="K189" s="342"/>
      <c r="L189" s="342"/>
      <c r="M189" s="143"/>
      <c r="N189" s="143"/>
      <c r="O189" s="143"/>
      <c r="P189" s="143"/>
      <c r="Q189" s="143"/>
      <c r="R189" s="143"/>
      <c r="S189" s="143"/>
      <c r="T189" s="143"/>
      <c r="U189" s="143"/>
      <c r="V189" s="143"/>
      <c r="W189" s="143"/>
      <c r="X189" s="143"/>
      <c r="Y189" s="143"/>
      <c r="Z189" s="145"/>
      <c r="AA189" s="145"/>
      <c r="AB189" s="142"/>
    </row>
    <row r="190" spans="1:28">
      <c r="A190" s="145"/>
      <c r="B190" s="342"/>
      <c r="C190" s="342"/>
      <c r="D190" s="342"/>
      <c r="F190" s="143"/>
      <c r="G190" s="145"/>
      <c r="H190" s="143"/>
      <c r="I190" s="143"/>
      <c r="J190" s="143"/>
      <c r="K190" s="342"/>
      <c r="L190" s="342"/>
      <c r="M190" s="143"/>
      <c r="N190" s="143"/>
      <c r="O190" s="143"/>
      <c r="P190" s="143"/>
      <c r="Q190" s="143"/>
      <c r="R190" s="143"/>
      <c r="S190" s="143"/>
      <c r="T190" s="143"/>
      <c r="U190" s="143"/>
      <c r="V190" s="143"/>
      <c r="W190" s="143"/>
      <c r="X190" s="143"/>
      <c r="Y190" s="143"/>
      <c r="Z190" s="145"/>
      <c r="AA190" s="145"/>
      <c r="AB190" s="142"/>
    </row>
    <row r="191" spans="1:28">
      <c r="A191" s="145"/>
      <c r="B191" s="342"/>
      <c r="C191" s="342"/>
      <c r="D191" s="342"/>
      <c r="F191" s="143"/>
      <c r="G191" s="145"/>
      <c r="H191" s="143"/>
      <c r="I191" s="143"/>
      <c r="J191" s="143"/>
      <c r="K191" s="342"/>
      <c r="L191" s="342"/>
      <c r="M191" s="143"/>
      <c r="N191" s="143"/>
      <c r="O191" s="143"/>
      <c r="P191" s="143"/>
      <c r="Q191" s="143"/>
      <c r="R191" s="143"/>
      <c r="S191" s="143"/>
      <c r="T191" s="143"/>
      <c r="U191" s="143"/>
      <c r="V191" s="143"/>
      <c r="W191" s="143"/>
      <c r="X191" s="143"/>
      <c r="Y191" s="143"/>
      <c r="Z191" s="145"/>
      <c r="AA191" s="145"/>
      <c r="AB191" s="142"/>
    </row>
    <row r="192" spans="1:28">
      <c r="A192" s="145"/>
      <c r="B192" s="342"/>
      <c r="C192" s="342"/>
      <c r="D192" s="342"/>
      <c r="F192" s="143"/>
      <c r="G192" s="145"/>
      <c r="H192" s="143"/>
      <c r="I192" s="143"/>
      <c r="J192" s="143"/>
      <c r="K192" s="342"/>
      <c r="L192" s="342"/>
      <c r="M192" s="143"/>
      <c r="N192" s="143"/>
      <c r="O192" s="143"/>
      <c r="P192" s="143"/>
      <c r="Q192" s="143"/>
      <c r="R192" s="143"/>
      <c r="S192" s="143"/>
      <c r="T192" s="143"/>
      <c r="U192" s="143"/>
      <c r="V192" s="143"/>
      <c r="W192" s="143"/>
      <c r="X192" s="143"/>
      <c r="Y192" s="143"/>
      <c r="Z192" s="145"/>
      <c r="AA192" s="145"/>
      <c r="AB192" s="142"/>
    </row>
    <row r="193" spans="1:28">
      <c r="A193" s="145"/>
      <c r="B193" s="342"/>
      <c r="C193" s="342"/>
      <c r="D193" s="342"/>
      <c r="F193" s="143"/>
      <c r="G193" s="145"/>
      <c r="H193" s="143"/>
      <c r="I193" s="143"/>
      <c r="J193" s="143"/>
      <c r="K193" s="342"/>
      <c r="L193" s="342"/>
      <c r="M193" s="143"/>
      <c r="N193" s="143"/>
      <c r="O193" s="143"/>
      <c r="P193" s="143"/>
      <c r="Q193" s="143"/>
      <c r="R193" s="143"/>
      <c r="S193" s="143"/>
      <c r="T193" s="143"/>
      <c r="U193" s="143"/>
      <c r="V193" s="143"/>
      <c r="W193" s="143"/>
      <c r="X193" s="143"/>
      <c r="Y193" s="143"/>
      <c r="Z193" s="145"/>
      <c r="AA193" s="261"/>
      <c r="AB193" s="142"/>
    </row>
    <row r="194" spans="1:28">
      <c r="A194" s="145"/>
      <c r="B194" s="342"/>
      <c r="C194" s="342"/>
      <c r="D194" s="342"/>
      <c r="F194" s="143"/>
      <c r="G194" s="145"/>
      <c r="H194" s="143"/>
      <c r="I194" s="143"/>
      <c r="J194" s="143"/>
      <c r="K194" s="342"/>
      <c r="L194" s="342"/>
      <c r="M194" s="143"/>
      <c r="N194" s="143"/>
      <c r="O194" s="143"/>
      <c r="P194" s="143"/>
      <c r="Q194" s="143"/>
      <c r="R194" s="143"/>
      <c r="S194" s="143"/>
      <c r="T194" s="143"/>
      <c r="U194" s="143"/>
      <c r="V194" s="143"/>
      <c r="W194" s="143"/>
      <c r="X194" s="143"/>
      <c r="Y194" s="143"/>
      <c r="Z194" s="145"/>
      <c r="AA194" s="145"/>
      <c r="AB194" s="142"/>
    </row>
    <row r="195" spans="1:28">
      <c r="A195" s="145"/>
      <c r="B195" s="342"/>
      <c r="C195" s="342"/>
      <c r="D195" s="342"/>
      <c r="F195" s="143"/>
      <c r="G195" s="145"/>
      <c r="H195" s="143"/>
      <c r="I195" s="143"/>
      <c r="J195" s="143"/>
      <c r="K195" s="342"/>
      <c r="L195" s="342"/>
      <c r="M195" s="143"/>
      <c r="N195" s="143"/>
      <c r="O195" s="143"/>
      <c r="P195" s="143"/>
      <c r="Q195" s="143"/>
      <c r="R195" s="143"/>
      <c r="S195" s="143"/>
      <c r="T195" s="143"/>
      <c r="U195" s="143"/>
      <c r="V195" s="143"/>
      <c r="W195" s="143"/>
      <c r="X195" s="143"/>
      <c r="Y195" s="143"/>
      <c r="Z195" s="145"/>
      <c r="AA195" s="261"/>
      <c r="AB195" s="142"/>
    </row>
    <row r="196" spans="1:28">
      <c r="A196" s="145"/>
      <c r="B196" s="342"/>
      <c r="C196" s="342"/>
      <c r="D196" s="342"/>
      <c r="F196" s="143"/>
      <c r="G196" s="145"/>
      <c r="H196" s="143"/>
      <c r="I196" s="143"/>
      <c r="J196" s="143"/>
      <c r="K196" s="342"/>
      <c r="L196" s="342"/>
      <c r="M196" s="143"/>
      <c r="N196" s="143"/>
      <c r="O196" s="143"/>
      <c r="P196" s="143"/>
      <c r="Q196" s="143"/>
      <c r="R196" s="143"/>
      <c r="S196" s="143"/>
      <c r="T196" s="143"/>
      <c r="U196" s="143"/>
      <c r="V196" s="143"/>
      <c r="W196" s="143"/>
      <c r="X196" s="143"/>
      <c r="Y196" s="143"/>
      <c r="Z196" s="145"/>
      <c r="AA196" s="261"/>
      <c r="AB196" s="142"/>
    </row>
    <row r="197" spans="1:28">
      <c r="A197" s="145"/>
      <c r="B197" s="342"/>
      <c r="C197" s="342"/>
      <c r="D197" s="342"/>
      <c r="F197" s="143"/>
      <c r="G197" s="145"/>
      <c r="H197" s="143"/>
      <c r="I197" s="143"/>
      <c r="J197" s="143"/>
      <c r="K197" s="342"/>
      <c r="L197" s="342"/>
      <c r="M197" s="143"/>
      <c r="N197" s="143"/>
      <c r="O197" s="143"/>
      <c r="P197" s="143"/>
      <c r="Q197" s="143"/>
      <c r="R197" s="143"/>
      <c r="S197" s="143"/>
      <c r="T197" s="143"/>
      <c r="U197" s="143"/>
      <c r="V197" s="143"/>
      <c r="W197" s="143"/>
      <c r="X197" s="143"/>
      <c r="Y197" s="143"/>
      <c r="Z197" s="145"/>
      <c r="AA197" s="145"/>
      <c r="AB197" s="142"/>
    </row>
    <row r="198" spans="1:28">
      <c r="A198" s="145"/>
      <c r="B198" s="342"/>
      <c r="C198" s="342"/>
      <c r="D198" s="342"/>
      <c r="F198" s="143"/>
      <c r="G198" s="145"/>
      <c r="H198" s="143"/>
      <c r="I198" s="143"/>
      <c r="J198" s="143"/>
      <c r="K198" s="342"/>
      <c r="L198" s="342"/>
      <c r="M198" s="143"/>
      <c r="N198" s="143"/>
      <c r="O198" s="143"/>
      <c r="P198" s="143"/>
      <c r="Q198" s="143"/>
      <c r="R198" s="143"/>
      <c r="S198" s="143"/>
      <c r="T198" s="143"/>
      <c r="U198" s="143"/>
      <c r="V198" s="143"/>
      <c r="W198" s="143"/>
      <c r="X198" s="143"/>
      <c r="Y198" s="143"/>
      <c r="Z198" s="145"/>
      <c r="AA198" s="145"/>
      <c r="AB198" s="142"/>
    </row>
    <row r="199" spans="1:28">
      <c r="A199" s="145"/>
      <c r="B199" s="342"/>
      <c r="C199" s="342"/>
      <c r="D199" s="342"/>
      <c r="F199" s="143"/>
      <c r="G199" s="145"/>
      <c r="H199" s="143"/>
      <c r="I199" s="143"/>
      <c r="J199" s="143"/>
      <c r="K199" s="342"/>
      <c r="L199" s="342"/>
      <c r="M199" s="143"/>
      <c r="N199" s="143"/>
      <c r="O199" s="143"/>
      <c r="P199" s="143"/>
      <c r="Q199" s="143"/>
      <c r="R199" s="143"/>
      <c r="S199" s="143"/>
      <c r="T199" s="143"/>
      <c r="U199" s="143"/>
      <c r="V199" s="143"/>
      <c r="W199" s="143"/>
      <c r="X199" s="143"/>
      <c r="Y199" s="143"/>
      <c r="Z199" s="145"/>
      <c r="AA199" s="145"/>
      <c r="AB199" s="142"/>
    </row>
    <row r="200" spans="1:28">
      <c r="A200" s="145"/>
      <c r="B200" s="342"/>
      <c r="C200" s="342"/>
      <c r="D200" s="342"/>
      <c r="F200" s="143"/>
      <c r="G200" s="145"/>
      <c r="H200" s="143"/>
      <c r="I200" s="143"/>
      <c r="J200" s="143"/>
      <c r="K200" s="342"/>
      <c r="L200" s="342"/>
      <c r="M200" s="143"/>
      <c r="N200" s="143"/>
      <c r="O200" s="143"/>
      <c r="P200" s="143"/>
      <c r="Q200" s="143"/>
      <c r="R200" s="143"/>
      <c r="S200" s="143"/>
      <c r="T200" s="143"/>
      <c r="U200" s="143"/>
      <c r="V200" s="143"/>
      <c r="W200" s="143"/>
      <c r="X200" s="143"/>
      <c r="Y200" s="143"/>
      <c r="Z200" s="145"/>
      <c r="AA200" s="145"/>
      <c r="AB200" s="142"/>
    </row>
    <row r="201" spans="1:28">
      <c r="A201" s="145"/>
      <c r="B201" s="342"/>
      <c r="C201" s="342"/>
      <c r="D201" s="342"/>
      <c r="F201" s="143"/>
      <c r="G201" s="145"/>
      <c r="H201" s="143"/>
      <c r="I201" s="143"/>
      <c r="J201" s="143"/>
      <c r="K201" s="342"/>
      <c r="L201" s="342"/>
      <c r="M201" s="143"/>
      <c r="N201" s="143"/>
      <c r="O201" s="143"/>
      <c r="P201" s="143"/>
      <c r="Q201" s="143"/>
      <c r="R201" s="143"/>
      <c r="S201" s="143"/>
      <c r="T201" s="143"/>
      <c r="U201" s="143"/>
      <c r="V201" s="143"/>
      <c r="W201" s="143"/>
      <c r="X201" s="143"/>
      <c r="Y201" s="143"/>
      <c r="Z201" s="145"/>
      <c r="AA201" s="145"/>
      <c r="AB201" s="142"/>
    </row>
    <row r="202" spans="1:28">
      <c r="A202" s="145"/>
      <c r="B202" s="342"/>
      <c r="C202" s="342"/>
      <c r="D202" s="342"/>
      <c r="F202" s="143"/>
      <c r="G202" s="145"/>
      <c r="H202" s="143"/>
      <c r="I202" s="143"/>
      <c r="J202" s="143"/>
      <c r="K202" s="342"/>
      <c r="L202" s="342"/>
      <c r="M202" s="143"/>
      <c r="N202" s="143"/>
      <c r="O202" s="143"/>
      <c r="P202" s="143"/>
      <c r="Q202" s="143"/>
      <c r="R202" s="143"/>
      <c r="S202" s="143"/>
      <c r="T202" s="143"/>
      <c r="U202" s="143"/>
      <c r="V202" s="143"/>
      <c r="W202" s="143"/>
      <c r="X202" s="143"/>
      <c r="Y202" s="143"/>
      <c r="Z202" s="145"/>
      <c r="AA202" s="145"/>
      <c r="AB202" s="142"/>
    </row>
    <row r="203" spans="1:28">
      <c r="A203" s="145"/>
      <c r="B203" s="342"/>
      <c r="C203" s="342"/>
      <c r="D203" s="342"/>
      <c r="F203" s="143"/>
      <c r="G203" s="145"/>
      <c r="H203" s="143"/>
      <c r="I203" s="143"/>
      <c r="J203" s="143"/>
      <c r="K203" s="342"/>
      <c r="L203" s="342"/>
      <c r="M203" s="143"/>
      <c r="N203" s="143"/>
      <c r="O203" s="143"/>
      <c r="P203" s="143"/>
      <c r="Q203" s="143"/>
      <c r="R203" s="143"/>
      <c r="S203" s="143"/>
      <c r="T203" s="143"/>
      <c r="U203" s="143"/>
      <c r="V203" s="143"/>
      <c r="W203" s="143"/>
      <c r="X203" s="143"/>
      <c r="Y203" s="143"/>
      <c r="Z203" s="145"/>
      <c r="AA203" s="145"/>
      <c r="AB203" s="142"/>
    </row>
    <row r="204" spans="1:28">
      <c r="A204" s="145"/>
      <c r="B204" s="342"/>
      <c r="C204" s="342"/>
      <c r="D204" s="342"/>
      <c r="F204" s="143"/>
      <c r="G204" s="145"/>
      <c r="H204" s="143"/>
      <c r="I204" s="143"/>
      <c r="J204" s="143"/>
      <c r="K204" s="342"/>
      <c r="L204" s="342"/>
      <c r="M204" s="143"/>
      <c r="N204" s="143"/>
      <c r="O204" s="143"/>
      <c r="P204" s="143"/>
      <c r="Q204" s="143"/>
      <c r="R204" s="143"/>
      <c r="S204" s="143"/>
      <c r="T204" s="143"/>
      <c r="U204" s="143"/>
      <c r="V204" s="143"/>
      <c r="W204" s="143"/>
      <c r="X204" s="143"/>
      <c r="Y204" s="143"/>
      <c r="Z204" s="145"/>
      <c r="AA204" s="145"/>
      <c r="AB204" s="142"/>
    </row>
    <row r="205" spans="1:28">
      <c r="A205" s="145"/>
      <c r="B205" s="342"/>
      <c r="C205" s="342"/>
      <c r="D205" s="342"/>
      <c r="F205" s="143"/>
      <c r="G205" s="145"/>
      <c r="H205" s="143"/>
      <c r="I205" s="143"/>
      <c r="J205" s="143"/>
      <c r="K205" s="342"/>
      <c r="L205" s="342"/>
      <c r="M205" s="143"/>
      <c r="N205" s="143"/>
      <c r="O205" s="143"/>
      <c r="P205" s="143"/>
      <c r="Q205" s="143"/>
      <c r="R205" s="143"/>
      <c r="S205" s="143"/>
      <c r="T205" s="143"/>
      <c r="U205" s="143"/>
      <c r="V205" s="143"/>
      <c r="W205" s="143"/>
      <c r="X205" s="143"/>
      <c r="Y205" s="143"/>
      <c r="Z205" s="145"/>
      <c r="AA205" s="145"/>
      <c r="AB205" s="142"/>
    </row>
    <row r="206" spans="1:28">
      <c r="A206" s="145"/>
      <c r="B206" s="342"/>
      <c r="C206" s="342"/>
      <c r="D206" s="342"/>
      <c r="F206" s="143"/>
      <c r="G206" s="145"/>
      <c r="H206" s="143"/>
      <c r="I206" s="143"/>
      <c r="J206" s="143"/>
      <c r="K206" s="342"/>
      <c r="L206" s="342"/>
      <c r="M206" s="143"/>
      <c r="N206" s="143"/>
      <c r="O206" s="143"/>
      <c r="P206" s="143"/>
      <c r="Q206" s="143"/>
      <c r="R206" s="143"/>
      <c r="S206" s="143"/>
      <c r="T206" s="143"/>
      <c r="U206" s="143"/>
      <c r="V206" s="143"/>
      <c r="W206" s="143"/>
      <c r="X206" s="143"/>
      <c r="Y206" s="143"/>
      <c r="Z206" s="145"/>
      <c r="AA206" s="145"/>
      <c r="AB206" s="142"/>
    </row>
    <row r="207" spans="1:28">
      <c r="A207" s="145"/>
      <c r="B207" s="342"/>
      <c r="C207" s="342"/>
      <c r="D207" s="342"/>
      <c r="F207" s="143"/>
      <c r="G207" s="145"/>
      <c r="H207" s="143"/>
      <c r="I207" s="143"/>
      <c r="J207" s="143"/>
      <c r="K207" s="342"/>
      <c r="L207" s="342"/>
      <c r="M207" s="143"/>
      <c r="N207" s="143"/>
      <c r="O207" s="143"/>
      <c r="P207" s="143"/>
      <c r="Q207" s="143"/>
      <c r="R207" s="143"/>
      <c r="S207" s="143"/>
      <c r="T207" s="143"/>
      <c r="U207" s="143"/>
      <c r="V207" s="143"/>
      <c r="W207" s="143"/>
      <c r="X207" s="143"/>
      <c r="Y207" s="143"/>
      <c r="Z207" s="145"/>
      <c r="AA207" s="145"/>
      <c r="AB207" s="142"/>
    </row>
    <row r="208" spans="1:28">
      <c r="A208" s="145"/>
      <c r="B208" s="342"/>
      <c r="C208" s="342"/>
      <c r="D208" s="342"/>
      <c r="F208" s="143"/>
      <c r="G208" s="145"/>
      <c r="H208" s="143"/>
      <c r="I208" s="143"/>
      <c r="J208" s="143"/>
      <c r="K208" s="342"/>
      <c r="L208" s="342"/>
      <c r="M208" s="143"/>
      <c r="N208" s="143"/>
      <c r="O208" s="143"/>
      <c r="P208" s="143"/>
      <c r="Q208" s="143"/>
      <c r="R208" s="143"/>
      <c r="S208" s="143"/>
      <c r="T208" s="143"/>
      <c r="U208" s="143"/>
      <c r="V208" s="143"/>
      <c r="W208" s="143"/>
      <c r="X208" s="143"/>
      <c r="Y208" s="143"/>
      <c r="Z208" s="145"/>
      <c r="AA208" s="145"/>
      <c r="AB208" s="142"/>
    </row>
    <row r="209" spans="1:28">
      <c r="A209" s="145"/>
      <c r="B209" s="342"/>
      <c r="C209" s="342"/>
      <c r="D209" s="342"/>
      <c r="F209" s="143"/>
      <c r="G209" s="145"/>
      <c r="H209" s="143"/>
      <c r="I209" s="143"/>
      <c r="J209" s="143"/>
      <c r="K209" s="342"/>
      <c r="L209" s="342"/>
      <c r="M209" s="143"/>
      <c r="N209" s="143"/>
      <c r="O209" s="143"/>
      <c r="P209" s="143"/>
      <c r="Q209" s="143"/>
      <c r="R209" s="143"/>
      <c r="S209" s="143"/>
      <c r="T209" s="143"/>
      <c r="U209" s="143"/>
      <c r="V209" s="143"/>
      <c r="W209" s="143"/>
      <c r="X209" s="143"/>
      <c r="Y209" s="143"/>
      <c r="Z209" s="145"/>
      <c r="AA209" s="145"/>
      <c r="AB209" s="142"/>
    </row>
    <row r="210" spans="1:28">
      <c r="A210" s="145"/>
      <c r="B210" s="342"/>
      <c r="C210" s="342"/>
      <c r="D210" s="342"/>
      <c r="F210" s="143"/>
      <c r="G210" s="145"/>
      <c r="H210" s="143"/>
      <c r="I210" s="143"/>
      <c r="J210" s="143"/>
      <c r="K210" s="342"/>
      <c r="L210" s="342"/>
      <c r="M210" s="143"/>
      <c r="N210" s="143"/>
      <c r="O210" s="143"/>
      <c r="P210" s="143"/>
      <c r="Q210" s="143"/>
      <c r="R210" s="143"/>
      <c r="S210" s="143"/>
      <c r="T210" s="143"/>
      <c r="U210" s="143"/>
      <c r="V210" s="143"/>
      <c r="W210" s="143"/>
      <c r="X210" s="143"/>
      <c r="Y210" s="143"/>
      <c r="Z210" s="145"/>
      <c r="AA210" s="145"/>
      <c r="AB210" s="142"/>
    </row>
    <row r="211" spans="1:28">
      <c r="A211" s="145"/>
      <c r="B211" s="342"/>
      <c r="C211" s="342"/>
      <c r="D211" s="342"/>
      <c r="F211" s="143"/>
      <c r="G211" s="145"/>
      <c r="H211" s="143"/>
      <c r="I211" s="143"/>
      <c r="J211" s="143"/>
      <c r="K211" s="342"/>
      <c r="L211" s="342"/>
      <c r="M211" s="143"/>
      <c r="N211" s="143"/>
      <c r="O211" s="143"/>
      <c r="P211" s="143"/>
      <c r="Q211" s="143"/>
      <c r="R211" s="143"/>
      <c r="S211" s="143"/>
      <c r="T211" s="143"/>
      <c r="U211" s="143"/>
      <c r="V211" s="143"/>
      <c r="W211" s="143"/>
      <c r="X211" s="143"/>
      <c r="Y211" s="143"/>
      <c r="Z211" s="145"/>
      <c r="AA211" s="145"/>
      <c r="AB211" s="142"/>
    </row>
    <row r="212" spans="1:28">
      <c r="A212" s="145"/>
      <c r="B212" s="342"/>
      <c r="C212" s="342"/>
      <c r="D212" s="342"/>
      <c r="F212" s="143"/>
      <c r="G212" s="145"/>
      <c r="H212" s="143"/>
      <c r="I212" s="143"/>
      <c r="J212" s="143"/>
      <c r="K212" s="342"/>
      <c r="L212" s="342"/>
      <c r="M212" s="143"/>
      <c r="N212" s="143"/>
      <c r="O212" s="143"/>
      <c r="P212" s="143"/>
      <c r="Q212" s="143"/>
      <c r="R212" s="143"/>
      <c r="S212" s="143"/>
      <c r="T212" s="143"/>
      <c r="U212" s="143"/>
      <c r="V212" s="143"/>
      <c r="W212" s="143"/>
      <c r="X212" s="143"/>
      <c r="Y212" s="143"/>
      <c r="Z212" s="145"/>
      <c r="AA212" s="145"/>
      <c r="AB212" s="142"/>
    </row>
    <row r="213" spans="1:28">
      <c r="A213" s="145"/>
      <c r="B213" s="342"/>
      <c r="C213" s="342"/>
      <c r="D213" s="342"/>
      <c r="F213" s="143"/>
      <c r="G213" s="145"/>
      <c r="H213" s="143"/>
      <c r="I213" s="143"/>
      <c r="J213" s="143"/>
      <c r="K213" s="342"/>
      <c r="L213" s="342"/>
      <c r="M213" s="143"/>
      <c r="N213" s="143"/>
      <c r="O213" s="143"/>
      <c r="P213" s="143"/>
      <c r="Q213" s="143"/>
      <c r="R213" s="143"/>
      <c r="S213" s="143"/>
      <c r="T213" s="143"/>
      <c r="U213" s="143"/>
      <c r="V213" s="143"/>
      <c r="W213" s="143"/>
      <c r="X213" s="143"/>
      <c r="Y213" s="143"/>
      <c r="Z213" s="145"/>
      <c r="AA213" s="145"/>
      <c r="AB213" s="142"/>
    </row>
    <row r="214" spans="1:28">
      <c r="A214" s="145"/>
      <c r="B214" s="342"/>
      <c r="C214" s="342"/>
      <c r="D214" s="342"/>
      <c r="F214" s="143"/>
      <c r="G214" s="145"/>
      <c r="H214" s="143"/>
      <c r="I214" s="143"/>
      <c r="J214" s="143"/>
      <c r="K214" s="342"/>
      <c r="L214" s="342"/>
      <c r="M214" s="143"/>
      <c r="N214" s="143"/>
      <c r="O214" s="143"/>
      <c r="P214" s="143"/>
      <c r="Q214" s="143"/>
      <c r="R214" s="143"/>
      <c r="S214" s="143"/>
      <c r="T214" s="143"/>
      <c r="U214" s="143"/>
      <c r="V214" s="143"/>
      <c r="W214" s="143"/>
      <c r="X214" s="143"/>
      <c r="Y214" s="143"/>
      <c r="Z214" s="145"/>
      <c r="AA214" s="145"/>
      <c r="AB214" s="142"/>
    </row>
    <row r="215" spans="1:28">
      <c r="A215" s="145"/>
      <c r="B215" s="342"/>
      <c r="C215" s="342"/>
      <c r="D215" s="342"/>
      <c r="F215" s="143"/>
      <c r="G215" s="145"/>
      <c r="H215" s="143"/>
      <c r="I215" s="143"/>
      <c r="J215" s="143"/>
      <c r="K215" s="342"/>
      <c r="L215" s="342"/>
      <c r="M215" s="143"/>
      <c r="N215" s="143"/>
      <c r="O215" s="143"/>
      <c r="P215" s="143"/>
      <c r="Q215" s="143"/>
      <c r="R215" s="143"/>
      <c r="S215" s="143"/>
      <c r="T215" s="143"/>
      <c r="U215" s="143"/>
      <c r="V215" s="143"/>
      <c r="W215" s="143"/>
      <c r="X215" s="143"/>
      <c r="Y215" s="143"/>
      <c r="Z215" s="145"/>
      <c r="AA215" s="145"/>
      <c r="AB215" s="142"/>
    </row>
    <row r="216" spans="1:28">
      <c r="A216" s="145"/>
      <c r="B216" s="342"/>
      <c r="C216" s="342"/>
      <c r="D216" s="342"/>
      <c r="F216" s="143"/>
      <c r="G216" s="145"/>
      <c r="H216" s="143"/>
      <c r="I216" s="143"/>
      <c r="J216" s="143"/>
      <c r="K216" s="342"/>
      <c r="L216" s="342"/>
      <c r="M216" s="143"/>
      <c r="N216" s="143"/>
      <c r="O216" s="143"/>
      <c r="P216" s="143"/>
      <c r="Q216" s="143"/>
      <c r="R216" s="143"/>
      <c r="S216" s="143"/>
      <c r="T216" s="143"/>
      <c r="U216" s="143"/>
      <c r="V216" s="143"/>
      <c r="W216" s="143"/>
      <c r="X216" s="143"/>
      <c r="Y216" s="143"/>
      <c r="Z216" s="145"/>
      <c r="AA216" s="145"/>
      <c r="AB216" s="142"/>
    </row>
    <row r="217" spans="1:28">
      <c r="A217" s="145"/>
      <c r="B217" s="342"/>
      <c r="C217" s="342"/>
      <c r="D217" s="342"/>
      <c r="F217" s="143"/>
      <c r="G217" s="145"/>
      <c r="H217" s="143"/>
      <c r="I217" s="143"/>
      <c r="J217" s="143"/>
      <c r="K217" s="342"/>
      <c r="L217" s="342"/>
      <c r="M217" s="143"/>
      <c r="N217" s="143"/>
      <c r="O217" s="143"/>
      <c r="P217" s="143"/>
      <c r="Q217" s="143"/>
      <c r="R217" s="143"/>
      <c r="S217" s="143"/>
      <c r="T217" s="143"/>
      <c r="U217" s="143"/>
      <c r="V217" s="143"/>
      <c r="W217" s="143"/>
      <c r="X217" s="143"/>
      <c r="Y217" s="143"/>
      <c r="Z217" s="145"/>
      <c r="AA217" s="145"/>
      <c r="AB217" s="142"/>
    </row>
    <row r="218" spans="1:28">
      <c r="A218" s="145"/>
      <c r="B218" s="342"/>
      <c r="C218" s="342"/>
      <c r="D218" s="342"/>
      <c r="F218" s="143"/>
      <c r="G218" s="145"/>
      <c r="H218" s="143"/>
      <c r="I218" s="143"/>
      <c r="J218" s="143"/>
      <c r="K218" s="342"/>
      <c r="L218" s="342"/>
      <c r="M218" s="143"/>
      <c r="N218" s="143"/>
      <c r="O218" s="143"/>
      <c r="P218" s="143"/>
      <c r="Q218" s="143"/>
      <c r="R218" s="143"/>
      <c r="S218" s="143"/>
      <c r="T218" s="143"/>
      <c r="U218" s="143"/>
      <c r="V218" s="143"/>
      <c r="W218" s="143"/>
      <c r="X218" s="143"/>
      <c r="Y218" s="143"/>
      <c r="Z218" s="145"/>
      <c r="AA218" s="145"/>
      <c r="AB218" s="142"/>
    </row>
    <row r="219" spans="1:28">
      <c r="A219" s="145"/>
      <c r="B219" s="342"/>
      <c r="C219" s="342"/>
      <c r="D219" s="342"/>
      <c r="F219" s="143"/>
      <c r="G219" s="145"/>
      <c r="H219" s="143"/>
      <c r="I219" s="143"/>
      <c r="J219" s="143"/>
      <c r="K219" s="342"/>
      <c r="L219" s="342"/>
      <c r="M219" s="143"/>
      <c r="N219" s="143"/>
      <c r="O219" s="143"/>
      <c r="P219" s="143"/>
      <c r="Q219" s="143"/>
      <c r="R219" s="143"/>
      <c r="S219" s="143"/>
      <c r="T219" s="143"/>
      <c r="U219" s="143"/>
      <c r="V219" s="143"/>
      <c r="W219" s="143"/>
      <c r="X219" s="143"/>
      <c r="Y219" s="143"/>
      <c r="Z219" s="145"/>
      <c r="AA219" s="145"/>
      <c r="AB219" s="142"/>
    </row>
    <row r="220" spans="1:28">
      <c r="A220" s="145"/>
      <c r="B220" s="342"/>
      <c r="C220" s="342"/>
      <c r="D220" s="342"/>
      <c r="F220" s="143"/>
      <c r="G220" s="145"/>
      <c r="H220" s="143"/>
      <c r="I220" s="143"/>
      <c r="J220" s="143"/>
      <c r="K220" s="342"/>
      <c r="L220" s="342"/>
      <c r="M220" s="143"/>
      <c r="N220" s="143"/>
      <c r="O220" s="143"/>
      <c r="P220" s="143"/>
      <c r="Q220" s="143"/>
      <c r="R220" s="143"/>
      <c r="S220" s="143"/>
      <c r="T220" s="143"/>
      <c r="U220" s="143"/>
      <c r="V220" s="143"/>
      <c r="W220" s="143"/>
      <c r="X220" s="143"/>
      <c r="Y220" s="143"/>
      <c r="Z220" s="145"/>
      <c r="AA220" s="145"/>
      <c r="AB220" s="142"/>
    </row>
    <row r="221" spans="1:28">
      <c r="A221" s="145"/>
      <c r="B221" s="342"/>
      <c r="C221" s="342"/>
      <c r="D221" s="342"/>
      <c r="F221" s="143"/>
      <c r="G221" s="145"/>
      <c r="H221" s="143"/>
      <c r="I221" s="143"/>
      <c r="J221" s="143"/>
      <c r="K221" s="342"/>
      <c r="L221" s="342"/>
      <c r="M221" s="143"/>
      <c r="N221" s="143"/>
      <c r="O221" s="143"/>
      <c r="P221" s="143"/>
      <c r="Q221" s="143"/>
      <c r="R221" s="143"/>
      <c r="S221" s="143"/>
      <c r="T221" s="143"/>
      <c r="U221" s="143"/>
      <c r="V221" s="143"/>
      <c r="W221" s="143"/>
      <c r="X221" s="143"/>
      <c r="Y221" s="143"/>
      <c r="Z221" s="145"/>
      <c r="AA221" s="145"/>
      <c r="AB221" s="142"/>
    </row>
    <row r="222" spans="1:28">
      <c r="A222" s="145"/>
      <c r="B222" s="342"/>
      <c r="C222" s="342"/>
      <c r="D222" s="342"/>
      <c r="F222" s="143"/>
      <c r="G222" s="145"/>
      <c r="H222" s="143"/>
      <c r="I222" s="143"/>
      <c r="J222" s="143"/>
      <c r="K222" s="342"/>
      <c r="L222" s="342"/>
      <c r="M222" s="143"/>
      <c r="N222" s="143"/>
      <c r="O222" s="143"/>
      <c r="P222" s="143"/>
      <c r="Q222" s="143"/>
      <c r="R222" s="143"/>
      <c r="S222" s="143"/>
      <c r="T222" s="143"/>
      <c r="U222" s="143"/>
      <c r="V222" s="143"/>
      <c r="W222" s="143"/>
      <c r="X222" s="143"/>
      <c r="Y222" s="143"/>
      <c r="Z222" s="145"/>
      <c r="AA222" s="145"/>
      <c r="AB222" s="142"/>
    </row>
    <row r="223" spans="1:28">
      <c r="A223" s="145"/>
      <c r="B223" s="342"/>
      <c r="C223" s="342"/>
      <c r="D223" s="342"/>
      <c r="F223" s="143"/>
      <c r="G223" s="145"/>
      <c r="H223" s="143"/>
      <c r="I223" s="143"/>
      <c r="J223" s="143"/>
      <c r="K223" s="342"/>
      <c r="L223" s="342"/>
      <c r="M223" s="143"/>
      <c r="N223" s="143"/>
      <c r="O223" s="143"/>
      <c r="P223" s="143"/>
      <c r="Q223" s="143"/>
      <c r="R223" s="143"/>
      <c r="S223" s="143"/>
      <c r="T223" s="143"/>
      <c r="U223" s="143"/>
      <c r="V223" s="143"/>
      <c r="W223" s="143"/>
      <c r="X223" s="143"/>
      <c r="Y223" s="143"/>
      <c r="Z223" s="145"/>
      <c r="AA223" s="145"/>
      <c r="AB223" s="142"/>
    </row>
    <row r="224" spans="1:28">
      <c r="A224" s="145"/>
      <c r="B224" s="342"/>
      <c r="C224" s="342"/>
      <c r="D224" s="342"/>
      <c r="F224" s="143"/>
      <c r="G224" s="145"/>
      <c r="H224" s="143"/>
      <c r="I224" s="143"/>
      <c r="J224" s="143"/>
      <c r="K224" s="342"/>
      <c r="L224" s="342"/>
      <c r="M224" s="143"/>
      <c r="N224" s="143"/>
      <c r="O224" s="143"/>
      <c r="P224" s="143"/>
      <c r="Q224" s="143"/>
      <c r="R224" s="143"/>
      <c r="S224" s="143"/>
      <c r="T224" s="143"/>
      <c r="U224" s="143"/>
      <c r="V224" s="143"/>
      <c r="W224" s="143"/>
      <c r="X224" s="143"/>
      <c r="Y224" s="143"/>
      <c r="Z224" s="145"/>
      <c r="AA224" s="145"/>
      <c r="AB224" s="142"/>
    </row>
    <row r="225" spans="1:28">
      <c r="A225" s="145"/>
      <c r="B225" s="342"/>
      <c r="C225" s="342"/>
      <c r="D225" s="342"/>
      <c r="F225" s="143"/>
      <c r="G225" s="145"/>
      <c r="H225" s="143"/>
      <c r="I225" s="143"/>
      <c r="J225" s="143"/>
      <c r="K225" s="342"/>
      <c r="L225" s="342"/>
      <c r="M225" s="143"/>
      <c r="N225" s="143"/>
      <c r="O225" s="143"/>
      <c r="P225" s="143"/>
      <c r="Q225" s="143"/>
      <c r="R225" s="143"/>
      <c r="S225" s="143"/>
      <c r="T225" s="143"/>
      <c r="U225" s="143"/>
      <c r="V225" s="143"/>
      <c r="W225" s="143"/>
      <c r="X225" s="143"/>
      <c r="Y225" s="143"/>
      <c r="Z225" s="145"/>
      <c r="AA225" s="145"/>
      <c r="AB225" s="142"/>
    </row>
    <row r="226" spans="1:28">
      <c r="A226" s="145"/>
      <c r="B226" s="342"/>
      <c r="C226" s="342"/>
      <c r="D226" s="342"/>
      <c r="F226" s="143"/>
      <c r="G226" s="145"/>
      <c r="H226" s="143"/>
      <c r="I226" s="143"/>
      <c r="J226" s="143"/>
      <c r="K226" s="342"/>
      <c r="L226" s="342"/>
      <c r="M226" s="143"/>
      <c r="N226" s="143"/>
      <c r="O226" s="143"/>
      <c r="P226" s="143"/>
      <c r="Q226" s="143"/>
      <c r="R226" s="143"/>
      <c r="S226" s="143"/>
      <c r="T226" s="143"/>
      <c r="U226" s="143"/>
      <c r="V226" s="143"/>
      <c r="W226" s="143"/>
      <c r="X226" s="143"/>
      <c r="Y226" s="143"/>
      <c r="Z226" s="145"/>
      <c r="AA226" s="145"/>
      <c r="AB226" s="142"/>
    </row>
    <row r="227" spans="1:28">
      <c r="A227" s="145"/>
      <c r="B227" s="342"/>
      <c r="C227" s="342"/>
      <c r="D227" s="342"/>
      <c r="F227" s="143"/>
      <c r="G227" s="145"/>
      <c r="H227" s="143"/>
      <c r="I227" s="143"/>
      <c r="J227" s="143"/>
      <c r="K227" s="342"/>
      <c r="L227" s="342"/>
      <c r="M227" s="143"/>
      <c r="N227" s="143"/>
      <c r="O227" s="143"/>
      <c r="P227" s="143"/>
      <c r="Q227" s="143"/>
      <c r="R227" s="143"/>
      <c r="S227" s="143"/>
      <c r="T227" s="143"/>
      <c r="U227" s="143"/>
      <c r="V227" s="143"/>
      <c r="W227" s="143"/>
      <c r="X227" s="143"/>
      <c r="Y227" s="143"/>
      <c r="Z227" s="145"/>
      <c r="AA227" s="261"/>
      <c r="AB227" s="142"/>
    </row>
    <row r="228" spans="1:28">
      <c r="A228" s="145"/>
      <c r="B228" s="342"/>
      <c r="C228" s="342"/>
      <c r="D228" s="342"/>
      <c r="F228" s="143"/>
      <c r="G228" s="145"/>
      <c r="H228" s="143"/>
      <c r="I228" s="143"/>
      <c r="J228" s="143"/>
      <c r="K228" s="342"/>
      <c r="L228" s="342"/>
      <c r="M228" s="143"/>
      <c r="N228" s="143"/>
      <c r="O228" s="143"/>
      <c r="P228" s="143"/>
      <c r="Q228" s="143"/>
      <c r="R228" s="143"/>
      <c r="S228" s="143"/>
      <c r="T228" s="143"/>
      <c r="U228" s="143"/>
      <c r="V228" s="143"/>
      <c r="W228" s="143"/>
      <c r="X228" s="143"/>
      <c r="Y228" s="143"/>
      <c r="Z228" s="145"/>
      <c r="AA228" s="145"/>
      <c r="AB228" s="142"/>
    </row>
    <row r="229" spans="1:28">
      <c r="A229" s="145"/>
      <c r="B229" s="342"/>
      <c r="C229" s="342"/>
      <c r="D229" s="342"/>
      <c r="F229" s="143"/>
      <c r="G229" s="145"/>
      <c r="H229" s="143"/>
      <c r="I229" s="143"/>
      <c r="J229" s="143"/>
      <c r="K229" s="342"/>
      <c r="L229" s="342"/>
      <c r="M229" s="143"/>
      <c r="N229" s="143"/>
      <c r="O229" s="143"/>
      <c r="P229" s="143"/>
      <c r="Q229" s="143"/>
      <c r="R229" s="143"/>
      <c r="S229" s="143"/>
      <c r="T229" s="143"/>
      <c r="U229" s="143"/>
      <c r="V229" s="143"/>
      <c r="W229" s="143"/>
      <c r="X229" s="143"/>
      <c r="Y229" s="143"/>
      <c r="Z229" s="145"/>
      <c r="AA229" s="145"/>
      <c r="AB229" s="142"/>
    </row>
    <row r="230" spans="1:28">
      <c r="A230" s="145"/>
      <c r="B230" s="342"/>
      <c r="C230" s="342"/>
      <c r="D230" s="342"/>
      <c r="F230" s="143"/>
      <c r="G230" s="145"/>
      <c r="H230" s="143"/>
      <c r="I230" s="143"/>
      <c r="J230" s="143"/>
      <c r="K230" s="342"/>
      <c r="L230" s="342"/>
      <c r="M230" s="143"/>
      <c r="N230" s="143"/>
      <c r="O230" s="143"/>
      <c r="P230" s="143"/>
      <c r="Q230" s="143"/>
      <c r="R230" s="143"/>
      <c r="S230" s="143"/>
      <c r="T230" s="143"/>
      <c r="U230" s="143"/>
      <c r="V230" s="143"/>
      <c r="W230" s="143"/>
      <c r="X230" s="143"/>
      <c r="Y230" s="143"/>
      <c r="Z230" s="145"/>
      <c r="AA230" s="261"/>
      <c r="AB230" s="142"/>
    </row>
    <row r="231" spans="1:28">
      <c r="A231" s="145"/>
      <c r="B231" s="342"/>
      <c r="C231" s="342"/>
      <c r="D231" s="342"/>
      <c r="F231" s="143"/>
      <c r="G231" s="145"/>
      <c r="H231" s="143"/>
      <c r="I231" s="143"/>
      <c r="J231" s="143"/>
      <c r="K231" s="342"/>
      <c r="L231" s="342"/>
      <c r="M231" s="143"/>
      <c r="N231" s="143"/>
      <c r="O231" s="143"/>
      <c r="P231" s="143"/>
      <c r="Q231" s="143"/>
      <c r="R231" s="143"/>
      <c r="S231" s="143"/>
      <c r="T231" s="143"/>
      <c r="U231" s="143"/>
      <c r="V231" s="143"/>
      <c r="W231" s="143"/>
      <c r="X231" s="143"/>
      <c r="Y231" s="143"/>
      <c r="Z231" s="145"/>
      <c r="AA231" s="145"/>
      <c r="AB231" s="142"/>
    </row>
    <row r="232" spans="1:28">
      <c r="A232" s="145"/>
      <c r="B232" s="342"/>
      <c r="C232" s="342"/>
      <c r="D232" s="342"/>
      <c r="F232" s="143"/>
      <c r="G232" s="145"/>
      <c r="H232" s="143"/>
      <c r="I232" s="143"/>
      <c r="J232" s="143"/>
      <c r="K232" s="342"/>
      <c r="L232" s="342"/>
      <c r="M232" s="143"/>
      <c r="N232" s="143"/>
      <c r="O232" s="143"/>
      <c r="P232" s="143"/>
      <c r="Q232" s="143"/>
      <c r="R232" s="143"/>
      <c r="S232" s="143"/>
      <c r="T232" s="143"/>
      <c r="U232" s="143"/>
      <c r="V232" s="143"/>
      <c r="W232" s="143"/>
      <c r="X232" s="143"/>
      <c r="Y232" s="143"/>
      <c r="Z232" s="145"/>
      <c r="AA232" s="145"/>
      <c r="AB232" s="142"/>
    </row>
    <row r="233" spans="1:28">
      <c r="A233" s="145"/>
      <c r="B233" s="342"/>
      <c r="C233" s="342"/>
      <c r="D233" s="342"/>
      <c r="F233" s="143"/>
      <c r="G233" s="145"/>
      <c r="H233" s="143"/>
      <c r="I233" s="143"/>
      <c r="J233" s="143"/>
      <c r="K233" s="342"/>
      <c r="L233" s="342"/>
      <c r="M233" s="143"/>
      <c r="N233" s="143"/>
      <c r="O233" s="143"/>
      <c r="P233" s="143"/>
      <c r="Q233" s="143"/>
      <c r="R233" s="143"/>
      <c r="S233" s="143"/>
      <c r="T233" s="143"/>
      <c r="U233" s="143"/>
      <c r="V233" s="143"/>
      <c r="W233" s="143"/>
      <c r="X233" s="143"/>
      <c r="Y233" s="143"/>
      <c r="Z233" s="145"/>
      <c r="AA233" s="145"/>
      <c r="AB233" s="142"/>
    </row>
    <row r="234" spans="1:28">
      <c r="A234" s="145"/>
      <c r="B234" s="342"/>
      <c r="C234" s="342"/>
      <c r="D234" s="342"/>
      <c r="F234" s="143"/>
      <c r="G234" s="145"/>
      <c r="H234" s="143"/>
      <c r="I234" s="143"/>
      <c r="J234" s="143"/>
      <c r="K234" s="342"/>
      <c r="L234" s="342"/>
      <c r="M234" s="143"/>
      <c r="N234" s="143"/>
      <c r="O234" s="143"/>
      <c r="P234" s="143"/>
      <c r="Q234" s="143"/>
      <c r="R234" s="143"/>
      <c r="S234" s="143"/>
      <c r="T234" s="143"/>
      <c r="U234" s="143"/>
      <c r="V234" s="143"/>
      <c r="W234" s="143"/>
      <c r="X234" s="143"/>
      <c r="Y234" s="143"/>
      <c r="Z234" s="145"/>
      <c r="AA234" s="145"/>
      <c r="AB234" s="142"/>
    </row>
    <row r="235" spans="1:28">
      <c r="A235" s="145"/>
      <c r="B235" s="342"/>
      <c r="C235" s="342"/>
      <c r="D235" s="342"/>
      <c r="F235" s="143"/>
      <c r="G235" s="145"/>
      <c r="H235" s="143"/>
      <c r="I235" s="143"/>
      <c r="J235" s="143"/>
      <c r="K235" s="342"/>
      <c r="L235" s="342"/>
      <c r="M235" s="143"/>
      <c r="N235" s="143"/>
      <c r="O235" s="143"/>
      <c r="P235" s="143"/>
      <c r="Q235" s="143"/>
      <c r="R235" s="143"/>
      <c r="S235" s="143"/>
      <c r="T235" s="143"/>
      <c r="U235" s="143"/>
      <c r="V235" s="143"/>
      <c r="W235" s="143"/>
      <c r="X235" s="143"/>
      <c r="Y235" s="143"/>
      <c r="Z235" s="145"/>
      <c r="AA235" s="145"/>
      <c r="AB235" s="142"/>
    </row>
    <row r="236" spans="1:28">
      <c r="A236" s="145"/>
      <c r="B236" s="342"/>
      <c r="C236" s="342"/>
      <c r="D236" s="342"/>
      <c r="F236" s="143"/>
      <c r="G236" s="145"/>
      <c r="H236" s="143"/>
      <c r="I236" s="143"/>
      <c r="J236" s="143"/>
      <c r="K236" s="342"/>
      <c r="L236" s="342"/>
      <c r="M236" s="143"/>
      <c r="N236" s="143"/>
      <c r="O236" s="143"/>
      <c r="P236" s="143"/>
      <c r="Q236" s="143"/>
      <c r="R236" s="143"/>
      <c r="S236" s="143"/>
      <c r="T236" s="143"/>
      <c r="U236" s="143"/>
      <c r="V236" s="143"/>
      <c r="W236" s="143"/>
      <c r="X236" s="143"/>
      <c r="Y236" s="143"/>
      <c r="Z236" s="145"/>
      <c r="AA236" s="145"/>
      <c r="AB236" s="142"/>
    </row>
    <row r="237" spans="1:28">
      <c r="A237" s="145"/>
      <c r="B237" s="342"/>
      <c r="C237" s="342"/>
      <c r="D237" s="342"/>
      <c r="F237" s="143"/>
      <c r="G237" s="145"/>
      <c r="H237" s="143"/>
      <c r="I237" s="143"/>
      <c r="J237" s="143"/>
      <c r="K237" s="342"/>
      <c r="L237" s="342"/>
      <c r="M237" s="143"/>
      <c r="N237" s="143"/>
      <c r="O237" s="143"/>
      <c r="P237" s="143"/>
      <c r="Q237" s="143"/>
      <c r="R237" s="143"/>
      <c r="S237" s="143"/>
      <c r="T237" s="143"/>
      <c r="U237" s="143"/>
      <c r="V237" s="143"/>
      <c r="W237" s="143"/>
      <c r="X237" s="143"/>
      <c r="Y237" s="143"/>
      <c r="Z237" s="145"/>
      <c r="AA237" s="145"/>
      <c r="AB237" s="142"/>
    </row>
    <row r="238" spans="1:28">
      <c r="A238" s="145"/>
      <c r="B238" s="342"/>
      <c r="C238" s="342"/>
      <c r="D238" s="342"/>
      <c r="F238" s="143"/>
      <c r="G238" s="145"/>
      <c r="H238" s="143"/>
      <c r="I238" s="143"/>
      <c r="J238" s="143"/>
      <c r="K238" s="342"/>
      <c r="L238" s="342"/>
      <c r="M238" s="143"/>
      <c r="N238" s="143"/>
      <c r="O238" s="143"/>
      <c r="P238" s="143"/>
      <c r="Q238" s="143"/>
      <c r="R238" s="143"/>
      <c r="S238" s="143"/>
      <c r="T238" s="143"/>
      <c r="U238" s="143"/>
      <c r="V238" s="143"/>
      <c r="W238" s="143"/>
      <c r="X238" s="143"/>
      <c r="Y238" s="143"/>
      <c r="Z238" s="145"/>
      <c r="AA238" s="145"/>
      <c r="AB238" s="142"/>
    </row>
    <row r="239" spans="1:28">
      <c r="A239" s="145"/>
      <c r="B239" s="342"/>
      <c r="C239" s="342"/>
      <c r="D239" s="342"/>
      <c r="F239" s="143"/>
      <c r="G239" s="145"/>
      <c r="H239" s="143"/>
      <c r="I239" s="143"/>
      <c r="J239" s="143"/>
      <c r="K239" s="342"/>
      <c r="L239" s="342"/>
      <c r="M239" s="143"/>
      <c r="N239" s="143"/>
      <c r="O239" s="143"/>
      <c r="P239" s="143"/>
      <c r="Q239" s="143"/>
      <c r="R239" s="143"/>
      <c r="S239" s="143"/>
      <c r="T239" s="143"/>
      <c r="U239" s="143"/>
      <c r="V239" s="143"/>
      <c r="W239" s="143"/>
      <c r="X239" s="143"/>
      <c r="Y239" s="143"/>
      <c r="Z239" s="145"/>
      <c r="AA239" s="145"/>
      <c r="AB239" s="142"/>
    </row>
    <row r="240" spans="1:28">
      <c r="A240" s="145"/>
      <c r="B240" s="342"/>
      <c r="C240" s="342"/>
      <c r="D240" s="342"/>
      <c r="F240" s="143"/>
      <c r="G240" s="145"/>
      <c r="H240" s="143"/>
      <c r="I240" s="143"/>
      <c r="J240" s="143"/>
      <c r="K240" s="342"/>
      <c r="L240" s="342"/>
      <c r="M240" s="143"/>
      <c r="N240" s="143"/>
      <c r="O240" s="143"/>
      <c r="P240" s="143"/>
      <c r="Q240" s="143"/>
      <c r="R240" s="143"/>
      <c r="S240" s="143"/>
      <c r="T240" s="143"/>
      <c r="U240" s="143"/>
      <c r="V240" s="143"/>
      <c r="W240" s="143"/>
      <c r="X240" s="143"/>
      <c r="Y240" s="143"/>
      <c r="Z240" s="145"/>
      <c r="AA240" s="145"/>
      <c r="AB240" s="142"/>
    </row>
    <row r="241" spans="1:28">
      <c r="A241" s="145"/>
      <c r="B241" s="342"/>
      <c r="C241" s="342"/>
      <c r="D241" s="342"/>
      <c r="F241" s="143"/>
      <c r="G241" s="145"/>
      <c r="H241" s="143"/>
      <c r="I241" s="143"/>
      <c r="J241" s="143"/>
      <c r="K241" s="342"/>
      <c r="L241" s="342"/>
      <c r="M241" s="143"/>
      <c r="N241" s="143"/>
      <c r="O241" s="143"/>
      <c r="P241" s="143"/>
      <c r="Q241" s="143"/>
      <c r="R241" s="143"/>
      <c r="S241" s="143"/>
      <c r="T241" s="143"/>
      <c r="U241" s="143"/>
      <c r="V241" s="143"/>
      <c r="W241" s="143"/>
      <c r="X241" s="143"/>
      <c r="Y241" s="143"/>
      <c r="Z241" s="145"/>
      <c r="AA241" s="145"/>
      <c r="AB241" s="142"/>
    </row>
    <row r="242" spans="1:28">
      <c r="A242" s="145"/>
      <c r="B242" s="342"/>
      <c r="C242" s="342"/>
      <c r="D242" s="342"/>
      <c r="F242" s="143"/>
      <c r="G242" s="145"/>
      <c r="H242" s="143"/>
      <c r="I242" s="143"/>
      <c r="J242" s="143"/>
      <c r="K242" s="342"/>
      <c r="L242" s="342"/>
      <c r="M242" s="143"/>
      <c r="N242" s="143"/>
      <c r="O242" s="143"/>
      <c r="P242" s="143"/>
      <c r="Q242" s="143"/>
      <c r="R242" s="143"/>
      <c r="S242" s="143"/>
      <c r="T242" s="143"/>
      <c r="U242" s="143"/>
      <c r="V242" s="143"/>
      <c r="W242" s="143"/>
      <c r="X242" s="143"/>
      <c r="Y242" s="143"/>
      <c r="Z242" s="145"/>
      <c r="AA242" s="145"/>
      <c r="AB242" s="142"/>
    </row>
    <row r="243" spans="1:28">
      <c r="A243" s="145"/>
      <c r="B243" s="342"/>
      <c r="C243" s="342"/>
      <c r="D243" s="342"/>
      <c r="F243" s="143"/>
      <c r="G243" s="145"/>
      <c r="H243" s="143"/>
      <c r="I243" s="143"/>
      <c r="J243" s="143"/>
      <c r="K243" s="342"/>
      <c r="L243" s="342"/>
      <c r="M243" s="143"/>
      <c r="N243" s="143"/>
      <c r="O243" s="143"/>
      <c r="P243" s="143"/>
      <c r="Q243" s="143"/>
      <c r="R243" s="143"/>
      <c r="S243" s="143"/>
      <c r="T243" s="143"/>
      <c r="U243" s="143"/>
      <c r="V243" s="143"/>
      <c r="W243" s="143"/>
      <c r="X243" s="143"/>
      <c r="Y243" s="143"/>
      <c r="Z243" s="145"/>
      <c r="AA243" s="145"/>
      <c r="AB243" s="142"/>
    </row>
    <row r="244" spans="1:28">
      <c r="A244" s="145"/>
      <c r="B244" s="342"/>
      <c r="C244" s="342"/>
      <c r="D244" s="342"/>
      <c r="F244" s="143"/>
      <c r="G244" s="145"/>
      <c r="H244" s="143"/>
      <c r="I244" s="143"/>
      <c r="J244" s="143"/>
      <c r="K244" s="342"/>
      <c r="L244" s="342"/>
      <c r="M244" s="143"/>
      <c r="N244" s="143"/>
      <c r="O244" s="143"/>
      <c r="P244" s="143"/>
      <c r="Q244" s="143"/>
      <c r="R244" s="143"/>
      <c r="S244" s="143"/>
      <c r="T244" s="143"/>
      <c r="U244" s="143"/>
      <c r="V244" s="143"/>
      <c r="W244" s="143"/>
      <c r="X244" s="143"/>
      <c r="Y244" s="143"/>
      <c r="Z244" s="145"/>
      <c r="AA244" s="145"/>
      <c r="AB244" s="142"/>
    </row>
    <row r="245" spans="1:28">
      <c r="A245" s="145"/>
      <c r="B245" s="342"/>
      <c r="C245" s="342"/>
      <c r="D245" s="342"/>
      <c r="F245" s="143"/>
      <c r="G245" s="145"/>
      <c r="H245" s="143"/>
      <c r="I245" s="143"/>
      <c r="J245" s="143"/>
      <c r="K245" s="342"/>
      <c r="L245" s="342"/>
      <c r="M245" s="143"/>
      <c r="N245" s="143"/>
      <c r="O245" s="143"/>
      <c r="P245" s="143"/>
      <c r="Q245" s="143"/>
      <c r="R245" s="143"/>
      <c r="S245" s="143"/>
      <c r="T245" s="143"/>
      <c r="U245" s="143"/>
      <c r="V245" s="143"/>
      <c r="W245" s="143"/>
      <c r="X245" s="143"/>
      <c r="Y245" s="143"/>
      <c r="Z245" s="145"/>
      <c r="AA245" s="261"/>
      <c r="AB245" s="142"/>
    </row>
    <row r="246" spans="1:28">
      <c r="A246" s="145"/>
      <c r="B246" s="342"/>
      <c r="C246" s="342"/>
      <c r="D246" s="342"/>
      <c r="F246" s="143"/>
      <c r="G246" s="145"/>
      <c r="H246" s="143"/>
      <c r="I246" s="143"/>
      <c r="J246" s="143"/>
      <c r="K246" s="342"/>
      <c r="L246" s="342"/>
      <c r="M246" s="143"/>
      <c r="N246" s="143"/>
      <c r="O246" s="143"/>
      <c r="P246" s="143"/>
      <c r="Q246" s="143"/>
      <c r="R246" s="143"/>
      <c r="S246" s="143"/>
      <c r="T246" s="143"/>
      <c r="U246" s="143"/>
      <c r="V246" s="143"/>
      <c r="W246" s="143"/>
      <c r="X246" s="143"/>
      <c r="Y246" s="143"/>
      <c r="Z246" s="145"/>
      <c r="AA246" s="261"/>
      <c r="AB246" s="142"/>
    </row>
    <row r="247" spans="1:28">
      <c r="A247" s="145"/>
      <c r="B247" s="342"/>
      <c r="C247" s="342"/>
      <c r="D247" s="342"/>
      <c r="F247" s="143"/>
      <c r="G247" s="145"/>
      <c r="H247" s="143"/>
      <c r="I247" s="143"/>
      <c r="J247" s="143"/>
      <c r="K247" s="342"/>
      <c r="L247" s="342"/>
      <c r="M247" s="143"/>
      <c r="N247" s="143"/>
      <c r="O247" s="143"/>
      <c r="P247" s="143"/>
      <c r="Q247" s="143"/>
      <c r="R247" s="143"/>
      <c r="S247" s="143"/>
      <c r="T247" s="143"/>
      <c r="U247" s="143"/>
      <c r="V247" s="143"/>
      <c r="W247" s="143"/>
      <c r="X247" s="143"/>
      <c r="Y247" s="143"/>
      <c r="Z247" s="145"/>
      <c r="AA247" s="261"/>
      <c r="AB247" s="142"/>
    </row>
    <row r="248" spans="1:28">
      <c r="A248" s="145"/>
      <c r="B248" s="342"/>
      <c r="C248" s="342"/>
      <c r="D248" s="342"/>
      <c r="F248" s="143"/>
      <c r="G248" s="145"/>
      <c r="H248" s="143"/>
      <c r="I248" s="143"/>
      <c r="J248" s="143"/>
      <c r="K248" s="342"/>
      <c r="L248" s="342"/>
      <c r="M248" s="143"/>
      <c r="N248" s="143"/>
      <c r="O248" s="143"/>
      <c r="P248" s="143"/>
      <c r="Q248" s="143"/>
      <c r="R248" s="143"/>
      <c r="S248" s="143"/>
      <c r="T248" s="143"/>
      <c r="U248" s="143"/>
      <c r="V248" s="143"/>
      <c r="W248" s="143"/>
      <c r="X248" s="143"/>
      <c r="Y248" s="143"/>
      <c r="Z248" s="145"/>
      <c r="AA248" s="261"/>
      <c r="AB248" s="142"/>
    </row>
    <row r="249" spans="1:28">
      <c r="A249" s="145"/>
      <c r="B249" s="342"/>
      <c r="C249" s="342"/>
      <c r="D249" s="342"/>
      <c r="F249" s="143"/>
      <c r="G249" s="145"/>
      <c r="H249" s="143"/>
      <c r="I249" s="143"/>
      <c r="J249" s="143"/>
      <c r="K249" s="342"/>
      <c r="L249" s="342"/>
      <c r="M249" s="143"/>
      <c r="N249" s="143"/>
      <c r="O249" s="143"/>
      <c r="P249" s="143"/>
      <c r="Q249" s="143"/>
      <c r="R249" s="143"/>
      <c r="S249" s="143"/>
      <c r="T249" s="143"/>
      <c r="U249" s="143"/>
      <c r="V249" s="143"/>
      <c r="W249" s="143"/>
      <c r="X249" s="143"/>
      <c r="Y249" s="143"/>
      <c r="Z249" s="145"/>
      <c r="AA249" s="261"/>
      <c r="AB249" s="142"/>
    </row>
    <row r="250" spans="1:28">
      <c r="A250" s="145"/>
      <c r="B250" s="342"/>
      <c r="C250" s="342"/>
      <c r="D250" s="342"/>
      <c r="F250" s="143"/>
      <c r="G250" s="145"/>
      <c r="H250" s="143"/>
      <c r="I250" s="143"/>
      <c r="J250" s="143"/>
      <c r="K250" s="342"/>
      <c r="L250" s="342"/>
      <c r="M250" s="143"/>
      <c r="N250" s="143"/>
      <c r="O250" s="143"/>
      <c r="P250" s="143"/>
      <c r="Q250" s="143"/>
      <c r="R250" s="143"/>
      <c r="S250" s="143"/>
      <c r="T250" s="143"/>
      <c r="U250" s="143"/>
      <c r="V250" s="143"/>
      <c r="W250" s="143"/>
      <c r="X250" s="143"/>
      <c r="Y250" s="143"/>
      <c r="Z250" s="145"/>
      <c r="AA250" s="261"/>
      <c r="AB250" s="142"/>
    </row>
    <row r="251" spans="1:28">
      <c r="A251" s="145"/>
      <c r="B251" s="342"/>
      <c r="C251" s="342"/>
      <c r="D251" s="342"/>
      <c r="F251" s="143"/>
      <c r="G251" s="145"/>
      <c r="H251" s="143"/>
      <c r="I251" s="143"/>
      <c r="J251" s="143"/>
      <c r="K251" s="342"/>
      <c r="L251" s="342"/>
      <c r="M251" s="143"/>
      <c r="N251" s="143"/>
      <c r="O251" s="143"/>
      <c r="P251" s="143"/>
      <c r="Q251" s="143"/>
      <c r="R251" s="143"/>
      <c r="S251" s="143"/>
      <c r="T251" s="143"/>
      <c r="U251" s="143"/>
      <c r="V251" s="143"/>
      <c r="W251" s="143"/>
      <c r="X251" s="143"/>
      <c r="Y251" s="143"/>
      <c r="Z251" s="145"/>
      <c r="AA251" s="261"/>
      <c r="AB251" s="142"/>
    </row>
    <row r="252" spans="1:28">
      <c r="A252" s="145"/>
      <c r="B252" s="342"/>
      <c r="C252" s="342"/>
      <c r="D252" s="342"/>
      <c r="F252" s="143"/>
      <c r="G252" s="145"/>
      <c r="H252" s="143"/>
      <c r="I252" s="143"/>
      <c r="J252" s="143"/>
      <c r="K252" s="342"/>
      <c r="L252" s="342"/>
      <c r="M252" s="143"/>
      <c r="N252" s="143"/>
      <c r="O252" s="143"/>
      <c r="P252" s="143"/>
      <c r="Q252" s="143"/>
      <c r="R252" s="143"/>
      <c r="S252" s="143"/>
      <c r="T252" s="143"/>
      <c r="U252" s="143"/>
      <c r="V252" s="143"/>
      <c r="W252" s="143"/>
      <c r="X252" s="143"/>
      <c r="Y252" s="143"/>
      <c r="Z252" s="145"/>
      <c r="AA252" s="261"/>
      <c r="AB252" s="142"/>
    </row>
    <row r="253" spans="1:28">
      <c r="A253" s="145"/>
      <c r="B253" s="342"/>
      <c r="C253" s="342"/>
      <c r="D253" s="342"/>
      <c r="F253" s="143"/>
      <c r="G253" s="145"/>
      <c r="H253" s="143"/>
      <c r="I253" s="143"/>
      <c r="J253" s="143"/>
      <c r="K253" s="342"/>
      <c r="L253" s="342"/>
      <c r="M253" s="143"/>
      <c r="N253" s="143"/>
      <c r="O253" s="143"/>
      <c r="P253" s="143"/>
      <c r="Q253" s="143"/>
      <c r="R253" s="143"/>
      <c r="S253" s="143"/>
      <c r="T253" s="143"/>
      <c r="U253" s="143"/>
      <c r="V253" s="143"/>
      <c r="W253" s="143"/>
      <c r="X253" s="143"/>
      <c r="Y253" s="143"/>
      <c r="Z253" s="145"/>
      <c r="AA253" s="261"/>
      <c r="AB253" s="142"/>
    </row>
    <row r="254" spans="1:28">
      <c r="A254" s="145"/>
      <c r="B254" s="342"/>
      <c r="C254" s="342"/>
      <c r="D254" s="342"/>
      <c r="F254" s="143"/>
      <c r="G254" s="145"/>
      <c r="H254" s="143"/>
      <c r="I254" s="143"/>
      <c r="J254" s="143"/>
      <c r="K254" s="342"/>
      <c r="L254" s="342"/>
      <c r="M254" s="143"/>
      <c r="N254" s="143"/>
      <c r="O254" s="143"/>
      <c r="P254" s="143"/>
      <c r="Q254" s="143"/>
      <c r="R254" s="143"/>
      <c r="S254" s="143"/>
      <c r="T254" s="143"/>
      <c r="U254" s="143"/>
      <c r="V254" s="143"/>
      <c r="W254" s="143"/>
      <c r="X254" s="143"/>
      <c r="Y254" s="143"/>
      <c r="Z254" s="145"/>
      <c r="AA254" s="261"/>
      <c r="AB254" s="142"/>
    </row>
    <row r="255" spans="1:28">
      <c r="A255" s="145"/>
      <c r="B255" s="342"/>
      <c r="C255" s="342"/>
      <c r="D255" s="342"/>
      <c r="F255" s="143"/>
      <c r="G255" s="145"/>
      <c r="H255" s="143"/>
      <c r="I255" s="143"/>
      <c r="J255" s="143"/>
      <c r="K255" s="342"/>
      <c r="L255" s="342"/>
      <c r="M255" s="143"/>
      <c r="N255" s="143"/>
      <c r="O255" s="143"/>
      <c r="P255" s="143"/>
      <c r="Q255" s="143"/>
      <c r="R255" s="143"/>
      <c r="S255" s="143"/>
      <c r="T255" s="143"/>
      <c r="U255" s="143"/>
      <c r="V255" s="143"/>
      <c r="W255" s="143"/>
      <c r="X255" s="143"/>
      <c r="Y255" s="143"/>
      <c r="Z255" s="145"/>
      <c r="AA255" s="261"/>
      <c r="AB255" s="142"/>
    </row>
    <row r="256" spans="1:28">
      <c r="A256" s="145"/>
      <c r="B256" s="342"/>
      <c r="C256" s="342"/>
      <c r="D256" s="342"/>
      <c r="F256" s="143"/>
      <c r="G256" s="145"/>
      <c r="H256" s="143"/>
      <c r="I256" s="143"/>
      <c r="J256" s="143"/>
      <c r="K256" s="342"/>
      <c r="L256" s="342"/>
      <c r="M256" s="143"/>
      <c r="N256" s="143"/>
      <c r="O256" s="143"/>
      <c r="P256" s="143"/>
      <c r="Q256" s="143"/>
      <c r="R256" s="143"/>
      <c r="S256" s="143"/>
      <c r="T256" s="143"/>
      <c r="U256" s="143"/>
      <c r="V256" s="143"/>
      <c r="W256" s="143"/>
      <c r="X256" s="143"/>
      <c r="Y256" s="143"/>
      <c r="Z256" s="145"/>
      <c r="AA256" s="261"/>
      <c r="AB256" s="142"/>
    </row>
    <row r="257" spans="1:28">
      <c r="A257" s="145"/>
      <c r="B257" s="342"/>
      <c r="C257" s="342"/>
      <c r="D257" s="342"/>
      <c r="F257" s="143"/>
      <c r="G257" s="145"/>
      <c r="H257" s="143"/>
      <c r="I257" s="143"/>
      <c r="J257" s="143"/>
      <c r="K257" s="342"/>
      <c r="L257" s="342"/>
      <c r="M257" s="143"/>
      <c r="N257" s="143"/>
      <c r="O257" s="143"/>
      <c r="P257" s="143"/>
      <c r="Q257" s="143"/>
      <c r="R257" s="143"/>
      <c r="S257" s="143"/>
      <c r="T257" s="143"/>
      <c r="U257" s="143"/>
      <c r="V257" s="143"/>
      <c r="W257" s="143"/>
      <c r="X257" s="143"/>
      <c r="Y257" s="143"/>
      <c r="Z257" s="145"/>
      <c r="AA257" s="145"/>
      <c r="AB257" s="142"/>
    </row>
    <row r="258" spans="1:28">
      <c r="A258" s="145"/>
      <c r="B258" s="342"/>
      <c r="C258" s="342"/>
      <c r="D258" s="342"/>
      <c r="F258" s="143"/>
      <c r="G258" s="145"/>
      <c r="H258" s="143"/>
      <c r="I258" s="143"/>
      <c r="J258" s="143"/>
      <c r="K258" s="342"/>
      <c r="L258" s="342"/>
      <c r="M258" s="143"/>
      <c r="N258" s="143"/>
      <c r="O258" s="143"/>
      <c r="P258" s="143"/>
      <c r="Q258" s="143"/>
      <c r="R258" s="143"/>
      <c r="S258" s="143"/>
      <c r="T258" s="143"/>
      <c r="U258" s="143"/>
      <c r="V258" s="143"/>
      <c r="W258" s="143"/>
      <c r="X258" s="143"/>
      <c r="Y258" s="143"/>
      <c r="Z258" s="145"/>
      <c r="AA258" s="145"/>
      <c r="AB258" s="142"/>
    </row>
    <row r="259" spans="1:28">
      <c r="A259" s="145"/>
      <c r="B259" s="342"/>
      <c r="C259" s="342"/>
      <c r="D259" s="342"/>
      <c r="F259" s="143"/>
      <c r="G259" s="145"/>
      <c r="H259" s="143"/>
      <c r="I259" s="143"/>
      <c r="J259" s="143"/>
      <c r="K259" s="342"/>
      <c r="L259" s="342"/>
      <c r="M259" s="143"/>
      <c r="N259" s="143"/>
      <c r="O259" s="143"/>
      <c r="P259" s="143"/>
      <c r="Q259" s="143"/>
      <c r="R259" s="143"/>
      <c r="S259" s="143"/>
      <c r="T259" s="143"/>
      <c r="U259" s="143"/>
      <c r="V259" s="143"/>
      <c r="W259" s="143"/>
      <c r="X259" s="143"/>
      <c r="Y259" s="143"/>
      <c r="Z259" s="145"/>
      <c r="AA259" s="145"/>
      <c r="AB259" s="142"/>
    </row>
    <row r="260" spans="1:28">
      <c r="A260" s="145"/>
      <c r="B260" s="342"/>
      <c r="C260" s="342"/>
      <c r="D260" s="342"/>
      <c r="F260" s="143"/>
      <c r="G260" s="145"/>
      <c r="H260" s="143"/>
      <c r="I260" s="143"/>
      <c r="J260" s="143"/>
      <c r="K260" s="342"/>
      <c r="L260" s="342"/>
      <c r="M260" s="143"/>
      <c r="N260" s="143"/>
      <c r="O260" s="143"/>
      <c r="P260" s="143"/>
      <c r="Q260" s="143"/>
      <c r="R260" s="143"/>
      <c r="S260" s="143"/>
      <c r="T260" s="143"/>
      <c r="U260" s="143"/>
      <c r="V260" s="143"/>
      <c r="W260" s="143"/>
      <c r="X260" s="143"/>
      <c r="Y260" s="143"/>
      <c r="Z260" s="145"/>
      <c r="AA260" s="145"/>
      <c r="AB260" s="142"/>
    </row>
    <row r="261" spans="1:28">
      <c r="A261" s="145"/>
      <c r="B261" s="342"/>
      <c r="C261" s="342"/>
      <c r="D261" s="342"/>
      <c r="F261" s="143"/>
      <c r="G261" s="145"/>
      <c r="H261" s="143"/>
      <c r="I261" s="143"/>
      <c r="J261" s="143"/>
      <c r="K261" s="342"/>
      <c r="L261" s="342"/>
      <c r="M261" s="143"/>
      <c r="N261" s="143"/>
      <c r="O261" s="143"/>
      <c r="P261" s="143"/>
      <c r="Q261" s="143"/>
      <c r="R261" s="143"/>
      <c r="S261" s="143"/>
      <c r="T261" s="143"/>
      <c r="U261" s="143"/>
      <c r="V261" s="143"/>
      <c r="W261" s="143"/>
      <c r="X261" s="143"/>
      <c r="Y261" s="143"/>
      <c r="Z261" s="145"/>
      <c r="AA261" s="261"/>
      <c r="AB261" s="142"/>
    </row>
    <row r="262" spans="1:28">
      <c r="A262" s="145"/>
      <c r="B262" s="342"/>
      <c r="C262" s="342"/>
      <c r="D262" s="342"/>
      <c r="F262" s="143"/>
      <c r="G262" s="145"/>
      <c r="H262" s="143"/>
      <c r="I262" s="143"/>
      <c r="J262" s="143"/>
      <c r="K262" s="342"/>
      <c r="L262" s="342"/>
      <c r="M262" s="143"/>
      <c r="N262" s="143"/>
      <c r="O262" s="143"/>
      <c r="P262" s="143"/>
      <c r="Q262" s="143"/>
      <c r="R262" s="143"/>
      <c r="S262" s="143"/>
      <c r="T262" s="143"/>
      <c r="U262" s="143"/>
      <c r="V262" s="143"/>
      <c r="W262" s="143"/>
      <c r="X262" s="143"/>
      <c r="Y262" s="143"/>
      <c r="Z262" s="145"/>
      <c r="AA262" s="261"/>
      <c r="AB262" s="142"/>
    </row>
    <row r="263" spans="1:28">
      <c r="A263" s="145"/>
      <c r="B263" s="342"/>
      <c r="C263" s="342"/>
      <c r="D263" s="342"/>
      <c r="F263" s="143"/>
      <c r="G263" s="145"/>
      <c r="H263" s="143"/>
      <c r="I263" s="143"/>
      <c r="J263" s="143"/>
      <c r="K263" s="342"/>
      <c r="L263" s="342"/>
      <c r="M263" s="143"/>
      <c r="N263" s="143"/>
      <c r="O263" s="143"/>
      <c r="P263" s="143"/>
      <c r="Q263" s="143"/>
      <c r="R263" s="143"/>
      <c r="S263" s="143"/>
      <c r="T263" s="143"/>
      <c r="U263" s="143"/>
      <c r="V263" s="143"/>
      <c r="W263" s="143"/>
      <c r="X263" s="143"/>
      <c r="Y263" s="143"/>
      <c r="Z263" s="145"/>
      <c r="AA263" s="145"/>
      <c r="AB263" s="142"/>
    </row>
    <row r="264" spans="1:28">
      <c r="A264" s="145"/>
      <c r="B264" s="342"/>
      <c r="C264" s="342"/>
      <c r="D264" s="342"/>
      <c r="F264" s="143"/>
      <c r="G264" s="145"/>
      <c r="H264" s="143"/>
      <c r="I264" s="143"/>
      <c r="J264" s="143"/>
      <c r="K264" s="342"/>
      <c r="L264" s="342"/>
      <c r="M264" s="143"/>
      <c r="N264" s="143"/>
      <c r="O264" s="143"/>
      <c r="P264" s="143"/>
      <c r="Q264" s="143"/>
      <c r="R264" s="143"/>
      <c r="S264" s="143"/>
      <c r="T264" s="143"/>
      <c r="U264" s="143"/>
      <c r="V264" s="143"/>
      <c r="W264" s="143"/>
      <c r="X264" s="143"/>
      <c r="Y264" s="143"/>
      <c r="Z264" s="145"/>
      <c r="AA264" s="145"/>
      <c r="AB264" s="142"/>
    </row>
    <row r="265" spans="1:28">
      <c r="A265" s="145"/>
      <c r="B265" s="342"/>
      <c r="C265" s="342"/>
      <c r="D265" s="342"/>
      <c r="F265" s="143"/>
      <c r="G265" s="145"/>
      <c r="H265" s="143"/>
      <c r="I265" s="143"/>
      <c r="J265" s="143"/>
      <c r="K265" s="342"/>
      <c r="L265" s="342"/>
      <c r="M265" s="143"/>
      <c r="N265" s="143"/>
      <c r="O265" s="143"/>
      <c r="P265" s="143"/>
      <c r="Q265" s="143"/>
      <c r="R265" s="143"/>
      <c r="S265" s="143"/>
      <c r="T265" s="143"/>
      <c r="U265" s="143"/>
      <c r="V265" s="143"/>
      <c r="W265" s="143"/>
      <c r="X265" s="143"/>
      <c r="Y265" s="143"/>
      <c r="Z265" s="145"/>
      <c r="AA265" s="145"/>
      <c r="AB265" s="142"/>
    </row>
    <row r="266" spans="1:28">
      <c r="A266" s="145"/>
      <c r="B266" s="342"/>
      <c r="C266" s="342"/>
      <c r="D266" s="342"/>
      <c r="F266" s="143"/>
      <c r="G266" s="145"/>
      <c r="H266" s="143"/>
      <c r="I266" s="143"/>
      <c r="J266" s="143"/>
      <c r="K266" s="342"/>
      <c r="L266" s="342"/>
      <c r="M266" s="143"/>
      <c r="N266" s="143"/>
      <c r="O266" s="143"/>
      <c r="P266" s="143"/>
      <c r="Q266" s="143"/>
      <c r="R266" s="143"/>
      <c r="S266" s="143"/>
      <c r="T266" s="143"/>
      <c r="U266" s="143"/>
      <c r="V266" s="143"/>
      <c r="W266" s="143"/>
      <c r="X266" s="143"/>
      <c r="Y266" s="143"/>
      <c r="Z266" s="145"/>
      <c r="AA266" s="145"/>
      <c r="AB266" s="142"/>
    </row>
    <row r="267" spans="1:28">
      <c r="A267" s="145"/>
      <c r="B267" s="342"/>
      <c r="C267" s="342"/>
      <c r="D267" s="342"/>
      <c r="F267" s="143"/>
      <c r="G267" s="145"/>
      <c r="H267" s="143"/>
      <c r="I267" s="143"/>
      <c r="J267" s="143"/>
      <c r="K267" s="342"/>
      <c r="L267" s="342"/>
      <c r="M267" s="143"/>
      <c r="N267" s="143"/>
      <c r="O267" s="143"/>
      <c r="P267" s="143"/>
      <c r="Q267" s="143"/>
      <c r="R267" s="143"/>
      <c r="S267" s="143"/>
      <c r="T267" s="143"/>
      <c r="U267" s="143"/>
      <c r="V267" s="143"/>
      <c r="W267" s="143"/>
      <c r="X267" s="143"/>
      <c r="Y267" s="143"/>
      <c r="Z267" s="145"/>
      <c r="AA267" s="145"/>
      <c r="AB267" s="142"/>
    </row>
    <row r="268" spans="1:28">
      <c r="A268" s="145"/>
      <c r="B268" s="342"/>
      <c r="C268" s="342"/>
      <c r="D268" s="342"/>
      <c r="F268" s="143"/>
      <c r="G268" s="145"/>
      <c r="H268" s="143"/>
      <c r="I268" s="143"/>
      <c r="J268" s="143"/>
      <c r="K268" s="342"/>
      <c r="L268" s="342"/>
      <c r="M268" s="143"/>
      <c r="N268" s="143"/>
      <c r="O268" s="143"/>
      <c r="P268" s="143"/>
      <c r="Q268" s="143"/>
      <c r="R268" s="143"/>
      <c r="S268" s="143"/>
      <c r="T268" s="143"/>
      <c r="U268" s="143"/>
      <c r="V268" s="143"/>
      <c r="W268" s="143"/>
      <c r="X268" s="143"/>
      <c r="Y268" s="143"/>
      <c r="Z268" s="145"/>
      <c r="AA268" s="145"/>
      <c r="AB268" s="142"/>
    </row>
    <row r="269" spans="1:28">
      <c r="A269" s="145"/>
      <c r="B269" s="342"/>
      <c r="C269" s="342"/>
      <c r="D269" s="342"/>
      <c r="F269" s="143"/>
      <c r="G269" s="145"/>
      <c r="H269" s="143"/>
      <c r="I269" s="143"/>
      <c r="J269" s="143"/>
      <c r="K269" s="342"/>
      <c r="L269" s="342"/>
      <c r="M269" s="143"/>
      <c r="N269" s="143"/>
      <c r="O269" s="143"/>
      <c r="P269" s="143"/>
      <c r="Q269" s="143"/>
      <c r="R269" s="143"/>
      <c r="S269" s="143"/>
      <c r="T269" s="143"/>
      <c r="U269" s="143"/>
      <c r="V269" s="143"/>
      <c r="W269" s="143"/>
      <c r="X269" s="143"/>
      <c r="Y269" s="143"/>
      <c r="Z269" s="145"/>
      <c r="AA269" s="145"/>
      <c r="AB269" s="142"/>
    </row>
    <row r="270" spans="1:28">
      <c r="A270" s="145"/>
      <c r="B270" s="342"/>
      <c r="C270" s="342"/>
      <c r="D270" s="342"/>
      <c r="F270" s="143"/>
      <c r="G270" s="145"/>
      <c r="H270" s="143"/>
      <c r="I270" s="143"/>
      <c r="J270" s="143"/>
      <c r="K270" s="342"/>
      <c r="L270" s="342"/>
      <c r="M270" s="143"/>
      <c r="N270" s="143"/>
      <c r="O270" s="143"/>
      <c r="P270" s="143"/>
      <c r="Q270" s="143"/>
      <c r="R270" s="143"/>
      <c r="S270" s="143"/>
      <c r="T270" s="143"/>
      <c r="U270" s="143"/>
      <c r="V270" s="143"/>
      <c r="W270" s="143"/>
      <c r="X270" s="143"/>
      <c r="Y270" s="143"/>
      <c r="Z270" s="145"/>
      <c r="AA270" s="145"/>
      <c r="AB270" s="142"/>
    </row>
    <row r="271" spans="1:28">
      <c r="A271" s="145"/>
      <c r="B271" s="342"/>
      <c r="C271" s="342"/>
      <c r="D271" s="342"/>
      <c r="F271" s="143"/>
      <c r="G271" s="145"/>
      <c r="H271" s="143"/>
      <c r="I271" s="143"/>
      <c r="J271" s="143"/>
      <c r="K271" s="342"/>
      <c r="L271" s="342"/>
      <c r="M271" s="143"/>
      <c r="N271" s="143"/>
      <c r="O271" s="143"/>
      <c r="P271" s="143"/>
      <c r="Q271" s="143"/>
      <c r="R271" s="143"/>
      <c r="S271" s="143"/>
      <c r="T271" s="143"/>
      <c r="U271" s="143"/>
      <c r="V271" s="143"/>
      <c r="W271" s="143"/>
      <c r="X271" s="143"/>
      <c r="Y271" s="143"/>
      <c r="Z271" s="145"/>
      <c r="AA271" s="145"/>
      <c r="AB271" s="142"/>
    </row>
    <row r="272" spans="1:28">
      <c r="A272" s="145"/>
      <c r="B272" s="342"/>
      <c r="C272" s="342"/>
      <c r="D272" s="342"/>
      <c r="F272" s="143"/>
      <c r="G272" s="145"/>
      <c r="H272" s="143"/>
      <c r="I272" s="143"/>
      <c r="J272" s="143"/>
      <c r="K272" s="342"/>
      <c r="L272" s="342"/>
      <c r="M272" s="143"/>
      <c r="N272" s="143"/>
      <c r="O272" s="143"/>
      <c r="P272" s="143"/>
      <c r="Q272" s="143"/>
      <c r="R272" s="143"/>
      <c r="S272" s="143"/>
      <c r="T272" s="143"/>
      <c r="U272" s="143"/>
      <c r="V272" s="143"/>
      <c r="W272" s="143"/>
      <c r="X272" s="143"/>
      <c r="Y272" s="143"/>
      <c r="Z272" s="145"/>
      <c r="AA272" s="145"/>
      <c r="AB272" s="142"/>
    </row>
    <row r="273" spans="1:28">
      <c r="A273" s="145"/>
      <c r="B273" s="342"/>
      <c r="C273" s="342"/>
      <c r="D273" s="342"/>
      <c r="F273" s="143"/>
      <c r="G273" s="145"/>
      <c r="H273" s="143"/>
      <c r="I273" s="143"/>
      <c r="J273" s="143"/>
      <c r="K273" s="342"/>
      <c r="L273" s="342"/>
      <c r="M273" s="143"/>
      <c r="N273" s="143"/>
      <c r="O273" s="143"/>
      <c r="P273" s="143"/>
      <c r="Q273" s="143"/>
      <c r="R273" s="143"/>
      <c r="S273" s="143"/>
      <c r="T273" s="143"/>
      <c r="U273" s="143"/>
      <c r="V273" s="143"/>
      <c r="W273" s="143"/>
      <c r="X273" s="143"/>
      <c r="Y273" s="143"/>
      <c r="Z273" s="145"/>
      <c r="AA273" s="145"/>
      <c r="AB273" s="142"/>
    </row>
    <row r="274" spans="1:28">
      <c r="A274" s="145"/>
      <c r="B274" s="342"/>
      <c r="C274" s="342"/>
      <c r="D274" s="342"/>
      <c r="F274" s="143"/>
      <c r="G274" s="145"/>
      <c r="H274" s="143"/>
      <c r="I274" s="143"/>
      <c r="J274" s="143"/>
      <c r="K274" s="342"/>
      <c r="L274" s="342"/>
      <c r="M274" s="143"/>
      <c r="N274" s="143"/>
      <c r="O274" s="143"/>
      <c r="P274" s="143"/>
      <c r="Q274" s="143"/>
      <c r="R274" s="143"/>
      <c r="S274" s="143"/>
      <c r="T274" s="143"/>
      <c r="U274" s="143"/>
      <c r="V274" s="143"/>
      <c r="W274" s="143"/>
      <c r="X274" s="143"/>
      <c r="Y274" s="143"/>
      <c r="Z274" s="145"/>
      <c r="AA274" s="145"/>
      <c r="AB274" s="142"/>
    </row>
    <row r="275" spans="1:28">
      <c r="A275" s="145"/>
      <c r="B275" s="342"/>
      <c r="C275" s="342"/>
      <c r="D275" s="342"/>
      <c r="F275" s="143"/>
      <c r="G275" s="145"/>
      <c r="H275" s="143"/>
      <c r="I275" s="143"/>
      <c r="J275" s="143"/>
      <c r="K275" s="342"/>
      <c r="L275" s="342"/>
      <c r="M275" s="143"/>
      <c r="N275" s="143"/>
      <c r="O275" s="143"/>
      <c r="P275" s="143"/>
      <c r="Q275" s="143"/>
      <c r="R275" s="143"/>
      <c r="S275" s="143"/>
      <c r="T275" s="143"/>
      <c r="U275" s="143"/>
      <c r="V275" s="143"/>
      <c r="W275" s="143"/>
      <c r="X275" s="143"/>
      <c r="Y275" s="143"/>
      <c r="Z275" s="145"/>
      <c r="AA275" s="145"/>
      <c r="AB275" s="142"/>
    </row>
    <row r="276" spans="1:28">
      <c r="A276" s="145"/>
      <c r="B276" s="342"/>
      <c r="C276" s="342"/>
      <c r="D276" s="342"/>
      <c r="F276" s="143"/>
      <c r="G276" s="145"/>
      <c r="H276" s="143"/>
      <c r="I276" s="143"/>
      <c r="J276" s="143"/>
      <c r="K276" s="342"/>
      <c r="L276" s="342"/>
      <c r="M276" s="143"/>
      <c r="N276" s="143"/>
      <c r="O276" s="143"/>
      <c r="P276" s="143"/>
      <c r="Q276" s="143"/>
      <c r="R276" s="143"/>
      <c r="S276" s="143"/>
      <c r="T276" s="143"/>
      <c r="U276" s="143"/>
      <c r="V276" s="143"/>
      <c r="W276" s="143"/>
      <c r="X276" s="143"/>
      <c r="Y276" s="143"/>
      <c r="Z276" s="145"/>
      <c r="AA276" s="145"/>
      <c r="AB276" s="142"/>
    </row>
    <row r="277" spans="1:28">
      <c r="A277" s="145"/>
      <c r="B277" s="342"/>
      <c r="C277" s="342"/>
      <c r="D277" s="342"/>
      <c r="F277" s="143"/>
      <c r="G277" s="145"/>
      <c r="H277" s="143"/>
      <c r="I277" s="143"/>
      <c r="J277" s="143"/>
      <c r="K277" s="342"/>
      <c r="L277" s="342"/>
      <c r="M277" s="143"/>
      <c r="N277" s="143"/>
      <c r="O277" s="143"/>
      <c r="P277" s="143"/>
      <c r="Q277" s="143"/>
      <c r="R277" s="143"/>
      <c r="S277" s="143"/>
      <c r="T277" s="143"/>
      <c r="U277" s="143"/>
      <c r="V277" s="143"/>
      <c r="W277" s="143"/>
      <c r="X277" s="143"/>
      <c r="Y277" s="143"/>
      <c r="Z277" s="145"/>
      <c r="AA277" s="145"/>
      <c r="AB277" s="142"/>
    </row>
    <row r="278" spans="1:28">
      <c r="A278" s="145"/>
      <c r="B278" s="342"/>
      <c r="C278" s="342"/>
      <c r="D278" s="342"/>
      <c r="F278" s="143"/>
      <c r="G278" s="145"/>
      <c r="H278" s="143"/>
      <c r="I278" s="143"/>
      <c r="J278" s="143"/>
      <c r="K278" s="342"/>
      <c r="L278" s="342"/>
      <c r="M278" s="143"/>
      <c r="N278" s="143"/>
      <c r="O278" s="143"/>
      <c r="P278" s="143"/>
      <c r="Q278" s="143"/>
      <c r="R278" s="143"/>
      <c r="S278" s="143"/>
      <c r="T278" s="143"/>
      <c r="U278" s="143"/>
      <c r="V278" s="143"/>
      <c r="W278" s="143"/>
      <c r="X278" s="143"/>
      <c r="Y278" s="143"/>
      <c r="Z278" s="145"/>
      <c r="AA278" s="145"/>
      <c r="AB278" s="142"/>
    </row>
    <row r="279" spans="1:28">
      <c r="A279" s="145"/>
      <c r="B279" s="342"/>
      <c r="C279" s="342"/>
      <c r="D279" s="342"/>
      <c r="F279" s="143"/>
      <c r="G279" s="145"/>
      <c r="H279" s="143"/>
      <c r="I279" s="143"/>
      <c r="J279" s="143"/>
      <c r="K279" s="342"/>
      <c r="L279" s="342"/>
      <c r="M279" s="143"/>
      <c r="N279" s="143"/>
      <c r="O279" s="143"/>
      <c r="P279" s="143"/>
      <c r="Q279" s="143"/>
      <c r="R279" s="143"/>
      <c r="S279" s="143"/>
      <c r="T279" s="143"/>
      <c r="U279" s="143"/>
      <c r="V279" s="143"/>
      <c r="W279" s="143"/>
      <c r="X279" s="143"/>
      <c r="Y279" s="143"/>
      <c r="Z279" s="145"/>
      <c r="AA279" s="145"/>
      <c r="AB279" s="142"/>
    </row>
    <row r="280" spans="1:28">
      <c r="A280" s="145"/>
      <c r="B280" s="342"/>
      <c r="C280" s="342"/>
      <c r="D280" s="342"/>
      <c r="F280" s="143"/>
      <c r="G280" s="145"/>
      <c r="H280" s="143"/>
      <c r="I280" s="143"/>
      <c r="J280" s="143"/>
      <c r="K280" s="342"/>
      <c r="L280" s="342"/>
      <c r="M280" s="143"/>
      <c r="N280" s="143"/>
      <c r="O280" s="143"/>
      <c r="P280" s="143"/>
      <c r="Q280" s="143"/>
      <c r="R280" s="143"/>
      <c r="S280" s="143"/>
      <c r="T280" s="143"/>
      <c r="U280" s="143"/>
      <c r="V280" s="143"/>
      <c r="W280" s="143"/>
      <c r="X280" s="143"/>
      <c r="Y280" s="143"/>
      <c r="Z280" s="145"/>
      <c r="AA280" s="145"/>
      <c r="AB280" s="142"/>
    </row>
    <row r="281" spans="1:28">
      <c r="A281" s="145"/>
      <c r="B281" s="342"/>
      <c r="C281" s="342"/>
      <c r="D281" s="342"/>
      <c r="F281" s="143"/>
      <c r="G281" s="145"/>
      <c r="H281" s="143"/>
      <c r="I281" s="143"/>
      <c r="J281" s="143"/>
      <c r="K281" s="342"/>
      <c r="L281" s="342"/>
      <c r="M281" s="143"/>
      <c r="N281" s="143"/>
      <c r="O281" s="143"/>
      <c r="P281" s="143"/>
      <c r="Q281" s="143"/>
      <c r="R281" s="143"/>
      <c r="S281" s="143"/>
      <c r="T281" s="143"/>
      <c r="U281" s="143"/>
      <c r="V281" s="143"/>
      <c r="W281" s="143"/>
      <c r="X281" s="143"/>
      <c r="Y281" s="143"/>
      <c r="Z281" s="145"/>
      <c r="AA281" s="145"/>
      <c r="AB281" s="142"/>
    </row>
    <row r="282" spans="1:28">
      <c r="A282" s="145"/>
      <c r="B282" s="342"/>
      <c r="C282" s="342"/>
      <c r="D282" s="342"/>
      <c r="F282" s="143"/>
      <c r="G282" s="145"/>
      <c r="H282" s="143"/>
      <c r="I282" s="143"/>
      <c r="J282" s="143"/>
      <c r="K282" s="342"/>
      <c r="L282" s="342"/>
      <c r="M282" s="143"/>
      <c r="N282" s="143"/>
      <c r="O282" s="143"/>
      <c r="P282" s="143"/>
      <c r="Q282" s="143"/>
      <c r="R282" s="143"/>
      <c r="S282" s="143"/>
      <c r="T282" s="143"/>
      <c r="U282" s="143"/>
      <c r="V282" s="143"/>
      <c r="W282" s="143"/>
      <c r="X282" s="143"/>
      <c r="Y282" s="143"/>
      <c r="Z282" s="145"/>
      <c r="AA282" s="145"/>
      <c r="AB282" s="142"/>
    </row>
    <row r="283" spans="1:28">
      <c r="A283" s="145"/>
      <c r="B283" s="342"/>
      <c r="C283" s="342"/>
      <c r="D283" s="342"/>
      <c r="F283" s="143"/>
      <c r="G283" s="145"/>
      <c r="H283" s="143"/>
      <c r="I283" s="143"/>
      <c r="J283" s="143"/>
      <c r="K283" s="342"/>
      <c r="L283" s="342"/>
      <c r="M283" s="143"/>
      <c r="N283" s="143"/>
      <c r="O283" s="143"/>
      <c r="P283" s="143"/>
      <c r="Q283" s="143"/>
      <c r="R283" s="143"/>
      <c r="S283" s="143"/>
      <c r="T283" s="143"/>
      <c r="U283" s="143"/>
      <c r="V283" s="143"/>
      <c r="W283" s="143"/>
      <c r="X283" s="143"/>
      <c r="Y283" s="143"/>
      <c r="Z283" s="145"/>
      <c r="AA283" s="145"/>
      <c r="AB283" s="142"/>
    </row>
    <row r="284" spans="1:28">
      <c r="A284" s="145"/>
      <c r="B284" s="342"/>
      <c r="C284" s="342"/>
      <c r="D284" s="342"/>
      <c r="F284" s="143"/>
      <c r="G284" s="145"/>
      <c r="H284" s="143"/>
      <c r="I284" s="143"/>
      <c r="J284" s="143"/>
      <c r="K284" s="342"/>
      <c r="L284" s="342"/>
      <c r="M284" s="143"/>
      <c r="N284" s="143"/>
      <c r="O284" s="143"/>
      <c r="P284" s="143"/>
      <c r="Q284" s="143"/>
      <c r="R284" s="143"/>
      <c r="S284" s="143"/>
      <c r="T284" s="143"/>
      <c r="U284" s="143"/>
      <c r="V284" s="143"/>
      <c r="W284" s="143"/>
      <c r="X284" s="143"/>
      <c r="Y284" s="143"/>
      <c r="Z284" s="145"/>
      <c r="AA284" s="145"/>
      <c r="AB284" s="142"/>
    </row>
    <row r="285" spans="1:28">
      <c r="A285" s="145"/>
      <c r="B285" s="342"/>
      <c r="C285" s="342"/>
      <c r="D285" s="342"/>
      <c r="F285" s="143"/>
      <c r="G285" s="145"/>
      <c r="H285" s="143"/>
      <c r="I285" s="143"/>
      <c r="J285" s="143"/>
      <c r="K285" s="342"/>
      <c r="L285" s="342"/>
      <c r="M285" s="143"/>
      <c r="N285" s="143"/>
      <c r="O285" s="143"/>
      <c r="P285" s="143"/>
      <c r="Q285" s="143"/>
      <c r="R285" s="143"/>
      <c r="S285" s="143"/>
      <c r="T285" s="143"/>
      <c r="U285" s="143"/>
      <c r="V285" s="143"/>
      <c r="W285" s="143"/>
      <c r="X285" s="143"/>
      <c r="Y285" s="143"/>
      <c r="Z285" s="145"/>
      <c r="AA285" s="145"/>
      <c r="AB285" s="142"/>
    </row>
    <row r="286" spans="1:28">
      <c r="A286" s="145"/>
      <c r="B286" s="342"/>
      <c r="C286" s="342"/>
      <c r="D286" s="342"/>
      <c r="F286" s="143"/>
      <c r="G286" s="145"/>
      <c r="H286" s="143"/>
      <c r="I286" s="143"/>
      <c r="J286" s="143"/>
      <c r="K286" s="342"/>
      <c r="L286" s="342"/>
      <c r="M286" s="143"/>
      <c r="N286" s="143"/>
      <c r="O286" s="143"/>
      <c r="P286" s="143"/>
      <c r="Q286" s="143"/>
      <c r="R286" s="143"/>
      <c r="S286" s="143"/>
      <c r="T286" s="143"/>
      <c r="U286" s="143"/>
      <c r="V286" s="143"/>
      <c r="W286" s="143"/>
      <c r="X286" s="143"/>
      <c r="Y286" s="143"/>
      <c r="Z286" s="145"/>
      <c r="AA286" s="145"/>
      <c r="AB286" s="142"/>
    </row>
    <row r="287" spans="1:28">
      <c r="A287" s="145"/>
      <c r="B287" s="342"/>
      <c r="C287" s="342"/>
      <c r="D287" s="342"/>
      <c r="F287" s="143"/>
      <c r="G287" s="145"/>
      <c r="H287" s="143"/>
      <c r="I287" s="143"/>
      <c r="J287" s="143"/>
      <c r="K287" s="342"/>
      <c r="L287" s="342"/>
      <c r="M287" s="143"/>
      <c r="N287" s="143"/>
      <c r="O287" s="143"/>
      <c r="P287" s="143"/>
      <c r="Q287" s="143"/>
      <c r="R287" s="143"/>
      <c r="S287" s="143"/>
      <c r="T287" s="143"/>
      <c r="U287" s="143"/>
      <c r="V287" s="143"/>
      <c r="W287" s="143"/>
      <c r="X287" s="143"/>
      <c r="Y287" s="143"/>
      <c r="Z287" s="145"/>
      <c r="AA287" s="145"/>
      <c r="AB287" s="142"/>
    </row>
    <row r="288" spans="1:28">
      <c r="A288" s="145"/>
      <c r="B288" s="342"/>
      <c r="C288" s="342"/>
      <c r="D288" s="342"/>
      <c r="F288" s="143"/>
      <c r="G288" s="145"/>
      <c r="H288" s="143"/>
      <c r="I288" s="143"/>
      <c r="J288" s="143"/>
      <c r="K288" s="342"/>
      <c r="L288" s="342"/>
      <c r="M288" s="143"/>
      <c r="N288" s="143"/>
      <c r="O288" s="143"/>
      <c r="P288" s="143"/>
      <c r="Q288" s="143"/>
      <c r="R288" s="143"/>
      <c r="S288" s="143"/>
      <c r="T288" s="143"/>
      <c r="U288" s="143"/>
      <c r="V288" s="143"/>
      <c r="W288" s="143"/>
      <c r="X288" s="143"/>
      <c r="Y288" s="143"/>
      <c r="Z288" s="145"/>
      <c r="AA288" s="145"/>
      <c r="AB288" s="142"/>
    </row>
    <row r="289" spans="1:28">
      <c r="A289" s="145"/>
      <c r="B289" s="342"/>
      <c r="C289" s="342"/>
      <c r="D289" s="342"/>
      <c r="F289" s="143"/>
      <c r="G289" s="145"/>
      <c r="H289" s="143"/>
      <c r="I289" s="143"/>
      <c r="J289" s="143"/>
      <c r="K289" s="342"/>
      <c r="L289" s="342"/>
      <c r="M289" s="143"/>
      <c r="N289" s="143"/>
      <c r="O289" s="143"/>
      <c r="P289" s="143"/>
      <c r="Q289" s="143"/>
      <c r="R289" s="143"/>
      <c r="S289" s="143"/>
      <c r="T289" s="143"/>
      <c r="U289" s="143"/>
      <c r="V289" s="143"/>
      <c r="W289" s="143"/>
      <c r="X289" s="143"/>
      <c r="Y289" s="143"/>
      <c r="Z289" s="145"/>
      <c r="AA289" s="145"/>
      <c r="AB289" s="142"/>
    </row>
    <row r="290" spans="1:28">
      <c r="A290" s="145"/>
      <c r="B290" s="342"/>
      <c r="C290" s="342"/>
      <c r="D290" s="342"/>
      <c r="F290" s="143"/>
      <c r="G290" s="145"/>
      <c r="H290" s="143"/>
      <c r="I290" s="143"/>
      <c r="J290" s="143"/>
      <c r="K290" s="342"/>
      <c r="L290" s="342"/>
      <c r="M290" s="143"/>
      <c r="N290" s="143"/>
      <c r="O290" s="143"/>
      <c r="P290" s="143"/>
      <c r="Q290" s="143"/>
      <c r="R290" s="143"/>
      <c r="S290" s="143"/>
      <c r="T290" s="143"/>
      <c r="U290" s="143"/>
      <c r="V290" s="143"/>
      <c r="W290" s="143"/>
      <c r="X290" s="143"/>
      <c r="Y290" s="143"/>
      <c r="Z290" s="145"/>
      <c r="AA290" s="145"/>
      <c r="AB290" s="142"/>
    </row>
    <row r="291" spans="1:28">
      <c r="A291" s="145"/>
      <c r="B291" s="342"/>
      <c r="C291" s="342"/>
      <c r="D291" s="342"/>
      <c r="F291" s="143"/>
      <c r="G291" s="145"/>
      <c r="H291" s="143"/>
      <c r="I291" s="143"/>
      <c r="J291" s="143"/>
      <c r="K291" s="342"/>
      <c r="L291" s="342"/>
      <c r="M291" s="143"/>
      <c r="N291" s="143"/>
      <c r="O291" s="143"/>
      <c r="P291" s="143"/>
      <c r="Q291" s="143"/>
      <c r="R291" s="143"/>
      <c r="S291" s="143"/>
      <c r="T291" s="143"/>
      <c r="U291" s="143"/>
      <c r="V291" s="143"/>
      <c r="W291" s="143"/>
      <c r="X291" s="143"/>
      <c r="Y291" s="143"/>
      <c r="Z291" s="145"/>
      <c r="AA291" s="145"/>
      <c r="AB291" s="142"/>
    </row>
    <row r="292" spans="1:28">
      <c r="A292" s="145"/>
      <c r="B292" s="342"/>
      <c r="C292" s="342"/>
      <c r="D292" s="342"/>
      <c r="F292" s="143"/>
      <c r="G292" s="145"/>
      <c r="H292" s="143"/>
      <c r="I292" s="143"/>
      <c r="J292" s="143"/>
      <c r="K292" s="342"/>
      <c r="L292" s="342"/>
      <c r="M292" s="143"/>
      <c r="N292" s="143"/>
      <c r="O292" s="143"/>
      <c r="P292" s="143"/>
      <c r="Q292" s="143"/>
      <c r="R292" s="143"/>
      <c r="S292" s="143"/>
      <c r="T292" s="143"/>
      <c r="U292" s="143"/>
      <c r="V292" s="143"/>
      <c r="W292" s="143"/>
      <c r="X292" s="143"/>
      <c r="Y292" s="143"/>
      <c r="Z292" s="145"/>
      <c r="AA292" s="145"/>
      <c r="AB292" s="142"/>
    </row>
    <row r="293" spans="1:28">
      <c r="A293" s="145"/>
      <c r="B293" s="342"/>
      <c r="C293" s="342"/>
      <c r="D293" s="342"/>
      <c r="F293" s="143"/>
      <c r="G293" s="145"/>
      <c r="H293" s="143"/>
      <c r="I293" s="143"/>
      <c r="J293" s="143"/>
      <c r="K293" s="342"/>
      <c r="L293" s="342"/>
      <c r="M293" s="143"/>
      <c r="N293" s="143"/>
      <c r="O293" s="143"/>
      <c r="P293" s="143"/>
      <c r="Q293" s="143"/>
      <c r="R293" s="143"/>
      <c r="S293" s="143"/>
      <c r="T293" s="143"/>
      <c r="U293" s="143"/>
      <c r="V293" s="143"/>
      <c r="W293" s="143"/>
      <c r="X293" s="143"/>
      <c r="Y293" s="143"/>
      <c r="Z293" s="145"/>
      <c r="AA293" s="145"/>
      <c r="AB293" s="142"/>
    </row>
    <row r="294" spans="1:28">
      <c r="A294" s="145"/>
      <c r="B294" s="342"/>
      <c r="C294" s="342"/>
      <c r="D294" s="342"/>
      <c r="F294" s="143"/>
      <c r="G294" s="145"/>
      <c r="H294" s="143"/>
      <c r="I294" s="143"/>
      <c r="J294" s="143"/>
      <c r="K294" s="342"/>
      <c r="L294" s="342"/>
      <c r="M294" s="143"/>
      <c r="N294" s="143"/>
      <c r="O294" s="143"/>
      <c r="P294" s="143"/>
      <c r="Q294" s="143"/>
      <c r="R294" s="143"/>
      <c r="S294" s="143"/>
      <c r="T294" s="143"/>
      <c r="U294" s="143"/>
      <c r="V294" s="143"/>
      <c r="W294" s="143"/>
      <c r="X294" s="143"/>
      <c r="Y294" s="143"/>
      <c r="Z294" s="145"/>
      <c r="AA294" s="145"/>
      <c r="AB294" s="142"/>
    </row>
    <row r="295" spans="1:28">
      <c r="A295" s="145"/>
      <c r="B295" s="342"/>
      <c r="C295" s="342"/>
      <c r="D295" s="342"/>
      <c r="F295" s="143"/>
      <c r="G295" s="145"/>
      <c r="H295" s="143"/>
      <c r="I295" s="143"/>
      <c r="J295" s="143"/>
      <c r="K295" s="342"/>
      <c r="L295" s="342"/>
      <c r="M295" s="143"/>
      <c r="N295" s="143"/>
      <c r="O295" s="143"/>
      <c r="P295" s="143"/>
      <c r="Q295" s="143"/>
      <c r="R295" s="143"/>
      <c r="S295" s="143"/>
      <c r="T295" s="143"/>
      <c r="U295" s="143"/>
      <c r="V295" s="143"/>
      <c r="W295" s="143"/>
      <c r="X295" s="143"/>
      <c r="Y295" s="143"/>
      <c r="Z295" s="145"/>
      <c r="AA295" s="145"/>
      <c r="AB295" s="142"/>
    </row>
    <row r="296" spans="1:28">
      <c r="A296" s="145"/>
      <c r="B296" s="342"/>
      <c r="C296" s="342"/>
      <c r="D296" s="342"/>
      <c r="F296" s="143"/>
      <c r="G296" s="145"/>
      <c r="H296" s="143"/>
      <c r="I296" s="143"/>
      <c r="J296" s="143"/>
      <c r="K296" s="342"/>
      <c r="L296" s="342"/>
      <c r="M296" s="143"/>
      <c r="N296" s="143"/>
      <c r="O296" s="143"/>
      <c r="P296" s="143"/>
      <c r="Q296" s="143"/>
      <c r="R296" s="143"/>
      <c r="S296" s="143"/>
      <c r="T296" s="143"/>
      <c r="U296" s="143"/>
      <c r="V296" s="143"/>
      <c r="W296" s="143"/>
      <c r="X296" s="143"/>
      <c r="Y296" s="143"/>
      <c r="Z296" s="145"/>
      <c r="AA296" s="145"/>
      <c r="AB296" s="142"/>
    </row>
    <row r="297" spans="1:28">
      <c r="A297" s="145"/>
      <c r="B297" s="342"/>
      <c r="C297" s="342"/>
      <c r="D297" s="342"/>
      <c r="F297" s="143"/>
      <c r="G297" s="145"/>
      <c r="H297" s="143"/>
      <c r="I297" s="143"/>
      <c r="J297" s="143"/>
      <c r="K297" s="342"/>
      <c r="L297" s="342"/>
      <c r="M297" s="143"/>
      <c r="N297" s="143"/>
      <c r="O297" s="143"/>
      <c r="P297" s="143"/>
      <c r="Q297" s="143"/>
      <c r="R297" s="143"/>
      <c r="S297" s="143"/>
      <c r="T297" s="143"/>
      <c r="U297" s="143"/>
      <c r="V297" s="143"/>
      <c r="W297" s="143"/>
      <c r="X297" s="143"/>
      <c r="Y297" s="143"/>
      <c r="Z297" s="145"/>
      <c r="AA297" s="145"/>
      <c r="AB297" s="142"/>
    </row>
    <row r="298" spans="1:28">
      <c r="A298" s="145"/>
      <c r="B298" s="342"/>
      <c r="C298" s="342"/>
      <c r="D298" s="342"/>
      <c r="F298" s="143"/>
      <c r="G298" s="145"/>
      <c r="H298" s="143"/>
      <c r="I298" s="143"/>
      <c r="J298" s="143"/>
      <c r="K298" s="342"/>
      <c r="L298" s="342"/>
      <c r="M298" s="143"/>
      <c r="N298" s="143"/>
      <c r="O298" s="143"/>
      <c r="P298" s="143"/>
      <c r="Q298" s="143"/>
      <c r="R298" s="143"/>
      <c r="S298" s="143"/>
      <c r="T298" s="143"/>
      <c r="U298" s="143"/>
      <c r="V298" s="143"/>
      <c r="W298" s="143"/>
      <c r="X298" s="143"/>
      <c r="Y298" s="143"/>
      <c r="Z298" s="145"/>
      <c r="AA298" s="145"/>
      <c r="AB298" s="142"/>
    </row>
    <row r="299" spans="1:28">
      <c r="A299" s="145"/>
      <c r="B299" s="342"/>
      <c r="C299" s="342"/>
      <c r="D299" s="342"/>
      <c r="F299" s="143"/>
      <c r="G299" s="145"/>
      <c r="H299" s="143"/>
      <c r="I299" s="143"/>
      <c r="J299" s="143"/>
      <c r="K299" s="342"/>
      <c r="L299" s="342"/>
      <c r="M299" s="143"/>
      <c r="N299" s="143"/>
      <c r="O299" s="143"/>
      <c r="P299" s="143"/>
      <c r="Q299" s="143"/>
      <c r="R299" s="143"/>
      <c r="S299" s="143"/>
      <c r="T299" s="143"/>
      <c r="U299" s="143"/>
      <c r="V299" s="143"/>
      <c r="W299" s="143"/>
      <c r="X299" s="143"/>
      <c r="Y299" s="143"/>
      <c r="Z299" s="145"/>
      <c r="AA299" s="145"/>
      <c r="AB299" s="142"/>
    </row>
    <row r="300" spans="1:28">
      <c r="A300" s="145"/>
      <c r="B300" s="342"/>
      <c r="C300" s="342"/>
      <c r="D300" s="342"/>
      <c r="F300" s="143"/>
      <c r="G300" s="145"/>
      <c r="H300" s="143"/>
      <c r="I300" s="143"/>
      <c r="J300" s="143"/>
      <c r="K300" s="342"/>
      <c r="L300" s="342"/>
      <c r="M300" s="143"/>
      <c r="N300" s="143"/>
      <c r="O300" s="143"/>
      <c r="P300" s="143"/>
      <c r="Q300" s="143"/>
      <c r="R300" s="143"/>
      <c r="S300" s="143"/>
      <c r="T300" s="143"/>
      <c r="U300" s="143"/>
      <c r="V300" s="143"/>
      <c r="W300" s="143"/>
      <c r="X300" s="143"/>
      <c r="Y300" s="143"/>
      <c r="Z300" s="145"/>
      <c r="AA300" s="145"/>
      <c r="AB300" s="142"/>
    </row>
    <row r="301" spans="1:28">
      <c r="A301" s="145"/>
      <c r="B301" s="342"/>
      <c r="C301" s="342"/>
      <c r="D301" s="342"/>
      <c r="F301" s="143"/>
      <c r="G301" s="145"/>
      <c r="H301" s="143"/>
      <c r="I301" s="143"/>
      <c r="J301" s="143"/>
      <c r="K301" s="342"/>
      <c r="L301" s="342"/>
      <c r="M301" s="143"/>
      <c r="N301" s="143"/>
      <c r="O301" s="143"/>
      <c r="P301" s="143"/>
      <c r="Q301" s="143"/>
      <c r="R301" s="143"/>
      <c r="S301" s="143"/>
      <c r="T301" s="143"/>
      <c r="U301" s="143"/>
      <c r="V301" s="143"/>
      <c r="W301" s="143"/>
      <c r="X301" s="143"/>
      <c r="Y301" s="143"/>
      <c r="Z301" s="145"/>
      <c r="AA301" s="145"/>
      <c r="AB301" s="142"/>
    </row>
    <row r="302" spans="1:28">
      <c r="A302" s="145"/>
      <c r="B302" s="342"/>
      <c r="C302" s="342"/>
      <c r="D302" s="342"/>
      <c r="F302" s="143"/>
      <c r="G302" s="145"/>
      <c r="H302" s="143"/>
      <c r="I302" s="143"/>
      <c r="J302" s="143"/>
      <c r="K302" s="342"/>
      <c r="L302" s="342"/>
      <c r="M302" s="143"/>
      <c r="N302" s="143"/>
      <c r="O302" s="143"/>
      <c r="P302" s="143"/>
      <c r="Q302" s="143"/>
      <c r="R302" s="143"/>
      <c r="S302" s="143"/>
      <c r="T302" s="143"/>
      <c r="U302" s="143"/>
      <c r="V302" s="143"/>
      <c r="W302" s="143"/>
      <c r="X302" s="143"/>
      <c r="Y302" s="143"/>
      <c r="Z302" s="145"/>
      <c r="AA302" s="145"/>
      <c r="AB302" s="142"/>
    </row>
    <row r="303" spans="1:28">
      <c r="A303" s="145"/>
      <c r="B303" s="342"/>
      <c r="C303" s="342"/>
      <c r="D303" s="342"/>
      <c r="F303" s="143"/>
      <c r="G303" s="145"/>
      <c r="H303" s="143"/>
      <c r="I303" s="143"/>
      <c r="J303" s="143"/>
      <c r="K303" s="342"/>
      <c r="L303" s="342"/>
      <c r="M303" s="143"/>
      <c r="N303" s="143"/>
      <c r="O303" s="143"/>
      <c r="P303" s="143"/>
      <c r="Q303" s="143"/>
      <c r="R303" s="143"/>
      <c r="S303" s="143"/>
      <c r="T303" s="143"/>
      <c r="U303" s="143"/>
      <c r="V303" s="143"/>
      <c r="W303" s="143"/>
      <c r="X303" s="143"/>
      <c r="Y303" s="143"/>
      <c r="Z303" s="145"/>
      <c r="AA303" s="145"/>
      <c r="AB303" s="142"/>
    </row>
    <row r="304" spans="1:28">
      <c r="A304" s="145"/>
      <c r="B304" s="342"/>
      <c r="C304" s="342"/>
      <c r="D304" s="342"/>
      <c r="F304" s="143"/>
      <c r="G304" s="145"/>
      <c r="H304" s="143"/>
      <c r="I304" s="143"/>
      <c r="J304" s="143"/>
      <c r="K304" s="342"/>
      <c r="L304" s="342"/>
      <c r="M304" s="143"/>
      <c r="N304" s="143"/>
      <c r="O304" s="143"/>
      <c r="P304" s="143"/>
      <c r="Q304" s="143"/>
      <c r="R304" s="143"/>
      <c r="S304" s="143"/>
      <c r="T304" s="143"/>
      <c r="U304" s="143"/>
      <c r="V304" s="143"/>
      <c r="W304" s="143"/>
      <c r="X304" s="143"/>
      <c r="Y304" s="143"/>
      <c r="Z304" s="145"/>
      <c r="AA304" s="145"/>
      <c r="AB304" s="142"/>
    </row>
    <row r="305" spans="1:28">
      <c r="A305" s="145"/>
      <c r="B305" s="342"/>
      <c r="C305" s="342"/>
      <c r="D305" s="342"/>
      <c r="F305" s="143"/>
      <c r="G305" s="145"/>
      <c r="H305" s="143"/>
      <c r="I305" s="143"/>
      <c r="J305" s="143"/>
      <c r="K305" s="342"/>
      <c r="L305" s="342"/>
      <c r="M305" s="143"/>
      <c r="N305" s="143"/>
      <c r="O305" s="143"/>
      <c r="P305" s="143"/>
      <c r="Q305" s="143"/>
      <c r="R305" s="143"/>
      <c r="S305" s="143"/>
      <c r="T305" s="143"/>
      <c r="U305" s="143"/>
      <c r="V305" s="143"/>
      <c r="W305" s="143"/>
      <c r="X305" s="143"/>
      <c r="Y305" s="143"/>
      <c r="Z305" s="145"/>
      <c r="AA305" s="145"/>
      <c r="AB305" s="142"/>
    </row>
    <row r="306" spans="1:28">
      <c r="A306" s="145"/>
      <c r="B306" s="342"/>
      <c r="C306" s="342"/>
      <c r="D306" s="342"/>
      <c r="F306" s="143"/>
      <c r="G306" s="145"/>
      <c r="H306" s="143"/>
      <c r="I306" s="143"/>
      <c r="J306" s="143"/>
      <c r="K306" s="342"/>
      <c r="L306" s="342"/>
      <c r="M306" s="143"/>
      <c r="N306" s="143"/>
      <c r="O306" s="143"/>
      <c r="P306" s="143"/>
      <c r="Q306" s="143"/>
      <c r="R306" s="143"/>
      <c r="S306" s="143"/>
      <c r="T306" s="143"/>
      <c r="U306" s="143"/>
      <c r="V306" s="143"/>
      <c r="W306" s="143"/>
      <c r="X306" s="143"/>
      <c r="Y306" s="143"/>
      <c r="Z306" s="145"/>
      <c r="AA306" s="145"/>
      <c r="AB306" s="142"/>
    </row>
    <row r="307" spans="1:28">
      <c r="A307" s="145"/>
      <c r="B307" s="342"/>
      <c r="C307" s="342"/>
      <c r="D307" s="342"/>
      <c r="F307" s="143"/>
      <c r="G307" s="145"/>
      <c r="H307" s="143"/>
      <c r="I307" s="143"/>
      <c r="J307" s="143"/>
      <c r="K307" s="342"/>
      <c r="L307" s="342"/>
      <c r="M307" s="143"/>
      <c r="N307" s="143"/>
      <c r="O307" s="143"/>
      <c r="P307" s="143"/>
      <c r="Q307" s="143"/>
      <c r="R307" s="143"/>
      <c r="S307" s="143"/>
      <c r="T307" s="143"/>
      <c r="U307" s="143"/>
      <c r="V307" s="143"/>
      <c r="W307" s="143"/>
      <c r="X307" s="143"/>
      <c r="Y307" s="143"/>
      <c r="Z307" s="145"/>
      <c r="AA307" s="145"/>
      <c r="AB307" s="142"/>
    </row>
    <row r="308" spans="1:28">
      <c r="A308" s="145"/>
      <c r="B308" s="342"/>
      <c r="C308" s="342"/>
      <c r="D308" s="342"/>
      <c r="F308" s="143"/>
      <c r="G308" s="145"/>
      <c r="H308" s="143"/>
      <c r="I308" s="143"/>
      <c r="J308" s="143"/>
      <c r="K308" s="342"/>
      <c r="L308" s="342"/>
      <c r="M308" s="143"/>
      <c r="N308" s="143"/>
      <c r="O308" s="143"/>
      <c r="P308" s="143"/>
      <c r="Q308" s="143"/>
      <c r="R308" s="143"/>
      <c r="S308" s="143"/>
      <c r="T308" s="143"/>
      <c r="U308" s="143"/>
      <c r="V308" s="143"/>
      <c r="W308" s="143"/>
      <c r="X308" s="143"/>
      <c r="Y308" s="143"/>
      <c r="Z308" s="145"/>
      <c r="AA308" s="145"/>
      <c r="AB308" s="142"/>
    </row>
    <row r="309" spans="1:28">
      <c r="A309" s="145"/>
      <c r="B309" s="342"/>
      <c r="C309" s="342"/>
      <c r="D309" s="342"/>
      <c r="F309" s="143"/>
      <c r="G309" s="145"/>
      <c r="H309" s="143"/>
      <c r="I309" s="143"/>
      <c r="J309" s="143"/>
      <c r="K309" s="342"/>
      <c r="L309" s="342"/>
      <c r="M309" s="143"/>
      <c r="N309" s="143"/>
      <c r="O309" s="143"/>
      <c r="P309" s="143"/>
      <c r="Q309" s="143"/>
      <c r="R309" s="143"/>
      <c r="S309" s="143"/>
      <c r="T309" s="143"/>
      <c r="U309" s="143"/>
      <c r="V309" s="143"/>
      <c r="W309" s="143"/>
      <c r="X309" s="143"/>
      <c r="Y309" s="143"/>
      <c r="Z309" s="145"/>
      <c r="AA309" s="145"/>
      <c r="AB309" s="142"/>
    </row>
    <row r="310" spans="1:28">
      <c r="A310" s="145"/>
      <c r="B310" s="342"/>
      <c r="C310" s="342"/>
      <c r="D310" s="342"/>
      <c r="F310" s="143"/>
      <c r="G310" s="145"/>
      <c r="H310" s="143"/>
      <c r="I310" s="143"/>
      <c r="J310" s="143"/>
      <c r="K310" s="342"/>
      <c r="L310" s="342"/>
      <c r="M310" s="143"/>
      <c r="N310" s="143"/>
      <c r="O310" s="143"/>
      <c r="P310" s="143"/>
      <c r="Q310" s="143"/>
      <c r="R310" s="143"/>
      <c r="S310" s="143"/>
      <c r="T310" s="143"/>
      <c r="U310" s="143"/>
      <c r="V310" s="143"/>
      <c r="W310" s="143"/>
      <c r="X310" s="143"/>
      <c r="Y310" s="143"/>
      <c r="Z310" s="145"/>
      <c r="AA310" s="261"/>
      <c r="AB310" s="142"/>
    </row>
    <row r="311" spans="1:28">
      <c r="A311" s="145"/>
      <c r="B311" s="342"/>
      <c r="C311" s="342"/>
      <c r="D311" s="342"/>
      <c r="F311" s="143"/>
      <c r="G311" s="145"/>
      <c r="H311" s="143"/>
      <c r="I311" s="143"/>
      <c r="J311" s="143"/>
      <c r="K311" s="342"/>
      <c r="L311" s="342"/>
      <c r="M311" s="143"/>
      <c r="N311" s="143"/>
      <c r="O311" s="143"/>
      <c r="P311" s="143"/>
      <c r="Q311" s="143"/>
      <c r="R311" s="143"/>
      <c r="S311" s="143"/>
      <c r="T311" s="143"/>
      <c r="U311" s="143"/>
      <c r="V311" s="143"/>
      <c r="W311" s="143"/>
      <c r="X311" s="143"/>
      <c r="Y311" s="143"/>
      <c r="Z311" s="145"/>
      <c r="AA311" s="145"/>
      <c r="AB311" s="142"/>
    </row>
    <row r="312" spans="1:28">
      <c r="A312" s="145"/>
      <c r="B312" s="342"/>
      <c r="C312" s="342"/>
      <c r="D312" s="342"/>
      <c r="F312" s="143"/>
      <c r="G312" s="145"/>
      <c r="H312" s="143"/>
      <c r="I312" s="143"/>
      <c r="J312" s="143"/>
      <c r="K312" s="342"/>
      <c r="L312" s="342"/>
      <c r="M312" s="143"/>
      <c r="N312" s="143"/>
      <c r="O312" s="143"/>
      <c r="P312" s="143"/>
      <c r="Q312" s="143"/>
      <c r="R312" s="143"/>
      <c r="S312" s="143"/>
      <c r="T312" s="143"/>
      <c r="U312" s="143"/>
      <c r="V312" s="143"/>
      <c r="W312" s="143"/>
      <c r="X312" s="143"/>
      <c r="Y312" s="143"/>
      <c r="Z312" s="261"/>
      <c r="AA312" s="261"/>
      <c r="AB312" s="142"/>
    </row>
    <row r="313" spans="1:28">
      <c r="A313" s="145"/>
      <c r="B313" s="342"/>
      <c r="C313" s="342"/>
      <c r="D313" s="342"/>
      <c r="F313" s="143"/>
      <c r="G313" s="145"/>
      <c r="H313" s="143"/>
      <c r="I313" s="143"/>
      <c r="J313" s="143"/>
      <c r="K313" s="342"/>
      <c r="L313" s="342"/>
      <c r="M313" s="143"/>
      <c r="N313" s="143"/>
      <c r="O313" s="143"/>
      <c r="P313" s="143"/>
      <c r="Q313" s="143"/>
      <c r="R313" s="143"/>
      <c r="S313" s="143"/>
      <c r="T313" s="143"/>
      <c r="U313" s="143"/>
      <c r="V313" s="143"/>
      <c r="W313" s="143"/>
      <c r="X313" s="143"/>
      <c r="Y313" s="143"/>
      <c r="Z313" s="261"/>
      <c r="AA313" s="261"/>
      <c r="AB313" s="142"/>
    </row>
    <row r="314" spans="1:28">
      <c r="A314" s="145"/>
      <c r="B314" s="342"/>
      <c r="C314" s="342"/>
      <c r="D314" s="342"/>
      <c r="F314" s="143"/>
      <c r="G314" s="145"/>
      <c r="H314" s="143"/>
      <c r="I314" s="143"/>
      <c r="J314" s="143"/>
      <c r="K314" s="342"/>
      <c r="L314" s="342"/>
      <c r="M314" s="143"/>
      <c r="N314" s="143"/>
      <c r="O314" s="143"/>
      <c r="P314" s="143"/>
      <c r="Q314" s="143"/>
      <c r="R314" s="143"/>
      <c r="S314" s="143"/>
      <c r="T314" s="143"/>
      <c r="U314" s="143"/>
      <c r="V314" s="143"/>
      <c r="W314" s="143"/>
      <c r="X314" s="143"/>
      <c r="Y314" s="143"/>
      <c r="Z314" s="261"/>
      <c r="AA314" s="261"/>
      <c r="AB314" s="142"/>
    </row>
    <row r="315" spans="1:28">
      <c r="A315" s="145"/>
      <c r="B315" s="342"/>
      <c r="C315" s="342"/>
      <c r="D315" s="342"/>
      <c r="F315" s="143"/>
      <c r="G315" s="145"/>
      <c r="H315" s="143"/>
      <c r="I315" s="143"/>
      <c r="J315" s="143"/>
      <c r="K315" s="342"/>
      <c r="L315" s="342"/>
      <c r="M315" s="143"/>
      <c r="N315" s="143"/>
      <c r="O315" s="143"/>
      <c r="P315" s="143"/>
      <c r="Q315" s="143"/>
      <c r="R315" s="143"/>
      <c r="S315" s="143"/>
      <c r="T315" s="143"/>
      <c r="U315" s="143"/>
      <c r="V315" s="143"/>
      <c r="W315" s="143"/>
      <c r="X315" s="143"/>
      <c r="Y315" s="143"/>
      <c r="Z315" s="261"/>
      <c r="AA315" s="261"/>
      <c r="AB315" s="142"/>
    </row>
    <row r="316" spans="1:28">
      <c r="A316" s="145"/>
      <c r="B316" s="342"/>
      <c r="C316" s="342"/>
      <c r="D316" s="342"/>
      <c r="F316" s="143"/>
      <c r="G316" s="145"/>
      <c r="H316" s="143"/>
      <c r="I316" s="143"/>
      <c r="J316" s="143"/>
      <c r="K316" s="342"/>
      <c r="L316" s="342"/>
      <c r="M316" s="143"/>
      <c r="N316" s="143"/>
      <c r="O316" s="143"/>
      <c r="P316" s="143"/>
      <c r="Q316" s="143"/>
      <c r="R316" s="143"/>
      <c r="S316" s="143"/>
      <c r="T316" s="143"/>
      <c r="U316" s="143"/>
      <c r="V316" s="143"/>
      <c r="W316" s="143"/>
      <c r="X316" s="143"/>
      <c r="Y316" s="143"/>
      <c r="Z316" s="261"/>
      <c r="AA316" s="261"/>
      <c r="AB316" s="142"/>
    </row>
    <row r="317" spans="1:28">
      <c r="A317" s="145"/>
      <c r="B317" s="342"/>
      <c r="C317" s="342"/>
      <c r="D317" s="342"/>
      <c r="F317" s="143"/>
      <c r="G317" s="145"/>
      <c r="H317" s="143"/>
      <c r="I317" s="143"/>
      <c r="J317" s="143"/>
      <c r="K317" s="342"/>
      <c r="L317" s="342"/>
      <c r="M317" s="143"/>
      <c r="N317" s="143"/>
      <c r="O317" s="143"/>
      <c r="P317" s="143"/>
      <c r="Q317" s="143"/>
      <c r="R317" s="143"/>
      <c r="S317" s="143"/>
      <c r="T317" s="143"/>
      <c r="U317" s="143"/>
      <c r="V317" s="143"/>
      <c r="W317" s="143"/>
      <c r="X317" s="143"/>
      <c r="Y317" s="143"/>
      <c r="Z317" s="261"/>
      <c r="AA317" s="261"/>
      <c r="AB317" s="142"/>
    </row>
    <row r="318" spans="1:28">
      <c r="A318" s="145"/>
      <c r="B318" s="342"/>
      <c r="C318" s="342"/>
      <c r="D318" s="342"/>
      <c r="F318" s="143"/>
      <c r="G318" s="145"/>
      <c r="H318" s="143"/>
      <c r="I318" s="143"/>
      <c r="J318" s="143"/>
      <c r="K318" s="342"/>
      <c r="L318" s="342"/>
      <c r="M318" s="143"/>
      <c r="N318" s="143"/>
      <c r="O318" s="143"/>
      <c r="P318" s="143"/>
      <c r="Q318" s="143"/>
      <c r="R318" s="143"/>
      <c r="S318" s="143"/>
      <c r="T318" s="143"/>
      <c r="U318" s="143"/>
      <c r="V318" s="143"/>
      <c r="W318" s="143"/>
      <c r="X318" s="143"/>
      <c r="Y318" s="143"/>
      <c r="Z318" s="261"/>
      <c r="AA318" s="261"/>
      <c r="AB318" s="142"/>
    </row>
    <row r="319" spans="1:28">
      <c r="A319" s="145"/>
      <c r="B319" s="342"/>
      <c r="C319" s="342"/>
      <c r="D319" s="342"/>
      <c r="F319" s="143"/>
      <c r="G319" s="145"/>
      <c r="H319" s="143"/>
      <c r="I319" s="143"/>
      <c r="J319" s="143"/>
      <c r="K319" s="342"/>
      <c r="L319" s="342"/>
      <c r="M319" s="143"/>
      <c r="N319" s="143"/>
      <c r="O319" s="143"/>
      <c r="P319" s="143"/>
      <c r="Q319" s="143"/>
      <c r="R319" s="143"/>
      <c r="S319" s="143"/>
      <c r="T319" s="143"/>
      <c r="U319" s="143"/>
      <c r="V319" s="143"/>
      <c r="W319" s="143"/>
      <c r="X319" s="143"/>
      <c r="Y319" s="143"/>
      <c r="Z319" s="261"/>
      <c r="AA319" s="261"/>
      <c r="AB319" s="142"/>
    </row>
    <row r="320" spans="1:28">
      <c r="A320" s="145"/>
      <c r="B320" s="342"/>
      <c r="C320" s="342"/>
      <c r="D320" s="342"/>
      <c r="F320" s="143"/>
      <c r="G320" s="145"/>
      <c r="H320" s="143"/>
      <c r="I320" s="143"/>
      <c r="J320" s="143"/>
      <c r="K320" s="342"/>
      <c r="L320" s="342"/>
      <c r="M320" s="143"/>
      <c r="N320" s="143"/>
      <c r="O320" s="143"/>
      <c r="P320" s="143"/>
      <c r="Q320" s="143"/>
      <c r="R320" s="143"/>
      <c r="S320" s="143"/>
      <c r="T320" s="143"/>
      <c r="U320" s="143"/>
      <c r="V320" s="143"/>
      <c r="W320" s="143"/>
      <c r="X320" s="143"/>
      <c r="Y320" s="143"/>
      <c r="Z320" s="261"/>
      <c r="AA320" s="261"/>
      <c r="AB320" s="142"/>
    </row>
    <row r="321" spans="1:28">
      <c r="A321" s="145"/>
      <c r="B321" s="342"/>
      <c r="C321" s="342"/>
      <c r="D321" s="342"/>
      <c r="F321" s="143"/>
      <c r="G321" s="145"/>
      <c r="H321" s="143"/>
      <c r="I321" s="143"/>
      <c r="J321" s="143"/>
      <c r="K321" s="342"/>
      <c r="L321" s="342"/>
      <c r="M321" s="143"/>
      <c r="N321" s="143"/>
      <c r="O321" s="143"/>
      <c r="P321" s="143"/>
      <c r="Q321" s="143"/>
      <c r="R321" s="143"/>
      <c r="S321" s="143"/>
      <c r="T321" s="143"/>
      <c r="U321" s="143"/>
      <c r="V321" s="143"/>
      <c r="W321" s="143"/>
      <c r="X321" s="143"/>
      <c r="Y321" s="143"/>
      <c r="Z321" s="261"/>
      <c r="AA321" s="261"/>
      <c r="AB321" s="142"/>
    </row>
    <row r="322" spans="1:28">
      <c r="A322" s="145"/>
      <c r="B322" s="342"/>
      <c r="C322" s="342"/>
      <c r="D322" s="342"/>
      <c r="F322" s="143"/>
      <c r="G322" s="145"/>
      <c r="H322" s="143"/>
      <c r="I322" s="143"/>
      <c r="J322" s="143"/>
      <c r="K322" s="342"/>
      <c r="L322" s="342"/>
      <c r="M322" s="143"/>
      <c r="N322" s="143"/>
      <c r="O322" s="143"/>
      <c r="P322" s="143"/>
      <c r="Q322" s="143"/>
      <c r="R322" s="143"/>
      <c r="S322" s="143"/>
      <c r="T322" s="143"/>
      <c r="U322" s="143"/>
      <c r="V322" s="143"/>
      <c r="W322" s="143"/>
      <c r="X322" s="143"/>
      <c r="Y322" s="143"/>
      <c r="Z322" s="261"/>
      <c r="AA322" s="261"/>
      <c r="AB322" s="142"/>
    </row>
    <row r="323" spans="1:28">
      <c r="A323" s="145"/>
      <c r="B323" s="342"/>
      <c r="C323" s="342"/>
      <c r="D323" s="342"/>
      <c r="F323" s="143"/>
      <c r="G323" s="145"/>
      <c r="H323" s="143"/>
      <c r="I323" s="143"/>
      <c r="J323" s="143"/>
      <c r="K323" s="342"/>
      <c r="L323" s="342"/>
      <c r="M323" s="143"/>
      <c r="N323" s="143"/>
      <c r="O323" s="143"/>
      <c r="P323" s="143"/>
      <c r="Q323" s="143"/>
      <c r="R323" s="143"/>
      <c r="S323" s="143"/>
      <c r="T323" s="143"/>
      <c r="U323" s="143"/>
      <c r="V323" s="143"/>
      <c r="W323" s="143"/>
      <c r="X323" s="143"/>
      <c r="Y323" s="143"/>
      <c r="Z323" s="261"/>
      <c r="AA323" s="261"/>
      <c r="AB323" s="142"/>
    </row>
    <row r="324" spans="1:28">
      <c r="A324" s="145"/>
      <c r="B324" s="342"/>
      <c r="C324" s="342"/>
      <c r="D324" s="342"/>
      <c r="F324" s="143"/>
      <c r="G324" s="145"/>
      <c r="H324" s="143"/>
      <c r="I324" s="143"/>
      <c r="J324" s="143"/>
      <c r="K324" s="342"/>
      <c r="L324" s="342"/>
      <c r="M324" s="143"/>
      <c r="N324" s="143"/>
      <c r="O324" s="143"/>
      <c r="P324" s="143"/>
      <c r="Q324" s="143"/>
      <c r="R324" s="143"/>
      <c r="S324" s="143"/>
      <c r="T324" s="143"/>
      <c r="U324" s="143"/>
      <c r="V324" s="143"/>
      <c r="W324" s="143"/>
      <c r="X324" s="143"/>
      <c r="Y324" s="143"/>
      <c r="Z324" s="261"/>
      <c r="AA324" s="261"/>
      <c r="AB324" s="142"/>
    </row>
    <row r="325" spans="1:28">
      <c r="A325" s="145"/>
      <c r="B325" s="342"/>
      <c r="C325" s="342"/>
      <c r="D325" s="342"/>
      <c r="F325" s="143"/>
      <c r="G325" s="145"/>
      <c r="H325" s="143"/>
      <c r="I325" s="143"/>
      <c r="J325" s="143"/>
      <c r="K325" s="342"/>
      <c r="L325" s="342"/>
      <c r="M325" s="143"/>
      <c r="N325" s="143"/>
      <c r="O325" s="143"/>
      <c r="P325" s="143"/>
      <c r="Q325" s="143"/>
      <c r="R325" s="143"/>
      <c r="S325" s="143"/>
      <c r="T325" s="143"/>
      <c r="U325" s="143"/>
      <c r="V325" s="143"/>
      <c r="W325" s="143"/>
      <c r="X325" s="143"/>
      <c r="Y325" s="143"/>
      <c r="Z325" s="261"/>
      <c r="AA325" s="261"/>
      <c r="AB325" s="142"/>
    </row>
    <row r="326" spans="1:28">
      <c r="A326" s="145"/>
      <c r="B326" s="342"/>
      <c r="C326" s="342"/>
      <c r="D326" s="342"/>
      <c r="F326" s="143"/>
      <c r="G326" s="145"/>
      <c r="H326" s="143"/>
      <c r="I326" s="143"/>
      <c r="J326" s="143"/>
      <c r="K326" s="342"/>
      <c r="L326" s="342"/>
      <c r="M326" s="143"/>
      <c r="N326" s="143"/>
      <c r="O326" s="143"/>
      <c r="P326" s="143"/>
      <c r="Q326" s="143"/>
      <c r="R326" s="143"/>
      <c r="S326" s="143"/>
      <c r="T326" s="143"/>
      <c r="U326" s="143"/>
      <c r="V326" s="143"/>
      <c r="W326" s="143"/>
      <c r="X326" s="143"/>
      <c r="Y326" s="143"/>
      <c r="Z326" s="261"/>
      <c r="AA326" s="261"/>
      <c r="AB326" s="142"/>
    </row>
    <row r="327" spans="1:28">
      <c r="A327" s="145"/>
      <c r="B327" s="342"/>
      <c r="C327" s="342"/>
      <c r="D327" s="342"/>
      <c r="F327" s="143"/>
      <c r="G327" s="145"/>
      <c r="H327" s="143"/>
      <c r="I327" s="143"/>
      <c r="J327" s="143"/>
      <c r="K327" s="342"/>
      <c r="L327" s="342"/>
      <c r="M327" s="143"/>
      <c r="N327" s="143"/>
      <c r="O327" s="143"/>
      <c r="P327" s="143"/>
      <c r="Q327" s="143"/>
      <c r="R327" s="143"/>
      <c r="S327" s="143"/>
      <c r="T327" s="143"/>
      <c r="U327" s="143"/>
      <c r="V327" s="143"/>
      <c r="W327" s="143"/>
      <c r="X327" s="143"/>
      <c r="Y327" s="143"/>
      <c r="Z327" s="261"/>
      <c r="AA327" s="261"/>
      <c r="AB327" s="142"/>
    </row>
    <row r="328" spans="1:28">
      <c r="A328" s="145"/>
      <c r="B328" s="342"/>
      <c r="C328" s="342"/>
      <c r="D328" s="342"/>
      <c r="F328" s="143"/>
      <c r="G328" s="145"/>
      <c r="H328" s="143"/>
      <c r="I328" s="143"/>
      <c r="J328" s="143"/>
      <c r="K328" s="342"/>
      <c r="L328" s="342"/>
      <c r="M328" s="143"/>
      <c r="N328" s="143"/>
      <c r="O328" s="143"/>
      <c r="P328" s="143"/>
      <c r="Q328" s="143"/>
      <c r="R328" s="143"/>
      <c r="S328" s="143"/>
      <c r="T328" s="143"/>
      <c r="U328" s="143"/>
      <c r="V328" s="143"/>
      <c r="W328" s="143"/>
      <c r="X328" s="143"/>
      <c r="Y328" s="143"/>
      <c r="Z328" s="261"/>
      <c r="AA328" s="261"/>
      <c r="AB328" s="142"/>
    </row>
    <row r="329" spans="1:28">
      <c r="A329" s="145"/>
      <c r="B329" s="342"/>
      <c r="C329" s="342"/>
      <c r="D329" s="342"/>
      <c r="F329" s="143"/>
      <c r="G329" s="145"/>
      <c r="H329" s="143"/>
      <c r="I329" s="143"/>
      <c r="J329" s="143"/>
      <c r="K329" s="342"/>
      <c r="L329" s="342"/>
      <c r="M329" s="143"/>
      <c r="N329" s="143"/>
      <c r="O329" s="143"/>
      <c r="P329" s="143"/>
      <c r="Q329" s="143"/>
      <c r="R329" s="143"/>
      <c r="S329" s="143"/>
      <c r="T329" s="143"/>
      <c r="U329" s="143"/>
      <c r="V329" s="143"/>
      <c r="W329" s="143"/>
      <c r="X329" s="143"/>
      <c r="Y329" s="143"/>
      <c r="Z329" s="261"/>
      <c r="AA329" s="261"/>
      <c r="AB329" s="142"/>
    </row>
    <row r="330" spans="1:28">
      <c r="A330" s="145"/>
      <c r="B330" s="342"/>
      <c r="C330" s="342"/>
      <c r="D330" s="342"/>
      <c r="F330" s="143"/>
      <c r="G330" s="145"/>
      <c r="H330" s="143"/>
      <c r="I330" s="143"/>
      <c r="J330" s="143"/>
      <c r="K330" s="342"/>
      <c r="L330" s="342"/>
      <c r="M330" s="143"/>
      <c r="N330" s="143"/>
      <c r="O330" s="143"/>
      <c r="P330" s="143"/>
      <c r="Q330" s="143"/>
      <c r="R330" s="143"/>
      <c r="S330" s="143"/>
      <c r="T330" s="143"/>
      <c r="U330" s="143"/>
      <c r="V330" s="143"/>
      <c r="W330" s="143"/>
      <c r="X330" s="143"/>
      <c r="Y330" s="143"/>
      <c r="Z330" s="261"/>
      <c r="AA330" s="261"/>
      <c r="AB330" s="142"/>
    </row>
    <row r="331" spans="1:28">
      <c r="A331" s="145"/>
      <c r="B331" s="342"/>
      <c r="C331" s="342"/>
      <c r="D331" s="342"/>
      <c r="F331" s="143"/>
      <c r="G331" s="145"/>
      <c r="H331" s="143"/>
      <c r="I331" s="143"/>
      <c r="J331" s="143"/>
      <c r="K331" s="342"/>
      <c r="L331" s="342"/>
      <c r="M331" s="143"/>
      <c r="N331" s="143"/>
      <c r="O331" s="143"/>
      <c r="P331" s="143"/>
      <c r="Q331" s="143"/>
      <c r="R331" s="143"/>
      <c r="S331" s="143"/>
      <c r="T331" s="143"/>
      <c r="U331" s="143"/>
      <c r="V331" s="143"/>
      <c r="W331" s="143"/>
      <c r="X331" s="143"/>
      <c r="Y331" s="143"/>
      <c r="Z331" s="261"/>
      <c r="AA331" s="261"/>
      <c r="AB331" s="142"/>
    </row>
    <row r="332" spans="1:28">
      <c r="A332" s="145"/>
      <c r="B332" s="342"/>
      <c r="C332" s="342"/>
      <c r="D332" s="342"/>
      <c r="F332" s="143"/>
      <c r="G332" s="145"/>
      <c r="H332" s="143"/>
      <c r="I332" s="143"/>
      <c r="J332" s="143"/>
      <c r="K332" s="342"/>
      <c r="L332" s="342"/>
      <c r="M332" s="143"/>
      <c r="N332" s="143"/>
      <c r="O332" s="143"/>
      <c r="P332" s="143"/>
      <c r="Q332" s="143"/>
      <c r="R332" s="143"/>
      <c r="S332" s="143"/>
      <c r="T332" s="143"/>
      <c r="U332" s="143"/>
      <c r="V332" s="143"/>
      <c r="W332" s="143"/>
      <c r="X332" s="143"/>
      <c r="Y332" s="143"/>
      <c r="Z332" s="261"/>
      <c r="AA332" s="261"/>
      <c r="AB332" s="142"/>
    </row>
    <row r="333" spans="1:28">
      <c r="A333" s="145"/>
      <c r="B333" s="342"/>
      <c r="C333" s="342"/>
      <c r="D333" s="342"/>
      <c r="F333" s="143"/>
      <c r="G333" s="145"/>
      <c r="H333" s="143"/>
      <c r="I333" s="143"/>
      <c r="J333" s="143"/>
      <c r="K333" s="342"/>
      <c r="L333" s="342"/>
      <c r="M333" s="143"/>
      <c r="N333" s="143"/>
      <c r="O333" s="143"/>
      <c r="P333" s="143"/>
      <c r="Q333" s="143"/>
      <c r="R333" s="143"/>
      <c r="S333" s="143"/>
      <c r="T333" s="143"/>
      <c r="U333" s="143"/>
      <c r="V333" s="143"/>
      <c r="W333" s="143"/>
      <c r="X333" s="143"/>
      <c r="Y333" s="143"/>
      <c r="Z333" s="261"/>
      <c r="AA333" s="261"/>
      <c r="AB333" s="142"/>
    </row>
    <row r="334" spans="1:28">
      <c r="A334" s="145"/>
      <c r="B334" s="342"/>
      <c r="C334" s="342"/>
      <c r="D334" s="342"/>
      <c r="F334" s="143"/>
      <c r="G334" s="145"/>
      <c r="H334" s="143"/>
      <c r="I334" s="143"/>
      <c r="J334" s="143"/>
      <c r="K334" s="342"/>
      <c r="L334" s="342"/>
      <c r="M334" s="143"/>
      <c r="N334" s="143"/>
      <c r="O334" s="143"/>
      <c r="P334" s="143"/>
      <c r="Q334" s="143"/>
      <c r="R334" s="143"/>
      <c r="S334" s="143"/>
      <c r="T334" s="143"/>
      <c r="U334" s="143"/>
      <c r="V334" s="143"/>
      <c r="W334" s="143"/>
      <c r="X334" s="143"/>
      <c r="Y334" s="143"/>
      <c r="Z334" s="261"/>
      <c r="AA334" s="261"/>
      <c r="AB334" s="142"/>
    </row>
    <row r="335" spans="1:28">
      <c r="A335" s="145"/>
      <c r="B335" s="342"/>
      <c r="C335" s="342"/>
      <c r="D335" s="342"/>
      <c r="F335" s="143"/>
      <c r="G335" s="145"/>
      <c r="H335" s="143"/>
      <c r="I335" s="143"/>
      <c r="J335" s="143"/>
      <c r="K335" s="342"/>
      <c r="L335" s="342"/>
      <c r="M335" s="143"/>
      <c r="N335" s="143"/>
      <c r="O335" s="143"/>
      <c r="P335" s="143"/>
      <c r="Q335" s="143"/>
      <c r="R335" s="143"/>
      <c r="S335" s="143"/>
      <c r="T335" s="143"/>
      <c r="U335" s="143"/>
      <c r="V335" s="143"/>
      <c r="W335" s="143"/>
      <c r="X335" s="143"/>
      <c r="Y335" s="143"/>
      <c r="Z335" s="261"/>
      <c r="AA335" s="261"/>
      <c r="AB335" s="142"/>
    </row>
    <row r="336" spans="1:28">
      <c r="A336" s="145"/>
      <c r="B336" s="342"/>
      <c r="C336" s="342"/>
      <c r="D336" s="342"/>
      <c r="F336" s="143"/>
      <c r="G336" s="145"/>
      <c r="H336" s="143"/>
      <c r="I336" s="143"/>
      <c r="J336" s="143"/>
      <c r="K336" s="342"/>
      <c r="L336" s="342"/>
      <c r="M336" s="143"/>
      <c r="N336" s="143"/>
      <c r="O336" s="143"/>
      <c r="P336" s="143"/>
      <c r="Q336" s="143"/>
      <c r="R336" s="143"/>
      <c r="S336" s="143"/>
      <c r="T336" s="143"/>
      <c r="U336" s="143"/>
      <c r="V336" s="143"/>
      <c r="W336" s="143"/>
      <c r="X336" s="143"/>
      <c r="Y336" s="143"/>
      <c r="Z336" s="145"/>
      <c r="AA336" s="261"/>
      <c r="AB336" s="142"/>
    </row>
    <row r="337" spans="1:28">
      <c r="A337" s="145"/>
      <c r="B337" s="342"/>
      <c r="C337" s="342"/>
      <c r="D337" s="342"/>
      <c r="F337" s="143"/>
      <c r="G337" s="145"/>
      <c r="H337" s="143"/>
      <c r="I337" s="143"/>
      <c r="J337" s="143"/>
      <c r="K337" s="342"/>
      <c r="L337" s="342"/>
      <c r="M337" s="143"/>
      <c r="N337" s="143"/>
      <c r="O337" s="143"/>
      <c r="P337" s="143"/>
      <c r="Q337" s="143"/>
      <c r="R337" s="143"/>
      <c r="S337" s="143"/>
      <c r="T337" s="143"/>
      <c r="U337" s="143"/>
      <c r="V337" s="143"/>
      <c r="W337" s="143"/>
      <c r="X337" s="143"/>
      <c r="Y337" s="143"/>
      <c r="Z337" s="261"/>
      <c r="AA337" s="261"/>
      <c r="AB337" s="142"/>
    </row>
    <row r="338" spans="1:28">
      <c r="A338" s="145"/>
      <c r="B338" s="342"/>
      <c r="C338" s="342"/>
      <c r="D338" s="342"/>
      <c r="F338" s="143"/>
      <c r="G338" s="145"/>
      <c r="H338" s="143"/>
      <c r="I338" s="143"/>
      <c r="J338" s="143"/>
      <c r="K338" s="342"/>
      <c r="L338" s="342"/>
      <c r="M338" s="143"/>
      <c r="N338" s="143"/>
      <c r="O338" s="143"/>
      <c r="P338" s="143"/>
      <c r="Q338" s="143"/>
      <c r="R338" s="143"/>
      <c r="S338" s="143"/>
      <c r="T338" s="143"/>
      <c r="U338" s="143"/>
      <c r="V338" s="143"/>
      <c r="W338" s="143"/>
      <c r="X338" s="143"/>
      <c r="Y338" s="143"/>
      <c r="Z338" s="261"/>
      <c r="AA338" s="261"/>
      <c r="AB338" s="142"/>
    </row>
    <row r="339" spans="1:28">
      <c r="A339" s="145"/>
      <c r="B339" s="342"/>
      <c r="C339" s="342"/>
      <c r="D339" s="342"/>
      <c r="F339" s="143"/>
      <c r="G339" s="145"/>
      <c r="H339" s="143"/>
      <c r="I339" s="143"/>
      <c r="J339" s="143"/>
      <c r="K339" s="342"/>
      <c r="L339" s="342"/>
      <c r="M339" s="143"/>
      <c r="N339" s="143"/>
      <c r="O339" s="143"/>
      <c r="P339" s="143"/>
      <c r="Q339" s="143"/>
      <c r="R339" s="143"/>
      <c r="S339" s="143"/>
      <c r="T339" s="143"/>
      <c r="U339" s="143"/>
      <c r="V339" s="143"/>
      <c r="W339" s="143"/>
      <c r="X339" s="143"/>
      <c r="Y339" s="143"/>
      <c r="Z339" s="261"/>
      <c r="AA339" s="261"/>
      <c r="AB339" s="142"/>
    </row>
    <row r="340" spans="1:28">
      <c r="A340" s="145"/>
      <c r="B340" s="342"/>
      <c r="C340" s="342"/>
      <c r="D340" s="342"/>
      <c r="F340" s="143"/>
      <c r="G340" s="145"/>
      <c r="H340" s="143"/>
      <c r="I340" s="143"/>
      <c r="J340" s="143"/>
      <c r="K340" s="342"/>
      <c r="L340" s="342"/>
      <c r="M340" s="143"/>
      <c r="N340" s="143"/>
      <c r="O340" s="143"/>
      <c r="P340" s="143"/>
      <c r="Q340" s="143"/>
      <c r="R340" s="143"/>
      <c r="S340" s="143"/>
      <c r="T340" s="143"/>
      <c r="U340" s="143"/>
      <c r="V340" s="143"/>
      <c r="W340" s="143"/>
      <c r="X340" s="143"/>
      <c r="Y340" s="143"/>
      <c r="Z340" s="261"/>
      <c r="AA340" s="261"/>
      <c r="AB340" s="142"/>
    </row>
    <row r="341" spans="1:28">
      <c r="A341" s="145"/>
      <c r="B341" s="342"/>
      <c r="C341" s="342"/>
      <c r="D341" s="342"/>
      <c r="F341" s="143"/>
      <c r="G341" s="145"/>
      <c r="H341" s="143"/>
      <c r="I341" s="143"/>
      <c r="J341" s="143"/>
      <c r="K341" s="342"/>
      <c r="L341" s="342"/>
      <c r="M341" s="143"/>
      <c r="N341" s="143"/>
      <c r="O341" s="143"/>
      <c r="P341" s="143"/>
      <c r="Q341" s="143"/>
      <c r="R341" s="143"/>
      <c r="S341" s="143"/>
      <c r="T341" s="143"/>
      <c r="U341" s="143"/>
      <c r="V341" s="143"/>
      <c r="W341" s="143"/>
      <c r="X341" s="143"/>
      <c r="Y341" s="143"/>
      <c r="Z341" s="261"/>
      <c r="AA341" s="261"/>
      <c r="AB341" s="142"/>
    </row>
    <row r="342" spans="1:28">
      <c r="A342" s="145"/>
      <c r="B342" s="342"/>
      <c r="C342" s="342"/>
      <c r="D342" s="342"/>
      <c r="F342" s="143"/>
      <c r="G342" s="145"/>
      <c r="H342" s="143"/>
      <c r="I342" s="143"/>
      <c r="J342" s="143"/>
      <c r="K342" s="342"/>
      <c r="L342" s="342"/>
      <c r="M342" s="143"/>
      <c r="N342" s="143"/>
      <c r="O342" s="143"/>
      <c r="P342" s="143"/>
      <c r="Q342" s="143"/>
      <c r="R342" s="143"/>
      <c r="S342" s="143"/>
      <c r="T342" s="143"/>
      <c r="U342" s="143"/>
      <c r="V342" s="143"/>
      <c r="W342" s="143"/>
      <c r="X342" s="143"/>
      <c r="Y342" s="143"/>
      <c r="Z342" s="261"/>
      <c r="AA342" s="261"/>
      <c r="AB342" s="142"/>
    </row>
    <row r="343" spans="1:28">
      <c r="A343" s="145"/>
      <c r="B343" s="342"/>
      <c r="C343" s="342"/>
      <c r="D343" s="342"/>
      <c r="F343" s="143"/>
      <c r="G343" s="145"/>
      <c r="H343" s="143"/>
      <c r="I343" s="143"/>
      <c r="J343" s="143"/>
      <c r="K343" s="342"/>
      <c r="L343" s="342"/>
      <c r="M343" s="143"/>
      <c r="N343" s="143"/>
      <c r="O343" s="143"/>
      <c r="P343" s="143"/>
      <c r="Q343" s="143"/>
      <c r="R343" s="143"/>
      <c r="S343" s="143"/>
      <c r="T343" s="143"/>
      <c r="U343" s="143"/>
      <c r="V343" s="143"/>
      <c r="W343" s="143"/>
      <c r="X343" s="143"/>
      <c r="Y343" s="143"/>
      <c r="Z343" s="261"/>
      <c r="AA343" s="261"/>
      <c r="AB343" s="142"/>
    </row>
    <row r="344" spans="1:28">
      <c r="A344" s="145"/>
      <c r="B344" s="342"/>
      <c r="C344" s="342"/>
      <c r="D344" s="342"/>
      <c r="F344" s="143"/>
      <c r="G344" s="145"/>
      <c r="H344" s="143"/>
      <c r="I344" s="143"/>
      <c r="J344" s="143"/>
      <c r="K344" s="342"/>
      <c r="L344" s="342"/>
      <c r="M344" s="143"/>
      <c r="N344" s="143"/>
      <c r="O344" s="143"/>
      <c r="P344" s="143"/>
      <c r="Q344" s="143"/>
      <c r="R344" s="143"/>
      <c r="S344" s="143"/>
      <c r="T344" s="143"/>
      <c r="U344" s="143"/>
      <c r="V344" s="143"/>
      <c r="W344" s="143"/>
      <c r="X344" s="143"/>
      <c r="Y344" s="143"/>
      <c r="Z344" s="261"/>
      <c r="AA344" s="261"/>
      <c r="AB344" s="142"/>
    </row>
    <row r="345" spans="1:28">
      <c r="A345" s="145"/>
      <c r="B345" s="342"/>
      <c r="C345" s="342"/>
      <c r="D345" s="342"/>
      <c r="F345" s="143"/>
      <c r="G345" s="145"/>
      <c r="H345" s="143"/>
      <c r="I345" s="143"/>
      <c r="J345" s="143"/>
      <c r="K345" s="342"/>
      <c r="L345" s="342"/>
      <c r="M345" s="143"/>
      <c r="N345" s="143"/>
      <c r="O345" s="143"/>
      <c r="P345" s="143"/>
      <c r="Q345" s="143"/>
      <c r="R345" s="143"/>
      <c r="S345" s="143"/>
      <c r="T345" s="143"/>
      <c r="U345" s="143"/>
      <c r="V345" s="143"/>
      <c r="W345" s="143"/>
      <c r="X345" s="143"/>
      <c r="Y345" s="143"/>
      <c r="Z345" s="261"/>
      <c r="AA345" s="261"/>
      <c r="AB345" s="142"/>
    </row>
    <row r="346" spans="1:28">
      <c r="A346" s="145"/>
      <c r="B346" s="342"/>
      <c r="C346" s="342"/>
      <c r="D346" s="342"/>
      <c r="F346" s="143"/>
      <c r="G346" s="145"/>
      <c r="H346" s="143"/>
      <c r="I346" s="143"/>
      <c r="J346" s="143"/>
      <c r="K346" s="342"/>
      <c r="L346" s="342"/>
      <c r="M346" s="143"/>
      <c r="N346" s="143"/>
      <c r="O346" s="143"/>
      <c r="P346" s="143"/>
      <c r="Q346" s="143"/>
      <c r="R346" s="143"/>
      <c r="S346" s="143"/>
      <c r="T346" s="143"/>
      <c r="U346" s="143"/>
      <c r="V346" s="143"/>
      <c r="W346" s="143"/>
      <c r="X346" s="143"/>
      <c r="Y346" s="143"/>
      <c r="Z346" s="261"/>
      <c r="AA346" s="261"/>
      <c r="AB346" s="142"/>
    </row>
    <row r="347" spans="1:28">
      <c r="A347" s="145"/>
      <c r="B347" s="342"/>
      <c r="C347" s="342"/>
      <c r="D347" s="342"/>
      <c r="F347" s="143"/>
      <c r="G347" s="145"/>
      <c r="H347" s="143"/>
      <c r="I347" s="143"/>
      <c r="J347" s="143"/>
      <c r="K347" s="342"/>
      <c r="L347" s="342"/>
      <c r="M347" s="143"/>
      <c r="N347" s="143"/>
      <c r="O347" s="143"/>
      <c r="P347" s="143"/>
      <c r="Q347" s="143"/>
      <c r="R347" s="143"/>
      <c r="S347" s="143"/>
      <c r="T347" s="143"/>
      <c r="U347" s="143"/>
      <c r="V347" s="143"/>
      <c r="W347" s="143"/>
      <c r="X347" s="143"/>
      <c r="Y347" s="143"/>
      <c r="Z347" s="145"/>
      <c r="AA347" s="145"/>
      <c r="AB347" s="142"/>
    </row>
    <row r="348" spans="1:28">
      <c r="A348" s="145"/>
      <c r="B348" s="342"/>
      <c r="C348" s="342"/>
      <c r="D348" s="342"/>
      <c r="F348" s="143"/>
      <c r="G348" s="145"/>
      <c r="H348" s="143"/>
      <c r="I348" s="143"/>
      <c r="J348" s="143"/>
      <c r="K348" s="342"/>
      <c r="L348" s="342"/>
      <c r="M348" s="143"/>
      <c r="N348" s="143"/>
      <c r="O348" s="143"/>
      <c r="P348" s="143"/>
      <c r="Q348" s="143"/>
      <c r="R348" s="143"/>
      <c r="S348" s="143"/>
      <c r="T348" s="143"/>
      <c r="U348" s="143"/>
      <c r="V348" s="143"/>
      <c r="W348" s="143"/>
      <c r="X348" s="143"/>
      <c r="Y348" s="143"/>
      <c r="Z348" s="261"/>
      <c r="AA348" s="261"/>
      <c r="AB348" s="142"/>
    </row>
    <row r="349" spans="1:28">
      <c r="A349" s="145"/>
      <c r="B349" s="342"/>
      <c r="C349" s="342"/>
      <c r="D349" s="342"/>
      <c r="F349" s="143"/>
      <c r="G349" s="145"/>
      <c r="H349" s="143"/>
      <c r="I349" s="143"/>
      <c r="J349" s="143"/>
      <c r="K349" s="342"/>
      <c r="L349" s="342"/>
      <c r="M349" s="143"/>
      <c r="N349" s="143"/>
      <c r="O349" s="143"/>
      <c r="P349" s="143"/>
      <c r="Q349" s="143"/>
      <c r="R349" s="143"/>
      <c r="S349" s="143"/>
      <c r="T349" s="143"/>
      <c r="U349" s="143"/>
      <c r="V349" s="143"/>
      <c r="W349" s="143"/>
      <c r="X349" s="143"/>
      <c r="Y349" s="143"/>
      <c r="Z349" s="261"/>
      <c r="AA349" s="261"/>
      <c r="AB349" s="142"/>
    </row>
    <row r="350" spans="1:28">
      <c r="A350" s="145"/>
      <c r="B350" s="342"/>
      <c r="C350" s="342"/>
      <c r="D350" s="342"/>
      <c r="F350" s="143"/>
      <c r="G350" s="145"/>
      <c r="H350" s="143"/>
      <c r="I350" s="143"/>
      <c r="J350" s="143"/>
      <c r="K350" s="342"/>
      <c r="L350" s="342"/>
      <c r="M350" s="143"/>
      <c r="N350" s="143"/>
      <c r="O350" s="143"/>
      <c r="P350" s="143"/>
      <c r="Q350" s="143"/>
      <c r="R350" s="143"/>
      <c r="S350" s="143"/>
      <c r="T350" s="143"/>
      <c r="U350" s="143"/>
      <c r="V350" s="143"/>
      <c r="W350" s="143"/>
      <c r="X350" s="143"/>
      <c r="Y350" s="143"/>
      <c r="Z350" s="261"/>
      <c r="AA350" s="261"/>
      <c r="AB350" s="142"/>
    </row>
    <row r="351" spans="1:28">
      <c r="A351" s="145"/>
      <c r="B351" s="342"/>
      <c r="C351" s="342"/>
      <c r="D351" s="342"/>
      <c r="F351" s="143"/>
      <c r="G351" s="145"/>
      <c r="H351" s="143"/>
      <c r="I351" s="143"/>
      <c r="J351" s="143"/>
      <c r="K351" s="342"/>
      <c r="L351" s="342"/>
      <c r="M351" s="143"/>
      <c r="N351" s="143"/>
      <c r="O351" s="143"/>
      <c r="P351" s="143"/>
      <c r="Q351" s="143"/>
      <c r="R351" s="143"/>
      <c r="S351" s="143"/>
      <c r="T351" s="143"/>
      <c r="U351" s="143"/>
      <c r="V351" s="143"/>
      <c r="W351" s="143"/>
      <c r="X351" s="143"/>
      <c r="Y351" s="143"/>
      <c r="Z351" s="261"/>
      <c r="AA351" s="261"/>
      <c r="AB351" s="142"/>
    </row>
    <row r="352" spans="1:28">
      <c r="A352" s="145"/>
      <c r="B352" s="342"/>
      <c r="C352" s="342"/>
      <c r="D352" s="342"/>
      <c r="F352" s="143"/>
      <c r="G352" s="145"/>
      <c r="H352" s="143"/>
      <c r="I352" s="143"/>
      <c r="J352" s="143"/>
      <c r="K352" s="342"/>
      <c r="L352" s="342"/>
      <c r="M352" s="143"/>
      <c r="N352" s="143"/>
      <c r="O352" s="143"/>
      <c r="P352" s="143"/>
      <c r="Q352" s="143"/>
      <c r="R352" s="143"/>
      <c r="S352" s="143"/>
      <c r="T352" s="143"/>
      <c r="U352" s="143"/>
      <c r="V352" s="143"/>
      <c r="W352" s="143"/>
      <c r="X352" s="143"/>
      <c r="Y352" s="143"/>
      <c r="Z352" s="261"/>
      <c r="AA352" s="261"/>
      <c r="AB352" s="142"/>
    </row>
    <row r="353" spans="1:28">
      <c r="A353" s="145"/>
      <c r="B353" s="342"/>
      <c r="C353" s="342"/>
      <c r="D353" s="342"/>
      <c r="F353" s="143"/>
      <c r="G353" s="145"/>
      <c r="H353" s="143"/>
      <c r="I353" s="143"/>
      <c r="J353" s="143"/>
      <c r="K353" s="342"/>
      <c r="L353" s="342"/>
      <c r="M353" s="143"/>
      <c r="N353" s="143"/>
      <c r="O353" s="143"/>
      <c r="P353" s="143"/>
      <c r="Q353" s="143"/>
      <c r="R353" s="143"/>
      <c r="S353" s="143"/>
      <c r="T353" s="143"/>
      <c r="U353" s="143"/>
      <c r="V353" s="143"/>
      <c r="W353" s="143"/>
      <c r="X353" s="143"/>
      <c r="Y353" s="143"/>
      <c r="Z353" s="261"/>
      <c r="AA353" s="261"/>
      <c r="AB353" s="142"/>
    </row>
    <row r="354" spans="1:28">
      <c r="A354" s="145"/>
      <c r="B354" s="342"/>
      <c r="C354" s="342"/>
      <c r="D354" s="342"/>
      <c r="F354" s="143"/>
      <c r="G354" s="145"/>
      <c r="H354" s="143"/>
      <c r="I354" s="143"/>
      <c r="J354" s="143"/>
      <c r="K354" s="342"/>
      <c r="L354" s="342"/>
      <c r="M354" s="143"/>
      <c r="N354" s="143"/>
      <c r="O354" s="143"/>
      <c r="P354" s="143"/>
      <c r="Q354" s="143"/>
      <c r="R354" s="143"/>
      <c r="S354" s="143"/>
      <c r="T354" s="143"/>
      <c r="U354" s="143"/>
      <c r="V354" s="143"/>
      <c r="W354" s="143"/>
      <c r="X354" s="143"/>
      <c r="Y354" s="143"/>
      <c r="Z354" s="261"/>
      <c r="AA354" s="261"/>
      <c r="AB354" s="142"/>
    </row>
    <row r="355" spans="1:28">
      <c r="A355" s="145"/>
      <c r="B355" s="342"/>
      <c r="C355" s="342"/>
      <c r="D355" s="342"/>
      <c r="F355" s="143"/>
      <c r="G355" s="145"/>
      <c r="H355" s="143"/>
      <c r="I355" s="143"/>
      <c r="J355" s="143"/>
      <c r="K355" s="342"/>
      <c r="L355" s="342"/>
      <c r="M355" s="143"/>
      <c r="N355" s="143"/>
      <c r="O355" s="143"/>
      <c r="P355" s="143"/>
      <c r="Q355" s="143"/>
      <c r="R355" s="143"/>
      <c r="S355" s="143"/>
      <c r="T355" s="143"/>
      <c r="U355" s="143"/>
      <c r="V355" s="143"/>
      <c r="W355" s="143"/>
      <c r="X355" s="143"/>
      <c r="Y355" s="143"/>
      <c r="Z355" s="261"/>
      <c r="AA355" s="261"/>
      <c r="AB355" s="142"/>
    </row>
    <row r="356" spans="1:28">
      <c r="A356" s="145"/>
      <c r="B356" s="342"/>
      <c r="C356" s="342"/>
      <c r="D356" s="342"/>
      <c r="F356" s="143"/>
      <c r="G356" s="145"/>
      <c r="H356" s="143"/>
      <c r="I356" s="143"/>
      <c r="J356" s="143"/>
      <c r="K356" s="342"/>
      <c r="L356" s="342"/>
      <c r="M356" s="143"/>
      <c r="N356" s="143"/>
      <c r="O356" s="143"/>
      <c r="P356" s="143"/>
      <c r="Q356" s="143"/>
      <c r="R356" s="143"/>
      <c r="S356" s="143"/>
      <c r="T356" s="143"/>
      <c r="U356" s="143"/>
      <c r="V356" s="143"/>
      <c r="W356" s="143"/>
      <c r="X356" s="143"/>
      <c r="Y356" s="143"/>
      <c r="Z356" s="261"/>
      <c r="AA356" s="261"/>
      <c r="AB356" s="142"/>
    </row>
    <row r="357" spans="1:28">
      <c r="A357" s="145"/>
      <c r="B357" s="342"/>
      <c r="C357" s="342"/>
      <c r="D357" s="342"/>
      <c r="F357" s="143"/>
      <c r="G357" s="145"/>
      <c r="H357" s="143"/>
      <c r="I357" s="143"/>
      <c r="J357" s="143"/>
      <c r="K357" s="342"/>
      <c r="L357" s="342"/>
      <c r="M357" s="143"/>
      <c r="N357" s="143"/>
      <c r="O357" s="143"/>
      <c r="P357" s="143"/>
      <c r="Q357" s="143"/>
      <c r="R357" s="143"/>
      <c r="S357" s="143"/>
      <c r="T357" s="143"/>
      <c r="U357" s="143"/>
      <c r="V357" s="143"/>
      <c r="W357" s="143"/>
      <c r="X357" s="143"/>
      <c r="Y357" s="143"/>
      <c r="Z357" s="145"/>
      <c r="AA357" s="145"/>
      <c r="AB357" s="142"/>
    </row>
    <row r="358" spans="1:28">
      <c r="A358" s="145"/>
      <c r="B358" s="342"/>
      <c r="C358" s="342"/>
      <c r="D358" s="342"/>
      <c r="F358" s="143"/>
      <c r="G358" s="145"/>
      <c r="H358" s="143"/>
      <c r="I358" s="143"/>
      <c r="J358" s="143"/>
      <c r="K358" s="342"/>
      <c r="L358" s="342"/>
      <c r="M358" s="143"/>
      <c r="N358" s="143"/>
      <c r="O358" s="143"/>
      <c r="P358" s="143"/>
      <c r="Q358" s="143"/>
      <c r="R358" s="143"/>
      <c r="S358" s="143"/>
      <c r="T358" s="143"/>
      <c r="U358" s="143"/>
      <c r="V358" s="143"/>
      <c r="W358" s="143"/>
      <c r="X358" s="143"/>
      <c r="Y358" s="143"/>
      <c r="Z358" s="261"/>
      <c r="AA358" s="261"/>
      <c r="AB358" s="142"/>
    </row>
    <row r="359" spans="1:28">
      <c r="A359" s="145"/>
      <c r="B359" s="342"/>
      <c r="C359" s="342"/>
      <c r="D359" s="342"/>
      <c r="F359" s="143"/>
      <c r="G359" s="145"/>
      <c r="H359" s="143"/>
      <c r="I359" s="143"/>
      <c r="J359" s="143"/>
      <c r="K359" s="342"/>
      <c r="L359" s="342"/>
      <c r="M359" s="143"/>
      <c r="N359" s="143"/>
      <c r="O359" s="143"/>
      <c r="P359" s="143"/>
      <c r="Q359" s="143"/>
      <c r="R359" s="143"/>
      <c r="S359" s="143"/>
      <c r="T359" s="143"/>
      <c r="U359" s="143"/>
      <c r="V359" s="143"/>
      <c r="W359" s="143"/>
      <c r="X359" s="143"/>
      <c r="Y359" s="143"/>
      <c r="Z359" s="261"/>
      <c r="AA359" s="261"/>
      <c r="AB359" s="142"/>
    </row>
    <row r="360" spans="1:28">
      <c r="A360" s="145"/>
      <c r="B360" s="342"/>
      <c r="C360" s="342"/>
      <c r="D360" s="342"/>
      <c r="F360" s="143"/>
      <c r="G360" s="145"/>
      <c r="H360" s="143"/>
      <c r="I360" s="143"/>
      <c r="J360" s="143"/>
      <c r="K360" s="342"/>
      <c r="L360" s="342"/>
      <c r="M360" s="143"/>
      <c r="N360" s="143"/>
      <c r="O360" s="143"/>
      <c r="P360" s="143"/>
      <c r="Q360" s="143"/>
      <c r="R360" s="143"/>
      <c r="S360" s="143"/>
      <c r="T360" s="143"/>
      <c r="U360" s="143"/>
      <c r="V360" s="143"/>
      <c r="W360" s="143"/>
      <c r="X360" s="143"/>
      <c r="Y360" s="143"/>
      <c r="Z360" s="261"/>
      <c r="AA360" s="261"/>
      <c r="AB360" s="142"/>
    </row>
    <row r="361" spans="1:28">
      <c r="A361" s="145"/>
      <c r="B361" s="342"/>
      <c r="C361" s="342"/>
      <c r="D361" s="342"/>
      <c r="F361" s="143"/>
      <c r="G361" s="145"/>
      <c r="H361" s="143"/>
      <c r="I361" s="143"/>
      <c r="J361" s="143"/>
      <c r="K361" s="342"/>
      <c r="L361" s="342"/>
      <c r="M361" s="143"/>
      <c r="N361" s="143"/>
      <c r="O361" s="143"/>
      <c r="P361" s="143"/>
      <c r="Q361" s="143"/>
      <c r="R361" s="143"/>
      <c r="S361" s="143"/>
      <c r="T361" s="143"/>
      <c r="U361" s="143"/>
      <c r="V361" s="143"/>
      <c r="W361" s="143"/>
      <c r="X361" s="143"/>
      <c r="Y361" s="143"/>
      <c r="Z361" s="261"/>
      <c r="AA361" s="145"/>
      <c r="AB361" s="142"/>
    </row>
    <row r="362" spans="1:28">
      <c r="A362" s="145"/>
      <c r="B362" s="342"/>
      <c r="C362" s="342"/>
      <c r="D362" s="342"/>
      <c r="F362" s="143"/>
      <c r="G362" s="145"/>
      <c r="H362" s="143"/>
      <c r="I362" s="143"/>
      <c r="J362" s="143"/>
      <c r="K362" s="342"/>
      <c r="L362" s="342"/>
      <c r="M362" s="143"/>
      <c r="N362" s="143"/>
      <c r="O362" s="143"/>
      <c r="P362" s="143"/>
      <c r="Q362" s="143"/>
      <c r="R362" s="143"/>
      <c r="S362" s="143"/>
      <c r="T362" s="143"/>
      <c r="U362" s="143"/>
      <c r="V362" s="143"/>
      <c r="W362" s="143"/>
      <c r="X362" s="143"/>
      <c r="Y362" s="143"/>
      <c r="Z362" s="261"/>
      <c r="AA362" s="261"/>
      <c r="AB362" s="142"/>
    </row>
    <row r="363" spans="1:28">
      <c r="A363" s="145"/>
      <c r="B363" s="342"/>
      <c r="C363" s="342"/>
      <c r="D363" s="342"/>
      <c r="F363" s="143"/>
      <c r="G363" s="145"/>
      <c r="H363" s="143"/>
      <c r="I363" s="143"/>
      <c r="J363" s="143"/>
      <c r="K363" s="342"/>
      <c r="L363" s="342"/>
      <c r="M363" s="143"/>
      <c r="N363" s="143"/>
      <c r="O363" s="143"/>
      <c r="P363" s="143"/>
      <c r="Q363" s="143"/>
      <c r="R363" s="143"/>
      <c r="S363" s="143"/>
      <c r="T363" s="143"/>
      <c r="U363" s="143"/>
      <c r="V363" s="143"/>
      <c r="W363" s="143"/>
      <c r="X363" s="143"/>
      <c r="Y363" s="143"/>
      <c r="Z363" s="261"/>
      <c r="AA363" s="261"/>
      <c r="AB363" s="142"/>
    </row>
    <row r="364" spans="1:28">
      <c r="A364" s="145"/>
      <c r="B364" s="342"/>
      <c r="C364" s="342"/>
      <c r="D364" s="342"/>
      <c r="F364" s="143"/>
      <c r="G364" s="145"/>
      <c r="H364" s="143"/>
      <c r="I364" s="143"/>
      <c r="J364" s="143"/>
      <c r="K364" s="342"/>
      <c r="L364" s="342"/>
      <c r="M364" s="143"/>
      <c r="N364" s="143"/>
      <c r="O364" s="143"/>
      <c r="P364" s="143"/>
      <c r="Q364" s="143"/>
      <c r="R364" s="143"/>
      <c r="S364" s="143"/>
      <c r="T364" s="143"/>
      <c r="U364" s="143"/>
      <c r="V364" s="143"/>
      <c r="W364" s="143"/>
      <c r="X364" s="143"/>
      <c r="Y364" s="143"/>
      <c r="Z364" s="261"/>
      <c r="AA364" s="261"/>
      <c r="AB364" s="142"/>
    </row>
    <row r="365" spans="1:28">
      <c r="A365" s="145"/>
      <c r="B365" s="342"/>
      <c r="C365" s="342"/>
      <c r="D365" s="342"/>
      <c r="F365" s="143"/>
      <c r="G365" s="145"/>
      <c r="H365" s="143"/>
      <c r="I365" s="143"/>
      <c r="J365" s="143"/>
      <c r="K365" s="342"/>
      <c r="L365" s="342"/>
      <c r="M365" s="143"/>
      <c r="N365" s="143"/>
      <c r="O365" s="143"/>
      <c r="P365" s="143"/>
      <c r="Q365" s="143"/>
      <c r="R365" s="143"/>
      <c r="S365" s="143"/>
      <c r="T365" s="143"/>
      <c r="U365" s="143"/>
      <c r="V365" s="143"/>
      <c r="W365" s="143"/>
      <c r="X365" s="143"/>
      <c r="Y365" s="143"/>
      <c r="Z365" s="261"/>
      <c r="AA365" s="261"/>
      <c r="AB365" s="142"/>
    </row>
    <row r="366" spans="1:28">
      <c r="A366" s="145"/>
      <c r="B366" s="342"/>
      <c r="C366" s="342"/>
      <c r="D366" s="342"/>
      <c r="F366" s="143"/>
      <c r="G366" s="145"/>
      <c r="H366" s="143"/>
      <c r="I366" s="143"/>
      <c r="J366" s="143"/>
      <c r="K366" s="342"/>
      <c r="L366" s="342"/>
      <c r="M366" s="143"/>
      <c r="N366" s="143"/>
      <c r="O366" s="143"/>
      <c r="P366" s="143"/>
      <c r="Q366" s="143"/>
      <c r="R366" s="143"/>
      <c r="S366" s="143"/>
      <c r="T366" s="143"/>
      <c r="U366" s="143"/>
      <c r="V366" s="143"/>
      <c r="W366" s="143"/>
      <c r="X366" s="143"/>
      <c r="Y366" s="143"/>
      <c r="Z366" s="261"/>
      <c r="AA366" s="145"/>
      <c r="AB366" s="142"/>
    </row>
    <row r="367" spans="1:28">
      <c r="A367" s="145"/>
      <c r="B367" s="342"/>
      <c r="C367" s="342"/>
      <c r="D367" s="342"/>
      <c r="F367" s="143"/>
      <c r="G367" s="145"/>
      <c r="H367" s="143"/>
      <c r="I367" s="143"/>
      <c r="J367" s="143"/>
      <c r="K367" s="342"/>
      <c r="L367" s="342"/>
      <c r="M367" s="143"/>
      <c r="N367" s="143"/>
      <c r="O367" s="143"/>
      <c r="P367" s="143"/>
      <c r="Q367" s="143"/>
      <c r="R367" s="143"/>
      <c r="S367" s="143"/>
      <c r="T367" s="143"/>
      <c r="U367" s="143"/>
      <c r="V367" s="143"/>
      <c r="W367" s="143"/>
      <c r="X367" s="143"/>
      <c r="Y367" s="143"/>
      <c r="Z367" s="261"/>
      <c r="AA367" s="261"/>
      <c r="AB367" s="142"/>
    </row>
    <row r="368" spans="1:28">
      <c r="A368" s="145"/>
      <c r="B368" s="342"/>
      <c r="C368" s="342"/>
      <c r="D368" s="342"/>
      <c r="F368" s="143"/>
      <c r="G368" s="145"/>
      <c r="H368" s="143"/>
      <c r="I368" s="143"/>
      <c r="J368" s="143"/>
      <c r="K368" s="342"/>
      <c r="L368" s="342"/>
      <c r="M368" s="143"/>
      <c r="N368" s="143"/>
      <c r="O368" s="143"/>
      <c r="P368" s="143"/>
      <c r="Q368" s="143"/>
      <c r="R368" s="143"/>
      <c r="S368" s="143"/>
      <c r="T368" s="143"/>
      <c r="U368" s="143"/>
      <c r="V368" s="143"/>
      <c r="W368" s="143"/>
      <c r="X368" s="143"/>
      <c r="Y368" s="143"/>
      <c r="Z368" s="261"/>
      <c r="AA368" s="145"/>
      <c r="AB368" s="142"/>
    </row>
    <row r="369" spans="1:28">
      <c r="A369" s="145"/>
      <c r="B369" s="342"/>
      <c r="C369" s="342"/>
      <c r="D369" s="342"/>
      <c r="F369" s="143"/>
      <c r="G369" s="145"/>
      <c r="H369" s="143"/>
      <c r="I369" s="143"/>
      <c r="J369" s="143"/>
      <c r="K369" s="342"/>
      <c r="L369" s="342"/>
      <c r="M369" s="143"/>
      <c r="N369" s="143"/>
      <c r="O369" s="143"/>
      <c r="P369" s="143"/>
      <c r="Q369" s="143"/>
      <c r="R369" s="143"/>
      <c r="S369" s="143"/>
      <c r="T369" s="143"/>
      <c r="U369" s="143"/>
      <c r="V369" s="143"/>
      <c r="W369" s="143"/>
      <c r="X369" s="143"/>
      <c r="Y369" s="143"/>
      <c r="Z369" s="261"/>
      <c r="AA369" s="261"/>
      <c r="AB369" s="142"/>
    </row>
    <row r="370" spans="1:28">
      <c r="A370" s="145"/>
      <c r="B370" s="342"/>
      <c r="C370" s="342"/>
      <c r="D370" s="342"/>
      <c r="F370" s="143"/>
      <c r="G370" s="145"/>
      <c r="H370" s="143"/>
      <c r="I370" s="143"/>
      <c r="J370" s="143"/>
      <c r="K370" s="342"/>
      <c r="L370" s="342"/>
      <c r="M370" s="143"/>
      <c r="N370" s="143"/>
      <c r="O370" s="143"/>
      <c r="P370" s="143"/>
      <c r="Q370" s="143"/>
      <c r="R370" s="143"/>
      <c r="S370" s="143"/>
      <c r="T370" s="143"/>
      <c r="U370" s="143"/>
      <c r="V370" s="143"/>
      <c r="W370" s="143"/>
      <c r="X370" s="143"/>
      <c r="Y370" s="143"/>
      <c r="Z370" s="261"/>
      <c r="AA370" s="261"/>
      <c r="AB370" s="142"/>
    </row>
    <row r="371" spans="1:28">
      <c r="A371" s="145"/>
      <c r="B371" s="342"/>
      <c r="C371" s="342"/>
      <c r="D371" s="342"/>
      <c r="F371" s="143"/>
      <c r="G371" s="145"/>
      <c r="H371" s="143"/>
      <c r="I371" s="143"/>
      <c r="J371" s="143"/>
      <c r="K371" s="342"/>
      <c r="L371" s="342"/>
      <c r="M371" s="143"/>
      <c r="N371" s="143"/>
      <c r="O371" s="143"/>
      <c r="P371" s="143"/>
      <c r="Q371" s="143"/>
      <c r="R371" s="143"/>
      <c r="S371" s="143"/>
      <c r="T371" s="143"/>
      <c r="U371" s="143"/>
      <c r="V371" s="143"/>
      <c r="W371" s="143"/>
      <c r="X371" s="143"/>
      <c r="Y371" s="143"/>
      <c r="Z371" s="261"/>
      <c r="AA371" s="261"/>
      <c r="AB371" s="142"/>
    </row>
    <row r="372" spans="1:28">
      <c r="A372" s="145"/>
      <c r="B372" s="342"/>
      <c r="C372" s="342"/>
      <c r="D372" s="342"/>
      <c r="F372" s="143"/>
      <c r="G372" s="145"/>
      <c r="H372" s="143"/>
      <c r="I372" s="143"/>
      <c r="J372" s="143"/>
      <c r="K372" s="342"/>
      <c r="L372" s="342"/>
      <c r="M372" s="143"/>
      <c r="N372" s="143"/>
      <c r="O372" s="143"/>
      <c r="P372" s="143"/>
      <c r="Q372" s="143"/>
      <c r="R372" s="143"/>
      <c r="S372" s="143"/>
      <c r="T372" s="143"/>
      <c r="U372" s="143"/>
      <c r="V372" s="143"/>
      <c r="W372" s="143"/>
      <c r="X372" s="143"/>
      <c r="Y372" s="143"/>
      <c r="Z372" s="261"/>
      <c r="AA372" s="261"/>
      <c r="AB372" s="142"/>
    </row>
    <row r="373" spans="1:28">
      <c r="A373" s="145"/>
      <c r="B373" s="342"/>
      <c r="C373" s="342"/>
      <c r="D373" s="342"/>
      <c r="F373" s="143"/>
      <c r="G373" s="145"/>
      <c r="H373" s="143"/>
      <c r="I373" s="143"/>
      <c r="J373" s="143"/>
      <c r="K373" s="342"/>
      <c r="L373" s="342"/>
      <c r="M373" s="143"/>
      <c r="N373" s="143"/>
      <c r="O373" s="143"/>
      <c r="P373" s="143"/>
      <c r="Q373" s="143"/>
      <c r="R373" s="143"/>
      <c r="S373" s="143"/>
      <c r="T373" s="143"/>
      <c r="U373" s="143"/>
      <c r="V373" s="143"/>
      <c r="W373" s="143"/>
      <c r="X373" s="143"/>
      <c r="Y373" s="143"/>
      <c r="Z373" s="261"/>
      <c r="AA373" s="145"/>
      <c r="AB373" s="142"/>
    </row>
    <row r="374" spans="1:28">
      <c r="A374" s="145"/>
      <c r="B374" s="342"/>
      <c r="C374" s="342"/>
      <c r="D374" s="342"/>
      <c r="F374" s="143"/>
      <c r="G374" s="145"/>
      <c r="H374" s="143"/>
      <c r="I374" s="143"/>
      <c r="J374" s="143"/>
      <c r="K374" s="342"/>
      <c r="L374" s="342"/>
      <c r="M374" s="143"/>
      <c r="N374" s="143"/>
      <c r="O374" s="143"/>
      <c r="P374" s="143"/>
      <c r="Q374" s="143"/>
      <c r="R374" s="143"/>
      <c r="S374" s="143"/>
      <c r="T374" s="143"/>
      <c r="U374" s="143"/>
      <c r="V374" s="143"/>
      <c r="W374" s="143"/>
      <c r="X374" s="143"/>
      <c r="Y374" s="143"/>
      <c r="Z374" s="145"/>
      <c r="AA374" s="145"/>
      <c r="AB374" s="142"/>
    </row>
    <row r="375" spans="1:28">
      <c r="A375" s="145"/>
      <c r="B375" s="342"/>
      <c r="C375" s="342"/>
      <c r="D375" s="342"/>
      <c r="F375" s="143"/>
      <c r="G375" s="145"/>
      <c r="H375" s="143"/>
      <c r="I375" s="143"/>
      <c r="J375" s="143"/>
      <c r="K375" s="342"/>
      <c r="L375" s="342"/>
      <c r="M375" s="143"/>
      <c r="N375" s="143"/>
      <c r="O375" s="143"/>
      <c r="P375" s="143"/>
      <c r="Q375" s="143"/>
      <c r="R375" s="143"/>
      <c r="S375" s="143"/>
      <c r="T375" s="143"/>
      <c r="U375" s="143"/>
      <c r="V375" s="143"/>
      <c r="W375" s="143"/>
      <c r="X375" s="143"/>
      <c r="Y375" s="143"/>
      <c r="Z375" s="145"/>
      <c r="AA375" s="145"/>
      <c r="AB375" s="142"/>
    </row>
    <row r="376" spans="1:28">
      <c r="A376" s="145"/>
      <c r="B376" s="342"/>
      <c r="C376" s="342"/>
      <c r="D376" s="342"/>
      <c r="F376" s="143"/>
      <c r="G376" s="145"/>
      <c r="H376" s="143"/>
      <c r="I376" s="143"/>
      <c r="J376" s="143"/>
      <c r="K376" s="342"/>
      <c r="L376" s="342"/>
      <c r="M376" s="143"/>
      <c r="N376" s="143"/>
      <c r="O376" s="143"/>
      <c r="P376" s="143"/>
      <c r="Q376" s="143"/>
      <c r="R376" s="143"/>
      <c r="S376" s="143"/>
      <c r="T376" s="143"/>
      <c r="U376" s="143"/>
      <c r="V376" s="143"/>
      <c r="W376" s="143"/>
      <c r="X376" s="143"/>
      <c r="Y376" s="143"/>
      <c r="Z376" s="145"/>
      <c r="AA376" s="145"/>
      <c r="AB376" s="142"/>
    </row>
    <row r="377" spans="1:28">
      <c r="A377" s="145"/>
      <c r="B377" s="342"/>
      <c r="C377" s="342"/>
      <c r="D377" s="342"/>
      <c r="F377" s="143"/>
      <c r="G377" s="145"/>
      <c r="H377" s="143"/>
      <c r="I377" s="143"/>
      <c r="J377" s="143"/>
      <c r="K377" s="342"/>
      <c r="L377" s="342"/>
      <c r="M377" s="143"/>
      <c r="N377" s="143"/>
      <c r="O377" s="143"/>
      <c r="P377" s="143"/>
      <c r="Q377" s="143"/>
      <c r="R377" s="143"/>
      <c r="S377" s="143"/>
      <c r="T377" s="143"/>
      <c r="U377" s="143"/>
      <c r="V377" s="143"/>
      <c r="W377" s="143"/>
      <c r="X377" s="143"/>
      <c r="Y377" s="143"/>
      <c r="Z377" s="145"/>
      <c r="AA377" s="145"/>
      <c r="AB377" s="142"/>
    </row>
    <row r="378" spans="1:28">
      <c r="A378" s="145"/>
      <c r="B378" s="342"/>
      <c r="C378" s="342"/>
      <c r="D378" s="342"/>
      <c r="F378" s="143"/>
      <c r="G378" s="145"/>
      <c r="H378" s="143"/>
      <c r="I378" s="143"/>
      <c r="J378" s="143"/>
      <c r="K378" s="342"/>
      <c r="L378" s="342"/>
      <c r="M378" s="143"/>
      <c r="N378" s="143"/>
      <c r="O378" s="143"/>
      <c r="P378" s="143"/>
      <c r="Q378" s="143"/>
      <c r="R378" s="143"/>
      <c r="S378" s="143"/>
      <c r="T378" s="143"/>
      <c r="U378" s="143"/>
      <c r="V378" s="143"/>
      <c r="W378" s="143"/>
      <c r="X378" s="143"/>
      <c r="Y378" s="143"/>
      <c r="Z378" s="145"/>
      <c r="AA378" s="145"/>
      <c r="AB378" s="142"/>
    </row>
    <row r="379" spans="1:28">
      <c r="A379" s="145"/>
      <c r="B379" s="342"/>
      <c r="C379" s="342"/>
      <c r="D379" s="342"/>
      <c r="F379" s="143"/>
      <c r="G379" s="145"/>
      <c r="H379" s="143"/>
      <c r="I379" s="143"/>
      <c r="J379" s="143"/>
      <c r="K379" s="342"/>
      <c r="L379" s="342"/>
      <c r="M379" s="143"/>
      <c r="N379" s="143"/>
      <c r="O379" s="143"/>
      <c r="P379" s="143"/>
      <c r="Q379" s="143"/>
      <c r="R379" s="143"/>
      <c r="S379" s="143"/>
      <c r="T379" s="143"/>
      <c r="U379" s="143"/>
      <c r="V379" s="143"/>
      <c r="W379" s="143"/>
      <c r="X379" s="143"/>
      <c r="Y379" s="143"/>
      <c r="Z379" s="145"/>
      <c r="AA379" s="261"/>
      <c r="AB379" s="142"/>
    </row>
    <row r="380" spans="1:28">
      <c r="A380" s="145"/>
      <c r="B380" s="342"/>
      <c r="C380" s="342"/>
      <c r="D380" s="342"/>
      <c r="F380" s="143"/>
      <c r="G380" s="145"/>
      <c r="H380" s="143"/>
      <c r="I380" s="143"/>
      <c r="J380" s="143"/>
      <c r="K380" s="342"/>
      <c r="L380" s="342"/>
      <c r="M380" s="143"/>
      <c r="N380" s="143"/>
      <c r="O380" s="143"/>
      <c r="P380" s="143"/>
      <c r="Q380" s="143"/>
      <c r="R380" s="143"/>
      <c r="S380" s="143"/>
      <c r="T380" s="143"/>
      <c r="U380" s="143"/>
      <c r="V380" s="143"/>
      <c r="W380" s="143"/>
      <c r="X380" s="143"/>
      <c r="Y380" s="143"/>
      <c r="Z380" s="261"/>
      <c r="AA380" s="261"/>
      <c r="AB380" s="142"/>
    </row>
    <row r="381" spans="1:28">
      <c r="A381" s="145"/>
      <c r="B381" s="342"/>
      <c r="C381" s="342"/>
      <c r="D381" s="342"/>
      <c r="F381" s="143"/>
      <c r="G381" s="145"/>
      <c r="H381" s="143"/>
      <c r="I381" s="143"/>
      <c r="J381" s="143"/>
      <c r="K381" s="342"/>
      <c r="L381" s="342"/>
      <c r="M381" s="143"/>
      <c r="N381" s="143"/>
      <c r="O381" s="143"/>
      <c r="P381" s="143"/>
      <c r="Q381" s="143"/>
      <c r="R381" s="143"/>
      <c r="S381" s="143"/>
      <c r="T381" s="143"/>
      <c r="U381" s="143"/>
      <c r="V381" s="143"/>
      <c r="W381" s="143"/>
      <c r="X381" s="143"/>
      <c r="Y381" s="143"/>
      <c r="Z381" s="261"/>
      <c r="AA381" s="261"/>
      <c r="AB381" s="142"/>
    </row>
    <row r="382" spans="1:28">
      <c r="A382" s="145"/>
      <c r="B382" s="342"/>
      <c r="C382" s="342"/>
      <c r="D382" s="342"/>
      <c r="F382" s="143"/>
      <c r="G382" s="145"/>
      <c r="H382" s="143"/>
      <c r="I382" s="143"/>
      <c r="J382" s="143"/>
      <c r="K382" s="342"/>
      <c r="L382" s="342"/>
      <c r="M382" s="143"/>
      <c r="N382" s="143"/>
      <c r="O382" s="143"/>
      <c r="P382" s="143"/>
      <c r="Q382" s="143"/>
      <c r="R382" s="143"/>
      <c r="S382" s="143"/>
      <c r="T382" s="143"/>
      <c r="U382" s="143"/>
      <c r="V382" s="143"/>
      <c r="W382" s="143"/>
      <c r="X382" s="143"/>
      <c r="Y382" s="143"/>
      <c r="Z382" s="145"/>
      <c r="AA382" s="145"/>
      <c r="AB382" s="142"/>
    </row>
    <row r="383" spans="1:28">
      <c r="A383" s="145"/>
      <c r="B383" s="342"/>
      <c r="C383" s="342"/>
      <c r="D383" s="342"/>
      <c r="F383" s="143"/>
      <c r="G383" s="145"/>
      <c r="H383" s="143"/>
      <c r="I383" s="143"/>
      <c r="J383" s="143"/>
      <c r="K383" s="342"/>
      <c r="L383" s="342"/>
      <c r="M383" s="143"/>
      <c r="N383" s="143"/>
      <c r="O383" s="143"/>
      <c r="P383" s="143"/>
      <c r="Q383" s="143"/>
      <c r="R383" s="143"/>
      <c r="S383" s="143"/>
      <c r="T383" s="143"/>
      <c r="U383" s="143"/>
      <c r="V383" s="143"/>
      <c r="W383" s="143"/>
      <c r="X383" s="143"/>
      <c r="Y383" s="143"/>
      <c r="Z383" s="261"/>
      <c r="AA383" s="261"/>
      <c r="AB383" s="142"/>
    </row>
    <row r="384" spans="1:28">
      <c r="A384" s="145"/>
      <c r="B384" s="342"/>
      <c r="C384" s="342"/>
      <c r="D384" s="342"/>
      <c r="F384" s="143"/>
      <c r="G384" s="145"/>
      <c r="H384" s="143"/>
      <c r="I384" s="143"/>
      <c r="J384" s="143"/>
      <c r="K384" s="342"/>
      <c r="L384" s="342"/>
      <c r="M384" s="143"/>
      <c r="N384" s="143"/>
      <c r="O384" s="143"/>
      <c r="P384" s="143"/>
      <c r="Q384" s="143"/>
      <c r="R384" s="143"/>
      <c r="S384" s="143"/>
      <c r="T384" s="143"/>
      <c r="U384" s="143"/>
      <c r="V384" s="143"/>
      <c r="W384" s="143"/>
      <c r="X384" s="143"/>
      <c r="Y384" s="143"/>
      <c r="Z384" s="261"/>
      <c r="AA384" s="261"/>
      <c r="AB384" s="142"/>
    </row>
    <row r="385" spans="1:28">
      <c r="A385" s="145"/>
      <c r="B385" s="342"/>
      <c r="C385" s="342"/>
      <c r="D385" s="342"/>
      <c r="F385" s="143"/>
      <c r="G385" s="145"/>
      <c r="H385" s="143"/>
      <c r="I385" s="143"/>
      <c r="J385" s="143"/>
      <c r="K385" s="342"/>
      <c r="L385" s="342"/>
      <c r="M385" s="143"/>
      <c r="N385" s="143"/>
      <c r="O385" s="143"/>
      <c r="P385" s="143"/>
      <c r="Q385" s="143"/>
      <c r="R385" s="143"/>
      <c r="S385" s="143"/>
      <c r="T385" s="143"/>
      <c r="U385" s="143"/>
      <c r="V385" s="143"/>
      <c r="W385" s="143"/>
      <c r="X385" s="143"/>
      <c r="Y385" s="143"/>
      <c r="Z385" s="261"/>
      <c r="AA385" s="261"/>
      <c r="AB385" s="142"/>
    </row>
    <row r="386" spans="1:28">
      <c r="A386" s="145"/>
      <c r="B386" s="342"/>
      <c r="C386" s="342"/>
      <c r="D386" s="342"/>
      <c r="F386" s="143"/>
      <c r="G386" s="145"/>
      <c r="H386" s="143"/>
      <c r="I386" s="143"/>
      <c r="J386" s="143"/>
      <c r="K386" s="342"/>
      <c r="L386" s="342"/>
      <c r="M386" s="143"/>
      <c r="N386" s="143"/>
      <c r="O386" s="143"/>
      <c r="P386" s="143"/>
      <c r="Q386" s="143"/>
      <c r="R386" s="143"/>
      <c r="S386" s="143"/>
      <c r="T386" s="143"/>
      <c r="U386" s="143"/>
      <c r="V386" s="143"/>
      <c r="W386" s="143"/>
      <c r="X386" s="143"/>
      <c r="Y386" s="143"/>
      <c r="Z386" s="261"/>
      <c r="AA386" s="261"/>
      <c r="AB386" s="142"/>
    </row>
    <row r="387" spans="1:28">
      <c r="A387" s="145"/>
      <c r="B387" s="342"/>
      <c r="C387" s="342"/>
      <c r="D387" s="342"/>
      <c r="F387" s="143"/>
      <c r="G387" s="145"/>
      <c r="H387" s="143"/>
      <c r="I387" s="143"/>
      <c r="J387" s="143"/>
      <c r="K387" s="342"/>
      <c r="L387" s="342"/>
      <c r="M387" s="143"/>
      <c r="N387" s="143"/>
      <c r="O387" s="143"/>
      <c r="P387" s="143"/>
      <c r="Q387" s="143"/>
      <c r="R387" s="143"/>
      <c r="S387" s="143"/>
      <c r="T387" s="143"/>
      <c r="U387" s="143"/>
      <c r="V387" s="143"/>
      <c r="W387" s="143"/>
      <c r="X387" s="143"/>
      <c r="Y387" s="143"/>
      <c r="Z387" s="261"/>
      <c r="AA387" s="261"/>
      <c r="AB387" s="142"/>
    </row>
    <row r="388" spans="1:28">
      <c r="A388" s="145"/>
      <c r="B388" s="342"/>
      <c r="C388" s="342"/>
      <c r="D388" s="342"/>
      <c r="F388" s="143"/>
      <c r="G388" s="145"/>
      <c r="H388" s="143"/>
      <c r="I388" s="143"/>
      <c r="J388" s="143"/>
      <c r="K388" s="342"/>
      <c r="L388" s="342"/>
      <c r="M388" s="143"/>
      <c r="N388" s="143"/>
      <c r="O388" s="143"/>
      <c r="P388" s="143"/>
      <c r="Q388" s="143"/>
      <c r="R388" s="143"/>
      <c r="S388" s="143"/>
      <c r="T388" s="143"/>
      <c r="U388" s="143"/>
      <c r="V388" s="143"/>
      <c r="W388" s="143"/>
      <c r="X388" s="143"/>
      <c r="Y388" s="143"/>
      <c r="Z388" s="261"/>
      <c r="AA388" s="261"/>
      <c r="AB388" s="142"/>
    </row>
    <row r="389" spans="1:28">
      <c r="A389" s="145"/>
      <c r="B389" s="342"/>
      <c r="C389" s="342"/>
      <c r="D389" s="342"/>
      <c r="F389" s="143"/>
      <c r="G389" s="145"/>
      <c r="H389" s="143"/>
      <c r="I389" s="143"/>
      <c r="J389" s="143"/>
      <c r="K389" s="342"/>
      <c r="L389" s="342"/>
      <c r="M389" s="143"/>
      <c r="N389" s="143"/>
      <c r="O389" s="143"/>
      <c r="P389" s="143"/>
      <c r="Q389" s="143"/>
      <c r="R389" s="143"/>
      <c r="S389" s="143"/>
      <c r="T389" s="143"/>
      <c r="U389" s="143"/>
      <c r="V389" s="143"/>
      <c r="W389" s="143"/>
      <c r="X389" s="143"/>
      <c r="Y389" s="143"/>
      <c r="Z389" s="261"/>
      <c r="AA389" s="261"/>
      <c r="AB389" s="142"/>
    </row>
    <row r="390" spans="1:28">
      <c r="A390" s="145"/>
      <c r="B390" s="342"/>
      <c r="C390" s="342"/>
      <c r="D390" s="342"/>
      <c r="F390" s="143"/>
      <c r="G390" s="145"/>
      <c r="H390" s="143"/>
      <c r="I390" s="143"/>
      <c r="J390" s="143"/>
      <c r="K390" s="342"/>
      <c r="L390" s="342"/>
      <c r="M390" s="143"/>
      <c r="N390" s="143"/>
      <c r="O390" s="143"/>
      <c r="P390" s="143"/>
      <c r="Q390" s="143"/>
      <c r="R390" s="143"/>
      <c r="S390" s="143"/>
      <c r="T390" s="143"/>
      <c r="U390" s="143"/>
      <c r="V390" s="143"/>
      <c r="W390" s="143"/>
      <c r="X390" s="143"/>
      <c r="Y390" s="143"/>
      <c r="Z390" s="261"/>
      <c r="AA390" s="261"/>
      <c r="AB390" s="142"/>
    </row>
    <row r="391" spans="1:28">
      <c r="A391" s="145"/>
      <c r="B391" s="342"/>
      <c r="C391" s="342"/>
      <c r="D391" s="342"/>
      <c r="F391" s="143"/>
      <c r="G391" s="145"/>
      <c r="H391" s="143"/>
      <c r="I391" s="143"/>
      <c r="J391" s="143"/>
      <c r="K391" s="342"/>
      <c r="L391" s="342"/>
      <c r="M391" s="143"/>
      <c r="N391" s="143"/>
      <c r="O391" s="143"/>
      <c r="P391" s="143"/>
      <c r="Q391" s="143"/>
      <c r="R391" s="143"/>
      <c r="S391" s="143"/>
      <c r="T391" s="143"/>
      <c r="U391" s="143"/>
      <c r="V391" s="143"/>
      <c r="W391" s="143"/>
      <c r="X391" s="143"/>
      <c r="Y391" s="143"/>
      <c r="Z391" s="261"/>
      <c r="AA391" s="261"/>
      <c r="AB391" s="142"/>
    </row>
    <row r="392" spans="1:28">
      <c r="A392" s="145"/>
      <c r="B392" s="342"/>
      <c r="C392" s="342"/>
      <c r="D392" s="342"/>
      <c r="F392" s="143"/>
      <c r="G392" s="145"/>
      <c r="H392" s="143"/>
      <c r="I392" s="143"/>
      <c r="J392" s="143"/>
      <c r="K392" s="342"/>
      <c r="L392" s="342"/>
      <c r="M392" s="143"/>
      <c r="N392" s="143"/>
      <c r="O392" s="143"/>
      <c r="P392" s="143"/>
      <c r="Q392" s="143"/>
      <c r="R392" s="143"/>
      <c r="S392" s="143"/>
      <c r="T392" s="143"/>
      <c r="U392" s="143"/>
      <c r="V392" s="143"/>
      <c r="W392" s="143"/>
      <c r="X392" s="143"/>
      <c r="Y392" s="143"/>
      <c r="Z392" s="261"/>
      <c r="AA392" s="261"/>
      <c r="AB392" s="142"/>
    </row>
    <row r="393" spans="1:28">
      <c r="A393" s="145"/>
      <c r="B393" s="342"/>
      <c r="C393" s="342"/>
      <c r="D393" s="342"/>
      <c r="F393" s="143"/>
      <c r="G393" s="145"/>
      <c r="H393" s="143"/>
      <c r="I393" s="143"/>
      <c r="J393" s="143"/>
      <c r="K393" s="342"/>
      <c r="L393" s="342"/>
      <c r="M393" s="143"/>
      <c r="N393" s="143"/>
      <c r="O393" s="143"/>
      <c r="P393" s="143"/>
      <c r="Q393" s="143"/>
      <c r="R393" s="143"/>
      <c r="S393" s="143"/>
      <c r="T393" s="143"/>
      <c r="U393" s="143"/>
      <c r="V393" s="143"/>
      <c r="W393" s="143"/>
      <c r="X393" s="143"/>
      <c r="Y393" s="143"/>
      <c r="Z393" s="261"/>
      <c r="AA393" s="145"/>
      <c r="AB393" s="142"/>
    </row>
    <row r="394" spans="1:28">
      <c r="F394" s="143"/>
      <c r="G394" s="145"/>
      <c r="H394" s="143"/>
      <c r="I394" s="143"/>
      <c r="J394" s="143"/>
      <c r="K394" s="342"/>
      <c r="L394" s="342"/>
      <c r="M394" s="143"/>
      <c r="N394" s="143"/>
      <c r="O394" s="143"/>
      <c r="P394" s="143"/>
      <c r="Q394" s="143"/>
      <c r="R394" s="143"/>
      <c r="S394" s="143"/>
      <c r="T394" s="143"/>
      <c r="U394" s="143"/>
      <c r="V394" s="143"/>
      <c r="W394" s="143"/>
      <c r="X394" s="143"/>
      <c r="Y394" s="143"/>
      <c r="Z394" s="261"/>
      <c r="AA394" s="261"/>
      <c r="AB394" s="142"/>
    </row>
    <row r="395" spans="1:28">
      <c r="F395" s="143"/>
      <c r="G395" s="145"/>
      <c r="H395" s="143"/>
      <c r="I395" s="143"/>
      <c r="J395" s="143"/>
      <c r="K395" s="342"/>
      <c r="L395" s="342"/>
      <c r="M395" s="143"/>
      <c r="N395" s="143"/>
      <c r="O395" s="143"/>
      <c r="P395" s="143"/>
      <c r="Q395" s="143"/>
      <c r="R395" s="143"/>
      <c r="S395" s="143"/>
      <c r="T395" s="143"/>
      <c r="U395" s="143"/>
      <c r="V395" s="143"/>
      <c r="W395" s="143"/>
      <c r="X395" s="143"/>
      <c r="Y395" s="143"/>
      <c r="Z395" s="261"/>
      <c r="AA395" s="261"/>
      <c r="AB395" s="142"/>
    </row>
    <row r="396" spans="1:28">
      <c r="F396" s="143"/>
      <c r="G396" s="145"/>
      <c r="H396" s="143"/>
      <c r="I396" s="143"/>
      <c r="J396" s="143"/>
      <c r="K396" s="342"/>
      <c r="L396" s="342"/>
      <c r="M396" s="143"/>
      <c r="N396" s="143"/>
      <c r="O396" s="143"/>
      <c r="P396" s="143"/>
      <c r="Q396" s="143"/>
      <c r="R396" s="143"/>
      <c r="S396" s="143"/>
      <c r="T396" s="143"/>
      <c r="U396" s="143"/>
      <c r="V396" s="143"/>
      <c r="W396" s="143"/>
      <c r="X396" s="143"/>
      <c r="Y396" s="143"/>
      <c r="Z396" s="261"/>
      <c r="AA396" s="261"/>
      <c r="AB396" s="142"/>
    </row>
    <row r="397" spans="1:28">
      <c r="F397" s="143"/>
      <c r="G397" s="145"/>
      <c r="H397" s="143"/>
      <c r="I397" s="143"/>
      <c r="J397" s="143"/>
      <c r="K397" s="342"/>
      <c r="L397" s="342"/>
      <c r="M397" s="143"/>
      <c r="N397" s="143"/>
      <c r="O397" s="143"/>
      <c r="P397" s="143"/>
      <c r="Q397" s="143"/>
      <c r="R397" s="143"/>
      <c r="S397" s="143"/>
      <c r="T397" s="143"/>
      <c r="U397" s="143"/>
      <c r="V397" s="143"/>
      <c r="W397" s="143"/>
      <c r="X397" s="143"/>
      <c r="Y397" s="143"/>
      <c r="Z397" s="261"/>
      <c r="AA397" s="261"/>
      <c r="AB397" s="142"/>
    </row>
    <row r="398" spans="1:28">
      <c r="F398" s="143"/>
      <c r="G398" s="145"/>
      <c r="H398" s="143"/>
      <c r="I398" s="143"/>
      <c r="J398" s="143"/>
      <c r="K398" s="342"/>
      <c r="L398" s="342"/>
      <c r="M398" s="143"/>
      <c r="N398" s="143"/>
      <c r="O398" s="143"/>
      <c r="P398" s="143"/>
      <c r="Q398" s="143"/>
      <c r="R398" s="143"/>
      <c r="S398" s="143"/>
      <c r="T398" s="143"/>
      <c r="U398" s="143"/>
      <c r="V398" s="143"/>
      <c r="W398" s="143"/>
      <c r="X398" s="143"/>
      <c r="Y398" s="143"/>
      <c r="Z398" s="261"/>
      <c r="AA398" s="145"/>
      <c r="AB398" s="142"/>
    </row>
    <row r="399" spans="1:28">
      <c r="F399" s="143"/>
      <c r="G399" s="145"/>
      <c r="H399" s="143"/>
      <c r="I399" s="143"/>
      <c r="J399" s="143"/>
      <c r="K399" s="342"/>
      <c r="L399" s="342"/>
      <c r="M399" s="143"/>
      <c r="N399" s="143"/>
      <c r="O399" s="143"/>
      <c r="P399" s="143"/>
      <c r="Q399" s="143"/>
      <c r="R399" s="143"/>
      <c r="S399" s="143"/>
      <c r="T399" s="143"/>
      <c r="U399" s="143"/>
      <c r="V399" s="143"/>
      <c r="W399" s="143"/>
      <c r="X399" s="143"/>
      <c r="Y399" s="143"/>
      <c r="Z399" s="261"/>
      <c r="AA399" s="261"/>
      <c r="AB399" s="142"/>
    </row>
    <row r="400" spans="1:28">
      <c r="F400" s="143"/>
      <c r="G400" s="145"/>
      <c r="H400" s="143"/>
      <c r="I400" s="143"/>
      <c r="J400" s="143"/>
      <c r="K400" s="342"/>
      <c r="L400" s="342"/>
      <c r="M400" s="143"/>
      <c r="N400" s="143"/>
      <c r="O400" s="143"/>
      <c r="P400" s="143"/>
      <c r="Q400" s="143"/>
      <c r="R400" s="143"/>
      <c r="S400" s="143"/>
      <c r="T400" s="143"/>
      <c r="U400" s="143"/>
      <c r="V400" s="143"/>
      <c r="W400" s="143"/>
      <c r="X400" s="143"/>
      <c r="Y400" s="143"/>
      <c r="Z400" s="261"/>
      <c r="AA400" s="145"/>
      <c r="AB400" s="142"/>
    </row>
    <row r="401" spans="6:28">
      <c r="F401" s="143"/>
      <c r="G401" s="145"/>
      <c r="H401" s="143"/>
      <c r="I401" s="143"/>
      <c r="J401" s="143"/>
      <c r="K401" s="342"/>
      <c r="L401" s="342"/>
      <c r="M401" s="143"/>
      <c r="N401" s="143"/>
      <c r="O401" s="143"/>
      <c r="P401" s="143"/>
      <c r="Q401" s="143"/>
      <c r="R401" s="143"/>
      <c r="S401" s="143"/>
      <c r="T401" s="143"/>
      <c r="U401" s="143"/>
      <c r="V401" s="143"/>
      <c r="W401" s="143"/>
      <c r="X401" s="143"/>
      <c r="Y401" s="143"/>
      <c r="Z401" s="261"/>
      <c r="AA401" s="261"/>
      <c r="AB401" s="142"/>
    </row>
    <row r="402" spans="6:28">
      <c r="F402" s="143"/>
      <c r="G402" s="145"/>
      <c r="H402" s="143"/>
      <c r="I402" s="143"/>
      <c r="J402" s="143"/>
      <c r="K402" s="342"/>
      <c r="L402" s="342"/>
      <c r="M402" s="143"/>
      <c r="N402" s="143"/>
      <c r="O402" s="143"/>
      <c r="P402" s="143"/>
      <c r="Q402" s="143"/>
      <c r="R402" s="143"/>
      <c r="S402" s="143"/>
      <c r="T402" s="143"/>
      <c r="U402" s="143"/>
      <c r="V402" s="143"/>
      <c r="W402" s="143"/>
      <c r="X402" s="143"/>
      <c r="Y402" s="143"/>
      <c r="Z402" s="261"/>
      <c r="AA402" s="261"/>
      <c r="AB402" s="142"/>
    </row>
    <row r="403" spans="6:28">
      <c r="F403" s="143"/>
      <c r="G403" s="145"/>
      <c r="H403" s="143"/>
      <c r="I403" s="143"/>
      <c r="J403" s="143"/>
      <c r="K403" s="342"/>
      <c r="L403" s="342"/>
      <c r="M403" s="143"/>
      <c r="N403" s="143"/>
      <c r="O403" s="143"/>
      <c r="P403" s="143"/>
      <c r="Q403" s="143"/>
      <c r="R403" s="143"/>
      <c r="S403" s="143"/>
      <c r="T403" s="143"/>
      <c r="U403" s="143"/>
      <c r="V403" s="143"/>
      <c r="W403" s="143"/>
      <c r="X403" s="143"/>
      <c r="Y403" s="143"/>
      <c r="Z403" s="261"/>
      <c r="AA403" s="261"/>
      <c r="AB403" s="142"/>
    </row>
    <row r="404" spans="6:28">
      <c r="F404" s="143"/>
      <c r="G404" s="145"/>
      <c r="H404" s="143"/>
      <c r="I404" s="143"/>
      <c r="J404" s="143"/>
      <c r="K404" s="342"/>
      <c r="L404" s="342"/>
      <c r="M404" s="143"/>
      <c r="N404" s="143"/>
      <c r="O404" s="143"/>
      <c r="P404" s="143"/>
      <c r="Q404" s="143"/>
      <c r="R404" s="143"/>
      <c r="S404" s="143"/>
      <c r="T404" s="143"/>
      <c r="U404" s="143"/>
      <c r="V404" s="143"/>
      <c r="W404" s="143"/>
      <c r="X404" s="143"/>
      <c r="Y404" s="143"/>
      <c r="Z404" s="261"/>
      <c r="AA404" s="261"/>
      <c r="AB404" s="142"/>
    </row>
    <row r="405" spans="6:28">
      <c r="F405" s="143"/>
      <c r="G405" s="145"/>
      <c r="H405" s="143"/>
      <c r="I405" s="143"/>
      <c r="J405" s="143"/>
      <c r="K405" s="342"/>
      <c r="L405" s="342"/>
      <c r="M405" s="143"/>
      <c r="N405" s="143"/>
      <c r="O405" s="143"/>
      <c r="P405" s="143"/>
      <c r="Q405" s="143"/>
      <c r="R405" s="143"/>
      <c r="S405" s="143"/>
      <c r="T405" s="143"/>
      <c r="U405" s="143"/>
      <c r="V405" s="143"/>
      <c r="W405" s="143"/>
      <c r="X405" s="143"/>
      <c r="Y405" s="143"/>
      <c r="Z405" s="261"/>
      <c r="AA405" s="261"/>
      <c r="AB405" s="142"/>
    </row>
    <row r="406" spans="6:28">
      <c r="F406" s="143"/>
      <c r="G406" s="145"/>
      <c r="H406" s="143"/>
      <c r="I406" s="143"/>
      <c r="J406" s="143"/>
      <c r="K406" s="342"/>
      <c r="L406" s="342"/>
      <c r="M406" s="143"/>
      <c r="N406" s="143"/>
      <c r="O406" s="143"/>
      <c r="P406" s="143"/>
      <c r="Q406" s="143"/>
      <c r="R406" s="143"/>
      <c r="S406" s="143"/>
      <c r="T406" s="143"/>
      <c r="U406" s="143"/>
      <c r="V406" s="143"/>
      <c r="W406" s="143"/>
      <c r="X406" s="143"/>
      <c r="Y406" s="143"/>
      <c r="Z406" s="261"/>
      <c r="AA406" s="261"/>
      <c r="AB406" s="142"/>
    </row>
    <row r="407" spans="6:28">
      <c r="F407" s="143"/>
      <c r="G407" s="145"/>
      <c r="H407" s="143"/>
      <c r="I407" s="143"/>
      <c r="J407" s="143"/>
      <c r="K407" s="342"/>
      <c r="L407" s="342"/>
      <c r="M407" s="143"/>
      <c r="N407" s="143"/>
      <c r="O407" s="143"/>
      <c r="P407" s="143"/>
      <c r="Q407" s="143"/>
      <c r="R407" s="143"/>
      <c r="S407" s="143"/>
      <c r="T407" s="143"/>
      <c r="U407" s="143"/>
      <c r="V407" s="143"/>
      <c r="W407" s="143"/>
      <c r="X407" s="143"/>
      <c r="Y407" s="143"/>
      <c r="Z407" s="261"/>
      <c r="AA407" s="261"/>
      <c r="AB407" s="142"/>
    </row>
    <row r="408" spans="6:28">
      <c r="F408" s="143"/>
      <c r="G408" s="145"/>
      <c r="H408" s="143"/>
      <c r="I408" s="143"/>
      <c r="J408" s="143"/>
      <c r="K408" s="342"/>
      <c r="L408" s="342"/>
      <c r="M408" s="143"/>
      <c r="N408" s="143"/>
      <c r="O408" s="143"/>
      <c r="P408" s="143"/>
      <c r="Q408" s="143"/>
      <c r="R408" s="143"/>
      <c r="S408" s="143"/>
      <c r="T408" s="143"/>
      <c r="U408" s="143"/>
      <c r="V408" s="143"/>
      <c r="W408" s="143"/>
      <c r="X408" s="143"/>
      <c r="Y408" s="143"/>
      <c r="Z408" s="261"/>
      <c r="AA408" s="261"/>
      <c r="AB408" s="142"/>
    </row>
    <row r="409" spans="6:28">
      <c r="F409" s="143"/>
      <c r="G409" s="145"/>
      <c r="H409" s="143"/>
      <c r="I409" s="143"/>
      <c r="J409" s="143"/>
      <c r="K409" s="342"/>
      <c r="L409" s="342"/>
      <c r="M409" s="143"/>
      <c r="N409" s="143"/>
      <c r="O409" s="143"/>
      <c r="P409" s="143"/>
      <c r="Q409" s="143"/>
      <c r="R409" s="143"/>
      <c r="S409" s="143"/>
      <c r="T409" s="143"/>
      <c r="U409" s="143"/>
      <c r="V409" s="143"/>
      <c r="W409" s="143"/>
      <c r="X409" s="143"/>
      <c r="Y409" s="143"/>
      <c r="Z409" s="261"/>
      <c r="AA409" s="261"/>
      <c r="AB409" s="142"/>
    </row>
    <row r="410" spans="6:28">
      <c r="F410" s="143"/>
      <c r="G410" s="145"/>
      <c r="H410" s="143"/>
      <c r="I410" s="143"/>
      <c r="J410" s="143"/>
      <c r="K410" s="342"/>
      <c r="L410" s="342"/>
      <c r="M410" s="143"/>
      <c r="N410" s="143"/>
      <c r="O410" s="143"/>
      <c r="P410" s="143"/>
      <c r="Q410" s="143"/>
      <c r="R410" s="143"/>
      <c r="S410" s="143"/>
      <c r="T410" s="143"/>
      <c r="U410" s="143"/>
      <c r="V410" s="143"/>
      <c r="W410" s="143"/>
      <c r="X410" s="143"/>
      <c r="Y410" s="143"/>
      <c r="Z410" s="261"/>
      <c r="AA410" s="145"/>
      <c r="AB410" s="142"/>
    </row>
    <row r="411" spans="6:28">
      <c r="F411" s="143"/>
      <c r="G411" s="145"/>
      <c r="H411" s="143"/>
      <c r="I411" s="143"/>
      <c r="J411" s="143"/>
      <c r="K411" s="342"/>
      <c r="L411" s="342"/>
      <c r="M411" s="143"/>
      <c r="N411" s="143"/>
      <c r="O411" s="143"/>
      <c r="P411" s="143"/>
      <c r="Q411" s="143"/>
      <c r="R411" s="143"/>
      <c r="S411" s="143"/>
      <c r="T411" s="143"/>
      <c r="U411" s="143"/>
      <c r="V411" s="143"/>
      <c r="W411" s="143"/>
      <c r="X411" s="143"/>
      <c r="Y411" s="143"/>
      <c r="Z411" s="261"/>
      <c r="AA411" s="261"/>
      <c r="AB411" s="142"/>
    </row>
    <row r="412" spans="6:28">
      <c r="F412" s="143"/>
      <c r="G412" s="145"/>
      <c r="H412" s="143"/>
      <c r="I412" s="143"/>
      <c r="J412" s="143"/>
      <c r="K412" s="342"/>
      <c r="L412" s="342"/>
      <c r="M412" s="143"/>
      <c r="N412" s="143"/>
      <c r="O412" s="143"/>
      <c r="P412" s="143"/>
      <c r="Q412" s="143"/>
      <c r="R412" s="143"/>
      <c r="S412" s="143"/>
      <c r="T412" s="143"/>
      <c r="U412" s="143"/>
      <c r="V412" s="143"/>
      <c r="W412" s="143"/>
      <c r="X412" s="143"/>
      <c r="Y412" s="143"/>
      <c r="Z412" s="261"/>
      <c r="AA412" s="261"/>
      <c r="AB412" s="142"/>
    </row>
    <row r="413" spans="6:28">
      <c r="F413" s="143"/>
      <c r="G413" s="145"/>
      <c r="H413" s="143"/>
      <c r="I413" s="143"/>
      <c r="J413" s="143"/>
      <c r="K413" s="342"/>
      <c r="L413" s="342"/>
      <c r="M413" s="143"/>
      <c r="N413" s="143"/>
      <c r="O413" s="143"/>
      <c r="P413" s="143"/>
      <c r="Q413" s="143"/>
      <c r="R413" s="143"/>
      <c r="S413" s="143"/>
      <c r="T413" s="143"/>
      <c r="U413" s="143"/>
      <c r="V413" s="143"/>
      <c r="W413" s="143"/>
      <c r="X413" s="143"/>
      <c r="Y413" s="143"/>
      <c r="Z413" s="261"/>
      <c r="AA413" s="261"/>
      <c r="AB413" s="142"/>
    </row>
    <row r="414" spans="6:28">
      <c r="F414" s="143"/>
      <c r="G414" s="145"/>
      <c r="H414" s="143"/>
      <c r="I414" s="143"/>
      <c r="J414" s="143"/>
      <c r="K414" s="342"/>
      <c r="L414" s="342"/>
      <c r="M414" s="143"/>
      <c r="N414" s="143"/>
      <c r="O414" s="143"/>
      <c r="P414" s="143"/>
      <c r="Q414" s="143"/>
      <c r="R414" s="143"/>
      <c r="S414" s="143"/>
      <c r="T414" s="143"/>
      <c r="U414" s="143"/>
      <c r="V414" s="143"/>
      <c r="W414" s="143"/>
      <c r="X414" s="143"/>
      <c r="Y414" s="143"/>
      <c r="Z414" s="261"/>
      <c r="AA414" s="261"/>
      <c r="AB414" s="142"/>
    </row>
    <row r="415" spans="6:28">
      <c r="F415" s="143"/>
      <c r="G415" s="145"/>
      <c r="H415" s="143"/>
      <c r="I415" s="143"/>
      <c r="J415" s="143"/>
      <c r="K415" s="342"/>
      <c r="L415" s="342"/>
      <c r="M415" s="143"/>
      <c r="N415" s="143"/>
      <c r="O415" s="143"/>
      <c r="P415" s="143"/>
      <c r="Q415" s="143"/>
      <c r="R415" s="143"/>
      <c r="S415" s="143"/>
      <c r="T415" s="143"/>
      <c r="U415" s="143"/>
      <c r="V415" s="143"/>
      <c r="W415" s="143"/>
      <c r="X415" s="143"/>
      <c r="Y415" s="143"/>
      <c r="Z415" s="261"/>
      <c r="AA415" s="261"/>
      <c r="AB415" s="142"/>
    </row>
    <row r="416" spans="6:28">
      <c r="F416" s="143"/>
      <c r="G416" s="145"/>
      <c r="H416" s="143"/>
      <c r="I416" s="143"/>
      <c r="J416" s="143"/>
      <c r="K416" s="342"/>
      <c r="L416" s="342"/>
      <c r="M416" s="143"/>
      <c r="N416" s="143"/>
      <c r="O416" s="143"/>
      <c r="P416" s="143"/>
      <c r="Q416" s="143"/>
      <c r="R416" s="143"/>
      <c r="S416" s="143"/>
      <c r="T416" s="143"/>
      <c r="U416" s="143"/>
      <c r="V416" s="143"/>
      <c r="W416" s="143"/>
      <c r="X416" s="143"/>
      <c r="Y416" s="143"/>
      <c r="Z416" s="261"/>
      <c r="AA416" s="261"/>
      <c r="AB416" s="142"/>
    </row>
    <row r="417" spans="6:28">
      <c r="F417" s="143"/>
      <c r="G417" s="145"/>
      <c r="H417" s="143"/>
      <c r="I417" s="143"/>
      <c r="J417" s="143"/>
      <c r="K417" s="342"/>
      <c r="L417" s="342"/>
      <c r="M417" s="143"/>
      <c r="N417" s="143"/>
      <c r="O417" s="143"/>
      <c r="P417" s="143"/>
      <c r="Q417" s="143"/>
      <c r="R417" s="143"/>
      <c r="S417" s="143"/>
      <c r="T417" s="143"/>
      <c r="U417" s="143"/>
      <c r="V417" s="143"/>
      <c r="W417" s="143"/>
      <c r="X417" s="143"/>
      <c r="Y417" s="143"/>
      <c r="Z417" s="145"/>
      <c r="AA417" s="145"/>
      <c r="AB417" s="142"/>
    </row>
    <row r="418" spans="6:28">
      <c r="F418" s="143"/>
      <c r="G418" s="145"/>
      <c r="H418" s="143"/>
      <c r="I418" s="143"/>
      <c r="J418" s="143"/>
      <c r="K418" s="342"/>
      <c r="L418" s="342"/>
      <c r="M418" s="143"/>
      <c r="N418" s="143"/>
      <c r="O418" s="143"/>
      <c r="P418" s="143"/>
      <c r="Q418" s="143"/>
      <c r="R418" s="143"/>
      <c r="S418" s="143"/>
      <c r="T418" s="143"/>
      <c r="U418" s="143"/>
      <c r="V418" s="143"/>
      <c r="W418" s="143"/>
      <c r="X418" s="143"/>
      <c r="Y418" s="143"/>
      <c r="Z418" s="145"/>
      <c r="AA418" s="145"/>
      <c r="AB418" s="142"/>
    </row>
    <row r="419" spans="6:28">
      <c r="F419" s="143"/>
      <c r="G419" s="145"/>
      <c r="H419" s="143"/>
      <c r="I419" s="143"/>
      <c r="J419" s="143"/>
      <c r="K419" s="342"/>
      <c r="L419" s="342"/>
      <c r="M419" s="143"/>
      <c r="N419" s="143"/>
      <c r="O419" s="143"/>
      <c r="P419" s="143"/>
      <c r="Q419" s="143"/>
      <c r="R419" s="143"/>
      <c r="S419" s="143"/>
      <c r="T419" s="143"/>
      <c r="U419" s="143"/>
      <c r="V419" s="143"/>
      <c r="W419" s="143"/>
      <c r="X419" s="143"/>
      <c r="Y419" s="143"/>
      <c r="Z419" s="145"/>
      <c r="AA419" s="145"/>
      <c r="AB419" s="142"/>
    </row>
    <row r="420" spans="6:28">
      <c r="F420" s="143"/>
      <c r="G420" s="145"/>
      <c r="H420" s="143"/>
      <c r="I420" s="143"/>
      <c r="J420" s="143"/>
      <c r="K420" s="342"/>
      <c r="L420" s="342"/>
      <c r="M420" s="143"/>
      <c r="N420" s="143"/>
      <c r="O420" s="143"/>
      <c r="P420" s="143"/>
      <c r="Q420" s="143"/>
      <c r="R420" s="143"/>
      <c r="S420" s="143"/>
      <c r="T420" s="143"/>
      <c r="U420" s="143"/>
      <c r="V420" s="143"/>
      <c r="W420" s="143"/>
      <c r="X420" s="143"/>
      <c r="Y420" s="143"/>
      <c r="Z420" s="145"/>
      <c r="AA420" s="145"/>
      <c r="AB420" s="142"/>
    </row>
    <row r="421" spans="6:28">
      <c r="F421" s="143"/>
      <c r="G421" s="145"/>
      <c r="H421" s="143"/>
      <c r="I421" s="143"/>
      <c r="J421" s="143"/>
      <c r="K421" s="342"/>
      <c r="L421" s="342"/>
      <c r="M421" s="143"/>
      <c r="N421" s="143"/>
      <c r="O421" s="143"/>
      <c r="P421" s="143"/>
      <c r="Q421" s="143"/>
      <c r="R421" s="143"/>
      <c r="S421" s="143"/>
      <c r="T421" s="143"/>
      <c r="U421" s="143"/>
      <c r="V421" s="143"/>
      <c r="W421" s="143"/>
      <c r="X421" s="143"/>
      <c r="Y421" s="143"/>
      <c r="Z421" s="145"/>
      <c r="AA421" s="145"/>
      <c r="AB421" s="142"/>
    </row>
    <row r="422" spans="6:28">
      <c r="F422" s="143"/>
      <c r="G422" s="145"/>
      <c r="H422" s="143"/>
      <c r="I422" s="143"/>
      <c r="J422" s="143"/>
      <c r="K422" s="342"/>
      <c r="L422" s="342"/>
      <c r="M422" s="143"/>
      <c r="N422" s="143"/>
      <c r="O422" s="143"/>
      <c r="P422" s="143"/>
      <c r="Q422" s="143"/>
      <c r="R422" s="143"/>
      <c r="S422" s="143"/>
      <c r="T422" s="143"/>
      <c r="U422" s="143"/>
      <c r="V422" s="143"/>
      <c r="W422" s="143"/>
      <c r="X422" s="143"/>
      <c r="Y422" s="143"/>
      <c r="Z422" s="145"/>
      <c r="AA422" s="145"/>
      <c r="AB422" s="142"/>
    </row>
    <row r="423" spans="6:28">
      <c r="F423" s="143"/>
      <c r="G423" s="145"/>
      <c r="H423" s="143"/>
      <c r="I423" s="143"/>
      <c r="J423" s="143"/>
      <c r="K423" s="342"/>
      <c r="L423" s="342"/>
      <c r="M423" s="143"/>
      <c r="N423" s="143"/>
      <c r="O423" s="143"/>
      <c r="P423" s="143"/>
      <c r="Q423" s="143"/>
      <c r="R423" s="143"/>
      <c r="S423" s="143"/>
      <c r="T423" s="143"/>
      <c r="U423" s="143"/>
      <c r="V423" s="143"/>
      <c r="W423" s="143"/>
      <c r="X423" s="143"/>
      <c r="Y423" s="143"/>
      <c r="Z423" s="145"/>
      <c r="AA423" s="145"/>
      <c r="AB423" s="142"/>
    </row>
    <row r="424" spans="6:28">
      <c r="F424" s="143"/>
      <c r="G424" s="145"/>
      <c r="H424" s="143"/>
      <c r="I424" s="143"/>
      <c r="J424" s="143"/>
      <c r="K424" s="342"/>
      <c r="L424" s="342"/>
      <c r="M424" s="143"/>
      <c r="N424" s="143"/>
      <c r="O424" s="143"/>
      <c r="P424" s="143"/>
      <c r="Q424" s="143"/>
      <c r="R424" s="143"/>
      <c r="S424" s="143"/>
      <c r="T424" s="143"/>
      <c r="U424" s="143"/>
      <c r="V424" s="143"/>
      <c r="W424" s="143"/>
      <c r="X424" s="143"/>
      <c r="Y424" s="143"/>
      <c r="Z424" s="145"/>
      <c r="AA424" s="145"/>
      <c r="AB424" s="142"/>
    </row>
    <row r="425" spans="6:28">
      <c r="F425" s="143"/>
      <c r="G425" s="145"/>
      <c r="H425" s="143"/>
      <c r="I425" s="143"/>
      <c r="J425" s="143"/>
      <c r="K425" s="342"/>
      <c r="L425" s="342"/>
      <c r="M425" s="143"/>
      <c r="N425" s="143"/>
      <c r="O425" s="143"/>
      <c r="P425" s="143"/>
      <c r="Q425" s="143"/>
      <c r="R425" s="143"/>
      <c r="S425" s="143"/>
      <c r="T425" s="143"/>
      <c r="U425" s="143"/>
      <c r="V425" s="143"/>
      <c r="W425" s="143"/>
      <c r="X425" s="143"/>
      <c r="Y425" s="143"/>
      <c r="Z425" s="145"/>
      <c r="AA425" s="145"/>
      <c r="AB425" s="142"/>
    </row>
    <row r="426" spans="6:28">
      <c r="F426" s="143"/>
      <c r="G426" s="145"/>
      <c r="H426" s="143"/>
      <c r="I426" s="143"/>
      <c r="J426" s="143"/>
      <c r="K426" s="342"/>
      <c r="L426" s="342"/>
      <c r="M426" s="143"/>
      <c r="N426" s="143"/>
      <c r="O426" s="143"/>
      <c r="P426" s="143"/>
      <c r="Q426" s="143"/>
      <c r="R426" s="143"/>
      <c r="S426" s="143"/>
      <c r="T426" s="143"/>
      <c r="U426" s="143"/>
      <c r="V426" s="143"/>
      <c r="W426" s="143"/>
      <c r="X426" s="143"/>
      <c r="Y426" s="143"/>
      <c r="Z426" s="145"/>
      <c r="AA426" s="145"/>
      <c r="AB426" s="142"/>
    </row>
    <row r="427" spans="6:28">
      <c r="F427" s="143"/>
      <c r="G427" s="145"/>
      <c r="H427" s="143"/>
      <c r="I427" s="143"/>
      <c r="J427" s="143"/>
      <c r="K427" s="342"/>
      <c r="L427" s="342"/>
      <c r="M427" s="143"/>
      <c r="N427" s="143"/>
      <c r="O427" s="143"/>
      <c r="P427" s="143"/>
      <c r="Q427" s="143"/>
      <c r="R427" s="143"/>
      <c r="S427" s="143"/>
      <c r="T427" s="143"/>
      <c r="U427" s="143"/>
      <c r="V427" s="143"/>
      <c r="W427" s="143"/>
      <c r="X427" s="143"/>
      <c r="Y427" s="143"/>
      <c r="Z427" s="145"/>
      <c r="AA427" s="145"/>
      <c r="AB427" s="142"/>
    </row>
    <row r="428" spans="6:28">
      <c r="F428" s="143"/>
      <c r="G428" s="145"/>
      <c r="H428" s="143"/>
      <c r="I428" s="143"/>
      <c r="J428" s="143"/>
      <c r="K428" s="342"/>
      <c r="L428" s="342"/>
      <c r="M428" s="143"/>
      <c r="N428" s="143"/>
      <c r="O428" s="143"/>
      <c r="P428" s="143"/>
      <c r="Q428" s="143"/>
      <c r="R428" s="143"/>
      <c r="S428" s="143"/>
      <c r="T428" s="143"/>
      <c r="U428" s="143"/>
      <c r="V428" s="143"/>
      <c r="W428" s="143"/>
      <c r="X428" s="143"/>
      <c r="Y428" s="143"/>
      <c r="Z428" s="145"/>
      <c r="AA428" s="145"/>
      <c r="AB428" s="142"/>
    </row>
    <row r="429" spans="6:28">
      <c r="F429" s="143"/>
      <c r="G429" s="145"/>
      <c r="H429" s="143"/>
      <c r="I429" s="143"/>
      <c r="J429" s="143"/>
      <c r="K429" s="342"/>
      <c r="L429" s="342"/>
      <c r="M429" s="143"/>
      <c r="N429" s="143"/>
      <c r="O429" s="143"/>
      <c r="P429" s="143"/>
      <c r="Q429" s="143"/>
      <c r="R429" s="143"/>
      <c r="S429" s="143"/>
      <c r="T429" s="143"/>
      <c r="U429" s="143"/>
      <c r="V429" s="143"/>
      <c r="W429" s="143"/>
      <c r="X429" s="143"/>
      <c r="Y429" s="143"/>
      <c r="Z429" s="145"/>
      <c r="AA429" s="145"/>
      <c r="AB429" s="142"/>
    </row>
    <row r="430" spans="6:28">
      <c r="F430" s="143"/>
      <c r="G430" s="145"/>
      <c r="H430" s="143"/>
      <c r="I430" s="143"/>
      <c r="J430" s="143"/>
      <c r="K430" s="342"/>
      <c r="L430" s="342"/>
      <c r="M430" s="143"/>
      <c r="N430" s="143"/>
      <c r="O430" s="143"/>
      <c r="P430" s="143"/>
      <c r="Q430" s="143"/>
      <c r="R430" s="143"/>
      <c r="S430" s="143"/>
      <c r="T430" s="143"/>
      <c r="U430" s="143"/>
      <c r="V430" s="143"/>
      <c r="W430" s="143"/>
      <c r="X430" s="143"/>
      <c r="Y430" s="143"/>
      <c r="Z430" s="145"/>
      <c r="AA430" s="145"/>
      <c r="AB430" s="142"/>
    </row>
    <row r="431" spans="6:28">
      <c r="F431" s="143"/>
      <c r="G431" s="145"/>
      <c r="H431" s="143"/>
      <c r="I431" s="143"/>
      <c r="J431" s="143"/>
      <c r="K431" s="342"/>
      <c r="L431" s="342"/>
      <c r="M431" s="143"/>
      <c r="N431" s="143"/>
      <c r="O431" s="143"/>
      <c r="P431" s="143"/>
      <c r="Q431" s="143"/>
      <c r="R431" s="143"/>
      <c r="S431" s="143"/>
      <c r="T431" s="143"/>
      <c r="U431" s="143"/>
      <c r="V431" s="143"/>
      <c r="W431" s="143"/>
      <c r="X431" s="143"/>
      <c r="Y431" s="143"/>
      <c r="Z431" s="145"/>
      <c r="AA431" s="145"/>
      <c r="AB431" s="142"/>
    </row>
    <row r="432" spans="6:28">
      <c r="F432" s="143"/>
      <c r="G432" s="145"/>
      <c r="H432" s="143"/>
      <c r="I432" s="143"/>
      <c r="J432" s="143"/>
      <c r="K432" s="342"/>
      <c r="L432" s="342"/>
      <c r="M432" s="143"/>
      <c r="N432" s="143"/>
      <c r="O432" s="143"/>
      <c r="P432" s="143"/>
      <c r="Q432" s="143"/>
      <c r="R432" s="143"/>
      <c r="S432" s="143"/>
      <c r="T432" s="143"/>
      <c r="U432" s="143"/>
      <c r="V432" s="143"/>
      <c r="W432" s="143"/>
      <c r="X432" s="143"/>
      <c r="Y432" s="143"/>
      <c r="Z432" s="145"/>
      <c r="AA432" s="145"/>
      <c r="AB432" s="142"/>
    </row>
    <row r="433" spans="6:28">
      <c r="F433" s="143"/>
      <c r="G433" s="145"/>
      <c r="H433" s="143"/>
      <c r="I433" s="143"/>
      <c r="J433" s="143"/>
      <c r="K433" s="342"/>
      <c r="L433" s="342"/>
      <c r="M433" s="143"/>
      <c r="N433" s="143"/>
      <c r="O433" s="143"/>
      <c r="P433" s="143"/>
      <c r="Q433" s="143"/>
      <c r="R433" s="143"/>
      <c r="S433" s="143"/>
      <c r="T433" s="143"/>
      <c r="U433" s="143"/>
      <c r="V433" s="143"/>
      <c r="W433" s="143"/>
      <c r="X433" s="143"/>
      <c r="Y433" s="143"/>
      <c r="Z433" s="145"/>
      <c r="AA433" s="145"/>
      <c r="AB433" s="142"/>
    </row>
    <row r="434" spans="6:28">
      <c r="F434" s="143"/>
      <c r="G434" s="145"/>
      <c r="H434" s="143"/>
      <c r="I434" s="143"/>
      <c r="J434" s="143"/>
      <c r="K434" s="342"/>
      <c r="L434" s="342"/>
      <c r="M434" s="143"/>
      <c r="N434" s="143"/>
      <c r="O434" s="143"/>
      <c r="P434" s="143"/>
      <c r="Q434" s="143"/>
      <c r="R434" s="143"/>
      <c r="S434" s="143"/>
      <c r="T434" s="143"/>
      <c r="U434" s="143"/>
      <c r="V434" s="143"/>
      <c r="W434" s="143"/>
      <c r="X434" s="143"/>
      <c r="Y434" s="143"/>
      <c r="Z434" s="145"/>
      <c r="AA434" s="145"/>
      <c r="AB434" s="142"/>
    </row>
    <row r="435" spans="6:28">
      <c r="F435" s="143"/>
      <c r="G435" s="145"/>
      <c r="H435" s="143"/>
      <c r="I435" s="143"/>
      <c r="J435" s="143"/>
      <c r="K435" s="342"/>
      <c r="L435" s="342"/>
      <c r="M435" s="143"/>
      <c r="N435" s="143"/>
      <c r="O435" s="143"/>
      <c r="P435" s="143"/>
      <c r="Q435" s="143"/>
      <c r="R435" s="143"/>
      <c r="S435" s="143"/>
      <c r="T435" s="143"/>
      <c r="U435" s="143"/>
      <c r="V435" s="143"/>
      <c r="W435" s="143"/>
      <c r="X435" s="143"/>
      <c r="Y435" s="143"/>
      <c r="Z435" s="145"/>
      <c r="AA435" s="261"/>
      <c r="AB435" s="142"/>
    </row>
    <row r="436" spans="6:28">
      <c r="F436" s="143"/>
      <c r="G436" s="145"/>
      <c r="H436" s="143"/>
      <c r="I436" s="143"/>
      <c r="J436" s="143"/>
      <c r="K436" s="342"/>
      <c r="L436" s="342"/>
      <c r="M436" s="143"/>
      <c r="N436" s="143"/>
      <c r="O436" s="143"/>
      <c r="P436" s="143"/>
      <c r="Q436" s="143"/>
      <c r="R436" s="143"/>
      <c r="S436" s="143"/>
      <c r="T436" s="143"/>
      <c r="U436" s="143"/>
      <c r="V436" s="143"/>
      <c r="W436" s="143"/>
      <c r="X436" s="143"/>
      <c r="Y436" s="143"/>
      <c r="Z436" s="145"/>
      <c r="AA436" s="261"/>
      <c r="AB436" s="142"/>
    </row>
    <row r="437" spans="6:28">
      <c r="F437" s="143"/>
      <c r="G437" s="145"/>
      <c r="H437" s="143"/>
      <c r="I437" s="143"/>
      <c r="J437" s="143"/>
      <c r="K437" s="342"/>
      <c r="L437" s="342"/>
      <c r="M437" s="143"/>
      <c r="N437" s="143"/>
      <c r="O437" s="143"/>
      <c r="P437" s="143"/>
      <c r="Q437" s="143"/>
      <c r="R437" s="143"/>
      <c r="S437" s="143"/>
      <c r="T437" s="143"/>
      <c r="U437" s="143"/>
      <c r="V437" s="143"/>
      <c r="W437" s="143"/>
      <c r="X437" s="143"/>
      <c r="Y437" s="143"/>
      <c r="Z437" s="145"/>
      <c r="AA437" s="145"/>
      <c r="AB437" s="142"/>
    </row>
    <row r="438" spans="6:28">
      <c r="F438" s="143"/>
      <c r="G438" s="145"/>
      <c r="H438" s="143"/>
      <c r="I438" s="143"/>
      <c r="J438" s="143"/>
      <c r="K438" s="342"/>
      <c r="L438" s="342"/>
      <c r="M438" s="143"/>
      <c r="N438" s="143"/>
      <c r="O438" s="143"/>
      <c r="P438" s="143"/>
      <c r="Q438" s="143"/>
      <c r="R438" s="143"/>
      <c r="S438" s="143"/>
      <c r="T438" s="143"/>
      <c r="U438" s="143"/>
      <c r="V438" s="143"/>
      <c r="W438" s="143"/>
      <c r="X438" s="143"/>
      <c r="Y438" s="143"/>
      <c r="Z438" s="145"/>
      <c r="AA438" s="145"/>
      <c r="AB438" s="142"/>
    </row>
    <row r="439" spans="6:28">
      <c r="F439" s="143"/>
      <c r="G439" s="145"/>
      <c r="H439" s="143"/>
      <c r="I439" s="143"/>
      <c r="J439" s="143"/>
      <c r="K439" s="342"/>
      <c r="L439" s="342"/>
      <c r="M439" s="143"/>
      <c r="N439" s="143"/>
      <c r="O439" s="143"/>
      <c r="P439" s="143"/>
      <c r="Q439" s="143"/>
      <c r="R439" s="143"/>
      <c r="S439" s="143"/>
      <c r="T439" s="143"/>
      <c r="U439" s="143"/>
      <c r="V439" s="143"/>
      <c r="W439" s="143"/>
      <c r="X439" s="143"/>
      <c r="Y439" s="143"/>
      <c r="Z439" s="145"/>
      <c r="AA439" s="145"/>
      <c r="AB439" s="142"/>
    </row>
    <row r="440" spans="6:28">
      <c r="F440" s="143"/>
      <c r="G440" s="145"/>
      <c r="H440" s="143"/>
      <c r="I440" s="143"/>
      <c r="J440" s="143"/>
      <c r="K440" s="342"/>
      <c r="L440" s="342"/>
      <c r="M440" s="143"/>
      <c r="N440" s="143"/>
      <c r="O440" s="143"/>
      <c r="P440" s="143"/>
      <c r="Q440" s="143"/>
      <c r="R440" s="143"/>
      <c r="S440" s="143"/>
      <c r="T440" s="143"/>
      <c r="U440" s="143"/>
      <c r="V440" s="143"/>
      <c r="W440" s="143"/>
      <c r="X440" s="143"/>
      <c r="Y440" s="143"/>
      <c r="Z440" s="145"/>
      <c r="AA440" s="145"/>
      <c r="AB440" s="142"/>
    </row>
    <row r="441" spans="6:28">
      <c r="F441" s="143"/>
      <c r="G441" s="145"/>
      <c r="H441" s="143"/>
      <c r="I441" s="143"/>
      <c r="J441" s="143"/>
      <c r="K441" s="342"/>
      <c r="L441" s="342"/>
      <c r="M441" s="143"/>
      <c r="N441" s="143"/>
      <c r="O441" s="143"/>
      <c r="P441" s="143"/>
      <c r="Q441" s="143"/>
      <c r="R441" s="143"/>
      <c r="S441" s="143"/>
      <c r="T441" s="143"/>
      <c r="U441" s="143"/>
      <c r="V441" s="143"/>
      <c r="W441" s="143"/>
      <c r="X441" s="143"/>
      <c r="Y441" s="143"/>
      <c r="Z441" s="145"/>
      <c r="AA441" s="145"/>
      <c r="AB441" s="142"/>
    </row>
    <row r="442" spans="6:28">
      <c r="F442" s="143"/>
      <c r="G442" s="145"/>
      <c r="H442" s="143"/>
      <c r="I442" s="143"/>
      <c r="J442" s="143"/>
      <c r="K442" s="342"/>
      <c r="L442" s="342"/>
      <c r="M442" s="143"/>
      <c r="N442" s="143"/>
      <c r="O442" s="143"/>
      <c r="P442" s="143"/>
      <c r="Q442" s="143"/>
      <c r="R442" s="143"/>
      <c r="S442" s="143"/>
      <c r="T442" s="143"/>
      <c r="U442" s="143"/>
      <c r="V442" s="143"/>
      <c r="W442" s="143"/>
      <c r="X442" s="143"/>
      <c r="Y442" s="143"/>
      <c r="Z442" s="145"/>
      <c r="AA442" s="145"/>
      <c r="AB442" s="142"/>
    </row>
    <row r="443" spans="6:28">
      <c r="F443" s="143"/>
      <c r="G443" s="145"/>
      <c r="H443" s="143"/>
      <c r="I443" s="143"/>
      <c r="J443" s="143"/>
      <c r="K443" s="342"/>
      <c r="L443" s="342"/>
      <c r="M443" s="143"/>
      <c r="N443" s="143"/>
      <c r="O443" s="143"/>
      <c r="P443" s="143"/>
      <c r="Q443" s="143"/>
      <c r="R443" s="143"/>
      <c r="S443" s="143"/>
      <c r="T443" s="143"/>
      <c r="U443" s="143"/>
      <c r="V443" s="143"/>
      <c r="W443" s="143"/>
      <c r="X443" s="143"/>
      <c r="Y443" s="143"/>
      <c r="Z443" s="145"/>
      <c r="AA443" s="145"/>
      <c r="AB443" s="142"/>
    </row>
    <row r="444" spans="6:28">
      <c r="F444" s="143"/>
      <c r="G444" s="145"/>
      <c r="H444" s="143"/>
      <c r="I444" s="143"/>
      <c r="J444" s="143"/>
      <c r="K444" s="342"/>
      <c r="L444" s="342"/>
      <c r="M444" s="143"/>
      <c r="N444" s="143"/>
      <c r="O444" s="143"/>
      <c r="P444" s="143"/>
      <c r="Q444" s="143"/>
      <c r="R444" s="143"/>
      <c r="S444" s="143"/>
      <c r="T444" s="143"/>
      <c r="U444" s="143"/>
      <c r="V444" s="143"/>
      <c r="W444" s="143"/>
      <c r="X444" s="143"/>
      <c r="Y444" s="143"/>
      <c r="Z444" s="145"/>
      <c r="AA444" s="145"/>
      <c r="AB444" s="142"/>
    </row>
    <row r="445" spans="6:28">
      <c r="F445" s="143"/>
      <c r="G445" s="145"/>
      <c r="H445" s="143"/>
      <c r="I445" s="143"/>
      <c r="J445" s="143"/>
      <c r="K445" s="342"/>
      <c r="L445" s="342"/>
      <c r="M445" s="143"/>
      <c r="N445" s="143"/>
      <c r="O445" s="143"/>
      <c r="P445" s="143"/>
      <c r="Q445" s="143"/>
      <c r="R445" s="143"/>
      <c r="S445" s="143"/>
      <c r="T445" s="143"/>
      <c r="U445" s="143"/>
      <c r="V445" s="143"/>
      <c r="W445" s="143"/>
      <c r="X445" s="143"/>
      <c r="Y445" s="143"/>
      <c r="Z445" s="145"/>
      <c r="AA445" s="261"/>
      <c r="AB445" s="142"/>
    </row>
    <row r="446" spans="6:28">
      <c r="F446" s="143"/>
      <c r="G446" s="145"/>
      <c r="H446" s="143"/>
      <c r="I446" s="143"/>
      <c r="J446" s="143"/>
      <c r="K446" s="342"/>
      <c r="L446" s="342"/>
      <c r="M446" s="143"/>
      <c r="N446" s="143"/>
      <c r="O446" s="143"/>
      <c r="P446" s="143"/>
      <c r="Q446" s="143"/>
      <c r="R446" s="143"/>
      <c r="S446" s="143"/>
      <c r="T446" s="143"/>
      <c r="U446" s="143"/>
      <c r="V446" s="143"/>
      <c r="W446" s="143"/>
      <c r="X446" s="143"/>
      <c r="Y446" s="143"/>
      <c r="Z446" s="145"/>
      <c r="AA446" s="145"/>
      <c r="AB446" s="142"/>
    </row>
    <row r="447" spans="6:28">
      <c r="F447" s="143"/>
      <c r="G447" s="145"/>
      <c r="H447" s="143"/>
      <c r="I447" s="143"/>
      <c r="J447" s="143"/>
      <c r="K447" s="342"/>
      <c r="L447" s="342"/>
      <c r="M447" s="143"/>
      <c r="N447" s="143"/>
      <c r="O447" s="143"/>
      <c r="P447" s="143"/>
      <c r="Q447" s="143"/>
      <c r="R447" s="143"/>
      <c r="S447" s="143"/>
      <c r="T447" s="143"/>
      <c r="U447" s="143"/>
      <c r="V447" s="143"/>
      <c r="W447" s="143"/>
      <c r="X447" s="143"/>
      <c r="Y447" s="143"/>
      <c r="Z447" s="145"/>
      <c r="AA447" s="145"/>
      <c r="AB447" s="142"/>
    </row>
    <row r="448" spans="6:28">
      <c r="F448" s="143"/>
      <c r="G448" s="145"/>
      <c r="H448" s="143"/>
      <c r="I448" s="143"/>
      <c r="J448" s="143"/>
      <c r="K448" s="342"/>
      <c r="L448" s="342"/>
      <c r="M448" s="143"/>
      <c r="N448" s="143"/>
      <c r="O448" s="143"/>
      <c r="P448" s="143"/>
      <c r="Q448" s="143"/>
      <c r="R448" s="143"/>
      <c r="S448" s="143"/>
      <c r="T448" s="143"/>
      <c r="U448" s="143"/>
      <c r="V448" s="143"/>
      <c r="W448" s="143"/>
      <c r="X448" s="143"/>
      <c r="Y448" s="143"/>
      <c r="Z448" s="145"/>
      <c r="AA448" s="145"/>
      <c r="AB448" s="142"/>
    </row>
    <row r="449" spans="6:28">
      <c r="F449" s="143"/>
      <c r="G449" s="145"/>
      <c r="H449" s="143"/>
      <c r="I449" s="143"/>
      <c r="J449" s="143"/>
      <c r="K449" s="342"/>
      <c r="L449" s="342"/>
      <c r="M449" s="143"/>
      <c r="N449" s="143"/>
      <c r="O449" s="143"/>
      <c r="P449" s="143"/>
      <c r="Q449" s="143"/>
      <c r="R449" s="143"/>
      <c r="S449" s="143"/>
      <c r="T449" s="143"/>
      <c r="U449" s="143"/>
      <c r="V449" s="143"/>
      <c r="W449" s="143"/>
      <c r="X449" s="143"/>
      <c r="Y449" s="143"/>
      <c r="Z449" s="145"/>
      <c r="AA449" s="145"/>
      <c r="AB449" s="142"/>
    </row>
    <row r="450" spans="6:28">
      <c r="F450" s="143"/>
      <c r="G450" s="145"/>
      <c r="H450" s="143"/>
      <c r="I450" s="143"/>
      <c r="J450" s="143"/>
      <c r="K450" s="342"/>
      <c r="L450" s="342"/>
      <c r="M450" s="143"/>
      <c r="N450" s="143"/>
      <c r="O450" s="143"/>
      <c r="P450" s="143"/>
      <c r="Q450" s="143"/>
      <c r="R450" s="143"/>
      <c r="S450" s="143"/>
      <c r="T450" s="143"/>
      <c r="U450" s="143"/>
      <c r="V450" s="143"/>
      <c r="W450" s="143"/>
      <c r="X450" s="143"/>
      <c r="Y450" s="143"/>
      <c r="Z450" s="145"/>
      <c r="AA450" s="145"/>
      <c r="AB450" s="142"/>
    </row>
    <row r="451" spans="6:28">
      <c r="F451" s="143"/>
      <c r="G451" s="145"/>
      <c r="H451" s="143"/>
      <c r="I451" s="143"/>
      <c r="J451" s="143"/>
      <c r="K451" s="342"/>
      <c r="L451" s="342"/>
      <c r="M451" s="143"/>
      <c r="N451" s="143"/>
      <c r="O451" s="143"/>
      <c r="P451" s="143"/>
      <c r="Q451" s="143"/>
      <c r="R451" s="143"/>
      <c r="S451" s="143"/>
      <c r="T451" s="143"/>
      <c r="U451" s="143"/>
      <c r="V451" s="143"/>
      <c r="W451" s="143"/>
      <c r="X451" s="143"/>
      <c r="Y451" s="143"/>
      <c r="Z451" s="145"/>
      <c r="AA451" s="145"/>
      <c r="AB451" s="142"/>
    </row>
    <row r="452" spans="6:28">
      <c r="F452" s="143"/>
      <c r="G452" s="145"/>
      <c r="H452" s="143"/>
      <c r="I452" s="143"/>
      <c r="J452" s="143"/>
      <c r="K452" s="342"/>
      <c r="L452" s="342"/>
      <c r="M452" s="143"/>
      <c r="N452" s="143"/>
      <c r="O452" s="143"/>
      <c r="P452" s="143"/>
      <c r="Q452" s="143"/>
      <c r="R452" s="143"/>
      <c r="S452" s="143"/>
      <c r="T452" s="143"/>
      <c r="U452" s="143"/>
      <c r="V452" s="143"/>
      <c r="W452" s="143"/>
      <c r="X452" s="143"/>
      <c r="Y452" s="143"/>
      <c r="Z452" s="145"/>
      <c r="AA452" s="145"/>
      <c r="AB452" s="142"/>
    </row>
    <row r="453" spans="6:28">
      <c r="F453" s="143"/>
      <c r="G453" s="145"/>
      <c r="H453" s="143"/>
      <c r="I453" s="143"/>
      <c r="J453" s="143"/>
      <c r="K453" s="342"/>
      <c r="L453" s="342"/>
      <c r="M453" s="143"/>
      <c r="N453" s="143"/>
      <c r="O453" s="143"/>
      <c r="P453" s="143"/>
      <c r="Q453" s="143"/>
      <c r="R453" s="143"/>
      <c r="S453" s="143"/>
      <c r="T453" s="143"/>
      <c r="U453" s="143"/>
      <c r="V453" s="143"/>
      <c r="W453" s="143"/>
      <c r="X453" s="143"/>
      <c r="Y453" s="143"/>
      <c r="Z453" s="145"/>
      <c r="AA453" s="145"/>
      <c r="AB453" s="142"/>
    </row>
    <row r="454" spans="6:28">
      <c r="F454" s="143"/>
      <c r="G454" s="145"/>
      <c r="H454" s="143"/>
      <c r="I454" s="143"/>
      <c r="J454" s="143"/>
      <c r="K454" s="342"/>
      <c r="L454" s="342"/>
      <c r="M454" s="143"/>
      <c r="N454" s="143"/>
      <c r="O454" s="143"/>
      <c r="P454" s="143"/>
      <c r="Q454" s="143"/>
      <c r="R454" s="143"/>
      <c r="S454" s="143"/>
      <c r="T454" s="143"/>
      <c r="U454" s="143"/>
      <c r="V454" s="143"/>
      <c r="W454" s="143"/>
      <c r="X454" s="143"/>
      <c r="Y454" s="143"/>
      <c r="Z454" s="145"/>
      <c r="AA454" s="145"/>
      <c r="AB454" s="142"/>
    </row>
    <row r="455" spans="6:28">
      <c r="F455" s="143"/>
      <c r="G455" s="145"/>
      <c r="H455" s="143"/>
      <c r="I455" s="143"/>
      <c r="J455" s="143"/>
      <c r="K455" s="342"/>
      <c r="L455" s="342"/>
      <c r="M455" s="143"/>
      <c r="N455" s="143"/>
      <c r="O455" s="143"/>
      <c r="P455" s="143"/>
      <c r="Q455" s="143"/>
      <c r="R455" s="143"/>
      <c r="S455" s="143"/>
      <c r="T455" s="143"/>
      <c r="U455" s="143"/>
      <c r="V455" s="143"/>
      <c r="W455" s="143"/>
      <c r="X455" s="143"/>
      <c r="Y455" s="143"/>
      <c r="Z455" s="145"/>
      <c r="AA455" s="145"/>
      <c r="AB455" s="142"/>
    </row>
    <row r="456" spans="6:28">
      <c r="F456" s="143"/>
      <c r="G456" s="145"/>
      <c r="H456" s="143"/>
      <c r="I456" s="143"/>
      <c r="J456" s="143"/>
      <c r="K456" s="342"/>
      <c r="L456" s="342"/>
      <c r="M456" s="143"/>
      <c r="N456" s="143"/>
      <c r="O456" s="143"/>
      <c r="P456" s="143"/>
      <c r="Q456" s="143"/>
      <c r="R456" s="143"/>
      <c r="S456" s="143"/>
      <c r="T456" s="143"/>
      <c r="U456" s="143"/>
      <c r="V456" s="143"/>
      <c r="W456" s="143"/>
      <c r="X456" s="143"/>
      <c r="Y456" s="143"/>
      <c r="Z456" s="145"/>
      <c r="AA456" s="145"/>
      <c r="AB456" s="142"/>
    </row>
    <row r="457" spans="6:28">
      <c r="F457" s="143"/>
      <c r="G457" s="145"/>
      <c r="H457" s="143"/>
      <c r="I457" s="143"/>
      <c r="J457" s="143"/>
      <c r="K457" s="342"/>
      <c r="L457" s="342"/>
      <c r="M457" s="143"/>
      <c r="N457" s="143"/>
      <c r="O457" s="143"/>
      <c r="P457" s="143"/>
      <c r="Q457" s="143"/>
      <c r="R457" s="143"/>
      <c r="S457" s="143"/>
      <c r="T457" s="143"/>
      <c r="U457" s="143"/>
      <c r="V457" s="143"/>
      <c r="W457" s="143"/>
      <c r="X457" s="143"/>
      <c r="Y457" s="143"/>
      <c r="Z457" s="145"/>
      <c r="AA457" s="145"/>
      <c r="AB457" s="142"/>
    </row>
    <row r="458" spans="6:28">
      <c r="F458" s="143"/>
      <c r="G458" s="145"/>
      <c r="H458" s="143"/>
      <c r="I458" s="143"/>
      <c r="J458" s="143"/>
      <c r="K458" s="342"/>
      <c r="L458" s="342"/>
      <c r="M458" s="143"/>
      <c r="N458" s="143"/>
      <c r="O458" s="143"/>
      <c r="P458" s="143"/>
      <c r="Q458" s="143"/>
      <c r="R458" s="143"/>
      <c r="S458" s="143"/>
      <c r="T458" s="143"/>
      <c r="U458" s="143"/>
      <c r="V458" s="143"/>
      <c r="W458" s="143"/>
      <c r="X458" s="143"/>
      <c r="Y458" s="143"/>
      <c r="Z458" s="145"/>
      <c r="AA458" s="145"/>
      <c r="AB458" s="142"/>
    </row>
    <row r="459" spans="6:28">
      <c r="F459" s="143"/>
      <c r="G459" s="145"/>
      <c r="H459" s="143"/>
      <c r="I459" s="143"/>
      <c r="J459" s="143"/>
      <c r="K459" s="342"/>
      <c r="L459" s="342"/>
      <c r="M459" s="143"/>
      <c r="N459" s="143"/>
      <c r="O459" s="143"/>
      <c r="P459" s="143"/>
      <c r="Q459" s="143"/>
      <c r="R459" s="143"/>
      <c r="S459" s="143"/>
      <c r="T459" s="143"/>
      <c r="U459" s="143"/>
      <c r="V459" s="143"/>
      <c r="W459" s="143"/>
      <c r="X459" s="143"/>
      <c r="Y459" s="143"/>
      <c r="Z459" s="145"/>
      <c r="AA459" s="145"/>
      <c r="AB459" s="142"/>
    </row>
    <row r="460" spans="6:28">
      <c r="F460" s="143"/>
      <c r="G460" s="145"/>
      <c r="H460" s="143"/>
      <c r="I460" s="143"/>
      <c r="J460" s="143"/>
      <c r="K460" s="342"/>
      <c r="L460" s="342"/>
      <c r="M460" s="143"/>
      <c r="N460" s="143"/>
      <c r="O460" s="143"/>
      <c r="P460" s="143"/>
      <c r="Q460" s="143"/>
      <c r="R460" s="143"/>
      <c r="S460" s="143"/>
      <c r="T460" s="143"/>
      <c r="U460" s="143"/>
      <c r="V460" s="143"/>
      <c r="W460" s="143"/>
      <c r="X460" s="143"/>
      <c r="Y460" s="143"/>
      <c r="Z460" s="145"/>
      <c r="AA460" s="145"/>
      <c r="AB460" s="142"/>
    </row>
    <row r="461" spans="6:28">
      <c r="F461" s="143"/>
      <c r="G461" s="145"/>
      <c r="H461" s="143"/>
      <c r="I461" s="143"/>
      <c r="J461" s="143"/>
      <c r="K461" s="342"/>
      <c r="L461" s="342"/>
      <c r="M461" s="143"/>
      <c r="N461" s="143"/>
      <c r="O461" s="143"/>
      <c r="P461" s="143"/>
      <c r="Q461" s="143"/>
      <c r="R461" s="143"/>
      <c r="S461" s="143"/>
      <c r="T461" s="143"/>
      <c r="U461" s="143"/>
      <c r="V461" s="143"/>
      <c r="W461" s="143"/>
      <c r="X461" s="143"/>
      <c r="Y461" s="143"/>
      <c r="Z461" s="145"/>
      <c r="AA461" s="145"/>
      <c r="AB461" s="142"/>
    </row>
    <row r="462" spans="6:28">
      <c r="F462" s="143"/>
      <c r="G462" s="145"/>
      <c r="H462" s="143"/>
      <c r="I462" s="143"/>
      <c r="J462" s="143"/>
      <c r="K462" s="342"/>
      <c r="L462" s="342"/>
      <c r="M462" s="143"/>
      <c r="N462" s="143"/>
      <c r="O462" s="143"/>
      <c r="P462" s="143"/>
      <c r="Q462" s="143"/>
      <c r="R462" s="143"/>
      <c r="S462" s="143"/>
      <c r="T462" s="143"/>
      <c r="U462" s="143"/>
      <c r="V462" s="143"/>
      <c r="W462" s="143"/>
      <c r="X462" s="143"/>
      <c r="Y462" s="143"/>
      <c r="Z462" s="145"/>
      <c r="AA462" s="145"/>
      <c r="AB462" s="142"/>
    </row>
    <row r="463" spans="6:28">
      <c r="F463" s="143"/>
      <c r="G463" s="145"/>
      <c r="H463" s="143"/>
      <c r="I463" s="143"/>
      <c r="J463" s="143"/>
      <c r="K463" s="342"/>
      <c r="L463" s="342"/>
      <c r="M463" s="143"/>
      <c r="N463" s="143"/>
      <c r="O463" s="143"/>
      <c r="P463" s="143"/>
      <c r="Q463" s="143"/>
      <c r="R463" s="143"/>
      <c r="S463" s="143"/>
      <c r="T463" s="143"/>
      <c r="U463" s="143"/>
      <c r="V463" s="143"/>
      <c r="W463" s="143"/>
      <c r="X463" s="143"/>
      <c r="Y463" s="143"/>
      <c r="Z463" s="145"/>
      <c r="AA463" s="261"/>
      <c r="AB463" s="142"/>
    </row>
    <row r="464" spans="6:28">
      <c r="F464" s="143"/>
      <c r="G464" s="145"/>
      <c r="H464" s="143"/>
      <c r="I464" s="143"/>
      <c r="J464" s="143"/>
      <c r="K464" s="342"/>
      <c r="L464" s="342"/>
      <c r="M464" s="143"/>
      <c r="N464" s="143"/>
      <c r="O464" s="143"/>
      <c r="P464" s="143"/>
      <c r="Q464" s="143"/>
      <c r="R464" s="143"/>
      <c r="S464" s="143"/>
      <c r="T464" s="143"/>
      <c r="U464" s="143"/>
      <c r="V464" s="143"/>
      <c r="W464" s="143"/>
      <c r="X464" s="143"/>
      <c r="Y464" s="143"/>
      <c r="Z464" s="145"/>
      <c r="AA464" s="145"/>
      <c r="AB464" s="142"/>
    </row>
    <row r="465" spans="6:28">
      <c r="F465" s="143"/>
      <c r="G465" s="145"/>
      <c r="H465" s="143"/>
      <c r="I465" s="143"/>
      <c r="J465" s="143"/>
      <c r="K465" s="342"/>
      <c r="L465" s="342"/>
      <c r="M465" s="143"/>
      <c r="N465" s="143"/>
      <c r="O465" s="143"/>
      <c r="P465" s="143"/>
      <c r="Q465" s="143"/>
      <c r="R465" s="143"/>
      <c r="S465" s="143"/>
      <c r="T465" s="143"/>
      <c r="U465" s="143"/>
      <c r="V465" s="143"/>
      <c r="W465" s="143"/>
      <c r="X465" s="143"/>
      <c r="Y465" s="143"/>
      <c r="Z465" s="145"/>
      <c r="AA465" s="145"/>
      <c r="AB465" s="142"/>
    </row>
    <row r="466" spans="6:28">
      <c r="F466" s="143"/>
      <c r="G466" s="145"/>
      <c r="H466" s="143"/>
      <c r="I466" s="143"/>
      <c r="J466" s="143"/>
      <c r="K466" s="342"/>
      <c r="L466" s="342"/>
      <c r="M466" s="143"/>
      <c r="N466" s="143"/>
      <c r="O466" s="143"/>
      <c r="P466" s="143"/>
      <c r="Q466" s="143"/>
      <c r="R466" s="143"/>
      <c r="S466" s="143"/>
      <c r="T466" s="143"/>
      <c r="U466" s="143"/>
      <c r="V466" s="143"/>
      <c r="W466" s="143"/>
      <c r="X466" s="143"/>
      <c r="Y466" s="143"/>
      <c r="Z466" s="145"/>
      <c r="AA466" s="145"/>
      <c r="AB466" s="142"/>
    </row>
    <row r="467" spans="6:28">
      <c r="F467" s="143"/>
      <c r="G467" s="145"/>
      <c r="H467" s="143"/>
      <c r="I467" s="143"/>
      <c r="J467" s="143"/>
      <c r="K467" s="342"/>
      <c r="L467" s="342"/>
      <c r="M467" s="143"/>
      <c r="N467" s="143"/>
      <c r="O467" s="143"/>
      <c r="P467" s="143"/>
      <c r="Q467" s="143"/>
      <c r="R467" s="143"/>
      <c r="S467" s="143"/>
      <c r="T467" s="143"/>
      <c r="U467" s="143"/>
      <c r="V467" s="143"/>
      <c r="W467" s="143"/>
      <c r="X467" s="143"/>
      <c r="Y467" s="143"/>
      <c r="Z467" s="145"/>
      <c r="AA467" s="145"/>
      <c r="AB467" s="142"/>
    </row>
    <row r="468" spans="6:28">
      <c r="F468" s="143"/>
      <c r="G468" s="145"/>
      <c r="H468" s="143"/>
      <c r="I468" s="143"/>
      <c r="J468" s="143"/>
      <c r="K468" s="342"/>
      <c r="L468" s="342"/>
      <c r="M468" s="143"/>
      <c r="N468" s="143"/>
      <c r="O468" s="143"/>
      <c r="P468" s="143"/>
      <c r="Q468" s="143"/>
      <c r="R468" s="143"/>
      <c r="S468" s="143"/>
      <c r="T468" s="143"/>
      <c r="U468" s="143"/>
      <c r="V468" s="143"/>
      <c r="W468" s="143"/>
      <c r="X468" s="143"/>
      <c r="Y468" s="143"/>
      <c r="Z468" s="145"/>
      <c r="AA468" s="145"/>
      <c r="AB468" s="142"/>
    </row>
    <row r="469" spans="6:28">
      <c r="F469" s="143"/>
      <c r="G469" s="145"/>
      <c r="H469" s="143"/>
      <c r="I469" s="143"/>
      <c r="J469" s="143"/>
      <c r="K469" s="342"/>
      <c r="L469" s="342"/>
      <c r="M469" s="143"/>
      <c r="N469" s="143"/>
      <c r="O469" s="143"/>
      <c r="P469" s="143"/>
      <c r="Q469" s="143"/>
      <c r="R469" s="143"/>
      <c r="S469" s="143"/>
      <c r="T469" s="143"/>
      <c r="U469" s="143"/>
      <c r="V469" s="143"/>
      <c r="W469" s="143"/>
      <c r="X469" s="143"/>
      <c r="Y469" s="143"/>
      <c r="Z469" s="145"/>
      <c r="AA469" s="145"/>
      <c r="AB469" s="142"/>
    </row>
    <row r="470" spans="6:28">
      <c r="F470" s="143"/>
      <c r="G470" s="145"/>
      <c r="H470" s="143"/>
      <c r="I470" s="143"/>
      <c r="J470" s="143"/>
      <c r="K470" s="342"/>
      <c r="L470" s="342"/>
      <c r="M470" s="143"/>
      <c r="N470" s="143"/>
      <c r="O470" s="143"/>
      <c r="P470" s="143"/>
      <c r="Q470" s="143"/>
      <c r="R470" s="143"/>
      <c r="S470" s="143"/>
      <c r="T470" s="143"/>
      <c r="U470" s="143"/>
      <c r="V470" s="143"/>
      <c r="W470" s="143"/>
      <c r="X470" s="143"/>
      <c r="Y470" s="143"/>
      <c r="Z470" s="145"/>
      <c r="AA470" s="145"/>
      <c r="AB470" s="142"/>
    </row>
    <row r="471" spans="6:28">
      <c r="F471" s="143"/>
      <c r="G471" s="145"/>
      <c r="H471" s="143"/>
      <c r="I471" s="143"/>
      <c r="J471" s="143"/>
      <c r="K471" s="342"/>
      <c r="L471" s="342"/>
      <c r="M471" s="143"/>
      <c r="N471" s="143"/>
      <c r="O471" s="143"/>
      <c r="P471" s="143"/>
      <c r="Q471" s="143"/>
      <c r="R471" s="143"/>
      <c r="S471" s="143"/>
      <c r="T471" s="143"/>
      <c r="U471" s="143"/>
      <c r="V471" s="143"/>
      <c r="W471" s="143"/>
      <c r="X471" s="143"/>
      <c r="Y471" s="143"/>
      <c r="Z471" s="145"/>
      <c r="AA471" s="145"/>
      <c r="AB471" s="142"/>
    </row>
    <row r="472" spans="6:28">
      <c r="F472" s="143"/>
      <c r="G472" s="145"/>
      <c r="H472" s="143"/>
      <c r="I472" s="143"/>
      <c r="J472" s="143"/>
      <c r="K472" s="342"/>
      <c r="L472" s="342"/>
      <c r="M472" s="143"/>
      <c r="N472" s="143"/>
      <c r="O472" s="143"/>
      <c r="P472" s="143"/>
      <c r="Q472" s="143"/>
      <c r="R472" s="143"/>
      <c r="S472" s="143"/>
      <c r="T472" s="143"/>
      <c r="U472" s="143"/>
      <c r="V472" s="143"/>
      <c r="W472" s="143"/>
      <c r="X472" s="143"/>
      <c r="Y472" s="143"/>
      <c r="Z472" s="145"/>
      <c r="AA472" s="145"/>
      <c r="AB472" s="142"/>
    </row>
    <row r="473" spans="6:28">
      <c r="F473" s="143"/>
      <c r="G473" s="145"/>
      <c r="H473" s="143"/>
      <c r="I473" s="143"/>
      <c r="J473" s="143"/>
      <c r="K473" s="342"/>
      <c r="L473" s="342"/>
      <c r="M473" s="143"/>
      <c r="N473" s="143"/>
      <c r="O473" s="143"/>
      <c r="P473" s="143"/>
      <c r="Q473" s="143"/>
      <c r="R473" s="143"/>
      <c r="S473" s="143"/>
      <c r="T473" s="143"/>
      <c r="U473" s="143"/>
      <c r="V473" s="143"/>
      <c r="W473" s="143"/>
      <c r="X473" s="143"/>
      <c r="Y473" s="143"/>
      <c r="Z473" s="145"/>
      <c r="AA473" s="145"/>
      <c r="AB473" s="142"/>
    </row>
    <row r="474" spans="6:28">
      <c r="F474" s="143"/>
      <c r="G474" s="145"/>
      <c r="H474" s="143"/>
      <c r="I474" s="143"/>
      <c r="J474" s="143"/>
      <c r="K474" s="342"/>
      <c r="L474" s="342"/>
      <c r="M474" s="143"/>
      <c r="N474" s="143"/>
      <c r="O474" s="143"/>
      <c r="P474" s="143"/>
      <c r="Q474" s="143"/>
      <c r="R474" s="143"/>
      <c r="S474" s="143"/>
      <c r="T474" s="143"/>
      <c r="U474" s="143"/>
      <c r="V474" s="143"/>
      <c r="W474" s="143"/>
      <c r="X474" s="143"/>
      <c r="Y474" s="143"/>
      <c r="Z474" s="145"/>
      <c r="AA474" s="145"/>
      <c r="AB474" s="142"/>
    </row>
    <row r="475" spans="6:28">
      <c r="F475" s="143"/>
      <c r="G475" s="145"/>
      <c r="H475" s="143"/>
      <c r="I475" s="143"/>
      <c r="J475" s="143"/>
      <c r="K475" s="342"/>
      <c r="L475" s="342"/>
      <c r="M475" s="143"/>
      <c r="N475" s="143"/>
      <c r="O475" s="143"/>
      <c r="P475" s="143"/>
      <c r="Q475" s="143"/>
      <c r="R475" s="143"/>
      <c r="S475" s="143"/>
      <c r="T475" s="143"/>
      <c r="U475" s="143"/>
      <c r="V475" s="143"/>
      <c r="W475" s="143"/>
      <c r="X475" s="143"/>
      <c r="Y475" s="143"/>
      <c r="Z475" s="145"/>
      <c r="AA475" s="145"/>
      <c r="AB475" s="142"/>
    </row>
    <row r="476" spans="6:28">
      <c r="F476" s="143"/>
      <c r="G476" s="145"/>
      <c r="H476" s="143"/>
      <c r="I476" s="143"/>
      <c r="J476" s="143"/>
      <c r="K476" s="342"/>
      <c r="L476" s="342"/>
      <c r="M476" s="143"/>
      <c r="N476" s="143"/>
      <c r="O476" s="143"/>
      <c r="P476" s="143"/>
      <c r="Q476" s="143"/>
      <c r="R476" s="143"/>
      <c r="S476" s="143"/>
      <c r="T476" s="143"/>
      <c r="U476" s="143"/>
      <c r="V476" s="143"/>
      <c r="W476" s="143"/>
      <c r="X476" s="143"/>
      <c r="Y476" s="143"/>
      <c r="Z476" s="145"/>
      <c r="AA476" s="261"/>
      <c r="AB476" s="142"/>
    </row>
    <row r="477" spans="6:28">
      <c r="F477" s="143"/>
      <c r="G477" s="145"/>
      <c r="H477" s="143"/>
      <c r="I477" s="143"/>
      <c r="J477" s="143"/>
      <c r="K477" s="342"/>
      <c r="L477" s="342"/>
      <c r="M477" s="143"/>
      <c r="N477" s="143"/>
      <c r="O477" s="143"/>
      <c r="P477" s="143"/>
      <c r="Q477" s="143"/>
      <c r="R477" s="143"/>
      <c r="S477" s="143"/>
      <c r="T477" s="143"/>
      <c r="U477" s="143"/>
      <c r="V477" s="143"/>
      <c r="W477" s="143"/>
      <c r="X477" s="143"/>
      <c r="Y477" s="143"/>
      <c r="Z477" s="145"/>
      <c r="AA477" s="145"/>
      <c r="AB477" s="142"/>
    </row>
    <row r="478" spans="6:28">
      <c r="F478" s="143"/>
      <c r="G478" s="145"/>
      <c r="H478" s="143"/>
      <c r="I478" s="143"/>
      <c r="J478" s="143"/>
      <c r="K478" s="342"/>
      <c r="L478" s="342"/>
      <c r="M478" s="143"/>
      <c r="N478" s="143"/>
      <c r="O478" s="143"/>
      <c r="P478" s="143"/>
      <c r="Q478" s="143"/>
      <c r="R478" s="143"/>
      <c r="S478" s="143"/>
      <c r="T478" s="143"/>
      <c r="U478" s="143"/>
      <c r="V478" s="143"/>
      <c r="W478" s="143"/>
      <c r="X478" s="143"/>
      <c r="Y478" s="143"/>
      <c r="Z478" s="145"/>
      <c r="AA478" s="145"/>
      <c r="AB478" s="142"/>
    </row>
    <row r="479" spans="6:28">
      <c r="F479" s="143"/>
      <c r="G479" s="145"/>
      <c r="H479" s="143"/>
      <c r="I479" s="143"/>
      <c r="J479" s="143"/>
      <c r="K479" s="342"/>
      <c r="L479" s="342"/>
      <c r="M479" s="143"/>
      <c r="N479" s="143"/>
      <c r="O479" s="143"/>
      <c r="P479" s="143"/>
      <c r="Q479" s="143"/>
      <c r="R479" s="143"/>
      <c r="S479" s="143"/>
      <c r="T479" s="143"/>
      <c r="U479" s="143"/>
      <c r="V479" s="143"/>
      <c r="W479" s="143"/>
      <c r="X479" s="143"/>
      <c r="Y479" s="143"/>
      <c r="Z479" s="145"/>
      <c r="AA479" s="145"/>
      <c r="AB479" s="142"/>
    </row>
    <row r="480" spans="6:28">
      <c r="F480" s="143"/>
      <c r="G480" s="145"/>
      <c r="H480" s="143"/>
      <c r="I480" s="143"/>
      <c r="J480" s="143"/>
      <c r="K480" s="342"/>
      <c r="L480" s="342"/>
      <c r="M480" s="143"/>
      <c r="N480" s="143"/>
      <c r="O480" s="143"/>
      <c r="P480" s="143"/>
      <c r="Q480" s="143"/>
      <c r="R480" s="143"/>
      <c r="S480" s="143"/>
      <c r="T480" s="143"/>
      <c r="U480" s="143"/>
      <c r="V480" s="143"/>
      <c r="W480" s="143"/>
      <c r="X480" s="143"/>
      <c r="Y480" s="143"/>
      <c r="Z480" s="145"/>
      <c r="AA480" s="145"/>
      <c r="AB480" s="142"/>
    </row>
    <row r="481" spans="6:28">
      <c r="F481" s="143"/>
      <c r="G481" s="145"/>
      <c r="H481" s="143"/>
      <c r="I481" s="143"/>
      <c r="J481" s="143"/>
      <c r="K481" s="342"/>
      <c r="L481" s="342"/>
      <c r="M481" s="143"/>
      <c r="N481" s="143"/>
      <c r="O481" s="143"/>
      <c r="P481" s="143"/>
      <c r="Q481" s="143"/>
      <c r="R481" s="143"/>
      <c r="S481" s="143"/>
      <c r="T481" s="143"/>
      <c r="U481" s="143"/>
      <c r="V481" s="143"/>
      <c r="W481" s="143"/>
      <c r="X481" s="143"/>
      <c r="Y481" s="143"/>
      <c r="Z481" s="261"/>
      <c r="AA481" s="261"/>
      <c r="AB481" s="142"/>
    </row>
    <row r="482" spans="6:28">
      <c r="F482" s="143"/>
      <c r="G482" s="145"/>
      <c r="H482" s="143"/>
      <c r="I482" s="143"/>
      <c r="J482" s="143"/>
      <c r="K482" s="342"/>
      <c r="L482" s="342"/>
      <c r="M482" s="143"/>
      <c r="N482" s="143"/>
      <c r="O482" s="143"/>
      <c r="P482" s="143"/>
      <c r="Q482" s="143"/>
      <c r="R482" s="143"/>
      <c r="S482" s="143"/>
      <c r="T482" s="143"/>
      <c r="U482" s="143"/>
      <c r="V482" s="143"/>
      <c r="W482" s="143"/>
      <c r="X482" s="143"/>
      <c r="Y482" s="143"/>
      <c r="Z482" s="261"/>
      <c r="AA482" s="145"/>
      <c r="AB482" s="142"/>
    </row>
    <row r="483" spans="6:28">
      <c r="F483" s="143"/>
      <c r="G483" s="145"/>
      <c r="H483" s="143"/>
      <c r="I483" s="143"/>
      <c r="J483" s="143"/>
      <c r="K483" s="342"/>
      <c r="L483" s="342"/>
      <c r="M483" s="143"/>
      <c r="N483" s="143"/>
      <c r="O483" s="143"/>
      <c r="P483" s="143"/>
      <c r="Q483" s="143"/>
      <c r="R483" s="143"/>
      <c r="S483" s="143"/>
      <c r="T483" s="143"/>
      <c r="U483" s="143"/>
      <c r="V483" s="143"/>
      <c r="W483" s="143"/>
      <c r="X483" s="143"/>
      <c r="Y483" s="143"/>
      <c r="Z483" s="261"/>
      <c r="AA483" s="261"/>
      <c r="AB483" s="142"/>
    </row>
    <row r="484" spans="6:28">
      <c r="F484" s="143"/>
      <c r="G484" s="145"/>
      <c r="H484" s="143"/>
      <c r="I484" s="143"/>
      <c r="J484" s="143"/>
      <c r="K484" s="342"/>
      <c r="L484" s="342"/>
      <c r="M484" s="143"/>
      <c r="N484" s="143"/>
      <c r="O484" s="143"/>
      <c r="P484" s="143"/>
      <c r="Q484" s="143"/>
      <c r="R484" s="143"/>
      <c r="S484" s="143"/>
      <c r="T484" s="143"/>
      <c r="U484" s="143"/>
      <c r="V484" s="143"/>
      <c r="W484" s="143"/>
      <c r="X484" s="143"/>
      <c r="Y484" s="143"/>
      <c r="Z484" s="261"/>
      <c r="AA484" s="261"/>
      <c r="AB484" s="142"/>
    </row>
    <row r="485" spans="6:28">
      <c r="F485" s="143"/>
      <c r="G485" s="145"/>
      <c r="H485" s="143"/>
      <c r="I485" s="143"/>
      <c r="J485" s="143"/>
      <c r="K485" s="342"/>
      <c r="L485" s="342"/>
      <c r="M485" s="143"/>
      <c r="N485" s="143"/>
      <c r="O485" s="143"/>
      <c r="P485" s="143"/>
      <c r="Q485" s="143"/>
      <c r="R485" s="143"/>
      <c r="S485" s="143"/>
      <c r="T485" s="143"/>
      <c r="U485" s="143"/>
      <c r="V485" s="143"/>
      <c r="W485" s="143"/>
      <c r="X485" s="143"/>
      <c r="Y485" s="143"/>
      <c r="Z485" s="261"/>
      <c r="AA485" s="261"/>
      <c r="AB485" s="142"/>
    </row>
    <row r="486" spans="6:28">
      <c r="F486" s="143"/>
      <c r="G486" s="145"/>
      <c r="H486" s="143"/>
      <c r="I486" s="143"/>
      <c r="J486" s="143"/>
      <c r="K486" s="342"/>
      <c r="L486" s="342"/>
      <c r="M486" s="143"/>
      <c r="N486" s="143"/>
      <c r="O486" s="143"/>
      <c r="P486" s="143"/>
      <c r="Q486" s="143"/>
      <c r="R486" s="143"/>
      <c r="S486" s="143"/>
      <c r="T486" s="143"/>
      <c r="U486" s="143"/>
      <c r="V486" s="143"/>
      <c r="W486" s="143"/>
      <c r="X486" s="143"/>
      <c r="Y486" s="143"/>
      <c r="Z486" s="261"/>
      <c r="AA486" s="261"/>
      <c r="AB486" s="142"/>
    </row>
    <row r="487" spans="6:28">
      <c r="F487" s="143"/>
      <c r="G487" s="145"/>
      <c r="H487" s="143"/>
      <c r="I487" s="143"/>
      <c r="J487" s="143"/>
      <c r="K487" s="342"/>
      <c r="L487" s="342"/>
      <c r="M487" s="143"/>
      <c r="N487" s="143"/>
      <c r="O487" s="143"/>
      <c r="P487" s="143"/>
      <c r="Q487" s="143"/>
      <c r="R487" s="143"/>
      <c r="S487" s="143"/>
      <c r="T487" s="143"/>
      <c r="U487" s="143"/>
      <c r="V487" s="143"/>
      <c r="W487" s="143"/>
      <c r="X487" s="143"/>
      <c r="Y487" s="143"/>
      <c r="Z487" s="261"/>
      <c r="AA487" s="261"/>
      <c r="AB487" s="142"/>
    </row>
    <row r="488" spans="6:28">
      <c r="F488" s="143"/>
      <c r="G488" s="145"/>
      <c r="H488" s="143"/>
      <c r="I488" s="143"/>
      <c r="J488" s="143"/>
      <c r="K488" s="342"/>
      <c r="L488" s="342"/>
      <c r="M488" s="143"/>
      <c r="N488" s="143"/>
      <c r="O488" s="143"/>
      <c r="P488" s="143"/>
      <c r="Q488" s="143"/>
      <c r="R488" s="143"/>
      <c r="S488" s="143"/>
      <c r="T488" s="143"/>
      <c r="U488" s="143"/>
      <c r="V488" s="143"/>
      <c r="W488" s="143"/>
      <c r="X488" s="143"/>
      <c r="Y488" s="143"/>
      <c r="Z488" s="261"/>
      <c r="AA488" s="261"/>
      <c r="AB488" s="142"/>
    </row>
    <row r="489" spans="6:28">
      <c r="F489" s="143"/>
      <c r="G489" s="145"/>
      <c r="H489" s="143"/>
      <c r="I489" s="143"/>
      <c r="J489" s="143"/>
      <c r="K489" s="342"/>
      <c r="L489" s="342"/>
      <c r="M489" s="143"/>
      <c r="N489" s="143"/>
      <c r="O489" s="143"/>
      <c r="P489" s="143"/>
      <c r="Q489" s="143"/>
      <c r="R489" s="143"/>
      <c r="S489" s="143"/>
      <c r="T489" s="143"/>
      <c r="U489" s="143"/>
      <c r="V489" s="143"/>
      <c r="W489" s="143"/>
      <c r="X489" s="143"/>
      <c r="Y489" s="143"/>
      <c r="Z489" s="261"/>
      <c r="AA489" s="261"/>
      <c r="AB489" s="142"/>
    </row>
    <row r="490" spans="6:28">
      <c r="F490" s="143"/>
      <c r="G490" s="145"/>
      <c r="H490" s="143"/>
      <c r="I490" s="143"/>
      <c r="J490" s="143"/>
      <c r="K490" s="342"/>
      <c r="L490" s="342"/>
      <c r="M490" s="143"/>
      <c r="N490" s="143"/>
      <c r="O490" s="143"/>
      <c r="P490" s="143"/>
      <c r="Q490" s="143"/>
      <c r="R490" s="143"/>
      <c r="S490" s="143"/>
      <c r="T490" s="143"/>
      <c r="U490" s="143"/>
      <c r="V490" s="143"/>
      <c r="W490" s="143"/>
      <c r="X490" s="143"/>
      <c r="Y490" s="143"/>
      <c r="Z490" s="261"/>
      <c r="AA490" s="261"/>
      <c r="AB490" s="142"/>
    </row>
    <row r="491" spans="6:28">
      <c r="F491" s="143"/>
      <c r="G491" s="145"/>
      <c r="H491" s="143"/>
      <c r="I491" s="143"/>
      <c r="J491" s="143"/>
      <c r="K491" s="342"/>
      <c r="L491" s="342"/>
      <c r="M491" s="143"/>
      <c r="N491" s="143"/>
      <c r="O491" s="143"/>
      <c r="P491" s="143"/>
      <c r="Q491" s="143"/>
      <c r="R491" s="143"/>
      <c r="S491" s="143"/>
      <c r="T491" s="143"/>
      <c r="U491" s="143"/>
      <c r="V491" s="143"/>
      <c r="W491" s="143"/>
      <c r="X491" s="143"/>
      <c r="Y491" s="143"/>
      <c r="Z491" s="261"/>
      <c r="AA491" s="261"/>
      <c r="AB491" s="142"/>
    </row>
    <row r="492" spans="6:28">
      <c r="F492" s="143"/>
      <c r="G492" s="145"/>
      <c r="H492" s="143"/>
      <c r="I492" s="143"/>
      <c r="J492" s="143"/>
      <c r="K492" s="342"/>
      <c r="L492" s="342"/>
      <c r="M492" s="143"/>
      <c r="N492" s="143"/>
      <c r="O492" s="143"/>
      <c r="P492" s="143"/>
      <c r="Q492" s="143"/>
      <c r="R492" s="143"/>
      <c r="S492" s="143"/>
      <c r="T492" s="143"/>
      <c r="U492" s="143"/>
      <c r="V492" s="143"/>
      <c r="W492" s="143"/>
      <c r="X492" s="143"/>
      <c r="Y492" s="143"/>
      <c r="Z492" s="261"/>
      <c r="AA492" s="261"/>
      <c r="AB492" s="142"/>
    </row>
    <row r="493" spans="6:28">
      <c r="F493" s="143"/>
      <c r="G493" s="145"/>
      <c r="H493" s="143"/>
      <c r="I493" s="143"/>
      <c r="J493" s="143"/>
      <c r="K493" s="342"/>
      <c r="L493" s="342"/>
      <c r="M493" s="143"/>
      <c r="N493" s="143"/>
      <c r="O493" s="143"/>
      <c r="P493" s="143"/>
      <c r="Q493" s="143"/>
      <c r="R493" s="143"/>
      <c r="S493" s="143"/>
      <c r="T493" s="143"/>
      <c r="U493" s="143"/>
      <c r="V493" s="143"/>
      <c r="W493" s="143"/>
      <c r="X493" s="143"/>
      <c r="Y493" s="143"/>
      <c r="Z493" s="261"/>
      <c r="AA493" s="261"/>
      <c r="AB493" s="142"/>
    </row>
    <row r="494" spans="6:28">
      <c r="F494" s="143"/>
      <c r="G494" s="145"/>
      <c r="H494" s="143"/>
      <c r="I494" s="143"/>
      <c r="J494" s="143"/>
      <c r="K494" s="342"/>
      <c r="L494" s="342"/>
      <c r="M494" s="143"/>
      <c r="N494" s="143"/>
      <c r="O494" s="143"/>
      <c r="P494" s="143"/>
      <c r="Q494" s="143"/>
      <c r="R494" s="143"/>
      <c r="S494" s="143"/>
      <c r="T494" s="143"/>
      <c r="U494" s="143"/>
      <c r="V494" s="143"/>
      <c r="W494" s="143"/>
      <c r="X494" s="143"/>
      <c r="Y494" s="143"/>
      <c r="Z494" s="261"/>
      <c r="AA494" s="261"/>
      <c r="AB494" s="142"/>
    </row>
    <row r="495" spans="6:28">
      <c r="F495" s="143"/>
      <c r="G495" s="145"/>
      <c r="H495" s="143"/>
      <c r="I495" s="143"/>
      <c r="J495" s="143"/>
      <c r="K495" s="342"/>
      <c r="L495" s="342"/>
      <c r="M495" s="143"/>
      <c r="N495" s="143"/>
      <c r="O495" s="143"/>
      <c r="P495" s="143"/>
      <c r="Q495" s="143"/>
      <c r="R495" s="143"/>
      <c r="S495" s="143"/>
      <c r="T495" s="143"/>
      <c r="U495" s="143"/>
      <c r="V495" s="143"/>
      <c r="W495" s="143"/>
      <c r="X495" s="143"/>
      <c r="Y495" s="143"/>
      <c r="Z495" s="261"/>
      <c r="AA495" s="261"/>
      <c r="AB495" s="142"/>
    </row>
    <row r="496" spans="6:28">
      <c r="F496" s="143"/>
      <c r="G496" s="145"/>
      <c r="H496" s="143"/>
      <c r="I496" s="143"/>
      <c r="J496" s="143"/>
      <c r="K496" s="342"/>
      <c r="L496" s="342"/>
      <c r="M496" s="143"/>
      <c r="N496" s="143"/>
      <c r="O496" s="143"/>
      <c r="P496" s="143"/>
      <c r="Q496" s="143"/>
      <c r="R496" s="143"/>
      <c r="S496" s="143"/>
      <c r="T496" s="143"/>
      <c r="U496" s="143"/>
      <c r="V496" s="143"/>
      <c r="W496" s="143"/>
      <c r="X496" s="143"/>
      <c r="Y496" s="143"/>
      <c r="Z496" s="261"/>
      <c r="AA496" s="261"/>
      <c r="AB496" s="142"/>
    </row>
    <row r="497" spans="6:28">
      <c r="F497" s="143"/>
      <c r="G497" s="145"/>
      <c r="H497" s="143"/>
      <c r="I497" s="143"/>
      <c r="J497" s="143"/>
      <c r="K497" s="342"/>
      <c r="L497" s="342"/>
      <c r="M497" s="143"/>
      <c r="N497" s="143"/>
      <c r="O497" s="143"/>
      <c r="P497" s="143"/>
      <c r="Q497" s="143"/>
      <c r="R497" s="143"/>
      <c r="S497" s="143"/>
      <c r="T497" s="143"/>
      <c r="U497" s="143"/>
      <c r="V497" s="143"/>
      <c r="W497" s="143"/>
      <c r="X497" s="143"/>
      <c r="Y497" s="143"/>
      <c r="Z497" s="261"/>
      <c r="AA497" s="145"/>
      <c r="AB497" s="142"/>
    </row>
    <row r="498" spans="6:28">
      <c r="F498" s="143"/>
      <c r="G498" s="145"/>
      <c r="H498" s="143"/>
      <c r="I498" s="143"/>
      <c r="J498" s="143"/>
      <c r="K498" s="342"/>
      <c r="L498" s="342"/>
      <c r="M498" s="143"/>
      <c r="N498" s="143"/>
      <c r="O498" s="143"/>
      <c r="P498" s="143"/>
      <c r="Q498" s="143"/>
      <c r="R498" s="143"/>
      <c r="S498" s="143"/>
      <c r="T498" s="143"/>
      <c r="U498" s="143"/>
      <c r="V498" s="143"/>
      <c r="W498" s="143"/>
      <c r="X498" s="143"/>
      <c r="Y498" s="143"/>
      <c r="Z498" s="261"/>
      <c r="AA498" s="261"/>
      <c r="AB498" s="142"/>
    </row>
    <row r="499" spans="6:28">
      <c r="F499" s="143"/>
      <c r="G499" s="145"/>
      <c r="H499" s="143"/>
      <c r="I499" s="143"/>
      <c r="J499" s="143"/>
      <c r="K499" s="342"/>
      <c r="L499" s="342"/>
      <c r="M499" s="143"/>
      <c r="N499" s="143"/>
      <c r="O499" s="143"/>
      <c r="P499" s="143"/>
      <c r="Q499" s="143"/>
      <c r="R499" s="143"/>
      <c r="S499" s="143"/>
      <c r="T499" s="143"/>
      <c r="U499" s="143"/>
      <c r="V499" s="143"/>
      <c r="W499" s="143"/>
      <c r="X499" s="143"/>
      <c r="Y499" s="143"/>
      <c r="Z499" s="261"/>
      <c r="AA499" s="261"/>
      <c r="AB499" s="142"/>
    </row>
    <row r="500" spans="6:28">
      <c r="F500" s="143"/>
      <c r="G500" s="145"/>
      <c r="H500" s="143"/>
      <c r="I500" s="143"/>
      <c r="J500" s="143"/>
      <c r="K500" s="342"/>
      <c r="L500" s="342"/>
      <c r="M500" s="143"/>
      <c r="N500" s="143"/>
      <c r="O500" s="143"/>
      <c r="P500" s="143"/>
      <c r="Q500" s="143"/>
      <c r="R500" s="143"/>
      <c r="S500" s="143"/>
      <c r="T500" s="143"/>
      <c r="U500" s="143"/>
      <c r="V500" s="143"/>
      <c r="W500" s="143"/>
      <c r="X500" s="143"/>
      <c r="Y500" s="143"/>
      <c r="Z500" s="261"/>
      <c r="AA500" s="261"/>
      <c r="AB500" s="142"/>
    </row>
    <row r="501" spans="6:28">
      <c r="F501" s="143"/>
      <c r="G501" s="145"/>
      <c r="H501" s="143"/>
      <c r="I501" s="143"/>
      <c r="J501" s="143"/>
      <c r="K501" s="342"/>
      <c r="L501" s="342"/>
      <c r="M501" s="143"/>
      <c r="N501" s="143"/>
      <c r="O501" s="143"/>
      <c r="P501" s="143"/>
      <c r="Q501" s="143"/>
      <c r="R501" s="143"/>
      <c r="S501" s="143"/>
      <c r="T501" s="143"/>
      <c r="U501" s="143"/>
      <c r="V501" s="143"/>
      <c r="W501" s="143"/>
      <c r="X501" s="143"/>
      <c r="Y501" s="143"/>
      <c r="Z501" s="261"/>
      <c r="AA501" s="145"/>
      <c r="AB501" s="142"/>
    </row>
    <row r="502" spans="6:28">
      <c r="F502" s="143"/>
      <c r="G502" s="145"/>
      <c r="H502" s="143"/>
      <c r="I502" s="143"/>
      <c r="J502" s="143"/>
      <c r="K502" s="342"/>
      <c r="L502" s="342"/>
      <c r="M502" s="143"/>
      <c r="N502" s="143"/>
      <c r="O502" s="143"/>
      <c r="P502" s="143"/>
      <c r="Q502" s="143"/>
      <c r="R502" s="143"/>
      <c r="S502" s="143"/>
      <c r="T502" s="143"/>
      <c r="U502" s="143"/>
      <c r="V502" s="143"/>
      <c r="W502" s="143"/>
      <c r="X502" s="143"/>
      <c r="Y502" s="143"/>
      <c r="Z502" s="261"/>
      <c r="AA502" s="261"/>
      <c r="AB502" s="142"/>
    </row>
    <row r="503" spans="6:28">
      <c r="F503" s="143"/>
      <c r="G503" s="145"/>
      <c r="H503" s="143"/>
      <c r="I503" s="143"/>
      <c r="J503" s="143"/>
      <c r="K503" s="342"/>
      <c r="L503" s="342"/>
      <c r="M503" s="143"/>
      <c r="N503" s="143"/>
      <c r="O503" s="143"/>
      <c r="P503" s="143"/>
      <c r="Q503" s="143"/>
      <c r="R503" s="143"/>
      <c r="S503" s="143"/>
      <c r="T503" s="143"/>
      <c r="U503" s="143"/>
      <c r="V503" s="143"/>
      <c r="W503" s="143"/>
      <c r="X503" s="143"/>
      <c r="Y503" s="143"/>
      <c r="Z503" s="261"/>
      <c r="AA503" s="261"/>
      <c r="AB503" s="142"/>
    </row>
    <row r="504" spans="6:28">
      <c r="F504" s="143"/>
      <c r="G504" s="145"/>
      <c r="H504" s="143"/>
      <c r="I504" s="143"/>
      <c r="J504" s="143"/>
      <c r="K504" s="342"/>
      <c r="L504" s="342"/>
      <c r="M504" s="143"/>
      <c r="N504" s="143"/>
      <c r="O504" s="143"/>
      <c r="P504" s="143"/>
      <c r="Q504" s="143"/>
      <c r="R504" s="143"/>
      <c r="S504" s="143"/>
      <c r="T504" s="143"/>
      <c r="U504" s="143"/>
      <c r="V504" s="143"/>
      <c r="W504" s="143"/>
      <c r="X504" s="143"/>
      <c r="Y504" s="143"/>
      <c r="Z504" s="261"/>
      <c r="AA504" s="261"/>
      <c r="AB504" s="142"/>
    </row>
    <row r="505" spans="6:28">
      <c r="F505" s="143"/>
      <c r="G505" s="145"/>
      <c r="H505" s="143"/>
      <c r="I505" s="143"/>
      <c r="J505" s="143"/>
      <c r="K505" s="342"/>
      <c r="L505" s="342"/>
      <c r="M505" s="143"/>
      <c r="N505" s="143"/>
      <c r="O505" s="143"/>
      <c r="P505" s="143"/>
      <c r="Q505" s="143"/>
      <c r="R505" s="143"/>
      <c r="S505" s="143"/>
      <c r="T505" s="143"/>
      <c r="U505" s="143"/>
      <c r="V505" s="143"/>
      <c r="W505" s="143"/>
      <c r="X505" s="143"/>
      <c r="Y505" s="143"/>
      <c r="Z505" s="261"/>
      <c r="AA505" s="261"/>
      <c r="AB505" s="142"/>
    </row>
    <row r="506" spans="6:28">
      <c r="F506" s="143"/>
      <c r="G506" s="145"/>
      <c r="H506" s="143"/>
      <c r="I506" s="143"/>
      <c r="J506" s="143"/>
      <c r="K506" s="342"/>
      <c r="L506" s="342"/>
      <c r="M506" s="143"/>
      <c r="N506" s="143"/>
      <c r="O506" s="143"/>
      <c r="P506" s="143"/>
      <c r="Q506" s="143"/>
      <c r="R506" s="143"/>
      <c r="S506" s="143"/>
      <c r="T506" s="143"/>
      <c r="U506" s="143"/>
      <c r="V506" s="143"/>
      <c r="W506" s="143"/>
      <c r="X506" s="143"/>
      <c r="Y506" s="143"/>
      <c r="Z506" s="261"/>
      <c r="AA506" s="261"/>
      <c r="AB506" s="142"/>
    </row>
    <row r="507" spans="6:28">
      <c r="F507" s="143"/>
      <c r="G507" s="145"/>
      <c r="H507" s="143"/>
      <c r="I507" s="143"/>
      <c r="J507" s="143"/>
      <c r="K507" s="342"/>
      <c r="L507" s="342"/>
      <c r="M507" s="143"/>
      <c r="N507" s="143"/>
      <c r="O507" s="143"/>
      <c r="P507" s="143"/>
      <c r="Q507" s="143"/>
      <c r="R507" s="143"/>
      <c r="S507" s="143"/>
      <c r="T507" s="143"/>
      <c r="U507" s="143"/>
      <c r="V507" s="143"/>
      <c r="W507" s="143"/>
      <c r="X507" s="143"/>
      <c r="Y507" s="143"/>
      <c r="Z507" s="261"/>
      <c r="AA507" s="261"/>
      <c r="AB507" s="142"/>
    </row>
    <row r="508" spans="6:28">
      <c r="F508" s="143"/>
      <c r="G508" s="145"/>
      <c r="H508" s="143"/>
      <c r="I508" s="143"/>
      <c r="J508" s="143"/>
      <c r="K508" s="342"/>
      <c r="L508" s="342"/>
      <c r="M508" s="143"/>
      <c r="N508" s="143"/>
      <c r="O508" s="143"/>
      <c r="P508" s="143"/>
      <c r="Q508" s="143"/>
      <c r="R508" s="143"/>
      <c r="S508" s="143"/>
      <c r="T508" s="143"/>
      <c r="U508" s="143"/>
      <c r="V508" s="143"/>
      <c r="W508" s="143"/>
      <c r="X508" s="143"/>
      <c r="Y508" s="143"/>
      <c r="Z508" s="261"/>
      <c r="AA508" s="261"/>
      <c r="AB508" s="142"/>
    </row>
    <row r="509" spans="6:28">
      <c r="F509" s="143"/>
      <c r="G509" s="145"/>
      <c r="H509" s="143"/>
      <c r="I509" s="143"/>
      <c r="J509" s="143"/>
      <c r="K509" s="342"/>
      <c r="L509" s="342"/>
      <c r="M509" s="143"/>
      <c r="N509" s="143"/>
      <c r="O509" s="143"/>
      <c r="P509" s="143"/>
      <c r="Q509" s="143"/>
      <c r="R509" s="143"/>
      <c r="S509" s="143"/>
      <c r="T509" s="143"/>
      <c r="U509" s="143"/>
      <c r="V509" s="143"/>
      <c r="W509" s="143"/>
      <c r="X509" s="143"/>
      <c r="Y509" s="143"/>
      <c r="Z509" s="261"/>
      <c r="AA509" s="261"/>
      <c r="AB509" s="142"/>
    </row>
    <row r="510" spans="6:28">
      <c r="F510" s="143"/>
      <c r="G510" s="145"/>
      <c r="H510" s="143"/>
      <c r="I510" s="143"/>
      <c r="J510" s="143"/>
      <c r="K510" s="342"/>
      <c r="L510" s="342"/>
      <c r="M510" s="143"/>
      <c r="N510" s="143"/>
      <c r="O510" s="143"/>
      <c r="P510" s="143"/>
      <c r="Q510" s="143"/>
      <c r="R510" s="143"/>
      <c r="S510" s="143"/>
      <c r="T510" s="143"/>
      <c r="U510" s="143"/>
      <c r="V510" s="143"/>
      <c r="W510" s="143"/>
      <c r="X510" s="143"/>
      <c r="Y510" s="143"/>
      <c r="Z510" s="261"/>
      <c r="AA510" s="261"/>
      <c r="AB510" s="142"/>
    </row>
    <row r="511" spans="6:28">
      <c r="F511" s="143"/>
      <c r="G511" s="145"/>
      <c r="H511" s="143"/>
      <c r="I511" s="143"/>
      <c r="J511" s="143"/>
      <c r="K511" s="342"/>
      <c r="L511" s="342"/>
      <c r="M511" s="143"/>
      <c r="N511" s="143"/>
      <c r="O511" s="143"/>
      <c r="P511" s="143"/>
      <c r="Q511" s="143"/>
      <c r="R511" s="143"/>
      <c r="S511" s="143"/>
      <c r="T511" s="143"/>
      <c r="U511" s="143"/>
      <c r="V511" s="143"/>
      <c r="W511" s="143"/>
      <c r="X511" s="143"/>
      <c r="Y511" s="143"/>
      <c r="Z511" s="261"/>
      <c r="AA511" s="261"/>
      <c r="AB511" s="142"/>
    </row>
    <row r="512" spans="6:28">
      <c r="F512" s="143"/>
      <c r="G512" s="145"/>
      <c r="H512" s="143"/>
      <c r="I512" s="143"/>
      <c r="J512" s="143"/>
      <c r="K512" s="342"/>
      <c r="L512" s="342"/>
      <c r="M512" s="143"/>
      <c r="N512" s="143"/>
      <c r="O512" s="143"/>
      <c r="P512" s="143"/>
      <c r="Q512" s="143"/>
      <c r="R512" s="143"/>
      <c r="S512" s="143"/>
      <c r="T512" s="143"/>
      <c r="U512" s="143"/>
      <c r="V512" s="143"/>
      <c r="W512" s="143"/>
      <c r="X512" s="143"/>
      <c r="Y512" s="143"/>
      <c r="Z512" s="261"/>
      <c r="AA512" s="261"/>
      <c r="AB512" s="142"/>
    </row>
    <row r="513" spans="6:28">
      <c r="F513" s="143"/>
      <c r="G513" s="145"/>
      <c r="H513" s="143"/>
      <c r="I513" s="143"/>
      <c r="J513" s="143"/>
      <c r="K513" s="342"/>
      <c r="L513" s="342"/>
      <c r="M513" s="143"/>
      <c r="N513" s="143"/>
      <c r="O513" s="143"/>
      <c r="P513" s="143"/>
      <c r="Q513" s="143"/>
      <c r="R513" s="143"/>
      <c r="S513" s="143"/>
      <c r="T513" s="143"/>
      <c r="U513" s="143"/>
      <c r="V513" s="143"/>
      <c r="W513" s="143"/>
      <c r="X513" s="143"/>
      <c r="Y513" s="143"/>
      <c r="Z513" s="261"/>
      <c r="AA513" s="261"/>
      <c r="AB513" s="142"/>
    </row>
    <row r="514" spans="6:28">
      <c r="F514" s="143"/>
      <c r="G514" s="145"/>
      <c r="H514" s="143"/>
      <c r="I514" s="143"/>
      <c r="J514" s="143"/>
      <c r="K514" s="342"/>
      <c r="L514" s="342"/>
      <c r="M514" s="143"/>
      <c r="N514" s="143"/>
      <c r="O514" s="143"/>
      <c r="P514" s="143"/>
      <c r="Q514" s="143"/>
      <c r="R514" s="143"/>
      <c r="S514" s="143"/>
      <c r="T514" s="143"/>
      <c r="U514" s="143"/>
      <c r="V514" s="143"/>
      <c r="W514" s="143"/>
      <c r="X514" s="143"/>
      <c r="Y514" s="143"/>
      <c r="Z514" s="261"/>
      <c r="AA514" s="261"/>
      <c r="AB514" s="142"/>
    </row>
    <row r="515" spans="6:28">
      <c r="F515" s="143"/>
      <c r="G515" s="145"/>
      <c r="H515" s="143"/>
      <c r="I515" s="143"/>
      <c r="J515" s="143"/>
      <c r="K515" s="342"/>
      <c r="L515" s="342"/>
      <c r="M515" s="143"/>
      <c r="N515" s="143"/>
      <c r="O515" s="143"/>
      <c r="P515" s="143"/>
      <c r="Q515" s="143"/>
      <c r="R515" s="143"/>
      <c r="S515" s="143"/>
      <c r="T515" s="143"/>
      <c r="U515" s="143"/>
      <c r="V515" s="143"/>
      <c r="W515" s="143"/>
      <c r="X515" s="143"/>
      <c r="Y515" s="143"/>
      <c r="Z515" s="261"/>
      <c r="AA515" s="261"/>
      <c r="AB515" s="142"/>
    </row>
    <row r="516" spans="6:28">
      <c r="F516" s="143"/>
      <c r="G516" s="145"/>
      <c r="H516" s="143"/>
      <c r="I516" s="143"/>
      <c r="J516" s="143"/>
      <c r="K516" s="342"/>
      <c r="L516" s="342"/>
      <c r="M516" s="143"/>
      <c r="N516" s="143"/>
      <c r="O516" s="143"/>
      <c r="P516" s="143"/>
      <c r="Q516" s="143"/>
      <c r="R516" s="143"/>
      <c r="S516" s="143"/>
      <c r="T516" s="143"/>
      <c r="U516" s="143"/>
      <c r="V516" s="143"/>
      <c r="W516" s="143"/>
      <c r="X516" s="143"/>
      <c r="Y516" s="143"/>
      <c r="Z516" s="261"/>
      <c r="AA516" s="261"/>
      <c r="AB516" s="142"/>
    </row>
    <row r="517" spans="6:28">
      <c r="F517" s="143"/>
      <c r="G517" s="145"/>
      <c r="H517" s="143"/>
      <c r="I517" s="143"/>
      <c r="J517" s="143"/>
      <c r="K517" s="342"/>
      <c r="L517" s="342"/>
      <c r="M517" s="143"/>
      <c r="N517" s="143"/>
      <c r="O517" s="143"/>
      <c r="P517" s="143"/>
      <c r="Q517" s="143"/>
      <c r="R517" s="143"/>
      <c r="S517" s="143"/>
      <c r="T517" s="143"/>
      <c r="U517" s="143"/>
      <c r="V517" s="143"/>
      <c r="W517" s="143"/>
      <c r="X517" s="143"/>
      <c r="Y517" s="143"/>
      <c r="Z517" s="261"/>
      <c r="AA517" s="261"/>
      <c r="AB517" s="142"/>
    </row>
    <row r="518" spans="6:28">
      <c r="F518" s="143"/>
      <c r="G518" s="145"/>
      <c r="H518" s="143"/>
      <c r="I518" s="143"/>
      <c r="J518" s="143"/>
      <c r="K518" s="342"/>
      <c r="L518" s="342"/>
      <c r="M518" s="143"/>
      <c r="N518" s="143"/>
      <c r="O518" s="143"/>
      <c r="P518" s="143"/>
      <c r="Q518" s="143"/>
      <c r="R518" s="143"/>
      <c r="S518" s="143"/>
      <c r="T518" s="143"/>
      <c r="U518" s="143"/>
      <c r="V518" s="143"/>
      <c r="W518" s="143"/>
      <c r="X518" s="143"/>
      <c r="Y518" s="143"/>
      <c r="Z518" s="261"/>
      <c r="AA518" s="261"/>
      <c r="AB518" s="142"/>
    </row>
    <row r="519" spans="6:28">
      <c r="F519" s="143"/>
      <c r="G519" s="145"/>
      <c r="H519" s="143"/>
      <c r="I519" s="143"/>
      <c r="J519" s="143"/>
      <c r="K519" s="342"/>
      <c r="L519" s="342"/>
      <c r="M519" s="143"/>
      <c r="N519" s="143"/>
      <c r="O519" s="143"/>
      <c r="P519" s="143"/>
      <c r="Q519" s="143"/>
      <c r="R519" s="143"/>
      <c r="S519" s="143"/>
      <c r="T519" s="143"/>
      <c r="U519" s="143"/>
      <c r="V519" s="143"/>
      <c r="W519" s="143"/>
      <c r="X519" s="143"/>
      <c r="Y519" s="143"/>
      <c r="Z519" s="261"/>
      <c r="AA519" s="261"/>
      <c r="AB519" s="142"/>
    </row>
    <row r="520" spans="6:28">
      <c r="F520" s="143"/>
      <c r="G520" s="145"/>
      <c r="H520" s="143"/>
      <c r="I520" s="143"/>
      <c r="J520" s="143"/>
      <c r="K520" s="342"/>
      <c r="L520" s="342"/>
      <c r="M520" s="143"/>
      <c r="N520" s="143"/>
      <c r="O520" s="143"/>
      <c r="P520" s="143"/>
      <c r="Q520" s="143"/>
      <c r="R520" s="143"/>
      <c r="S520" s="143"/>
      <c r="T520" s="143"/>
      <c r="U520" s="143"/>
      <c r="V520" s="143"/>
      <c r="W520" s="143"/>
      <c r="X520" s="143"/>
      <c r="Y520" s="143"/>
      <c r="Z520" s="261"/>
      <c r="AA520" s="261"/>
      <c r="AB520" s="142"/>
    </row>
    <row r="521" spans="6:28">
      <c r="F521" s="143"/>
      <c r="G521" s="145"/>
      <c r="H521" s="143"/>
      <c r="I521" s="143"/>
      <c r="J521" s="143"/>
      <c r="K521" s="342"/>
      <c r="L521" s="342"/>
      <c r="M521" s="143"/>
      <c r="N521" s="143"/>
      <c r="O521" s="143"/>
      <c r="P521" s="143"/>
      <c r="Q521" s="143"/>
      <c r="R521" s="143"/>
      <c r="S521" s="143"/>
      <c r="T521" s="143"/>
      <c r="U521" s="143"/>
      <c r="V521" s="143"/>
      <c r="W521" s="143"/>
      <c r="X521" s="143"/>
      <c r="Y521" s="143"/>
      <c r="Z521" s="261"/>
      <c r="AA521" s="261"/>
      <c r="AB521" s="142"/>
    </row>
    <row r="522" spans="6:28">
      <c r="F522" s="143"/>
      <c r="G522" s="145"/>
      <c r="H522" s="143"/>
      <c r="I522" s="143"/>
      <c r="J522" s="143"/>
      <c r="K522" s="342"/>
      <c r="L522" s="342"/>
      <c r="M522" s="143"/>
      <c r="N522" s="143"/>
      <c r="O522" s="143"/>
      <c r="P522" s="143"/>
      <c r="Q522" s="143"/>
      <c r="R522" s="143"/>
      <c r="S522" s="143"/>
      <c r="T522" s="143"/>
      <c r="U522" s="143"/>
      <c r="V522" s="143"/>
      <c r="W522" s="143"/>
      <c r="X522" s="143"/>
      <c r="Y522" s="143"/>
      <c r="Z522" s="261"/>
      <c r="AA522" s="145"/>
      <c r="AB522" s="142"/>
    </row>
    <row r="523" spans="6:28">
      <c r="F523" s="143"/>
      <c r="G523" s="145"/>
      <c r="H523" s="143"/>
      <c r="I523" s="143"/>
      <c r="J523" s="143"/>
      <c r="K523" s="342"/>
      <c r="L523" s="342"/>
      <c r="M523" s="143"/>
      <c r="N523" s="143"/>
      <c r="O523" s="143"/>
      <c r="P523" s="143"/>
      <c r="Q523" s="143"/>
      <c r="R523" s="143"/>
      <c r="S523" s="143"/>
      <c r="T523" s="143"/>
      <c r="U523" s="143"/>
      <c r="V523" s="143"/>
      <c r="W523" s="143"/>
      <c r="X523" s="143"/>
      <c r="Y523" s="143"/>
      <c r="Z523" s="261"/>
      <c r="AA523" s="261"/>
      <c r="AB523" s="142"/>
    </row>
    <row r="524" spans="6:28">
      <c r="F524" s="143"/>
      <c r="G524" s="145"/>
      <c r="H524" s="143"/>
      <c r="I524" s="143"/>
      <c r="J524" s="143"/>
      <c r="K524" s="342"/>
      <c r="L524" s="342"/>
      <c r="M524" s="143"/>
      <c r="N524" s="143"/>
      <c r="O524" s="143"/>
      <c r="P524" s="143"/>
      <c r="Q524" s="143"/>
      <c r="R524" s="143"/>
      <c r="S524" s="143"/>
      <c r="T524" s="143"/>
      <c r="U524" s="143"/>
      <c r="V524" s="143"/>
      <c r="W524" s="143"/>
      <c r="X524" s="143"/>
      <c r="Y524" s="143"/>
      <c r="Z524" s="261"/>
      <c r="AA524" s="261"/>
      <c r="AB524" s="142"/>
    </row>
    <row r="525" spans="6:28">
      <c r="F525" s="143"/>
      <c r="G525" s="145"/>
      <c r="H525" s="143"/>
      <c r="I525" s="143"/>
      <c r="J525" s="143"/>
      <c r="K525" s="342"/>
      <c r="L525" s="342"/>
      <c r="M525" s="143"/>
      <c r="N525" s="143"/>
      <c r="O525" s="143"/>
      <c r="P525" s="143"/>
      <c r="Q525" s="143"/>
      <c r="R525" s="143"/>
      <c r="S525" s="143"/>
      <c r="T525" s="143"/>
      <c r="U525" s="143"/>
      <c r="V525" s="143"/>
      <c r="W525" s="143"/>
      <c r="X525" s="143"/>
      <c r="Y525" s="143"/>
      <c r="Z525" s="261"/>
      <c r="AA525" s="261"/>
      <c r="AB525" s="142"/>
    </row>
    <row r="526" spans="6:28">
      <c r="F526" s="143"/>
      <c r="G526" s="145"/>
      <c r="H526" s="143"/>
      <c r="I526" s="143"/>
      <c r="J526" s="143"/>
      <c r="K526" s="342"/>
      <c r="L526" s="342"/>
      <c r="M526" s="143"/>
      <c r="N526" s="143"/>
      <c r="O526" s="143"/>
      <c r="P526" s="143"/>
      <c r="Q526" s="143"/>
      <c r="R526" s="143"/>
      <c r="S526" s="143"/>
      <c r="T526" s="143"/>
      <c r="U526" s="143"/>
      <c r="V526" s="143"/>
      <c r="W526" s="143"/>
      <c r="X526" s="143"/>
      <c r="Y526" s="143"/>
      <c r="Z526" s="261"/>
      <c r="AA526" s="261"/>
      <c r="AB526" s="142"/>
    </row>
    <row r="527" spans="6:28">
      <c r="F527" s="143"/>
      <c r="G527" s="145"/>
      <c r="H527" s="143"/>
      <c r="I527" s="143"/>
      <c r="J527" s="143"/>
      <c r="K527" s="342"/>
      <c r="L527" s="342"/>
      <c r="M527" s="143"/>
      <c r="N527" s="143"/>
      <c r="O527" s="143"/>
      <c r="P527" s="143"/>
      <c r="Q527" s="143"/>
      <c r="R527" s="143"/>
      <c r="S527" s="143"/>
      <c r="T527" s="143"/>
      <c r="U527" s="143"/>
      <c r="V527" s="143"/>
      <c r="W527" s="143"/>
      <c r="X527" s="143"/>
      <c r="Y527" s="143"/>
      <c r="Z527" s="261"/>
      <c r="AA527" s="261"/>
      <c r="AB527" s="142"/>
    </row>
    <row r="528" spans="6:28">
      <c r="F528" s="143"/>
      <c r="G528" s="145"/>
      <c r="H528" s="143"/>
      <c r="I528" s="143"/>
      <c r="J528" s="143"/>
      <c r="K528" s="342"/>
      <c r="L528" s="342"/>
      <c r="M528" s="143"/>
      <c r="N528" s="143"/>
      <c r="O528" s="143"/>
      <c r="P528" s="143"/>
      <c r="Q528" s="143"/>
      <c r="R528" s="143"/>
      <c r="S528" s="143"/>
      <c r="T528" s="143"/>
      <c r="U528" s="143"/>
      <c r="V528" s="143"/>
      <c r="W528" s="143"/>
      <c r="X528" s="143"/>
      <c r="Y528" s="143"/>
      <c r="Z528" s="261"/>
      <c r="AA528" s="261"/>
      <c r="AB528" s="142"/>
    </row>
    <row r="529" spans="6:28">
      <c r="F529" s="143"/>
      <c r="G529" s="145"/>
      <c r="H529" s="143"/>
      <c r="I529" s="143"/>
      <c r="J529" s="143"/>
      <c r="K529" s="342"/>
      <c r="L529" s="342"/>
      <c r="M529" s="143"/>
      <c r="N529" s="143"/>
      <c r="O529" s="143"/>
      <c r="P529" s="143"/>
      <c r="Q529" s="143"/>
      <c r="R529" s="143"/>
      <c r="S529" s="143"/>
      <c r="T529" s="143"/>
      <c r="U529" s="143"/>
      <c r="V529" s="143"/>
      <c r="W529" s="143"/>
      <c r="X529" s="143"/>
      <c r="Y529" s="143"/>
      <c r="Z529" s="261"/>
      <c r="AA529" s="261"/>
      <c r="AB529" s="142"/>
    </row>
    <row r="530" spans="6:28">
      <c r="F530" s="143"/>
      <c r="G530" s="145"/>
      <c r="H530" s="143"/>
      <c r="I530" s="143"/>
      <c r="J530" s="143"/>
      <c r="K530" s="342"/>
      <c r="L530" s="342"/>
      <c r="M530" s="143"/>
      <c r="N530" s="143"/>
      <c r="O530" s="143"/>
      <c r="P530" s="143"/>
      <c r="Q530" s="143"/>
      <c r="R530" s="143"/>
      <c r="S530" s="143"/>
      <c r="T530" s="143"/>
      <c r="U530" s="143"/>
      <c r="V530" s="143"/>
      <c r="W530" s="143"/>
      <c r="X530" s="143"/>
      <c r="Y530" s="143"/>
      <c r="Z530" s="261"/>
      <c r="AA530" s="261"/>
      <c r="AB530" s="142"/>
    </row>
    <row r="531" spans="6:28">
      <c r="F531" s="143"/>
      <c r="G531" s="145"/>
      <c r="H531" s="143"/>
      <c r="I531" s="143"/>
      <c r="J531" s="143"/>
      <c r="K531" s="342"/>
      <c r="L531" s="342"/>
      <c r="M531" s="143"/>
      <c r="N531" s="143"/>
      <c r="O531" s="143"/>
      <c r="P531" s="143"/>
      <c r="Q531" s="143"/>
      <c r="R531" s="143"/>
      <c r="S531" s="143"/>
      <c r="T531" s="143"/>
      <c r="U531" s="143"/>
      <c r="V531" s="143"/>
      <c r="W531" s="143"/>
      <c r="X531" s="143"/>
      <c r="Y531" s="143"/>
      <c r="Z531" s="261"/>
      <c r="AA531" s="261"/>
      <c r="AB531" s="142"/>
    </row>
    <row r="532" spans="6:28">
      <c r="F532" s="143"/>
      <c r="G532" s="145"/>
      <c r="H532" s="143"/>
      <c r="I532" s="143"/>
      <c r="J532" s="143"/>
      <c r="K532" s="342"/>
      <c r="L532" s="342"/>
      <c r="M532" s="143"/>
      <c r="N532" s="143"/>
      <c r="O532" s="143"/>
      <c r="P532" s="143"/>
      <c r="Q532" s="143"/>
      <c r="R532" s="143"/>
      <c r="S532" s="143"/>
      <c r="T532" s="143"/>
      <c r="U532" s="143"/>
      <c r="V532" s="143"/>
      <c r="W532" s="143"/>
      <c r="X532" s="143"/>
      <c r="Y532" s="143"/>
      <c r="Z532" s="261"/>
      <c r="AA532" s="145"/>
      <c r="AB532" s="142"/>
    </row>
    <row r="533" spans="6:28">
      <c r="F533" s="143"/>
      <c r="G533" s="145"/>
      <c r="H533" s="143"/>
      <c r="I533" s="143"/>
      <c r="J533" s="143"/>
      <c r="K533" s="342"/>
      <c r="L533" s="342"/>
      <c r="M533" s="143"/>
      <c r="N533" s="143"/>
      <c r="O533" s="143"/>
      <c r="P533" s="143"/>
      <c r="Q533" s="143"/>
      <c r="R533" s="143"/>
      <c r="S533" s="143"/>
      <c r="T533" s="143"/>
      <c r="U533" s="143"/>
      <c r="V533" s="143"/>
      <c r="W533" s="143"/>
      <c r="X533" s="143"/>
      <c r="Y533" s="143"/>
      <c r="Z533" s="261"/>
      <c r="AA533" s="261"/>
      <c r="AB533" s="142"/>
    </row>
    <row r="534" spans="6:28">
      <c r="F534" s="143"/>
      <c r="G534" s="145"/>
      <c r="H534" s="143"/>
      <c r="I534" s="143"/>
      <c r="J534" s="143"/>
      <c r="K534" s="342"/>
      <c r="L534" s="342"/>
      <c r="M534" s="143"/>
      <c r="N534" s="143"/>
      <c r="O534" s="143"/>
      <c r="P534" s="143"/>
      <c r="Q534" s="143"/>
      <c r="R534" s="143"/>
      <c r="S534" s="143"/>
      <c r="T534" s="143"/>
      <c r="U534" s="143"/>
      <c r="V534" s="143"/>
      <c r="W534" s="143"/>
      <c r="X534" s="143"/>
      <c r="Y534" s="143"/>
      <c r="Z534" s="261"/>
      <c r="AA534" s="261"/>
      <c r="AB534" s="142"/>
    </row>
    <row r="535" spans="6:28">
      <c r="F535" s="143"/>
      <c r="G535" s="145"/>
      <c r="H535" s="143"/>
      <c r="I535" s="143"/>
      <c r="J535" s="143"/>
      <c r="K535" s="342"/>
      <c r="L535" s="342"/>
      <c r="M535" s="143"/>
      <c r="N535" s="143"/>
      <c r="O535" s="143"/>
      <c r="P535" s="143"/>
      <c r="Q535" s="143"/>
      <c r="R535" s="143"/>
      <c r="S535" s="143"/>
      <c r="T535" s="143"/>
      <c r="U535" s="143"/>
      <c r="V535" s="143"/>
      <c r="W535" s="143"/>
      <c r="X535" s="143"/>
      <c r="Y535" s="143"/>
      <c r="Z535" s="261"/>
      <c r="AA535" s="261"/>
      <c r="AB535" s="142"/>
    </row>
    <row r="536" spans="6:28">
      <c r="F536" s="143"/>
      <c r="G536" s="145"/>
      <c r="H536" s="143"/>
      <c r="I536" s="143"/>
      <c r="J536" s="143"/>
      <c r="K536" s="342"/>
      <c r="L536" s="342"/>
      <c r="M536" s="143"/>
      <c r="N536" s="143"/>
      <c r="O536" s="143"/>
      <c r="P536" s="143"/>
      <c r="Q536" s="143"/>
      <c r="R536" s="143"/>
      <c r="S536" s="143"/>
      <c r="T536" s="143"/>
      <c r="U536" s="143"/>
      <c r="V536" s="143"/>
      <c r="W536" s="143"/>
      <c r="X536" s="143"/>
      <c r="Y536" s="143"/>
      <c r="Z536" s="261"/>
      <c r="AA536" s="261"/>
      <c r="AB536" s="142"/>
    </row>
    <row r="537" spans="6:28">
      <c r="F537" s="143"/>
      <c r="G537" s="145"/>
      <c r="H537" s="143"/>
      <c r="I537" s="143"/>
      <c r="J537" s="143"/>
      <c r="K537" s="342"/>
      <c r="L537" s="342"/>
      <c r="M537" s="143"/>
      <c r="N537" s="143"/>
      <c r="O537" s="143"/>
      <c r="P537" s="143"/>
      <c r="Q537" s="143"/>
      <c r="R537" s="143"/>
      <c r="S537" s="143"/>
      <c r="T537" s="143"/>
      <c r="U537" s="143"/>
      <c r="V537" s="143"/>
      <c r="W537" s="143"/>
      <c r="X537" s="143"/>
      <c r="Y537" s="143"/>
      <c r="Z537" s="261"/>
      <c r="AA537" s="261"/>
      <c r="AB537" s="142"/>
    </row>
    <row r="538" spans="6:28">
      <c r="F538" s="143"/>
      <c r="G538" s="145"/>
      <c r="H538" s="143"/>
      <c r="I538" s="143"/>
      <c r="J538" s="143"/>
      <c r="K538" s="342"/>
      <c r="L538" s="342"/>
      <c r="M538" s="143"/>
      <c r="N538" s="143"/>
      <c r="O538" s="143"/>
      <c r="P538" s="143"/>
      <c r="Q538" s="143"/>
      <c r="R538" s="143"/>
      <c r="S538" s="143"/>
      <c r="T538" s="143"/>
      <c r="U538" s="143"/>
      <c r="V538" s="143"/>
      <c r="W538" s="143"/>
      <c r="X538" s="143"/>
      <c r="Y538" s="143"/>
      <c r="Z538" s="261"/>
      <c r="AA538" s="261"/>
      <c r="AB538" s="142"/>
    </row>
    <row r="539" spans="6:28">
      <c r="F539" s="143"/>
      <c r="G539" s="145"/>
      <c r="H539" s="143"/>
      <c r="I539" s="143"/>
      <c r="J539" s="143"/>
      <c r="K539" s="342"/>
      <c r="L539" s="342"/>
      <c r="M539" s="143"/>
      <c r="N539" s="143"/>
      <c r="O539" s="143"/>
      <c r="P539" s="143"/>
      <c r="Q539" s="143"/>
      <c r="R539" s="143"/>
      <c r="S539" s="143"/>
      <c r="T539" s="143"/>
      <c r="U539" s="143"/>
      <c r="V539" s="143"/>
      <c r="W539" s="143"/>
      <c r="X539" s="143"/>
      <c r="Y539" s="143"/>
      <c r="Z539" s="261"/>
      <c r="AA539" s="261"/>
      <c r="AB539" s="142"/>
    </row>
    <row r="540" spans="6:28">
      <c r="F540" s="143"/>
      <c r="G540" s="145"/>
      <c r="H540" s="143"/>
      <c r="I540" s="143"/>
      <c r="J540" s="143"/>
      <c r="K540" s="342"/>
      <c r="L540" s="342"/>
      <c r="M540" s="143"/>
      <c r="N540" s="143"/>
      <c r="O540" s="143"/>
      <c r="P540" s="143"/>
      <c r="Q540" s="143"/>
      <c r="R540" s="143"/>
      <c r="S540" s="143"/>
      <c r="T540" s="143"/>
      <c r="U540" s="143"/>
      <c r="V540" s="143"/>
      <c r="W540" s="143"/>
      <c r="X540" s="143"/>
      <c r="Y540" s="143"/>
      <c r="Z540" s="261"/>
      <c r="AA540" s="261"/>
      <c r="AB540" s="142"/>
    </row>
    <row r="541" spans="6:28">
      <c r="F541" s="143"/>
      <c r="G541" s="145"/>
      <c r="H541" s="143"/>
      <c r="I541" s="143"/>
      <c r="J541" s="143"/>
      <c r="K541" s="342"/>
      <c r="L541" s="342"/>
      <c r="M541" s="143"/>
      <c r="N541" s="143"/>
      <c r="O541" s="143"/>
      <c r="P541" s="143"/>
      <c r="Q541" s="143"/>
      <c r="R541" s="143"/>
      <c r="S541" s="143"/>
      <c r="T541" s="143"/>
      <c r="U541" s="143"/>
      <c r="V541" s="143"/>
      <c r="W541" s="143"/>
      <c r="X541" s="143"/>
      <c r="Y541" s="143"/>
      <c r="Z541" s="261"/>
      <c r="AA541" s="261"/>
      <c r="AB541" s="142"/>
    </row>
    <row r="542" spans="6:28">
      <c r="F542" s="143"/>
      <c r="G542" s="145"/>
      <c r="H542" s="143"/>
      <c r="I542" s="143"/>
      <c r="J542" s="143"/>
      <c r="K542" s="342"/>
      <c r="L542" s="342"/>
      <c r="M542" s="143"/>
      <c r="N542" s="143"/>
      <c r="O542" s="143"/>
      <c r="P542" s="143"/>
      <c r="Q542" s="143"/>
      <c r="R542" s="143"/>
      <c r="S542" s="143"/>
      <c r="T542" s="143"/>
      <c r="U542" s="143"/>
      <c r="V542" s="143"/>
      <c r="W542" s="143"/>
      <c r="X542" s="143"/>
      <c r="Y542" s="143"/>
      <c r="Z542" s="261"/>
      <c r="AA542" s="261"/>
      <c r="AB542" s="142"/>
    </row>
    <row r="543" spans="6:28">
      <c r="F543" s="143"/>
      <c r="G543" s="145"/>
      <c r="H543" s="143"/>
      <c r="I543" s="143"/>
      <c r="J543" s="143"/>
      <c r="K543" s="342"/>
      <c r="L543" s="342"/>
      <c r="M543" s="143"/>
      <c r="N543" s="143"/>
      <c r="O543" s="143"/>
      <c r="P543" s="143"/>
      <c r="Q543" s="143"/>
      <c r="R543" s="143"/>
      <c r="S543" s="143"/>
      <c r="T543" s="143"/>
      <c r="U543" s="143"/>
      <c r="V543" s="143"/>
      <c r="W543" s="143"/>
      <c r="X543" s="143"/>
      <c r="Y543" s="143"/>
      <c r="Z543" s="261"/>
      <c r="AA543" s="261"/>
      <c r="AB543" s="142"/>
    </row>
    <row r="544" spans="6:28">
      <c r="F544" s="143"/>
      <c r="G544" s="145"/>
      <c r="H544" s="143"/>
      <c r="I544" s="143"/>
      <c r="J544" s="143"/>
      <c r="K544" s="342"/>
      <c r="L544" s="342"/>
      <c r="M544" s="143"/>
      <c r="N544" s="143"/>
      <c r="O544" s="143"/>
      <c r="P544" s="143"/>
      <c r="Q544" s="143"/>
      <c r="R544" s="143"/>
      <c r="S544" s="143"/>
      <c r="T544" s="143"/>
      <c r="U544" s="143"/>
      <c r="V544" s="143"/>
      <c r="W544" s="143"/>
      <c r="X544" s="143"/>
      <c r="Y544" s="143"/>
      <c r="Z544" s="261"/>
      <c r="AA544" s="261"/>
      <c r="AB544" s="142"/>
    </row>
    <row r="545" spans="6:28">
      <c r="F545" s="143"/>
      <c r="G545" s="145"/>
      <c r="H545" s="143"/>
      <c r="I545" s="143"/>
      <c r="J545" s="143"/>
      <c r="K545" s="342"/>
      <c r="L545" s="342"/>
      <c r="M545" s="143"/>
      <c r="N545" s="143"/>
      <c r="O545" s="143"/>
      <c r="P545" s="143"/>
      <c r="Q545" s="143"/>
      <c r="R545" s="143"/>
      <c r="S545" s="143"/>
      <c r="T545" s="143"/>
      <c r="U545" s="143"/>
      <c r="V545" s="143"/>
      <c r="W545" s="143"/>
      <c r="X545" s="143"/>
      <c r="Y545" s="143"/>
      <c r="Z545" s="261"/>
      <c r="AA545" s="261"/>
      <c r="AB545" s="142"/>
    </row>
    <row r="546" spans="6:28">
      <c r="F546" s="143"/>
      <c r="G546" s="145"/>
      <c r="H546" s="143"/>
      <c r="I546" s="143"/>
      <c r="J546" s="143"/>
      <c r="K546" s="342"/>
      <c r="L546" s="342"/>
      <c r="M546" s="143"/>
      <c r="N546" s="143"/>
      <c r="O546" s="143"/>
      <c r="P546" s="143"/>
      <c r="Q546" s="143"/>
      <c r="R546" s="143"/>
      <c r="S546" s="143"/>
      <c r="T546" s="143"/>
      <c r="U546" s="143"/>
      <c r="V546" s="143"/>
      <c r="W546" s="143"/>
      <c r="X546" s="143"/>
      <c r="Y546" s="143"/>
      <c r="Z546" s="261"/>
      <c r="AA546" s="261"/>
      <c r="AB546" s="142"/>
    </row>
    <row r="547" spans="6:28">
      <c r="F547" s="143"/>
      <c r="G547" s="145"/>
      <c r="H547" s="143"/>
      <c r="I547" s="143"/>
      <c r="J547" s="143"/>
      <c r="K547" s="342"/>
      <c r="L547" s="342"/>
      <c r="M547" s="143"/>
      <c r="N547" s="143"/>
      <c r="O547" s="143"/>
      <c r="P547" s="143"/>
      <c r="Q547" s="143"/>
      <c r="R547" s="143"/>
      <c r="S547" s="143"/>
      <c r="T547" s="143"/>
      <c r="U547" s="143"/>
      <c r="V547" s="143"/>
      <c r="W547" s="143"/>
      <c r="X547" s="143"/>
      <c r="Y547" s="143"/>
      <c r="Z547" s="261"/>
      <c r="AA547" s="261"/>
      <c r="AB547" s="142"/>
    </row>
    <row r="548" spans="6:28">
      <c r="F548" s="143"/>
      <c r="G548" s="145"/>
      <c r="H548" s="143"/>
      <c r="I548" s="143"/>
      <c r="J548" s="143"/>
      <c r="K548" s="342"/>
      <c r="L548" s="342"/>
      <c r="M548" s="143"/>
      <c r="N548" s="143"/>
      <c r="O548" s="143"/>
      <c r="P548" s="143"/>
      <c r="Q548" s="143"/>
      <c r="R548" s="143"/>
      <c r="S548" s="143"/>
      <c r="T548" s="143"/>
      <c r="U548" s="143"/>
      <c r="V548" s="143"/>
      <c r="W548" s="143"/>
      <c r="X548" s="143"/>
      <c r="Y548" s="143"/>
      <c r="Z548" s="261"/>
      <c r="AA548" s="261"/>
      <c r="AB548" s="142"/>
    </row>
    <row r="549" spans="6:28">
      <c r="F549" s="143"/>
      <c r="G549" s="145"/>
      <c r="H549" s="143"/>
      <c r="I549" s="143"/>
      <c r="J549" s="143"/>
      <c r="K549" s="342"/>
      <c r="L549" s="342"/>
      <c r="M549" s="143"/>
      <c r="N549" s="143"/>
      <c r="O549" s="143"/>
      <c r="P549" s="143"/>
      <c r="Q549" s="143"/>
      <c r="R549" s="143"/>
      <c r="S549" s="143"/>
      <c r="T549" s="143"/>
      <c r="U549" s="143"/>
      <c r="V549" s="143"/>
      <c r="W549" s="143"/>
      <c r="X549" s="143"/>
      <c r="Y549" s="143"/>
      <c r="Z549" s="261"/>
      <c r="AA549" s="261"/>
      <c r="AB549" s="142"/>
    </row>
    <row r="550" spans="6:28">
      <c r="F550" s="143"/>
      <c r="G550" s="145"/>
      <c r="H550" s="143"/>
      <c r="I550" s="143"/>
      <c r="J550" s="143"/>
      <c r="K550" s="342"/>
      <c r="L550" s="342"/>
      <c r="M550" s="143"/>
      <c r="N550" s="143"/>
      <c r="O550" s="143"/>
      <c r="P550" s="143"/>
      <c r="Q550" s="143"/>
      <c r="R550" s="143"/>
      <c r="S550" s="143"/>
      <c r="T550" s="143"/>
      <c r="U550" s="143"/>
      <c r="V550" s="143"/>
      <c r="W550" s="143"/>
      <c r="X550" s="143"/>
      <c r="Y550" s="143"/>
      <c r="Z550" s="261"/>
      <c r="AA550" s="261"/>
      <c r="AB550" s="142"/>
    </row>
    <row r="551" spans="6:28">
      <c r="F551" s="143"/>
      <c r="G551" s="145"/>
      <c r="H551" s="143"/>
      <c r="I551" s="143"/>
      <c r="J551" s="143"/>
      <c r="K551" s="342"/>
      <c r="L551" s="342"/>
      <c r="M551" s="143"/>
      <c r="N551" s="143"/>
      <c r="O551" s="143"/>
      <c r="P551" s="143"/>
      <c r="Q551" s="143"/>
      <c r="R551" s="143"/>
      <c r="S551" s="143"/>
      <c r="T551" s="143"/>
      <c r="U551" s="143"/>
      <c r="V551" s="143"/>
      <c r="W551" s="143"/>
      <c r="X551" s="143"/>
      <c r="Y551" s="143"/>
      <c r="Z551" s="261"/>
      <c r="AA551" s="261"/>
      <c r="AB551" s="142"/>
    </row>
    <row r="552" spans="6:28">
      <c r="F552" s="143"/>
      <c r="G552" s="145"/>
      <c r="H552" s="143"/>
      <c r="I552" s="143"/>
      <c r="J552" s="143"/>
      <c r="K552" s="342"/>
      <c r="L552" s="342"/>
      <c r="M552" s="143"/>
      <c r="N552" s="143"/>
      <c r="O552" s="143"/>
      <c r="P552" s="143"/>
      <c r="Q552" s="143"/>
      <c r="R552" s="143"/>
      <c r="S552" s="143"/>
      <c r="T552" s="143"/>
      <c r="U552" s="143"/>
      <c r="V552" s="143"/>
      <c r="W552" s="143"/>
      <c r="X552" s="143"/>
      <c r="Y552" s="143"/>
      <c r="Z552" s="261"/>
      <c r="AA552" s="261"/>
      <c r="AB552" s="142"/>
    </row>
    <row r="553" spans="6:28">
      <c r="F553" s="143"/>
      <c r="G553" s="145"/>
      <c r="H553" s="143"/>
      <c r="I553" s="143"/>
      <c r="J553" s="143"/>
      <c r="K553" s="342"/>
      <c r="L553" s="342"/>
      <c r="M553" s="143"/>
      <c r="N553" s="143"/>
      <c r="O553" s="143"/>
      <c r="P553" s="143"/>
      <c r="Q553" s="143"/>
      <c r="R553" s="143"/>
      <c r="S553" s="143"/>
      <c r="T553" s="143"/>
      <c r="U553" s="143"/>
      <c r="V553" s="143"/>
      <c r="W553" s="143"/>
      <c r="X553" s="143"/>
      <c r="Y553" s="143"/>
      <c r="Z553" s="261"/>
      <c r="AA553" s="261"/>
      <c r="AB553" s="142"/>
    </row>
    <row r="554" spans="6:28">
      <c r="F554" s="143"/>
      <c r="G554" s="145"/>
      <c r="H554" s="143"/>
      <c r="I554" s="143"/>
      <c r="J554" s="143"/>
      <c r="K554" s="342"/>
      <c r="L554" s="342"/>
      <c r="M554" s="143"/>
      <c r="N554" s="143"/>
      <c r="O554" s="143"/>
      <c r="P554" s="143"/>
      <c r="Q554" s="143"/>
      <c r="R554" s="143"/>
      <c r="S554" s="143"/>
      <c r="T554" s="143"/>
      <c r="U554" s="143"/>
      <c r="V554" s="143"/>
      <c r="W554" s="143"/>
      <c r="X554" s="143"/>
      <c r="Y554" s="143"/>
      <c r="Z554" s="261"/>
      <c r="AA554" s="261"/>
      <c r="AB554" s="142"/>
    </row>
    <row r="555" spans="6:28">
      <c r="F555" s="143"/>
      <c r="G555" s="145"/>
      <c r="H555" s="143"/>
      <c r="I555" s="143"/>
      <c r="J555" s="143"/>
      <c r="K555" s="342"/>
      <c r="L555" s="342"/>
      <c r="M555" s="143"/>
      <c r="N555" s="143"/>
      <c r="O555" s="143"/>
      <c r="P555" s="143"/>
      <c r="Q555" s="143"/>
      <c r="R555" s="143"/>
      <c r="S555" s="143"/>
      <c r="T555" s="143"/>
      <c r="U555" s="143"/>
      <c r="V555" s="143"/>
      <c r="W555" s="143"/>
      <c r="X555" s="143"/>
      <c r="Y555" s="143"/>
      <c r="Z555" s="145"/>
      <c r="AA555" s="145"/>
      <c r="AB555" s="142"/>
    </row>
    <row r="556" spans="6:28">
      <c r="F556" s="143"/>
      <c r="G556" s="145"/>
      <c r="H556" s="143"/>
      <c r="I556" s="143"/>
      <c r="J556" s="143"/>
      <c r="K556" s="342"/>
      <c r="L556" s="342"/>
      <c r="M556" s="143"/>
      <c r="N556" s="143"/>
      <c r="O556" s="143"/>
      <c r="P556" s="143"/>
      <c r="Q556" s="143"/>
      <c r="R556" s="143"/>
      <c r="S556" s="143"/>
      <c r="T556" s="143"/>
      <c r="U556" s="143"/>
      <c r="V556" s="143"/>
      <c r="W556" s="143"/>
      <c r="X556" s="143"/>
      <c r="Y556" s="143"/>
      <c r="Z556" s="261"/>
      <c r="AA556" s="261"/>
      <c r="AB556" s="142"/>
    </row>
    <row r="557" spans="6:28">
      <c r="F557" s="143"/>
      <c r="G557" s="145"/>
      <c r="H557" s="143"/>
      <c r="I557" s="143"/>
      <c r="J557" s="143"/>
      <c r="K557" s="342"/>
      <c r="L557" s="342"/>
      <c r="M557" s="143"/>
      <c r="N557" s="143"/>
      <c r="O557" s="143"/>
      <c r="P557" s="143"/>
      <c r="Q557" s="143"/>
      <c r="R557" s="143"/>
      <c r="S557" s="143"/>
      <c r="T557" s="143"/>
      <c r="U557" s="143"/>
      <c r="V557" s="143"/>
      <c r="W557" s="143"/>
      <c r="X557" s="143"/>
      <c r="Y557" s="143"/>
      <c r="Z557" s="261"/>
      <c r="AA557" s="261"/>
      <c r="AB557" s="142"/>
    </row>
    <row r="558" spans="6:28">
      <c r="F558" s="143"/>
      <c r="G558" s="145"/>
      <c r="H558" s="143"/>
      <c r="I558" s="143"/>
      <c r="J558" s="143"/>
      <c r="K558" s="342"/>
      <c r="L558" s="342"/>
      <c r="M558" s="143"/>
      <c r="N558" s="143"/>
      <c r="O558" s="143"/>
      <c r="P558" s="143"/>
      <c r="Q558" s="143"/>
      <c r="R558" s="143"/>
      <c r="S558" s="143"/>
      <c r="T558" s="143"/>
      <c r="U558" s="143"/>
      <c r="V558" s="143"/>
      <c r="W558" s="143"/>
      <c r="X558" s="143"/>
      <c r="Y558" s="143"/>
      <c r="Z558" s="261"/>
      <c r="AA558" s="261"/>
      <c r="AB558" s="142"/>
    </row>
    <row r="559" spans="6:28">
      <c r="F559" s="143"/>
      <c r="G559" s="145"/>
      <c r="H559" s="143"/>
      <c r="I559" s="143"/>
      <c r="J559" s="143"/>
      <c r="K559" s="342"/>
      <c r="L559" s="342"/>
      <c r="M559" s="143"/>
      <c r="N559" s="143"/>
      <c r="O559" s="143"/>
      <c r="P559" s="143"/>
      <c r="Q559" s="143"/>
      <c r="R559" s="143"/>
      <c r="S559" s="143"/>
      <c r="T559" s="143"/>
      <c r="U559" s="143"/>
      <c r="V559" s="143"/>
      <c r="W559" s="143"/>
      <c r="X559" s="143"/>
      <c r="Y559" s="143"/>
      <c r="Z559" s="261"/>
      <c r="AA559" s="261"/>
      <c r="AB559" s="142"/>
    </row>
    <row r="560" spans="6:28">
      <c r="F560" s="143"/>
      <c r="G560" s="145"/>
      <c r="H560" s="143"/>
      <c r="I560" s="143"/>
      <c r="J560" s="143"/>
      <c r="K560" s="342"/>
      <c r="L560" s="342"/>
      <c r="M560" s="143"/>
      <c r="N560" s="143"/>
      <c r="O560" s="143"/>
      <c r="P560" s="143"/>
      <c r="Q560" s="143"/>
      <c r="R560" s="143"/>
      <c r="S560" s="143"/>
      <c r="T560" s="143"/>
      <c r="U560" s="143"/>
      <c r="V560" s="143"/>
      <c r="W560" s="143"/>
      <c r="X560" s="143"/>
      <c r="Y560" s="143"/>
      <c r="Z560" s="261"/>
      <c r="AA560" s="261"/>
      <c r="AB560" s="142"/>
    </row>
    <row r="561" spans="6:28">
      <c r="F561" s="143"/>
      <c r="G561" s="145"/>
      <c r="H561" s="143"/>
      <c r="I561" s="143"/>
      <c r="J561" s="143"/>
      <c r="K561" s="342"/>
      <c r="L561" s="342"/>
      <c r="M561" s="143"/>
      <c r="N561" s="143"/>
      <c r="O561" s="143"/>
      <c r="P561" s="143"/>
      <c r="Q561" s="143"/>
      <c r="R561" s="143"/>
      <c r="S561" s="143"/>
      <c r="T561" s="143"/>
      <c r="U561" s="143"/>
      <c r="V561" s="143"/>
      <c r="W561" s="143"/>
      <c r="X561" s="143"/>
      <c r="Y561" s="143"/>
      <c r="Z561" s="261"/>
      <c r="AA561" s="261"/>
      <c r="AB561" s="142"/>
    </row>
    <row r="562" spans="6:28">
      <c r="F562" s="143"/>
      <c r="G562" s="145"/>
      <c r="H562" s="143"/>
      <c r="I562" s="143"/>
      <c r="J562" s="143"/>
      <c r="K562" s="342"/>
      <c r="L562" s="342"/>
      <c r="M562" s="143"/>
      <c r="N562" s="143"/>
      <c r="O562" s="143"/>
      <c r="P562" s="143"/>
      <c r="Q562" s="143"/>
      <c r="R562" s="143"/>
      <c r="S562" s="143"/>
      <c r="T562" s="143"/>
      <c r="U562" s="143"/>
      <c r="V562" s="143"/>
      <c r="W562" s="143"/>
      <c r="X562" s="143"/>
      <c r="Y562" s="143"/>
      <c r="Z562" s="261"/>
      <c r="AA562" s="261"/>
      <c r="AB562" s="142"/>
    </row>
    <row r="563" spans="6:28">
      <c r="F563" s="143"/>
      <c r="G563" s="145"/>
      <c r="H563" s="143"/>
      <c r="I563" s="143"/>
      <c r="J563" s="143"/>
      <c r="K563" s="342"/>
      <c r="L563" s="342"/>
      <c r="M563" s="143"/>
      <c r="N563" s="143"/>
      <c r="O563" s="143"/>
      <c r="P563" s="143"/>
      <c r="Q563" s="143"/>
      <c r="R563" s="143"/>
      <c r="S563" s="143"/>
      <c r="T563" s="143"/>
      <c r="U563" s="143"/>
      <c r="V563" s="143"/>
      <c r="W563" s="143"/>
      <c r="X563" s="143"/>
      <c r="Y563" s="143"/>
      <c r="Z563" s="261"/>
      <c r="AA563" s="261"/>
      <c r="AB563" s="142"/>
    </row>
    <row r="564" spans="6:28">
      <c r="F564" s="143"/>
      <c r="G564" s="145"/>
      <c r="H564" s="143"/>
      <c r="I564" s="143"/>
      <c r="J564" s="143"/>
      <c r="K564" s="342"/>
      <c r="L564" s="342"/>
      <c r="M564" s="143"/>
      <c r="N564" s="143"/>
      <c r="O564" s="143"/>
      <c r="P564" s="143"/>
      <c r="Q564" s="143"/>
      <c r="R564" s="143"/>
      <c r="S564" s="143"/>
      <c r="T564" s="143"/>
      <c r="U564" s="143"/>
      <c r="V564" s="143"/>
      <c r="W564" s="143"/>
      <c r="X564" s="143"/>
      <c r="Y564" s="143"/>
      <c r="Z564" s="261"/>
      <c r="AA564" s="261"/>
      <c r="AB564" s="142"/>
    </row>
    <row r="565" spans="6:28">
      <c r="F565" s="143"/>
      <c r="G565" s="145"/>
      <c r="H565" s="143"/>
      <c r="I565" s="143"/>
      <c r="J565" s="143"/>
      <c r="K565" s="342"/>
      <c r="L565" s="342"/>
      <c r="M565" s="143"/>
      <c r="N565" s="143"/>
      <c r="O565" s="143"/>
      <c r="P565" s="143"/>
      <c r="Q565" s="143"/>
      <c r="R565" s="143"/>
      <c r="S565" s="143"/>
      <c r="T565" s="143"/>
      <c r="U565" s="143"/>
      <c r="V565" s="143"/>
      <c r="W565" s="143"/>
      <c r="X565" s="143"/>
      <c r="Y565" s="143"/>
      <c r="Z565" s="261"/>
      <c r="AA565" s="261"/>
      <c r="AB565" s="142"/>
    </row>
    <row r="566" spans="6:28">
      <c r="F566" s="143"/>
      <c r="G566" s="145"/>
      <c r="H566" s="143"/>
      <c r="I566" s="143"/>
      <c r="J566" s="143"/>
      <c r="K566" s="342"/>
      <c r="L566" s="342"/>
      <c r="M566" s="143"/>
      <c r="N566" s="143"/>
      <c r="O566" s="143"/>
      <c r="P566" s="143"/>
      <c r="Q566" s="143"/>
      <c r="R566" s="143"/>
      <c r="S566" s="143"/>
      <c r="T566" s="143"/>
      <c r="U566" s="143"/>
      <c r="V566" s="143"/>
      <c r="W566" s="143"/>
      <c r="X566" s="143"/>
      <c r="Y566" s="143"/>
      <c r="Z566" s="261"/>
      <c r="AA566" s="145"/>
      <c r="AB566" s="142"/>
    </row>
    <row r="567" spans="6:28">
      <c r="F567" s="143"/>
      <c r="G567" s="145"/>
      <c r="H567" s="143"/>
      <c r="I567" s="143"/>
      <c r="J567" s="143"/>
      <c r="K567" s="342"/>
      <c r="L567" s="342"/>
      <c r="M567" s="143"/>
      <c r="N567" s="143"/>
      <c r="O567" s="143"/>
      <c r="P567" s="143"/>
      <c r="Q567" s="143"/>
      <c r="R567" s="143"/>
      <c r="S567" s="143"/>
      <c r="T567" s="143"/>
      <c r="U567" s="143"/>
      <c r="V567" s="143"/>
      <c r="W567" s="143"/>
      <c r="X567" s="143"/>
      <c r="Y567" s="143"/>
      <c r="Z567" s="261"/>
      <c r="AA567" s="145"/>
      <c r="AB567" s="142"/>
    </row>
    <row r="568" spans="6:28">
      <c r="F568" s="143"/>
      <c r="G568" s="145"/>
      <c r="H568" s="143"/>
      <c r="I568" s="143"/>
      <c r="J568" s="143"/>
      <c r="K568" s="342"/>
      <c r="L568" s="342"/>
      <c r="M568" s="143"/>
      <c r="N568" s="143"/>
      <c r="O568" s="143"/>
      <c r="P568" s="143"/>
      <c r="Q568" s="143"/>
      <c r="R568" s="143"/>
      <c r="S568" s="143"/>
      <c r="T568" s="143"/>
      <c r="U568" s="143"/>
      <c r="V568" s="143"/>
      <c r="W568" s="143"/>
      <c r="X568" s="143"/>
      <c r="Y568" s="143"/>
      <c r="Z568" s="145"/>
      <c r="AA568" s="145"/>
      <c r="AB568" s="142"/>
    </row>
    <row r="569" spans="6:28">
      <c r="F569" s="143"/>
      <c r="G569" s="145"/>
      <c r="H569" s="143"/>
      <c r="I569" s="143"/>
      <c r="J569" s="143"/>
      <c r="K569" s="342"/>
      <c r="L569" s="342"/>
      <c r="M569" s="143"/>
      <c r="N569" s="143"/>
      <c r="O569" s="143"/>
      <c r="P569" s="143"/>
      <c r="Q569" s="143"/>
      <c r="R569" s="143"/>
      <c r="S569" s="143"/>
      <c r="T569" s="143"/>
      <c r="U569" s="143"/>
      <c r="V569" s="143"/>
      <c r="W569" s="143"/>
      <c r="X569" s="143"/>
      <c r="Y569" s="143"/>
      <c r="Z569" s="145"/>
      <c r="AA569" s="145"/>
      <c r="AB569" s="142"/>
    </row>
    <row r="570" spans="6:28">
      <c r="F570" s="143"/>
      <c r="G570" s="145"/>
      <c r="H570" s="143"/>
      <c r="I570" s="143"/>
      <c r="J570" s="143"/>
      <c r="K570" s="342"/>
      <c r="L570" s="342"/>
      <c r="M570" s="143"/>
      <c r="N570" s="143"/>
      <c r="O570" s="143"/>
      <c r="P570" s="143"/>
      <c r="Q570" s="143"/>
      <c r="R570" s="143"/>
      <c r="S570" s="143"/>
      <c r="T570" s="143"/>
      <c r="U570" s="143"/>
      <c r="V570" s="143"/>
      <c r="W570" s="143"/>
      <c r="X570" s="143"/>
      <c r="Y570" s="143"/>
      <c r="Z570" s="261"/>
      <c r="AA570" s="145"/>
      <c r="AB570" s="142"/>
    </row>
    <row r="571" spans="6:28">
      <c r="F571" s="143"/>
      <c r="G571" s="145"/>
      <c r="H571" s="143"/>
      <c r="I571" s="143"/>
      <c r="J571" s="143"/>
      <c r="K571" s="342"/>
      <c r="L571" s="342"/>
      <c r="M571" s="143"/>
      <c r="N571" s="143"/>
      <c r="O571" s="143"/>
      <c r="P571" s="143"/>
      <c r="Q571" s="143"/>
      <c r="R571" s="143"/>
      <c r="S571" s="143"/>
      <c r="T571" s="143"/>
      <c r="U571" s="143"/>
      <c r="V571" s="143"/>
      <c r="W571" s="143"/>
      <c r="X571" s="143"/>
      <c r="Y571" s="143"/>
      <c r="Z571" s="261"/>
      <c r="AA571" s="261"/>
      <c r="AB571" s="142"/>
    </row>
    <row r="572" spans="6:28">
      <c r="F572" s="143"/>
      <c r="G572" s="145"/>
      <c r="H572" s="143"/>
      <c r="I572" s="143"/>
      <c r="J572" s="143"/>
      <c r="K572" s="342"/>
      <c r="L572" s="342"/>
      <c r="M572" s="143"/>
      <c r="N572" s="143"/>
      <c r="O572" s="143"/>
      <c r="P572" s="143"/>
      <c r="Q572" s="143"/>
      <c r="R572" s="143"/>
      <c r="S572" s="143"/>
      <c r="T572" s="143"/>
      <c r="U572" s="143"/>
      <c r="V572" s="143"/>
      <c r="W572" s="143"/>
      <c r="X572" s="143"/>
      <c r="Y572" s="143"/>
      <c r="Z572" s="261"/>
      <c r="AA572" s="261"/>
      <c r="AB572" s="142"/>
    </row>
    <row r="573" spans="6:28">
      <c r="F573" s="143"/>
      <c r="G573" s="145"/>
      <c r="H573" s="143"/>
      <c r="I573" s="143"/>
      <c r="J573" s="143"/>
      <c r="K573" s="342"/>
      <c r="L573" s="342"/>
      <c r="M573" s="143"/>
      <c r="N573" s="143"/>
      <c r="O573" s="143"/>
      <c r="P573" s="143"/>
      <c r="Q573" s="143"/>
      <c r="R573" s="143"/>
      <c r="S573" s="143"/>
      <c r="T573" s="143"/>
      <c r="U573" s="143"/>
      <c r="V573" s="143"/>
      <c r="W573" s="143"/>
      <c r="X573" s="143"/>
      <c r="Y573" s="143"/>
      <c r="Z573" s="261"/>
      <c r="AA573" s="261"/>
      <c r="AB573" s="142"/>
    </row>
    <row r="574" spans="6:28">
      <c r="F574" s="143"/>
      <c r="G574" s="145"/>
      <c r="H574" s="143"/>
      <c r="I574" s="143"/>
      <c r="J574" s="143"/>
      <c r="K574" s="342"/>
      <c r="L574" s="342"/>
      <c r="M574" s="143"/>
      <c r="N574" s="143"/>
      <c r="O574" s="143"/>
      <c r="P574" s="143"/>
      <c r="Q574" s="143"/>
      <c r="R574" s="143"/>
      <c r="S574" s="143"/>
      <c r="T574" s="143"/>
      <c r="U574" s="143"/>
      <c r="V574" s="143"/>
      <c r="W574" s="143"/>
      <c r="X574" s="143"/>
      <c r="Y574" s="143"/>
      <c r="Z574" s="261"/>
      <c r="AA574" s="261"/>
      <c r="AB574" s="142"/>
    </row>
    <row r="575" spans="6:28">
      <c r="F575" s="143"/>
      <c r="G575" s="145"/>
      <c r="H575" s="143"/>
      <c r="I575" s="143"/>
      <c r="J575" s="143"/>
      <c r="K575" s="342"/>
      <c r="L575" s="342"/>
      <c r="M575" s="143"/>
      <c r="N575" s="143"/>
      <c r="O575" s="143"/>
      <c r="P575" s="143"/>
      <c r="Q575" s="143"/>
      <c r="R575" s="143"/>
      <c r="S575" s="143"/>
      <c r="T575" s="143"/>
      <c r="U575" s="143"/>
      <c r="V575" s="143"/>
      <c r="W575" s="143"/>
      <c r="X575" s="143"/>
      <c r="Y575" s="143"/>
      <c r="Z575" s="261"/>
      <c r="AA575" s="261"/>
      <c r="AB575" s="142"/>
    </row>
    <row r="576" spans="6:28">
      <c r="F576" s="143"/>
      <c r="G576" s="145"/>
      <c r="H576" s="143"/>
      <c r="I576" s="143"/>
      <c r="J576" s="143"/>
      <c r="K576" s="342"/>
      <c r="L576" s="342"/>
      <c r="M576" s="143"/>
      <c r="N576" s="143"/>
      <c r="O576" s="143"/>
      <c r="P576" s="143"/>
      <c r="Q576" s="143"/>
      <c r="R576" s="143"/>
      <c r="S576" s="143"/>
      <c r="T576" s="143"/>
      <c r="U576" s="143"/>
      <c r="V576" s="143"/>
      <c r="W576" s="143"/>
      <c r="X576" s="143"/>
      <c r="Y576" s="143"/>
      <c r="Z576" s="261"/>
      <c r="AA576" s="261"/>
      <c r="AB576" s="142"/>
    </row>
    <row r="577" spans="6:28">
      <c r="F577" s="143"/>
      <c r="G577" s="145"/>
      <c r="H577" s="143"/>
      <c r="I577" s="143"/>
      <c r="J577" s="143"/>
      <c r="K577" s="342"/>
      <c r="L577" s="342"/>
      <c r="M577" s="143"/>
      <c r="N577" s="143"/>
      <c r="O577" s="143"/>
      <c r="P577" s="143"/>
      <c r="Q577" s="143"/>
      <c r="R577" s="143"/>
      <c r="S577" s="143"/>
      <c r="T577" s="143"/>
      <c r="U577" s="143"/>
      <c r="V577" s="143"/>
      <c r="W577" s="143"/>
      <c r="X577" s="143"/>
      <c r="Y577" s="143"/>
      <c r="Z577" s="261"/>
      <c r="AA577" s="261"/>
      <c r="AB577" s="142"/>
    </row>
    <row r="578" spans="6:28">
      <c r="F578" s="143"/>
      <c r="G578" s="145"/>
      <c r="H578" s="143"/>
      <c r="I578" s="143"/>
      <c r="J578" s="143"/>
      <c r="K578" s="342"/>
      <c r="L578" s="342"/>
      <c r="M578" s="143"/>
      <c r="N578" s="143"/>
      <c r="O578" s="143"/>
      <c r="P578" s="143"/>
      <c r="Q578" s="143"/>
      <c r="R578" s="143"/>
      <c r="S578" s="143"/>
      <c r="T578" s="143"/>
      <c r="U578" s="143"/>
      <c r="V578" s="143"/>
      <c r="W578" s="143"/>
      <c r="X578" s="143"/>
      <c r="Y578" s="143"/>
      <c r="Z578" s="261"/>
      <c r="AA578" s="261"/>
      <c r="AB578" s="142"/>
    </row>
    <row r="579" spans="6:28">
      <c r="F579" s="143"/>
      <c r="G579" s="145"/>
      <c r="H579" s="143"/>
      <c r="I579" s="143"/>
      <c r="J579" s="143"/>
      <c r="K579" s="342"/>
      <c r="L579" s="342"/>
      <c r="M579" s="143"/>
      <c r="N579" s="143"/>
      <c r="O579" s="143"/>
      <c r="P579" s="143"/>
      <c r="Q579" s="143"/>
      <c r="R579" s="143"/>
      <c r="S579" s="143"/>
      <c r="T579" s="143"/>
      <c r="U579" s="143"/>
      <c r="V579" s="143"/>
      <c r="W579" s="143"/>
      <c r="X579" s="143"/>
      <c r="Y579" s="143"/>
      <c r="Z579" s="261"/>
      <c r="AA579" s="145"/>
      <c r="AB579" s="142"/>
    </row>
    <row r="580" spans="6:28">
      <c r="F580" s="143"/>
      <c r="G580" s="145"/>
      <c r="H580" s="143"/>
      <c r="I580" s="143"/>
      <c r="J580" s="143"/>
      <c r="K580" s="342"/>
      <c r="L580" s="342"/>
      <c r="M580" s="143"/>
      <c r="N580" s="143"/>
      <c r="O580" s="143"/>
      <c r="P580" s="143"/>
      <c r="Q580" s="143"/>
      <c r="R580" s="143"/>
      <c r="S580" s="143"/>
      <c r="T580" s="143"/>
      <c r="U580" s="143"/>
      <c r="V580" s="143"/>
      <c r="W580" s="143"/>
      <c r="X580" s="143"/>
      <c r="Y580" s="143"/>
      <c r="Z580" s="261"/>
      <c r="AA580" s="145"/>
      <c r="AB580" s="142"/>
    </row>
    <row r="581" spans="6:28">
      <c r="F581" s="143"/>
      <c r="G581" s="145"/>
      <c r="H581" s="143"/>
      <c r="I581" s="143"/>
      <c r="J581" s="143"/>
      <c r="K581" s="342"/>
      <c r="L581" s="342"/>
      <c r="M581" s="143"/>
      <c r="N581" s="143"/>
      <c r="O581" s="143"/>
      <c r="P581" s="143"/>
      <c r="Q581" s="143"/>
      <c r="R581" s="143"/>
      <c r="S581" s="143"/>
      <c r="T581" s="143"/>
      <c r="U581" s="143"/>
      <c r="V581" s="143"/>
      <c r="W581" s="143"/>
      <c r="X581" s="143"/>
      <c r="Y581" s="143"/>
      <c r="Z581" s="261"/>
      <c r="AA581" s="145"/>
      <c r="AB581" s="142"/>
    </row>
    <row r="582" spans="6:28">
      <c r="F582" s="143"/>
      <c r="G582" s="145"/>
      <c r="H582" s="143"/>
      <c r="I582" s="143"/>
      <c r="J582" s="143"/>
      <c r="K582" s="342"/>
      <c r="L582" s="342"/>
      <c r="M582" s="143"/>
      <c r="N582" s="143"/>
      <c r="O582" s="143"/>
      <c r="P582" s="143"/>
      <c r="Q582" s="143"/>
      <c r="R582" s="143"/>
      <c r="S582" s="143"/>
      <c r="T582" s="143"/>
      <c r="U582" s="143"/>
      <c r="V582" s="143"/>
      <c r="W582" s="143"/>
      <c r="X582" s="143"/>
      <c r="Y582" s="143"/>
      <c r="Z582" s="261"/>
      <c r="AA582" s="261"/>
      <c r="AB582" s="142"/>
    </row>
    <row r="583" spans="6:28">
      <c r="F583" s="143"/>
      <c r="G583" s="145"/>
      <c r="H583" s="143"/>
      <c r="I583" s="143"/>
      <c r="J583" s="143"/>
      <c r="K583" s="342"/>
      <c r="L583" s="342"/>
      <c r="M583" s="143"/>
      <c r="N583" s="143"/>
      <c r="O583" s="143"/>
      <c r="P583" s="143"/>
      <c r="Q583" s="143"/>
      <c r="R583" s="143"/>
      <c r="S583" s="143"/>
      <c r="T583" s="143"/>
      <c r="U583" s="143"/>
      <c r="V583" s="143"/>
      <c r="W583" s="143"/>
      <c r="X583" s="143"/>
      <c r="Y583" s="143"/>
      <c r="Z583" s="261"/>
      <c r="AA583" s="145"/>
      <c r="AB583" s="142"/>
    </row>
    <row r="584" spans="6:28">
      <c r="F584" s="143"/>
      <c r="G584" s="145"/>
      <c r="H584" s="143"/>
      <c r="I584" s="143"/>
      <c r="J584" s="143"/>
      <c r="K584" s="342"/>
      <c r="L584" s="342"/>
      <c r="M584" s="143"/>
      <c r="N584" s="143"/>
      <c r="O584" s="143"/>
      <c r="P584" s="143"/>
      <c r="Q584" s="143"/>
      <c r="R584" s="143"/>
      <c r="S584" s="143"/>
      <c r="T584" s="143"/>
      <c r="U584" s="143"/>
      <c r="V584" s="143"/>
      <c r="W584" s="143"/>
      <c r="X584" s="143"/>
      <c r="Y584" s="143"/>
      <c r="Z584" s="261"/>
      <c r="AA584" s="145"/>
      <c r="AB584" s="142"/>
    </row>
    <row r="585" spans="6:28">
      <c r="F585" s="143"/>
      <c r="G585" s="145"/>
      <c r="H585" s="143"/>
      <c r="I585" s="143"/>
      <c r="J585" s="143"/>
      <c r="K585" s="342"/>
      <c r="L585" s="342"/>
      <c r="M585" s="143"/>
      <c r="N585" s="143"/>
      <c r="O585" s="143"/>
      <c r="P585" s="143"/>
      <c r="Q585" s="143"/>
      <c r="R585" s="143"/>
      <c r="S585" s="143"/>
      <c r="T585" s="143"/>
      <c r="U585" s="143"/>
      <c r="V585" s="143"/>
      <c r="W585" s="143"/>
      <c r="X585" s="143"/>
      <c r="Y585" s="143"/>
      <c r="Z585" s="261"/>
      <c r="AA585" s="261"/>
      <c r="AB585" s="142"/>
    </row>
    <row r="586" spans="6:28">
      <c r="F586" s="143"/>
      <c r="G586" s="145"/>
      <c r="H586" s="143"/>
      <c r="I586" s="143"/>
      <c r="J586" s="143"/>
      <c r="K586" s="342"/>
      <c r="L586" s="342"/>
      <c r="M586" s="143"/>
      <c r="N586" s="143"/>
      <c r="O586" s="143"/>
      <c r="P586" s="143"/>
      <c r="Q586" s="143"/>
      <c r="R586" s="143"/>
      <c r="S586" s="143"/>
      <c r="T586" s="143"/>
      <c r="U586" s="143"/>
      <c r="V586" s="143"/>
      <c r="W586" s="143"/>
      <c r="X586" s="143"/>
      <c r="Y586" s="143"/>
      <c r="Z586" s="261"/>
      <c r="AA586" s="261"/>
      <c r="AB586" s="142"/>
    </row>
    <row r="587" spans="6:28">
      <c r="F587" s="143"/>
      <c r="G587" s="145"/>
      <c r="H587" s="143"/>
      <c r="I587" s="143"/>
      <c r="J587" s="143"/>
      <c r="K587" s="342"/>
      <c r="L587" s="342"/>
      <c r="M587" s="143"/>
      <c r="N587" s="143"/>
      <c r="O587" s="143"/>
      <c r="P587" s="143"/>
      <c r="Q587" s="143"/>
      <c r="R587" s="143"/>
      <c r="S587" s="143"/>
      <c r="T587" s="143"/>
      <c r="U587" s="143"/>
      <c r="V587" s="143"/>
      <c r="W587" s="143"/>
      <c r="X587" s="143"/>
      <c r="Y587" s="143"/>
      <c r="Z587" s="261"/>
      <c r="AA587" s="261"/>
      <c r="AB587" s="142"/>
    </row>
    <row r="588" spans="6:28">
      <c r="F588" s="143"/>
      <c r="G588" s="145"/>
      <c r="H588" s="143"/>
      <c r="I588" s="143"/>
      <c r="J588" s="143"/>
      <c r="K588" s="342"/>
      <c r="L588" s="342"/>
      <c r="M588" s="143"/>
      <c r="N588" s="143"/>
      <c r="O588" s="143"/>
      <c r="P588" s="143"/>
      <c r="Q588" s="143"/>
      <c r="R588" s="143"/>
      <c r="S588" s="143"/>
      <c r="T588" s="143"/>
      <c r="U588" s="143"/>
      <c r="V588" s="143"/>
      <c r="W588" s="143"/>
      <c r="X588" s="143"/>
      <c r="Y588" s="143"/>
      <c r="Z588" s="261"/>
      <c r="AA588" s="261"/>
      <c r="AB588" s="142"/>
    </row>
    <row r="589" spans="6:28">
      <c r="F589" s="143"/>
      <c r="G589" s="145"/>
      <c r="H589" s="143"/>
      <c r="I589" s="143"/>
      <c r="J589" s="143"/>
      <c r="K589" s="342"/>
      <c r="L589" s="342"/>
      <c r="M589" s="143"/>
      <c r="N589" s="143"/>
      <c r="O589" s="143"/>
      <c r="P589" s="143"/>
      <c r="Q589" s="143"/>
      <c r="R589" s="143"/>
      <c r="S589" s="143"/>
      <c r="T589" s="143"/>
      <c r="U589" s="143"/>
      <c r="V589" s="143"/>
      <c r="W589" s="143"/>
      <c r="X589" s="143"/>
      <c r="Y589" s="143"/>
      <c r="Z589" s="261"/>
      <c r="AA589" s="261"/>
      <c r="AB589" s="142"/>
    </row>
    <row r="590" spans="6:28">
      <c r="F590" s="143"/>
      <c r="G590" s="145"/>
      <c r="H590" s="143"/>
      <c r="I590" s="143"/>
      <c r="J590" s="143"/>
      <c r="K590" s="342"/>
      <c r="L590" s="342"/>
      <c r="M590" s="143"/>
      <c r="N590" s="143"/>
      <c r="O590" s="143"/>
      <c r="P590" s="143"/>
      <c r="Q590" s="143"/>
      <c r="R590" s="143"/>
      <c r="S590" s="143"/>
      <c r="T590" s="143"/>
      <c r="U590" s="143"/>
      <c r="V590" s="143"/>
      <c r="W590" s="143"/>
      <c r="X590" s="143"/>
      <c r="Y590" s="143"/>
      <c r="Z590" s="261"/>
      <c r="AA590" s="261"/>
      <c r="AB590" s="142"/>
    </row>
    <row r="591" spans="6:28">
      <c r="F591" s="143"/>
      <c r="G591" s="145"/>
      <c r="H591" s="143"/>
      <c r="I591" s="143"/>
      <c r="J591" s="143"/>
      <c r="K591" s="342"/>
      <c r="L591" s="342"/>
      <c r="M591" s="143"/>
      <c r="N591" s="143"/>
      <c r="O591" s="143"/>
      <c r="P591" s="143"/>
      <c r="Q591" s="143"/>
      <c r="R591" s="143"/>
      <c r="S591" s="143"/>
      <c r="T591" s="143"/>
      <c r="U591" s="143"/>
      <c r="V591" s="143"/>
      <c r="W591" s="143"/>
      <c r="X591" s="143"/>
      <c r="Y591" s="143"/>
      <c r="Z591" s="261"/>
      <c r="AA591" s="145"/>
      <c r="AB591" s="142"/>
    </row>
    <row r="592" spans="6:28">
      <c r="F592" s="143"/>
      <c r="G592" s="145"/>
      <c r="H592" s="143"/>
      <c r="I592" s="143"/>
      <c r="J592" s="143"/>
      <c r="K592" s="342"/>
      <c r="L592" s="342"/>
      <c r="M592" s="143"/>
      <c r="N592" s="143"/>
      <c r="O592" s="143"/>
      <c r="P592" s="143"/>
      <c r="Q592" s="143"/>
      <c r="R592" s="143"/>
      <c r="S592" s="143"/>
      <c r="T592" s="143"/>
      <c r="U592" s="143"/>
      <c r="V592" s="143"/>
      <c r="W592" s="143"/>
      <c r="X592" s="143"/>
      <c r="Y592" s="143"/>
      <c r="Z592" s="261"/>
      <c r="AA592" s="261"/>
      <c r="AB592" s="142"/>
    </row>
    <row r="593" spans="6:28">
      <c r="F593" s="143"/>
      <c r="G593" s="145"/>
      <c r="H593" s="143"/>
      <c r="I593" s="143"/>
      <c r="J593" s="143"/>
      <c r="K593" s="342"/>
      <c r="L593" s="342"/>
      <c r="M593" s="143"/>
      <c r="N593" s="143"/>
      <c r="O593" s="143"/>
      <c r="P593" s="143"/>
      <c r="Q593" s="143"/>
      <c r="R593" s="143"/>
      <c r="S593" s="143"/>
      <c r="T593" s="143"/>
      <c r="U593" s="143"/>
      <c r="V593" s="143"/>
      <c r="W593" s="143"/>
      <c r="X593" s="143"/>
      <c r="Y593" s="143"/>
      <c r="Z593" s="261"/>
      <c r="AA593" s="261"/>
      <c r="AB593" s="142"/>
    </row>
    <row r="594" spans="6:28">
      <c r="F594" s="143"/>
      <c r="G594" s="145"/>
      <c r="H594" s="143"/>
      <c r="I594" s="143"/>
      <c r="J594" s="143"/>
      <c r="K594" s="342"/>
      <c r="L594" s="342"/>
      <c r="M594" s="143"/>
      <c r="N594" s="143"/>
      <c r="O594" s="143"/>
      <c r="P594" s="143"/>
      <c r="Q594" s="143"/>
      <c r="R594" s="143"/>
      <c r="S594" s="143"/>
      <c r="T594" s="143"/>
      <c r="U594" s="143"/>
      <c r="V594" s="143"/>
      <c r="W594" s="143"/>
      <c r="X594" s="143"/>
      <c r="Y594" s="143"/>
      <c r="Z594" s="261"/>
      <c r="AA594" s="261"/>
      <c r="AB594" s="142"/>
    </row>
    <row r="595" spans="6:28">
      <c r="F595" s="143"/>
      <c r="G595" s="145"/>
      <c r="H595" s="143"/>
      <c r="I595" s="143"/>
      <c r="J595" s="143"/>
      <c r="K595" s="342"/>
      <c r="L595" s="342"/>
      <c r="M595" s="143"/>
      <c r="N595" s="143"/>
      <c r="O595" s="143"/>
      <c r="P595" s="143"/>
      <c r="Q595" s="143"/>
      <c r="R595" s="143"/>
      <c r="S595" s="143"/>
      <c r="T595" s="143"/>
      <c r="U595" s="143"/>
      <c r="V595" s="143"/>
      <c r="W595" s="143"/>
      <c r="X595" s="143"/>
      <c r="Y595" s="143"/>
      <c r="Z595" s="261"/>
      <c r="AA595" s="261"/>
      <c r="AB595" s="142"/>
    </row>
    <row r="596" spans="6:28">
      <c r="F596" s="143"/>
      <c r="G596" s="145"/>
      <c r="H596" s="143"/>
      <c r="I596" s="143"/>
      <c r="J596" s="143"/>
      <c r="K596" s="342"/>
      <c r="L596" s="342"/>
      <c r="M596" s="143"/>
      <c r="N596" s="143"/>
      <c r="O596" s="143"/>
      <c r="P596" s="143"/>
      <c r="Q596" s="143"/>
      <c r="R596" s="143"/>
      <c r="S596" s="143"/>
      <c r="T596" s="143"/>
      <c r="U596" s="143"/>
      <c r="V596" s="143"/>
      <c r="W596" s="143"/>
      <c r="X596" s="143"/>
      <c r="Y596" s="143"/>
      <c r="Z596" s="261"/>
      <c r="AA596" s="261"/>
      <c r="AB596" s="142"/>
    </row>
    <row r="597" spans="6:28">
      <c r="F597" s="143"/>
      <c r="G597" s="145"/>
      <c r="H597" s="143"/>
      <c r="I597" s="143"/>
      <c r="J597" s="143"/>
      <c r="K597" s="342"/>
      <c r="L597" s="342"/>
      <c r="M597" s="143"/>
      <c r="N597" s="143"/>
      <c r="O597" s="143"/>
      <c r="P597" s="143"/>
      <c r="Q597" s="143"/>
      <c r="R597" s="143"/>
      <c r="S597" s="143"/>
      <c r="T597" s="143"/>
      <c r="U597" s="143"/>
      <c r="V597" s="143"/>
      <c r="W597" s="143"/>
      <c r="X597" s="143"/>
      <c r="Y597" s="143"/>
      <c r="Z597" s="261"/>
      <c r="AA597" s="261"/>
      <c r="AB597" s="142"/>
    </row>
    <row r="598" spans="6:28">
      <c r="F598" s="143"/>
      <c r="G598" s="145"/>
      <c r="H598" s="143"/>
      <c r="I598" s="143"/>
      <c r="J598" s="143"/>
      <c r="K598" s="342"/>
      <c r="L598" s="342"/>
      <c r="M598" s="143"/>
      <c r="N598" s="143"/>
      <c r="O598" s="143"/>
      <c r="P598" s="143"/>
      <c r="Q598" s="143"/>
      <c r="R598" s="143"/>
      <c r="S598" s="143"/>
      <c r="T598" s="143"/>
      <c r="U598" s="143"/>
      <c r="V598" s="143"/>
      <c r="W598" s="143"/>
      <c r="X598" s="143"/>
      <c r="Y598" s="143"/>
      <c r="Z598" s="261"/>
      <c r="AA598" s="261"/>
      <c r="AB598" s="142"/>
    </row>
    <row r="599" spans="6:28">
      <c r="F599" s="143"/>
      <c r="G599" s="145"/>
      <c r="H599" s="143"/>
      <c r="I599" s="143"/>
      <c r="J599" s="143"/>
      <c r="K599" s="342"/>
      <c r="L599" s="342"/>
      <c r="M599" s="143"/>
      <c r="N599" s="143"/>
      <c r="O599" s="143"/>
      <c r="P599" s="143"/>
      <c r="Q599" s="143"/>
      <c r="R599" s="143"/>
      <c r="S599" s="143"/>
      <c r="T599" s="143"/>
      <c r="U599" s="143"/>
      <c r="V599" s="143"/>
      <c r="W599" s="143"/>
      <c r="X599" s="143"/>
      <c r="Y599" s="143"/>
      <c r="Z599" s="261"/>
      <c r="AA599" s="261"/>
      <c r="AB599" s="142"/>
    </row>
    <row r="600" spans="6:28">
      <c r="F600" s="143"/>
      <c r="G600" s="145"/>
      <c r="H600" s="143"/>
      <c r="I600" s="143"/>
      <c r="J600" s="143"/>
      <c r="K600" s="342"/>
      <c r="L600" s="342"/>
      <c r="M600" s="143"/>
      <c r="N600" s="143"/>
      <c r="O600" s="143"/>
      <c r="P600" s="143"/>
      <c r="Q600" s="143"/>
      <c r="R600" s="143"/>
      <c r="S600" s="143"/>
      <c r="T600" s="143"/>
      <c r="U600" s="143"/>
      <c r="V600" s="143"/>
      <c r="W600" s="143"/>
      <c r="X600" s="143"/>
      <c r="Y600" s="143"/>
      <c r="Z600" s="261"/>
      <c r="AA600" s="261"/>
      <c r="AB600" s="142"/>
    </row>
    <row r="601" spans="6:28">
      <c r="F601" s="143"/>
      <c r="G601" s="145"/>
      <c r="H601" s="143"/>
      <c r="I601" s="143"/>
      <c r="J601" s="143"/>
      <c r="K601" s="342"/>
      <c r="L601" s="342"/>
      <c r="M601" s="143"/>
      <c r="N601" s="143"/>
      <c r="O601" s="143"/>
      <c r="P601" s="143"/>
      <c r="Q601" s="143"/>
      <c r="R601" s="143"/>
      <c r="S601" s="143"/>
      <c r="T601" s="143"/>
      <c r="U601" s="143"/>
      <c r="V601" s="143"/>
      <c r="W601" s="143"/>
      <c r="X601" s="143"/>
      <c r="Y601" s="143"/>
      <c r="Z601" s="261"/>
      <c r="AA601" s="261"/>
      <c r="AB601" s="142"/>
    </row>
    <row r="602" spans="6:28">
      <c r="F602" s="143"/>
      <c r="G602" s="145"/>
      <c r="H602" s="143"/>
      <c r="I602" s="143"/>
      <c r="J602" s="143"/>
      <c r="K602" s="342"/>
      <c r="L602" s="342"/>
      <c r="M602" s="143"/>
      <c r="N602" s="143"/>
      <c r="O602" s="143"/>
      <c r="P602" s="143"/>
      <c r="Q602" s="143"/>
      <c r="R602" s="143"/>
      <c r="S602" s="143"/>
      <c r="T602" s="143"/>
      <c r="U602" s="143"/>
      <c r="V602" s="143"/>
      <c r="W602" s="143"/>
      <c r="X602" s="143"/>
      <c r="Y602" s="143"/>
      <c r="Z602" s="261"/>
      <c r="AA602" s="261"/>
      <c r="AB602" s="142"/>
    </row>
    <row r="603" spans="6:28">
      <c r="F603" s="143"/>
      <c r="G603" s="145"/>
      <c r="H603" s="143"/>
      <c r="I603" s="143"/>
      <c r="J603" s="143"/>
      <c r="K603" s="342"/>
      <c r="L603" s="342"/>
      <c r="M603" s="143"/>
      <c r="N603" s="143"/>
      <c r="O603" s="143"/>
      <c r="P603" s="143"/>
      <c r="Q603" s="143"/>
      <c r="R603" s="143"/>
      <c r="S603" s="143"/>
      <c r="T603" s="143"/>
      <c r="U603" s="143"/>
      <c r="V603" s="143"/>
      <c r="W603" s="143"/>
      <c r="X603" s="143"/>
      <c r="Y603" s="143"/>
      <c r="Z603" s="261"/>
      <c r="AA603" s="261"/>
      <c r="AB603" s="142"/>
    </row>
    <row r="604" spans="6:28">
      <c r="F604" s="143"/>
      <c r="G604" s="145"/>
      <c r="H604" s="143"/>
      <c r="I604" s="143"/>
      <c r="J604" s="143"/>
      <c r="K604" s="342"/>
      <c r="L604" s="342"/>
      <c r="M604" s="143"/>
      <c r="N604" s="143"/>
      <c r="O604" s="143"/>
      <c r="P604" s="143"/>
      <c r="Q604" s="143"/>
      <c r="R604" s="143"/>
      <c r="S604" s="143"/>
      <c r="T604" s="143"/>
      <c r="U604" s="143"/>
      <c r="V604" s="143"/>
      <c r="W604" s="143"/>
      <c r="X604" s="143"/>
      <c r="Y604" s="143"/>
      <c r="Z604" s="261"/>
      <c r="AA604" s="145"/>
      <c r="AB604" s="142"/>
    </row>
    <row r="605" spans="6:28">
      <c r="F605" s="143"/>
      <c r="G605" s="145"/>
      <c r="H605" s="143"/>
      <c r="I605" s="143"/>
      <c r="J605" s="143"/>
      <c r="K605" s="342"/>
      <c r="L605" s="342"/>
      <c r="M605" s="143"/>
      <c r="N605" s="143"/>
      <c r="O605" s="143"/>
      <c r="P605" s="143"/>
      <c r="Q605" s="143"/>
      <c r="R605" s="143"/>
      <c r="S605" s="143"/>
      <c r="T605" s="143"/>
      <c r="U605" s="143"/>
      <c r="V605" s="143"/>
      <c r="W605" s="143"/>
      <c r="X605" s="143"/>
      <c r="Y605" s="143"/>
      <c r="Z605" s="261"/>
      <c r="AA605" s="145"/>
      <c r="AB605" s="142"/>
    </row>
    <row r="606" spans="6:28">
      <c r="F606" s="143"/>
      <c r="G606" s="145"/>
      <c r="H606" s="143"/>
      <c r="I606" s="143"/>
      <c r="J606" s="143"/>
      <c r="K606" s="342"/>
      <c r="L606" s="342"/>
      <c r="M606" s="143"/>
      <c r="N606" s="143"/>
      <c r="O606" s="143"/>
      <c r="P606" s="143"/>
      <c r="Q606" s="143"/>
      <c r="R606" s="143"/>
      <c r="S606" s="143"/>
      <c r="T606" s="143"/>
      <c r="U606" s="143"/>
      <c r="V606" s="143"/>
      <c r="W606" s="143"/>
      <c r="X606" s="143"/>
      <c r="Y606" s="143"/>
      <c r="Z606" s="261"/>
      <c r="AA606" s="261"/>
      <c r="AB606" s="142"/>
    </row>
    <row r="607" spans="6:28">
      <c r="F607" s="143"/>
      <c r="G607" s="145"/>
      <c r="H607" s="143"/>
      <c r="I607" s="143"/>
      <c r="J607" s="143"/>
      <c r="K607" s="342"/>
      <c r="L607" s="342"/>
      <c r="M607" s="143"/>
      <c r="N607" s="143"/>
      <c r="O607" s="143"/>
      <c r="P607" s="143"/>
      <c r="Q607" s="143"/>
      <c r="R607" s="143"/>
      <c r="S607" s="143"/>
      <c r="T607" s="143"/>
      <c r="U607" s="143"/>
      <c r="V607" s="143"/>
      <c r="W607" s="143"/>
      <c r="X607" s="143"/>
      <c r="Y607" s="143"/>
      <c r="Z607" s="261"/>
      <c r="AA607" s="261"/>
      <c r="AB607" s="142"/>
    </row>
    <row r="608" spans="6:28">
      <c r="F608" s="143"/>
      <c r="G608" s="145"/>
      <c r="H608" s="143"/>
      <c r="I608" s="143"/>
      <c r="J608" s="143"/>
      <c r="K608" s="342"/>
      <c r="L608" s="342"/>
      <c r="M608" s="143"/>
      <c r="N608" s="143"/>
      <c r="O608" s="143"/>
      <c r="P608" s="143"/>
      <c r="Q608" s="143"/>
      <c r="R608" s="143"/>
      <c r="S608" s="143"/>
      <c r="T608" s="143"/>
      <c r="U608" s="143"/>
      <c r="V608" s="143"/>
      <c r="W608" s="143"/>
      <c r="X608" s="143"/>
      <c r="Y608" s="143"/>
      <c r="Z608" s="261"/>
      <c r="AA608" s="261"/>
      <c r="AB608" s="142"/>
    </row>
    <row r="609" spans="6:28">
      <c r="F609" s="143"/>
      <c r="G609" s="145"/>
      <c r="H609" s="143"/>
      <c r="I609" s="143"/>
      <c r="J609" s="143"/>
      <c r="K609" s="342"/>
      <c r="L609" s="342"/>
      <c r="M609" s="143"/>
      <c r="N609" s="143"/>
      <c r="O609" s="143"/>
      <c r="P609" s="143"/>
      <c r="Q609" s="143"/>
      <c r="R609" s="143"/>
      <c r="S609" s="143"/>
      <c r="T609" s="143"/>
      <c r="U609" s="143"/>
      <c r="V609" s="143"/>
      <c r="W609" s="143"/>
      <c r="X609" s="143"/>
      <c r="Y609" s="143"/>
      <c r="Z609" s="261"/>
      <c r="AA609" s="261"/>
      <c r="AB609" s="142"/>
    </row>
    <row r="610" spans="6:28">
      <c r="F610" s="143"/>
      <c r="G610" s="145"/>
      <c r="H610" s="143"/>
      <c r="I610" s="143"/>
      <c r="J610" s="143"/>
      <c r="K610" s="342"/>
      <c r="L610" s="342"/>
      <c r="M610" s="143"/>
      <c r="N610" s="143"/>
      <c r="O610" s="143"/>
      <c r="P610" s="143"/>
      <c r="Q610" s="143"/>
      <c r="R610" s="143"/>
      <c r="S610" s="143"/>
      <c r="T610" s="143"/>
      <c r="U610" s="143"/>
      <c r="V610" s="143"/>
      <c r="W610" s="143"/>
      <c r="X610" s="143"/>
      <c r="Y610" s="143"/>
      <c r="Z610" s="261"/>
      <c r="AA610" s="261"/>
      <c r="AB610" s="142"/>
    </row>
    <row r="611" spans="6:28">
      <c r="F611" s="143"/>
      <c r="G611" s="145"/>
      <c r="H611" s="143"/>
      <c r="I611" s="143"/>
      <c r="J611" s="143"/>
      <c r="K611" s="342"/>
      <c r="L611" s="342"/>
      <c r="M611" s="143"/>
      <c r="N611" s="143"/>
      <c r="O611" s="143"/>
      <c r="P611" s="143"/>
      <c r="Q611" s="143"/>
      <c r="R611" s="143"/>
      <c r="S611" s="143"/>
      <c r="T611" s="143"/>
      <c r="U611" s="143"/>
      <c r="V611" s="143"/>
      <c r="W611" s="143"/>
      <c r="X611" s="143"/>
      <c r="Y611" s="143"/>
      <c r="Z611" s="261"/>
      <c r="AA611" s="261"/>
      <c r="AB611" s="142"/>
    </row>
    <row r="612" spans="6:28">
      <c r="F612" s="143"/>
      <c r="G612" s="145"/>
      <c r="H612" s="143"/>
      <c r="I612" s="143"/>
      <c r="J612" s="143"/>
      <c r="K612" s="342"/>
      <c r="L612" s="342"/>
      <c r="M612" s="143"/>
      <c r="N612" s="143"/>
      <c r="O612" s="143"/>
      <c r="P612" s="143"/>
      <c r="Q612" s="143"/>
      <c r="R612" s="143"/>
      <c r="S612" s="143"/>
      <c r="T612" s="143"/>
      <c r="U612" s="143"/>
      <c r="V612" s="143"/>
      <c r="W612" s="143"/>
      <c r="X612" s="143"/>
      <c r="Y612" s="143"/>
      <c r="Z612" s="261"/>
      <c r="AA612" s="261"/>
      <c r="AB612" s="142"/>
    </row>
    <row r="613" spans="6:28">
      <c r="F613" s="143"/>
      <c r="G613" s="145"/>
      <c r="H613" s="143"/>
      <c r="I613" s="143"/>
      <c r="J613" s="143"/>
      <c r="K613" s="342"/>
      <c r="L613" s="342"/>
      <c r="M613" s="143"/>
      <c r="N613" s="143"/>
      <c r="O613" s="143"/>
      <c r="P613" s="143"/>
      <c r="Q613" s="143"/>
      <c r="R613" s="143"/>
      <c r="S613" s="143"/>
      <c r="T613" s="143"/>
      <c r="U613" s="143"/>
      <c r="V613" s="143"/>
      <c r="W613" s="143"/>
      <c r="X613" s="143"/>
      <c r="Y613" s="143"/>
      <c r="Z613" s="261"/>
      <c r="AA613" s="261"/>
      <c r="AB613" s="142"/>
    </row>
    <row r="614" spans="6:28">
      <c r="F614" s="143"/>
      <c r="G614" s="145"/>
      <c r="H614" s="143"/>
      <c r="I614" s="143"/>
      <c r="J614" s="143"/>
      <c r="K614" s="342"/>
      <c r="L614" s="342"/>
      <c r="M614" s="143"/>
      <c r="N614" s="143"/>
      <c r="O614" s="143"/>
      <c r="P614" s="143"/>
      <c r="Q614" s="143"/>
      <c r="R614" s="143"/>
      <c r="S614" s="143"/>
      <c r="T614" s="143"/>
      <c r="U614" s="143"/>
      <c r="V614" s="143"/>
      <c r="W614" s="143"/>
      <c r="X614" s="143"/>
      <c r="Y614" s="143"/>
      <c r="Z614" s="261"/>
      <c r="AA614" s="145"/>
      <c r="AB614" s="142"/>
    </row>
    <row r="615" spans="6:28">
      <c r="F615" s="143"/>
      <c r="G615" s="145"/>
      <c r="H615" s="143"/>
      <c r="I615" s="143"/>
      <c r="J615" s="143"/>
      <c r="K615" s="342"/>
      <c r="L615" s="342"/>
      <c r="M615" s="143"/>
      <c r="N615" s="143"/>
      <c r="O615" s="143"/>
      <c r="P615" s="143"/>
      <c r="Q615" s="143"/>
      <c r="R615" s="143"/>
      <c r="S615" s="143"/>
      <c r="T615" s="143"/>
      <c r="U615" s="143"/>
      <c r="V615" s="143"/>
      <c r="W615" s="143"/>
      <c r="X615" s="143"/>
      <c r="Y615" s="143"/>
      <c r="Z615" s="261"/>
      <c r="AA615" s="145"/>
      <c r="AB615" s="142"/>
    </row>
    <row r="616" spans="6:28">
      <c r="F616" s="143"/>
      <c r="G616" s="145"/>
      <c r="H616" s="143"/>
      <c r="I616" s="143"/>
      <c r="J616" s="143"/>
      <c r="K616" s="342"/>
      <c r="L616" s="342"/>
      <c r="M616" s="143"/>
      <c r="N616" s="143"/>
      <c r="O616" s="143"/>
      <c r="P616" s="143"/>
      <c r="Q616" s="143"/>
      <c r="R616" s="143"/>
      <c r="S616" s="143"/>
      <c r="T616" s="143"/>
      <c r="U616" s="143"/>
      <c r="V616" s="143"/>
      <c r="W616" s="143"/>
      <c r="X616" s="143"/>
      <c r="Y616" s="143"/>
      <c r="Z616" s="261"/>
      <c r="AA616" s="261"/>
      <c r="AB616" s="142"/>
    </row>
    <row r="617" spans="6:28">
      <c r="F617" s="143"/>
      <c r="G617" s="145"/>
      <c r="H617" s="143"/>
      <c r="I617" s="143"/>
      <c r="J617" s="143"/>
      <c r="K617" s="342"/>
      <c r="L617" s="342"/>
      <c r="M617" s="143"/>
      <c r="N617" s="143"/>
      <c r="O617" s="143"/>
      <c r="P617" s="143"/>
      <c r="Q617" s="143"/>
      <c r="R617" s="143"/>
      <c r="S617" s="143"/>
      <c r="T617" s="143"/>
      <c r="U617" s="143"/>
      <c r="V617" s="143"/>
      <c r="W617" s="143"/>
      <c r="X617" s="143"/>
      <c r="Y617" s="143"/>
      <c r="Z617" s="261"/>
      <c r="AA617" s="145"/>
      <c r="AB617" s="142"/>
    </row>
    <row r="618" spans="6:28">
      <c r="F618" s="143"/>
      <c r="G618" s="145"/>
      <c r="H618" s="143"/>
      <c r="I618" s="143"/>
      <c r="J618" s="143"/>
      <c r="K618" s="342"/>
      <c r="L618" s="342"/>
      <c r="M618" s="143"/>
      <c r="N618" s="143"/>
      <c r="O618" s="143"/>
      <c r="P618" s="143"/>
      <c r="Q618" s="143"/>
      <c r="R618" s="143"/>
      <c r="S618" s="143"/>
      <c r="T618" s="143"/>
      <c r="U618" s="143"/>
      <c r="V618" s="143"/>
      <c r="W618" s="143"/>
      <c r="X618" s="143"/>
      <c r="Y618" s="143"/>
      <c r="Z618" s="261"/>
      <c r="AA618" s="261"/>
      <c r="AB618" s="142"/>
    </row>
    <row r="619" spans="6:28">
      <c r="F619" s="143"/>
      <c r="G619" s="145"/>
      <c r="H619" s="143"/>
      <c r="I619" s="143"/>
      <c r="J619" s="143"/>
      <c r="K619" s="342"/>
      <c r="L619" s="342"/>
      <c r="M619" s="143"/>
      <c r="N619" s="143"/>
      <c r="O619" s="143"/>
      <c r="P619" s="143"/>
      <c r="Q619" s="143"/>
      <c r="R619" s="143"/>
      <c r="S619" s="143"/>
      <c r="T619" s="143"/>
      <c r="U619" s="143"/>
      <c r="V619" s="143"/>
      <c r="W619" s="143"/>
      <c r="X619" s="143"/>
      <c r="Y619" s="143"/>
      <c r="Z619" s="261"/>
      <c r="AA619" s="261"/>
      <c r="AB619" s="142"/>
    </row>
    <row r="620" spans="6:28">
      <c r="F620" s="143"/>
      <c r="G620" s="145"/>
      <c r="H620" s="143"/>
      <c r="I620" s="143"/>
      <c r="J620" s="143"/>
      <c r="K620" s="342"/>
      <c r="L620" s="342"/>
      <c r="M620" s="143"/>
      <c r="N620" s="143"/>
      <c r="O620" s="143"/>
      <c r="P620" s="143"/>
      <c r="Q620" s="143"/>
      <c r="R620" s="143"/>
      <c r="S620" s="143"/>
      <c r="T620" s="143"/>
      <c r="U620" s="143"/>
      <c r="V620" s="143"/>
      <c r="W620" s="143"/>
      <c r="X620" s="143"/>
      <c r="Y620" s="143"/>
      <c r="Z620" s="261"/>
      <c r="AA620" s="261"/>
      <c r="AB620" s="142"/>
    </row>
    <row r="621" spans="6:28">
      <c r="F621" s="143"/>
      <c r="G621" s="145"/>
      <c r="H621" s="143"/>
      <c r="I621" s="143"/>
      <c r="J621" s="143"/>
      <c r="K621" s="342"/>
      <c r="L621" s="342"/>
      <c r="M621" s="143"/>
      <c r="N621" s="143"/>
      <c r="O621" s="143"/>
      <c r="P621" s="143"/>
      <c r="Q621" s="143"/>
      <c r="R621" s="143"/>
      <c r="S621" s="143"/>
      <c r="T621" s="143"/>
      <c r="U621" s="143"/>
      <c r="V621" s="143"/>
      <c r="W621" s="143"/>
      <c r="X621" s="143"/>
      <c r="Y621" s="143"/>
      <c r="Z621" s="261"/>
      <c r="AA621" s="261"/>
      <c r="AB621" s="142"/>
    </row>
    <row r="622" spans="6:28">
      <c r="F622" s="143"/>
      <c r="G622" s="145"/>
      <c r="H622" s="143"/>
      <c r="I622" s="143"/>
      <c r="J622" s="143"/>
      <c r="K622" s="342"/>
      <c r="L622" s="342"/>
      <c r="M622" s="143"/>
      <c r="N622" s="143"/>
      <c r="O622" s="143"/>
      <c r="P622" s="143"/>
      <c r="Q622" s="143"/>
      <c r="R622" s="143"/>
      <c r="S622" s="143"/>
      <c r="T622" s="143"/>
      <c r="U622" s="143"/>
      <c r="V622" s="143"/>
      <c r="W622" s="143"/>
      <c r="X622" s="143"/>
      <c r="Y622" s="143"/>
      <c r="Z622" s="261"/>
      <c r="AA622" s="261"/>
      <c r="AB622" s="142"/>
    </row>
    <row r="623" spans="6:28">
      <c r="F623" s="143"/>
      <c r="G623" s="145"/>
      <c r="H623" s="143"/>
      <c r="I623" s="143"/>
      <c r="J623" s="143"/>
      <c r="K623" s="342"/>
      <c r="L623" s="342"/>
      <c r="M623" s="143"/>
      <c r="N623" s="143"/>
      <c r="O623" s="143"/>
      <c r="P623" s="143"/>
      <c r="Q623" s="143"/>
      <c r="R623" s="143"/>
      <c r="S623" s="143"/>
      <c r="T623" s="143"/>
      <c r="U623" s="143"/>
      <c r="V623" s="143"/>
      <c r="W623" s="143"/>
      <c r="X623" s="143"/>
      <c r="Y623" s="143"/>
      <c r="Z623" s="261"/>
      <c r="AA623" s="261"/>
      <c r="AB623" s="142"/>
    </row>
    <row r="624" spans="6:28">
      <c r="F624" s="143"/>
      <c r="G624" s="145"/>
      <c r="H624" s="143"/>
      <c r="I624" s="143"/>
      <c r="J624" s="143"/>
      <c r="K624" s="342"/>
      <c r="L624" s="342"/>
      <c r="M624" s="143"/>
      <c r="N624" s="143"/>
      <c r="O624" s="143"/>
      <c r="P624" s="143"/>
      <c r="Q624" s="143"/>
      <c r="R624" s="143"/>
      <c r="S624" s="143"/>
      <c r="T624" s="143"/>
      <c r="U624" s="143"/>
      <c r="V624" s="143"/>
      <c r="W624" s="143"/>
      <c r="X624" s="143"/>
      <c r="Y624" s="143"/>
      <c r="Z624" s="261"/>
      <c r="AA624" s="261"/>
      <c r="AB624" s="142"/>
    </row>
    <row r="625" spans="6:28">
      <c r="F625" s="143"/>
      <c r="G625" s="145"/>
      <c r="H625" s="143"/>
      <c r="I625" s="143"/>
      <c r="J625" s="143"/>
      <c r="K625" s="342"/>
      <c r="L625" s="342"/>
      <c r="M625" s="143"/>
      <c r="N625" s="143"/>
      <c r="O625" s="143"/>
      <c r="P625" s="143"/>
      <c r="Q625" s="143"/>
      <c r="R625" s="143"/>
      <c r="S625" s="143"/>
      <c r="T625" s="143"/>
      <c r="U625" s="143"/>
      <c r="V625" s="143"/>
      <c r="W625" s="143"/>
      <c r="X625" s="143"/>
      <c r="Y625" s="143"/>
      <c r="Z625" s="261"/>
      <c r="AA625" s="261"/>
      <c r="AB625" s="142"/>
    </row>
    <row r="626" spans="6:28">
      <c r="F626" s="143"/>
      <c r="G626" s="145"/>
      <c r="H626" s="143"/>
      <c r="I626" s="143"/>
      <c r="J626" s="143"/>
      <c r="K626" s="342"/>
      <c r="L626" s="342"/>
      <c r="M626" s="143"/>
      <c r="N626" s="143"/>
      <c r="O626" s="143"/>
      <c r="P626" s="143"/>
      <c r="Q626" s="143"/>
      <c r="R626" s="143"/>
      <c r="S626" s="143"/>
      <c r="T626" s="143"/>
      <c r="U626" s="143"/>
      <c r="V626" s="143"/>
      <c r="W626" s="143"/>
      <c r="X626" s="143"/>
      <c r="Y626" s="143"/>
      <c r="Z626" s="261"/>
      <c r="AA626" s="261"/>
      <c r="AB626" s="142"/>
    </row>
    <row r="627" spans="6:28">
      <c r="F627" s="143"/>
      <c r="G627" s="145"/>
      <c r="H627" s="143"/>
      <c r="I627" s="143"/>
      <c r="J627" s="143"/>
      <c r="K627" s="342"/>
      <c r="L627" s="342"/>
      <c r="M627" s="143"/>
      <c r="N627" s="143"/>
      <c r="O627" s="143"/>
      <c r="P627" s="143"/>
      <c r="Q627" s="143"/>
      <c r="R627" s="143"/>
      <c r="S627" s="143"/>
      <c r="T627" s="143"/>
      <c r="U627" s="143"/>
      <c r="V627" s="143"/>
      <c r="W627" s="143"/>
      <c r="X627" s="143"/>
      <c r="Y627" s="143"/>
      <c r="Z627" s="261"/>
      <c r="AA627" s="261"/>
      <c r="AB627" s="142"/>
    </row>
    <row r="628" spans="6:28">
      <c r="F628" s="143"/>
      <c r="G628" s="145"/>
      <c r="H628" s="143"/>
      <c r="I628" s="143"/>
      <c r="J628" s="143"/>
      <c r="K628" s="342"/>
      <c r="L628" s="342"/>
      <c r="M628" s="143"/>
      <c r="N628" s="143"/>
      <c r="O628" s="143"/>
      <c r="P628" s="143"/>
      <c r="Q628" s="143"/>
      <c r="R628" s="143"/>
      <c r="S628" s="143"/>
      <c r="T628" s="143"/>
      <c r="U628" s="143"/>
      <c r="V628" s="143"/>
      <c r="W628" s="143"/>
      <c r="X628" s="143"/>
      <c r="Y628" s="143"/>
      <c r="Z628" s="261"/>
      <c r="AA628" s="261"/>
      <c r="AB628" s="142"/>
    </row>
    <row r="629" spans="6:28">
      <c r="F629" s="143"/>
      <c r="G629" s="145"/>
      <c r="H629" s="143"/>
      <c r="I629" s="143"/>
      <c r="J629" s="143"/>
      <c r="K629" s="342"/>
      <c r="L629" s="342"/>
      <c r="M629" s="143"/>
      <c r="N629" s="143"/>
      <c r="O629" s="143"/>
      <c r="P629" s="143"/>
      <c r="Q629" s="143"/>
      <c r="R629" s="143"/>
      <c r="S629" s="143"/>
      <c r="T629" s="143"/>
      <c r="U629" s="143"/>
      <c r="V629" s="143"/>
      <c r="W629" s="143"/>
      <c r="X629" s="143"/>
      <c r="Y629" s="143"/>
      <c r="Z629" s="261"/>
      <c r="AA629" s="261"/>
      <c r="AB629" s="142"/>
    </row>
    <row r="630" spans="6:28">
      <c r="F630" s="143"/>
      <c r="G630" s="145"/>
      <c r="H630" s="143"/>
      <c r="I630" s="143"/>
      <c r="J630" s="143"/>
      <c r="K630" s="342"/>
      <c r="L630" s="342"/>
      <c r="M630" s="143"/>
      <c r="N630" s="143"/>
      <c r="O630" s="143"/>
      <c r="P630" s="143"/>
      <c r="Q630" s="143"/>
      <c r="R630" s="143"/>
      <c r="S630" s="143"/>
      <c r="T630" s="143"/>
      <c r="U630" s="143"/>
      <c r="V630" s="143"/>
      <c r="W630" s="143"/>
      <c r="X630" s="143"/>
      <c r="Y630" s="143"/>
      <c r="Z630" s="261"/>
      <c r="AA630" s="145"/>
      <c r="AB630" s="142"/>
    </row>
    <row r="631" spans="6:28">
      <c r="F631" s="143"/>
      <c r="G631" s="145"/>
      <c r="H631" s="143"/>
      <c r="I631" s="143"/>
      <c r="J631" s="143"/>
      <c r="K631" s="342"/>
      <c r="L631" s="342"/>
      <c r="M631" s="143"/>
      <c r="N631" s="143"/>
      <c r="O631" s="143"/>
      <c r="P631" s="143"/>
      <c r="Q631" s="143"/>
      <c r="R631" s="143"/>
      <c r="S631" s="143"/>
      <c r="T631" s="143"/>
      <c r="U631" s="143"/>
      <c r="V631" s="143"/>
      <c r="W631" s="143"/>
      <c r="X631" s="143"/>
      <c r="Y631" s="143"/>
      <c r="Z631" s="261"/>
      <c r="AA631" s="145"/>
      <c r="AB631" s="142"/>
    </row>
    <row r="632" spans="6:28">
      <c r="F632" s="143"/>
      <c r="G632" s="145"/>
      <c r="H632" s="143"/>
      <c r="I632" s="143"/>
      <c r="J632" s="143"/>
      <c r="K632" s="342"/>
      <c r="L632" s="342"/>
      <c r="M632" s="143"/>
      <c r="N632" s="143"/>
      <c r="O632" s="143"/>
      <c r="P632" s="143"/>
      <c r="Q632" s="143"/>
      <c r="R632" s="143"/>
      <c r="S632" s="143"/>
      <c r="T632" s="143"/>
      <c r="U632" s="143"/>
      <c r="V632" s="143"/>
      <c r="W632" s="143"/>
      <c r="X632" s="143"/>
      <c r="Y632" s="143"/>
      <c r="Z632" s="261"/>
      <c r="AA632" s="261"/>
      <c r="AB632" s="142"/>
    </row>
    <row r="633" spans="6:28">
      <c r="F633" s="143"/>
      <c r="G633" s="145"/>
      <c r="H633" s="143"/>
      <c r="I633" s="143"/>
      <c r="J633" s="143"/>
      <c r="K633" s="342"/>
      <c r="L633" s="342"/>
      <c r="M633" s="143"/>
      <c r="N633" s="143"/>
      <c r="O633" s="143"/>
      <c r="P633" s="143"/>
      <c r="Q633" s="143"/>
      <c r="R633" s="143"/>
      <c r="S633" s="143"/>
      <c r="T633" s="143"/>
      <c r="U633" s="143"/>
      <c r="V633" s="143"/>
      <c r="W633" s="143"/>
      <c r="X633" s="143"/>
      <c r="Y633" s="143"/>
      <c r="Z633" s="261"/>
      <c r="AA633" s="261"/>
      <c r="AB633" s="142"/>
    </row>
    <row r="634" spans="6:28">
      <c r="F634" s="143"/>
      <c r="G634" s="145"/>
      <c r="H634" s="143"/>
      <c r="I634" s="143"/>
      <c r="J634" s="143"/>
      <c r="K634" s="342"/>
      <c r="L634" s="342"/>
      <c r="M634" s="143"/>
      <c r="N634" s="143"/>
      <c r="O634" s="143"/>
      <c r="P634" s="143"/>
      <c r="Q634" s="143"/>
      <c r="R634" s="143"/>
      <c r="S634" s="143"/>
      <c r="T634" s="143"/>
      <c r="U634" s="143"/>
      <c r="V634" s="143"/>
      <c r="W634" s="143"/>
      <c r="X634" s="143"/>
      <c r="Y634" s="143"/>
      <c r="Z634" s="261"/>
      <c r="AA634" s="261"/>
      <c r="AB634" s="142"/>
    </row>
    <row r="635" spans="6:28">
      <c r="F635" s="143"/>
      <c r="G635" s="145"/>
      <c r="H635" s="143"/>
      <c r="I635" s="143"/>
      <c r="J635" s="143"/>
      <c r="K635" s="342"/>
      <c r="L635" s="342"/>
      <c r="M635" s="143"/>
      <c r="N635" s="143"/>
      <c r="O635" s="143"/>
      <c r="P635" s="143"/>
      <c r="Q635" s="143"/>
      <c r="R635" s="143"/>
      <c r="S635" s="143"/>
      <c r="T635" s="143"/>
      <c r="U635" s="143"/>
      <c r="V635" s="143"/>
      <c r="W635" s="143"/>
      <c r="X635" s="143"/>
      <c r="Y635" s="143"/>
      <c r="Z635" s="261"/>
      <c r="AA635" s="261"/>
      <c r="AB635" s="142"/>
    </row>
    <row r="636" spans="6:28">
      <c r="F636" s="143"/>
      <c r="G636" s="145"/>
      <c r="H636" s="143"/>
      <c r="I636" s="143"/>
      <c r="J636" s="143"/>
      <c r="K636" s="342"/>
      <c r="L636" s="342"/>
      <c r="M636" s="143"/>
      <c r="N636" s="143"/>
      <c r="O636" s="143"/>
      <c r="P636" s="143"/>
      <c r="Q636" s="143"/>
      <c r="R636" s="143"/>
      <c r="S636" s="143"/>
      <c r="T636" s="143"/>
      <c r="U636" s="143"/>
      <c r="V636" s="143"/>
      <c r="W636" s="143"/>
      <c r="X636" s="143"/>
      <c r="Y636" s="143"/>
      <c r="Z636" s="261"/>
      <c r="AA636" s="261"/>
      <c r="AB636" s="142"/>
    </row>
    <row r="637" spans="6:28">
      <c r="F637" s="143"/>
      <c r="G637" s="145"/>
      <c r="H637" s="143"/>
      <c r="I637" s="143"/>
      <c r="J637" s="143"/>
      <c r="K637" s="342"/>
      <c r="L637" s="342"/>
      <c r="M637" s="143"/>
      <c r="N637" s="143"/>
      <c r="O637" s="143"/>
      <c r="P637" s="143"/>
      <c r="Q637" s="143"/>
      <c r="R637" s="143"/>
      <c r="S637" s="143"/>
      <c r="T637" s="143"/>
      <c r="U637" s="143"/>
      <c r="V637" s="143"/>
      <c r="W637" s="143"/>
      <c r="X637" s="143"/>
      <c r="Y637" s="143"/>
      <c r="Z637" s="261"/>
      <c r="AA637" s="261"/>
      <c r="AB637" s="142"/>
    </row>
    <row r="638" spans="6:28">
      <c r="F638" s="143"/>
      <c r="G638" s="145"/>
      <c r="H638" s="143"/>
      <c r="I638" s="143"/>
      <c r="J638" s="143"/>
      <c r="K638" s="342"/>
      <c r="L638" s="342"/>
      <c r="M638" s="143"/>
      <c r="N638" s="143"/>
      <c r="O638" s="143"/>
      <c r="P638" s="143"/>
      <c r="Q638" s="143"/>
      <c r="R638" s="143"/>
      <c r="S638" s="143"/>
      <c r="T638" s="143"/>
      <c r="U638" s="143"/>
      <c r="V638" s="143"/>
      <c r="W638" s="143"/>
      <c r="X638" s="143"/>
      <c r="Y638" s="143"/>
      <c r="Z638" s="261"/>
      <c r="AA638" s="261"/>
      <c r="AB638" s="142"/>
    </row>
    <row r="639" spans="6:28">
      <c r="F639" s="143"/>
      <c r="G639" s="145"/>
      <c r="H639" s="143"/>
      <c r="I639" s="143"/>
      <c r="J639" s="143"/>
      <c r="K639" s="342"/>
      <c r="L639" s="342"/>
      <c r="M639" s="143"/>
      <c r="N639" s="143"/>
      <c r="O639" s="143"/>
      <c r="P639" s="143"/>
      <c r="Q639" s="143"/>
      <c r="R639" s="143"/>
      <c r="S639" s="143"/>
      <c r="T639" s="143"/>
      <c r="U639" s="143"/>
      <c r="V639" s="143"/>
      <c r="W639" s="143"/>
      <c r="X639" s="143"/>
      <c r="Y639" s="143"/>
      <c r="Z639" s="261"/>
      <c r="AA639" s="261"/>
      <c r="AB639" s="142"/>
    </row>
    <row r="640" spans="6:28">
      <c r="F640" s="143"/>
      <c r="G640" s="145"/>
      <c r="H640" s="143"/>
      <c r="I640" s="143"/>
      <c r="J640" s="143"/>
      <c r="K640" s="342"/>
      <c r="L640" s="342"/>
      <c r="M640" s="143"/>
      <c r="N640" s="143"/>
      <c r="O640" s="143"/>
      <c r="P640" s="143"/>
      <c r="Q640" s="143"/>
      <c r="R640" s="143"/>
      <c r="S640" s="143"/>
      <c r="T640" s="143"/>
      <c r="U640" s="143"/>
      <c r="V640" s="143"/>
      <c r="W640" s="143"/>
      <c r="X640" s="143"/>
      <c r="Y640" s="143"/>
      <c r="Z640" s="261"/>
      <c r="AA640" s="261"/>
      <c r="AB640" s="142"/>
    </row>
    <row r="641" spans="6:28">
      <c r="F641" s="143"/>
      <c r="G641" s="145"/>
      <c r="H641" s="143"/>
      <c r="I641" s="143"/>
      <c r="J641" s="143"/>
      <c r="K641" s="342"/>
      <c r="L641" s="342"/>
      <c r="M641" s="143"/>
      <c r="N641" s="143"/>
      <c r="O641" s="143"/>
      <c r="P641" s="143"/>
      <c r="Q641" s="143"/>
      <c r="R641" s="143"/>
      <c r="S641" s="143"/>
      <c r="T641" s="143"/>
      <c r="U641" s="143"/>
      <c r="V641" s="143"/>
      <c r="W641" s="143"/>
      <c r="X641" s="143"/>
      <c r="Y641" s="143"/>
      <c r="Z641" s="261"/>
      <c r="AA641" s="261"/>
      <c r="AB641" s="142"/>
    </row>
    <row r="642" spans="6:28">
      <c r="F642" s="143"/>
      <c r="G642" s="145"/>
      <c r="H642" s="143"/>
      <c r="I642" s="143"/>
      <c r="J642" s="143"/>
      <c r="K642" s="342"/>
      <c r="L642" s="342"/>
      <c r="M642" s="143"/>
      <c r="N642" s="143"/>
      <c r="O642" s="143"/>
      <c r="P642" s="143"/>
      <c r="Q642" s="143"/>
      <c r="R642" s="143"/>
      <c r="S642" s="143"/>
      <c r="T642" s="143"/>
      <c r="U642" s="143"/>
      <c r="V642" s="143"/>
      <c r="W642" s="143"/>
      <c r="X642" s="143"/>
      <c r="Y642" s="143"/>
      <c r="Z642" s="261"/>
      <c r="AA642" s="261"/>
      <c r="AB642" s="142"/>
    </row>
    <row r="643" spans="6:28">
      <c r="F643" s="143"/>
      <c r="G643" s="145"/>
      <c r="H643" s="143"/>
      <c r="I643" s="143"/>
      <c r="J643" s="143"/>
      <c r="K643" s="342"/>
      <c r="L643" s="342"/>
      <c r="M643" s="143"/>
      <c r="N643" s="143"/>
      <c r="O643" s="143"/>
      <c r="P643" s="143"/>
      <c r="Q643" s="143"/>
      <c r="R643" s="143"/>
      <c r="S643" s="143"/>
      <c r="T643" s="143"/>
      <c r="U643" s="143"/>
      <c r="V643" s="143"/>
      <c r="W643" s="143"/>
      <c r="X643" s="143"/>
      <c r="Y643" s="143"/>
      <c r="Z643" s="261"/>
      <c r="AA643" s="261"/>
      <c r="AB643" s="142"/>
    </row>
    <row r="644" spans="6:28">
      <c r="F644" s="143"/>
      <c r="G644" s="145"/>
      <c r="H644" s="143"/>
      <c r="I644" s="143"/>
      <c r="J644" s="143"/>
      <c r="K644" s="342"/>
      <c r="L644" s="342"/>
      <c r="M644" s="143"/>
      <c r="N644" s="143"/>
      <c r="O644" s="143"/>
      <c r="P644" s="143"/>
      <c r="Q644" s="143"/>
      <c r="R644" s="143"/>
      <c r="S644" s="143"/>
      <c r="T644" s="143"/>
      <c r="U644" s="143"/>
      <c r="V644" s="143"/>
      <c r="W644" s="143"/>
      <c r="X644" s="143"/>
      <c r="Y644" s="143"/>
      <c r="Z644" s="261"/>
      <c r="AA644" s="261"/>
      <c r="AB644" s="142"/>
    </row>
    <row r="645" spans="6:28">
      <c r="F645" s="143"/>
      <c r="G645" s="145"/>
      <c r="H645" s="143"/>
      <c r="I645" s="143"/>
      <c r="J645" s="143"/>
      <c r="K645" s="342"/>
      <c r="L645" s="342"/>
      <c r="M645" s="143"/>
      <c r="N645" s="143"/>
      <c r="O645" s="143"/>
      <c r="P645" s="143"/>
      <c r="Q645" s="143"/>
      <c r="R645" s="143"/>
      <c r="S645" s="143"/>
      <c r="T645" s="143"/>
      <c r="U645" s="143"/>
      <c r="V645" s="143"/>
      <c r="W645" s="143"/>
      <c r="X645" s="143"/>
      <c r="Y645" s="143"/>
      <c r="Z645" s="261"/>
      <c r="AA645" s="261"/>
      <c r="AB645" s="142"/>
    </row>
    <row r="646" spans="6:28">
      <c r="F646" s="143"/>
      <c r="G646" s="145"/>
      <c r="H646" s="143"/>
      <c r="I646" s="143"/>
      <c r="J646" s="143"/>
      <c r="K646" s="342"/>
      <c r="L646" s="342"/>
      <c r="M646" s="143"/>
      <c r="N646" s="143"/>
      <c r="O646" s="143"/>
      <c r="P646" s="143"/>
      <c r="Q646" s="143"/>
      <c r="R646" s="143"/>
      <c r="S646" s="143"/>
      <c r="T646" s="143"/>
      <c r="U646" s="143"/>
      <c r="V646" s="143"/>
      <c r="W646" s="143"/>
      <c r="X646" s="143"/>
      <c r="Y646" s="143"/>
      <c r="Z646" s="261"/>
      <c r="AA646" s="261"/>
      <c r="AB646" s="142"/>
    </row>
    <row r="647" spans="6:28">
      <c r="F647" s="143"/>
      <c r="G647" s="145"/>
      <c r="H647" s="143"/>
      <c r="I647" s="143"/>
      <c r="J647" s="143"/>
      <c r="K647" s="342"/>
      <c r="L647" s="342"/>
      <c r="M647" s="143"/>
      <c r="N647" s="143"/>
      <c r="O647" s="143"/>
      <c r="P647" s="143"/>
      <c r="Q647" s="143"/>
      <c r="R647" s="143"/>
      <c r="S647" s="143"/>
      <c r="T647" s="143"/>
      <c r="U647" s="143"/>
      <c r="V647" s="143"/>
      <c r="W647" s="143"/>
      <c r="X647" s="143"/>
      <c r="Y647" s="143"/>
      <c r="Z647" s="261"/>
      <c r="AA647" s="261"/>
      <c r="AB647" s="142"/>
    </row>
    <row r="648" spans="6:28">
      <c r="F648" s="143"/>
      <c r="G648" s="145"/>
      <c r="H648" s="143"/>
      <c r="I648" s="143"/>
      <c r="J648" s="143"/>
      <c r="K648" s="342"/>
      <c r="L648" s="342"/>
      <c r="M648" s="143"/>
      <c r="N648" s="143"/>
      <c r="O648" s="143"/>
      <c r="P648" s="143"/>
      <c r="Q648" s="143"/>
      <c r="R648" s="143"/>
      <c r="S648" s="143"/>
      <c r="T648" s="143"/>
      <c r="U648" s="143"/>
      <c r="V648" s="143"/>
      <c r="W648" s="143"/>
      <c r="X648" s="143"/>
      <c r="Y648" s="143"/>
      <c r="Z648" s="261"/>
      <c r="AA648" s="261"/>
      <c r="AB648" s="142"/>
    </row>
    <row r="649" spans="6:28">
      <c r="F649" s="143"/>
      <c r="G649" s="145"/>
      <c r="H649" s="143"/>
      <c r="I649" s="143"/>
      <c r="J649" s="143"/>
      <c r="K649" s="342"/>
      <c r="L649" s="342"/>
      <c r="M649" s="143"/>
      <c r="N649" s="143"/>
      <c r="O649" s="143"/>
      <c r="P649" s="143"/>
      <c r="Q649" s="143"/>
      <c r="R649" s="143"/>
      <c r="S649" s="143"/>
      <c r="T649" s="143"/>
      <c r="U649" s="143"/>
      <c r="V649" s="143"/>
      <c r="W649" s="143"/>
      <c r="X649" s="143"/>
      <c r="Y649" s="143"/>
      <c r="Z649" s="261"/>
      <c r="AA649" s="261"/>
      <c r="AB649" s="142"/>
    </row>
    <row r="650" spans="6:28">
      <c r="F650" s="143"/>
      <c r="G650" s="145"/>
      <c r="H650" s="143"/>
      <c r="I650" s="143"/>
      <c r="J650" s="143"/>
      <c r="K650" s="342"/>
      <c r="L650" s="342"/>
      <c r="M650" s="143"/>
      <c r="N650" s="143"/>
      <c r="O650" s="143"/>
      <c r="P650" s="143"/>
      <c r="Q650" s="143"/>
      <c r="R650" s="143"/>
      <c r="S650" s="143"/>
      <c r="T650" s="143"/>
      <c r="U650" s="143"/>
      <c r="V650" s="143"/>
      <c r="W650" s="143"/>
      <c r="X650" s="143"/>
      <c r="Y650" s="143"/>
      <c r="Z650" s="261"/>
      <c r="AA650" s="261"/>
      <c r="AB650" s="142"/>
    </row>
    <row r="651" spans="6:28">
      <c r="F651" s="143"/>
      <c r="G651" s="145"/>
      <c r="H651" s="143"/>
      <c r="I651" s="143"/>
      <c r="J651" s="143"/>
      <c r="K651" s="342"/>
      <c r="L651" s="342"/>
      <c r="M651" s="143"/>
      <c r="N651" s="143"/>
      <c r="O651" s="143"/>
      <c r="P651" s="143"/>
      <c r="Q651" s="143"/>
      <c r="R651" s="143"/>
      <c r="S651" s="143"/>
      <c r="T651" s="143"/>
      <c r="U651" s="143"/>
      <c r="V651" s="143"/>
      <c r="W651" s="143"/>
      <c r="X651" s="143"/>
      <c r="Y651" s="143"/>
      <c r="Z651" s="261"/>
      <c r="AA651" s="261"/>
      <c r="AB651" s="142"/>
    </row>
    <row r="652" spans="6:28">
      <c r="F652" s="143"/>
      <c r="G652" s="145"/>
      <c r="H652" s="143"/>
      <c r="I652" s="143"/>
      <c r="J652" s="143"/>
      <c r="K652" s="342"/>
      <c r="L652" s="342"/>
      <c r="M652" s="143"/>
      <c r="N652" s="143"/>
      <c r="O652" s="143"/>
      <c r="P652" s="143"/>
      <c r="Q652" s="143"/>
      <c r="R652" s="143"/>
      <c r="S652" s="143"/>
      <c r="T652" s="143"/>
      <c r="U652" s="143"/>
      <c r="V652" s="143"/>
      <c r="W652" s="143"/>
      <c r="X652" s="143"/>
      <c r="Y652" s="143"/>
      <c r="Z652" s="261"/>
      <c r="AA652" s="261"/>
      <c r="AB652" s="142"/>
    </row>
    <row r="653" spans="6:28">
      <c r="F653" s="143"/>
      <c r="G653" s="145"/>
      <c r="H653" s="143"/>
      <c r="I653" s="143"/>
      <c r="J653" s="143"/>
      <c r="K653" s="342"/>
      <c r="L653" s="342"/>
      <c r="M653" s="143"/>
      <c r="N653" s="143"/>
      <c r="O653" s="143"/>
      <c r="P653" s="143"/>
      <c r="Q653" s="143"/>
      <c r="R653" s="143"/>
      <c r="S653" s="143"/>
      <c r="T653" s="143"/>
      <c r="U653" s="143"/>
      <c r="V653" s="143"/>
      <c r="W653" s="143"/>
      <c r="X653" s="143"/>
      <c r="Y653" s="143"/>
      <c r="Z653" s="261"/>
      <c r="AA653" s="261"/>
      <c r="AB653" s="142"/>
    </row>
    <row r="654" spans="6:28">
      <c r="F654" s="143"/>
      <c r="G654" s="145"/>
      <c r="H654" s="143"/>
      <c r="I654" s="143"/>
      <c r="J654" s="143"/>
      <c r="K654" s="342"/>
      <c r="L654" s="342"/>
      <c r="M654" s="143"/>
      <c r="N654" s="143"/>
      <c r="O654" s="143"/>
      <c r="P654" s="143"/>
      <c r="Q654" s="143"/>
      <c r="R654" s="143"/>
      <c r="S654" s="143"/>
      <c r="T654" s="143"/>
      <c r="U654" s="143"/>
      <c r="V654" s="143"/>
      <c r="W654" s="143"/>
      <c r="X654" s="143"/>
      <c r="Y654" s="143"/>
      <c r="Z654" s="261"/>
      <c r="AA654" s="261"/>
      <c r="AB654" s="142"/>
    </row>
    <row r="655" spans="6:28">
      <c r="F655" s="143"/>
      <c r="G655" s="145"/>
      <c r="H655" s="143"/>
      <c r="I655" s="143"/>
      <c r="J655" s="143"/>
      <c r="K655" s="342"/>
      <c r="L655" s="342"/>
      <c r="M655" s="143"/>
      <c r="N655" s="143"/>
      <c r="O655" s="143"/>
      <c r="P655" s="143"/>
      <c r="Q655" s="143"/>
      <c r="R655" s="143"/>
      <c r="S655" s="143"/>
      <c r="T655" s="143"/>
      <c r="U655" s="143"/>
      <c r="V655" s="143"/>
      <c r="W655" s="143"/>
      <c r="X655" s="143"/>
      <c r="Y655" s="143"/>
      <c r="Z655" s="261"/>
      <c r="AA655" s="261"/>
      <c r="AB655" s="142"/>
    </row>
    <row r="656" spans="6:28">
      <c r="F656" s="143"/>
      <c r="G656" s="145"/>
      <c r="H656" s="143"/>
      <c r="I656" s="143"/>
      <c r="J656" s="143"/>
      <c r="K656" s="342"/>
      <c r="L656" s="342"/>
      <c r="M656" s="143"/>
      <c r="N656" s="143"/>
      <c r="O656" s="143"/>
      <c r="P656" s="143"/>
      <c r="Q656" s="143"/>
      <c r="R656" s="143"/>
      <c r="S656" s="143"/>
      <c r="T656" s="143"/>
      <c r="U656" s="143"/>
      <c r="V656" s="143"/>
      <c r="W656" s="143"/>
      <c r="X656" s="143"/>
      <c r="Y656" s="143"/>
      <c r="Z656" s="261"/>
      <c r="AA656" s="261"/>
      <c r="AB656" s="142"/>
    </row>
    <row r="657" spans="6:28">
      <c r="F657" s="143"/>
      <c r="G657" s="145"/>
      <c r="H657" s="143"/>
      <c r="I657" s="143"/>
      <c r="J657" s="143"/>
      <c r="K657" s="342"/>
      <c r="L657" s="342"/>
      <c r="M657" s="143"/>
      <c r="N657" s="143"/>
      <c r="O657" s="143"/>
      <c r="P657" s="143"/>
      <c r="Q657" s="143"/>
      <c r="R657" s="143"/>
      <c r="S657" s="143"/>
      <c r="T657" s="143"/>
      <c r="U657" s="143"/>
      <c r="V657" s="143"/>
      <c r="W657" s="143"/>
      <c r="X657" s="143"/>
      <c r="Y657" s="143"/>
      <c r="Z657" s="261"/>
      <c r="AA657" s="261"/>
      <c r="AB657" s="142"/>
    </row>
    <row r="658" spans="6:28">
      <c r="F658" s="143"/>
      <c r="G658" s="145"/>
      <c r="H658" s="143"/>
      <c r="I658" s="143"/>
      <c r="J658" s="143"/>
      <c r="K658" s="342"/>
      <c r="L658" s="342"/>
      <c r="M658" s="143"/>
      <c r="N658" s="143"/>
      <c r="O658" s="143"/>
      <c r="P658" s="143"/>
      <c r="Q658" s="143"/>
      <c r="R658" s="143"/>
      <c r="S658" s="143"/>
      <c r="T658" s="143"/>
      <c r="U658" s="143"/>
      <c r="V658" s="143"/>
      <c r="W658" s="143"/>
      <c r="X658" s="143"/>
      <c r="Y658" s="143"/>
      <c r="Z658" s="261"/>
      <c r="AA658" s="261"/>
      <c r="AB658" s="142"/>
    </row>
    <row r="659" spans="6:28">
      <c r="F659" s="143"/>
      <c r="G659" s="145"/>
      <c r="H659" s="143"/>
      <c r="I659" s="143"/>
      <c r="J659" s="143"/>
      <c r="K659" s="342"/>
      <c r="L659" s="342"/>
      <c r="M659" s="143"/>
      <c r="N659" s="143"/>
      <c r="O659" s="143"/>
      <c r="P659" s="143"/>
      <c r="Q659" s="143"/>
      <c r="R659" s="143"/>
      <c r="S659" s="143"/>
      <c r="T659" s="143"/>
      <c r="U659" s="143"/>
      <c r="V659" s="143"/>
      <c r="W659" s="143"/>
      <c r="X659" s="143"/>
      <c r="Y659" s="143"/>
      <c r="Z659" s="261"/>
      <c r="AA659" s="261"/>
      <c r="AB659" s="142"/>
    </row>
    <row r="660" spans="6:28">
      <c r="F660" s="143"/>
      <c r="G660" s="145"/>
      <c r="H660" s="143"/>
      <c r="I660" s="143"/>
      <c r="J660" s="143"/>
      <c r="K660" s="342"/>
      <c r="L660" s="342"/>
      <c r="M660" s="143"/>
      <c r="N660" s="143"/>
      <c r="O660" s="143"/>
      <c r="P660" s="143"/>
      <c r="Q660" s="143"/>
      <c r="R660" s="143"/>
      <c r="S660" s="143"/>
      <c r="T660" s="143"/>
      <c r="U660" s="143"/>
      <c r="V660" s="143"/>
      <c r="W660" s="143"/>
      <c r="X660" s="143"/>
      <c r="Y660" s="143"/>
      <c r="Z660" s="261"/>
      <c r="AA660" s="261"/>
      <c r="AB660" s="142"/>
    </row>
    <row r="661" spans="6:28">
      <c r="F661" s="143"/>
      <c r="G661" s="145"/>
      <c r="H661" s="143"/>
      <c r="I661" s="143"/>
      <c r="J661" s="143"/>
      <c r="K661" s="342"/>
      <c r="L661" s="342"/>
      <c r="M661" s="143"/>
      <c r="N661" s="143"/>
      <c r="O661" s="143"/>
      <c r="P661" s="143"/>
      <c r="Q661" s="143"/>
      <c r="R661" s="143"/>
      <c r="S661" s="143"/>
      <c r="T661" s="143"/>
      <c r="U661" s="143"/>
      <c r="V661" s="143"/>
      <c r="W661" s="143"/>
      <c r="X661" s="143"/>
      <c r="Y661" s="143"/>
      <c r="Z661" s="261"/>
      <c r="AA661" s="261"/>
      <c r="AB661" s="142"/>
    </row>
    <row r="662" spans="6:28">
      <c r="F662" s="143"/>
      <c r="G662" s="145"/>
      <c r="H662" s="143"/>
      <c r="I662" s="143"/>
      <c r="J662" s="143"/>
      <c r="K662" s="342"/>
      <c r="L662" s="342"/>
      <c r="M662" s="143"/>
      <c r="N662" s="143"/>
      <c r="O662" s="143"/>
      <c r="P662" s="143"/>
      <c r="Q662" s="143"/>
      <c r="R662" s="143"/>
      <c r="S662" s="143"/>
      <c r="T662" s="143"/>
      <c r="U662" s="143"/>
      <c r="V662" s="143"/>
      <c r="W662" s="143"/>
      <c r="X662" s="143"/>
      <c r="Y662" s="143"/>
      <c r="Z662" s="261"/>
      <c r="AA662" s="261"/>
      <c r="AB662" s="142"/>
    </row>
    <row r="663" spans="6:28">
      <c r="F663" s="143"/>
      <c r="G663" s="145"/>
      <c r="H663" s="143"/>
      <c r="I663" s="143"/>
      <c r="J663" s="143"/>
      <c r="K663" s="342"/>
      <c r="L663" s="342"/>
      <c r="M663" s="143"/>
      <c r="N663" s="143"/>
      <c r="O663" s="143"/>
      <c r="P663" s="143"/>
      <c r="Q663" s="143"/>
      <c r="R663" s="143"/>
      <c r="S663" s="143"/>
      <c r="T663" s="143"/>
      <c r="U663" s="143"/>
      <c r="V663" s="143"/>
      <c r="W663" s="143"/>
      <c r="X663" s="143"/>
      <c r="Y663" s="143"/>
      <c r="Z663" s="261"/>
      <c r="AA663" s="261"/>
      <c r="AB663" s="142"/>
    </row>
    <row r="664" spans="6:28">
      <c r="F664" s="143"/>
      <c r="G664" s="145"/>
      <c r="H664" s="143"/>
      <c r="I664" s="143"/>
      <c r="J664" s="143"/>
      <c r="K664" s="342"/>
      <c r="L664" s="342"/>
      <c r="M664" s="143"/>
      <c r="N664" s="143"/>
      <c r="O664" s="143"/>
      <c r="P664" s="143"/>
      <c r="Q664" s="143"/>
      <c r="R664" s="143"/>
      <c r="S664" s="143"/>
      <c r="T664" s="143"/>
      <c r="U664" s="143"/>
      <c r="V664" s="143"/>
      <c r="W664" s="143"/>
      <c r="X664" s="143"/>
      <c r="Y664" s="143"/>
      <c r="Z664" s="261"/>
      <c r="AA664" s="261"/>
      <c r="AB664" s="142"/>
    </row>
    <row r="665" spans="6:28">
      <c r="F665" s="143"/>
      <c r="G665" s="145"/>
      <c r="H665" s="143"/>
      <c r="I665" s="143"/>
      <c r="J665" s="143"/>
      <c r="K665" s="342"/>
      <c r="L665" s="342"/>
      <c r="M665" s="143"/>
      <c r="N665" s="143"/>
      <c r="O665" s="143"/>
      <c r="P665" s="143"/>
      <c r="Q665" s="143"/>
      <c r="R665" s="143"/>
      <c r="S665" s="143"/>
      <c r="T665" s="143"/>
      <c r="U665" s="143"/>
      <c r="V665" s="143"/>
      <c r="W665" s="143"/>
      <c r="X665" s="143"/>
      <c r="Y665" s="143"/>
      <c r="Z665" s="261"/>
      <c r="AA665" s="261"/>
      <c r="AB665" s="142"/>
    </row>
    <row r="666" spans="6:28">
      <c r="F666" s="143"/>
      <c r="G666" s="145"/>
      <c r="H666" s="143"/>
      <c r="I666" s="143"/>
      <c r="J666" s="143"/>
      <c r="K666" s="342"/>
      <c r="L666" s="342"/>
      <c r="M666" s="143"/>
      <c r="N666" s="143"/>
      <c r="O666" s="143"/>
      <c r="P666" s="143"/>
      <c r="Q666" s="143"/>
      <c r="R666" s="143"/>
      <c r="S666" s="143"/>
      <c r="T666" s="143"/>
      <c r="U666" s="143"/>
      <c r="V666" s="143"/>
      <c r="W666" s="143"/>
      <c r="X666" s="143"/>
      <c r="Y666" s="143"/>
      <c r="Z666" s="261"/>
      <c r="AA666" s="261"/>
      <c r="AB666" s="142"/>
    </row>
    <row r="667" spans="6:28">
      <c r="F667" s="143"/>
      <c r="G667" s="145"/>
      <c r="H667" s="143"/>
      <c r="I667" s="143"/>
      <c r="J667" s="143"/>
      <c r="K667" s="342"/>
      <c r="L667" s="342"/>
      <c r="M667" s="143"/>
      <c r="N667" s="143"/>
      <c r="O667" s="143"/>
      <c r="P667" s="143"/>
      <c r="Q667" s="143"/>
      <c r="R667" s="143"/>
      <c r="S667" s="143"/>
      <c r="T667" s="143"/>
      <c r="U667" s="143"/>
      <c r="V667" s="143"/>
      <c r="W667" s="143"/>
      <c r="X667" s="143"/>
      <c r="Y667" s="143"/>
      <c r="Z667" s="261"/>
      <c r="AA667" s="261"/>
      <c r="AB667" s="142"/>
    </row>
    <row r="668" spans="6:28">
      <c r="F668" s="143"/>
      <c r="G668" s="145"/>
      <c r="H668" s="143"/>
      <c r="I668" s="143"/>
      <c r="J668" s="143"/>
      <c r="K668" s="342"/>
      <c r="L668" s="342"/>
      <c r="M668" s="143"/>
      <c r="N668" s="143"/>
      <c r="O668" s="143"/>
      <c r="P668" s="143"/>
      <c r="Q668" s="143"/>
      <c r="R668" s="143"/>
      <c r="S668" s="143"/>
      <c r="T668" s="143"/>
      <c r="U668" s="143"/>
      <c r="V668" s="143"/>
      <c r="W668" s="143"/>
      <c r="X668" s="143"/>
      <c r="Y668" s="143"/>
      <c r="Z668" s="261"/>
      <c r="AA668" s="261"/>
      <c r="AB668" s="142"/>
    </row>
    <row r="669" spans="6:28">
      <c r="F669" s="143"/>
      <c r="G669" s="145"/>
      <c r="H669" s="143"/>
      <c r="I669" s="143"/>
      <c r="J669" s="143"/>
      <c r="K669" s="342"/>
      <c r="L669" s="342"/>
      <c r="M669" s="143"/>
      <c r="N669" s="143"/>
      <c r="O669" s="143"/>
      <c r="P669" s="143"/>
      <c r="Q669" s="143"/>
      <c r="R669" s="143"/>
      <c r="S669" s="143"/>
      <c r="T669" s="143"/>
      <c r="U669" s="143"/>
      <c r="V669" s="143"/>
      <c r="W669" s="143"/>
      <c r="X669" s="143"/>
      <c r="Y669" s="143"/>
      <c r="Z669" s="261"/>
      <c r="AA669" s="261"/>
      <c r="AB669" s="142"/>
    </row>
    <row r="670" spans="6:28">
      <c r="F670" s="143"/>
      <c r="G670" s="145"/>
      <c r="H670" s="143"/>
      <c r="I670" s="143"/>
      <c r="J670" s="143"/>
      <c r="K670" s="342"/>
      <c r="L670" s="342"/>
      <c r="M670" s="143"/>
      <c r="N670" s="143"/>
      <c r="O670" s="143"/>
      <c r="P670" s="143"/>
      <c r="Q670" s="143"/>
      <c r="R670" s="143"/>
      <c r="S670" s="143"/>
      <c r="T670" s="143"/>
      <c r="U670" s="143"/>
      <c r="V670" s="143"/>
      <c r="W670" s="143"/>
      <c r="X670" s="143"/>
      <c r="Y670" s="143"/>
      <c r="Z670" s="261"/>
      <c r="AA670" s="261"/>
      <c r="AB670" s="142"/>
    </row>
    <row r="671" spans="6:28">
      <c r="F671" s="143"/>
      <c r="G671" s="145"/>
      <c r="H671" s="143"/>
      <c r="I671" s="143"/>
      <c r="J671" s="143"/>
      <c r="K671" s="342"/>
      <c r="L671" s="342"/>
      <c r="M671" s="143"/>
      <c r="N671" s="143"/>
      <c r="O671" s="143"/>
      <c r="P671" s="143"/>
      <c r="Q671" s="143"/>
      <c r="R671" s="143"/>
      <c r="S671" s="143"/>
      <c r="T671" s="143"/>
      <c r="U671" s="143"/>
      <c r="V671" s="143"/>
      <c r="W671" s="143"/>
      <c r="X671" s="143"/>
      <c r="Y671" s="143"/>
      <c r="Z671" s="261"/>
      <c r="AA671" s="261"/>
      <c r="AB671" s="142"/>
    </row>
    <row r="672" spans="6:28">
      <c r="F672" s="143"/>
      <c r="G672" s="145"/>
      <c r="H672" s="143"/>
      <c r="I672" s="143"/>
      <c r="J672" s="143"/>
      <c r="K672" s="342"/>
      <c r="L672" s="342"/>
      <c r="M672" s="143"/>
      <c r="N672" s="143"/>
      <c r="O672" s="143"/>
      <c r="P672" s="143"/>
      <c r="Q672" s="143"/>
      <c r="R672" s="143"/>
      <c r="S672" s="143"/>
      <c r="T672" s="143"/>
      <c r="U672" s="143"/>
      <c r="V672" s="143"/>
      <c r="W672" s="143"/>
      <c r="X672" s="143"/>
      <c r="Y672" s="143"/>
      <c r="Z672" s="261"/>
      <c r="AA672" s="261"/>
      <c r="AB672" s="142"/>
    </row>
    <row r="673" spans="6:28">
      <c r="F673" s="143"/>
      <c r="G673" s="145"/>
      <c r="H673" s="143"/>
      <c r="I673" s="143"/>
      <c r="J673" s="143"/>
      <c r="K673" s="342"/>
      <c r="L673" s="342"/>
      <c r="M673" s="143"/>
      <c r="N673" s="143"/>
      <c r="O673" s="143"/>
      <c r="P673" s="143"/>
      <c r="Q673" s="143"/>
      <c r="R673" s="143"/>
      <c r="S673" s="143"/>
      <c r="T673" s="143"/>
      <c r="U673" s="143"/>
      <c r="V673" s="143"/>
      <c r="W673" s="143"/>
      <c r="X673" s="143"/>
      <c r="Y673" s="143"/>
      <c r="Z673" s="261"/>
      <c r="AA673" s="261"/>
      <c r="AB673" s="142"/>
    </row>
    <row r="674" spans="6:28">
      <c r="F674" s="143"/>
      <c r="G674" s="145"/>
      <c r="H674" s="143"/>
      <c r="I674" s="143"/>
      <c r="J674" s="143"/>
      <c r="K674" s="342"/>
      <c r="L674" s="342"/>
      <c r="M674" s="143"/>
      <c r="N674" s="143"/>
      <c r="O674" s="143"/>
      <c r="P674" s="143"/>
      <c r="Q674" s="143"/>
      <c r="R674" s="143"/>
      <c r="S674" s="143"/>
      <c r="T674" s="143"/>
      <c r="U674" s="143"/>
      <c r="V674" s="143"/>
      <c r="W674" s="143"/>
      <c r="X674" s="143"/>
      <c r="Y674" s="143"/>
      <c r="Z674" s="261"/>
      <c r="AA674" s="261"/>
      <c r="AB674" s="142"/>
    </row>
    <row r="675" spans="6:28">
      <c r="F675" s="143"/>
      <c r="G675" s="145"/>
      <c r="H675" s="143"/>
      <c r="I675" s="143"/>
      <c r="J675" s="143"/>
      <c r="K675" s="342"/>
      <c r="L675" s="342"/>
      <c r="M675" s="143"/>
      <c r="N675" s="143"/>
      <c r="O675" s="143"/>
      <c r="P675" s="143"/>
      <c r="Q675" s="143"/>
      <c r="R675" s="143"/>
      <c r="S675" s="143"/>
      <c r="T675" s="143"/>
      <c r="U675" s="143"/>
      <c r="V675" s="143"/>
      <c r="W675" s="143"/>
      <c r="X675" s="143"/>
      <c r="Y675" s="143"/>
      <c r="Z675" s="261"/>
      <c r="AA675" s="261"/>
      <c r="AB675" s="142"/>
    </row>
    <row r="676" spans="6:28">
      <c r="F676" s="143"/>
      <c r="G676" s="145"/>
      <c r="H676" s="143"/>
      <c r="I676" s="143"/>
      <c r="J676" s="143"/>
      <c r="K676" s="342"/>
      <c r="L676" s="342"/>
      <c r="M676" s="143"/>
      <c r="N676" s="143"/>
      <c r="O676" s="143"/>
      <c r="P676" s="143"/>
      <c r="Q676" s="143"/>
      <c r="R676" s="143"/>
      <c r="S676" s="143"/>
      <c r="T676" s="143"/>
      <c r="U676" s="143"/>
      <c r="V676" s="143"/>
      <c r="W676" s="143"/>
      <c r="X676" s="143"/>
      <c r="Y676" s="143"/>
      <c r="Z676" s="261"/>
      <c r="AA676" s="261"/>
      <c r="AB676" s="142"/>
    </row>
    <row r="677" spans="6:28">
      <c r="F677" s="143"/>
      <c r="G677" s="145"/>
      <c r="H677" s="143"/>
      <c r="I677" s="143"/>
      <c r="J677" s="143"/>
      <c r="K677" s="342"/>
      <c r="L677" s="342"/>
      <c r="M677" s="143"/>
      <c r="N677" s="143"/>
      <c r="O677" s="143"/>
      <c r="P677" s="143"/>
      <c r="Q677" s="143"/>
      <c r="R677" s="143"/>
      <c r="S677" s="143"/>
      <c r="T677" s="143"/>
      <c r="U677" s="143"/>
      <c r="V677" s="143"/>
      <c r="W677" s="143"/>
      <c r="X677" s="143"/>
      <c r="Y677" s="143"/>
      <c r="Z677" s="261"/>
      <c r="AA677" s="261"/>
      <c r="AB677" s="142"/>
    </row>
    <row r="678" spans="6:28">
      <c r="F678" s="143"/>
      <c r="G678" s="145"/>
      <c r="H678" s="143"/>
      <c r="I678" s="143"/>
      <c r="J678" s="143"/>
      <c r="K678" s="342"/>
      <c r="L678" s="342"/>
      <c r="M678" s="143"/>
      <c r="N678" s="143"/>
      <c r="O678" s="143"/>
      <c r="P678" s="143"/>
      <c r="Q678" s="143"/>
      <c r="R678" s="143"/>
      <c r="S678" s="143"/>
      <c r="T678" s="143"/>
      <c r="U678" s="143"/>
      <c r="V678" s="143"/>
      <c r="W678" s="143"/>
      <c r="X678" s="143"/>
      <c r="Y678" s="143"/>
      <c r="Z678" s="261"/>
      <c r="AA678" s="261"/>
      <c r="AB678" s="142"/>
    </row>
    <row r="679" spans="6:28">
      <c r="F679" s="143"/>
      <c r="G679" s="145"/>
      <c r="H679" s="143"/>
      <c r="I679" s="143"/>
      <c r="J679" s="143"/>
      <c r="K679" s="342"/>
      <c r="L679" s="342"/>
      <c r="M679" s="143"/>
      <c r="N679" s="143"/>
      <c r="O679" s="143"/>
      <c r="P679" s="143"/>
      <c r="Q679" s="143"/>
      <c r="R679" s="143"/>
      <c r="S679" s="143"/>
      <c r="T679" s="143"/>
      <c r="U679" s="143"/>
      <c r="V679" s="143"/>
      <c r="W679" s="143"/>
      <c r="X679" s="143"/>
      <c r="Y679" s="143"/>
      <c r="Z679" s="261"/>
      <c r="AA679" s="261"/>
      <c r="AB679" s="142"/>
    </row>
    <row r="680" spans="6:28">
      <c r="F680" s="143"/>
      <c r="G680" s="145"/>
      <c r="H680" s="143"/>
      <c r="I680" s="143"/>
      <c r="J680" s="143"/>
      <c r="K680" s="342"/>
      <c r="L680" s="342"/>
      <c r="M680" s="143"/>
      <c r="N680" s="143"/>
      <c r="O680" s="143"/>
      <c r="P680" s="143"/>
      <c r="Q680" s="143"/>
      <c r="R680" s="143"/>
      <c r="S680" s="143"/>
      <c r="T680" s="143"/>
      <c r="U680" s="143"/>
      <c r="V680" s="143"/>
      <c r="W680" s="143"/>
      <c r="X680" s="143"/>
      <c r="Y680" s="143"/>
      <c r="Z680" s="261"/>
      <c r="AA680" s="261"/>
      <c r="AB680" s="142"/>
    </row>
    <row r="681" spans="6:28">
      <c r="F681" s="143"/>
      <c r="G681" s="145"/>
      <c r="H681" s="143"/>
      <c r="I681" s="143"/>
      <c r="J681" s="143"/>
      <c r="K681" s="342"/>
      <c r="L681" s="342"/>
      <c r="M681" s="143"/>
      <c r="N681" s="143"/>
      <c r="O681" s="143"/>
      <c r="P681" s="143"/>
      <c r="Q681" s="143"/>
      <c r="R681" s="143"/>
      <c r="S681" s="143"/>
      <c r="T681" s="143"/>
      <c r="U681" s="143"/>
      <c r="V681" s="143"/>
      <c r="W681" s="143"/>
      <c r="X681" s="143"/>
      <c r="Y681" s="143"/>
      <c r="Z681" s="261"/>
      <c r="AA681" s="261"/>
      <c r="AB681" s="142"/>
    </row>
    <row r="682" spans="6:28">
      <c r="F682" s="143"/>
      <c r="G682" s="145"/>
      <c r="H682" s="143"/>
      <c r="I682" s="143"/>
      <c r="J682" s="143"/>
      <c r="K682" s="342"/>
      <c r="L682" s="342"/>
      <c r="M682" s="143"/>
      <c r="N682" s="143"/>
      <c r="O682" s="143"/>
      <c r="P682" s="143"/>
      <c r="Q682" s="143"/>
      <c r="R682" s="143"/>
      <c r="S682" s="143"/>
      <c r="T682" s="143"/>
      <c r="U682" s="143"/>
      <c r="V682" s="143"/>
      <c r="W682" s="143"/>
      <c r="X682" s="143"/>
      <c r="Y682" s="143"/>
      <c r="Z682" s="261"/>
      <c r="AA682" s="261"/>
      <c r="AB682" s="142"/>
    </row>
    <row r="683" spans="6:28">
      <c r="F683" s="143"/>
      <c r="G683" s="145"/>
      <c r="H683" s="143"/>
      <c r="I683" s="143"/>
      <c r="J683" s="143"/>
      <c r="K683" s="342"/>
      <c r="L683" s="342"/>
      <c r="M683" s="143"/>
      <c r="N683" s="143"/>
      <c r="O683" s="143"/>
      <c r="P683" s="143"/>
      <c r="Q683" s="143"/>
      <c r="R683" s="143"/>
      <c r="S683" s="143"/>
      <c r="T683" s="143"/>
      <c r="U683" s="143"/>
      <c r="V683" s="143"/>
      <c r="W683" s="143"/>
      <c r="X683" s="143"/>
      <c r="Y683" s="143"/>
      <c r="Z683" s="261"/>
      <c r="AA683" s="261"/>
      <c r="AB683" s="142"/>
    </row>
    <row r="684" spans="6:28">
      <c r="F684" s="143"/>
      <c r="G684" s="145"/>
      <c r="H684" s="143"/>
      <c r="I684" s="143"/>
      <c r="J684" s="143"/>
      <c r="K684" s="342"/>
      <c r="L684" s="342"/>
      <c r="M684" s="143"/>
      <c r="N684" s="143"/>
      <c r="O684" s="143"/>
      <c r="P684" s="143"/>
      <c r="Q684" s="143"/>
      <c r="R684" s="143"/>
      <c r="S684" s="143"/>
      <c r="T684" s="143"/>
      <c r="U684" s="143"/>
      <c r="V684" s="143"/>
      <c r="W684" s="143"/>
      <c r="X684" s="143"/>
      <c r="Y684" s="143"/>
      <c r="Z684" s="261"/>
      <c r="AA684" s="261"/>
      <c r="AB684" s="142"/>
    </row>
    <row r="685" spans="6:28">
      <c r="F685" s="143"/>
      <c r="G685" s="145"/>
      <c r="H685" s="143"/>
      <c r="I685" s="143"/>
      <c r="J685" s="143"/>
      <c r="K685" s="342"/>
      <c r="L685" s="342"/>
      <c r="M685" s="143"/>
      <c r="N685" s="143"/>
      <c r="O685" s="143"/>
      <c r="P685" s="143"/>
      <c r="Q685" s="143"/>
      <c r="R685" s="143"/>
      <c r="S685" s="143"/>
      <c r="T685" s="143"/>
      <c r="U685" s="143"/>
      <c r="V685" s="143"/>
      <c r="W685" s="143"/>
      <c r="X685" s="143"/>
      <c r="Y685" s="143"/>
      <c r="Z685" s="261"/>
      <c r="AA685" s="261"/>
      <c r="AB685" s="142"/>
    </row>
    <row r="686" spans="6:28">
      <c r="F686" s="143"/>
      <c r="G686" s="145"/>
      <c r="H686" s="143"/>
      <c r="I686" s="143"/>
      <c r="J686" s="143"/>
      <c r="K686" s="342"/>
      <c r="L686" s="342"/>
      <c r="M686" s="143"/>
      <c r="N686" s="143"/>
      <c r="O686" s="143"/>
      <c r="P686" s="143"/>
      <c r="Q686" s="143"/>
      <c r="R686" s="143"/>
      <c r="S686" s="143"/>
      <c r="T686" s="143"/>
      <c r="U686" s="143"/>
      <c r="V686" s="143"/>
      <c r="W686" s="143"/>
      <c r="X686" s="143"/>
      <c r="Y686" s="143"/>
      <c r="Z686" s="261"/>
      <c r="AA686" s="261"/>
      <c r="AB686" s="142"/>
    </row>
    <row r="687" spans="6:28">
      <c r="F687" s="143"/>
      <c r="G687" s="145"/>
      <c r="H687" s="143"/>
      <c r="I687" s="143"/>
      <c r="J687" s="143"/>
      <c r="K687" s="342"/>
      <c r="L687" s="342"/>
      <c r="M687" s="143"/>
      <c r="N687" s="143"/>
      <c r="O687" s="143"/>
      <c r="P687" s="143"/>
      <c r="Q687" s="143"/>
      <c r="R687" s="143"/>
      <c r="S687" s="143"/>
      <c r="T687" s="143"/>
      <c r="U687" s="143"/>
      <c r="V687" s="143"/>
      <c r="W687" s="143"/>
      <c r="X687" s="143"/>
      <c r="Y687" s="143"/>
      <c r="Z687" s="261"/>
      <c r="AA687" s="261"/>
      <c r="AB687" s="142"/>
    </row>
    <row r="688" spans="6:28">
      <c r="F688" s="143"/>
      <c r="G688" s="145"/>
      <c r="H688" s="143"/>
      <c r="I688" s="143"/>
      <c r="J688" s="143"/>
      <c r="K688" s="342"/>
      <c r="L688" s="342"/>
      <c r="M688" s="143"/>
      <c r="N688" s="143"/>
      <c r="O688" s="143"/>
      <c r="P688" s="143"/>
      <c r="Q688" s="143"/>
      <c r="R688" s="143"/>
      <c r="S688" s="143"/>
      <c r="T688" s="143"/>
      <c r="U688" s="143"/>
      <c r="V688" s="143"/>
      <c r="W688" s="143"/>
      <c r="X688" s="143"/>
      <c r="Y688" s="143"/>
      <c r="Z688" s="261"/>
      <c r="AA688" s="261"/>
      <c r="AB688" s="142"/>
    </row>
    <row r="689" spans="6:28">
      <c r="F689" s="143"/>
      <c r="G689" s="145"/>
      <c r="H689" s="143"/>
      <c r="I689" s="143"/>
      <c r="J689" s="143"/>
      <c r="K689" s="342"/>
      <c r="L689" s="342"/>
      <c r="M689" s="143"/>
      <c r="N689" s="143"/>
      <c r="O689" s="143"/>
      <c r="P689" s="143"/>
      <c r="Q689" s="143"/>
      <c r="R689" s="143"/>
      <c r="S689" s="143"/>
      <c r="T689" s="143"/>
      <c r="U689" s="143"/>
      <c r="V689" s="143"/>
      <c r="W689" s="143"/>
      <c r="X689" s="143"/>
      <c r="Y689" s="143"/>
      <c r="Z689" s="261"/>
      <c r="AA689" s="261"/>
      <c r="AB689" s="142"/>
    </row>
    <row r="690" spans="6:28">
      <c r="F690" s="143"/>
      <c r="G690" s="145"/>
      <c r="H690" s="143"/>
      <c r="I690" s="143"/>
      <c r="J690" s="143"/>
      <c r="K690" s="342"/>
      <c r="L690" s="342"/>
      <c r="M690" s="143"/>
      <c r="N690" s="143"/>
      <c r="O690" s="143"/>
      <c r="P690" s="143"/>
      <c r="Q690" s="143"/>
      <c r="R690" s="143"/>
      <c r="S690" s="143"/>
      <c r="T690" s="143"/>
      <c r="U690" s="143"/>
      <c r="V690" s="143"/>
      <c r="W690" s="143"/>
      <c r="X690" s="143"/>
      <c r="Y690" s="143"/>
      <c r="Z690" s="261"/>
      <c r="AA690" s="261"/>
      <c r="AB690" s="142"/>
    </row>
    <row r="691" spans="6:28">
      <c r="F691" s="143"/>
      <c r="G691" s="145"/>
      <c r="H691" s="143"/>
      <c r="I691" s="143"/>
      <c r="J691" s="143"/>
      <c r="K691" s="342"/>
      <c r="L691" s="342"/>
      <c r="M691" s="143"/>
      <c r="N691" s="143"/>
      <c r="O691" s="143"/>
      <c r="P691" s="143"/>
      <c r="Q691" s="143"/>
      <c r="R691" s="143"/>
      <c r="S691" s="143"/>
      <c r="T691" s="143"/>
      <c r="U691" s="143"/>
      <c r="V691" s="143"/>
      <c r="W691" s="143"/>
      <c r="X691" s="143"/>
      <c r="Y691" s="143"/>
      <c r="Z691" s="261"/>
      <c r="AA691" s="261"/>
      <c r="AB691" s="142"/>
    </row>
    <row r="692" spans="6:28">
      <c r="F692" s="143"/>
      <c r="G692" s="145"/>
      <c r="H692" s="143"/>
      <c r="I692" s="143"/>
      <c r="J692" s="143"/>
      <c r="K692" s="342"/>
      <c r="L692" s="342"/>
      <c r="M692" s="143"/>
      <c r="N692" s="143"/>
      <c r="O692" s="143"/>
      <c r="P692" s="143"/>
      <c r="Q692" s="143"/>
      <c r="R692" s="143"/>
      <c r="S692" s="143"/>
      <c r="T692" s="143"/>
      <c r="U692" s="143"/>
      <c r="V692" s="143"/>
      <c r="W692" s="143"/>
      <c r="X692" s="143"/>
      <c r="Y692" s="143"/>
      <c r="Z692" s="261"/>
      <c r="AA692" s="261"/>
      <c r="AB692" s="142"/>
    </row>
    <row r="693" spans="6:28">
      <c r="F693" s="143"/>
      <c r="G693" s="145"/>
      <c r="H693" s="143"/>
      <c r="I693" s="143"/>
      <c r="J693" s="143"/>
      <c r="K693" s="342"/>
      <c r="L693" s="342"/>
      <c r="M693" s="143"/>
      <c r="N693" s="143"/>
      <c r="O693" s="143"/>
      <c r="P693" s="143"/>
      <c r="Q693" s="143"/>
      <c r="R693" s="143"/>
      <c r="S693" s="143"/>
      <c r="T693" s="143"/>
      <c r="U693" s="143"/>
      <c r="V693" s="143"/>
      <c r="W693" s="143"/>
      <c r="X693" s="143"/>
      <c r="Y693" s="143"/>
      <c r="Z693" s="261"/>
      <c r="AA693" s="261"/>
      <c r="AB693" s="142"/>
    </row>
    <row r="694" spans="6:28">
      <c r="F694" s="143"/>
      <c r="G694" s="145"/>
      <c r="H694" s="143"/>
      <c r="I694" s="143"/>
      <c r="J694" s="143"/>
      <c r="K694" s="342"/>
      <c r="L694" s="342"/>
      <c r="M694" s="143"/>
      <c r="N694" s="143"/>
      <c r="O694" s="143"/>
      <c r="P694" s="143"/>
      <c r="Q694" s="143"/>
      <c r="R694" s="143"/>
      <c r="S694" s="143"/>
      <c r="T694" s="143"/>
      <c r="U694" s="143"/>
      <c r="V694" s="143"/>
      <c r="W694" s="143"/>
      <c r="X694" s="143"/>
      <c r="Y694" s="143"/>
      <c r="Z694" s="261"/>
      <c r="AA694" s="261"/>
      <c r="AB694" s="142"/>
    </row>
    <row r="695" spans="6:28">
      <c r="F695" s="143"/>
      <c r="G695" s="145"/>
      <c r="H695" s="143"/>
      <c r="I695" s="143"/>
      <c r="J695" s="143"/>
      <c r="K695" s="342"/>
      <c r="L695" s="342"/>
      <c r="M695" s="143"/>
      <c r="N695" s="143"/>
      <c r="O695" s="143"/>
      <c r="P695" s="143"/>
      <c r="Q695" s="143"/>
      <c r="R695" s="143"/>
      <c r="S695" s="143"/>
      <c r="T695" s="143"/>
      <c r="U695" s="143"/>
      <c r="V695" s="143"/>
      <c r="W695" s="143"/>
      <c r="X695" s="143"/>
      <c r="Y695" s="143"/>
      <c r="Z695" s="261"/>
      <c r="AA695" s="261"/>
      <c r="AB695" s="142"/>
    </row>
    <row r="696" spans="6:28">
      <c r="F696" s="143"/>
      <c r="G696" s="145"/>
      <c r="H696" s="143"/>
      <c r="I696" s="143"/>
      <c r="J696" s="143"/>
      <c r="K696" s="342"/>
      <c r="L696" s="342"/>
      <c r="M696" s="143"/>
      <c r="N696" s="143"/>
      <c r="O696" s="143"/>
      <c r="P696" s="143"/>
      <c r="Q696" s="143"/>
      <c r="R696" s="143"/>
      <c r="S696" s="143"/>
      <c r="T696" s="143"/>
      <c r="U696" s="143"/>
      <c r="V696" s="143"/>
      <c r="W696" s="143"/>
      <c r="X696" s="143"/>
      <c r="Y696" s="143"/>
      <c r="Z696" s="261"/>
      <c r="AA696" s="261"/>
      <c r="AB696" s="142"/>
    </row>
    <row r="697" spans="6:28">
      <c r="F697" s="143"/>
      <c r="G697" s="145"/>
      <c r="H697" s="143"/>
      <c r="I697" s="143"/>
      <c r="J697" s="143"/>
      <c r="K697" s="342"/>
      <c r="L697" s="342"/>
      <c r="M697" s="143"/>
      <c r="N697" s="143"/>
      <c r="O697" s="143"/>
      <c r="P697" s="143"/>
      <c r="Q697" s="143"/>
      <c r="R697" s="143"/>
      <c r="S697" s="143"/>
      <c r="T697" s="143"/>
      <c r="U697" s="143"/>
      <c r="V697" s="143"/>
      <c r="W697" s="143"/>
      <c r="X697" s="143"/>
      <c r="Y697" s="143"/>
      <c r="Z697" s="261"/>
      <c r="AA697" s="261"/>
      <c r="AB697" s="142"/>
    </row>
    <row r="698" spans="6:28">
      <c r="F698" s="143"/>
      <c r="G698" s="145"/>
      <c r="H698" s="143"/>
      <c r="I698" s="143"/>
      <c r="J698" s="143"/>
      <c r="K698" s="342"/>
      <c r="L698" s="342"/>
      <c r="M698" s="143"/>
      <c r="N698" s="143"/>
      <c r="O698" s="143"/>
      <c r="P698" s="143"/>
      <c r="Q698" s="143"/>
      <c r="R698" s="143"/>
      <c r="S698" s="143"/>
      <c r="T698" s="143"/>
      <c r="U698" s="143"/>
      <c r="V698" s="143"/>
      <c r="W698" s="143"/>
      <c r="X698" s="143"/>
      <c r="Y698" s="143"/>
      <c r="Z698" s="261"/>
      <c r="AA698" s="261"/>
      <c r="AB698" s="142"/>
    </row>
    <row r="699" spans="6:28">
      <c r="F699" s="143"/>
      <c r="G699" s="145"/>
      <c r="H699" s="143"/>
      <c r="I699" s="143"/>
      <c r="J699" s="143"/>
      <c r="K699" s="342"/>
      <c r="L699" s="342"/>
      <c r="M699" s="143"/>
      <c r="N699" s="143"/>
      <c r="O699" s="143"/>
      <c r="P699" s="143"/>
      <c r="Q699" s="143"/>
      <c r="R699" s="143"/>
      <c r="S699" s="143"/>
      <c r="T699" s="143"/>
      <c r="U699" s="143"/>
      <c r="V699" s="143"/>
      <c r="W699" s="143"/>
      <c r="X699" s="143"/>
      <c r="Y699" s="143"/>
      <c r="Z699" s="261"/>
      <c r="AA699" s="261"/>
      <c r="AB699" s="142"/>
    </row>
    <row r="700" spans="6:28">
      <c r="F700" s="143"/>
      <c r="G700" s="145"/>
      <c r="H700" s="143"/>
      <c r="I700" s="143"/>
      <c r="J700" s="143"/>
      <c r="K700" s="342"/>
      <c r="L700" s="342"/>
      <c r="M700" s="143"/>
      <c r="N700" s="143"/>
      <c r="O700" s="143"/>
      <c r="P700" s="143"/>
      <c r="Q700" s="143"/>
      <c r="R700" s="143"/>
      <c r="S700" s="143"/>
      <c r="T700" s="143"/>
      <c r="U700" s="143"/>
      <c r="V700" s="143"/>
      <c r="W700" s="143"/>
      <c r="X700" s="143"/>
      <c r="Y700" s="143"/>
      <c r="Z700" s="261"/>
      <c r="AA700" s="261"/>
      <c r="AB700" s="142"/>
    </row>
    <row r="701" spans="6:28">
      <c r="F701" s="143"/>
      <c r="G701" s="145"/>
      <c r="H701" s="143"/>
      <c r="I701" s="143"/>
      <c r="J701" s="143"/>
      <c r="K701" s="342"/>
      <c r="L701" s="342"/>
      <c r="M701" s="143"/>
      <c r="N701" s="143"/>
      <c r="O701" s="143"/>
      <c r="P701" s="143"/>
      <c r="Q701" s="143"/>
      <c r="R701" s="143"/>
      <c r="S701" s="143"/>
      <c r="T701" s="143"/>
      <c r="U701" s="143"/>
      <c r="V701" s="143"/>
      <c r="W701" s="143"/>
      <c r="X701" s="143"/>
      <c r="Y701" s="143"/>
      <c r="Z701" s="261"/>
      <c r="AA701" s="261"/>
      <c r="AB701" s="142"/>
    </row>
    <row r="702" spans="6:28">
      <c r="F702" s="143"/>
      <c r="G702" s="145"/>
      <c r="H702" s="143"/>
      <c r="I702" s="143"/>
      <c r="J702" s="143"/>
      <c r="K702" s="342"/>
      <c r="L702" s="342"/>
      <c r="M702" s="143"/>
      <c r="N702" s="143"/>
      <c r="O702" s="143"/>
      <c r="P702" s="143"/>
      <c r="Q702" s="143"/>
      <c r="R702" s="143"/>
      <c r="S702" s="143"/>
      <c r="T702" s="143"/>
      <c r="U702" s="143"/>
      <c r="V702" s="143"/>
      <c r="W702" s="143"/>
      <c r="X702" s="143"/>
      <c r="Y702" s="143"/>
      <c r="Z702" s="261"/>
      <c r="AA702" s="261"/>
      <c r="AB702" s="142"/>
    </row>
    <row r="703" spans="6:28">
      <c r="F703" s="143"/>
      <c r="G703" s="145"/>
      <c r="H703" s="143"/>
      <c r="I703" s="143"/>
      <c r="J703" s="143"/>
      <c r="K703" s="342"/>
      <c r="L703" s="342"/>
      <c r="M703" s="143"/>
      <c r="N703" s="143"/>
      <c r="O703" s="143"/>
      <c r="P703" s="143"/>
      <c r="Q703" s="143"/>
      <c r="R703" s="143"/>
      <c r="S703" s="143"/>
      <c r="T703" s="143"/>
      <c r="U703" s="143"/>
      <c r="V703" s="143"/>
      <c r="W703" s="143"/>
      <c r="X703" s="143"/>
      <c r="Y703" s="143"/>
      <c r="Z703" s="261"/>
      <c r="AA703" s="261"/>
      <c r="AB703" s="142"/>
    </row>
    <row r="704" spans="6:28">
      <c r="F704" s="143"/>
      <c r="G704" s="145"/>
      <c r="H704" s="143"/>
      <c r="I704" s="143"/>
      <c r="J704" s="143"/>
      <c r="K704" s="342"/>
      <c r="L704" s="342"/>
      <c r="M704" s="143"/>
      <c r="N704" s="143"/>
      <c r="O704" s="143"/>
      <c r="P704" s="143"/>
      <c r="Q704" s="143"/>
      <c r="R704" s="143"/>
      <c r="S704" s="143"/>
      <c r="T704" s="143"/>
      <c r="U704" s="143"/>
      <c r="V704" s="143"/>
      <c r="W704" s="143"/>
      <c r="X704" s="143"/>
      <c r="Y704" s="143"/>
      <c r="Z704" s="261"/>
      <c r="AA704" s="261"/>
      <c r="AB704" s="142"/>
    </row>
    <row r="705" spans="6:28">
      <c r="F705" s="143"/>
      <c r="G705" s="145"/>
      <c r="H705" s="143"/>
      <c r="I705" s="143"/>
      <c r="J705" s="143"/>
      <c r="K705" s="342"/>
      <c r="L705" s="342"/>
      <c r="M705" s="143"/>
      <c r="N705" s="143"/>
      <c r="O705" s="143"/>
      <c r="P705" s="143"/>
      <c r="Q705" s="143"/>
      <c r="R705" s="143"/>
      <c r="S705" s="143"/>
      <c r="T705" s="143"/>
      <c r="U705" s="143"/>
      <c r="V705" s="143"/>
      <c r="W705" s="143"/>
      <c r="X705" s="143"/>
      <c r="Y705" s="143"/>
      <c r="Z705" s="261"/>
      <c r="AA705" s="261"/>
      <c r="AB705" s="142"/>
    </row>
    <row r="706" spans="6:28">
      <c r="F706" s="143"/>
      <c r="G706" s="145"/>
      <c r="H706" s="143"/>
      <c r="I706" s="143"/>
      <c r="J706" s="143"/>
      <c r="K706" s="342"/>
      <c r="L706" s="342"/>
      <c r="M706" s="143"/>
      <c r="N706" s="143"/>
      <c r="O706" s="143"/>
      <c r="P706" s="143"/>
      <c r="Q706" s="143"/>
      <c r="R706" s="143"/>
      <c r="S706" s="143"/>
      <c r="T706" s="143"/>
      <c r="U706" s="143"/>
      <c r="V706" s="143"/>
      <c r="W706" s="143"/>
      <c r="X706" s="143"/>
      <c r="Y706" s="143"/>
      <c r="Z706" s="261"/>
      <c r="AA706" s="261"/>
      <c r="AB706" s="142"/>
    </row>
    <row r="707" spans="6:28">
      <c r="F707" s="143"/>
      <c r="G707" s="145"/>
      <c r="H707" s="143"/>
      <c r="I707" s="143"/>
      <c r="J707" s="143"/>
      <c r="K707" s="342"/>
      <c r="L707" s="342"/>
      <c r="M707" s="143"/>
      <c r="N707" s="143"/>
      <c r="O707" s="143"/>
      <c r="P707" s="143"/>
      <c r="Q707" s="143"/>
      <c r="R707" s="143"/>
      <c r="S707" s="143"/>
      <c r="T707" s="143"/>
      <c r="U707" s="143"/>
      <c r="V707" s="143"/>
      <c r="W707" s="143"/>
      <c r="X707" s="143"/>
      <c r="Y707" s="143"/>
      <c r="Z707" s="261"/>
      <c r="AA707" s="261"/>
      <c r="AB707" s="142"/>
    </row>
    <row r="708" spans="6:28">
      <c r="F708" s="143"/>
      <c r="G708" s="145"/>
      <c r="H708" s="143"/>
      <c r="I708" s="143"/>
      <c r="J708" s="143"/>
      <c r="K708" s="342"/>
      <c r="L708" s="342"/>
      <c r="M708" s="143"/>
      <c r="N708" s="143"/>
      <c r="O708" s="143"/>
      <c r="P708" s="143"/>
      <c r="Q708" s="143"/>
      <c r="R708" s="143"/>
      <c r="S708" s="143"/>
      <c r="T708" s="143"/>
      <c r="U708" s="143"/>
      <c r="V708" s="143"/>
      <c r="W708" s="143"/>
      <c r="X708" s="143"/>
      <c r="Y708" s="143"/>
      <c r="Z708" s="261"/>
      <c r="AA708" s="261"/>
      <c r="AB708" s="142"/>
    </row>
    <row r="709" spans="6:28">
      <c r="F709" s="143"/>
      <c r="G709" s="145"/>
      <c r="H709" s="143"/>
      <c r="I709" s="143"/>
      <c r="J709" s="143"/>
      <c r="K709" s="342"/>
      <c r="L709" s="342"/>
      <c r="M709" s="143"/>
      <c r="N709" s="143"/>
      <c r="O709" s="143"/>
      <c r="P709" s="143"/>
      <c r="Q709" s="143"/>
      <c r="R709" s="143"/>
      <c r="S709" s="143"/>
      <c r="T709" s="143"/>
      <c r="U709" s="143"/>
      <c r="V709" s="143"/>
      <c r="W709" s="143"/>
      <c r="X709" s="143"/>
      <c r="Y709" s="143"/>
      <c r="Z709" s="261"/>
      <c r="AA709" s="261"/>
      <c r="AB709" s="142"/>
    </row>
    <row r="710" spans="6:28">
      <c r="F710" s="143"/>
      <c r="G710" s="145"/>
      <c r="H710" s="143"/>
      <c r="I710" s="143"/>
      <c r="J710" s="143"/>
      <c r="K710" s="342"/>
      <c r="L710" s="342"/>
      <c r="M710" s="143"/>
      <c r="N710" s="143"/>
      <c r="O710" s="143"/>
      <c r="P710" s="143"/>
      <c r="Q710" s="143"/>
      <c r="R710" s="143"/>
      <c r="S710" s="143"/>
      <c r="T710" s="143"/>
      <c r="U710" s="143"/>
      <c r="V710" s="143"/>
      <c r="W710" s="143"/>
      <c r="X710" s="143"/>
      <c r="Y710" s="143"/>
      <c r="Z710" s="261"/>
      <c r="AA710" s="261"/>
      <c r="AB710" s="142"/>
    </row>
    <row r="711" spans="6:28">
      <c r="F711" s="143"/>
      <c r="G711" s="145"/>
      <c r="H711" s="143"/>
      <c r="I711" s="143"/>
      <c r="J711" s="143"/>
      <c r="K711" s="342"/>
      <c r="L711" s="342"/>
      <c r="M711" s="143"/>
      <c r="N711" s="143"/>
      <c r="O711" s="143"/>
      <c r="P711" s="143"/>
      <c r="Q711" s="143"/>
      <c r="R711" s="143"/>
      <c r="S711" s="143"/>
      <c r="T711" s="143"/>
      <c r="U711" s="143"/>
      <c r="V711" s="143"/>
      <c r="W711" s="143"/>
      <c r="X711" s="143"/>
      <c r="Y711" s="143"/>
      <c r="Z711" s="261"/>
      <c r="AA711" s="261"/>
      <c r="AB711" s="142"/>
    </row>
    <row r="712" spans="6:28">
      <c r="F712" s="143"/>
      <c r="G712" s="145"/>
      <c r="H712" s="143"/>
      <c r="I712" s="143"/>
      <c r="J712" s="143"/>
      <c r="K712" s="342"/>
      <c r="L712" s="342"/>
      <c r="M712" s="143"/>
      <c r="N712" s="143"/>
      <c r="O712" s="143"/>
      <c r="P712" s="143"/>
      <c r="Q712" s="143"/>
      <c r="R712" s="143"/>
      <c r="S712" s="143"/>
      <c r="T712" s="143"/>
      <c r="U712" s="143"/>
      <c r="V712" s="143"/>
      <c r="W712" s="143"/>
      <c r="X712" s="143"/>
      <c r="Y712" s="143"/>
      <c r="Z712" s="261"/>
      <c r="AA712" s="261"/>
      <c r="AB712" s="142"/>
    </row>
    <row r="713" spans="6:28">
      <c r="F713" s="143"/>
      <c r="G713" s="145"/>
      <c r="H713" s="143"/>
      <c r="I713" s="143"/>
      <c r="J713" s="143"/>
      <c r="K713" s="342"/>
      <c r="L713" s="342"/>
      <c r="M713" s="143"/>
      <c r="N713" s="143"/>
      <c r="O713" s="143"/>
      <c r="P713" s="143"/>
      <c r="Q713" s="143"/>
      <c r="R713" s="143"/>
      <c r="S713" s="143"/>
      <c r="T713" s="143"/>
      <c r="U713" s="143"/>
      <c r="V713" s="143"/>
      <c r="W713" s="143"/>
      <c r="X713" s="143"/>
      <c r="Y713" s="143"/>
      <c r="Z713" s="261"/>
      <c r="AA713" s="261"/>
      <c r="AB713" s="142"/>
    </row>
    <row r="714" spans="6:28">
      <c r="F714" s="143"/>
      <c r="G714" s="145"/>
      <c r="H714" s="143"/>
      <c r="I714" s="143"/>
      <c r="J714" s="143"/>
      <c r="K714" s="342"/>
      <c r="L714" s="342"/>
      <c r="M714" s="143"/>
      <c r="N714" s="143"/>
      <c r="O714" s="143"/>
      <c r="P714" s="143"/>
      <c r="Q714" s="143"/>
      <c r="R714" s="143"/>
      <c r="S714" s="143"/>
      <c r="T714" s="143"/>
      <c r="U714" s="143"/>
      <c r="V714" s="143"/>
      <c r="W714" s="143"/>
      <c r="X714" s="143"/>
      <c r="Y714" s="143"/>
      <c r="Z714" s="261"/>
      <c r="AA714" s="261"/>
      <c r="AB714" s="142"/>
    </row>
    <row r="715" spans="6:28">
      <c r="F715" s="143"/>
      <c r="G715" s="145"/>
      <c r="H715" s="143"/>
      <c r="I715" s="143"/>
      <c r="J715" s="143"/>
      <c r="K715" s="342"/>
      <c r="L715" s="342"/>
      <c r="M715" s="143"/>
      <c r="N715" s="143"/>
      <c r="O715" s="143"/>
      <c r="P715" s="143"/>
      <c r="Q715" s="143"/>
      <c r="R715" s="143"/>
      <c r="S715" s="143"/>
      <c r="T715" s="143"/>
      <c r="U715" s="143"/>
      <c r="V715" s="143"/>
      <c r="W715" s="143"/>
      <c r="X715" s="143"/>
      <c r="Y715" s="143"/>
      <c r="Z715" s="261"/>
      <c r="AA715" s="261"/>
      <c r="AB715" s="142"/>
    </row>
    <row r="716" spans="6:28">
      <c r="F716" s="143"/>
      <c r="G716" s="145"/>
      <c r="H716" s="143"/>
      <c r="I716" s="143"/>
      <c r="J716" s="143"/>
      <c r="K716" s="342"/>
      <c r="L716" s="342"/>
      <c r="M716" s="143"/>
      <c r="N716" s="143"/>
      <c r="O716" s="143"/>
      <c r="P716" s="143"/>
      <c r="Q716" s="143"/>
      <c r="R716" s="143"/>
      <c r="S716" s="143"/>
      <c r="T716" s="143"/>
      <c r="U716" s="143"/>
      <c r="V716" s="143"/>
      <c r="W716" s="143"/>
      <c r="X716" s="143"/>
      <c r="Y716" s="143"/>
      <c r="Z716" s="261"/>
      <c r="AA716" s="261"/>
      <c r="AB716" s="142"/>
    </row>
    <row r="717" spans="6:28">
      <c r="F717" s="143"/>
      <c r="G717" s="145"/>
      <c r="H717" s="143"/>
      <c r="I717" s="143"/>
      <c r="J717" s="143"/>
      <c r="K717" s="342"/>
      <c r="L717" s="342"/>
      <c r="M717" s="143"/>
      <c r="N717" s="143"/>
      <c r="O717" s="143"/>
      <c r="P717" s="143"/>
      <c r="Q717" s="143"/>
      <c r="R717" s="143"/>
      <c r="S717" s="143"/>
      <c r="T717" s="143"/>
      <c r="U717" s="143"/>
      <c r="V717" s="143"/>
      <c r="W717" s="143"/>
      <c r="X717" s="143"/>
      <c r="Y717" s="143"/>
      <c r="Z717" s="261"/>
      <c r="AA717" s="261"/>
      <c r="AB717" s="142"/>
    </row>
    <row r="718" spans="6:28">
      <c r="F718" s="143"/>
      <c r="G718" s="145"/>
      <c r="H718" s="143"/>
      <c r="I718" s="143"/>
      <c r="J718" s="143"/>
      <c r="K718" s="342"/>
      <c r="L718" s="342"/>
      <c r="M718" s="143"/>
      <c r="N718" s="143"/>
      <c r="O718" s="143"/>
      <c r="P718" s="143"/>
      <c r="Q718" s="143"/>
      <c r="R718" s="143"/>
      <c r="S718" s="143"/>
      <c r="T718" s="143"/>
      <c r="U718" s="143"/>
      <c r="V718" s="143"/>
      <c r="W718" s="143"/>
      <c r="X718" s="143"/>
      <c r="Y718" s="143"/>
      <c r="Z718" s="261"/>
      <c r="AA718" s="261"/>
      <c r="AB718" s="142"/>
    </row>
    <row r="719" spans="6:28">
      <c r="F719" s="143"/>
      <c r="G719" s="145"/>
      <c r="H719" s="143"/>
      <c r="I719" s="143"/>
      <c r="J719" s="143"/>
      <c r="K719" s="342"/>
      <c r="L719" s="342"/>
      <c r="M719" s="143"/>
      <c r="N719" s="143"/>
      <c r="O719" s="143"/>
      <c r="P719" s="143"/>
      <c r="Q719" s="143"/>
      <c r="R719" s="143"/>
      <c r="S719" s="143"/>
      <c r="T719" s="143"/>
      <c r="U719" s="143"/>
      <c r="V719" s="143"/>
      <c r="W719" s="143"/>
      <c r="X719" s="143"/>
      <c r="Y719" s="143"/>
      <c r="Z719" s="261"/>
      <c r="AA719" s="261"/>
      <c r="AB719" s="142"/>
    </row>
    <row r="720" spans="6:28">
      <c r="F720" s="143"/>
      <c r="G720" s="145"/>
      <c r="H720" s="143"/>
      <c r="I720" s="143"/>
      <c r="J720" s="143"/>
      <c r="K720" s="342"/>
      <c r="L720" s="342"/>
      <c r="M720" s="143"/>
      <c r="N720" s="143"/>
      <c r="O720" s="143"/>
      <c r="P720" s="143"/>
      <c r="Q720" s="143"/>
      <c r="R720" s="143"/>
      <c r="S720" s="143"/>
      <c r="T720" s="143"/>
      <c r="U720" s="143"/>
      <c r="V720" s="143"/>
      <c r="W720" s="143"/>
      <c r="X720" s="143"/>
      <c r="Y720" s="143"/>
      <c r="Z720" s="261"/>
      <c r="AA720" s="261"/>
      <c r="AB720" s="142"/>
    </row>
    <row r="721" spans="6:28">
      <c r="F721" s="143"/>
      <c r="G721" s="145"/>
      <c r="H721" s="143"/>
      <c r="I721" s="143"/>
      <c r="J721" s="143"/>
      <c r="K721" s="342"/>
      <c r="L721" s="342"/>
      <c r="M721" s="143"/>
      <c r="N721" s="143"/>
      <c r="O721" s="143"/>
      <c r="P721" s="143"/>
      <c r="Q721" s="143"/>
      <c r="R721" s="143"/>
      <c r="S721" s="143"/>
      <c r="T721" s="143"/>
      <c r="U721" s="143"/>
      <c r="V721" s="143"/>
      <c r="W721" s="143"/>
      <c r="X721" s="143"/>
      <c r="Y721" s="143"/>
      <c r="Z721" s="261"/>
      <c r="AA721" s="261"/>
      <c r="AB721" s="142"/>
    </row>
    <row r="722" spans="6:28">
      <c r="F722" s="143"/>
      <c r="G722" s="145"/>
      <c r="H722" s="143"/>
      <c r="I722" s="143"/>
      <c r="J722" s="143"/>
      <c r="K722" s="342"/>
      <c r="L722" s="342"/>
      <c r="M722" s="143"/>
      <c r="N722" s="143"/>
      <c r="O722" s="143"/>
      <c r="P722" s="143"/>
      <c r="Q722" s="143"/>
      <c r="R722" s="143"/>
      <c r="S722" s="143"/>
      <c r="T722" s="143"/>
      <c r="U722" s="143"/>
      <c r="V722" s="143"/>
      <c r="W722" s="143"/>
      <c r="X722" s="143"/>
      <c r="Y722" s="143"/>
      <c r="Z722" s="261"/>
      <c r="AA722" s="261"/>
      <c r="AB722" s="142"/>
    </row>
    <row r="723" spans="6:28">
      <c r="F723" s="143"/>
      <c r="G723" s="145"/>
      <c r="H723" s="143"/>
      <c r="I723" s="143"/>
      <c r="J723" s="143"/>
      <c r="K723" s="342"/>
      <c r="L723" s="342"/>
      <c r="M723" s="143"/>
      <c r="N723" s="143"/>
      <c r="O723" s="143"/>
      <c r="P723" s="143"/>
      <c r="Q723" s="143"/>
      <c r="R723" s="143"/>
      <c r="S723" s="143"/>
      <c r="T723" s="143"/>
      <c r="U723" s="143"/>
      <c r="V723" s="143"/>
      <c r="W723" s="143"/>
      <c r="X723" s="143"/>
      <c r="Y723" s="143"/>
      <c r="Z723" s="261"/>
      <c r="AA723" s="261"/>
      <c r="AB723" s="142"/>
    </row>
    <row r="724" spans="6:28">
      <c r="F724" s="143"/>
      <c r="G724" s="145"/>
      <c r="H724" s="143"/>
      <c r="I724" s="143"/>
      <c r="J724" s="143"/>
      <c r="K724" s="342"/>
      <c r="L724" s="342"/>
      <c r="M724" s="143"/>
      <c r="N724" s="143"/>
      <c r="O724" s="143"/>
      <c r="P724" s="143"/>
      <c r="Q724" s="143"/>
      <c r="R724" s="143"/>
      <c r="S724" s="143"/>
      <c r="T724" s="143"/>
      <c r="U724" s="143"/>
      <c r="V724" s="143"/>
      <c r="W724" s="143"/>
      <c r="X724" s="143"/>
      <c r="Y724" s="143"/>
      <c r="Z724" s="261"/>
      <c r="AA724" s="261"/>
      <c r="AB724" s="142"/>
    </row>
    <row r="725" spans="6:28">
      <c r="F725" s="143"/>
      <c r="G725" s="145"/>
      <c r="H725" s="143"/>
      <c r="I725" s="143"/>
      <c r="J725" s="143"/>
      <c r="K725" s="342"/>
      <c r="L725" s="342"/>
      <c r="M725" s="143"/>
      <c r="N725" s="143"/>
      <c r="O725" s="143"/>
      <c r="P725" s="143"/>
      <c r="Q725" s="143"/>
      <c r="R725" s="143"/>
      <c r="S725" s="143"/>
      <c r="T725" s="143"/>
      <c r="U725" s="143"/>
      <c r="V725" s="143"/>
      <c r="W725" s="143"/>
      <c r="X725" s="143"/>
      <c r="Y725" s="143"/>
      <c r="Z725" s="261"/>
      <c r="AA725" s="261"/>
      <c r="AB725" s="142"/>
    </row>
    <row r="726" spans="6:28">
      <c r="F726" s="143"/>
      <c r="G726" s="145"/>
      <c r="H726" s="143"/>
      <c r="I726" s="143"/>
      <c r="J726" s="143"/>
      <c r="K726" s="342"/>
      <c r="L726" s="342"/>
      <c r="M726" s="143"/>
      <c r="N726" s="143"/>
      <c r="O726" s="143"/>
      <c r="P726" s="143"/>
      <c r="Q726" s="143"/>
      <c r="R726" s="143"/>
      <c r="S726" s="143"/>
      <c r="T726" s="143"/>
      <c r="U726" s="143"/>
      <c r="V726" s="143"/>
      <c r="W726" s="143"/>
      <c r="X726" s="143"/>
      <c r="Y726" s="143"/>
      <c r="Z726" s="261"/>
      <c r="AA726" s="261"/>
      <c r="AB726" s="142"/>
    </row>
    <row r="727" spans="6:28">
      <c r="F727" s="143"/>
      <c r="G727" s="145"/>
      <c r="H727" s="143"/>
      <c r="I727" s="143"/>
      <c r="J727" s="143"/>
      <c r="K727" s="342"/>
      <c r="L727" s="342"/>
      <c r="M727" s="143"/>
      <c r="N727" s="143"/>
      <c r="O727" s="143"/>
      <c r="P727" s="143"/>
      <c r="Q727" s="143"/>
      <c r="R727" s="143"/>
      <c r="S727" s="143"/>
      <c r="T727" s="143"/>
      <c r="U727" s="143"/>
      <c r="V727" s="143"/>
      <c r="W727" s="143"/>
      <c r="X727" s="143"/>
      <c r="Y727" s="143"/>
      <c r="Z727" s="261"/>
      <c r="AA727" s="261"/>
      <c r="AB727" s="142"/>
    </row>
    <row r="728" spans="6:28">
      <c r="F728" s="143"/>
      <c r="G728" s="145"/>
      <c r="H728" s="143"/>
      <c r="I728" s="143"/>
      <c r="J728" s="143"/>
      <c r="K728" s="342"/>
      <c r="L728" s="342"/>
      <c r="M728" s="143"/>
      <c r="N728" s="143"/>
      <c r="O728" s="143"/>
      <c r="P728" s="143"/>
      <c r="Q728" s="143"/>
      <c r="R728" s="143"/>
      <c r="S728" s="143"/>
      <c r="T728" s="143"/>
      <c r="U728" s="143"/>
      <c r="V728" s="143"/>
      <c r="W728" s="143"/>
      <c r="X728" s="143"/>
      <c r="Y728" s="143"/>
      <c r="Z728" s="261"/>
      <c r="AA728" s="261"/>
      <c r="AB728" s="142"/>
    </row>
    <row r="729" spans="6:28">
      <c r="F729" s="143"/>
      <c r="G729" s="145"/>
      <c r="H729" s="143"/>
      <c r="I729" s="143"/>
      <c r="J729" s="143"/>
      <c r="K729" s="342"/>
      <c r="L729" s="342"/>
      <c r="M729" s="143"/>
      <c r="N729" s="143"/>
      <c r="O729" s="143"/>
      <c r="P729" s="143"/>
      <c r="Q729" s="143"/>
      <c r="R729" s="143"/>
      <c r="S729" s="143"/>
      <c r="T729" s="143"/>
      <c r="U729" s="143"/>
      <c r="V729" s="143"/>
      <c r="W729" s="143"/>
      <c r="X729" s="143"/>
      <c r="Y729" s="143"/>
      <c r="Z729" s="261"/>
      <c r="AA729" s="261"/>
      <c r="AB729" s="142"/>
    </row>
    <row r="730" spans="6:28">
      <c r="F730" s="143"/>
      <c r="G730" s="145"/>
      <c r="H730" s="143"/>
      <c r="I730" s="143"/>
      <c r="J730" s="143"/>
      <c r="K730" s="342"/>
      <c r="L730" s="342"/>
      <c r="M730" s="143"/>
      <c r="N730" s="143"/>
      <c r="O730" s="143"/>
      <c r="P730" s="143"/>
      <c r="Q730" s="143"/>
      <c r="R730" s="143"/>
      <c r="S730" s="143"/>
      <c r="T730" s="143"/>
      <c r="U730" s="143"/>
      <c r="V730" s="143"/>
      <c r="W730" s="143"/>
      <c r="X730" s="143"/>
      <c r="Y730" s="143"/>
      <c r="Z730" s="261"/>
      <c r="AA730" s="261"/>
      <c r="AB730" s="142"/>
    </row>
    <row r="731" spans="6:28">
      <c r="F731" s="143"/>
      <c r="G731" s="145"/>
      <c r="H731" s="143"/>
      <c r="I731" s="143"/>
      <c r="J731" s="143"/>
      <c r="K731" s="342"/>
      <c r="L731" s="342"/>
      <c r="M731" s="143"/>
      <c r="N731" s="143"/>
      <c r="O731" s="143"/>
      <c r="P731" s="143"/>
      <c r="Q731" s="143"/>
      <c r="R731" s="143"/>
      <c r="S731" s="143"/>
      <c r="T731" s="143"/>
      <c r="U731" s="143"/>
      <c r="V731" s="143"/>
      <c r="W731" s="143"/>
      <c r="X731" s="143"/>
      <c r="Y731" s="143"/>
      <c r="Z731" s="261"/>
      <c r="AA731" s="261"/>
      <c r="AB731" s="142"/>
    </row>
    <row r="732" spans="6:28">
      <c r="F732" s="143"/>
      <c r="G732" s="145"/>
      <c r="H732" s="143"/>
      <c r="I732" s="143"/>
      <c r="J732" s="143"/>
      <c r="K732" s="342"/>
      <c r="L732" s="342"/>
      <c r="M732" s="143"/>
      <c r="N732" s="143"/>
      <c r="O732" s="143"/>
      <c r="P732" s="143"/>
      <c r="Q732" s="143"/>
      <c r="R732" s="143"/>
      <c r="S732" s="143"/>
      <c r="T732" s="143"/>
      <c r="U732" s="143"/>
      <c r="V732" s="143"/>
      <c r="W732" s="143"/>
      <c r="X732" s="143"/>
      <c r="Y732" s="143"/>
      <c r="Z732" s="261"/>
      <c r="AA732" s="261"/>
      <c r="AB732" s="142"/>
    </row>
    <row r="733" spans="6:28">
      <c r="F733" s="143"/>
      <c r="G733" s="145"/>
      <c r="H733" s="143"/>
      <c r="I733" s="143"/>
      <c r="J733" s="143"/>
      <c r="K733" s="342"/>
      <c r="L733" s="342"/>
      <c r="M733" s="143"/>
      <c r="N733" s="143"/>
      <c r="O733" s="143"/>
      <c r="P733" s="143"/>
      <c r="Q733" s="143"/>
      <c r="R733" s="143"/>
      <c r="S733" s="143"/>
      <c r="T733" s="143"/>
      <c r="U733" s="143"/>
      <c r="V733" s="143"/>
      <c r="W733" s="143"/>
      <c r="X733" s="143"/>
      <c r="Y733" s="143"/>
      <c r="Z733" s="261"/>
      <c r="AA733" s="261"/>
      <c r="AB733" s="142"/>
    </row>
    <row r="734" spans="6:28">
      <c r="F734" s="143"/>
      <c r="G734" s="145"/>
      <c r="H734" s="143"/>
      <c r="I734" s="143"/>
      <c r="J734" s="143"/>
      <c r="K734" s="342"/>
      <c r="L734" s="342"/>
      <c r="M734" s="143"/>
      <c r="N734" s="143"/>
      <c r="O734" s="143"/>
      <c r="P734" s="143"/>
      <c r="Q734" s="143"/>
      <c r="R734" s="143"/>
      <c r="S734" s="143"/>
      <c r="T734" s="143"/>
      <c r="U734" s="143"/>
      <c r="V734" s="143"/>
      <c r="W734" s="143"/>
      <c r="X734" s="143"/>
      <c r="Y734" s="143"/>
      <c r="Z734" s="261"/>
      <c r="AA734" s="261"/>
      <c r="AB734" s="142"/>
    </row>
    <row r="735" spans="6:28">
      <c r="F735" s="143"/>
      <c r="G735" s="145"/>
      <c r="H735" s="143"/>
      <c r="I735" s="143"/>
      <c r="J735" s="143"/>
      <c r="K735" s="342"/>
      <c r="L735" s="342"/>
      <c r="M735" s="143"/>
      <c r="N735" s="143"/>
      <c r="O735" s="143"/>
      <c r="P735" s="143"/>
      <c r="Q735" s="143"/>
      <c r="R735" s="143"/>
      <c r="S735" s="143"/>
      <c r="T735" s="143"/>
      <c r="U735" s="143"/>
      <c r="V735" s="143"/>
      <c r="W735" s="143"/>
      <c r="X735" s="143"/>
      <c r="Y735" s="143"/>
      <c r="Z735" s="261"/>
      <c r="AA735" s="261"/>
      <c r="AB735" s="142"/>
    </row>
    <row r="736" spans="6:28">
      <c r="F736" s="143"/>
      <c r="G736" s="145"/>
      <c r="H736" s="143"/>
      <c r="I736" s="143"/>
      <c r="J736" s="143"/>
      <c r="K736" s="342"/>
      <c r="L736" s="342"/>
      <c r="M736" s="143"/>
      <c r="N736" s="143"/>
      <c r="O736" s="143"/>
      <c r="P736" s="143"/>
      <c r="Q736" s="143"/>
      <c r="R736" s="143"/>
      <c r="S736" s="143"/>
      <c r="T736" s="143"/>
      <c r="U736" s="143"/>
      <c r="V736" s="143"/>
      <c r="W736" s="143"/>
      <c r="X736" s="143"/>
      <c r="Y736" s="143"/>
      <c r="Z736" s="261"/>
      <c r="AA736" s="261"/>
      <c r="AB736" s="142"/>
    </row>
    <row r="737" spans="6:28">
      <c r="F737" s="143"/>
      <c r="G737" s="145"/>
      <c r="H737" s="143"/>
      <c r="I737" s="143"/>
      <c r="J737" s="143"/>
      <c r="K737" s="342"/>
      <c r="L737" s="342"/>
      <c r="M737" s="143"/>
      <c r="N737" s="143"/>
      <c r="O737" s="143"/>
      <c r="P737" s="143"/>
      <c r="Q737" s="143"/>
      <c r="R737" s="143"/>
      <c r="S737" s="143"/>
      <c r="T737" s="143"/>
      <c r="U737" s="143"/>
      <c r="V737" s="143"/>
      <c r="W737" s="143"/>
      <c r="X737" s="143"/>
      <c r="Y737" s="143"/>
      <c r="Z737" s="261"/>
      <c r="AA737" s="261"/>
      <c r="AB737" s="142"/>
    </row>
    <row r="738" spans="6:28">
      <c r="F738" s="143"/>
      <c r="G738" s="145"/>
      <c r="H738" s="143"/>
      <c r="I738" s="143"/>
      <c r="J738" s="143"/>
      <c r="K738" s="342"/>
      <c r="L738" s="342"/>
      <c r="M738" s="143"/>
      <c r="N738" s="143"/>
      <c r="O738" s="143"/>
      <c r="P738" s="143"/>
      <c r="Q738" s="143"/>
      <c r="R738" s="143"/>
      <c r="S738" s="143"/>
      <c r="T738" s="143"/>
      <c r="U738" s="143"/>
      <c r="V738" s="143"/>
      <c r="W738" s="143"/>
      <c r="X738" s="143"/>
      <c r="Y738" s="143"/>
      <c r="Z738" s="261"/>
      <c r="AA738" s="261"/>
      <c r="AB738" s="142"/>
    </row>
    <row r="739" spans="6:28">
      <c r="F739" s="143"/>
      <c r="G739" s="145"/>
      <c r="H739" s="143"/>
      <c r="I739" s="143"/>
      <c r="J739" s="143"/>
      <c r="K739" s="342"/>
      <c r="L739" s="342"/>
      <c r="M739" s="143"/>
      <c r="N739" s="143"/>
      <c r="O739" s="143"/>
      <c r="P739" s="143"/>
      <c r="Q739" s="143"/>
      <c r="R739" s="143"/>
      <c r="S739" s="143"/>
      <c r="T739" s="143"/>
      <c r="U739" s="143"/>
      <c r="V739" s="143"/>
      <c r="W739" s="143"/>
      <c r="X739" s="143"/>
      <c r="Y739" s="143"/>
      <c r="Z739" s="261"/>
      <c r="AA739" s="261"/>
      <c r="AB739" s="142"/>
    </row>
    <row r="740" spans="6:28">
      <c r="F740" s="143"/>
      <c r="G740" s="145"/>
      <c r="H740" s="143"/>
      <c r="I740" s="143"/>
      <c r="J740" s="143"/>
      <c r="K740" s="342"/>
      <c r="L740" s="342"/>
      <c r="M740" s="143"/>
      <c r="N740" s="143"/>
      <c r="O740" s="143"/>
      <c r="P740" s="143"/>
      <c r="Q740" s="143"/>
      <c r="R740" s="143"/>
      <c r="S740" s="143"/>
      <c r="T740" s="143"/>
      <c r="U740" s="143"/>
      <c r="V740" s="143"/>
      <c r="W740" s="143"/>
      <c r="X740" s="143"/>
      <c r="Y740" s="143"/>
      <c r="Z740" s="261"/>
      <c r="AA740" s="261"/>
      <c r="AB740" s="142"/>
    </row>
    <row r="741" spans="6:28">
      <c r="F741" s="143"/>
      <c r="G741" s="145"/>
      <c r="H741" s="143"/>
      <c r="I741" s="143"/>
      <c r="J741" s="143"/>
      <c r="K741" s="342"/>
      <c r="L741" s="342"/>
      <c r="M741" s="143"/>
      <c r="N741" s="143"/>
      <c r="O741" s="143"/>
      <c r="P741" s="143"/>
      <c r="Q741" s="143"/>
      <c r="R741" s="143"/>
      <c r="S741" s="143"/>
      <c r="T741" s="143"/>
      <c r="U741" s="143"/>
      <c r="V741" s="143"/>
      <c r="W741" s="143"/>
      <c r="X741" s="143"/>
      <c r="Y741" s="143"/>
      <c r="Z741" s="261"/>
      <c r="AA741" s="261"/>
      <c r="AB741" s="142"/>
    </row>
    <row r="742" spans="6:28">
      <c r="F742" s="143"/>
      <c r="G742" s="145"/>
      <c r="H742" s="143"/>
      <c r="I742" s="143"/>
      <c r="J742" s="143"/>
      <c r="K742" s="342"/>
      <c r="L742" s="342"/>
      <c r="M742" s="143"/>
      <c r="N742" s="143"/>
      <c r="O742" s="143"/>
      <c r="P742" s="143"/>
      <c r="Q742" s="143"/>
      <c r="R742" s="143"/>
      <c r="S742" s="143"/>
      <c r="T742" s="143"/>
      <c r="U742" s="143"/>
      <c r="V742" s="143"/>
      <c r="W742" s="143"/>
      <c r="X742" s="143"/>
      <c r="Y742" s="143"/>
      <c r="Z742" s="261"/>
      <c r="AA742" s="261"/>
      <c r="AB742" s="142"/>
    </row>
    <row r="743" spans="6:28">
      <c r="F743" s="143"/>
      <c r="G743" s="145"/>
      <c r="H743" s="143"/>
      <c r="I743" s="143"/>
      <c r="J743" s="143"/>
      <c r="K743" s="342"/>
      <c r="L743" s="342"/>
      <c r="M743" s="143"/>
      <c r="N743" s="143"/>
      <c r="O743" s="143"/>
      <c r="P743" s="143"/>
      <c r="Q743" s="143"/>
      <c r="R743" s="143"/>
      <c r="S743" s="143"/>
      <c r="T743" s="143"/>
      <c r="U743" s="143"/>
      <c r="V743" s="143"/>
      <c r="W743" s="143"/>
      <c r="X743" s="143"/>
      <c r="Y743" s="143"/>
      <c r="Z743" s="261"/>
      <c r="AA743" s="261"/>
      <c r="AB743" s="142"/>
    </row>
    <row r="744" spans="6:28">
      <c r="F744" s="143"/>
      <c r="G744" s="145"/>
      <c r="H744" s="143"/>
      <c r="I744" s="143"/>
      <c r="J744" s="143"/>
      <c r="K744" s="342"/>
      <c r="L744" s="342"/>
      <c r="M744" s="143"/>
      <c r="N744" s="143"/>
      <c r="O744" s="143"/>
      <c r="P744" s="143"/>
      <c r="Q744" s="143"/>
      <c r="R744" s="143"/>
      <c r="S744" s="143"/>
      <c r="T744" s="143"/>
      <c r="U744" s="143"/>
      <c r="V744" s="143"/>
      <c r="W744" s="143"/>
      <c r="X744" s="143"/>
      <c r="Y744" s="143"/>
      <c r="Z744" s="261"/>
      <c r="AA744" s="261"/>
      <c r="AB744" s="142"/>
    </row>
    <row r="745" spans="6:28">
      <c r="F745" s="143"/>
      <c r="G745" s="145"/>
      <c r="H745" s="143"/>
      <c r="I745" s="143"/>
      <c r="J745" s="143"/>
      <c r="K745" s="342"/>
      <c r="L745" s="342"/>
      <c r="M745" s="143"/>
      <c r="N745" s="143"/>
      <c r="O745" s="143"/>
      <c r="P745" s="143"/>
      <c r="Q745" s="143"/>
      <c r="R745" s="143"/>
      <c r="S745" s="143"/>
      <c r="T745" s="143"/>
      <c r="U745" s="143"/>
      <c r="V745" s="143"/>
      <c r="W745" s="143"/>
      <c r="X745" s="143"/>
      <c r="Y745" s="143"/>
      <c r="Z745" s="261"/>
      <c r="AA745" s="261"/>
      <c r="AB745" s="142"/>
    </row>
    <row r="746" spans="6:28">
      <c r="F746" s="143"/>
      <c r="G746" s="145"/>
      <c r="H746" s="143"/>
      <c r="I746" s="143"/>
      <c r="J746" s="143"/>
      <c r="K746" s="342"/>
      <c r="L746" s="342"/>
      <c r="M746" s="143"/>
      <c r="N746" s="143"/>
      <c r="O746" s="143"/>
      <c r="P746" s="143"/>
      <c r="Q746" s="143"/>
      <c r="R746" s="143"/>
      <c r="S746" s="143"/>
      <c r="T746" s="143"/>
      <c r="U746" s="143"/>
      <c r="V746" s="143"/>
      <c r="W746" s="143"/>
      <c r="X746" s="143"/>
      <c r="Y746" s="143"/>
      <c r="Z746" s="261"/>
      <c r="AA746" s="261"/>
      <c r="AB746" s="142"/>
    </row>
    <row r="747" spans="6:28">
      <c r="F747" s="143"/>
      <c r="G747" s="145"/>
      <c r="H747" s="143"/>
      <c r="I747" s="143"/>
      <c r="J747" s="143"/>
      <c r="K747" s="342"/>
      <c r="L747" s="342"/>
      <c r="M747" s="143"/>
      <c r="N747" s="143"/>
      <c r="O747" s="143"/>
      <c r="P747" s="143"/>
      <c r="Q747" s="143"/>
      <c r="R747" s="143"/>
      <c r="S747" s="143"/>
      <c r="T747" s="143"/>
      <c r="U747" s="143"/>
      <c r="V747" s="143"/>
      <c r="W747" s="143"/>
      <c r="X747" s="143"/>
      <c r="Y747" s="143"/>
      <c r="Z747" s="261"/>
      <c r="AA747" s="261"/>
      <c r="AB747" s="142"/>
    </row>
    <row r="748" spans="6:28">
      <c r="F748" s="143"/>
      <c r="G748" s="145"/>
      <c r="H748" s="143"/>
      <c r="I748" s="143"/>
      <c r="J748" s="143"/>
      <c r="K748" s="342"/>
      <c r="L748" s="342"/>
      <c r="M748" s="143"/>
      <c r="N748" s="143"/>
      <c r="O748" s="143"/>
      <c r="P748" s="143"/>
      <c r="Q748" s="143"/>
      <c r="R748" s="143"/>
      <c r="S748" s="143"/>
      <c r="T748" s="143"/>
      <c r="U748" s="143"/>
      <c r="V748" s="143"/>
      <c r="W748" s="143"/>
      <c r="X748" s="143"/>
      <c r="Y748" s="143"/>
      <c r="Z748" s="261"/>
      <c r="AA748" s="261"/>
      <c r="AB748" s="142"/>
    </row>
    <row r="749" spans="6:28">
      <c r="F749" s="143"/>
      <c r="G749" s="145"/>
      <c r="H749" s="143"/>
      <c r="I749" s="143"/>
      <c r="J749" s="143"/>
      <c r="K749" s="342"/>
      <c r="L749" s="342"/>
      <c r="M749" s="143"/>
      <c r="N749" s="143"/>
      <c r="O749" s="143"/>
      <c r="P749" s="143"/>
      <c r="Q749" s="143"/>
      <c r="R749" s="143"/>
      <c r="S749" s="143"/>
      <c r="T749" s="143"/>
      <c r="U749" s="143"/>
      <c r="V749" s="143"/>
      <c r="W749" s="143"/>
      <c r="X749" s="143"/>
      <c r="Y749" s="143"/>
      <c r="Z749" s="261"/>
      <c r="AA749" s="261"/>
      <c r="AB749" s="142"/>
    </row>
    <row r="750" spans="6:28">
      <c r="F750" s="143"/>
      <c r="G750" s="145"/>
      <c r="H750" s="143"/>
      <c r="I750" s="143"/>
      <c r="J750" s="143"/>
      <c r="K750" s="342"/>
      <c r="L750" s="342"/>
      <c r="M750" s="143"/>
      <c r="N750" s="143"/>
      <c r="O750" s="143"/>
      <c r="P750" s="143"/>
      <c r="Q750" s="143"/>
      <c r="R750" s="143"/>
      <c r="S750" s="143"/>
      <c r="T750" s="143"/>
      <c r="U750" s="143"/>
      <c r="V750" s="143"/>
      <c r="W750" s="143"/>
      <c r="X750" s="143"/>
      <c r="Y750" s="143"/>
      <c r="Z750" s="261"/>
      <c r="AA750" s="261"/>
      <c r="AB750" s="142"/>
    </row>
    <row r="751" spans="6:28">
      <c r="F751" s="143"/>
      <c r="G751" s="145"/>
      <c r="H751" s="143"/>
      <c r="I751" s="143"/>
      <c r="J751" s="143"/>
      <c r="K751" s="342"/>
      <c r="L751" s="342"/>
      <c r="M751" s="143"/>
      <c r="N751" s="143"/>
      <c r="O751" s="143"/>
      <c r="P751" s="143"/>
      <c r="Q751" s="143"/>
      <c r="R751" s="143"/>
      <c r="S751" s="143"/>
      <c r="T751" s="143"/>
      <c r="U751" s="143"/>
      <c r="V751" s="143"/>
      <c r="W751" s="143"/>
      <c r="X751" s="143"/>
      <c r="Y751" s="143"/>
      <c r="Z751" s="261"/>
      <c r="AA751" s="261"/>
      <c r="AB751" s="142"/>
    </row>
    <row r="752" spans="6:28">
      <c r="F752" s="143"/>
      <c r="G752" s="145"/>
      <c r="H752" s="143"/>
      <c r="I752" s="143"/>
      <c r="J752" s="143"/>
      <c r="K752" s="342"/>
      <c r="L752" s="342"/>
      <c r="M752" s="143"/>
      <c r="N752" s="143"/>
      <c r="O752" s="143"/>
      <c r="P752" s="143"/>
      <c r="Q752" s="143"/>
      <c r="R752" s="143"/>
      <c r="S752" s="143"/>
      <c r="T752" s="143"/>
      <c r="U752" s="143"/>
      <c r="V752" s="143"/>
      <c r="W752" s="143"/>
      <c r="X752" s="143"/>
      <c r="Y752" s="143"/>
      <c r="Z752" s="261"/>
      <c r="AA752" s="261"/>
      <c r="AB752" s="142"/>
    </row>
    <row r="753" spans="6:28">
      <c r="F753" s="143"/>
      <c r="G753" s="145"/>
      <c r="H753" s="143"/>
      <c r="I753" s="143"/>
      <c r="J753" s="143"/>
      <c r="K753" s="342"/>
      <c r="L753" s="342"/>
      <c r="M753" s="143"/>
      <c r="N753" s="143"/>
      <c r="O753" s="143"/>
      <c r="P753" s="143"/>
      <c r="Q753" s="143"/>
      <c r="R753" s="143"/>
      <c r="S753" s="143"/>
      <c r="T753" s="143"/>
      <c r="U753" s="143"/>
      <c r="V753" s="143"/>
      <c r="W753" s="143"/>
      <c r="X753" s="143"/>
      <c r="Y753" s="143"/>
      <c r="Z753" s="261"/>
      <c r="AA753" s="261"/>
      <c r="AB753" s="142"/>
    </row>
    <row r="754" spans="6:28">
      <c r="F754" s="143"/>
      <c r="G754" s="145"/>
      <c r="H754" s="143"/>
      <c r="I754" s="143"/>
      <c r="J754" s="143"/>
      <c r="K754" s="342"/>
      <c r="L754" s="342"/>
      <c r="M754" s="143"/>
      <c r="N754" s="143"/>
      <c r="O754" s="143"/>
      <c r="P754" s="143"/>
      <c r="Q754" s="143"/>
      <c r="R754" s="143"/>
      <c r="S754" s="143"/>
      <c r="T754" s="143"/>
      <c r="U754" s="143"/>
      <c r="V754" s="143"/>
      <c r="W754" s="143"/>
      <c r="X754" s="143"/>
      <c r="Y754" s="143"/>
      <c r="Z754" s="261"/>
      <c r="AA754" s="261"/>
      <c r="AB754" s="142"/>
    </row>
    <row r="755" spans="6:28">
      <c r="F755" s="143"/>
      <c r="G755" s="145"/>
      <c r="H755" s="143"/>
      <c r="I755" s="143"/>
      <c r="J755" s="143"/>
      <c r="K755" s="342"/>
      <c r="L755" s="342"/>
      <c r="M755" s="143"/>
      <c r="N755" s="143"/>
      <c r="O755" s="143"/>
      <c r="P755" s="143"/>
      <c r="Q755" s="143"/>
      <c r="R755" s="143"/>
      <c r="S755" s="143"/>
      <c r="T755" s="143"/>
      <c r="U755" s="143"/>
      <c r="V755" s="143"/>
      <c r="W755" s="143"/>
      <c r="X755" s="143"/>
      <c r="Y755" s="143"/>
      <c r="Z755" s="261"/>
      <c r="AA755" s="261"/>
      <c r="AB755" s="142"/>
    </row>
    <row r="756" spans="6:28">
      <c r="F756" s="143"/>
      <c r="G756" s="145"/>
      <c r="H756" s="143"/>
      <c r="I756" s="143"/>
      <c r="J756" s="143"/>
      <c r="K756" s="342"/>
      <c r="L756" s="342"/>
      <c r="M756" s="143"/>
      <c r="N756" s="143"/>
      <c r="O756" s="143"/>
      <c r="P756" s="143"/>
      <c r="Q756" s="143"/>
      <c r="R756" s="143"/>
      <c r="S756" s="143"/>
      <c r="T756" s="143"/>
      <c r="U756" s="143"/>
      <c r="V756" s="143"/>
      <c r="W756" s="143"/>
      <c r="X756" s="143"/>
      <c r="Y756" s="143"/>
      <c r="Z756" s="261"/>
      <c r="AA756" s="261"/>
      <c r="AB756" s="142"/>
    </row>
    <row r="757" spans="6:28">
      <c r="F757" s="143"/>
      <c r="G757" s="145"/>
      <c r="H757" s="143"/>
      <c r="I757" s="143"/>
      <c r="J757" s="143"/>
      <c r="K757" s="342"/>
      <c r="L757" s="342"/>
      <c r="M757" s="143"/>
      <c r="N757" s="143"/>
      <c r="O757" s="143"/>
      <c r="P757" s="143"/>
      <c r="Q757" s="143"/>
      <c r="R757" s="143"/>
      <c r="S757" s="143"/>
      <c r="T757" s="143"/>
      <c r="U757" s="143"/>
      <c r="V757" s="143"/>
      <c r="W757" s="143"/>
      <c r="X757" s="143"/>
      <c r="Y757" s="143"/>
      <c r="Z757" s="261"/>
      <c r="AA757" s="261"/>
      <c r="AB757" s="142"/>
    </row>
    <row r="758" spans="6:28">
      <c r="F758" s="143"/>
      <c r="G758" s="145"/>
      <c r="H758" s="143"/>
      <c r="I758" s="143"/>
      <c r="J758" s="143"/>
      <c r="K758" s="342"/>
      <c r="L758" s="342"/>
      <c r="M758" s="143"/>
      <c r="N758" s="143"/>
      <c r="O758" s="143"/>
      <c r="P758" s="143"/>
      <c r="Q758" s="143"/>
      <c r="R758" s="143"/>
      <c r="S758" s="143"/>
      <c r="T758" s="143"/>
      <c r="U758" s="143"/>
      <c r="V758" s="143"/>
      <c r="W758" s="143"/>
      <c r="X758" s="143"/>
      <c r="Y758" s="143"/>
      <c r="Z758" s="261"/>
      <c r="AA758" s="261"/>
      <c r="AB758" s="142"/>
    </row>
    <row r="759" spans="6:28">
      <c r="F759" s="143"/>
      <c r="G759" s="145"/>
      <c r="H759" s="143"/>
      <c r="I759" s="143"/>
      <c r="J759" s="143"/>
      <c r="K759" s="342"/>
      <c r="L759" s="342"/>
      <c r="M759" s="143"/>
      <c r="N759" s="143"/>
      <c r="O759" s="143"/>
      <c r="P759" s="143"/>
      <c r="Q759" s="143"/>
      <c r="R759" s="143"/>
      <c r="S759" s="143"/>
      <c r="T759" s="143"/>
      <c r="U759" s="143"/>
      <c r="V759" s="143"/>
      <c r="W759" s="143"/>
      <c r="X759" s="143"/>
      <c r="Y759" s="143"/>
      <c r="Z759" s="261"/>
      <c r="AA759" s="261"/>
      <c r="AB759" s="142"/>
    </row>
    <row r="760" spans="6:28">
      <c r="F760" s="143"/>
      <c r="G760" s="145"/>
      <c r="H760" s="143"/>
      <c r="I760" s="143"/>
      <c r="J760" s="143"/>
      <c r="K760" s="342"/>
      <c r="L760" s="342"/>
      <c r="M760" s="143"/>
      <c r="N760" s="143"/>
      <c r="O760" s="143"/>
      <c r="P760" s="143"/>
      <c r="Q760" s="143"/>
      <c r="R760" s="143"/>
      <c r="S760" s="143"/>
      <c r="T760" s="143"/>
      <c r="U760" s="143"/>
      <c r="V760" s="143"/>
      <c r="W760" s="143"/>
      <c r="X760" s="143"/>
      <c r="Y760" s="143"/>
      <c r="Z760" s="261"/>
      <c r="AA760" s="261"/>
      <c r="AB760" s="142"/>
    </row>
    <row r="761" spans="6:28">
      <c r="F761" s="143"/>
      <c r="G761" s="145"/>
      <c r="H761" s="143"/>
      <c r="I761" s="143"/>
      <c r="J761" s="143"/>
      <c r="K761" s="342"/>
      <c r="L761" s="342"/>
      <c r="M761" s="143"/>
      <c r="N761" s="143"/>
      <c r="O761" s="143"/>
      <c r="P761" s="143"/>
      <c r="Q761" s="143"/>
      <c r="R761" s="143"/>
      <c r="S761" s="143"/>
      <c r="T761" s="143"/>
      <c r="U761" s="143"/>
      <c r="V761" s="143"/>
      <c r="W761" s="143"/>
      <c r="X761" s="143"/>
      <c r="Y761" s="143"/>
      <c r="Z761" s="261"/>
      <c r="AA761" s="261"/>
      <c r="AB761" s="142"/>
    </row>
    <row r="762" spans="6:28">
      <c r="F762" s="143"/>
      <c r="G762" s="145"/>
      <c r="H762" s="143"/>
      <c r="I762" s="143"/>
      <c r="J762" s="143"/>
      <c r="K762" s="342"/>
      <c r="L762" s="342"/>
      <c r="M762" s="143"/>
      <c r="N762" s="143"/>
      <c r="O762" s="143"/>
      <c r="P762" s="143"/>
      <c r="Q762" s="143"/>
      <c r="R762" s="143"/>
      <c r="S762" s="143"/>
      <c r="T762" s="143"/>
      <c r="U762" s="143"/>
      <c r="V762" s="143"/>
      <c r="W762" s="143"/>
      <c r="X762" s="143"/>
      <c r="Y762" s="143"/>
      <c r="Z762" s="261"/>
      <c r="AA762" s="261"/>
      <c r="AB762" s="142"/>
    </row>
    <row r="763" spans="6:28">
      <c r="F763" s="143"/>
      <c r="G763" s="145"/>
      <c r="H763" s="143"/>
      <c r="I763" s="143"/>
      <c r="J763" s="143"/>
      <c r="K763" s="342"/>
      <c r="L763" s="342"/>
      <c r="M763" s="143"/>
      <c r="N763" s="143"/>
      <c r="O763" s="143"/>
      <c r="P763" s="143"/>
      <c r="Q763" s="143"/>
      <c r="R763" s="143"/>
      <c r="S763" s="143"/>
      <c r="T763" s="143"/>
      <c r="U763" s="143"/>
      <c r="V763" s="143"/>
      <c r="W763" s="143"/>
      <c r="X763" s="143"/>
      <c r="Y763" s="143"/>
      <c r="Z763" s="261"/>
      <c r="AA763" s="261"/>
      <c r="AB763" s="142"/>
    </row>
    <row r="764" spans="6:28">
      <c r="F764" s="143"/>
      <c r="G764" s="145"/>
      <c r="H764" s="143"/>
      <c r="I764" s="143"/>
      <c r="J764" s="143"/>
      <c r="K764" s="342"/>
      <c r="L764" s="342"/>
      <c r="M764" s="143"/>
      <c r="N764" s="143"/>
      <c r="O764" s="143"/>
      <c r="P764" s="143"/>
      <c r="Q764" s="143"/>
      <c r="R764" s="143"/>
      <c r="S764" s="143"/>
      <c r="T764" s="143"/>
      <c r="U764" s="143"/>
      <c r="V764" s="143"/>
      <c r="W764" s="143"/>
      <c r="X764" s="143"/>
      <c r="Y764" s="143"/>
      <c r="Z764" s="261"/>
      <c r="AA764" s="261"/>
      <c r="AB764" s="142"/>
    </row>
    <row r="765" spans="6:28">
      <c r="F765" s="143"/>
      <c r="G765" s="145"/>
      <c r="H765" s="143"/>
      <c r="I765" s="143"/>
      <c r="J765" s="143"/>
      <c r="K765" s="342"/>
      <c r="L765" s="342"/>
      <c r="M765" s="143"/>
      <c r="N765" s="143"/>
      <c r="O765" s="143"/>
      <c r="P765" s="143"/>
      <c r="Q765" s="143"/>
      <c r="R765" s="143"/>
      <c r="S765" s="143"/>
      <c r="T765" s="143"/>
      <c r="U765" s="143"/>
      <c r="V765" s="143"/>
      <c r="W765" s="143"/>
      <c r="X765" s="143"/>
      <c r="Y765" s="143"/>
      <c r="Z765" s="261"/>
      <c r="AA765" s="261"/>
      <c r="AB765" s="142"/>
    </row>
    <row r="766" spans="6:28">
      <c r="F766" s="143"/>
      <c r="G766" s="145"/>
      <c r="H766" s="143"/>
      <c r="I766" s="143"/>
      <c r="J766" s="143"/>
      <c r="K766" s="342"/>
      <c r="L766" s="342"/>
      <c r="M766" s="143"/>
      <c r="N766" s="143"/>
      <c r="O766" s="143"/>
      <c r="P766" s="143"/>
      <c r="Q766" s="143"/>
      <c r="R766" s="143"/>
      <c r="S766" s="143"/>
      <c r="T766" s="143"/>
      <c r="U766" s="143"/>
      <c r="V766" s="143"/>
      <c r="W766" s="143"/>
      <c r="X766" s="143"/>
      <c r="Y766" s="143"/>
      <c r="Z766" s="261"/>
      <c r="AA766" s="261"/>
      <c r="AB766" s="142"/>
    </row>
    <row r="767" spans="6:28">
      <c r="F767" s="143"/>
      <c r="G767" s="145"/>
      <c r="H767" s="143"/>
      <c r="I767" s="143"/>
      <c r="J767" s="143"/>
      <c r="K767" s="342"/>
      <c r="L767" s="342"/>
      <c r="M767" s="143"/>
      <c r="N767" s="143"/>
      <c r="O767" s="143"/>
      <c r="P767" s="143"/>
      <c r="Q767" s="143"/>
      <c r="R767" s="143"/>
      <c r="S767" s="143"/>
      <c r="T767" s="143"/>
      <c r="U767" s="143"/>
      <c r="V767" s="143"/>
      <c r="W767" s="143"/>
      <c r="X767" s="143"/>
      <c r="Y767" s="143"/>
      <c r="Z767" s="261"/>
      <c r="AA767" s="261"/>
      <c r="AB767" s="142"/>
    </row>
    <row r="768" spans="6:28">
      <c r="F768" s="143"/>
      <c r="G768" s="145"/>
      <c r="H768" s="143"/>
      <c r="I768" s="143"/>
      <c r="J768" s="143"/>
      <c r="K768" s="342"/>
      <c r="L768" s="342"/>
      <c r="M768" s="143"/>
      <c r="N768" s="143"/>
      <c r="O768" s="143"/>
      <c r="P768" s="143"/>
      <c r="Q768" s="143"/>
      <c r="R768" s="143"/>
      <c r="S768" s="143"/>
      <c r="T768" s="143"/>
      <c r="U768" s="143"/>
      <c r="V768" s="143"/>
      <c r="W768" s="143"/>
      <c r="X768" s="143"/>
      <c r="Y768" s="143"/>
      <c r="Z768" s="261"/>
      <c r="AA768" s="261"/>
      <c r="AB768" s="142"/>
    </row>
    <row r="769" spans="6:28">
      <c r="F769" s="143"/>
      <c r="G769" s="145"/>
      <c r="H769" s="143"/>
      <c r="I769" s="143"/>
      <c r="J769" s="143"/>
      <c r="K769" s="342"/>
      <c r="L769" s="342"/>
      <c r="M769" s="143"/>
      <c r="N769" s="143"/>
      <c r="O769" s="143"/>
      <c r="P769" s="143"/>
      <c r="Q769" s="143"/>
      <c r="R769" s="143"/>
      <c r="S769" s="143"/>
      <c r="T769" s="143"/>
      <c r="U769" s="143"/>
      <c r="V769" s="143"/>
      <c r="W769" s="143"/>
      <c r="X769" s="143"/>
      <c r="Y769" s="143"/>
      <c r="Z769" s="261"/>
      <c r="AA769" s="261"/>
      <c r="AB769" s="142"/>
    </row>
    <row r="770" spans="6:28">
      <c r="F770" s="143"/>
      <c r="G770" s="145"/>
      <c r="H770" s="143"/>
      <c r="I770" s="143"/>
      <c r="J770" s="143"/>
      <c r="K770" s="342"/>
      <c r="L770" s="342"/>
      <c r="M770" s="143"/>
      <c r="N770" s="143"/>
      <c r="O770" s="143"/>
      <c r="P770" s="143"/>
      <c r="Q770" s="143"/>
      <c r="R770" s="143"/>
      <c r="S770" s="143"/>
      <c r="T770" s="143"/>
      <c r="U770" s="143"/>
      <c r="V770" s="143"/>
      <c r="W770" s="143"/>
      <c r="X770" s="143"/>
      <c r="Y770" s="143"/>
      <c r="Z770" s="261"/>
      <c r="AA770" s="261"/>
      <c r="AB770" s="142"/>
    </row>
    <row r="771" spans="6:28">
      <c r="F771" s="143"/>
      <c r="G771" s="145"/>
      <c r="H771" s="143"/>
      <c r="I771" s="143"/>
      <c r="J771" s="143"/>
      <c r="K771" s="342"/>
      <c r="L771" s="342"/>
      <c r="M771" s="143"/>
      <c r="N771" s="143"/>
      <c r="O771" s="143"/>
      <c r="P771" s="143"/>
      <c r="Q771" s="143"/>
      <c r="R771" s="143"/>
      <c r="S771" s="143"/>
      <c r="T771" s="143"/>
      <c r="U771" s="143"/>
      <c r="V771" s="143"/>
      <c r="W771" s="143"/>
      <c r="X771" s="143"/>
      <c r="Y771" s="143"/>
      <c r="Z771" s="261"/>
      <c r="AA771" s="261"/>
      <c r="AB771" s="142"/>
    </row>
    <row r="772" spans="6:28">
      <c r="F772" s="143"/>
      <c r="G772" s="145"/>
      <c r="H772" s="143"/>
      <c r="I772" s="143"/>
      <c r="J772" s="143"/>
      <c r="K772" s="342"/>
      <c r="L772" s="342"/>
      <c r="M772" s="143"/>
      <c r="N772" s="143"/>
      <c r="O772" s="143"/>
      <c r="P772" s="143"/>
      <c r="Q772" s="143"/>
      <c r="R772" s="143"/>
      <c r="S772" s="143"/>
      <c r="T772" s="143"/>
      <c r="U772" s="143"/>
      <c r="V772" s="143"/>
      <c r="W772" s="143"/>
      <c r="X772" s="143"/>
      <c r="Y772" s="143"/>
      <c r="Z772" s="261"/>
      <c r="AA772" s="261"/>
      <c r="AB772" s="142"/>
    </row>
    <row r="773" spans="6:28">
      <c r="F773" s="143"/>
      <c r="G773" s="145"/>
      <c r="H773" s="143"/>
      <c r="I773" s="143"/>
      <c r="J773" s="143"/>
      <c r="K773" s="342"/>
      <c r="L773" s="342"/>
      <c r="M773" s="143"/>
      <c r="N773" s="143"/>
      <c r="O773" s="143"/>
      <c r="P773" s="143"/>
      <c r="Q773" s="143"/>
      <c r="R773" s="143"/>
      <c r="S773" s="143"/>
      <c r="T773" s="143"/>
      <c r="U773" s="143"/>
      <c r="V773" s="143"/>
      <c r="W773" s="143"/>
      <c r="X773" s="143"/>
      <c r="Y773" s="143"/>
      <c r="Z773" s="261"/>
      <c r="AA773" s="261"/>
      <c r="AB773" s="142"/>
    </row>
    <row r="774" spans="6:28">
      <c r="F774" s="143"/>
      <c r="G774" s="145"/>
      <c r="H774" s="143"/>
      <c r="I774" s="143"/>
      <c r="J774" s="143"/>
      <c r="K774" s="342"/>
      <c r="L774" s="342"/>
      <c r="M774" s="143"/>
      <c r="N774" s="143"/>
      <c r="O774" s="143"/>
      <c r="P774" s="143"/>
      <c r="Q774" s="143"/>
      <c r="R774" s="143"/>
      <c r="S774" s="143"/>
      <c r="T774" s="143"/>
      <c r="U774" s="143"/>
      <c r="V774" s="143"/>
      <c r="W774" s="143"/>
      <c r="X774" s="143"/>
      <c r="Y774" s="143"/>
      <c r="Z774" s="261"/>
      <c r="AA774" s="261"/>
      <c r="AB774" s="142"/>
    </row>
    <row r="775" spans="6:28">
      <c r="F775" s="143"/>
      <c r="G775" s="145"/>
      <c r="H775" s="143"/>
      <c r="I775" s="143"/>
      <c r="J775" s="143"/>
      <c r="K775" s="342"/>
      <c r="L775" s="342"/>
      <c r="M775" s="143"/>
      <c r="N775" s="143"/>
      <c r="O775" s="143"/>
      <c r="P775" s="143"/>
      <c r="Q775" s="143"/>
      <c r="R775" s="143"/>
      <c r="S775" s="143"/>
      <c r="T775" s="143"/>
      <c r="U775" s="143"/>
      <c r="V775" s="143"/>
      <c r="W775" s="143"/>
      <c r="X775" s="143"/>
      <c r="Y775" s="143"/>
      <c r="Z775" s="261"/>
      <c r="AA775" s="261"/>
      <c r="AB775" s="142"/>
    </row>
    <row r="776" spans="6:28">
      <c r="F776" s="143"/>
      <c r="G776" s="145"/>
      <c r="H776" s="143"/>
      <c r="I776" s="143"/>
      <c r="J776" s="143"/>
      <c r="K776" s="342"/>
      <c r="L776" s="342"/>
      <c r="M776" s="143"/>
      <c r="N776" s="143"/>
      <c r="O776" s="143"/>
      <c r="P776" s="143"/>
      <c r="Q776" s="143"/>
      <c r="R776" s="143"/>
      <c r="S776" s="143"/>
      <c r="T776" s="143"/>
      <c r="U776" s="143"/>
      <c r="V776" s="143"/>
      <c r="W776" s="143"/>
      <c r="X776" s="143"/>
      <c r="Y776" s="143"/>
      <c r="Z776" s="261"/>
      <c r="AA776" s="261"/>
      <c r="AB776" s="142"/>
    </row>
    <row r="777" spans="6:28">
      <c r="F777" s="143"/>
      <c r="G777" s="145"/>
      <c r="H777" s="143"/>
      <c r="I777" s="143"/>
      <c r="J777" s="143"/>
      <c r="K777" s="342"/>
      <c r="L777" s="342"/>
      <c r="M777" s="143"/>
      <c r="N777" s="143"/>
      <c r="O777" s="143"/>
      <c r="P777" s="143"/>
      <c r="Q777" s="143"/>
      <c r="R777" s="143"/>
      <c r="S777" s="143"/>
      <c r="T777" s="143"/>
      <c r="U777" s="143"/>
      <c r="V777" s="143"/>
      <c r="W777" s="143"/>
      <c r="X777" s="143"/>
      <c r="Y777" s="143"/>
      <c r="Z777" s="261"/>
      <c r="AA777" s="261"/>
      <c r="AB777" s="142"/>
    </row>
    <row r="778" spans="6:28">
      <c r="F778" s="143"/>
      <c r="G778" s="145"/>
      <c r="H778" s="143"/>
      <c r="I778" s="143"/>
      <c r="J778" s="143"/>
      <c r="K778" s="342"/>
      <c r="L778" s="342"/>
      <c r="M778" s="143"/>
      <c r="N778" s="143"/>
      <c r="O778" s="143"/>
      <c r="P778" s="143"/>
      <c r="Q778" s="143"/>
      <c r="R778" s="143"/>
      <c r="S778" s="143"/>
      <c r="T778" s="143"/>
      <c r="U778" s="143"/>
      <c r="V778" s="143"/>
      <c r="W778" s="143"/>
      <c r="X778" s="143"/>
      <c r="Y778" s="143"/>
      <c r="Z778" s="261"/>
      <c r="AA778" s="261"/>
      <c r="AB778" s="142"/>
    </row>
    <row r="779" spans="6:28">
      <c r="F779" s="143"/>
      <c r="G779" s="145"/>
      <c r="H779" s="143"/>
      <c r="I779" s="143"/>
      <c r="J779" s="143"/>
      <c r="K779" s="342"/>
      <c r="L779" s="342"/>
      <c r="M779" s="143"/>
      <c r="N779" s="143"/>
      <c r="O779" s="143"/>
      <c r="P779" s="143"/>
      <c r="Q779" s="143"/>
      <c r="R779" s="143"/>
      <c r="S779" s="143"/>
      <c r="T779" s="143"/>
      <c r="U779" s="143"/>
      <c r="V779" s="143"/>
      <c r="W779" s="143"/>
      <c r="X779" s="143"/>
      <c r="Y779" s="143"/>
      <c r="Z779" s="261"/>
      <c r="AA779" s="261"/>
      <c r="AB779" s="142"/>
    </row>
    <row r="780" spans="6:28">
      <c r="F780" s="143"/>
      <c r="G780" s="145"/>
      <c r="H780" s="143"/>
      <c r="I780" s="143"/>
      <c r="J780" s="143"/>
      <c r="K780" s="342"/>
      <c r="L780" s="342"/>
      <c r="M780" s="143"/>
      <c r="N780" s="143"/>
      <c r="O780" s="143"/>
      <c r="P780" s="143"/>
      <c r="Q780" s="143"/>
      <c r="R780" s="143"/>
      <c r="S780" s="143"/>
      <c r="T780" s="143"/>
      <c r="U780" s="143"/>
      <c r="V780" s="143"/>
      <c r="W780" s="143"/>
      <c r="X780" s="143"/>
      <c r="Y780" s="143"/>
      <c r="Z780" s="261"/>
      <c r="AA780" s="261"/>
      <c r="AB780" s="142"/>
    </row>
    <row r="781" spans="6:28">
      <c r="F781" s="143"/>
      <c r="G781" s="145"/>
      <c r="H781" s="143"/>
      <c r="I781" s="143"/>
      <c r="J781" s="143"/>
      <c r="K781" s="342"/>
      <c r="L781" s="342"/>
      <c r="M781" s="143"/>
      <c r="N781" s="143"/>
      <c r="O781" s="143"/>
      <c r="P781" s="143"/>
      <c r="Q781" s="143"/>
      <c r="R781" s="143"/>
      <c r="S781" s="143"/>
      <c r="T781" s="143"/>
      <c r="U781" s="143"/>
      <c r="V781" s="143"/>
      <c r="W781" s="143"/>
      <c r="X781" s="143"/>
      <c r="Y781" s="143"/>
      <c r="Z781" s="261"/>
      <c r="AA781" s="261"/>
      <c r="AB781" s="142"/>
    </row>
    <row r="782" spans="6:28">
      <c r="F782" s="143"/>
      <c r="G782" s="145"/>
      <c r="H782" s="143"/>
      <c r="I782" s="143"/>
      <c r="J782" s="143"/>
      <c r="K782" s="342"/>
      <c r="L782" s="342"/>
      <c r="M782" s="143"/>
      <c r="N782" s="143"/>
      <c r="O782" s="143"/>
      <c r="P782" s="143"/>
      <c r="Q782" s="143"/>
      <c r="R782" s="143"/>
      <c r="S782" s="143"/>
      <c r="T782" s="143"/>
      <c r="U782" s="143"/>
      <c r="V782" s="143"/>
      <c r="W782" s="143"/>
      <c r="X782" s="143"/>
      <c r="Y782" s="143"/>
      <c r="Z782" s="261"/>
      <c r="AA782" s="261"/>
      <c r="AB782" s="142"/>
    </row>
    <row r="783" spans="6:28">
      <c r="F783" s="143"/>
      <c r="G783" s="145"/>
      <c r="H783" s="143"/>
      <c r="I783" s="143"/>
      <c r="J783" s="143"/>
      <c r="K783" s="342"/>
      <c r="L783" s="342"/>
      <c r="M783" s="143"/>
      <c r="N783" s="143"/>
      <c r="O783" s="143"/>
      <c r="P783" s="143"/>
      <c r="Q783" s="143"/>
      <c r="R783" s="143"/>
      <c r="S783" s="143"/>
      <c r="T783" s="143"/>
      <c r="U783" s="143"/>
      <c r="V783" s="143"/>
      <c r="W783" s="143"/>
      <c r="X783" s="143"/>
      <c r="Y783" s="143"/>
      <c r="Z783" s="261"/>
      <c r="AA783" s="261"/>
      <c r="AB783" s="142"/>
    </row>
    <row r="784" spans="6:28">
      <c r="F784" s="143"/>
      <c r="G784" s="145"/>
      <c r="H784" s="143"/>
      <c r="I784" s="143"/>
      <c r="J784" s="143"/>
      <c r="K784" s="342"/>
      <c r="L784" s="342"/>
      <c r="M784" s="143"/>
      <c r="N784" s="143"/>
      <c r="O784" s="143"/>
      <c r="P784" s="143"/>
      <c r="Q784" s="143"/>
      <c r="R784" s="143"/>
      <c r="S784" s="143"/>
      <c r="T784" s="143"/>
      <c r="U784" s="143"/>
      <c r="V784" s="143"/>
      <c r="W784" s="143"/>
      <c r="X784" s="143"/>
      <c r="Y784" s="143"/>
      <c r="Z784" s="261"/>
      <c r="AA784" s="261"/>
      <c r="AB784" s="142"/>
    </row>
    <row r="785" spans="6:28">
      <c r="F785" s="143"/>
      <c r="G785" s="145"/>
      <c r="H785" s="143"/>
      <c r="I785" s="143"/>
      <c r="J785" s="143"/>
      <c r="K785" s="342"/>
      <c r="L785" s="342"/>
      <c r="M785" s="143"/>
      <c r="N785" s="143"/>
      <c r="O785" s="143"/>
      <c r="P785" s="143"/>
      <c r="Q785" s="143"/>
      <c r="R785" s="143"/>
      <c r="S785" s="143"/>
      <c r="T785" s="143"/>
      <c r="U785" s="143"/>
      <c r="V785" s="143"/>
      <c r="W785" s="143"/>
      <c r="X785" s="143"/>
      <c r="Y785" s="143"/>
      <c r="Z785" s="261"/>
      <c r="AA785" s="261"/>
      <c r="AB785" s="142"/>
    </row>
    <row r="786" spans="6:28">
      <c r="F786" s="143"/>
      <c r="G786" s="145"/>
      <c r="H786" s="143"/>
      <c r="I786" s="143"/>
      <c r="J786" s="143"/>
      <c r="K786" s="342"/>
      <c r="L786" s="342"/>
      <c r="M786" s="143"/>
      <c r="N786" s="143"/>
      <c r="O786" s="143"/>
      <c r="P786" s="143"/>
      <c r="Q786" s="143"/>
      <c r="R786" s="143"/>
      <c r="S786" s="143"/>
      <c r="T786" s="143"/>
      <c r="U786" s="143"/>
      <c r="V786" s="143"/>
      <c r="W786" s="143"/>
      <c r="X786" s="143"/>
      <c r="Y786" s="143"/>
      <c r="Z786" s="261"/>
      <c r="AA786" s="261"/>
      <c r="AB786" s="142"/>
    </row>
    <row r="787" spans="6:28">
      <c r="F787" s="143"/>
      <c r="G787" s="145"/>
      <c r="H787" s="143"/>
      <c r="I787" s="143"/>
      <c r="J787" s="143"/>
      <c r="K787" s="342"/>
      <c r="L787" s="342"/>
      <c r="M787" s="143"/>
      <c r="N787" s="143"/>
      <c r="O787" s="143"/>
      <c r="P787" s="143"/>
      <c r="Q787" s="143"/>
      <c r="R787" s="143"/>
      <c r="S787" s="143"/>
      <c r="T787" s="143"/>
      <c r="U787" s="143"/>
      <c r="V787" s="143"/>
      <c r="W787" s="143"/>
      <c r="X787" s="143"/>
      <c r="Y787" s="143"/>
      <c r="Z787" s="261"/>
      <c r="AA787" s="261"/>
      <c r="AB787" s="142"/>
    </row>
    <row r="788" spans="6:28">
      <c r="F788" s="143"/>
      <c r="G788" s="145"/>
      <c r="H788" s="143"/>
      <c r="I788" s="143"/>
      <c r="J788" s="143"/>
      <c r="K788" s="342"/>
      <c r="L788" s="342"/>
      <c r="M788" s="143"/>
      <c r="N788" s="143"/>
      <c r="O788" s="143"/>
      <c r="P788" s="143"/>
      <c r="Q788" s="143"/>
      <c r="R788" s="143"/>
      <c r="S788" s="143"/>
      <c r="T788" s="143"/>
      <c r="U788" s="143"/>
      <c r="V788" s="143"/>
      <c r="W788" s="143"/>
      <c r="X788" s="143"/>
      <c r="Y788" s="143"/>
      <c r="Z788" s="261"/>
      <c r="AA788" s="261"/>
      <c r="AB788" s="142"/>
    </row>
    <row r="789" spans="6:28">
      <c r="F789" s="143"/>
      <c r="G789" s="145"/>
      <c r="H789" s="143"/>
      <c r="I789" s="143"/>
      <c r="J789" s="143"/>
      <c r="K789" s="342"/>
      <c r="L789" s="342"/>
      <c r="M789" s="143"/>
      <c r="N789" s="143"/>
      <c r="O789" s="143"/>
      <c r="P789" s="143"/>
      <c r="Q789" s="143"/>
      <c r="R789" s="143"/>
      <c r="S789" s="143"/>
      <c r="T789" s="143"/>
      <c r="U789" s="143"/>
      <c r="V789" s="143"/>
      <c r="W789" s="143"/>
      <c r="X789" s="143"/>
      <c r="Y789" s="143"/>
      <c r="Z789" s="261"/>
      <c r="AA789" s="261"/>
      <c r="AB789" s="142"/>
    </row>
    <row r="790" spans="6:28">
      <c r="F790" s="143"/>
      <c r="G790" s="145"/>
      <c r="H790" s="143"/>
      <c r="I790" s="143"/>
      <c r="J790" s="143"/>
      <c r="K790" s="342"/>
      <c r="L790" s="342"/>
      <c r="M790" s="143"/>
      <c r="N790" s="143"/>
      <c r="O790" s="143"/>
      <c r="P790" s="143"/>
      <c r="Q790" s="143"/>
      <c r="R790" s="143"/>
      <c r="S790" s="143"/>
      <c r="T790" s="143"/>
      <c r="U790" s="143"/>
      <c r="V790" s="143"/>
      <c r="W790" s="143"/>
      <c r="X790" s="143"/>
      <c r="Y790" s="143"/>
      <c r="Z790" s="261"/>
      <c r="AA790" s="261"/>
      <c r="AB790" s="142"/>
    </row>
    <row r="791" spans="6:28">
      <c r="F791" s="143"/>
      <c r="G791" s="145"/>
      <c r="H791" s="143"/>
      <c r="I791" s="143"/>
      <c r="J791" s="143"/>
      <c r="K791" s="342"/>
      <c r="L791" s="342"/>
      <c r="M791" s="143"/>
      <c r="N791" s="143"/>
      <c r="O791" s="143"/>
      <c r="P791" s="143"/>
      <c r="Q791" s="143"/>
      <c r="R791" s="143"/>
      <c r="S791" s="143"/>
      <c r="T791" s="143"/>
      <c r="U791" s="143"/>
      <c r="V791" s="143"/>
      <c r="W791" s="143"/>
      <c r="X791" s="143"/>
      <c r="Y791" s="143"/>
      <c r="Z791" s="261"/>
      <c r="AA791" s="261"/>
      <c r="AB791" s="142"/>
    </row>
    <row r="792" spans="6:28">
      <c r="F792" s="143"/>
      <c r="G792" s="145"/>
      <c r="H792" s="143"/>
      <c r="I792" s="143"/>
      <c r="J792" s="143"/>
      <c r="K792" s="342"/>
      <c r="L792" s="342"/>
      <c r="M792" s="143"/>
      <c r="N792" s="143"/>
      <c r="O792" s="143"/>
      <c r="P792" s="143"/>
      <c r="Q792" s="143"/>
      <c r="R792" s="143"/>
      <c r="S792" s="143"/>
      <c r="T792" s="143"/>
      <c r="U792" s="143"/>
      <c r="V792" s="143"/>
      <c r="W792" s="143"/>
      <c r="X792" s="143"/>
      <c r="Y792" s="143"/>
      <c r="Z792" s="261"/>
      <c r="AA792" s="261"/>
      <c r="AB792" s="142"/>
    </row>
    <row r="793" spans="6:28">
      <c r="F793" s="143"/>
      <c r="G793" s="145"/>
      <c r="H793" s="143"/>
      <c r="I793" s="143"/>
      <c r="J793" s="143"/>
      <c r="K793" s="342"/>
      <c r="L793" s="342"/>
      <c r="M793" s="143"/>
      <c r="N793" s="143"/>
      <c r="O793" s="143"/>
      <c r="P793" s="143"/>
      <c r="Q793" s="143"/>
      <c r="R793" s="143"/>
      <c r="S793" s="143"/>
      <c r="T793" s="143"/>
      <c r="U793" s="143"/>
      <c r="V793" s="143"/>
      <c r="W793" s="143"/>
      <c r="X793" s="143"/>
      <c r="Y793" s="143"/>
      <c r="Z793" s="261"/>
      <c r="AA793" s="261"/>
      <c r="AB793" s="142"/>
    </row>
    <row r="794" spans="6:28">
      <c r="F794" s="143"/>
      <c r="G794" s="145"/>
      <c r="H794" s="143"/>
      <c r="I794" s="143"/>
      <c r="J794" s="143"/>
      <c r="K794" s="342"/>
      <c r="L794" s="342"/>
      <c r="M794" s="143"/>
      <c r="N794" s="143"/>
      <c r="O794" s="143"/>
      <c r="P794" s="143"/>
      <c r="Q794" s="143"/>
      <c r="R794" s="143"/>
      <c r="S794" s="143"/>
      <c r="T794" s="143"/>
      <c r="U794" s="143"/>
      <c r="V794" s="143"/>
      <c r="W794" s="143"/>
      <c r="X794" s="143"/>
      <c r="Y794" s="143"/>
      <c r="Z794" s="261"/>
      <c r="AA794" s="261"/>
      <c r="AB794" s="142"/>
    </row>
    <row r="795" spans="6:28">
      <c r="F795" s="143"/>
      <c r="G795" s="145"/>
      <c r="H795" s="143"/>
      <c r="I795" s="143"/>
      <c r="J795" s="143"/>
      <c r="K795" s="342"/>
      <c r="L795" s="342"/>
      <c r="M795" s="143"/>
      <c r="N795" s="143"/>
      <c r="O795" s="143"/>
      <c r="P795" s="143"/>
      <c r="Q795" s="143"/>
      <c r="R795" s="143"/>
      <c r="S795" s="143"/>
      <c r="T795" s="143"/>
      <c r="U795" s="143"/>
      <c r="V795" s="143"/>
      <c r="W795" s="143"/>
      <c r="X795" s="143"/>
      <c r="Y795" s="143"/>
      <c r="Z795" s="261"/>
      <c r="AA795" s="261"/>
      <c r="AB795" s="142"/>
    </row>
    <row r="796" spans="6:28">
      <c r="F796" s="143"/>
      <c r="G796" s="145"/>
      <c r="H796" s="143"/>
      <c r="I796" s="143"/>
      <c r="J796" s="143"/>
      <c r="K796" s="342"/>
      <c r="L796" s="342"/>
      <c r="M796" s="143"/>
      <c r="N796" s="143"/>
      <c r="O796" s="143"/>
      <c r="P796" s="143"/>
      <c r="Q796" s="143"/>
      <c r="R796" s="143"/>
      <c r="S796" s="143"/>
      <c r="T796" s="143"/>
      <c r="U796" s="143"/>
      <c r="V796" s="143"/>
      <c r="W796" s="143"/>
      <c r="X796" s="143"/>
      <c r="Y796" s="143"/>
      <c r="Z796" s="261"/>
      <c r="AA796" s="261"/>
      <c r="AB796" s="142"/>
    </row>
    <row r="797" spans="6:28">
      <c r="F797" s="143"/>
      <c r="G797" s="145"/>
      <c r="H797" s="143"/>
      <c r="I797" s="143"/>
      <c r="J797" s="143"/>
      <c r="K797" s="342"/>
      <c r="L797" s="342"/>
      <c r="M797" s="143"/>
      <c r="N797" s="143"/>
      <c r="O797" s="143"/>
      <c r="P797" s="143"/>
      <c r="Q797" s="143"/>
      <c r="R797" s="143"/>
      <c r="S797" s="143"/>
      <c r="T797" s="143"/>
      <c r="U797" s="143"/>
      <c r="V797" s="143"/>
      <c r="W797" s="143"/>
      <c r="X797" s="143"/>
      <c r="Y797" s="143"/>
      <c r="Z797" s="261"/>
      <c r="AA797" s="261"/>
      <c r="AB797" s="142"/>
    </row>
    <row r="798" spans="6:28">
      <c r="F798" s="143"/>
      <c r="G798" s="145"/>
      <c r="H798" s="143"/>
      <c r="I798" s="143"/>
      <c r="J798" s="143"/>
      <c r="K798" s="342"/>
      <c r="L798" s="342"/>
      <c r="M798" s="143"/>
      <c r="N798" s="143"/>
      <c r="O798" s="143"/>
      <c r="P798" s="143"/>
      <c r="Q798" s="143"/>
      <c r="R798" s="143"/>
      <c r="S798" s="143"/>
      <c r="T798" s="143"/>
      <c r="U798" s="143"/>
      <c r="V798" s="143"/>
      <c r="W798" s="143"/>
      <c r="X798" s="143"/>
      <c r="Y798" s="143"/>
      <c r="Z798" s="261"/>
      <c r="AA798" s="261"/>
      <c r="AB798" s="142"/>
    </row>
    <row r="799" spans="6:28">
      <c r="F799" s="143"/>
      <c r="G799" s="145"/>
      <c r="H799" s="143"/>
      <c r="I799" s="143"/>
      <c r="J799" s="143"/>
      <c r="K799" s="342"/>
      <c r="L799" s="342"/>
      <c r="M799" s="143"/>
      <c r="N799" s="143"/>
      <c r="O799" s="143"/>
      <c r="P799" s="143"/>
      <c r="Q799" s="143"/>
      <c r="R799" s="143"/>
      <c r="S799" s="143"/>
      <c r="T799" s="143"/>
      <c r="U799" s="143"/>
      <c r="V799" s="143"/>
      <c r="W799" s="143"/>
      <c r="X799" s="143"/>
      <c r="Y799" s="143"/>
      <c r="Z799" s="261"/>
      <c r="AA799" s="261"/>
      <c r="AB799" s="142"/>
    </row>
    <row r="800" spans="6:28">
      <c r="F800" s="143"/>
      <c r="G800" s="145"/>
      <c r="H800" s="143"/>
      <c r="I800" s="143"/>
      <c r="J800" s="143"/>
      <c r="K800" s="342"/>
      <c r="L800" s="342"/>
      <c r="M800" s="143"/>
      <c r="N800" s="143"/>
      <c r="O800" s="143"/>
      <c r="P800" s="143"/>
      <c r="Q800" s="143"/>
      <c r="R800" s="143"/>
      <c r="S800" s="143"/>
      <c r="T800" s="143"/>
      <c r="U800" s="143"/>
      <c r="V800" s="143"/>
      <c r="W800" s="143"/>
      <c r="X800" s="143"/>
      <c r="Y800" s="143"/>
      <c r="Z800" s="261"/>
      <c r="AA800" s="261"/>
      <c r="AB800" s="142"/>
    </row>
    <row r="801" spans="6:28">
      <c r="F801" s="143"/>
      <c r="G801" s="145"/>
      <c r="H801" s="143"/>
      <c r="I801" s="143"/>
      <c r="J801" s="143"/>
      <c r="K801" s="342"/>
      <c r="L801" s="342"/>
      <c r="M801" s="143"/>
      <c r="N801" s="143"/>
      <c r="O801" s="143"/>
      <c r="P801" s="143"/>
      <c r="Q801" s="143"/>
      <c r="R801" s="143"/>
      <c r="S801" s="143"/>
      <c r="T801" s="143"/>
      <c r="U801" s="143"/>
      <c r="V801" s="143"/>
      <c r="W801" s="143"/>
      <c r="X801" s="143"/>
      <c r="Y801" s="143"/>
      <c r="Z801" s="261"/>
      <c r="AA801" s="261"/>
      <c r="AB801" s="142"/>
    </row>
    <row r="802" spans="6:28">
      <c r="F802" s="143"/>
      <c r="G802" s="145"/>
      <c r="H802" s="143"/>
      <c r="I802" s="143"/>
      <c r="J802" s="143"/>
      <c r="K802" s="342"/>
      <c r="L802" s="342"/>
      <c r="M802" s="143"/>
      <c r="N802" s="143"/>
      <c r="O802" s="143"/>
      <c r="P802" s="143"/>
      <c r="Q802" s="143"/>
      <c r="R802" s="143"/>
      <c r="S802" s="143"/>
      <c r="T802" s="143"/>
      <c r="U802" s="143"/>
      <c r="V802" s="143"/>
      <c r="W802" s="143"/>
      <c r="X802" s="143"/>
      <c r="Y802" s="143"/>
      <c r="Z802" s="261"/>
      <c r="AA802" s="261"/>
      <c r="AB802" s="142"/>
    </row>
    <row r="803" spans="6:28">
      <c r="F803" s="143"/>
      <c r="G803" s="145"/>
      <c r="H803" s="143"/>
      <c r="I803" s="143"/>
      <c r="J803" s="143"/>
      <c r="K803" s="342"/>
      <c r="L803" s="342"/>
      <c r="M803" s="143"/>
      <c r="N803" s="143"/>
      <c r="O803" s="143"/>
      <c r="P803" s="143"/>
      <c r="Q803" s="143"/>
      <c r="R803" s="143"/>
      <c r="S803" s="143"/>
      <c r="T803" s="143"/>
      <c r="U803" s="143"/>
      <c r="V803" s="143"/>
      <c r="W803" s="143"/>
      <c r="X803" s="143"/>
      <c r="Y803" s="143"/>
      <c r="Z803" s="261"/>
      <c r="AA803" s="261"/>
      <c r="AB803" s="142"/>
    </row>
    <row r="804" spans="6:28">
      <c r="F804" s="143"/>
      <c r="G804" s="145"/>
      <c r="H804" s="143"/>
      <c r="I804" s="143"/>
      <c r="J804" s="143"/>
      <c r="K804" s="342"/>
      <c r="L804" s="342"/>
      <c r="M804" s="143"/>
      <c r="N804" s="143"/>
      <c r="O804" s="143"/>
      <c r="P804" s="143"/>
      <c r="Q804" s="143"/>
      <c r="R804" s="143"/>
      <c r="S804" s="143"/>
      <c r="T804" s="143"/>
      <c r="U804" s="143"/>
      <c r="V804" s="143"/>
      <c r="W804" s="143"/>
      <c r="X804" s="143"/>
      <c r="Y804" s="143"/>
      <c r="Z804" s="261"/>
      <c r="AA804" s="261"/>
      <c r="AB804" s="142"/>
    </row>
    <row r="805" spans="6:28">
      <c r="F805" s="143"/>
      <c r="G805" s="145"/>
      <c r="H805" s="143"/>
      <c r="I805" s="143"/>
      <c r="J805" s="143"/>
      <c r="K805" s="342"/>
      <c r="L805" s="342"/>
      <c r="M805" s="143"/>
      <c r="N805" s="143"/>
      <c r="O805" s="143"/>
      <c r="P805" s="143"/>
      <c r="Q805" s="143"/>
      <c r="R805" s="143"/>
      <c r="S805" s="143"/>
      <c r="T805" s="143"/>
      <c r="U805" s="143"/>
      <c r="V805" s="143"/>
      <c r="W805" s="143"/>
      <c r="X805" s="143"/>
      <c r="Y805" s="143"/>
      <c r="Z805" s="261"/>
      <c r="AA805" s="261"/>
      <c r="AB805" s="142"/>
    </row>
    <row r="806" spans="6:28">
      <c r="F806" s="143"/>
      <c r="G806" s="145"/>
      <c r="H806" s="143"/>
      <c r="I806" s="143"/>
      <c r="J806" s="143"/>
      <c r="K806" s="342"/>
      <c r="L806" s="342"/>
      <c r="M806" s="143"/>
      <c r="N806" s="143"/>
      <c r="O806" s="143"/>
      <c r="P806" s="143"/>
      <c r="Q806" s="143"/>
      <c r="R806" s="143"/>
      <c r="S806" s="143"/>
      <c r="T806" s="143"/>
      <c r="U806" s="143"/>
      <c r="V806" s="143"/>
      <c r="W806" s="143"/>
      <c r="X806" s="143"/>
      <c r="Y806" s="143"/>
      <c r="Z806" s="261"/>
      <c r="AA806" s="261"/>
      <c r="AB806" s="142"/>
    </row>
    <row r="807" spans="6:28">
      <c r="F807" s="143"/>
      <c r="G807" s="145"/>
      <c r="H807" s="143"/>
      <c r="I807" s="143"/>
      <c r="J807" s="143"/>
      <c r="K807" s="342"/>
      <c r="L807" s="342"/>
      <c r="M807" s="143"/>
      <c r="N807" s="143"/>
      <c r="O807" s="143"/>
      <c r="P807" s="143"/>
      <c r="Q807" s="143"/>
      <c r="R807" s="143"/>
      <c r="S807" s="143"/>
      <c r="T807" s="143"/>
      <c r="U807" s="143"/>
      <c r="V807" s="143"/>
      <c r="W807" s="143"/>
      <c r="X807" s="143"/>
      <c r="Y807" s="143"/>
      <c r="Z807" s="261"/>
      <c r="AA807" s="261"/>
      <c r="AB807" s="142"/>
    </row>
    <row r="808" spans="6:28">
      <c r="AB808" s="142"/>
    </row>
    <row r="809" spans="6:28">
      <c r="AB809" s="142"/>
    </row>
    <row r="810" spans="6:28">
      <c r="AB810" s="142"/>
    </row>
    <row r="811" spans="6:28">
      <c r="AB811" s="142"/>
    </row>
    <row r="812" spans="6:28">
      <c r="AB812" s="142"/>
    </row>
    <row r="813" spans="6:28">
      <c r="AB813" s="142"/>
    </row>
    <row r="814" spans="6:28">
      <c r="AB814" s="142"/>
    </row>
    <row r="815" spans="6:28">
      <c r="AB815" s="142"/>
    </row>
    <row r="816" spans="6:28">
      <c r="AB816" s="142"/>
    </row>
    <row r="817" spans="28:28">
      <c r="AB817" s="142"/>
    </row>
    <row r="818" spans="28:28">
      <c r="AB818" s="142"/>
    </row>
    <row r="819" spans="28:28">
      <c r="AB819" s="142"/>
    </row>
    <row r="820" spans="28:28">
      <c r="AB820" s="142"/>
    </row>
    <row r="821" spans="28:28">
      <c r="AB821" s="142"/>
    </row>
    <row r="822" spans="28:28">
      <c r="AB822" s="142"/>
    </row>
    <row r="823" spans="28:28">
      <c r="AB823" s="142"/>
    </row>
    <row r="824" spans="28:28">
      <c r="AB824" s="142"/>
    </row>
    <row r="825" spans="28:28">
      <c r="AB825" s="142"/>
    </row>
    <row r="826" spans="28:28">
      <c r="AB826" s="142"/>
    </row>
    <row r="827" spans="28:28">
      <c r="AB827" s="142"/>
    </row>
    <row r="828" spans="28:28">
      <c r="AB828" s="142"/>
    </row>
    <row r="829" spans="28:28">
      <c r="AB829" s="142"/>
    </row>
    <row r="830" spans="28:28">
      <c r="AB830" s="142"/>
    </row>
    <row r="831" spans="28:28">
      <c r="AB831" s="142"/>
    </row>
    <row r="832" spans="28:28">
      <c r="AB832" s="142"/>
    </row>
    <row r="833" spans="28:28">
      <c r="AB833" s="142"/>
    </row>
    <row r="834" spans="28:28">
      <c r="AB834" s="142"/>
    </row>
    <row r="835" spans="28:28">
      <c r="AB835" s="142"/>
    </row>
    <row r="836" spans="28:28">
      <c r="AB836" s="142"/>
    </row>
    <row r="837" spans="28:28">
      <c r="AB837" s="142"/>
    </row>
    <row r="838" spans="28:28">
      <c r="AB838" s="142"/>
    </row>
    <row r="839" spans="28:28">
      <c r="AB839" s="142"/>
    </row>
    <row r="840" spans="28:28">
      <c r="AB840" s="142"/>
    </row>
    <row r="841" spans="28:28">
      <c r="AB841" s="142"/>
    </row>
    <row r="842" spans="28:28">
      <c r="AB842" s="142"/>
    </row>
    <row r="843" spans="28:28">
      <c r="AB843" s="142"/>
    </row>
    <row r="844" spans="28:28">
      <c r="AB844" s="142"/>
    </row>
    <row r="845" spans="28:28">
      <c r="AB845" s="142"/>
    </row>
    <row r="846" spans="28:28">
      <c r="AB846" s="142"/>
    </row>
    <row r="847" spans="28:28">
      <c r="AB847" s="142"/>
    </row>
    <row r="848" spans="28:28">
      <c r="AB848" s="142"/>
    </row>
    <row r="849" spans="28:28">
      <c r="AB849" s="142"/>
    </row>
    <row r="850" spans="28:28">
      <c r="AB850" s="142"/>
    </row>
    <row r="851" spans="28:28">
      <c r="AB851" s="142"/>
    </row>
    <row r="852" spans="28:28">
      <c r="AB852" s="142"/>
    </row>
    <row r="853" spans="28:28">
      <c r="AB853" s="142"/>
    </row>
    <row r="854" spans="28:28">
      <c r="AB854" s="142"/>
    </row>
    <row r="855" spans="28:28">
      <c r="AB855" s="142"/>
    </row>
    <row r="856" spans="28:28">
      <c r="AB856" s="142"/>
    </row>
    <row r="857" spans="28:28">
      <c r="AB857" s="142"/>
    </row>
    <row r="858" spans="28:28">
      <c r="AB858" s="142"/>
    </row>
    <row r="859" spans="28:28">
      <c r="AB859" s="142"/>
    </row>
    <row r="860" spans="28:28">
      <c r="AB860" s="142"/>
    </row>
    <row r="861" spans="28:28">
      <c r="AB861" s="142"/>
    </row>
    <row r="862" spans="28:28">
      <c r="AB862" s="142"/>
    </row>
    <row r="863" spans="28:28">
      <c r="AB863" s="142"/>
    </row>
    <row r="864" spans="28:28">
      <c r="AB864" s="142"/>
    </row>
    <row r="865" spans="28:28">
      <c r="AB865" s="142"/>
    </row>
    <row r="866" spans="28:28">
      <c r="AB866" s="142"/>
    </row>
    <row r="867" spans="28:28">
      <c r="AB867" s="142"/>
    </row>
    <row r="868" spans="28:28">
      <c r="AB868" s="142"/>
    </row>
    <row r="869" spans="28:28">
      <c r="AB869" s="142"/>
    </row>
    <row r="870" spans="28:28">
      <c r="AB870" s="142"/>
    </row>
    <row r="871" spans="28:28">
      <c r="AB871" s="142"/>
    </row>
    <row r="872" spans="28:28">
      <c r="AB872" s="142"/>
    </row>
    <row r="873" spans="28:28">
      <c r="AB873" s="142"/>
    </row>
    <row r="874" spans="28:28">
      <c r="AB874" s="142"/>
    </row>
    <row r="875" spans="28:28">
      <c r="AB875" s="142"/>
    </row>
    <row r="876" spans="28:28">
      <c r="AB876" s="142"/>
    </row>
    <row r="877" spans="28:28">
      <c r="AB877" s="142"/>
    </row>
    <row r="878" spans="28:28">
      <c r="AB878" s="142"/>
    </row>
    <row r="879" spans="28:28">
      <c r="AB879" s="142"/>
    </row>
    <row r="880" spans="28:28">
      <c r="AB880" s="142"/>
    </row>
    <row r="881" spans="28:28">
      <c r="AB881" s="142"/>
    </row>
    <row r="882" spans="28:28">
      <c r="AB882" s="142"/>
    </row>
    <row r="883" spans="28:28">
      <c r="AB883" s="142"/>
    </row>
    <row r="884" spans="28:28">
      <c r="AB884" s="142"/>
    </row>
    <row r="885" spans="28:28">
      <c r="AB885" s="142"/>
    </row>
    <row r="886" spans="28:28">
      <c r="AB886" s="142"/>
    </row>
    <row r="887" spans="28:28">
      <c r="AB887" s="142"/>
    </row>
    <row r="888" spans="28:28">
      <c r="AB888" s="142"/>
    </row>
    <row r="889" spans="28:28">
      <c r="AB889" s="142"/>
    </row>
    <row r="890" spans="28:28">
      <c r="AB890" s="142"/>
    </row>
    <row r="891" spans="28:28">
      <c r="AB891" s="142"/>
    </row>
    <row r="892" spans="28:28">
      <c r="AB892" s="142"/>
    </row>
    <row r="893" spans="28:28">
      <c r="AB893" s="142"/>
    </row>
    <row r="894" spans="28:28">
      <c r="AB894" s="142"/>
    </row>
    <row r="895" spans="28:28">
      <c r="AB895" s="142"/>
    </row>
    <row r="896" spans="28:28">
      <c r="AB896" s="142"/>
    </row>
    <row r="897" spans="28:28">
      <c r="AB897" s="142"/>
    </row>
    <row r="898" spans="28:28">
      <c r="AB898" s="142"/>
    </row>
    <row r="899" spans="28:28">
      <c r="AB899" s="142"/>
    </row>
    <row r="900" spans="28:28">
      <c r="AB900" s="142"/>
    </row>
    <row r="901" spans="28:28">
      <c r="AB901" s="142"/>
    </row>
    <row r="902" spans="28:28">
      <c r="AB902" s="142"/>
    </row>
    <row r="903" spans="28:28">
      <c r="AB903" s="142"/>
    </row>
    <row r="904" spans="28:28">
      <c r="AB904" s="142"/>
    </row>
    <row r="905" spans="28:28">
      <c r="AB905" s="142"/>
    </row>
    <row r="906" spans="28:28">
      <c r="AB906" s="142"/>
    </row>
    <row r="907" spans="28:28">
      <c r="AB907" s="142"/>
    </row>
    <row r="908" spans="28:28">
      <c r="AB908" s="142"/>
    </row>
    <row r="909" spans="28:28">
      <c r="AB909" s="142"/>
    </row>
    <row r="910" spans="28:28">
      <c r="AB910" s="142"/>
    </row>
    <row r="911" spans="28:28">
      <c r="AB911" s="142"/>
    </row>
    <row r="912" spans="28:28">
      <c r="AB912" s="142"/>
    </row>
    <row r="913" spans="28:28">
      <c r="AB913" s="142"/>
    </row>
    <row r="914" spans="28:28">
      <c r="AB914" s="142"/>
    </row>
    <row r="915" spans="28:28">
      <c r="AB915" s="142"/>
    </row>
    <row r="916" spans="28:28">
      <c r="AB916" s="142"/>
    </row>
    <row r="917" spans="28:28">
      <c r="AB917" s="142"/>
    </row>
    <row r="918" spans="28:28">
      <c r="AB918" s="142"/>
    </row>
    <row r="919" spans="28:28">
      <c r="AB919" s="142"/>
    </row>
    <row r="920" spans="28:28">
      <c r="AB920" s="142"/>
    </row>
    <row r="921" spans="28:28">
      <c r="AB921" s="142"/>
    </row>
    <row r="922" spans="28:28">
      <c r="AB922" s="142"/>
    </row>
    <row r="923" spans="28:28">
      <c r="AB923" s="142"/>
    </row>
    <row r="924" spans="28:28">
      <c r="AB924" s="142"/>
    </row>
    <row r="925" spans="28:28">
      <c r="AB925" s="142"/>
    </row>
    <row r="926" spans="28:28">
      <c r="AB926" s="142"/>
    </row>
    <row r="927" spans="28:28">
      <c r="AB927" s="142"/>
    </row>
    <row r="928" spans="28:28">
      <c r="AB928" s="142"/>
    </row>
    <row r="929" spans="28:28">
      <c r="AB929" s="142"/>
    </row>
    <row r="930" spans="28:28">
      <c r="AB930" s="142"/>
    </row>
    <row r="931" spans="28:28">
      <c r="AB931" s="142"/>
    </row>
    <row r="932" spans="28:28">
      <c r="AB932" s="142"/>
    </row>
    <row r="933" spans="28:28">
      <c r="AB933" s="142"/>
    </row>
    <row r="934" spans="28:28">
      <c r="AB934" s="142"/>
    </row>
    <row r="935" spans="28:28">
      <c r="AB935" s="142"/>
    </row>
    <row r="936" spans="28:28">
      <c r="AB936" s="142"/>
    </row>
    <row r="937" spans="28:28">
      <c r="AB937" s="142"/>
    </row>
    <row r="938" spans="28:28">
      <c r="AB938" s="142"/>
    </row>
    <row r="939" spans="28:28">
      <c r="AB939" s="142"/>
    </row>
    <row r="940" spans="28:28">
      <c r="AB940" s="142"/>
    </row>
    <row r="941" spans="28:28">
      <c r="AB941" s="142"/>
    </row>
    <row r="942" spans="28:28">
      <c r="AB942" s="142"/>
    </row>
    <row r="943" spans="28:28">
      <c r="AB943" s="142"/>
    </row>
    <row r="944" spans="28:28">
      <c r="AB944" s="142"/>
    </row>
    <row r="945" spans="28:28">
      <c r="AB945" s="142"/>
    </row>
    <row r="946" spans="28:28">
      <c r="AB946" s="142"/>
    </row>
    <row r="947" spans="28:28">
      <c r="AB947" s="142"/>
    </row>
    <row r="948" spans="28:28">
      <c r="AB948" s="142"/>
    </row>
    <row r="949" spans="28:28">
      <c r="AB949" s="142"/>
    </row>
    <row r="950" spans="28:28">
      <c r="AB950" s="142"/>
    </row>
    <row r="951" spans="28:28">
      <c r="AB951" s="142"/>
    </row>
    <row r="952" spans="28:28">
      <c r="AB952" s="142"/>
    </row>
    <row r="953" spans="28:28">
      <c r="AB953" s="142"/>
    </row>
    <row r="954" spans="28:28">
      <c r="AB954" s="142"/>
    </row>
    <row r="955" spans="28:28">
      <c r="AB955" s="142"/>
    </row>
    <row r="956" spans="28:28">
      <c r="AB956" s="142"/>
    </row>
    <row r="957" spans="28:28">
      <c r="AB957" s="142"/>
    </row>
    <row r="958" spans="28:28">
      <c r="AB958" s="142"/>
    </row>
    <row r="959" spans="28:28">
      <c r="AB959" s="142"/>
    </row>
    <row r="960" spans="28:28">
      <c r="AB960" s="142"/>
    </row>
    <row r="961" spans="28:28">
      <c r="AB961" s="142"/>
    </row>
    <row r="962" spans="28:28">
      <c r="AB962" s="142"/>
    </row>
    <row r="963" spans="28:28">
      <c r="AB963" s="142"/>
    </row>
    <row r="964" spans="28:28">
      <c r="AB964" s="142"/>
    </row>
    <row r="965" spans="28:28">
      <c r="AB965" s="142"/>
    </row>
    <row r="966" spans="28:28">
      <c r="AB966" s="142"/>
    </row>
    <row r="967" spans="28:28">
      <c r="AB967" s="142"/>
    </row>
    <row r="968" spans="28:28">
      <c r="AB968" s="142"/>
    </row>
    <row r="969" spans="28:28">
      <c r="AB969" s="142"/>
    </row>
    <row r="970" spans="28:28">
      <c r="AB970" s="142"/>
    </row>
    <row r="971" spans="28:28">
      <c r="AB971" s="142"/>
    </row>
    <row r="972" spans="28:28">
      <c r="AB972" s="142"/>
    </row>
    <row r="973" spans="28:28">
      <c r="AB973" s="142"/>
    </row>
    <row r="974" spans="28:28">
      <c r="AB974" s="142"/>
    </row>
    <row r="975" spans="28:28">
      <c r="AB975" s="142"/>
    </row>
    <row r="976" spans="28:28">
      <c r="AB976" s="142"/>
    </row>
    <row r="977" spans="28:28">
      <c r="AB977" s="142"/>
    </row>
    <row r="978" spans="28:28">
      <c r="AB978" s="142"/>
    </row>
    <row r="979" spans="28:28">
      <c r="AB979" s="142"/>
    </row>
    <row r="980" spans="28:28">
      <c r="AB980" s="142"/>
    </row>
    <row r="981" spans="28:28">
      <c r="AB981" s="142"/>
    </row>
    <row r="982" spans="28:28">
      <c r="AB982" s="142"/>
    </row>
    <row r="983" spans="28:28">
      <c r="AB983" s="142"/>
    </row>
    <row r="984" spans="28:28">
      <c r="AB984" s="142"/>
    </row>
    <row r="985" spans="28:28">
      <c r="AB985" s="142"/>
    </row>
    <row r="986" spans="28:28">
      <c r="AB986" s="142"/>
    </row>
    <row r="987" spans="28:28">
      <c r="AB987" s="142"/>
    </row>
    <row r="988" spans="28:28">
      <c r="AB988" s="142"/>
    </row>
    <row r="989" spans="28:28">
      <c r="AB989" s="142"/>
    </row>
    <row r="990" spans="28:28">
      <c r="AB990" s="142"/>
    </row>
    <row r="991" spans="28:28">
      <c r="AB991" s="142"/>
    </row>
    <row r="992" spans="28:28">
      <c r="AB992" s="142"/>
    </row>
    <row r="993" spans="28:28">
      <c r="AB993" s="142"/>
    </row>
    <row r="994" spans="28:28">
      <c r="AB994" s="142"/>
    </row>
    <row r="995" spans="28:28">
      <c r="AB995" s="142"/>
    </row>
    <row r="996" spans="28:28">
      <c r="AB996" s="142"/>
    </row>
    <row r="997" spans="28:28">
      <c r="AB997" s="142"/>
    </row>
    <row r="998" spans="28:28">
      <c r="AB998" s="142"/>
    </row>
    <row r="999" spans="28:28">
      <c r="AB999" s="142"/>
    </row>
    <row r="1000" spans="28:28">
      <c r="AB1000" s="142"/>
    </row>
    <row r="1001" spans="28:28">
      <c r="AB1001" s="142"/>
    </row>
    <row r="1002" spans="28:28">
      <c r="AB1002" s="142"/>
    </row>
    <row r="1003" spans="28:28">
      <c r="AB1003" s="142"/>
    </row>
    <row r="1004" spans="28:28">
      <c r="AB1004" s="142"/>
    </row>
    <row r="1005" spans="28:28">
      <c r="AB1005" s="142"/>
    </row>
    <row r="1006" spans="28:28">
      <c r="AB1006" s="142"/>
    </row>
    <row r="1007" spans="28:28">
      <c r="AB1007" s="142"/>
    </row>
    <row r="1008" spans="28:28">
      <c r="AB1008" s="142"/>
    </row>
    <row r="1009" spans="28:28">
      <c r="AB1009" s="142"/>
    </row>
    <row r="1010" spans="28:28">
      <c r="AB1010" s="142"/>
    </row>
    <row r="1011" spans="28:28">
      <c r="AB1011" s="142"/>
    </row>
    <row r="1012" spans="28:28">
      <c r="AB1012" s="142"/>
    </row>
    <row r="1013" spans="28:28">
      <c r="AB1013" s="142"/>
    </row>
    <row r="1014" spans="28:28">
      <c r="AB1014" s="142"/>
    </row>
    <row r="1015" spans="28:28">
      <c r="AB1015" s="142"/>
    </row>
  </sheetData>
  <autoFilter ref="F19:Z300" xr:uid="{00000000-0009-0000-0000-000014000000}"/>
  <conditionalFormatting sqref="D20:D1015">
    <cfRule type="cellIs" dxfId="0" priority="1" operator="lessThan">
      <formula>0</formula>
    </cfRule>
  </conditionalFormatting>
  <pageMargins left="0.511811024" right="0.511811024" top="0.78740157499999996" bottom="0.78740157499999996"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4:C6"/>
  <sheetViews>
    <sheetView workbookViewId="0"/>
  </sheetViews>
  <sheetFormatPr defaultColWidth="14.42578125" defaultRowHeight="15" customHeight="1"/>
  <cols>
    <col min="1" max="1" width="14.85546875" customWidth="1"/>
    <col min="2" max="2" width="17.28515625" customWidth="1"/>
  </cols>
  <sheetData>
    <row r="4" spans="1:3" ht="15" customHeight="1">
      <c r="A4" s="343" t="s">
        <v>1962</v>
      </c>
      <c r="B4" s="343" t="s">
        <v>1963</v>
      </c>
      <c r="C4" s="344">
        <v>20000</v>
      </c>
    </row>
    <row r="5" spans="1:3" ht="15" customHeight="1">
      <c r="A5" s="343" t="s">
        <v>1964</v>
      </c>
      <c r="B5" s="343" t="s">
        <v>1965</v>
      </c>
      <c r="C5" s="344">
        <v>20000</v>
      </c>
    </row>
    <row r="6" spans="1:3" ht="15" customHeight="1">
      <c r="A6" s="343" t="s">
        <v>1966</v>
      </c>
      <c r="B6" s="343" t="s">
        <v>1967</v>
      </c>
      <c r="C6" s="344">
        <v>25000</v>
      </c>
    </row>
  </sheetData>
  <pageMargins left="0.511811024" right="0.511811024" top="0.78740157499999996" bottom="0.78740157499999996"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I2:O65"/>
  <sheetViews>
    <sheetView showGridLines="0" workbookViewId="0"/>
  </sheetViews>
  <sheetFormatPr defaultColWidth="14.42578125" defaultRowHeight="15" customHeight="1"/>
  <cols>
    <col min="3" max="3" width="28.5703125" customWidth="1"/>
    <col min="8" max="8" width="13.140625" customWidth="1"/>
    <col min="9" max="9" width="70.140625" customWidth="1"/>
    <col min="11" max="11" width="27.28515625" customWidth="1"/>
  </cols>
  <sheetData>
    <row r="2" spans="9:15">
      <c r="I2" s="49" t="s">
        <v>77</v>
      </c>
      <c r="K2" s="154" t="s">
        <v>1968</v>
      </c>
    </row>
    <row r="3" spans="9:15">
      <c r="K3" s="49" t="s">
        <v>1484</v>
      </c>
      <c r="L3" s="49">
        <f t="shared" ref="L3:N3" si="0">D24</f>
        <v>0</v>
      </c>
      <c r="M3" s="342">
        <f t="shared" si="0"/>
        <v>0</v>
      </c>
      <c r="N3" s="342">
        <f t="shared" si="0"/>
        <v>0</v>
      </c>
    </row>
    <row r="4" spans="9:15">
      <c r="K4" s="345" t="s">
        <v>1969</v>
      </c>
      <c r="L4" s="345">
        <f t="shared" ref="L4:N4" si="1">D57</f>
        <v>0</v>
      </c>
      <c r="M4" s="346">
        <f t="shared" si="1"/>
        <v>0</v>
      </c>
      <c r="N4" s="346">
        <f t="shared" si="1"/>
        <v>0</v>
      </c>
      <c r="O4" s="49" t="s">
        <v>1970</v>
      </c>
    </row>
    <row r="5" spans="9:15">
      <c r="I5" s="49" t="s">
        <v>1971</v>
      </c>
      <c r="K5" s="49" t="s">
        <v>81</v>
      </c>
      <c r="L5" s="49">
        <f t="shared" ref="L5:N5" si="2">SUM(L3:L4)</f>
        <v>0</v>
      </c>
      <c r="M5" s="342">
        <f t="shared" si="2"/>
        <v>0</v>
      </c>
      <c r="N5" s="342">
        <f t="shared" si="2"/>
        <v>0</v>
      </c>
    </row>
    <row r="6" spans="9:15">
      <c r="I6" s="49" t="s">
        <v>1972</v>
      </c>
    </row>
    <row r="7" spans="9:15" hidden="1">
      <c r="I7" s="100" t="s">
        <v>1973</v>
      </c>
    </row>
    <row r="8" spans="9:15" hidden="1">
      <c r="I8" s="49" t="s">
        <v>1974</v>
      </c>
    </row>
    <row r="9" spans="9:15">
      <c r="K9" s="154" t="s">
        <v>1975</v>
      </c>
    </row>
    <row r="10" spans="9:15">
      <c r="K10" s="49" t="s">
        <v>1484</v>
      </c>
      <c r="L10" s="49">
        <f t="shared" ref="L10:N10" si="3">D39</f>
        <v>0</v>
      </c>
      <c r="M10" s="342">
        <f t="shared" si="3"/>
        <v>0</v>
      </c>
      <c r="N10" s="347">
        <f t="shared" si="3"/>
        <v>0</v>
      </c>
    </row>
    <row r="11" spans="9:15">
      <c r="K11" s="49" t="s">
        <v>1976</v>
      </c>
      <c r="L11" s="49">
        <f t="shared" ref="L11:N11" si="4">D34-L12</f>
        <v>0</v>
      </c>
      <c r="M11" s="342">
        <f t="shared" si="4"/>
        <v>0</v>
      </c>
      <c r="N11" s="342">
        <f t="shared" si="4"/>
        <v>0</v>
      </c>
      <c r="O11" s="49" t="s">
        <v>1977</v>
      </c>
    </row>
    <row r="12" spans="9:15">
      <c r="I12" s="348" t="s">
        <v>1978</v>
      </c>
      <c r="K12" s="49" t="s">
        <v>925</v>
      </c>
      <c r="L12" s="49">
        <f t="shared" ref="L12:N12" si="5">D26</f>
        <v>0</v>
      </c>
      <c r="M12" s="342">
        <f t="shared" si="5"/>
        <v>0</v>
      </c>
      <c r="N12" s="342">
        <f t="shared" si="5"/>
        <v>0</v>
      </c>
    </row>
    <row r="13" spans="9:15">
      <c r="K13" s="345" t="s">
        <v>1979</v>
      </c>
      <c r="L13" s="345">
        <f t="shared" ref="L13:N13" si="6">D38+D40</f>
        <v>0</v>
      </c>
      <c r="M13" s="346">
        <f t="shared" si="6"/>
        <v>0</v>
      </c>
      <c r="N13" s="349">
        <f t="shared" si="6"/>
        <v>0</v>
      </c>
      <c r="O13" s="49" t="s">
        <v>1980</v>
      </c>
    </row>
    <row r="14" spans="9:15">
      <c r="I14" s="348" t="s">
        <v>1981</v>
      </c>
      <c r="K14" s="49" t="s">
        <v>81</v>
      </c>
      <c r="L14" s="49">
        <f t="shared" ref="L14:N14" si="7">SUM(L10:L13)</f>
        <v>0</v>
      </c>
      <c r="M14" s="342">
        <f t="shared" si="7"/>
        <v>0</v>
      </c>
      <c r="N14" s="342">
        <f t="shared" si="7"/>
        <v>0</v>
      </c>
    </row>
    <row r="16" spans="9:15">
      <c r="I16" s="49" t="s">
        <v>1982</v>
      </c>
      <c r="K16" s="154" t="s">
        <v>1983</v>
      </c>
      <c r="L16" s="49">
        <f t="shared" ref="L16:N16" si="8">D50</f>
        <v>0</v>
      </c>
      <c r="M16" s="49">
        <f t="shared" si="8"/>
        <v>0</v>
      </c>
      <c r="N16" s="342">
        <f t="shared" si="8"/>
        <v>0</v>
      </c>
      <c r="O16" s="49" t="s">
        <v>1984</v>
      </c>
    </row>
    <row r="17" spans="9:15">
      <c r="I17" s="49" t="s">
        <v>1985</v>
      </c>
      <c r="K17" s="154" t="s">
        <v>1986</v>
      </c>
      <c r="L17" s="49">
        <f t="shared" ref="L17:N17" si="9">D37</f>
        <v>0</v>
      </c>
      <c r="M17" s="342">
        <f t="shared" si="9"/>
        <v>0</v>
      </c>
      <c r="N17" s="342">
        <f t="shared" si="9"/>
        <v>0</v>
      </c>
    </row>
    <row r="18" spans="9:15">
      <c r="K18" s="154" t="s">
        <v>1987</v>
      </c>
      <c r="L18" s="49">
        <f t="shared" ref="L18:N18" si="10">D62</f>
        <v>0</v>
      </c>
      <c r="M18" s="342">
        <f t="shared" si="10"/>
        <v>0</v>
      </c>
      <c r="N18" s="342">
        <f t="shared" si="10"/>
        <v>0</v>
      </c>
      <c r="O18" s="49" t="s">
        <v>1988</v>
      </c>
    </row>
    <row r="19" spans="9:15">
      <c r="K19" s="154" t="s">
        <v>1488</v>
      </c>
      <c r="L19" s="49">
        <f t="shared" ref="L19:N19" si="11">D67</f>
        <v>0</v>
      </c>
      <c r="M19" s="342">
        <f t="shared" si="11"/>
        <v>0</v>
      </c>
      <c r="N19" s="342">
        <f t="shared" si="11"/>
        <v>0</v>
      </c>
    </row>
    <row r="20" spans="9:15" hidden="1">
      <c r="K20" s="154" t="s">
        <v>1987</v>
      </c>
      <c r="L20" s="49">
        <f t="shared" ref="L20:N20" si="12">D65</f>
        <v>0</v>
      </c>
      <c r="M20" s="342">
        <f t="shared" si="12"/>
        <v>0</v>
      </c>
      <c r="N20" s="342">
        <f t="shared" si="12"/>
        <v>0</v>
      </c>
    </row>
    <row r="21" spans="9:15" hidden="1">
      <c r="K21" s="154" t="s">
        <v>1987</v>
      </c>
      <c r="L21" s="49">
        <f t="shared" ref="L21:N21" si="13">D66</f>
        <v>0</v>
      </c>
      <c r="M21" s="342">
        <f t="shared" si="13"/>
        <v>0</v>
      </c>
      <c r="N21" s="342">
        <f t="shared" si="13"/>
        <v>0</v>
      </c>
    </row>
    <row r="22" spans="9:15" hidden="1">
      <c r="K22" s="154" t="s">
        <v>1987</v>
      </c>
      <c r="L22" s="49">
        <f t="shared" ref="L22:N22" si="14">D67</f>
        <v>0</v>
      </c>
      <c r="M22" s="342">
        <f t="shared" si="14"/>
        <v>0</v>
      </c>
      <c r="N22" s="342">
        <f t="shared" si="14"/>
        <v>0</v>
      </c>
    </row>
    <row r="23" spans="9:15" hidden="1">
      <c r="K23" s="154" t="s">
        <v>1987</v>
      </c>
      <c r="L23" s="49">
        <f t="shared" ref="L23:N23" si="15">D68</f>
        <v>0</v>
      </c>
      <c r="M23" s="342">
        <f t="shared" si="15"/>
        <v>0</v>
      </c>
      <c r="N23" s="342">
        <f t="shared" si="15"/>
        <v>0</v>
      </c>
    </row>
    <row r="24" spans="9:15">
      <c r="K24" s="154" t="s">
        <v>1989</v>
      </c>
      <c r="L24" s="49">
        <f t="shared" ref="L24:N24" si="16">D18-D13</f>
        <v>0</v>
      </c>
      <c r="M24" s="342">
        <f t="shared" si="16"/>
        <v>0</v>
      </c>
      <c r="N24" s="342">
        <f t="shared" si="16"/>
        <v>0</v>
      </c>
      <c r="O24" s="49" t="s">
        <v>1990</v>
      </c>
    </row>
    <row r="25" spans="9:15">
      <c r="I25" s="49" t="s">
        <v>1991</v>
      </c>
      <c r="K25" s="350" t="s">
        <v>1992</v>
      </c>
      <c r="L25" s="345">
        <f t="shared" ref="L25:N25" si="17">D10</f>
        <v>0</v>
      </c>
      <c r="M25" s="346">
        <f t="shared" si="17"/>
        <v>0</v>
      </c>
      <c r="N25" s="346">
        <f t="shared" si="17"/>
        <v>0</v>
      </c>
      <c r="O25" s="49" t="s">
        <v>1993</v>
      </c>
    </row>
    <row r="26" spans="9:15">
      <c r="K26" s="49" t="s">
        <v>81</v>
      </c>
      <c r="L26" s="49">
        <f t="shared" ref="L26:N26" si="18">SUM(L16:L25)</f>
        <v>0</v>
      </c>
      <c r="M26" s="49">
        <f t="shared" si="18"/>
        <v>0</v>
      </c>
      <c r="N26" s="342">
        <f t="shared" si="18"/>
        <v>0</v>
      </c>
    </row>
    <row r="27" spans="9:15">
      <c r="I27" s="49" t="s">
        <v>1994</v>
      </c>
    </row>
    <row r="29" spans="9:15">
      <c r="I29" s="49" t="s">
        <v>1995</v>
      </c>
    </row>
    <row r="30" spans="9:15">
      <c r="I30" s="43" t="s">
        <v>1996</v>
      </c>
    </row>
    <row r="31" spans="9:15">
      <c r="I31" s="49" t="s">
        <v>1997</v>
      </c>
      <c r="K31" s="154"/>
      <c r="L31" s="12" t="s">
        <v>1998</v>
      </c>
      <c r="M31" s="12" t="s">
        <v>1999</v>
      </c>
    </row>
    <row r="32" spans="9:15">
      <c r="K32" s="154" t="s">
        <v>2000</v>
      </c>
      <c r="L32" s="154"/>
      <c r="M32" s="154"/>
    </row>
    <row r="33" spans="9:14">
      <c r="K33" s="49" t="s">
        <v>2001</v>
      </c>
      <c r="L33" s="101" t="e">
        <f t="shared" ref="L33:M33" si="19">M3/L3-1</f>
        <v>#DIV/0!</v>
      </c>
      <c r="M33" s="101" t="e">
        <f t="shared" si="19"/>
        <v>#DIV/0!</v>
      </c>
    </row>
    <row r="34" spans="9:14">
      <c r="K34" s="49" t="s">
        <v>2002</v>
      </c>
      <c r="L34" s="101" t="e">
        <f t="shared" ref="L34:M34" si="20">M10/L10-1</f>
        <v>#DIV/0!</v>
      </c>
      <c r="M34" s="101" t="e">
        <f t="shared" si="20"/>
        <v>#DIV/0!</v>
      </c>
    </row>
    <row r="36" spans="9:14">
      <c r="K36" s="154" t="s">
        <v>2003</v>
      </c>
    </row>
    <row r="37" spans="9:14">
      <c r="K37" s="49" t="s">
        <v>2001</v>
      </c>
      <c r="L37" s="101" t="e">
        <f t="shared" ref="L37:M37" si="21">M4/L4-1</f>
        <v>#DIV/0!</v>
      </c>
      <c r="M37" s="101" t="e">
        <f t="shared" si="21"/>
        <v>#DIV/0!</v>
      </c>
      <c r="N37" s="49" t="s">
        <v>2004</v>
      </c>
    </row>
    <row r="38" spans="9:14">
      <c r="I38" s="348" t="s">
        <v>2005</v>
      </c>
      <c r="K38" s="49" t="s">
        <v>2006</v>
      </c>
      <c r="L38" s="101" t="e">
        <f t="shared" ref="L38:M38" si="22">M11/L11-1</f>
        <v>#DIV/0!</v>
      </c>
      <c r="M38" s="101" t="e">
        <f t="shared" si="22"/>
        <v>#DIV/0!</v>
      </c>
      <c r="N38" s="49" t="s">
        <v>2004</v>
      </c>
    </row>
    <row r="39" spans="9:14">
      <c r="I39" s="348" t="s">
        <v>2007</v>
      </c>
      <c r="K39" s="49" t="s">
        <v>2008</v>
      </c>
      <c r="L39" s="101" t="e">
        <f t="shared" ref="L39:M39" si="23">(M13+M12)/(L13+L12)</f>
        <v>#DIV/0!</v>
      </c>
      <c r="M39" s="101" t="e">
        <f t="shared" si="23"/>
        <v>#DIV/0!</v>
      </c>
    </row>
    <row r="43" spans="9:14">
      <c r="I43" s="49" t="s">
        <v>2009</v>
      </c>
    </row>
    <row r="45" spans="9:14">
      <c r="I45" s="49" t="s">
        <v>2010</v>
      </c>
    </row>
    <row r="46" spans="9:14">
      <c r="I46" s="43" t="s">
        <v>2011</v>
      </c>
    </row>
    <row r="47" spans="9:14">
      <c r="I47" s="49" t="s">
        <v>2012</v>
      </c>
    </row>
    <row r="51" spans="9:9">
      <c r="I51" s="49" t="s">
        <v>2013</v>
      </c>
    </row>
    <row r="54" spans="9:9">
      <c r="I54" s="49" t="s">
        <v>2014</v>
      </c>
    </row>
    <row r="55" spans="9:9">
      <c r="I55" s="49" t="s">
        <v>2015</v>
      </c>
    </row>
    <row r="60" spans="9:9">
      <c r="I60" s="257" t="s">
        <v>2016</v>
      </c>
    </row>
    <row r="65" spans="9:9">
      <c r="I65" s="49" t="s">
        <v>2017</v>
      </c>
    </row>
  </sheetData>
  <pageMargins left="0.511811024" right="0.511811024" top="0.78740157499999996" bottom="0.78740157499999996"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Y19"/>
  <sheetViews>
    <sheetView topLeftCell="D1" workbookViewId="0"/>
  </sheetViews>
  <sheetFormatPr defaultColWidth="14.42578125" defaultRowHeight="15" customHeight="1" outlineLevelCol="1"/>
  <cols>
    <col min="1" max="2" width="14.42578125" hidden="1"/>
    <col min="3" max="3" width="30.7109375" hidden="1" customWidth="1"/>
    <col min="5" max="5" width="18.5703125" customWidth="1"/>
    <col min="6" max="6" width="14.42578125" collapsed="1"/>
    <col min="7" max="7" width="14.42578125" hidden="1" outlineLevel="1"/>
    <col min="10" max="10" width="1.7109375" customWidth="1"/>
    <col min="11" max="11" width="19.85546875" customWidth="1"/>
    <col min="12" max="12" width="14.42578125" collapsed="1"/>
    <col min="13" max="13" width="14.42578125" hidden="1" outlineLevel="1"/>
    <col min="16" max="16" width="1.7109375" customWidth="1"/>
    <col min="17" max="17" width="19.85546875" customWidth="1"/>
    <col min="18" max="18" width="14.42578125" collapsed="1"/>
    <col min="19" max="19" width="14.42578125" hidden="1" outlineLevel="1"/>
  </cols>
  <sheetData>
    <row r="1" spans="1:25" ht="15" customHeight="1">
      <c r="E1" s="154"/>
      <c r="F1" s="154"/>
      <c r="G1" s="155">
        <f t="shared" ref="G1:H1" si="0">SUM(G3:G8)+SUM(G11:G18)</f>
        <v>14700</v>
      </c>
      <c r="H1" s="155">
        <f t="shared" si="0"/>
        <v>22801.22</v>
      </c>
      <c r="I1" s="154"/>
      <c r="J1" s="154"/>
      <c r="K1" s="154"/>
      <c r="L1" s="154"/>
      <c r="M1" s="155">
        <f t="shared" ref="M1:N1" si="1">SUM(M3:M8)+SUM(M11:M18)</f>
        <v>-9797.5499999999993</v>
      </c>
      <c r="N1" s="155">
        <f t="shared" si="1"/>
        <v>4559.18</v>
      </c>
      <c r="O1" s="154"/>
      <c r="Q1" s="154"/>
      <c r="R1" s="154"/>
      <c r="S1" s="155">
        <f t="shared" ref="S1:T1" si="2">SUM(S3:S8)+SUM(S11:S18)</f>
        <v>1500</v>
      </c>
      <c r="T1" s="155">
        <f t="shared" si="2"/>
        <v>5913.130000000001</v>
      </c>
      <c r="U1" s="154"/>
      <c r="W1" s="49" t="s">
        <v>2018</v>
      </c>
      <c r="X1" s="49">
        <f>10660-5251.15+1900</f>
        <v>7308.85</v>
      </c>
    </row>
    <row r="2" spans="1:25" ht="15" customHeight="1">
      <c r="B2" s="49" t="s">
        <v>2014</v>
      </c>
      <c r="E2" s="154" t="s">
        <v>2019</v>
      </c>
      <c r="F2" s="154" t="s">
        <v>2020</v>
      </c>
      <c r="G2" s="154" t="s">
        <v>1088</v>
      </c>
      <c r="H2" s="154" t="s">
        <v>2021</v>
      </c>
      <c r="I2" s="154" t="s">
        <v>74</v>
      </c>
      <c r="J2" s="154"/>
      <c r="K2" s="154" t="s">
        <v>2022</v>
      </c>
      <c r="L2" s="154" t="s">
        <v>2020</v>
      </c>
      <c r="M2" s="154" t="s">
        <v>1088</v>
      </c>
      <c r="N2" s="154" t="s">
        <v>2021</v>
      </c>
      <c r="O2" s="154" t="s">
        <v>74</v>
      </c>
      <c r="Q2" s="154" t="s">
        <v>2023</v>
      </c>
      <c r="R2" s="154" t="s">
        <v>2020</v>
      </c>
      <c r="S2" s="154" t="s">
        <v>1088</v>
      </c>
      <c r="T2" s="154" t="s">
        <v>2021</v>
      </c>
      <c r="U2" s="154" t="s">
        <v>74</v>
      </c>
      <c r="W2" s="49" t="s">
        <v>2024</v>
      </c>
    </row>
    <row r="3" spans="1:25" ht="15" customHeight="1">
      <c r="A3" s="49" t="s">
        <v>1113</v>
      </c>
      <c r="B3" s="49" t="s">
        <v>2025</v>
      </c>
      <c r="E3" s="49" t="s">
        <v>2026</v>
      </c>
      <c r="F3" s="49" t="s">
        <v>2027</v>
      </c>
      <c r="G3" s="150">
        <v>-3200</v>
      </c>
      <c r="H3" s="150">
        <f>-5926.58+638.84</f>
        <v>-5287.74</v>
      </c>
      <c r="I3" s="351">
        <v>45985</v>
      </c>
      <c r="K3" s="49" t="s">
        <v>2028</v>
      </c>
      <c r="L3" s="49" t="s">
        <v>2029</v>
      </c>
      <c r="M3" s="150">
        <v>-8500</v>
      </c>
      <c r="N3" s="150">
        <v>-8500</v>
      </c>
      <c r="O3" s="351">
        <v>45985</v>
      </c>
      <c r="Q3" s="49" t="s">
        <v>176</v>
      </c>
      <c r="R3" s="49" t="s">
        <v>2029</v>
      </c>
      <c r="S3" s="150">
        <v>-6500</v>
      </c>
      <c r="T3" s="150">
        <v>-6500</v>
      </c>
      <c r="U3" s="351">
        <v>45682</v>
      </c>
      <c r="W3" s="49" t="s">
        <v>2030</v>
      </c>
    </row>
    <row r="4" spans="1:25" ht="15" customHeight="1">
      <c r="A4" s="49" t="s">
        <v>1113</v>
      </c>
      <c r="B4" s="49" t="s">
        <v>2031</v>
      </c>
      <c r="E4" s="49" t="s">
        <v>2032</v>
      </c>
      <c r="F4" s="49" t="s">
        <v>2027</v>
      </c>
      <c r="G4" s="150">
        <v>-3700</v>
      </c>
      <c r="H4" s="150">
        <f>-6232.8+496.2</f>
        <v>-5736.6</v>
      </c>
      <c r="I4" s="351">
        <v>46015</v>
      </c>
      <c r="K4" s="49" t="s">
        <v>2033</v>
      </c>
      <c r="L4" s="49" t="s">
        <v>2027</v>
      </c>
      <c r="M4" s="150">
        <v>-2033.8</v>
      </c>
      <c r="N4" s="150">
        <f>-3515.32+496.2</f>
        <v>-3019.1200000000003</v>
      </c>
      <c r="O4" s="351">
        <v>45985</v>
      </c>
      <c r="S4" s="150"/>
      <c r="T4" s="150"/>
      <c r="U4" s="351"/>
      <c r="W4" s="49" t="s">
        <v>2034</v>
      </c>
    </row>
    <row r="5" spans="1:25" ht="15" customHeight="1">
      <c r="A5" s="49" t="s">
        <v>1113</v>
      </c>
      <c r="B5" s="49" t="s">
        <v>2035</v>
      </c>
      <c r="E5" s="49" t="s">
        <v>2036</v>
      </c>
      <c r="F5" s="49" t="s">
        <v>2027</v>
      </c>
      <c r="G5" s="150">
        <v>-2000</v>
      </c>
      <c r="H5" s="150">
        <f>-4049.17+542.76</f>
        <v>-3506.41</v>
      </c>
      <c r="I5" s="351">
        <v>45682</v>
      </c>
      <c r="K5" s="49" t="s">
        <v>2037</v>
      </c>
      <c r="L5" s="49" t="s">
        <v>2027</v>
      </c>
      <c r="M5" s="150">
        <v>-2552.75</v>
      </c>
      <c r="N5" s="150">
        <v>-3789.47</v>
      </c>
      <c r="O5" s="351">
        <v>45682</v>
      </c>
      <c r="S5" s="150"/>
      <c r="T5" s="150"/>
      <c r="U5" s="351"/>
      <c r="W5" s="49" t="s">
        <v>2038</v>
      </c>
    </row>
    <row r="6" spans="1:25" ht="15" customHeight="1">
      <c r="A6" s="49" t="s">
        <v>1113</v>
      </c>
      <c r="B6" s="49" t="s">
        <v>2039</v>
      </c>
      <c r="E6" s="49" t="s">
        <v>2040</v>
      </c>
      <c r="F6" s="49" t="s">
        <v>2029</v>
      </c>
      <c r="G6" s="150">
        <v>-3600</v>
      </c>
      <c r="H6" s="150">
        <v>-3600</v>
      </c>
      <c r="I6" s="351">
        <v>45682</v>
      </c>
      <c r="K6" s="49" t="s">
        <v>2041</v>
      </c>
      <c r="L6" s="49" t="s">
        <v>2027</v>
      </c>
      <c r="M6" s="150">
        <v>-2500</v>
      </c>
      <c r="N6" s="150">
        <f>-4300.3+589.13</f>
        <v>-3711.17</v>
      </c>
      <c r="O6" s="351">
        <v>45682</v>
      </c>
      <c r="S6" s="150"/>
      <c r="T6" s="150"/>
      <c r="U6" s="351"/>
      <c r="W6" s="49" t="s">
        <v>2042</v>
      </c>
    </row>
    <row r="7" spans="1:25" ht="15" customHeight="1">
      <c r="B7" s="49" t="s">
        <v>2043</v>
      </c>
      <c r="G7" s="150"/>
      <c r="H7" s="150"/>
      <c r="K7" s="49" t="s">
        <v>2044</v>
      </c>
      <c r="L7" s="49" t="s">
        <v>2027</v>
      </c>
      <c r="M7" s="150">
        <v>-2552.75</v>
      </c>
      <c r="N7" s="150">
        <f>-4285.67+496.2</f>
        <v>-3789.4700000000003</v>
      </c>
      <c r="O7" s="351">
        <v>45682</v>
      </c>
      <c r="S7" s="150"/>
      <c r="T7" s="150"/>
      <c r="U7" s="351"/>
    </row>
    <row r="8" spans="1:25" ht="15" customHeight="1">
      <c r="B8" s="49" t="s">
        <v>2045</v>
      </c>
      <c r="G8" s="150"/>
      <c r="H8" s="150"/>
      <c r="K8" s="49" t="s">
        <v>2046</v>
      </c>
      <c r="L8" s="49" t="s">
        <v>2029</v>
      </c>
      <c r="M8" s="150">
        <v>-6000</v>
      </c>
      <c r="N8" s="150">
        <v>-6000</v>
      </c>
      <c r="O8" s="351">
        <v>45682</v>
      </c>
      <c r="S8" s="150"/>
      <c r="T8" s="150"/>
      <c r="U8" s="351"/>
      <c r="W8" s="49" t="s">
        <v>2047</v>
      </c>
      <c r="X8" s="49" t="s">
        <v>2048</v>
      </c>
      <c r="Y8" s="150">
        <v>10400</v>
      </c>
    </row>
    <row r="9" spans="1:25" ht="15" customHeight="1">
      <c r="G9" s="150"/>
      <c r="H9" s="150"/>
      <c r="M9" s="150"/>
      <c r="N9" s="150"/>
      <c r="S9" s="150"/>
      <c r="T9" s="150"/>
      <c r="W9" s="49" t="s">
        <v>2049</v>
      </c>
      <c r="X9" s="49" t="s">
        <v>2050</v>
      </c>
      <c r="Y9" s="150">
        <v>23000</v>
      </c>
    </row>
    <row r="10" spans="1:25" ht="15" customHeight="1">
      <c r="E10" s="154" t="s">
        <v>2051</v>
      </c>
      <c r="F10" s="154"/>
      <c r="G10" s="155"/>
      <c r="H10" s="155"/>
      <c r="I10" s="154"/>
      <c r="J10" s="154"/>
      <c r="K10" s="154" t="s">
        <v>2052</v>
      </c>
      <c r="L10" s="154"/>
      <c r="M10" s="155"/>
      <c r="N10" s="155"/>
      <c r="O10" s="154"/>
      <c r="Q10" s="154" t="s">
        <v>2052</v>
      </c>
      <c r="R10" s="154"/>
      <c r="S10" s="155"/>
      <c r="T10" s="155"/>
      <c r="U10" s="154"/>
      <c r="W10" s="49" t="s">
        <v>2053</v>
      </c>
      <c r="X10" s="49" t="s">
        <v>2054</v>
      </c>
      <c r="Y10" s="150">
        <v>5400</v>
      </c>
    </row>
    <row r="11" spans="1:25" ht="15" customHeight="1">
      <c r="E11" s="49" t="s">
        <v>2055</v>
      </c>
      <c r="F11" s="49" t="s">
        <v>2027</v>
      </c>
      <c r="G11" s="150">
        <v>2200</v>
      </c>
      <c r="H11" s="150">
        <f>4544.34-741.05</f>
        <v>3803.29</v>
      </c>
      <c r="I11" s="351">
        <v>45985</v>
      </c>
      <c r="K11" s="49" t="s">
        <v>2056</v>
      </c>
      <c r="L11" s="49" t="s">
        <v>2029</v>
      </c>
      <c r="M11" s="150">
        <v>15000</v>
      </c>
      <c r="N11" s="150">
        <v>15000</v>
      </c>
      <c r="O11" s="351">
        <v>45682</v>
      </c>
      <c r="Q11" s="49" t="s">
        <v>2057</v>
      </c>
      <c r="R11" s="49" t="s">
        <v>2027</v>
      </c>
      <c r="S11" s="150">
        <v>3500</v>
      </c>
      <c r="T11" s="150">
        <f>6332.85-599.78</f>
        <v>5733.0700000000006</v>
      </c>
      <c r="U11" s="351">
        <v>45713</v>
      </c>
    </row>
    <row r="12" spans="1:25" ht="15" customHeight="1">
      <c r="E12" s="49" t="s">
        <v>1664</v>
      </c>
      <c r="F12" s="49" t="s">
        <v>2029</v>
      </c>
      <c r="G12" s="150">
        <v>6000</v>
      </c>
      <c r="H12" s="150">
        <v>6000</v>
      </c>
      <c r="I12" s="351">
        <v>46015</v>
      </c>
      <c r="K12" s="49" t="s">
        <v>1654</v>
      </c>
      <c r="L12" s="49" t="s">
        <v>2029</v>
      </c>
      <c r="M12" s="150">
        <v>7000</v>
      </c>
      <c r="N12" s="150">
        <v>7000</v>
      </c>
      <c r="O12" s="351">
        <v>45682</v>
      </c>
      <c r="Q12" s="49" t="s">
        <v>1792</v>
      </c>
      <c r="R12" s="49" t="s">
        <v>2027</v>
      </c>
      <c r="S12" s="150">
        <v>4500</v>
      </c>
      <c r="T12" s="150">
        <f>7176.26-496.2</f>
        <v>6680.06</v>
      </c>
      <c r="U12" s="351">
        <v>45713</v>
      </c>
      <c r="W12" s="49" t="s">
        <v>2058</v>
      </c>
      <c r="X12" s="150">
        <v>395000</v>
      </c>
      <c r="Y12" s="49" t="s">
        <v>2059</v>
      </c>
    </row>
    <row r="13" spans="1:25" ht="15" customHeight="1">
      <c r="E13" s="49" t="s">
        <v>2060</v>
      </c>
      <c r="F13" s="49" t="s">
        <v>2027</v>
      </c>
      <c r="G13" s="150">
        <v>4000</v>
      </c>
      <c r="H13" s="150">
        <f>6670.63-496.2</f>
        <v>6174.43</v>
      </c>
      <c r="I13" s="351">
        <v>45682</v>
      </c>
      <c r="L13" s="49" t="s">
        <v>2027</v>
      </c>
      <c r="M13" s="150">
        <v>-2552.75</v>
      </c>
      <c r="N13" s="150">
        <v>3789.47</v>
      </c>
      <c r="S13" s="150"/>
      <c r="T13" s="150"/>
    </row>
    <row r="14" spans="1:25" ht="15" customHeight="1">
      <c r="E14" s="49" t="s">
        <v>2061</v>
      </c>
      <c r="F14" s="49" t="s">
        <v>2027</v>
      </c>
      <c r="G14" s="150">
        <v>2000</v>
      </c>
      <c r="H14" s="150">
        <f>4049.17-542.76</f>
        <v>3506.41</v>
      </c>
      <c r="I14" s="351">
        <v>45682</v>
      </c>
      <c r="K14" s="49" t="s">
        <v>2062</v>
      </c>
      <c r="L14" s="49" t="s">
        <v>2027</v>
      </c>
      <c r="M14" s="150">
        <v>-2552.75</v>
      </c>
      <c r="N14" s="150">
        <v>3789.47</v>
      </c>
      <c r="S14" s="150"/>
      <c r="T14" s="150"/>
    </row>
    <row r="15" spans="1:25" ht="15" customHeight="1">
      <c r="E15" s="352" t="s">
        <v>2063</v>
      </c>
      <c r="F15" s="352" t="s">
        <v>2027</v>
      </c>
      <c r="G15" s="353">
        <v>3500</v>
      </c>
      <c r="H15" s="353">
        <f t="shared" ref="H15:H17" si="3">6332.85-599.78</f>
        <v>5733.0700000000006</v>
      </c>
      <c r="I15" s="354">
        <v>45713</v>
      </c>
      <c r="J15" s="49" t="s">
        <v>2064</v>
      </c>
      <c r="L15" s="49" t="s">
        <v>2027</v>
      </c>
      <c r="M15" s="150">
        <v>-2552.75</v>
      </c>
      <c r="N15" s="150">
        <v>3789.47</v>
      </c>
      <c r="S15" s="150"/>
      <c r="T15" s="150"/>
    </row>
    <row r="16" spans="1:25" ht="15" customHeight="1">
      <c r="E16" s="352" t="s">
        <v>2065</v>
      </c>
      <c r="F16" s="352" t="s">
        <v>2027</v>
      </c>
      <c r="G16" s="353">
        <v>3500</v>
      </c>
      <c r="H16" s="353">
        <f t="shared" si="3"/>
        <v>5733.0700000000006</v>
      </c>
      <c r="I16" s="354">
        <v>45713</v>
      </c>
      <c r="M16" s="353"/>
      <c r="N16" s="353"/>
      <c r="S16" s="353"/>
      <c r="T16" s="353"/>
    </row>
    <row r="17" spans="5:20" ht="15" customHeight="1">
      <c r="E17" s="352" t="s">
        <v>2066</v>
      </c>
      <c r="F17" s="352" t="s">
        <v>2027</v>
      </c>
      <c r="G17" s="353">
        <v>3500</v>
      </c>
      <c r="H17" s="353">
        <f t="shared" si="3"/>
        <v>5733.0700000000006</v>
      </c>
      <c r="I17" s="354">
        <v>45713</v>
      </c>
      <c r="J17" s="49" t="s">
        <v>2067</v>
      </c>
      <c r="M17" s="353"/>
      <c r="N17" s="353"/>
      <c r="S17" s="353"/>
      <c r="T17" s="353"/>
    </row>
    <row r="18" spans="5:20" ht="15" customHeight="1">
      <c r="E18" s="352" t="s">
        <v>2068</v>
      </c>
      <c r="F18" s="352" t="s">
        <v>2027</v>
      </c>
      <c r="G18" s="353">
        <v>2500</v>
      </c>
      <c r="H18" s="353">
        <f>4791.39-542.76</f>
        <v>4248.63</v>
      </c>
      <c r="I18" s="354">
        <v>45713</v>
      </c>
      <c r="J18" s="49" t="s">
        <v>2069</v>
      </c>
      <c r="M18" s="353"/>
      <c r="N18" s="353"/>
      <c r="S18" s="353"/>
      <c r="T18" s="353"/>
    </row>
    <row r="19" spans="5:20" ht="15" customHeight="1">
      <c r="G19" s="150"/>
      <c r="H19" s="150"/>
      <c r="M19" s="150"/>
      <c r="N19" s="150"/>
      <c r="S19" s="150"/>
      <c r="T19" s="150"/>
    </row>
  </sheetData>
  <pageMargins left="0.511811024" right="0.511811024" top="0.78740157499999996" bottom="0.78740157499999996"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G2:N28"/>
  <sheetViews>
    <sheetView workbookViewId="0"/>
  </sheetViews>
  <sheetFormatPr defaultColWidth="14.42578125" defaultRowHeight="15" customHeight="1"/>
  <cols>
    <col min="7" max="7" width="20.28515625" customWidth="1"/>
    <col min="10" max="10" width="17.140625" customWidth="1"/>
  </cols>
  <sheetData>
    <row r="2" spans="7:14" ht="15" customHeight="1">
      <c r="G2" s="12" t="s">
        <v>78</v>
      </c>
      <c r="H2" s="12" t="s">
        <v>256</v>
      </c>
      <c r="I2" s="12" t="s">
        <v>2070</v>
      </c>
      <c r="J2" s="12" t="s">
        <v>2071</v>
      </c>
      <c r="K2" s="12" t="s">
        <v>2072</v>
      </c>
      <c r="L2" s="12" t="s">
        <v>2073</v>
      </c>
      <c r="M2" s="12" t="s">
        <v>2074</v>
      </c>
    </row>
    <row r="3" spans="7:14" ht="15" customHeight="1">
      <c r="G3" s="143" t="s">
        <v>2075</v>
      </c>
      <c r="H3" s="145">
        <v>45762</v>
      </c>
      <c r="I3" s="342">
        <v>10000</v>
      </c>
      <c r="J3" s="342">
        <f t="shared" ref="J3:J10" si="0">(I3-I3*12.25%)*0.35</f>
        <v>3071.25</v>
      </c>
      <c r="K3" s="342">
        <f t="shared" ref="K3:K6" si="1">I3*0.35</f>
        <v>3500</v>
      </c>
      <c r="L3" s="342">
        <f t="shared" ref="L3:L10" si="2">K3-J3</f>
        <v>428.75</v>
      </c>
      <c r="M3" s="342">
        <f>L3</f>
        <v>428.75</v>
      </c>
    </row>
    <row r="4" spans="7:14" ht="15" customHeight="1">
      <c r="G4" s="143" t="s">
        <v>2076</v>
      </c>
      <c r="H4" s="145">
        <v>45762</v>
      </c>
      <c r="I4" s="342">
        <v>34990</v>
      </c>
      <c r="J4" s="342">
        <f t="shared" si="0"/>
        <v>10746.303749999999</v>
      </c>
      <c r="K4" s="342">
        <f t="shared" si="1"/>
        <v>12246.5</v>
      </c>
      <c r="L4" s="342">
        <f t="shared" si="2"/>
        <v>1500.1962500000009</v>
      </c>
      <c r="M4" s="342">
        <f t="shared" ref="M4:M10" si="3">L4+M3</f>
        <v>1928.9462500000009</v>
      </c>
    </row>
    <row r="5" spans="7:14" ht="15" customHeight="1">
      <c r="G5" s="143" t="s">
        <v>2077</v>
      </c>
      <c r="H5" s="145">
        <v>45763</v>
      </c>
      <c r="I5" s="342">
        <v>30000</v>
      </c>
      <c r="J5" s="342">
        <f t="shared" si="0"/>
        <v>9213.75</v>
      </c>
      <c r="K5" s="342">
        <f t="shared" si="1"/>
        <v>10500</v>
      </c>
      <c r="L5" s="342">
        <f t="shared" si="2"/>
        <v>1286.25</v>
      </c>
      <c r="M5" s="342">
        <f t="shared" si="3"/>
        <v>3215.1962500000009</v>
      </c>
    </row>
    <row r="6" spans="7:14" ht="15" customHeight="1">
      <c r="G6" s="143" t="s">
        <v>2075</v>
      </c>
      <c r="H6" s="145">
        <v>45769</v>
      </c>
      <c r="I6" s="342">
        <v>24990</v>
      </c>
      <c r="J6" s="342">
        <f t="shared" si="0"/>
        <v>7675.0537499999991</v>
      </c>
      <c r="K6" s="342">
        <f t="shared" si="1"/>
        <v>8746.5</v>
      </c>
      <c r="L6" s="342">
        <f t="shared" si="2"/>
        <v>1071.4462500000009</v>
      </c>
      <c r="M6" s="342">
        <f t="shared" si="3"/>
        <v>4286.6425000000017</v>
      </c>
    </row>
    <row r="7" spans="7:14" ht="15" customHeight="1">
      <c r="G7" s="143" t="s">
        <v>2078</v>
      </c>
      <c r="H7" s="145">
        <v>45770</v>
      </c>
      <c r="I7" s="342">
        <v>45000</v>
      </c>
      <c r="J7" s="342">
        <f t="shared" si="0"/>
        <v>13820.625</v>
      </c>
      <c r="K7" s="355">
        <v>14645.92</v>
      </c>
      <c r="L7" s="342">
        <f t="shared" si="2"/>
        <v>825.29500000000007</v>
      </c>
      <c r="M7" s="342">
        <f t="shared" si="3"/>
        <v>5111.9375000000018</v>
      </c>
      <c r="N7" s="342">
        <f>I7*0.35</f>
        <v>15749.999999999998</v>
      </c>
    </row>
    <row r="8" spans="7:14" ht="15" customHeight="1">
      <c r="G8" s="143" t="s">
        <v>2079</v>
      </c>
      <c r="H8" s="145">
        <v>45790</v>
      </c>
      <c r="I8" s="342">
        <v>5000</v>
      </c>
      <c r="J8" s="342">
        <f t="shared" si="0"/>
        <v>1535.625</v>
      </c>
      <c r="K8" s="342">
        <f t="shared" ref="K8:K9" si="4">I8*0.35</f>
        <v>1750</v>
      </c>
      <c r="L8" s="342">
        <f t="shared" si="2"/>
        <v>214.375</v>
      </c>
      <c r="M8" s="342">
        <f t="shared" si="3"/>
        <v>5326.3125000000018</v>
      </c>
    </row>
    <row r="9" spans="7:14" ht="15" customHeight="1">
      <c r="G9" s="143" t="s">
        <v>2080</v>
      </c>
      <c r="H9" s="145">
        <v>45790</v>
      </c>
      <c r="I9" s="342">
        <v>34990.9</v>
      </c>
      <c r="J9" s="342">
        <f t="shared" si="0"/>
        <v>10746.5801625</v>
      </c>
      <c r="K9" s="342">
        <f t="shared" si="4"/>
        <v>12246.815000000001</v>
      </c>
      <c r="L9" s="342">
        <f t="shared" si="2"/>
        <v>1500.2348375000001</v>
      </c>
      <c r="M9" s="342">
        <f t="shared" si="3"/>
        <v>6826.547337500002</v>
      </c>
    </row>
    <row r="10" spans="7:14" ht="15" customHeight="1">
      <c r="G10" s="143" t="s">
        <v>2079</v>
      </c>
      <c r="H10" s="145">
        <v>45790</v>
      </c>
      <c r="I10" s="342">
        <v>29990.9</v>
      </c>
      <c r="J10" s="342">
        <f t="shared" si="0"/>
        <v>9210.9551625000004</v>
      </c>
      <c r="K10" s="342">
        <v>10499.96</v>
      </c>
      <c r="L10" s="342">
        <f t="shared" si="2"/>
        <v>1289.0048374999988</v>
      </c>
      <c r="M10" s="342">
        <f t="shared" si="3"/>
        <v>8115.5521750000007</v>
      </c>
    </row>
    <row r="11" spans="7:14" ht="15" customHeight="1">
      <c r="J11" s="342"/>
      <c r="K11" s="342"/>
      <c r="L11" s="342"/>
    </row>
    <row r="12" spans="7:14" ht="15" customHeight="1">
      <c r="G12" s="49" t="s">
        <v>51</v>
      </c>
      <c r="H12" s="145">
        <v>45821</v>
      </c>
      <c r="I12" s="342">
        <v>185000</v>
      </c>
      <c r="J12" s="342">
        <f>(I12-I12*12.25%)*0.35</f>
        <v>56818.125</v>
      </c>
      <c r="K12" s="342">
        <f>J12-M10</f>
        <v>48702.572824999996</v>
      </c>
      <c r="L12" s="342"/>
    </row>
    <row r="13" spans="7:14" ht="15" customHeight="1">
      <c r="J13" s="342"/>
      <c r="K13" s="342"/>
      <c r="L13" s="342"/>
    </row>
    <row r="14" spans="7:14" ht="15" customHeight="1">
      <c r="J14" s="342"/>
      <c r="K14" s="342"/>
      <c r="L14" s="342"/>
    </row>
    <row r="20" spans="9:10" ht="15" customHeight="1">
      <c r="I20" s="143"/>
      <c r="J20" s="143"/>
    </row>
    <row r="21" spans="9:10" ht="15" customHeight="1">
      <c r="I21" s="143"/>
      <c r="J21" s="143"/>
    </row>
    <row r="22" spans="9:10" ht="15" customHeight="1">
      <c r="I22" s="143"/>
      <c r="J22" s="143"/>
    </row>
    <row r="23" spans="9:10" ht="15" customHeight="1">
      <c r="I23" s="143"/>
      <c r="J23" s="143"/>
    </row>
    <row r="24" spans="9:10" ht="15" customHeight="1">
      <c r="I24" s="143"/>
      <c r="J24" s="143"/>
    </row>
    <row r="25" spans="9:10" ht="15" customHeight="1">
      <c r="I25" s="143"/>
      <c r="J25" s="143"/>
    </row>
    <row r="26" spans="9:10" ht="15" customHeight="1">
      <c r="I26" s="143"/>
      <c r="J26" s="143"/>
    </row>
    <row r="27" spans="9:10" ht="15" customHeight="1">
      <c r="I27" s="143"/>
      <c r="J27" s="143"/>
    </row>
    <row r="28" spans="9:10" ht="15" customHeight="1">
      <c r="I28" s="143"/>
      <c r="J28" s="143"/>
    </row>
  </sheetData>
  <pageMargins left="0.511811024" right="0.511811024" top="0.78740157499999996" bottom="0.78740157499999996"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L117"/>
  <sheetViews>
    <sheetView workbookViewId="0">
      <pane ySplit="3" topLeftCell="A4" activePane="bottomLeft" state="frozen"/>
      <selection pane="bottomLeft" activeCell="B5" sqref="B5"/>
    </sheetView>
  </sheetViews>
  <sheetFormatPr defaultColWidth="14.42578125" defaultRowHeight="15" customHeight="1"/>
  <sheetData>
    <row r="1" spans="1:12" ht="15" customHeight="1">
      <c r="D1" s="343"/>
      <c r="E1" s="343"/>
      <c r="G1" s="343"/>
      <c r="H1" s="343"/>
      <c r="K1" s="343"/>
      <c r="L1" s="343"/>
    </row>
    <row r="2" spans="1:12" ht="15" customHeight="1">
      <c r="A2" s="343"/>
      <c r="B2" s="343"/>
      <c r="D2" s="343"/>
      <c r="E2" s="343"/>
      <c r="G2" s="343"/>
      <c r="H2" s="343"/>
      <c r="K2" s="343"/>
      <c r="L2" s="343"/>
    </row>
    <row r="3" spans="1:12" ht="15" customHeight="1">
      <c r="A3" s="343" t="s">
        <v>180</v>
      </c>
      <c r="B3" s="343" t="s">
        <v>2081</v>
      </c>
      <c r="D3" s="343" t="s">
        <v>180</v>
      </c>
      <c r="E3" s="343" t="s">
        <v>2082</v>
      </c>
      <c r="G3" s="343" t="s">
        <v>180</v>
      </c>
      <c r="H3" s="343" t="s">
        <v>2083</v>
      </c>
      <c r="K3" s="343" t="s">
        <v>180</v>
      </c>
      <c r="L3" s="343" t="s">
        <v>2082</v>
      </c>
    </row>
    <row r="4" spans="1:12" ht="15" customHeight="1">
      <c r="A4" s="343" t="s">
        <v>1265</v>
      </c>
      <c r="B4" s="343" t="s">
        <v>2084</v>
      </c>
      <c r="D4" s="343" t="s">
        <v>1265</v>
      </c>
      <c r="E4" s="343" t="s">
        <v>1891</v>
      </c>
      <c r="G4" s="343" t="s">
        <v>1265</v>
      </c>
      <c r="H4" s="343" t="s">
        <v>2085</v>
      </c>
      <c r="K4" s="343" t="s">
        <v>1265</v>
      </c>
      <c r="L4" s="343" t="s">
        <v>2085</v>
      </c>
    </row>
    <row r="5" spans="1:12" ht="15" customHeight="1">
      <c r="A5" s="343" t="s">
        <v>1074</v>
      </c>
      <c r="B5" s="343" t="s">
        <v>2084</v>
      </c>
      <c r="D5" s="343" t="s">
        <v>1074</v>
      </c>
      <c r="E5" s="343" t="s">
        <v>20</v>
      </c>
      <c r="G5" s="343" t="s">
        <v>1074</v>
      </c>
      <c r="H5" s="343" t="s">
        <v>1074</v>
      </c>
      <c r="K5" s="343" t="s">
        <v>1074</v>
      </c>
      <c r="L5" s="343" t="s">
        <v>20</v>
      </c>
    </row>
    <row r="6" spans="1:12" ht="15" customHeight="1">
      <c r="A6" s="343" t="s">
        <v>1031</v>
      </c>
      <c r="B6" s="343" t="s">
        <v>2084</v>
      </c>
      <c r="D6" s="343" t="s">
        <v>1031</v>
      </c>
      <c r="E6" s="343" t="s">
        <v>1891</v>
      </c>
      <c r="G6" s="343" t="s">
        <v>1031</v>
      </c>
      <c r="H6" s="343" t="s">
        <v>2085</v>
      </c>
      <c r="K6" s="343" t="s">
        <v>1031</v>
      </c>
      <c r="L6" s="343" t="s">
        <v>2085</v>
      </c>
    </row>
    <row r="7" spans="1:12" ht="15" customHeight="1">
      <c r="A7" s="343" t="s">
        <v>392</v>
      </c>
      <c r="B7" s="343" t="s">
        <v>2084</v>
      </c>
      <c r="D7" s="343" t="s">
        <v>392</v>
      </c>
      <c r="E7" s="343" t="s">
        <v>20</v>
      </c>
      <c r="G7" s="343" t="s">
        <v>392</v>
      </c>
      <c r="H7" s="343" t="s">
        <v>392</v>
      </c>
      <c r="K7" s="343" t="s">
        <v>392</v>
      </c>
      <c r="L7" s="343" t="s">
        <v>20</v>
      </c>
    </row>
    <row r="8" spans="1:12" ht="15" customHeight="1">
      <c r="A8" s="343" t="s">
        <v>1405</v>
      </c>
      <c r="B8" s="343" t="s">
        <v>2084</v>
      </c>
      <c r="D8" s="343" t="s">
        <v>1405</v>
      </c>
      <c r="E8" s="343" t="s">
        <v>1891</v>
      </c>
      <c r="G8" s="343" t="s">
        <v>1405</v>
      </c>
      <c r="H8" s="343" t="s">
        <v>19</v>
      </c>
      <c r="K8" s="343" t="s">
        <v>1405</v>
      </c>
      <c r="L8" s="343" t="s">
        <v>19</v>
      </c>
    </row>
    <row r="9" spans="1:12" ht="15" customHeight="1">
      <c r="A9" s="343" t="s">
        <v>1565</v>
      </c>
      <c r="B9" s="343" t="s">
        <v>2084</v>
      </c>
      <c r="D9" s="343" t="s">
        <v>1565</v>
      </c>
      <c r="E9" s="343" t="s">
        <v>2086</v>
      </c>
      <c r="G9" s="343" t="s">
        <v>1565</v>
      </c>
      <c r="H9" s="343" t="s">
        <v>2086</v>
      </c>
      <c r="K9" s="343" t="s">
        <v>1565</v>
      </c>
      <c r="L9" s="343" t="s">
        <v>2086</v>
      </c>
    </row>
    <row r="10" spans="1:12" ht="15" customHeight="1">
      <c r="A10" s="343" t="s">
        <v>196</v>
      </c>
      <c r="B10" s="343" t="s">
        <v>2084</v>
      </c>
      <c r="D10" s="343" t="s">
        <v>196</v>
      </c>
      <c r="E10" s="343" t="s">
        <v>196</v>
      </c>
      <c r="G10" s="343" t="s">
        <v>196</v>
      </c>
      <c r="H10" s="343" t="s">
        <v>196</v>
      </c>
      <c r="K10" s="343" t="s">
        <v>196</v>
      </c>
      <c r="L10" s="343" t="s">
        <v>196</v>
      </c>
    </row>
    <row r="11" spans="1:12" ht="15" customHeight="1">
      <c r="A11" s="343" t="s">
        <v>1538</v>
      </c>
      <c r="B11" s="343" t="s">
        <v>2084</v>
      </c>
      <c r="D11" s="343" t="s">
        <v>1538</v>
      </c>
      <c r="E11" s="343" t="s">
        <v>196</v>
      </c>
      <c r="G11" s="343" t="s">
        <v>1538</v>
      </c>
      <c r="H11" s="343" t="s">
        <v>196</v>
      </c>
      <c r="K11" s="343" t="s">
        <v>1538</v>
      </c>
      <c r="L11" s="343" t="s">
        <v>196</v>
      </c>
    </row>
    <row r="12" spans="1:12" ht="15" customHeight="1">
      <c r="A12" s="343" t="s">
        <v>282</v>
      </c>
      <c r="B12" s="343" t="s">
        <v>1484</v>
      </c>
      <c r="D12" s="343" t="s">
        <v>282</v>
      </c>
      <c r="E12" s="343" t="s">
        <v>282</v>
      </c>
      <c r="G12" s="343" t="s">
        <v>282</v>
      </c>
      <c r="H12" s="343" t="s">
        <v>282</v>
      </c>
      <c r="K12" s="343" t="s">
        <v>282</v>
      </c>
      <c r="L12" s="343" t="s">
        <v>282</v>
      </c>
    </row>
    <row r="13" spans="1:12" ht="15" customHeight="1">
      <c r="A13" s="343" t="s">
        <v>1577</v>
      </c>
      <c r="B13" s="343" t="s">
        <v>2084</v>
      </c>
      <c r="D13" s="343" t="s">
        <v>1577</v>
      </c>
      <c r="E13" s="343" t="s">
        <v>20</v>
      </c>
      <c r="G13" s="343" t="s">
        <v>1577</v>
      </c>
      <c r="H13" s="343" t="s">
        <v>1577</v>
      </c>
      <c r="K13" s="343" t="s">
        <v>1577</v>
      </c>
      <c r="L13" s="343" t="s">
        <v>20</v>
      </c>
    </row>
    <row r="14" spans="1:12" ht="15" customHeight="1">
      <c r="A14" s="343" t="s">
        <v>1061</v>
      </c>
      <c r="B14" s="343" t="s">
        <v>2084</v>
      </c>
      <c r="D14" s="343" t="s">
        <v>1061</v>
      </c>
      <c r="E14" s="343" t="s">
        <v>1891</v>
      </c>
      <c r="G14" s="343" t="s">
        <v>1061</v>
      </c>
      <c r="H14" s="343" t="s">
        <v>19</v>
      </c>
      <c r="K14" s="343" t="s">
        <v>1061</v>
      </c>
      <c r="L14" s="343" t="s">
        <v>19</v>
      </c>
    </row>
    <row r="15" spans="1:12" ht="15" customHeight="1">
      <c r="A15" s="343" t="s">
        <v>1433</v>
      </c>
      <c r="B15" s="343" t="s">
        <v>2084</v>
      </c>
      <c r="D15" s="343" t="s">
        <v>1433</v>
      </c>
      <c r="E15" s="343" t="s">
        <v>2087</v>
      </c>
      <c r="G15" s="343" t="s">
        <v>1433</v>
      </c>
      <c r="H15" s="343" t="s">
        <v>2087</v>
      </c>
      <c r="K15" s="343" t="s">
        <v>1433</v>
      </c>
      <c r="L15" s="343" t="s">
        <v>2087</v>
      </c>
    </row>
    <row r="16" spans="1:12" ht="15" customHeight="1">
      <c r="A16" s="343" t="s">
        <v>359</v>
      </c>
      <c r="B16" s="343" t="s">
        <v>2084</v>
      </c>
      <c r="D16" s="343" t="s">
        <v>359</v>
      </c>
      <c r="E16" s="343" t="s">
        <v>2087</v>
      </c>
      <c r="G16" s="343" t="s">
        <v>359</v>
      </c>
      <c r="H16" s="343" t="s">
        <v>2087</v>
      </c>
      <c r="K16" s="343" t="s">
        <v>359</v>
      </c>
      <c r="L16" s="343" t="s">
        <v>2087</v>
      </c>
    </row>
    <row r="17" spans="1:12" ht="15" customHeight="1">
      <c r="A17" s="343" t="s">
        <v>1807</v>
      </c>
      <c r="B17" s="343" t="s">
        <v>2084</v>
      </c>
      <c r="D17" s="343" t="s">
        <v>1807</v>
      </c>
      <c r="E17" s="343" t="s">
        <v>25</v>
      </c>
      <c r="G17" s="343" t="s">
        <v>1807</v>
      </c>
      <c r="H17" s="343" t="s">
        <v>25</v>
      </c>
      <c r="K17" s="343" t="s">
        <v>1807</v>
      </c>
      <c r="L17" s="343" t="s">
        <v>25</v>
      </c>
    </row>
    <row r="18" spans="1:12" ht="15" customHeight="1">
      <c r="A18" s="343" t="s">
        <v>977</v>
      </c>
      <c r="B18" s="343" t="s">
        <v>2084</v>
      </c>
      <c r="D18" s="343" t="s">
        <v>977</v>
      </c>
      <c r="E18" s="343" t="s">
        <v>2088</v>
      </c>
      <c r="G18" s="343" t="s">
        <v>977</v>
      </c>
      <c r="H18" s="343" t="s">
        <v>2088</v>
      </c>
      <c r="K18" s="343" t="s">
        <v>977</v>
      </c>
      <c r="L18" s="343" t="s">
        <v>2088</v>
      </c>
    </row>
    <row r="19" spans="1:12" ht="15" customHeight="1">
      <c r="A19" s="343" t="s">
        <v>1373</v>
      </c>
      <c r="B19" s="343" t="s">
        <v>2084</v>
      </c>
      <c r="D19" s="343" t="s">
        <v>1373</v>
      </c>
      <c r="E19" s="343" t="s">
        <v>20</v>
      </c>
      <c r="G19" s="343" t="s">
        <v>1373</v>
      </c>
      <c r="H19" s="343" t="s">
        <v>1373</v>
      </c>
      <c r="K19" s="343" t="s">
        <v>1373</v>
      </c>
      <c r="L19" s="343" t="s">
        <v>20</v>
      </c>
    </row>
    <row r="20" spans="1:12" ht="15" customHeight="1">
      <c r="A20" s="343" t="s">
        <v>407</v>
      </c>
      <c r="B20" s="343" t="s">
        <v>1484</v>
      </c>
      <c r="D20" s="343" t="s">
        <v>407</v>
      </c>
      <c r="E20" s="343" t="s">
        <v>2089</v>
      </c>
      <c r="G20" s="343" t="s">
        <v>407</v>
      </c>
      <c r="H20" s="343" t="s">
        <v>407</v>
      </c>
      <c r="K20" s="343" t="s">
        <v>407</v>
      </c>
      <c r="L20" s="343" t="s">
        <v>2089</v>
      </c>
    </row>
    <row r="21" spans="1:12" ht="15" customHeight="1">
      <c r="A21" s="343" t="s">
        <v>1444</v>
      </c>
      <c r="B21" s="343" t="s">
        <v>2090</v>
      </c>
      <c r="D21" s="343" t="s">
        <v>1444</v>
      </c>
      <c r="E21" s="343" t="s">
        <v>12</v>
      </c>
      <c r="G21" s="343" t="s">
        <v>1444</v>
      </c>
      <c r="H21" s="343" t="s">
        <v>12</v>
      </c>
      <c r="K21" s="343" t="s">
        <v>1444</v>
      </c>
      <c r="L21" s="343" t="s">
        <v>12</v>
      </c>
    </row>
    <row r="22" spans="1:12" ht="15" customHeight="1">
      <c r="A22" s="343" t="s">
        <v>1850</v>
      </c>
      <c r="B22" s="343" t="s">
        <v>2084</v>
      </c>
      <c r="D22" s="343" t="s">
        <v>1850</v>
      </c>
      <c r="E22" s="343" t="s">
        <v>12</v>
      </c>
      <c r="G22" s="343" t="s">
        <v>1850</v>
      </c>
      <c r="H22" s="343" t="s">
        <v>12</v>
      </c>
      <c r="K22" s="343" t="s">
        <v>1850</v>
      </c>
      <c r="L22" s="343" t="s">
        <v>12</v>
      </c>
    </row>
    <row r="23" spans="1:12" ht="15" customHeight="1">
      <c r="A23" s="343" t="s">
        <v>1800</v>
      </c>
      <c r="B23" s="343" t="s">
        <v>2091</v>
      </c>
      <c r="D23" s="343" t="s">
        <v>1800</v>
      </c>
      <c r="E23" s="343" t="s">
        <v>90</v>
      </c>
      <c r="G23" s="343" t="s">
        <v>1800</v>
      </c>
      <c r="H23" s="343" t="s">
        <v>90</v>
      </c>
      <c r="K23" s="343" t="s">
        <v>1800</v>
      </c>
      <c r="L23" s="343" t="s">
        <v>90</v>
      </c>
    </row>
    <row r="24" spans="1:12" ht="15" customHeight="1">
      <c r="A24" s="343" t="s">
        <v>1810</v>
      </c>
      <c r="B24" s="343" t="s">
        <v>2091</v>
      </c>
      <c r="D24" s="343" t="s">
        <v>1810</v>
      </c>
      <c r="E24" s="343" t="s">
        <v>90</v>
      </c>
      <c r="G24" s="343" t="s">
        <v>1810</v>
      </c>
      <c r="H24" s="343" t="s">
        <v>90</v>
      </c>
      <c r="K24" s="343" t="s">
        <v>1810</v>
      </c>
      <c r="L24" s="343" t="s">
        <v>90</v>
      </c>
    </row>
    <row r="25" spans="1:12" ht="15" customHeight="1">
      <c r="A25" s="343" t="s">
        <v>925</v>
      </c>
      <c r="B25" s="343" t="s">
        <v>2091</v>
      </c>
      <c r="D25" s="343" t="s">
        <v>925</v>
      </c>
      <c r="E25" s="343" t="s">
        <v>90</v>
      </c>
      <c r="G25" s="343" t="s">
        <v>925</v>
      </c>
      <c r="H25" s="343" t="s">
        <v>90</v>
      </c>
      <c r="K25" s="343" t="s">
        <v>925</v>
      </c>
      <c r="L25" s="343" t="s">
        <v>90</v>
      </c>
    </row>
    <row r="26" spans="1:12" ht="15" customHeight="1">
      <c r="A26" s="343" t="s">
        <v>694</v>
      </c>
      <c r="B26" s="343" t="s">
        <v>2091</v>
      </c>
      <c r="D26" s="343" t="s">
        <v>694</v>
      </c>
      <c r="E26" s="343" t="s">
        <v>90</v>
      </c>
      <c r="G26" s="343" t="s">
        <v>694</v>
      </c>
      <c r="H26" s="343" t="s">
        <v>90</v>
      </c>
      <c r="K26" s="343" t="s">
        <v>694</v>
      </c>
      <c r="L26" s="343" t="s">
        <v>90</v>
      </c>
    </row>
    <row r="27" spans="1:12" ht="15" customHeight="1">
      <c r="A27" s="343" t="s">
        <v>294</v>
      </c>
      <c r="B27" s="343" t="s">
        <v>2084</v>
      </c>
      <c r="D27" s="343" t="s">
        <v>294</v>
      </c>
      <c r="E27" s="343" t="s">
        <v>20</v>
      </c>
      <c r="G27" s="343" t="s">
        <v>294</v>
      </c>
      <c r="H27" s="343" t="s">
        <v>294</v>
      </c>
      <c r="K27" s="343" t="s">
        <v>294</v>
      </c>
      <c r="L27" s="343" t="s">
        <v>20</v>
      </c>
    </row>
    <row r="28" spans="1:12" ht="15" customHeight="1">
      <c r="A28" s="343" t="s">
        <v>1288</v>
      </c>
      <c r="B28" s="343" t="s">
        <v>2084</v>
      </c>
      <c r="D28" s="343" t="s">
        <v>1288</v>
      </c>
      <c r="E28" s="343" t="s">
        <v>20</v>
      </c>
      <c r="G28" s="343" t="s">
        <v>1288</v>
      </c>
      <c r="H28" s="343" t="s">
        <v>1288</v>
      </c>
      <c r="K28" s="343" t="s">
        <v>1288</v>
      </c>
      <c r="L28" s="343" t="s">
        <v>20</v>
      </c>
    </row>
    <row r="29" spans="1:12" ht="15" customHeight="1">
      <c r="A29" s="343" t="s">
        <v>399</v>
      </c>
      <c r="B29" s="343" t="s">
        <v>2084</v>
      </c>
      <c r="D29" s="343" t="s">
        <v>399</v>
      </c>
      <c r="E29" s="343" t="s">
        <v>196</v>
      </c>
      <c r="G29" s="343" t="s">
        <v>399</v>
      </c>
      <c r="H29" s="343" t="s">
        <v>196</v>
      </c>
      <c r="K29" s="343" t="s">
        <v>399</v>
      </c>
      <c r="L29" s="343" t="s">
        <v>196</v>
      </c>
    </row>
    <row r="30" spans="1:12" ht="15" customHeight="1">
      <c r="A30" s="343" t="s">
        <v>193</v>
      </c>
      <c r="B30" s="343" t="s">
        <v>2084</v>
      </c>
      <c r="D30" s="343" t="s">
        <v>193</v>
      </c>
      <c r="E30" s="343" t="s">
        <v>20</v>
      </c>
      <c r="G30" s="343" t="s">
        <v>193</v>
      </c>
      <c r="H30" s="343" t="s">
        <v>193</v>
      </c>
      <c r="K30" s="343" t="s">
        <v>193</v>
      </c>
      <c r="L30" s="343" t="s">
        <v>20</v>
      </c>
    </row>
    <row r="31" spans="1:12" ht="15" customHeight="1">
      <c r="A31" s="343" t="s">
        <v>1140</v>
      </c>
      <c r="B31" s="343" t="s">
        <v>2084</v>
      </c>
      <c r="D31" s="343" t="s">
        <v>1140</v>
      </c>
      <c r="E31" s="343" t="s">
        <v>20</v>
      </c>
      <c r="G31" s="343" t="s">
        <v>1140</v>
      </c>
      <c r="H31" s="343" t="s">
        <v>1140</v>
      </c>
      <c r="K31" s="343" t="s">
        <v>1140</v>
      </c>
      <c r="L31" s="343" t="s">
        <v>20</v>
      </c>
    </row>
    <row r="32" spans="1:12" ht="15" customHeight="1">
      <c r="A32" s="343" t="s">
        <v>1799</v>
      </c>
      <c r="B32" s="343" t="s">
        <v>2084</v>
      </c>
      <c r="D32" s="343" t="s">
        <v>1799</v>
      </c>
      <c r="E32" s="343" t="s">
        <v>20</v>
      </c>
      <c r="G32" s="343" t="s">
        <v>1799</v>
      </c>
      <c r="H32" s="343" t="s">
        <v>1799</v>
      </c>
      <c r="K32" s="343" t="s">
        <v>1799</v>
      </c>
      <c r="L32" s="343" t="s">
        <v>20</v>
      </c>
    </row>
    <row r="33" spans="1:12" ht="15" customHeight="1">
      <c r="A33" s="343" t="s">
        <v>129</v>
      </c>
      <c r="B33" s="343" t="s">
        <v>2084</v>
      </c>
      <c r="D33" s="343" t="s">
        <v>129</v>
      </c>
      <c r="E33" s="343" t="s">
        <v>20</v>
      </c>
      <c r="G33" s="343" t="s">
        <v>129</v>
      </c>
      <c r="H33" s="343" t="s">
        <v>129</v>
      </c>
      <c r="K33" s="343" t="s">
        <v>129</v>
      </c>
      <c r="L33" s="343" t="s">
        <v>20</v>
      </c>
    </row>
    <row r="34" spans="1:12" ht="15" customHeight="1">
      <c r="A34" s="343" t="s">
        <v>1631</v>
      </c>
      <c r="B34" s="343" t="s">
        <v>2084</v>
      </c>
      <c r="D34" s="343" t="s">
        <v>1631</v>
      </c>
      <c r="E34" s="343" t="s">
        <v>12</v>
      </c>
      <c r="G34" s="343" t="s">
        <v>1631</v>
      </c>
      <c r="H34" s="343" t="s">
        <v>12</v>
      </c>
      <c r="K34" s="343" t="s">
        <v>1631</v>
      </c>
      <c r="L34" s="343" t="s">
        <v>12</v>
      </c>
    </row>
    <row r="35" spans="1:12" ht="15" customHeight="1">
      <c r="A35" s="343" t="s">
        <v>1693</v>
      </c>
      <c r="B35" s="343" t="s">
        <v>2084</v>
      </c>
      <c r="D35" s="343" t="s">
        <v>1693</v>
      </c>
      <c r="E35" s="343" t="s">
        <v>20</v>
      </c>
      <c r="G35" s="343" t="s">
        <v>1693</v>
      </c>
      <c r="H35" s="343" t="s">
        <v>1693</v>
      </c>
      <c r="K35" s="343" t="s">
        <v>1693</v>
      </c>
      <c r="L35" s="343" t="s">
        <v>20</v>
      </c>
    </row>
    <row r="36" spans="1:12" ht="15" customHeight="1">
      <c r="A36" s="343" t="s">
        <v>1702</v>
      </c>
      <c r="B36" s="343" t="s">
        <v>2084</v>
      </c>
      <c r="D36" s="343" t="s">
        <v>1702</v>
      </c>
      <c r="E36" s="343" t="s">
        <v>2086</v>
      </c>
      <c r="G36" s="343" t="s">
        <v>1702</v>
      </c>
      <c r="H36" s="343" t="s">
        <v>2086</v>
      </c>
      <c r="K36" s="343" t="s">
        <v>1702</v>
      </c>
      <c r="L36" s="343" t="s">
        <v>2086</v>
      </c>
    </row>
    <row r="37" spans="1:12" ht="15" customHeight="1">
      <c r="A37" s="343" t="s">
        <v>1845</v>
      </c>
      <c r="B37" s="343" t="s">
        <v>2084</v>
      </c>
      <c r="D37" s="343" t="s">
        <v>1845</v>
      </c>
      <c r="E37" s="343" t="s">
        <v>2086</v>
      </c>
      <c r="G37" s="343" t="s">
        <v>1845</v>
      </c>
      <c r="H37" s="343" t="s">
        <v>2086</v>
      </c>
      <c r="K37" s="343" t="s">
        <v>1845</v>
      </c>
      <c r="L37" s="343" t="s">
        <v>2086</v>
      </c>
    </row>
    <row r="38" spans="1:12" ht="15" customHeight="1">
      <c r="A38" s="343" t="s">
        <v>187</v>
      </c>
      <c r="B38" s="343" t="s">
        <v>2084</v>
      </c>
      <c r="D38" s="343" t="s">
        <v>187</v>
      </c>
      <c r="E38" s="343" t="s">
        <v>2086</v>
      </c>
      <c r="G38" s="343" t="s">
        <v>187</v>
      </c>
      <c r="H38" s="343" t="s">
        <v>2086</v>
      </c>
      <c r="K38" s="343" t="s">
        <v>187</v>
      </c>
      <c r="L38" s="343" t="s">
        <v>2086</v>
      </c>
    </row>
    <row r="39" spans="1:12" ht="15" customHeight="1">
      <c r="A39" s="343" t="s">
        <v>1674</v>
      </c>
      <c r="B39" s="343" t="s">
        <v>2084</v>
      </c>
      <c r="D39" s="343" t="s">
        <v>1674</v>
      </c>
      <c r="E39" s="343" t="s">
        <v>20</v>
      </c>
      <c r="G39" s="343" t="s">
        <v>1674</v>
      </c>
      <c r="H39" s="343" t="s">
        <v>1674</v>
      </c>
      <c r="K39" s="343" t="s">
        <v>1674</v>
      </c>
      <c r="L39" s="343" t="s">
        <v>20</v>
      </c>
    </row>
    <row r="40" spans="1:12" ht="15" customHeight="1">
      <c r="A40" s="343" t="s">
        <v>1570</v>
      </c>
      <c r="B40" s="343" t="s">
        <v>2084</v>
      </c>
      <c r="D40" s="343" t="s">
        <v>1570</v>
      </c>
      <c r="E40" s="343" t="s">
        <v>1337</v>
      </c>
      <c r="G40" s="343" t="s">
        <v>1570</v>
      </c>
      <c r="H40" s="343" t="s">
        <v>1337</v>
      </c>
      <c r="K40" s="343" t="s">
        <v>1570</v>
      </c>
      <c r="L40" s="343" t="s">
        <v>1337</v>
      </c>
    </row>
    <row r="41" spans="1:12" ht="15" customHeight="1">
      <c r="A41" s="343" t="s">
        <v>1514</v>
      </c>
      <c r="B41" s="343" t="s">
        <v>2084</v>
      </c>
      <c r="D41" s="343" t="s">
        <v>1514</v>
      </c>
      <c r="E41" s="343" t="s">
        <v>2086</v>
      </c>
      <c r="G41" s="343" t="s">
        <v>1514</v>
      </c>
      <c r="H41" s="343" t="s">
        <v>2086</v>
      </c>
      <c r="K41" s="343" t="s">
        <v>1514</v>
      </c>
      <c r="L41" s="343" t="s">
        <v>2086</v>
      </c>
    </row>
    <row r="42" spans="1:12" ht="15" customHeight="1">
      <c r="A42" s="343" t="s">
        <v>308</v>
      </c>
      <c r="B42" s="343" t="s">
        <v>2084</v>
      </c>
      <c r="D42" s="343" t="s">
        <v>308</v>
      </c>
      <c r="E42" s="343" t="s">
        <v>2086</v>
      </c>
      <c r="G42" s="343" t="s">
        <v>308</v>
      </c>
      <c r="H42" s="343" t="s">
        <v>2086</v>
      </c>
      <c r="K42" s="343" t="s">
        <v>308</v>
      </c>
      <c r="L42" s="343" t="s">
        <v>2086</v>
      </c>
    </row>
    <row r="43" spans="1:12" ht="15" customHeight="1">
      <c r="A43" s="343" t="s">
        <v>1397</v>
      </c>
      <c r="B43" s="343" t="s">
        <v>2090</v>
      </c>
      <c r="D43" s="343" t="s">
        <v>1397</v>
      </c>
      <c r="E43" s="343" t="s">
        <v>2092</v>
      </c>
      <c r="G43" s="343" t="s">
        <v>1397</v>
      </c>
      <c r="H43" s="343" t="s">
        <v>2092</v>
      </c>
      <c r="K43" s="343" t="s">
        <v>1397</v>
      </c>
      <c r="L43" s="343" t="s">
        <v>2092</v>
      </c>
    </row>
    <row r="44" spans="1:12" ht="15" customHeight="1">
      <c r="A44" s="343" t="s">
        <v>1815</v>
      </c>
      <c r="B44" s="343" t="s">
        <v>2090</v>
      </c>
      <c r="D44" s="343" t="s">
        <v>1815</v>
      </c>
      <c r="E44" s="343" t="s">
        <v>2092</v>
      </c>
      <c r="G44" s="343" t="s">
        <v>1815</v>
      </c>
      <c r="H44" s="343" t="s">
        <v>2092</v>
      </c>
      <c r="K44" s="343" t="s">
        <v>1815</v>
      </c>
      <c r="L44" s="343" t="s">
        <v>2092</v>
      </c>
    </row>
    <row r="45" spans="1:12" ht="15" customHeight="1">
      <c r="A45" s="343" t="s">
        <v>212</v>
      </c>
      <c r="B45" s="343" t="s">
        <v>2090</v>
      </c>
      <c r="D45" s="343" t="s">
        <v>212</v>
      </c>
      <c r="E45" s="343" t="s">
        <v>2092</v>
      </c>
      <c r="G45" s="343" t="s">
        <v>212</v>
      </c>
      <c r="H45" s="343" t="s">
        <v>2092</v>
      </c>
      <c r="K45" s="343" t="s">
        <v>212</v>
      </c>
      <c r="L45" s="343" t="s">
        <v>2092</v>
      </c>
    </row>
    <row r="46" spans="1:12">
      <c r="A46" s="343" t="s">
        <v>993</v>
      </c>
      <c r="B46" s="343" t="s">
        <v>2090</v>
      </c>
      <c r="D46" s="343" t="s">
        <v>993</v>
      </c>
      <c r="E46" s="343" t="s">
        <v>2092</v>
      </c>
      <c r="G46" s="343" t="s">
        <v>993</v>
      </c>
      <c r="H46" s="343" t="s">
        <v>2092</v>
      </c>
      <c r="K46" s="343" t="s">
        <v>993</v>
      </c>
      <c r="L46" s="343" t="s">
        <v>2092</v>
      </c>
    </row>
    <row r="47" spans="1:12">
      <c r="A47" s="343" t="s">
        <v>1742</v>
      </c>
      <c r="B47" s="343" t="s">
        <v>2084</v>
      </c>
      <c r="D47" s="343" t="s">
        <v>1742</v>
      </c>
      <c r="E47" s="343" t="s">
        <v>20</v>
      </c>
      <c r="G47" s="343" t="s">
        <v>1742</v>
      </c>
      <c r="H47" s="343" t="s">
        <v>1742</v>
      </c>
      <c r="K47" s="343" t="s">
        <v>1742</v>
      </c>
      <c r="L47" s="343" t="s">
        <v>20</v>
      </c>
    </row>
    <row r="48" spans="1:12">
      <c r="A48" s="343" t="s">
        <v>986</v>
      </c>
      <c r="B48" s="343" t="s">
        <v>2084</v>
      </c>
      <c r="D48" s="343" t="s">
        <v>986</v>
      </c>
      <c r="E48" s="343" t="s">
        <v>20</v>
      </c>
      <c r="G48" s="343" t="s">
        <v>986</v>
      </c>
      <c r="H48" s="343" t="s">
        <v>986</v>
      </c>
      <c r="K48" s="343" t="s">
        <v>986</v>
      </c>
      <c r="L48" s="343" t="s">
        <v>20</v>
      </c>
    </row>
    <row r="49" spans="1:12">
      <c r="A49" s="343" t="s">
        <v>612</v>
      </c>
      <c r="B49" s="343" t="s">
        <v>1484</v>
      </c>
      <c r="D49" s="343" t="s">
        <v>612</v>
      </c>
      <c r="E49" s="343" t="s">
        <v>2093</v>
      </c>
      <c r="G49" s="343" t="s">
        <v>612</v>
      </c>
      <c r="H49" s="343" t="s">
        <v>2093</v>
      </c>
      <c r="K49" s="343" t="s">
        <v>612</v>
      </c>
      <c r="L49" s="343" t="s">
        <v>1497</v>
      </c>
    </row>
    <row r="50" spans="1:12">
      <c r="A50" s="343" t="s">
        <v>1566</v>
      </c>
      <c r="B50" s="343" t="s">
        <v>2084</v>
      </c>
      <c r="D50" s="343" t="s">
        <v>1566</v>
      </c>
      <c r="E50" s="343" t="s">
        <v>20</v>
      </c>
      <c r="G50" s="343" t="s">
        <v>1566</v>
      </c>
      <c r="H50" s="343" t="s">
        <v>1566</v>
      </c>
      <c r="K50" s="343" t="s">
        <v>1566</v>
      </c>
      <c r="L50" s="343" t="s">
        <v>20</v>
      </c>
    </row>
    <row r="51" spans="1:12">
      <c r="A51" s="343" t="s">
        <v>1378</v>
      </c>
      <c r="B51" s="343" t="s">
        <v>2084</v>
      </c>
      <c r="D51" s="343" t="s">
        <v>1378</v>
      </c>
      <c r="E51" s="343" t="s">
        <v>20</v>
      </c>
      <c r="G51" s="343" t="s">
        <v>1378</v>
      </c>
      <c r="H51" s="343" t="s">
        <v>1378</v>
      </c>
      <c r="K51" s="343" t="s">
        <v>1378</v>
      </c>
      <c r="L51" s="343" t="s">
        <v>20</v>
      </c>
    </row>
    <row r="52" spans="1:12">
      <c r="A52" s="343" t="s">
        <v>190</v>
      </c>
      <c r="B52" s="343" t="s">
        <v>2084</v>
      </c>
      <c r="D52" s="343" t="s">
        <v>190</v>
      </c>
      <c r="E52" s="343" t="s">
        <v>20</v>
      </c>
      <c r="G52" s="343" t="s">
        <v>190</v>
      </c>
      <c r="H52" s="343" t="s">
        <v>190</v>
      </c>
      <c r="K52" s="343" t="s">
        <v>190</v>
      </c>
      <c r="L52" s="343" t="s">
        <v>20</v>
      </c>
    </row>
    <row r="53" spans="1:12">
      <c r="A53" s="343" t="s">
        <v>1314</v>
      </c>
      <c r="B53" s="343" t="s">
        <v>2084</v>
      </c>
      <c r="D53" s="343" t="s">
        <v>1314</v>
      </c>
      <c r="E53" s="343" t="s">
        <v>1891</v>
      </c>
      <c r="G53" s="343" t="s">
        <v>1314</v>
      </c>
      <c r="H53" s="343" t="s">
        <v>1314</v>
      </c>
      <c r="K53" s="343" t="s">
        <v>1314</v>
      </c>
      <c r="L53" s="343" t="s">
        <v>1314</v>
      </c>
    </row>
    <row r="54" spans="1:12">
      <c r="A54" s="343" t="s">
        <v>122</v>
      </c>
      <c r="B54" s="343" t="s">
        <v>2084</v>
      </c>
      <c r="D54" s="343" t="s">
        <v>122</v>
      </c>
      <c r="E54" s="343" t="s">
        <v>1891</v>
      </c>
      <c r="G54" s="343" t="s">
        <v>122</v>
      </c>
      <c r="H54" s="343" t="s">
        <v>2094</v>
      </c>
      <c r="K54" s="343" t="s">
        <v>122</v>
      </c>
      <c r="L54" s="343" t="s">
        <v>2094</v>
      </c>
    </row>
    <row r="55" spans="1:12">
      <c r="A55" s="343" t="s">
        <v>82</v>
      </c>
      <c r="B55" s="343" t="s">
        <v>1484</v>
      </c>
      <c r="D55" s="343" t="s">
        <v>82</v>
      </c>
      <c r="E55" s="343" t="s">
        <v>2095</v>
      </c>
      <c r="G55" s="343" t="s">
        <v>82</v>
      </c>
      <c r="H55" s="343" t="s">
        <v>2095</v>
      </c>
      <c r="K55" s="343" t="s">
        <v>82</v>
      </c>
      <c r="L55" s="343" t="s">
        <v>2095</v>
      </c>
    </row>
    <row r="56" spans="1:12">
      <c r="A56" s="343" t="s">
        <v>634</v>
      </c>
      <c r="B56" s="343" t="s">
        <v>1484</v>
      </c>
      <c r="D56" s="343" t="s">
        <v>634</v>
      </c>
      <c r="E56" s="343" t="s">
        <v>2096</v>
      </c>
      <c r="G56" s="343" t="s">
        <v>634</v>
      </c>
      <c r="H56" s="343" t="s">
        <v>2096</v>
      </c>
      <c r="K56" s="343" t="s">
        <v>634</v>
      </c>
      <c r="L56" s="343" t="s">
        <v>2096</v>
      </c>
    </row>
    <row r="57" spans="1:12">
      <c r="A57" s="343" t="s">
        <v>289</v>
      </c>
      <c r="B57" s="343" t="s">
        <v>1484</v>
      </c>
      <c r="D57" s="343" t="s">
        <v>289</v>
      </c>
      <c r="E57" s="343" t="s">
        <v>2095</v>
      </c>
      <c r="G57" s="343" t="s">
        <v>289</v>
      </c>
      <c r="H57" s="343" t="s">
        <v>2095</v>
      </c>
      <c r="K57" s="343" t="s">
        <v>289</v>
      </c>
      <c r="L57" s="343" t="s">
        <v>2095</v>
      </c>
    </row>
    <row r="58" spans="1:12">
      <c r="A58" s="343" t="s">
        <v>1672</v>
      </c>
      <c r="B58" s="343" t="s">
        <v>2084</v>
      </c>
      <c r="D58" s="343" t="s">
        <v>1672</v>
      </c>
      <c r="E58" s="343" t="s">
        <v>20</v>
      </c>
      <c r="G58" s="343" t="s">
        <v>1672</v>
      </c>
      <c r="H58" s="343" t="s">
        <v>1672</v>
      </c>
      <c r="K58" s="343" t="s">
        <v>1672</v>
      </c>
      <c r="L58" s="343" t="s">
        <v>20</v>
      </c>
    </row>
    <row r="59" spans="1:12">
      <c r="A59" s="343" t="s">
        <v>1335</v>
      </c>
      <c r="B59" s="343" t="s">
        <v>2084</v>
      </c>
      <c r="D59" s="343" t="s">
        <v>1335</v>
      </c>
      <c r="E59" s="343" t="s">
        <v>2086</v>
      </c>
      <c r="G59" s="343" t="s">
        <v>1335</v>
      </c>
      <c r="H59" s="343" t="s">
        <v>2086</v>
      </c>
      <c r="K59" s="343" t="s">
        <v>1335</v>
      </c>
      <c r="L59" s="343" t="s">
        <v>2086</v>
      </c>
    </row>
    <row r="60" spans="1:12">
      <c r="A60" s="343" t="s">
        <v>1426</v>
      </c>
      <c r="B60" s="343" t="s">
        <v>2084</v>
      </c>
      <c r="D60" s="343" t="s">
        <v>1426</v>
      </c>
      <c r="E60" s="343" t="s">
        <v>1891</v>
      </c>
      <c r="G60" s="343" t="s">
        <v>1426</v>
      </c>
      <c r="H60" s="343" t="s">
        <v>2094</v>
      </c>
      <c r="K60" s="343" t="s">
        <v>1426</v>
      </c>
      <c r="L60" s="343" t="s">
        <v>2094</v>
      </c>
    </row>
    <row r="61" spans="1:12">
      <c r="A61" s="343" t="s">
        <v>1569</v>
      </c>
      <c r="B61" s="343" t="s">
        <v>2084</v>
      </c>
      <c r="D61" s="343" t="s">
        <v>1569</v>
      </c>
      <c r="E61" s="343" t="s">
        <v>2097</v>
      </c>
      <c r="G61" s="343" t="s">
        <v>1569</v>
      </c>
      <c r="H61" s="343" t="s">
        <v>2097</v>
      </c>
      <c r="K61" s="343" t="s">
        <v>1569</v>
      </c>
      <c r="L61" s="343" t="s">
        <v>2097</v>
      </c>
    </row>
    <row r="62" spans="1:12">
      <c r="A62" s="343" t="s">
        <v>883</v>
      </c>
      <c r="B62" s="343" t="s">
        <v>2084</v>
      </c>
      <c r="D62" s="343" t="s">
        <v>883</v>
      </c>
      <c r="E62" s="343" t="s">
        <v>2097</v>
      </c>
      <c r="G62" s="343" t="s">
        <v>883</v>
      </c>
      <c r="H62" s="343" t="s">
        <v>2097</v>
      </c>
      <c r="K62" s="343" t="s">
        <v>883</v>
      </c>
      <c r="L62" s="343" t="s">
        <v>2097</v>
      </c>
    </row>
    <row r="63" spans="1:12">
      <c r="A63" s="343" t="s">
        <v>841</v>
      </c>
      <c r="B63" s="343" t="s">
        <v>2084</v>
      </c>
      <c r="D63" s="343" t="s">
        <v>841</v>
      </c>
      <c r="E63" s="343" t="s">
        <v>20</v>
      </c>
      <c r="G63" s="343" t="s">
        <v>841</v>
      </c>
      <c r="H63" s="343" t="s">
        <v>841</v>
      </c>
      <c r="K63" s="343" t="s">
        <v>841</v>
      </c>
      <c r="L63" s="343" t="s">
        <v>20</v>
      </c>
    </row>
    <row r="64" spans="1:12">
      <c r="A64" s="343" t="s">
        <v>209</v>
      </c>
      <c r="B64" s="343" t="s">
        <v>2084</v>
      </c>
      <c r="D64" s="343" t="s">
        <v>209</v>
      </c>
      <c r="E64" s="343" t="s">
        <v>2098</v>
      </c>
      <c r="G64" s="343" t="s">
        <v>209</v>
      </c>
      <c r="H64" s="343" t="s">
        <v>2098</v>
      </c>
      <c r="K64" s="343" t="s">
        <v>209</v>
      </c>
      <c r="L64" s="343" t="s">
        <v>2098</v>
      </c>
    </row>
    <row r="65" spans="1:12">
      <c r="A65" s="343" t="s">
        <v>1628</v>
      </c>
      <c r="B65" s="343" t="s">
        <v>2084</v>
      </c>
      <c r="D65" s="343" t="s">
        <v>1628</v>
      </c>
      <c r="E65" s="343" t="s">
        <v>12</v>
      </c>
      <c r="G65" s="343" t="s">
        <v>1628</v>
      </c>
      <c r="H65" s="343" t="s">
        <v>12</v>
      </c>
      <c r="K65" s="343" t="s">
        <v>1628</v>
      </c>
      <c r="L65" s="343" t="s">
        <v>12</v>
      </c>
    </row>
    <row r="66" spans="1:12">
      <c r="A66" s="343" t="s">
        <v>23</v>
      </c>
      <c r="B66" s="343" t="s">
        <v>2090</v>
      </c>
      <c r="D66" s="343" t="s">
        <v>23</v>
      </c>
      <c r="E66" s="343" t="s">
        <v>12</v>
      </c>
      <c r="G66" s="343" t="s">
        <v>23</v>
      </c>
      <c r="H66" s="343" t="s">
        <v>12</v>
      </c>
      <c r="K66" s="343" t="s">
        <v>23</v>
      </c>
      <c r="L66" s="343" t="s">
        <v>12</v>
      </c>
    </row>
    <row r="67" spans="1:12">
      <c r="A67" s="343" t="s">
        <v>372</v>
      </c>
      <c r="B67" s="343" t="s">
        <v>2084</v>
      </c>
      <c r="D67" s="343" t="s">
        <v>372</v>
      </c>
      <c r="E67" s="343" t="s">
        <v>20</v>
      </c>
      <c r="G67" s="343" t="s">
        <v>372</v>
      </c>
      <c r="H67" s="343" t="s">
        <v>372</v>
      </c>
      <c r="K67" s="343" t="s">
        <v>372</v>
      </c>
      <c r="L67" s="343" t="s">
        <v>20</v>
      </c>
    </row>
    <row r="68" spans="1:12">
      <c r="A68" s="343" t="s">
        <v>1713</v>
      </c>
      <c r="B68" s="343" t="s">
        <v>2084</v>
      </c>
      <c r="D68" s="343" t="s">
        <v>1713</v>
      </c>
      <c r="E68" s="343" t="s">
        <v>2098</v>
      </c>
      <c r="G68" s="343" t="s">
        <v>1713</v>
      </c>
      <c r="H68" s="343" t="s">
        <v>2098</v>
      </c>
      <c r="K68" s="343" t="s">
        <v>1713</v>
      </c>
      <c r="L68" s="343" t="s">
        <v>2098</v>
      </c>
    </row>
    <row r="69" spans="1:12">
      <c r="A69" s="343" t="s">
        <v>857</v>
      </c>
      <c r="B69" s="343" t="s">
        <v>2084</v>
      </c>
      <c r="D69" s="343" t="s">
        <v>857</v>
      </c>
      <c r="E69" s="343" t="s">
        <v>20</v>
      </c>
      <c r="G69" s="343" t="s">
        <v>857</v>
      </c>
      <c r="H69" s="343" t="s">
        <v>857</v>
      </c>
      <c r="K69" s="343" t="s">
        <v>857</v>
      </c>
      <c r="L69" s="343" t="s">
        <v>20</v>
      </c>
    </row>
    <row r="70" spans="1:12">
      <c r="A70" s="343" t="s">
        <v>25</v>
      </c>
      <c r="B70" s="343" t="s">
        <v>2084</v>
      </c>
      <c r="D70" s="343" t="s">
        <v>25</v>
      </c>
      <c r="E70" s="343" t="s">
        <v>20</v>
      </c>
      <c r="G70" s="343" t="s">
        <v>25</v>
      </c>
      <c r="H70" s="343" t="s">
        <v>25</v>
      </c>
      <c r="K70" s="343" t="s">
        <v>25</v>
      </c>
      <c r="L70" s="343" t="s">
        <v>20</v>
      </c>
    </row>
    <row r="71" spans="1:12">
      <c r="A71" s="343" t="s">
        <v>1761</v>
      </c>
      <c r="B71" s="343" t="s">
        <v>2084</v>
      </c>
      <c r="D71" s="343" t="s">
        <v>1761</v>
      </c>
      <c r="E71" s="343" t="s">
        <v>1761</v>
      </c>
      <c r="G71" s="343" t="s">
        <v>1761</v>
      </c>
      <c r="H71" s="343" t="s">
        <v>1761</v>
      </c>
      <c r="K71" s="343" t="s">
        <v>1761</v>
      </c>
      <c r="L71" s="343" t="s">
        <v>1761</v>
      </c>
    </row>
    <row r="72" spans="1:12">
      <c r="A72" s="343" t="s">
        <v>1578</v>
      </c>
      <c r="B72" s="343" t="s">
        <v>2084</v>
      </c>
      <c r="D72" s="343" t="s">
        <v>1578</v>
      </c>
      <c r="E72" s="343" t="s">
        <v>12</v>
      </c>
      <c r="G72" s="343" t="s">
        <v>1578</v>
      </c>
      <c r="H72" s="343" t="s">
        <v>12</v>
      </c>
      <c r="K72" s="343" t="s">
        <v>1578</v>
      </c>
      <c r="L72" s="343" t="s">
        <v>12</v>
      </c>
    </row>
    <row r="73" spans="1:12">
      <c r="A73" s="343" t="s">
        <v>1434</v>
      </c>
      <c r="B73" s="343" t="s">
        <v>2084</v>
      </c>
      <c r="D73" s="343" t="s">
        <v>1434</v>
      </c>
      <c r="E73" s="343" t="s">
        <v>20</v>
      </c>
      <c r="G73" s="343" t="s">
        <v>1434</v>
      </c>
      <c r="H73" s="343" t="s">
        <v>1434</v>
      </c>
      <c r="K73" s="343" t="s">
        <v>1434</v>
      </c>
      <c r="L73" s="343" t="s">
        <v>20</v>
      </c>
    </row>
    <row r="74" spans="1:12">
      <c r="A74" s="343" t="s">
        <v>1442</v>
      </c>
      <c r="B74" s="343" t="s">
        <v>2084</v>
      </c>
      <c r="D74" s="343" t="s">
        <v>1442</v>
      </c>
      <c r="E74" s="343" t="s">
        <v>12</v>
      </c>
      <c r="G74" s="343" t="s">
        <v>1442</v>
      </c>
      <c r="H74" s="343" t="s">
        <v>12</v>
      </c>
      <c r="K74" s="343" t="s">
        <v>1442</v>
      </c>
      <c r="L74" s="343" t="s">
        <v>12</v>
      </c>
    </row>
    <row r="75" spans="1:12">
      <c r="A75" s="343" t="s">
        <v>199</v>
      </c>
      <c r="B75" s="343" t="s">
        <v>2084</v>
      </c>
      <c r="D75" s="343" t="s">
        <v>199</v>
      </c>
      <c r="E75" s="343" t="s">
        <v>20</v>
      </c>
      <c r="G75" s="343" t="s">
        <v>199</v>
      </c>
      <c r="H75" s="343" t="s">
        <v>199</v>
      </c>
      <c r="K75" s="343" t="s">
        <v>199</v>
      </c>
      <c r="L75" s="343" t="s">
        <v>20</v>
      </c>
    </row>
    <row r="76" spans="1:12">
      <c r="A76" s="343" t="s">
        <v>1581</v>
      </c>
      <c r="B76" s="343" t="s">
        <v>2084</v>
      </c>
      <c r="D76" s="343" t="s">
        <v>1581</v>
      </c>
      <c r="E76" s="343" t="s">
        <v>20</v>
      </c>
      <c r="G76" s="343" t="s">
        <v>1581</v>
      </c>
      <c r="H76" s="343" t="s">
        <v>1581</v>
      </c>
      <c r="K76" s="343" t="s">
        <v>1581</v>
      </c>
      <c r="L76" s="343" t="s">
        <v>20</v>
      </c>
    </row>
    <row r="77" spans="1:12">
      <c r="A77" s="343" t="s">
        <v>1337</v>
      </c>
      <c r="B77" s="343" t="s">
        <v>2084</v>
      </c>
      <c r="D77" s="343" t="s">
        <v>1337</v>
      </c>
      <c r="E77" s="343" t="s">
        <v>2086</v>
      </c>
      <c r="G77" s="343" t="s">
        <v>1337</v>
      </c>
      <c r="H77" s="343" t="s">
        <v>2086</v>
      </c>
      <c r="K77" s="343" t="s">
        <v>1337</v>
      </c>
      <c r="L77" s="343" t="s">
        <v>2086</v>
      </c>
    </row>
    <row r="78" spans="1:12">
      <c r="A78" s="343" t="s">
        <v>1590</v>
      </c>
      <c r="B78" s="343" t="s">
        <v>2084</v>
      </c>
      <c r="D78" s="343" t="s">
        <v>1590</v>
      </c>
      <c r="E78" s="343" t="s">
        <v>2086</v>
      </c>
      <c r="G78" s="343" t="s">
        <v>1590</v>
      </c>
      <c r="H78" s="343" t="s">
        <v>2086</v>
      </c>
      <c r="K78" s="343" t="s">
        <v>1590</v>
      </c>
      <c r="L78" s="343" t="s">
        <v>2086</v>
      </c>
    </row>
    <row r="79" spans="1:12">
      <c r="A79" s="343" t="s">
        <v>1495</v>
      </c>
      <c r="B79" s="343" t="s">
        <v>1484</v>
      </c>
      <c r="D79" s="343" t="s">
        <v>1495</v>
      </c>
      <c r="E79" s="343" t="s">
        <v>2096</v>
      </c>
      <c r="G79" s="343" t="s">
        <v>1495</v>
      </c>
      <c r="H79" s="343" t="s">
        <v>2096</v>
      </c>
      <c r="K79" s="343" t="s">
        <v>1495</v>
      </c>
      <c r="L79" s="343" t="s">
        <v>2096</v>
      </c>
    </row>
    <row r="80" spans="1:12">
      <c r="A80" s="343" t="s">
        <v>2099</v>
      </c>
      <c r="B80" s="343" t="s">
        <v>2084</v>
      </c>
      <c r="D80" s="343" t="s">
        <v>2099</v>
      </c>
      <c r="E80" s="343" t="s">
        <v>20</v>
      </c>
      <c r="G80" s="343" t="s">
        <v>2099</v>
      </c>
      <c r="H80" s="343" t="s">
        <v>2099</v>
      </c>
      <c r="K80" s="343" t="s">
        <v>2099</v>
      </c>
      <c r="L80" s="343" t="s">
        <v>20</v>
      </c>
    </row>
    <row r="81" spans="1:12">
      <c r="A81" s="343" t="s">
        <v>1826</v>
      </c>
      <c r="B81" s="343" t="s">
        <v>1484</v>
      </c>
      <c r="D81" s="343" t="s">
        <v>1826</v>
      </c>
      <c r="E81" s="343" t="s">
        <v>2096</v>
      </c>
      <c r="G81" s="343" t="s">
        <v>1826</v>
      </c>
      <c r="H81" s="343" t="s">
        <v>2096</v>
      </c>
      <c r="K81" s="343" t="s">
        <v>1826</v>
      </c>
      <c r="L81" s="343" t="s">
        <v>2096</v>
      </c>
    </row>
    <row r="82" spans="1:12">
      <c r="A82" s="343" t="s">
        <v>1583</v>
      </c>
      <c r="B82" s="343" t="s">
        <v>2084</v>
      </c>
      <c r="D82" s="343" t="s">
        <v>1583</v>
      </c>
      <c r="E82" s="343" t="s">
        <v>2086</v>
      </c>
      <c r="G82" s="343" t="s">
        <v>1583</v>
      </c>
      <c r="H82" s="343" t="s">
        <v>2086</v>
      </c>
      <c r="K82" s="343" t="s">
        <v>1583</v>
      </c>
      <c r="L82" s="343" t="s">
        <v>2086</v>
      </c>
    </row>
    <row r="83" spans="1:12">
      <c r="A83" s="343" t="s">
        <v>1613</v>
      </c>
      <c r="B83" s="343" t="s">
        <v>2084</v>
      </c>
      <c r="D83" s="343" t="s">
        <v>1613</v>
      </c>
      <c r="E83" s="343" t="s">
        <v>2086</v>
      </c>
      <c r="G83" s="343" t="s">
        <v>1613</v>
      </c>
      <c r="H83" s="343" t="s">
        <v>2086</v>
      </c>
      <c r="K83" s="343" t="s">
        <v>1613</v>
      </c>
      <c r="L83" s="343" t="s">
        <v>2086</v>
      </c>
    </row>
    <row r="84" spans="1:12">
      <c r="A84" s="343" t="s">
        <v>1477</v>
      </c>
      <c r="B84" s="343" t="s">
        <v>2084</v>
      </c>
      <c r="D84" s="343" t="s">
        <v>1477</v>
      </c>
      <c r="E84" s="343" t="s">
        <v>2086</v>
      </c>
      <c r="G84" s="343" t="s">
        <v>1477</v>
      </c>
      <c r="H84" s="343" t="s">
        <v>2086</v>
      </c>
      <c r="K84" s="343" t="s">
        <v>1477</v>
      </c>
      <c r="L84" s="343" t="s">
        <v>2086</v>
      </c>
    </row>
    <row r="85" spans="1:12">
      <c r="A85" s="343" t="s">
        <v>1563</v>
      </c>
      <c r="B85" s="343" t="s">
        <v>2084</v>
      </c>
      <c r="D85" s="343" t="s">
        <v>1563</v>
      </c>
      <c r="E85" s="343" t="s">
        <v>1337</v>
      </c>
      <c r="G85" s="343" t="s">
        <v>1563</v>
      </c>
      <c r="H85" s="343" t="s">
        <v>1337</v>
      </c>
      <c r="K85" s="343" t="s">
        <v>1563</v>
      </c>
      <c r="L85" s="343" t="s">
        <v>1337</v>
      </c>
    </row>
    <row r="86" spans="1:12">
      <c r="A86" s="343" t="s">
        <v>1376</v>
      </c>
      <c r="B86" s="343" t="s">
        <v>2091</v>
      </c>
      <c r="D86" s="343" t="s">
        <v>1376</v>
      </c>
      <c r="E86" s="343" t="s">
        <v>1482</v>
      </c>
      <c r="G86" s="343" t="s">
        <v>1376</v>
      </c>
      <c r="H86" s="343" t="s">
        <v>1482</v>
      </c>
      <c r="K86" s="343" t="s">
        <v>1376</v>
      </c>
      <c r="L86" s="343" t="s">
        <v>1482</v>
      </c>
    </row>
    <row r="87" spans="1:12">
      <c r="A87" s="343" t="s">
        <v>760</v>
      </c>
      <c r="B87" s="343" t="s">
        <v>2091</v>
      </c>
      <c r="D87" s="343" t="s">
        <v>760</v>
      </c>
      <c r="E87" s="343" t="s">
        <v>1482</v>
      </c>
      <c r="G87" s="343" t="s">
        <v>760</v>
      </c>
      <c r="H87" s="343" t="s">
        <v>1482</v>
      </c>
      <c r="K87" s="343" t="s">
        <v>760</v>
      </c>
      <c r="L87" s="343" t="s">
        <v>1482</v>
      </c>
    </row>
    <row r="88" spans="1:12">
      <c r="A88" s="343" t="s">
        <v>1333</v>
      </c>
      <c r="B88" s="343" t="s">
        <v>2084</v>
      </c>
      <c r="D88" s="343" t="s">
        <v>1333</v>
      </c>
      <c r="E88" s="343" t="s">
        <v>1891</v>
      </c>
      <c r="G88" s="343" t="s">
        <v>1333</v>
      </c>
      <c r="H88" s="343" t="s">
        <v>301</v>
      </c>
      <c r="K88" s="343" t="s">
        <v>1333</v>
      </c>
      <c r="L88" s="343" t="s">
        <v>301</v>
      </c>
    </row>
    <row r="89" spans="1:12">
      <c r="A89" s="343" t="s">
        <v>1662</v>
      </c>
      <c r="B89" s="343" t="s">
        <v>2084</v>
      </c>
      <c r="D89" s="343" t="s">
        <v>1662</v>
      </c>
      <c r="E89" s="343" t="s">
        <v>1891</v>
      </c>
      <c r="G89" s="343" t="s">
        <v>1662</v>
      </c>
      <c r="H89" s="343" t="s">
        <v>301</v>
      </c>
      <c r="K89" s="343" t="s">
        <v>1662</v>
      </c>
      <c r="L89" s="343" t="s">
        <v>301</v>
      </c>
    </row>
    <row r="90" spans="1:12">
      <c r="A90" s="343" t="s">
        <v>301</v>
      </c>
      <c r="B90" s="343" t="s">
        <v>2084</v>
      </c>
      <c r="D90" s="343" t="s">
        <v>301</v>
      </c>
      <c r="E90" s="343" t="s">
        <v>1891</v>
      </c>
      <c r="G90" s="343" t="s">
        <v>301</v>
      </c>
      <c r="H90" s="343" t="s">
        <v>301</v>
      </c>
      <c r="K90" s="343" t="s">
        <v>301</v>
      </c>
      <c r="L90" s="343" t="s">
        <v>301</v>
      </c>
    </row>
    <row r="91" spans="1:12">
      <c r="A91" s="343" t="s">
        <v>301</v>
      </c>
      <c r="B91" s="343" t="s">
        <v>2084</v>
      </c>
      <c r="D91" s="343" t="s">
        <v>301</v>
      </c>
      <c r="E91" s="343" t="s">
        <v>1891</v>
      </c>
      <c r="G91" s="343" t="s">
        <v>301</v>
      </c>
      <c r="H91" s="343" t="s">
        <v>301</v>
      </c>
      <c r="K91" s="343" t="s">
        <v>301</v>
      </c>
      <c r="L91" s="343" t="s">
        <v>301</v>
      </c>
    </row>
    <row r="92" spans="1:12">
      <c r="A92" s="343" t="s">
        <v>1828</v>
      </c>
      <c r="B92" s="343" t="s">
        <v>2084</v>
      </c>
      <c r="D92" s="343" t="s">
        <v>1828</v>
      </c>
      <c r="E92" s="343" t="s">
        <v>1891</v>
      </c>
      <c r="G92" s="343" t="s">
        <v>1828</v>
      </c>
      <c r="H92" s="343" t="s">
        <v>2094</v>
      </c>
      <c r="K92" s="343" t="s">
        <v>1828</v>
      </c>
      <c r="L92" s="343" t="s">
        <v>2094</v>
      </c>
    </row>
    <row r="93" spans="1:12">
      <c r="A93" s="343" t="s">
        <v>791</v>
      </c>
      <c r="B93" s="343" t="s">
        <v>2084</v>
      </c>
      <c r="D93" s="343" t="s">
        <v>791</v>
      </c>
      <c r="E93" s="343" t="s">
        <v>20</v>
      </c>
      <c r="G93" s="343" t="s">
        <v>791</v>
      </c>
      <c r="H93" s="343" t="s">
        <v>20</v>
      </c>
      <c r="K93" s="343" t="s">
        <v>791</v>
      </c>
      <c r="L93" s="343" t="s">
        <v>20</v>
      </c>
    </row>
    <row r="94" spans="1:12">
      <c r="A94" s="343" t="s">
        <v>381</v>
      </c>
      <c r="B94" s="343" t="s">
        <v>2100</v>
      </c>
      <c r="D94" s="343" t="s">
        <v>381</v>
      </c>
      <c r="E94" s="343" t="s">
        <v>2093</v>
      </c>
      <c r="G94" s="343" t="s">
        <v>381</v>
      </c>
      <c r="H94" s="343" t="s">
        <v>2093</v>
      </c>
      <c r="K94" s="343" t="s">
        <v>381</v>
      </c>
      <c r="L94" s="343" t="s">
        <v>2093</v>
      </c>
    </row>
    <row r="95" spans="1:12">
      <c r="A95" s="343" t="s">
        <v>1088</v>
      </c>
      <c r="B95" s="343" t="s">
        <v>2084</v>
      </c>
      <c r="D95" s="343" t="s">
        <v>1088</v>
      </c>
      <c r="E95" s="343" t="s">
        <v>1891</v>
      </c>
      <c r="G95" s="343" t="s">
        <v>1088</v>
      </c>
      <c r="H95" s="343" t="s">
        <v>2085</v>
      </c>
      <c r="K95" s="343" t="s">
        <v>1088</v>
      </c>
      <c r="L95" s="343" t="s">
        <v>2085</v>
      </c>
    </row>
    <row r="96" spans="1:12">
      <c r="A96" s="343" t="s">
        <v>18</v>
      </c>
      <c r="B96" s="343" t="s">
        <v>2084</v>
      </c>
      <c r="D96" s="343" t="s">
        <v>18</v>
      </c>
      <c r="E96" s="343" t="s">
        <v>1891</v>
      </c>
      <c r="G96" s="343" t="s">
        <v>18</v>
      </c>
      <c r="H96" s="343" t="s">
        <v>2085</v>
      </c>
      <c r="K96" s="343" t="s">
        <v>18</v>
      </c>
      <c r="L96" s="343" t="s">
        <v>2085</v>
      </c>
    </row>
    <row r="97" spans="1:12">
      <c r="A97" s="343" t="s">
        <v>1785</v>
      </c>
      <c r="B97" s="343" t="s">
        <v>2101</v>
      </c>
      <c r="D97" s="343" t="s">
        <v>1785</v>
      </c>
      <c r="E97" s="343"/>
      <c r="G97" s="343" t="s">
        <v>1785</v>
      </c>
      <c r="H97" s="343"/>
      <c r="K97" s="343" t="s">
        <v>1785</v>
      </c>
      <c r="L97" s="343"/>
    </row>
    <row r="98" spans="1:12">
      <c r="A98" s="343" t="s">
        <v>622</v>
      </c>
      <c r="B98" s="343" t="s">
        <v>2084</v>
      </c>
      <c r="D98" s="343" t="s">
        <v>622</v>
      </c>
      <c r="E98" s="343" t="s">
        <v>1891</v>
      </c>
      <c r="G98" s="343" t="s">
        <v>622</v>
      </c>
      <c r="H98" s="343" t="s">
        <v>19</v>
      </c>
      <c r="K98" s="343" t="s">
        <v>622</v>
      </c>
      <c r="L98" s="343" t="s">
        <v>19</v>
      </c>
    </row>
    <row r="99" spans="1:12">
      <c r="A99" s="343" t="s">
        <v>386</v>
      </c>
      <c r="B99" s="343" t="s">
        <v>2084</v>
      </c>
      <c r="D99" s="343" t="s">
        <v>386</v>
      </c>
      <c r="E99" s="343" t="s">
        <v>1891</v>
      </c>
      <c r="G99" s="343" t="s">
        <v>386</v>
      </c>
      <c r="H99" s="343" t="s">
        <v>19</v>
      </c>
      <c r="K99" s="343" t="s">
        <v>386</v>
      </c>
      <c r="L99" s="343" t="s">
        <v>19</v>
      </c>
    </row>
    <row r="100" spans="1:12">
      <c r="A100" s="343" t="s">
        <v>202</v>
      </c>
      <c r="B100" s="343" t="s">
        <v>2084</v>
      </c>
      <c r="D100" s="343" t="s">
        <v>202</v>
      </c>
      <c r="E100" s="343" t="s">
        <v>1891</v>
      </c>
      <c r="G100" s="343" t="s">
        <v>202</v>
      </c>
      <c r="H100" s="343" t="s">
        <v>2102</v>
      </c>
      <c r="K100" s="343" t="s">
        <v>202</v>
      </c>
      <c r="L100" s="343" t="s">
        <v>2102</v>
      </c>
    </row>
    <row r="101" spans="1:12">
      <c r="A101" s="343" t="s">
        <v>2103</v>
      </c>
      <c r="B101" s="343" t="s">
        <v>1484</v>
      </c>
      <c r="D101" s="343" t="s">
        <v>2103</v>
      </c>
      <c r="E101" s="343" t="s">
        <v>282</v>
      </c>
      <c r="G101" s="343" t="s">
        <v>2103</v>
      </c>
      <c r="H101" s="343" t="s">
        <v>282</v>
      </c>
      <c r="K101" s="343" t="s">
        <v>2103</v>
      </c>
      <c r="L101" s="343" t="s">
        <v>282</v>
      </c>
    </row>
    <row r="102" spans="1:12">
      <c r="A102" s="343" t="s">
        <v>1749</v>
      </c>
      <c r="B102" s="343" t="s">
        <v>2104</v>
      </c>
      <c r="D102" s="343" t="s">
        <v>1749</v>
      </c>
      <c r="E102" s="343" t="s">
        <v>330</v>
      </c>
      <c r="G102" s="343" t="s">
        <v>1749</v>
      </c>
      <c r="H102" s="343" t="s">
        <v>330</v>
      </c>
      <c r="K102" s="343" t="s">
        <v>1749</v>
      </c>
      <c r="L102" s="343" t="s">
        <v>330</v>
      </c>
    </row>
    <row r="103" spans="1:12">
      <c r="A103" s="343" t="s">
        <v>330</v>
      </c>
      <c r="B103" s="343" t="s">
        <v>2104</v>
      </c>
      <c r="D103" s="343" t="s">
        <v>330</v>
      </c>
      <c r="E103" s="343" t="s">
        <v>330</v>
      </c>
      <c r="G103" s="343" t="s">
        <v>330</v>
      </c>
      <c r="H103" s="343" t="s">
        <v>330</v>
      </c>
      <c r="K103" s="343" t="s">
        <v>330</v>
      </c>
      <c r="L103" s="343" t="s">
        <v>330</v>
      </c>
    </row>
    <row r="104" spans="1:12">
      <c r="A104" s="343" t="s">
        <v>1497</v>
      </c>
      <c r="B104" s="343" t="s">
        <v>1484</v>
      </c>
      <c r="D104" s="343" t="s">
        <v>1497</v>
      </c>
      <c r="E104" s="343" t="s">
        <v>2093</v>
      </c>
      <c r="G104" s="343" t="s">
        <v>1497</v>
      </c>
      <c r="H104" s="343" t="s">
        <v>2093</v>
      </c>
      <c r="K104" s="343" t="s">
        <v>1497</v>
      </c>
      <c r="L104" s="343" t="s">
        <v>2093</v>
      </c>
    </row>
    <row r="105" spans="1:12">
      <c r="A105" s="343" t="s">
        <v>1344</v>
      </c>
      <c r="B105" s="343" t="s">
        <v>2084</v>
      </c>
      <c r="D105" s="343" t="s">
        <v>1344</v>
      </c>
      <c r="E105" s="343" t="s">
        <v>2086</v>
      </c>
      <c r="G105" s="343" t="s">
        <v>1344</v>
      </c>
      <c r="H105" s="343" t="s">
        <v>2086</v>
      </c>
      <c r="K105" s="343" t="s">
        <v>1344</v>
      </c>
      <c r="L105" s="343" t="s">
        <v>2086</v>
      </c>
    </row>
    <row r="106" spans="1:12">
      <c r="A106" s="343" t="s">
        <v>356</v>
      </c>
      <c r="B106" s="343" t="s">
        <v>2084</v>
      </c>
      <c r="D106" s="343" t="s">
        <v>356</v>
      </c>
      <c r="E106" s="343" t="s">
        <v>2086</v>
      </c>
      <c r="G106" s="343" t="s">
        <v>356</v>
      </c>
      <c r="H106" s="343" t="s">
        <v>2086</v>
      </c>
      <c r="K106" s="343" t="s">
        <v>356</v>
      </c>
      <c r="L106" s="343" t="s">
        <v>2086</v>
      </c>
    </row>
    <row r="107" spans="1:12">
      <c r="A107" s="343" t="s">
        <v>120</v>
      </c>
      <c r="B107" s="343" t="s">
        <v>2084</v>
      </c>
      <c r="D107" s="343" t="s">
        <v>120</v>
      </c>
      <c r="E107" s="343" t="s">
        <v>1891</v>
      </c>
      <c r="G107" s="343" t="s">
        <v>120</v>
      </c>
      <c r="H107" s="343" t="s">
        <v>19</v>
      </c>
      <c r="K107" s="343" t="s">
        <v>120</v>
      </c>
      <c r="L107" s="343" t="s">
        <v>19</v>
      </c>
    </row>
    <row r="108" spans="1:12">
      <c r="A108" s="343" t="s">
        <v>121</v>
      </c>
      <c r="B108" s="343" t="s">
        <v>2084</v>
      </c>
      <c r="D108" s="343" t="s">
        <v>121</v>
      </c>
      <c r="E108" s="343" t="s">
        <v>1891</v>
      </c>
      <c r="G108" s="343" t="s">
        <v>121</v>
      </c>
      <c r="H108" s="343" t="s">
        <v>19</v>
      </c>
      <c r="K108" s="343" t="s">
        <v>121</v>
      </c>
      <c r="L108" s="343" t="s">
        <v>19</v>
      </c>
    </row>
    <row r="109" spans="1:12">
      <c r="A109" s="343" t="s">
        <v>1381</v>
      </c>
      <c r="B109" s="343" t="s">
        <v>2084</v>
      </c>
      <c r="D109" s="343" t="s">
        <v>1381</v>
      </c>
      <c r="E109" s="343" t="s">
        <v>2086</v>
      </c>
      <c r="G109" s="343" t="s">
        <v>1381</v>
      </c>
      <c r="H109" s="343" t="s">
        <v>2086</v>
      </c>
      <c r="K109" s="343" t="s">
        <v>1381</v>
      </c>
      <c r="L109" s="343" t="s">
        <v>2086</v>
      </c>
    </row>
    <row r="110" spans="1:12">
      <c r="A110" s="343" t="s">
        <v>983</v>
      </c>
      <c r="B110" s="343" t="s">
        <v>2084</v>
      </c>
      <c r="D110" s="343" t="s">
        <v>983</v>
      </c>
      <c r="E110" s="343" t="s">
        <v>2086</v>
      </c>
      <c r="G110" s="343" t="s">
        <v>983</v>
      </c>
      <c r="H110" s="343" t="s">
        <v>2086</v>
      </c>
      <c r="K110" s="343" t="s">
        <v>983</v>
      </c>
      <c r="L110" s="343" t="s">
        <v>2086</v>
      </c>
    </row>
    <row r="111" spans="1:12">
      <c r="A111" s="343" t="s">
        <v>981</v>
      </c>
      <c r="B111" s="343" t="s">
        <v>2084</v>
      </c>
      <c r="D111" s="343" t="s">
        <v>981</v>
      </c>
      <c r="E111" s="343" t="s">
        <v>2086</v>
      </c>
      <c r="G111" s="343" t="s">
        <v>981</v>
      </c>
      <c r="H111" s="343" t="s">
        <v>2086</v>
      </c>
      <c r="K111" s="343" t="s">
        <v>981</v>
      </c>
      <c r="L111" s="343" t="s">
        <v>2086</v>
      </c>
    </row>
    <row r="112" spans="1:12">
      <c r="A112" s="343" t="s">
        <v>1029</v>
      </c>
      <c r="B112" s="343" t="s">
        <v>2084</v>
      </c>
      <c r="D112" s="343" t="s">
        <v>1029</v>
      </c>
      <c r="E112" s="343" t="s">
        <v>2086</v>
      </c>
      <c r="G112" s="343" t="s">
        <v>1029</v>
      </c>
      <c r="H112" s="343" t="s">
        <v>2086</v>
      </c>
      <c r="K112" s="343" t="s">
        <v>1029</v>
      </c>
      <c r="L112" s="343" t="s">
        <v>2086</v>
      </c>
    </row>
    <row r="113" spans="1:12">
      <c r="A113" s="180" t="s">
        <v>1541</v>
      </c>
      <c r="B113" s="343" t="s">
        <v>2084</v>
      </c>
      <c r="D113" s="180" t="s">
        <v>1541</v>
      </c>
      <c r="E113" s="343" t="s">
        <v>20</v>
      </c>
      <c r="G113" s="343" t="s">
        <v>2105</v>
      </c>
      <c r="H113" s="343" t="s">
        <v>2105</v>
      </c>
      <c r="K113" s="180" t="s">
        <v>1541</v>
      </c>
      <c r="L113" s="343" t="s">
        <v>20</v>
      </c>
    </row>
    <row r="114" spans="1:12">
      <c r="A114" s="343" t="s">
        <v>2106</v>
      </c>
      <c r="B114" s="343"/>
      <c r="G114" s="343" t="s">
        <v>2107</v>
      </c>
      <c r="H114" s="343" t="s">
        <v>2107</v>
      </c>
    </row>
    <row r="115" spans="1:12">
      <c r="G115" s="356" t="s">
        <v>1541</v>
      </c>
      <c r="H115" s="343" t="s">
        <v>1541</v>
      </c>
    </row>
    <row r="116" spans="1:12">
      <c r="G116" s="357" t="s">
        <v>301</v>
      </c>
      <c r="H116" s="343" t="s">
        <v>301</v>
      </c>
    </row>
    <row r="117" spans="1:12">
      <c r="G117" s="343" t="s">
        <v>1032</v>
      </c>
      <c r="H117" s="343" t="s">
        <v>1032</v>
      </c>
    </row>
  </sheetData>
  <autoFilter ref="A3:H114" xr:uid="{00000000-0009-0000-0000-000019000000}"/>
  <pageMargins left="0.511811024" right="0.511811024" top="0.78740157499999996" bottom="0.78740157499999996"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AE1007"/>
  <sheetViews>
    <sheetView workbookViewId="0"/>
  </sheetViews>
  <sheetFormatPr defaultColWidth="14.42578125" defaultRowHeight="15" customHeight="1"/>
  <cols>
    <col min="1" max="1" width="2.85546875" customWidth="1"/>
    <col min="2" max="2" width="26.140625" customWidth="1"/>
    <col min="6" max="6" width="21.5703125" customWidth="1"/>
  </cols>
  <sheetData>
    <row r="1" spans="1:31" ht="15" customHeight="1">
      <c r="A1" s="43"/>
      <c r="B1" s="708" t="s">
        <v>2108</v>
      </c>
      <c r="C1" s="638"/>
      <c r="D1" s="43"/>
      <c r="E1" s="43"/>
      <c r="F1" s="709" t="s">
        <v>28</v>
      </c>
      <c r="G1" s="635"/>
      <c r="H1" s="635"/>
      <c r="I1" s="635"/>
      <c r="J1" s="635"/>
      <c r="K1" s="635"/>
      <c r="L1" s="635"/>
      <c r="M1" s="635"/>
      <c r="N1" s="635"/>
      <c r="O1" s="635"/>
      <c r="P1" s="635"/>
      <c r="Q1" s="635"/>
      <c r="R1" s="635"/>
      <c r="S1" s="636"/>
      <c r="T1" s="49"/>
      <c r="U1" s="49"/>
      <c r="V1" s="49"/>
      <c r="W1" s="49"/>
      <c r="X1" s="49"/>
      <c r="Y1" s="49"/>
      <c r="Z1" s="49"/>
      <c r="AA1" s="49"/>
      <c r="AB1" s="49"/>
      <c r="AC1" s="49"/>
      <c r="AD1" s="49"/>
      <c r="AE1" s="49"/>
    </row>
    <row r="2" spans="1:31">
      <c r="A2" s="43"/>
      <c r="B2" s="43"/>
      <c r="C2" s="43"/>
      <c r="D2" s="43"/>
      <c r="E2" s="43"/>
      <c r="F2" s="43"/>
      <c r="G2" s="43"/>
      <c r="H2" s="45" t="s">
        <v>37</v>
      </c>
      <c r="I2" s="45" t="s">
        <v>38</v>
      </c>
      <c r="J2" s="45" t="s">
        <v>39</v>
      </c>
      <c r="K2" s="45" t="s">
        <v>40</v>
      </c>
      <c r="L2" s="45" t="s">
        <v>41</v>
      </c>
      <c r="M2" s="45" t="s">
        <v>42</v>
      </c>
      <c r="N2" s="45" t="s">
        <v>43</v>
      </c>
      <c r="O2" s="45" t="s">
        <v>44</v>
      </c>
      <c r="P2" s="45" t="s">
        <v>33</v>
      </c>
      <c r="Q2" s="45" t="s">
        <v>34</v>
      </c>
      <c r="R2" s="46" t="s">
        <v>35</v>
      </c>
      <c r="S2" s="47" t="s">
        <v>36</v>
      </c>
      <c r="T2" s="49"/>
      <c r="U2" s="49"/>
      <c r="V2" s="49"/>
      <c r="W2" s="49"/>
      <c r="X2" s="49"/>
      <c r="Y2" s="49"/>
      <c r="Z2" s="49"/>
      <c r="AA2" s="49"/>
      <c r="AB2" s="49"/>
      <c r="AC2" s="49"/>
      <c r="AD2" s="49"/>
      <c r="AE2" s="49"/>
    </row>
    <row r="3" spans="1:31">
      <c r="A3" s="43"/>
      <c r="B3" s="358"/>
      <c r="C3" s="359"/>
      <c r="D3" s="43"/>
      <c r="E3" s="43"/>
      <c r="F3" s="703" t="s">
        <v>2109</v>
      </c>
      <c r="G3" s="636"/>
      <c r="H3" s="43"/>
      <c r="I3" s="43"/>
      <c r="J3" s="43"/>
      <c r="K3" s="43"/>
      <c r="L3" s="43"/>
      <c r="M3" s="43"/>
      <c r="N3" s="43"/>
      <c r="O3" s="43"/>
      <c r="P3" s="43"/>
      <c r="Q3" s="43"/>
      <c r="R3" s="43"/>
      <c r="S3" s="43"/>
      <c r="T3" s="49"/>
      <c r="U3" s="49"/>
      <c r="V3" s="49"/>
      <c r="W3" s="49"/>
      <c r="X3" s="49"/>
      <c r="Y3" s="49"/>
      <c r="Z3" s="49"/>
      <c r="AA3" s="49"/>
      <c r="AB3" s="49"/>
      <c r="AC3" s="49"/>
      <c r="AD3" s="49"/>
      <c r="AE3" s="49"/>
    </row>
    <row r="4" spans="1:31">
      <c r="A4" s="43"/>
      <c r="B4" s="360"/>
      <c r="C4" s="361"/>
      <c r="D4" s="51"/>
      <c r="E4" s="51"/>
      <c r="F4" s="52" t="s">
        <v>81</v>
      </c>
      <c r="G4" s="53"/>
      <c r="H4" s="54">
        <f t="shared" ref="H4:S4" si="0">SUM(H5:H8)</f>
        <v>154336.47500000001</v>
      </c>
      <c r="I4" s="54">
        <f t="shared" si="0"/>
        <v>340900.60412500001</v>
      </c>
      <c r="J4" s="54">
        <f t="shared" si="0"/>
        <v>679792.06485687499</v>
      </c>
      <c r="K4" s="54">
        <f t="shared" si="0"/>
        <v>841105.58064117818</v>
      </c>
      <c r="L4" s="54">
        <f t="shared" si="0"/>
        <v>973173.71789950156</v>
      </c>
      <c r="M4" s="54">
        <f t="shared" si="0"/>
        <v>1350616.776236034</v>
      </c>
      <c r="N4" s="54">
        <f t="shared" si="0"/>
        <v>1865526.0357806918</v>
      </c>
      <c r="O4" s="54">
        <f t="shared" si="0"/>
        <v>2508966.1934549469</v>
      </c>
      <c r="P4" s="54">
        <f t="shared" si="0"/>
        <v>3272582.7408803753</v>
      </c>
      <c r="Q4" s="54">
        <f t="shared" si="0"/>
        <v>4148564.2127231508</v>
      </c>
      <c r="R4" s="54">
        <f t="shared" si="0"/>
        <v>5129606.8888961459</v>
      </c>
      <c r="S4" s="54">
        <f t="shared" si="0"/>
        <v>5451531.7911178963</v>
      </c>
      <c r="T4" s="102"/>
      <c r="U4" s="102"/>
      <c r="V4" s="49"/>
      <c r="W4" s="49"/>
      <c r="X4" s="49"/>
      <c r="Y4" s="49"/>
      <c r="Z4" s="49"/>
      <c r="AA4" s="49"/>
      <c r="AB4" s="49"/>
      <c r="AC4" s="49"/>
      <c r="AD4" s="49"/>
      <c r="AE4" s="49"/>
    </row>
    <row r="5" spans="1:31">
      <c r="A5" s="43"/>
      <c r="B5" s="360"/>
      <c r="C5" s="361"/>
      <c r="D5" s="43"/>
      <c r="E5" s="43"/>
      <c r="F5" s="55" t="s">
        <v>46</v>
      </c>
      <c r="G5" s="56"/>
      <c r="H5" s="57">
        <v>142285</v>
      </c>
      <c r="I5" s="57">
        <f t="shared" ref="I5:S5" si="1">SUM(H5:H7)</f>
        <v>154336.47500000001</v>
      </c>
      <c r="J5" s="57">
        <f t="shared" si="1"/>
        <v>160900.60412500001</v>
      </c>
      <c r="K5" s="57">
        <f t="shared" si="1"/>
        <v>259792.06485687502</v>
      </c>
      <c r="L5" s="57">
        <f t="shared" si="1"/>
        <v>421105.58064117818</v>
      </c>
      <c r="M5" s="57">
        <f t="shared" si="1"/>
        <v>673183.71789950156</v>
      </c>
      <c r="N5" s="57">
        <f t="shared" si="1"/>
        <v>1050626.776236034</v>
      </c>
      <c r="O5" s="57">
        <f t="shared" si="1"/>
        <v>1565536.0357806918</v>
      </c>
      <c r="P5" s="57">
        <f t="shared" si="1"/>
        <v>2208976.1934549469</v>
      </c>
      <c r="Q5" s="57">
        <f t="shared" si="1"/>
        <v>2972592.7408803753</v>
      </c>
      <c r="R5" s="57">
        <f t="shared" si="1"/>
        <v>3848574.2127231508</v>
      </c>
      <c r="S5" s="57">
        <f t="shared" si="1"/>
        <v>4829616.8888961459</v>
      </c>
      <c r="T5" s="102"/>
      <c r="U5" s="102"/>
      <c r="V5" s="49"/>
      <c r="W5" s="49"/>
      <c r="X5" s="49"/>
      <c r="Y5" s="49"/>
      <c r="Z5" s="49"/>
      <c r="AA5" s="49"/>
      <c r="AB5" s="49"/>
      <c r="AC5" s="49"/>
      <c r="AD5" s="49"/>
      <c r="AE5" s="49"/>
    </row>
    <row r="6" spans="1:31">
      <c r="A6" s="43"/>
      <c r="B6" s="360"/>
      <c r="C6" s="361"/>
      <c r="D6" s="43"/>
      <c r="E6" s="43"/>
      <c r="F6" s="55" t="s">
        <v>47</v>
      </c>
      <c r="G6" s="56"/>
      <c r="H6" s="57">
        <f t="shared" ref="H6:S6" si="2">-H5*$C$30</f>
        <v>-9248.5249999999996</v>
      </c>
      <c r="I6" s="57">
        <f t="shared" si="2"/>
        <v>-10031.870875000001</v>
      </c>
      <c r="J6" s="57">
        <f t="shared" si="2"/>
        <v>-10458.539268125001</v>
      </c>
      <c r="K6" s="57">
        <f t="shared" si="2"/>
        <v>-16886.484215696877</v>
      </c>
      <c r="L6" s="57">
        <f t="shared" si="2"/>
        <v>-27371.862741676581</v>
      </c>
      <c r="M6" s="57">
        <f t="shared" si="2"/>
        <v>-43756.941663467602</v>
      </c>
      <c r="N6" s="57">
        <f t="shared" si="2"/>
        <v>-68290.740455342209</v>
      </c>
      <c r="O6" s="57">
        <f t="shared" si="2"/>
        <v>-101759.84232574498</v>
      </c>
      <c r="P6" s="57">
        <f t="shared" si="2"/>
        <v>-143583.45257457154</v>
      </c>
      <c r="Q6" s="57">
        <f t="shared" si="2"/>
        <v>-193218.52815722441</v>
      </c>
      <c r="R6" s="57">
        <f t="shared" si="2"/>
        <v>-250157.32382700482</v>
      </c>
      <c r="S6" s="57">
        <f t="shared" si="2"/>
        <v>-313925.09777824947</v>
      </c>
      <c r="T6" s="102"/>
      <c r="U6" s="102"/>
      <c r="V6" s="49"/>
      <c r="W6" s="49"/>
      <c r="X6" s="49"/>
      <c r="Y6" s="49"/>
      <c r="Z6" s="49"/>
      <c r="AA6" s="49"/>
      <c r="AB6" s="49"/>
      <c r="AC6" s="49"/>
      <c r="AD6" s="49"/>
      <c r="AE6" s="49"/>
    </row>
    <row r="7" spans="1:31">
      <c r="A7" s="43"/>
      <c r="B7" s="360"/>
      <c r="C7" s="361"/>
      <c r="D7" s="43"/>
      <c r="E7" s="43"/>
      <c r="F7" s="103" t="s">
        <v>48</v>
      </c>
      <c r="G7" s="362"/>
      <c r="H7" s="57">
        <v>21300</v>
      </c>
      <c r="I7" s="57">
        <v>16596</v>
      </c>
      <c r="J7" s="57">
        <f>SUM(J12*$C$15)+J55</f>
        <v>109350</v>
      </c>
      <c r="K7" s="57">
        <f t="shared" ref="K7:S7" si="3">SUM(K12*$C$15)</f>
        <v>178200</v>
      </c>
      <c r="L7" s="57">
        <f t="shared" si="3"/>
        <v>279450</v>
      </c>
      <c r="M7" s="57">
        <f t="shared" si="3"/>
        <v>421200</v>
      </c>
      <c r="N7" s="57">
        <f t="shared" si="3"/>
        <v>583200</v>
      </c>
      <c r="O7" s="57">
        <f t="shared" si="3"/>
        <v>745200</v>
      </c>
      <c r="P7" s="57">
        <f t="shared" si="3"/>
        <v>907200</v>
      </c>
      <c r="Q7" s="57">
        <f t="shared" si="3"/>
        <v>1069200</v>
      </c>
      <c r="R7" s="57">
        <f t="shared" si="3"/>
        <v>1231200</v>
      </c>
      <c r="S7" s="57">
        <f t="shared" si="3"/>
        <v>635850</v>
      </c>
      <c r="T7" s="102"/>
      <c r="U7" s="102"/>
      <c r="V7" s="49"/>
      <c r="W7" s="49"/>
      <c r="X7" s="49"/>
      <c r="Y7" s="49"/>
      <c r="Z7" s="49"/>
      <c r="AA7" s="49"/>
      <c r="AB7" s="49"/>
      <c r="AC7" s="49"/>
      <c r="AD7" s="49"/>
      <c r="AE7" s="49"/>
    </row>
    <row r="8" spans="1:31">
      <c r="A8" s="43"/>
      <c r="B8" s="360"/>
      <c r="C8" s="361"/>
      <c r="D8" s="43"/>
      <c r="E8" s="43"/>
      <c r="F8" s="64" t="s">
        <v>51</v>
      </c>
      <c r="G8" s="65"/>
      <c r="H8" s="363"/>
      <c r="I8" s="66">
        <v>180000</v>
      </c>
      <c r="J8" s="66">
        <v>420000</v>
      </c>
      <c r="K8" s="66">
        <f>J8</f>
        <v>420000</v>
      </c>
      <c r="L8" s="66">
        <f>SUM(G20*$C$16)</f>
        <v>299990</v>
      </c>
      <c r="M8" s="66">
        <f>L8</f>
        <v>299990</v>
      </c>
      <c r="N8" s="66">
        <f>SUM(G21*$C$16)</f>
        <v>299990</v>
      </c>
      <c r="O8" s="66">
        <f>N8</f>
        <v>299990</v>
      </c>
      <c r="P8" s="66">
        <f>SUM(G22*$C$16)</f>
        <v>299990</v>
      </c>
      <c r="Q8" s="66">
        <f>P8</f>
        <v>299990</v>
      </c>
      <c r="R8" s="66">
        <f>SUM(G23*$C$16)</f>
        <v>299990</v>
      </c>
      <c r="S8" s="66">
        <f>R8</f>
        <v>299990</v>
      </c>
      <c r="T8" s="102"/>
      <c r="U8" s="102"/>
      <c r="V8" s="49"/>
      <c r="W8" s="49"/>
      <c r="X8" s="49"/>
      <c r="Y8" s="49"/>
      <c r="Z8" s="49"/>
      <c r="AA8" s="49"/>
      <c r="AB8" s="49"/>
      <c r="AC8" s="49"/>
      <c r="AD8" s="49"/>
      <c r="AE8" s="49"/>
    </row>
    <row r="9" spans="1:31">
      <c r="A9" s="43"/>
      <c r="B9" s="360"/>
      <c r="C9" s="361"/>
      <c r="D9" s="43"/>
      <c r="E9" s="43"/>
      <c r="F9" s="64" t="s">
        <v>2110</v>
      </c>
      <c r="G9" s="65"/>
      <c r="H9" s="363"/>
      <c r="I9" s="66"/>
      <c r="J9" s="66">
        <v>7897.5</v>
      </c>
      <c r="K9" s="363">
        <v>12150</v>
      </c>
      <c r="L9" s="66">
        <v>17212.5</v>
      </c>
      <c r="M9" s="363">
        <v>24300</v>
      </c>
      <c r="N9" s="66">
        <v>32400</v>
      </c>
      <c r="O9" s="363">
        <v>40500</v>
      </c>
      <c r="P9" s="66">
        <v>46575</v>
      </c>
      <c r="Q9" s="363">
        <v>50625</v>
      </c>
      <c r="R9" s="66">
        <v>64800</v>
      </c>
      <c r="S9" s="363">
        <v>46575</v>
      </c>
      <c r="T9" s="102"/>
      <c r="U9" s="102"/>
      <c r="V9" s="49"/>
      <c r="W9" s="49"/>
      <c r="X9" s="49"/>
      <c r="Y9" s="49"/>
      <c r="Z9" s="49"/>
      <c r="AA9" s="49"/>
      <c r="AB9" s="49"/>
      <c r="AC9" s="49"/>
      <c r="AD9" s="49"/>
      <c r="AE9" s="49"/>
    </row>
    <row r="10" spans="1:31">
      <c r="A10" s="43"/>
      <c r="B10" s="360"/>
      <c r="C10" s="361"/>
      <c r="D10" s="43"/>
      <c r="E10" s="43"/>
      <c r="F10" s="64" t="s">
        <v>2111</v>
      </c>
      <c r="G10" s="65"/>
      <c r="H10" s="363"/>
      <c r="I10" s="66"/>
      <c r="J10" s="66">
        <v>31590</v>
      </c>
      <c r="K10" s="363">
        <v>48600</v>
      </c>
      <c r="L10" s="66">
        <v>68850</v>
      </c>
      <c r="M10" s="363">
        <v>97200</v>
      </c>
      <c r="N10" s="66">
        <v>129600</v>
      </c>
      <c r="O10" s="363">
        <v>162000</v>
      </c>
      <c r="P10" s="66">
        <v>186300</v>
      </c>
      <c r="Q10" s="363">
        <v>202500</v>
      </c>
      <c r="R10" s="66">
        <v>259200</v>
      </c>
      <c r="S10" s="363">
        <v>186300</v>
      </c>
      <c r="T10" s="102"/>
      <c r="U10" s="102"/>
      <c r="V10" s="49"/>
      <c r="W10" s="49"/>
      <c r="X10" s="49"/>
      <c r="Y10" s="49"/>
      <c r="Z10" s="49"/>
      <c r="AA10" s="49"/>
      <c r="AB10" s="49"/>
      <c r="AC10" s="49"/>
      <c r="AD10" s="49"/>
      <c r="AE10" s="49"/>
    </row>
    <row r="11" spans="1:31">
      <c r="A11" s="43"/>
      <c r="B11" s="364"/>
      <c r="C11" s="365"/>
      <c r="D11" s="43"/>
      <c r="E11" s="43"/>
      <c r="F11" s="43"/>
      <c r="G11" s="43"/>
      <c r="H11" s="68"/>
      <c r="I11" s="68">
        <f t="shared" ref="I11:S11" si="4">SUM(I9:I10)</f>
        <v>0</v>
      </c>
      <c r="J11" s="68">
        <f t="shared" si="4"/>
        <v>39487.5</v>
      </c>
      <c r="K11" s="68">
        <f t="shared" si="4"/>
        <v>60750</v>
      </c>
      <c r="L11" s="68">
        <f t="shared" si="4"/>
        <v>86062.5</v>
      </c>
      <c r="M11" s="68">
        <f t="shared" si="4"/>
        <v>121500</v>
      </c>
      <c r="N11" s="68">
        <f t="shared" si="4"/>
        <v>162000</v>
      </c>
      <c r="O11" s="68">
        <f t="shared" si="4"/>
        <v>202500</v>
      </c>
      <c r="P11" s="68">
        <f t="shared" si="4"/>
        <v>232875</v>
      </c>
      <c r="Q11" s="68">
        <f t="shared" si="4"/>
        <v>253125</v>
      </c>
      <c r="R11" s="68">
        <f t="shared" si="4"/>
        <v>324000</v>
      </c>
      <c r="S11" s="68">
        <f t="shared" si="4"/>
        <v>232875</v>
      </c>
      <c r="T11" s="49"/>
      <c r="U11" s="49"/>
      <c r="V11" s="49"/>
      <c r="W11" s="49"/>
      <c r="X11" s="49"/>
      <c r="Y11" s="49"/>
      <c r="Z11" s="49"/>
      <c r="AA11" s="49"/>
      <c r="AB11" s="49"/>
      <c r="AC11" s="49"/>
      <c r="AD11" s="49"/>
      <c r="AE11" s="49"/>
    </row>
    <row r="12" spans="1:31">
      <c r="A12" s="43"/>
      <c r="B12" s="710" t="s">
        <v>50</v>
      </c>
      <c r="C12" s="711"/>
      <c r="D12" s="51"/>
      <c r="E12" s="51"/>
      <c r="F12" s="43"/>
      <c r="G12" s="43"/>
      <c r="H12" s="70">
        <f t="shared" ref="H12:S12" si="5">H14*$G$14+H15*$G$15+H16*$G$16+H17*$G$17+H18*$G$18+H19*$G$19+H20*$G$20+H21*$G$21+H22*$G$22+$G$23*H23+$G$24*H24+$G$25*H25+$G$26*H26+$G$27*H27+$G$28*H28</f>
        <v>12</v>
      </c>
      <c r="I12" s="70">
        <f t="shared" si="5"/>
        <v>16</v>
      </c>
      <c r="J12" s="70">
        <f t="shared" si="5"/>
        <v>27</v>
      </c>
      <c r="K12" s="70">
        <f t="shared" si="5"/>
        <v>44</v>
      </c>
      <c r="L12" s="70">
        <f t="shared" si="5"/>
        <v>69</v>
      </c>
      <c r="M12" s="70">
        <f t="shared" si="5"/>
        <v>104</v>
      </c>
      <c r="N12" s="70">
        <f t="shared" si="5"/>
        <v>144</v>
      </c>
      <c r="O12" s="70">
        <f t="shared" si="5"/>
        <v>184</v>
      </c>
      <c r="P12" s="70">
        <f t="shared" si="5"/>
        <v>224</v>
      </c>
      <c r="Q12" s="70">
        <f t="shared" si="5"/>
        <v>264</v>
      </c>
      <c r="R12" s="70">
        <f t="shared" si="5"/>
        <v>304</v>
      </c>
      <c r="S12" s="70">
        <f t="shared" si="5"/>
        <v>157</v>
      </c>
      <c r="T12" s="49"/>
      <c r="U12" s="49"/>
      <c r="V12" s="49"/>
      <c r="W12" s="49"/>
      <c r="X12" s="49"/>
      <c r="Y12" s="49"/>
      <c r="Z12" s="49"/>
      <c r="AA12" s="49"/>
      <c r="AB12" s="49"/>
      <c r="AC12" s="49"/>
      <c r="AD12" s="49"/>
      <c r="AE12" s="49"/>
    </row>
    <row r="13" spans="1:31">
      <c r="A13" s="43"/>
      <c r="B13" s="698" t="s">
        <v>1975</v>
      </c>
      <c r="C13" s="699"/>
      <c r="D13" s="51"/>
      <c r="E13" s="51"/>
      <c r="F13" s="702" t="s">
        <v>55</v>
      </c>
      <c r="G13" s="636"/>
      <c r="H13" s="70" t="s">
        <v>37</v>
      </c>
      <c r="I13" s="70" t="s">
        <v>38</v>
      </c>
      <c r="J13" s="70" t="s">
        <v>39</v>
      </c>
      <c r="K13" s="70" t="s">
        <v>40</v>
      </c>
      <c r="L13" s="70" t="s">
        <v>41</v>
      </c>
      <c r="M13" s="70" t="s">
        <v>42</v>
      </c>
      <c r="N13" s="70" t="s">
        <v>43</v>
      </c>
      <c r="O13" s="70" t="s">
        <v>44</v>
      </c>
      <c r="P13" s="70" t="s">
        <v>33</v>
      </c>
      <c r="Q13" s="70" t="s">
        <v>34</v>
      </c>
      <c r="R13" s="70" t="s">
        <v>35</v>
      </c>
      <c r="S13" s="70" t="s">
        <v>36</v>
      </c>
      <c r="T13" s="49"/>
      <c r="U13" s="49"/>
      <c r="V13" s="49"/>
      <c r="W13" s="49"/>
      <c r="X13" s="49"/>
      <c r="Y13" s="49"/>
      <c r="Z13" s="49"/>
      <c r="AA13" s="49"/>
      <c r="AB13" s="49"/>
      <c r="AC13" s="49"/>
      <c r="AD13" s="49"/>
      <c r="AE13" s="49"/>
    </row>
    <row r="14" spans="1:31">
      <c r="A14" s="43"/>
      <c r="B14" s="700"/>
      <c r="C14" s="701"/>
      <c r="D14" s="51"/>
      <c r="E14" s="51"/>
      <c r="F14" s="704">
        <v>2024</v>
      </c>
      <c r="G14" s="366">
        <v>1</v>
      </c>
      <c r="H14" s="74">
        <v>3</v>
      </c>
      <c r="I14" s="74">
        <v>3</v>
      </c>
      <c r="J14" s="74">
        <v>4</v>
      </c>
      <c r="K14" s="74">
        <v>4</v>
      </c>
      <c r="L14" s="74">
        <v>4</v>
      </c>
      <c r="M14" s="74">
        <v>4</v>
      </c>
      <c r="N14" s="74">
        <v>4</v>
      </c>
      <c r="O14" s="74">
        <v>4</v>
      </c>
      <c r="P14" s="74">
        <v>4</v>
      </c>
      <c r="Q14" s="74">
        <v>4</v>
      </c>
      <c r="R14" s="74">
        <v>4</v>
      </c>
      <c r="S14" s="74">
        <v>2</v>
      </c>
      <c r="T14" s="49"/>
      <c r="U14" s="49"/>
      <c r="V14" s="49"/>
      <c r="W14" s="49"/>
      <c r="X14" s="49"/>
      <c r="Y14" s="49"/>
      <c r="Z14" s="49"/>
      <c r="AA14" s="49"/>
      <c r="AB14" s="49"/>
      <c r="AC14" s="49"/>
      <c r="AD14" s="49"/>
      <c r="AE14" s="49"/>
    </row>
    <row r="15" spans="1:31">
      <c r="A15" s="43"/>
      <c r="B15" s="367" t="s">
        <v>52</v>
      </c>
      <c r="C15" s="368">
        <v>4050</v>
      </c>
      <c r="D15" s="51"/>
      <c r="E15" s="51"/>
      <c r="F15" s="705"/>
      <c r="G15" s="369">
        <v>1</v>
      </c>
      <c r="H15" s="74">
        <v>3</v>
      </c>
      <c r="I15" s="74">
        <v>3</v>
      </c>
      <c r="J15" s="74">
        <v>4</v>
      </c>
      <c r="K15" s="74">
        <v>4</v>
      </c>
      <c r="L15" s="74">
        <v>4</v>
      </c>
      <c r="M15" s="74">
        <v>4</v>
      </c>
      <c r="N15" s="74">
        <v>4</v>
      </c>
      <c r="O15" s="74">
        <v>4</v>
      </c>
      <c r="P15" s="74">
        <v>4</v>
      </c>
      <c r="Q15" s="74">
        <v>4</v>
      </c>
      <c r="R15" s="74">
        <v>4</v>
      </c>
      <c r="S15" s="74">
        <v>2</v>
      </c>
      <c r="T15" s="49"/>
      <c r="U15" s="49"/>
      <c r="V15" s="49"/>
      <c r="W15" s="49"/>
      <c r="X15" s="49"/>
      <c r="Y15" s="49"/>
      <c r="Z15" s="49"/>
      <c r="AA15" s="49"/>
      <c r="AB15" s="49"/>
      <c r="AC15" s="49"/>
      <c r="AD15" s="49"/>
      <c r="AE15" s="49"/>
    </row>
    <row r="16" spans="1:31">
      <c r="A16" s="43"/>
      <c r="B16" s="367" t="s">
        <v>54</v>
      </c>
      <c r="C16" s="368">
        <v>29999</v>
      </c>
      <c r="D16" s="68"/>
      <c r="E16" s="68"/>
      <c r="F16" s="705"/>
      <c r="G16" s="366">
        <v>2</v>
      </c>
      <c r="H16" s="74">
        <v>2</v>
      </c>
      <c r="I16" s="73">
        <v>3</v>
      </c>
      <c r="J16" s="74">
        <v>4</v>
      </c>
      <c r="K16" s="74">
        <v>4</v>
      </c>
      <c r="L16" s="74">
        <v>4</v>
      </c>
      <c r="M16" s="74">
        <v>4</v>
      </c>
      <c r="N16" s="74">
        <v>4</v>
      </c>
      <c r="O16" s="74">
        <v>4</v>
      </c>
      <c r="P16" s="74">
        <v>4</v>
      </c>
      <c r="Q16" s="74">
        <v>4</v>
      </c>
      <c r="R16" s="74">
        <v>4</v>
      </c>
      <c r="S16" s="74">
        <v>2</v>
      </c>
      <c r="T16" s="49"/>
      <c r="U16" s="49"/>
      <c r="V16" s="49"/>
      <c r="W16" s="49"/>
      <c r="X16" s="49"/>
      <c r="Y16" s="49"/>
      <c r="Z16" s="49"/>
      <c r="AA16" s="49"/>
      <c r="AB16" s="49"/>
      <c r="AC16" s="49"/>
      <c r="AD16" s="49"/>
      <c r="AE16" s="49"/>
    </row>
    <row r="17" spans="1:31">
      <c r="A17" s="43"/>
      <c r="B17" s="370" t="s">
        <v>56</v>
      </c>
      <c r="C17" s="84">
        <v>1</v>
      </c>
      <c r="D17" s="43"/>
      <c r="E17" s="43"/>
      <c r="F17" s="706"/>
      <c r="G17" s="366">
        <v>2</v>
      </c>
      <c r="H17" s="74">
        <v>1</v>
      </c>
      <c r="I17" s="371">
        <v>2</v>
      </c>
      <c r="J17" s="372">
        <v>3</v>
      </c>
      <c r="K17" s="73">
        <v>4</v>
      </c>
      <c r="L17" s="73">
        <v>4</v>
      </c>
      <c r="M17" s="73">
        <v>4</v>
      </c>
      <c r="N17" s="73">
        <v>4</v>
      </c>
      <c r="O17" s="73">
        <v>4</v>
      </c>
      <c r="P17" s="73">
        <v>4</v>
      </c>
      <c r="Q17" s="73">
        <v>4</v>
      </c>
      <c r="R17" s="73">
        <v>4</v>
      </c>
      <c r="S17" s="73">
        <v>2</v>
      </c>
      <c r="T17" s="49"/>
      <c r="U17" s="49"/>
      <c r="V17" s="49"/>
      <c r="W17" s="49"/>
      <c r="X17" s="49"/>
      <c r="Y17" s="49"/>
      <c r="Z17" s="49"/>
      <c r="AA17" s="49"/>
      <c r="AB17" s="49"/>
      <c r="AC17" s="49"/>
      <c r="AD17" s="49"/>
      <c r="AE17" s="49"/>
    </row>
    <row r="18" spans="1:31">
      <c r="A18" s="43"/>
      <c r="B18" s="370" t="s">
        <v>58</v>
      </c>
      <c r="C18" s="84">
        <v>2</v>
      </c>
      <c r="D18" s="43"/>
      <c r="E18" s="707">
        <v>2025</v>
      </c>
      <c r="F18" s="44" t="s">
        <v>38</v>
      </c>
      <c r="G18" s="373">
        <v>5</v>
      </c>
      <c r="H18" s="43"/>
      <c r="I18" s="374"/>
      <c r="J18" s="371">
        <v>1</v>
      </c>
      <c r="K18" s="372">
        <v>2</v>
      </c>
      <c r="L18" s="73">
        <v>3</v>
      </c>
      <c r="M18" s="73">
        <v>4</v>
      </c>
      <c r="N18" s="73">
        <v>4</v>
      </c>
      <c r="O18" s="73">
        <v>4</v>
      </c>
      <c r="P18" s="73">
        <v>4</v>
      </c>
      <c r="Q18" s="73">
        <v>4</v>
      </c>
      <c r="R18" s="73">
        <v>4</v>
      </c>
      <c r="S18" s="73">
        <v>2</v>
      </c>
      <c r="T18" s="49"/>
      <c r="U18" s="49"/>
      <c r="V18" s="49"/>
      <c r="W18" s="49"/>
      <c r="X18" s="49"/>
      <c r="Y18" s="49"/>
      <c r="Z18" s="49"/>
      <c r="AA18" s="49"/>
      <c r="AB18" s="49"/>
      <c r="AC18" s="49"/>
      <c r="AD18" s="49"/>
      <c r="AE18" s="49"/>
    </row>
    <row r="19" spans="1:31">
      <c r="A19" s="43"/>
      <c r="B19" s="370" t="s">
        <v>59</v>
      </c>
      <c r="C19" s="84">
        <v>3</v>
      </c>
      <c r="D19" s="43"/>
      <c r="E19" s="642"/>
      <c r="F19" s="44" t="s">
        <v>39</v>
      </c>
      <c r="G19" s="84">
        <v>10</v>
      </c>
      <c r="H19" s="43"/>
      <c r="I19" s="374"/>
      <c r="J19" s="374"/>
      <c r="K19" s="371">
        <v>1</v>
      </c>
      <c r="L19" s="372">
        <v>2</v>
      </c>
      <c r="M19" s="73">
        <v>3</v>
      </c>
      <c r="N19" s="73">
        <v>4</v>
      </c>
      <c r="O19" s="73">
        <v>4</v>
      </c>
      <c r="P19" s="73">
        <v>4</v>
      </c>
      <c r="Q19" s="73">
        <v>4</v>
      </c>
      <c r="R19" s="73">
        <v>4</v>
      </c>
      <c r="S19" s="73">
        <v>2</v>
      </c>
      <c r="T19" s="49"/>
      <c r="U19" s="49"/>
      <c r="V19" s="49"/>
      <c r="W19" s="49"/>
      <c r="X19" s="49"/>
      <c r="Y19" s="49"/>
      <c r="Z19" s="49"/>
      <c r="AA19" s="49"/>
      <c r="AB19" s="49"/>
      <c r="AC19" s="49"/>
      <c r="AD19" s="49"/>
      <c r="AE19" s="49"/>
    </row>
    <row r="20" spans="1:31">
      <c r="A20" s="43"/>
      <c r="B20" s="370" t="s">
        <v>60</v>
      </c>
      <c r="C20" s="84">
        <v>4</v>
      </c>
      <c r="D20" s="43"/>
      <c r="E20" s="642"/>
      <c r="F20" s="44" t="s">
        <v>40</v>
      </c>
      <c r="G20" s="84">
        <v>10</v>
      </c>
      <c r="H20" s="43"/>
      <c r="I20" s="374"/>
      <c r="J20" s="374"/>
      <c r="K20" s="374"/>
      <c r="L20" s="371">
        <v>1</v>
      </c>
      <c r="M20" s="372">
        <v>2</v>
      </c>
      <c r="N20" s="73">
        <v>3</v>
      </c>
      <c r="O20" s="73">
        <v>4</v>
      </c>
      <c r="P20" s="73">
        <v>4</v>
      </c>
      <c r="Q20" s="73">
        <v>4</v>
      </c>
      <c r="R20" s="73">
        <v>4</v>
      </c>
      <c r="S20" s="73">
        <v>2</v>
      </c>
      <c r="T20" s="49"/>
      <c r="U20" s="49"/>
      <c r="V20" s="49"/>
      <c r="W20" s="49"/>
      <c r="X20" s="49"/>
      <c r="Y20" s="49"/>
      <c r="Z20" s="49"/>
      <c r="AA20" s="49"/>
      <c r="AB20" s="49"/>
      <c r="AC20" s="49"/>
      <c r="AD20" s="49"/>
      <c r="AE20" s="49"/>
    </row>
    <row r="21" spans="1:31">
      <c r="A21" s="43"/>
      <c r="B21" s="43"/>
      <c r="C21" s="43"/>
      <c r="D21" s="43"/>
      <c r="E21" s="642"/>
      <c r="F21" s="44" t="s">
        <v>41</v>
      </c>
      <c r="G21" s="84">
        <v>10</v>
      </c>
      <c r="H21" s="43"/>
      <c r="I21" s="374"/>
      <c r="J21" s="374"/>
      <c r="K21" s="374"/>
      <c r="L21" s="374"/>
      <c r="M21" s="371">
        <v>1</v>
      </c>
      <c r="N21" s="372">
        <v>2</v>
      </c>
      <c r="O21" s="73">
        <v>3</v>
      </c>
      <c r="P21" s="73">
        <v>4</v>
      </c>
      <c r="Q21" s="73">
        <v>4</v>
      </c>
      <c r="R21" s="73">
        <v>4</v>
      </c>
      <c r="S21" s="73">
        <v>2</v>
      </c>
      <c r="T21" s="49"/>
      <c r="U21" s="49"/>
      <c r="V21" s="49"/>
      <c r="W21" s="49"/>
      <c r="X21" s="49"/>
      <c r="Y21" s="49"/>
      <c r="Z21" s="49"/>
      <c r="AA21" s="49"/>
      <c r="AB21" s="49"/>
      <c r="AC21" s="49"/>
      <c r="AD21" s="49"/>
      <c r="AE21" s="49"/>
    </row>
    <row r="22" spans="1:31">
      <c r="A22" s="43"/>
      <c r="B22" s="702" t="s">
        <v>2112</v>
      </c>
      <c r="C22" s="636"/>
      <c r="D22" s="43"/>
      <c r="E22" s="642"/>
      <c r="F22" s="44" t="s">
        <v>42</v>
      </c>
      <c r="G22" s="84">
        <v>10</v>
      </c>
      <c r="H22" s="43"/>
      <c r="I22" s="374"/>
      <c r="J22" s="374"/>
      <c r="K22" s="374"/>
      <c r="L22" s="374"/>
      <c r="M22" s="374"/>
      <c r="N22" s="371">
        <v>1</v>
      </c>
      <c r="O22" s="372">
        <v>2</v>
      </c>
      <c r="P22" s="73">
        <v>3</v>
      </c>
      <c r="Q22" s="73">
        <v>4</v>
      </c>
      <c r="R22" s="73">
        <v>4</v>
      </c>
      <c r="S22" s="73">
        <v>2</v>
      </c>
      <c r="T22" s="49"/>
      <c r="U22" s="49"/>
      <c r="V22" s="49"/>
      <c r="W22" s="49"/>
      <c r="X22" s="49"/>
      <c r="Y22" s="49"/>
      <c r="Z22" s="49"/>
      <c r="AA22" s="49"/>
      <c r="AB22" s="49"/>
      <c r="AC22" s="49"/>
      <c r="AD22" s="49"/>
      <c r="AE22" s="49"/>
    </row>
    <row r="23" spans="1:31">
      <c r="A23" s="43"/>
      <c r="B23" s="375" t="s">
        <v>81</v>
      </c>
      <c r="C23" s="376" t="s">
        <v>2087</v>
      </c>
      <c r="D23" s="43"/>
      <c r="E23" s="643"/>
      <c r="F23" s="44" t="s">
        <v>43</v>
      </c>
      <c r="G23" s="84">
        <v>10</v>
      </c>
      <c r="H23" s="85"/>
      <c r="I23" s="377"/>
      <c r="J23" s="377"/>
      <c r="K23" s="377"/>
      <c r="L23" s="377"/>
      <c r="M23" s="377"/>
      <c r="N23" s="377"/>
      <c r="O23" s="378">
        <v>1</v>
      </c>
      <c r="P23" s="107">
        <v>2</v>
      </c>
      <c r="Q23" s="108">
        <v>3</v>
      </c>
      <c r="R23" s="108">
        <v>4</v>
      </c>
      <c r="S23" s="108">
        <v>2</v>
      </c>
      <c r="T23" s="49"/>
      <c r="U23" s="49"/>
      <c r="V23" s="49"/>
      <c r="W23" s="49"/>
      <c r="X23" s="49"/>
      <c r="Y23" s="49"/>
      <c r="Z23" s="49"/>
      <c r="AA23" s="49"/>
      <c r="AB23" s="49"/>
      <c r="AC23" s="49"/>
      <c r="AD23" s="49"/>
      <c r="AE23" s="49"/>
    </row>
    <row r="24" spans="1:31">
      <c r="A24" s="43"/>
      <c r="B24" s="73" t="s">
        <v>2113</v>
      </c>
      <c r="C24" s="379">
        <v>2.5000000000000001E-2</v>
      </c>
      <c r="D24" s="43"/>
      <c r="E24" s="43"/>
      <c r="F24" s="44" t="s">
        <v>44</v>
      </c>
      <c r="G24" s="84">
        <v>10</v>
      </c>
      <c r="H24" s="85"/>
      <c r="I24" s="377"/>
      <c r="J24" s="377"/>
      <c r="K24" s="377"/>
      <c r="L24" s="377"/>
      <c r="M24" s="377"/>
      <c r="N24" s="377"/>
      <c r="O24" s="377"/>
      <c r="P24" s="378">
        <v>1</v>
      </c>
      <c r="Q24" s="107">
        <v>2</v>
      </c>
      <c r="R24" s="108">
        <v>3</v>
      </c>
      <c r="S24" s="108">
        <v>1.5</v>
      </c>
      <c r="T24" s="49"/>
      <c r="U24" s="49"/>
      <c r="V24" s="49"/>
      <c r="W24" s="49"/>
      <c r="X24" s="49"/>
      <c r="Y24" s="49"/>
      <c r="Z24" s="49"/>
      <c r="AA24" s="49"/>
      <c r="AB24" s="49"/>
      <c r="AC24" s="49"/>
      <c r="AD24" s="49"/>
      <c r="AE24" s="49"/>
    </row>
    <row r="25" spans="1:31">
      <c r="A25" s="43"/>
      <c r="B25" s="380" t="s">
        <v>2114</v>
      </c>
      <c r="C25" s="381">
        <v>0.02</v>
      </c>
      <c r="D25" s="43"/>
      <c r="E25" s="43"/>
      <c r="F25" s="44" t="s">
        <v>33</v>
      </c>
      <c r="G25" s="84">
        <v>10</v>
      </c>
      <c r="H25" s="85"/>
      <c r="I25" s="377"/>
      <c r="J25" s="377"/>
      <c r="K25" s="377"/>
      <c r="L25" s="377"/>
      <c r="M25" s="377"/>
      <c r="N25" s="377"/>
      <c r="O25" s="377"/>
      <c r="P25" s="377"/>
      <c r="Q25" s="378">
        <v>1</v>
      </c>
      <c r="R25" s="107">
        <v>2</v>
      </c>
      <c r="S25" s="108">
        <v>1</v>
      </c>
      <c r="T25" s="49"/>
      <c r="U25" s="49"/>
      <c r="V25" s="49"/>
      <c r="W25" s="49"/>
      <c r="X25" s="49"/>
      <c r="Y25" s="49"/>
      <c r="Z25" s="49"/>
      <c r="AA25" s="49"/>
      <c r="AB25" s="49"/>
      <c r="AC25" s="49"/>
      <c r="AD25" s="49"/>
      <c r="AE25" s="49"/>
    </row>
    <row r="26" spans="1:31">
      <c r="A26" s="43"/>
      <c r="B26" s="380" t="s">
        <v>2115</v>
      </c>
      <c r="C26" s="381">
        <v>1.4E-2</v>
      </c>
      <c r="D26" s="43"/>
      <c r="E26" s="43"/>
      <c r="F26" s="44" t="s">
        <v>34</v>
      </c>
      <c r="G26" s="84">
        <v>10</v>
      </c>
      <c r="H26" s="85"/>
      <c r="I26" s="377"/>
      <c r="J26" s="377"/>
      <c r="K26" s="377"/>
      <c r="L26" s="377"/>
      <c r="M26" s="377"/>
      <c r="N26" s="377"/>
      <c r="O26" s="377"/>
      <c r="P26" s="377"/>
      <c r="Q26" s="377"/>
      <c r="R26" s="378">
        <v>1</v>
      </c>
      <c r="S26" s="107">
        <v>0.5</v>
      </c>
      <c r="T26" s="49"/>
      <c r="U26" s="49"/>
      <c r="V26" s="49"/>
      <c r="W26" s="49"/>
      <c r="X26" s="49"/>
      <c r="Y26" s="49"/>
      <c r="Z26" s="49"/>
      <c r="AA26" s="49"/>
      <c r="AB26" s="49"/>
      <c r="AC26" s="49"/>
      <c r="AD26" s="49"/>
      <c r="AE26" s="49"/>
    </row>
    <row r="27" spans="1:31">
      <c r="A27" s="43"/>
      <c r="B27" s="380" t="s">
        <v>2116</v>
      </c>
      <c r="C27" s="381">
        <v>0.01</v>
      </c>
      <c r="D27" s="43"/>
      <c r="E27" s="43"/>
      <c r="F27" s="44" t="s">
        <v>35</v>
      </c>
      <c r="G27" s="84">
        <v>10</v>
      </c>
      <c r="H27" s="85"/>
      <c r="I27" s="377"/>
      <c r="J27" s="377"/>
      <c r="K27" s="377"/>
      <c r="L27" s="377"/>
      <c r="M27" s="377"/>
      <c r="N27" s="377"/>
      <c r="O27" s="377"/>
      <c r="P27" s="377"/>
      <c r="Q27" s="377"/>
      <c r="R27" s="377"/>
      <c r="S27" s="378">
        <v>0.5</v>
      </c>
      <c r="T27" s="49"/>
      <c r="U27" s="49"/>
      <c r="V27" s="49"/>
      <c r="W27" s="49"/>
      <c r="X27" s="49"/>
      <c r="Y27" s="49"/>
      <c r="Z27" s="49"/>
      <c r="AA27" s="49"/>
      <c r="AB27" s="49"/>
      <c r="AC27" s="49"/>
      <c r="AD27" s="49"/>
      <c r="AE27" s="49"/>
    </row>
    <row r="28" spans="1:31">
      <c r="A28" s="43"/>
      <c r="B28" s="382" t="s">
        <v>2117</v>
      </c>
      <c r="C28" s="383">
        <v>0</v>
      </c>
      <c r="D28" s="43"/>
      <c r="E28" s="43"/>
      <c r="F28" s="44" t="s">
        <v>36</v>
      </c>
      <c r="G28" s="84">
        <v>10</v>
      </c>
      <c r="H28" s="85"/>
      <c r="I28" s="377"/>
      <c r="J28" s="377"/>
      <c r="K28" s="377"/>
      <c r="L28" s="377"/>
      <c r="M28" s="377"/>
      <c r="N28" s="377"/>
      <c r="O28" s="377"/>
      <c r="P28" s="377"/>
      <c r="Q28" s="377"/>
      <c r="R28" s="377"/>
      <c r="S28" s="377"/>
      <c r="T28" s="49"/>
      <c r="U28" s="49"/>
      <c r="V28" s="49"/>
      <c r="W28" s="49"/>
      <c r="X28" s="49"/>
      <c r="Y28" s="49"/>
      <c r="Z28" s="49"/>
      <c r="AA28" s="49"/>
      <c r="AB28" s="49"/>
      <c r="AC28" s="49"/>
      <c r="AD28" s="49"/>
      <c r="AE28" s="49"/>
    </row>
    <row r="29" spans="1:31">
      <c r="A29" s="43"/>
      <c r="B29" s="43"/>
      <c r="C29" s="43"/>
      <c r="D29" s="43"/>
      <c r="E29" s="43"/>
      <c r="T29" s="49"/>
      <c r="U29" s="49"/>
      <c r="V29" s="49"/>
      <c r="W29" s="49"/>
      <c r="X29" s="49"/>
      <c r="Y29" s="49"/>
      <c r="Z29" s="49"/>
      <c r="AA29" s="49"/>
      <c r="AB29" s="49"/>
      <c r="AC29" s="49"/>
      <c r="AD29" s="49"/>
      <c r="AE29" s="49"/>
    </row>
    <row r="30" spans="1:31">
      <c r="A30" s="43"/>
      <c r="B30" s="43" t="s">
        <v>47</v>
      </c>
      <c r="C30" s="135">
        <v>6.5000000000000002E-2</v>
      </c>
      <c r="D30" s="43"/>
      <c r="E30" s="43"/>
      <c r="T30" s="49"/>
      <c r="U30" s="49"/>
      <c r="V30" s="49"/>
      <c r="W30" s="49"/>
      <c r="X30" s="49"/>
      <c r="Y30" s="49"/>
      <c r="Z30" s="49"/>
      <c r="AA30" s="49"/>
      <c r="AB30" s="49"/>
      <c r="AC30" s="49"/>
      <c r="AD30" s="49"/>
      <c r="AE30" s="49"/>
    </row>
    <row r="31" spans="1:31">
      <c r="A31" s="43"/>
      <c r="B31" s="43"/>
      <c r="C31" s="43"/>
      <c r="D31" s="43"/>
      <c r="E31" s="43"/>
      <c r="F31" s="703" t="s">
        <v>2118</v>
      </c>
      <c r="G31" s="636"/>
      <c r="H31" s="384" t="s">
        <v>37</v>
      </c>
      <c r="I31" s="384" t="s">
        <v>38</v>
      </c>
      <c r="J31" s="384" t="s">
        <v>39</v>
      </c>
      <c r="K31" s="384" t="s">
        <v>40</v>
      </c>
      <c r="L31" s="385" t="s">
        <v>41</v>
      </c>
      <c r="M31" s="384" t="s">
        <v>42</v>
      </c>
      <c r="N31" s="384" t="s">
        <v>43</v>
      </c>
      <c r="O31" s="384" t="s">
        <v>44</v>
      </c>
      <c r="P31" s="384" t="s">
        <v>33</v>
      </c>
      <c r="Q31" s="384" t="s">
        <v>34</v>
      </c>
      <c r="R31" s="384" t="s">
        <v>35</v>
      </c>
      <c r="S31" s="386" t="s">
        <v>36</v>
      </c>
      <c r="T31" s="49"/>
      <c r="U31" s="49"/>
      <c r="V31" s="49"/>
      <c r="W31" s="49"/>
      <c r="X31" s="49"/>
      <c r="Y31" s="49"/>
      <c r="Z31" s="49"/>
      <c r="AA31" s="49"/>
      <c r="AB31" s="49"/>
      <c r="AC31" s="49"/>
      <c r="AD31" s="49"/>
      <c r="AE31" s="49"/>
    </row>
    <row r="32" spans="1:31">
      <c r="A32" s="43"/>
      <c r="B32" s="43"/>
      <c r="C32" s="43"/>
      <c r="D32" s="43"/>
      <c r="E32" s="43"/>
      <c r="F32" s="696" t="s">
        <v>2119</v>
      </c>
      <c r="G32" s="636"/>
      <c r="H32" s="387">
        <f t="shared" ref="H32:S32" si="6">H7*$C$25</f>
        <v>426</v>
      </c>
      <c r="I32" s="387">
        <f t="shared" si="6"/>
        <v>331.92</v>
      </c>
      <c r="J32" s="387">
        <f t="shared" si="6"/>
        <v>2187</v>
      </c>
      <c r="K32" s="387">
        <f t="shared" si="6"/>
        <v>3564</v>
      </c>
      <c r="L32" s="387">
        <f t="shared" si="6"/>
        <v>5589</v>
      </c>
      <c r="M32" s="387">
        <f t="shared" si="6"/>
        <v>8424</v>
      </c>
      <c r="N32" s="387">
        <f t="shared" si="6"/>
        <v>11664</v>
      </c>
      <c r="O32" s="387">
        <f t="shared" si="6"/>
        <v>14904</v>
      </c>
      <c r="P32" s="387">
        <f t="shared" si="6"/>
        <v>18144</v>
      </c>
      <c r="Q32" s="387">
        <f t="shared" si="6"/>
        <v>21384</v>
      </c>
      <c r="R32" s="387">
        <f t="shared" si="6"/>
        <v>24624</v>
      </c>
      <c r="S32" s="387">
        <f t="shared" si="6"/>
        <v>12717</v>
      </c>
      <c r="T32" s="49"/>
      <c r="U32" s="49"/>
      <c r="V32" s="49"/>
      <c r="W32" s="49"/>
      <c r="X32" s="49"/>
      <c r="Y32" s="49"/>
      <c r="Z32" s="49"/>
      <c r="AA32" s="49"/>
      <c r="AB32" s="49"/>
      <c r="AC32" s="49"/>
      <c r="AD32" s="49"/>
      <c r="AE32" s="49"/>
    </row>
    <row r="33" spans="1:31">
      <c r="A33" s="43"/>
      <c r="B33" s="43"/>
      <c r="C33" s="43"/>
      <c r="D33" s="43"/>
      <c r="E33" s="43"/>
      <c r="F33" s="696" t="s">
        <v>2120</v>
      </c>
      <c r="G33" s="636"/>
      <c r="H33" s="388" t="s">
        <v>2121</v>
      </c>
      <c r="I33" s="388" t="s">
        <v>2122</v>
      </c>
      <c r="J33" s="388" t="s">
        <v>2123</v>
      </c>
      <c r="K33" s="388" t="s">
        <v>2123</v>
      </c>
      <c r="L33" s="388" t="s">
        <v>2123</v>
      </c>
      <c r="M33" s="388" t="s">
        <v>2123</v>
      </c>
      <c r="N33" s="388" t="s">
        <v>2123</v>
      </c>
      <c r="O33" s="388" t="s">
        <v>2123</v>
      </c>
      <c r="P33" s="388" t="s">
        <v>2123</v>
      </c>
      <c r="Q33" s="388" t="s">
        <v>2123</v>
      </c>
      <c r="R33" s="388" t="s">
        <v>2123</v>
      </c>
      <c r="S33" s="388" t="s">
        <v>2123</v>
      </c>
      <c r="T33" s="49"/>
      <c r="U33" s="49"/>
      <c r="V33" s="49"/>
      <c r="W33" s="49"/>
      <c r="X33" s="49"/>
      <c r="Y33" s="49"/>
      <c r="Z33" s="49"/>
      <c r="AA33" s="49"/>
      <c r="AB33" s="49"/>
      <c r="AC33" s="49"/>
      <c r="AD33" s="49"/>
      <c r="AE33" s="49"/>
    </row>
    <row r="34" spans="1:31">
      <c r="A34" s="43"/>
      <c r="B34" s="43"/>
      <c r="C34" s="43"/>
      <c r="D34" s="43"/>
      <c r="E34" s="43"/>
      <c r="F34" s="696" t="s">
        <v>2124</v>
      </c>
      <c r="G34" s="636"/>
      <c r="H34" s="388" t="s">
        <v>2121</v>
      </c>
      <c r="I34" s="388">
        <v>1800</v>
      </c>
      <c r="J34" s="388">
        <v>1800</v>
      </c>
      <c r="K34" s="388">
        <v>1800</v>
      </c>
      <c r="L34" s="388">
        <v>1800</v>
      </c>
      <c r="M34" s="388">
        <v>1800</v>
      </c>
      <c r="N34" s="388">
        <v>1800</v>
      </c>
      <c r="O34" s="388">
        <v>1800</v>
      </c>
      <c r="P34" s="388">
        <v>1800</v>
      </c>
      <c r="Q34" s="388">
        <v>1800</v>
      </c>
      <c r="R34" s="388">
        <v>1800</v>
      </c>
      <c r="S34" s="388">
        <v>1800</v>
      </c>
      <c r="T34" s="49"/>
      <c r="U34" s="49"/>
      <c r="V34" s="49"/>
      <c r="W34" s="49"/>
      <c r="X34" s="49"/>
      <c r="Y34" s="49"/>
      <c r="Z34" s="49"/>
      <c r="AA34" s="49"/>
      <c r="AB34" s="49"/>
      <c r="AC34" s="49"/>
      <c r="AD34" s="49"/>
      <c r="AE34" s="49"/>
    </row>
    <row r="35" spans="1:31">
      <c r="A35" s="43"/>
      <c r="B35" s="43"/>
      <c r="C35" s="43"/>
      <c r="D35" s="43"/>
      <c r="E35" s="43"/>
      <c r="F35" s="696" t="s">
        <v>2125</v>
      </c>
      <c r="G35" s="636"/>
      <c r="H35" s="388"/>
      <c r="I35" s="388">
        <f>30*20+I12*200</f>
        <v>3800</v>
      </c>
      <c r="J35" s="388">
        <f>30*30+J12*200</f>
        <v>6300</v>
      </c>
      <c r="K35" s="388">
        <f t="shared" ref="K35:S35" si="7">30*35+K12*200</f>
        <v>9850</v>
      </c>
      <c r="L35" s="388">
        <f t="shared" si="7"/>
        <v>14850</v>
      </c>
      <c r="M35" s="388">
        <f t="shared" si="7"/>
        <v>21850</v>
      </c>
      <c r="N35" s="388">
        <f t="shared" si="7"/>
        <v>29850</v>
      </c>
      <c r="O35" s="388">
        <f t="shared" si="7"/>
        <v>37850</v>
      </c>
      <c r="P35" s="388">
        <f t="shared" si="7"/>
        <v>45850</v>
      </c>
      <c r="Q35" s="388">
        <f t="shared" si="7"/>
        <v>53850</v>
      </c>
      <c r="R35" s="388">
        <f t="shared" si="7"/>
        <v>61850</v>
      </c>
      <c r="S35" s="388">
        <f t="shared" si="7"/>
        <v>32450</v>
      </c>
      <c r="T35" s="49"/>
      <c r="U35" s="49"/>
      <c r="V35" s="49"/>
      <c r="W35" s="49"/>
      <c r="X35" s="49"/>
      <c r="Y35" s="49"/>
      <c r="Z35" s="49"/>
      <c r="AA35" s="49"/>
      <c r="AB35" s="49"/>
      <c r="AC35" s="49"/>
      <c r="AD35" s="49"/>
      <c r="AE35" s="49"/>
    </row>
    <row r="36" spans="1:31">
      <c r="A36" s="43"/>
      <c r="B36" s="43"/>
      <c r="C36" s="43"/>
      <c r="D36" s="43"/>
      <c r="E36" s="43"/>
      <c r="F36" s="696" t="s">
        <v>2126</v>
      </c>
      <c r="G36" s="636"/>
      <c r="H36" s="388">
        <f t="shared" ref="H36:S36" si="8">H7*0.05</f>
        <v>1065</v>
      </c>
      <c r="I36" s="388">
        <f t="shared" si="8"/>
        <v>829.80000000000007</v>
      </c>
      <c r="J36" s="388">
        <f t="shared" si="8"/>
        <v>5467.5</v>
      </c>
      <c r="K36" s="388">
        <f t="shared" si="8"/>
        <v>8910</v>
      </c>
      <c r="L36" s="388">
        <f t="shared" si="8"/>
        <v>13972.5</v>
      </c>
      <c r="M36" s="388">
        <f t="shared" si="8"/>
        <v>21060</v>
      </c>
      <c r="N36" s="388">
        <f t="shared" si="8"/>
        <v>29160</v>
      </c>
      <c r="O36" s="388">
        <f t="shared" si="8"/>
        <v>37260</v>
      </c>
      <c r="P36" s="388">
        <f t="shared" si="8"/>
        <v>45360</v>
      </c>
      <c r="Q36" s="388">
        <f t="shared" si="8"/>
        <v>53460</v>
      </c>
      <c r="R36" s="388">
        <f t="shared" si="8"/>
        <v>61560</v>
      </c>
      <c r="S36" s="388">
        <f t="shared" si="8"/>
        <v>31792.5</v>
      </c>
      <c r="T36" s="49"/>
      <c r="U36" s="49"/>
      <c r="V36" s="49"/>
      <c r="W36" s="49"/>
      <c r="X36" s="49"/>
      <c r="Y36" s="49"/>
      <c r="Z36" s="49"/>
      <c r="AA36" s="49"/>
      <c r="AB36" s="49"/>
      <c r="AC36" s="49"/>
      <c r="AD36" s="49"/>
      <c r="AE36" s="49"/>
    </row>
    <row r="37" spans="1:31">
      <c r="A37" s="43"/>
      <c r="B37" s="43"/>
      <c r="C37" s="43"/>
      <c r="D37" s="43"/>
      <c r="E37" s="43"/>
      <c r="F37" s="696" t="s">
        <v>2127</v>
      </c>
      <c r="G37" s="636"/>
      <c r="H37" s="388">
        <f t="shared" ref="H37:S37" si="9">SUM(H8:H10)*0.04</f>
        <v>0</v>
      </c>
      <c r="I37" s="388">
        <f t="shared" si="9"/>
        <v>7200</v>
      </c>
      <c r="J37" s="388">
        <f t="shared" si="9"/>
        <v>18379.5</v>
      </c>
      <c r="K37" s="388">
        <f t="shared" si="9"/>
        <v>19230</v>
      </c>
      <c r="L37" s="388">
        <f t="shared" si="9"/>
        <v>15442.1</v>
      </c>
      <c r="M37" s="388">
        <f t="shared" si="9"/>
        <v>16859.599999999999</v>
      </c>
      <c r="N37" s="388">
        <f t="shared" si="9"/>
        <v>18479.600000000002</v>
      </c>
      <c r="O37" s="388">
        <f t="shared" si="9"/>
        <v>20099.600000000002</v>
      </c>
      <c r="P37" s="388">
        <f t="shared" si="9"/>
        <v>21314.600000000002</v>
      </c>
      <c r="Q37" s="388">
        <f t="shared" si="9"/>
        <v>22124.600000000002</v>
      </c>
      <c r="R37" s="388">
        <f t="shared" si="9"/>
        <v>24959.600000000002</v>
      </c>
      <c r="S37" s="388">
        <f t="shared" si="9"/>
        <v>21314.600000000002</v>
      </c>
      <c r="T37" s="49"/>
      <c r="U37" s="49"/>
      <c r="V37" s="49"/>
      <c r="W37" s="49"/>
      <c r="X37" s="49"/>
      <c r="Y37" s="49"/>
      <c r="Z37" s="49"/>
      <c r="AA37" s="49"/>
      <c r="AB37" s="49"/>
      <c r="AC37" s="49"/>
      <c r="AD37" s="49"/>
      <c r="AE37" s="49"/>
    </row>
    <row r="38" spans="1:31">
      <c r="A38" s="43"/>
      <c r="B38" s="43"/>
      <c r="C38" s="43"/>
      <c r="D38" s="43"/>
      <c r="E38" s="43"/>
      <c r="F38" s="696" t="s">
        <v>2128</v>
      </c>
      <c r="G38" s="636"/>
      <c r="H38" s="388">
        <f t="shared" ref="H38:S38" si="10">H8*0.07</f>
        <v>0</v>
      </c>
      <c r="I38" s="388">
        <f t="shared" si="10"/>
        <v>12600.000000000002</v>
      </c>
      <c r="J38" s="388">
        <f t="shared" si="10"/>
        <v>29400.000000000004</v>
      </c>
      <c r="K38" s="388">
        <f t="shared" si="10"/>
        <v>29400.000000000004</v>
      </c>
      <c r="L38" s="388">
        <f t="shared" si="10"/>
        <v>20999.300000000003</v>
      </c>
      <c r="M38" s="388">
        <f t="shared" si="10"/>
        <v>20999.300000000003</v>
      </c>
      <c r="N38" s="388">
        <f t="shared" si="10"/>
        <v>20999.300000000003</v>
      </c>
      <c r="O38" s="388">
        <f t="shared" si="10"/>
        <v>20999.300000000003</v>
      </c>
      <c r="P38" s="388">
        <f t="shared" si="10"/>
        <v>20999.300000000003</v>
      </c>
      <c r="Q38" s="388">
        <f t="shared" si="10"/>
        <v>20999.300000000003</v>
      </c>
      <c r="R38" s="388">
        <f t="shared" si="10"/>
        <v>20999.300000000003</v>
      </c>
      <c r="S38" s="388">
        <f t="shared" si="10"/>
        <v>20999.300000000003</v>
      </c>
      <c r="T38" s="49"/>
      <c r="U38" s="49"/>
      <c r="V38" s="49"/>
      <c r="W38" s="49"/>
      <c r="X38" s="49"/>
      <c r="Y38" s="49"/>
      <c r="Z38" s="49"/>
      <c r="AA38" s="49"/>
      <c r="AB38" s="49"/>
      <c r="AC38" s="49"/>
      <c r="AD38" s="49"/>
      <c r="AE38" s="49"/>
    </row>
    <row r="39" spans="1:31">
      <c r="A39" s="43"/>
      <c r="B39" s="43"/>
      <c r="C39" s="43"/>
      <c r="D39" s="43"/>
      <c r="E39" s="43"/>
      <c r="G39" s="43"/>
      <c r="H39" s="43"/>
      <c r="I39" s="43"/>
      <c r="J39" s="43"/>
      <c r="K39" s="43"/>
      <c r="L39" s="43"/>
      <c r="M39" s="43"/>
      <c r="N39" s="43"/>
      <c r="O39" s="43"/>
      <c r="P39" s="43"/>
      <c r="Q39" s="43"/>
      <c r="R39" s="43"/>
      <c r="S39" s="43"/>
      <c r="T39" s="49"/>
      <c r="U39" s="49"/>
      <c r="V39" s="49"/>
      <c r="W39" s="49"/>
      <c r="X39" s="49"/>
      <c r="Y39" s="49"/>
      <c r="Z39" s="49"/>
      <c r="AA39" s="49"/>
      <c r="AB39" s="49"/>
      <c r="AC39" s="49"/>
      <c r="AD39" s="49"/>
      <c r="AE39" s="49"/>
    </row>
    <row r="40" spans="1:31">
      <c r="A40" s="43"/>
      <c r="B40" s="43"/>
      <c r="C40" s="43"/>
      <c r="D40" s="43"/>
      <c r="E40" s="43"/>
      <c r="F40" s="696" t="s">
        <v>2129</v>
      </c>
      <c r="G40" s="636"/>
      <c r="H40" s="389">
        <f t="shared" ref="H40:S40" si="11">SUM(H32:H38)</f>
        <v>1491</v>
      </c>
      <c r="I40" s="389">
        <f t="shared" si="11"/>
        <v>26561.72</v>
      </c>
      <c r="J40" s="389">
        <f t="shared" si="11"/>
        <v>63534</v>
      </c>
      <c r="K40" s="389">
        <f t="shared" si="11"/>
        <v>72754</v>
      </c>
      <c r="L40" s="389">
        <f t="shared" si="11"/>
        <v>72652.899999999994</v>
      </c>
      <c r="M40" s="389">
        <f t="shared" si="11"/>
        <v>90992.900000000009</v>
      </c>
      <c r="N40" s="389">
        <f t="shared" si="11"/>
        <v>111952.90000000001</v>
      </c>
      <c r="O40" s="389">
        <f t="shared" si="11"/>
        <v>132912.90000000002</v>
      </c>
      <c r="P40" s="389">
        <f t="shared" si="11"/>
        <v>153467.90000000002</v>
      </c>
      <c r="Q40" s="389">
        <f t="shared" si="11"/>
        <v>173617.90000000002</v>
      </c>
      <c r="R40" s="389">
        <f t="shared" si="11"/>
        <v>195792.90000000002</v>
      </c>
      <c r="S40" s="389">
        <f t="shared" si="11"/>
        <v>121073.40000000001</v>
      </c>
      <c r="T40" s="49"/>
      <c r="U40" s="49"/>
      <c r="V40" s="49"/>
      <c r="W40" s="49"/>
      <c r="X40" s="49"/>
      <c r="Y40" s="49"/>
      <c r="Z40" s="49"/>
      <c r="AA40" s="49"/>
      <c r="AB40" s="49"/>
      <c r="AC40" s="49"/>
      <c r="AD40" s="49"/>
      <c r="AE40" s="49"/>
    </row>
    <row r="41" spans="1:31">
      <c r="A41" s="43"/>
      <c r="B41" s="43"/>
      <c r="C41" s="43"/>
      <c r="D41" s="43"/>
      <c r="E41" s="43"/>
      <c r="F41" s="43" t="s">
        <v>2130</v>
      </c>
      <c r="G41" s="43"/>
      <c r="H41" s="43"/>
      <c r="I41" s="43"/>
      <c r="J41" s="43"/>
      <c r="K41" s="43"/>
      <c r="L41" s="43"/>
      <c r="M41" s="43"/>
      <c r="N41" s="43"/>
      <c r="O41" s="43"/>
      <c r="P41" s="43"/>
      <c r="Q41" s="43"/>
      <c r="R41" s="43"/>
      <c r="S41" s="43"/>
      <c r="T41" s="49"/>
      <c r="U41" s="49"/>
      <c r="V41" s="49"/>
      <c r="W41" s="49"/>
      <c r="X41" s="49"/>
      <c r="Y41" s="49"/>
      <c r="Z41" s="49"/>
      <c r="AA41" s="49"/>
      <c r="AB41" s="49"/>
      <c r="AC41" s="49"/>
      <c r="AD41" s="49"/>
      <c r="AE41" s="49"/>
    </row>
    <row r="42" spans="1:31">
      <c r="A42" s="43"/>
      <c r="B42" s="43"/>
      <c r="C42" s="43"/>
      <c r="D42" s="43"/>
      <c r="E42" s="43"/>
      <c r="F42" s="43"/>
      <c r="G42" s="43"/>
      <c r="H42" s="43"/>
      <c r="I42" s="43"/>
      <c r="J42" s="43"/>
      <c r="K42" s="43"/>
      <c r="L42" s="43"/>
      <c r="M42" s="43"/>
      <c r="N42" s="43"/>
      <c r="O42" s="43"/>
      <c r="P42" s="43"/>
      <c r="Q42" s="43"/>
      <c r="R42" s="43"/>
      <c r="S42" s="43"/>
      <c r="T42" s="49"/>
      <c r="U42" s="49"/>
      <c r="V42" s="49"/>
      <c r="W42" s="49"/>
      <c r="X42" s="49"/>
      <c r="Y42" s="49"/>
      <c r="Z42" s="49"/>
      <c r="AA42" s="49"/>
      <c r="AB42" s="49"/>
      <c r="AC42" s="49"/>
      <c r="AD42" s="49"/>
      <c r="AE42" s="49"/>
    </row>
    <row r="43" spans="1:31">
      <c r="A43" s="43"/>
      <c r="B43" s="43"/>
      <c r="C43" s="43"/>
      <c r="D43" s="43"/>
      <c r="E43" s="43"/>
      <c r="F43" s="697" t="s">
        <v>2131</v>
      </c>
      <c r="G43" s="635"/>
      <c r="H43" s="635"/>
      <c r="I43" s="635"/>
      <c r="J43" s="636"/>
      <c r="K43" s="43"/>
      <c r="L43" s="43"/>
      <c r="M43" s="43"/>
      <c r="N43" s="43"/>
      <c r="O43" s="43"/>
      <c r="P43" s="43"/>
      <c r="Q43" s="43"/>
      <c r="R43" s="43"/>
      <c r="S43" s="43"/>
      <c r="T43" s="49"/>
      <c r="U43" s="49"/>
      <c r="V43" s="49"/>
      <c r="W43" s="49"/>
      <c r="X43" s="49"/>
      <c r="Y43" s="49"/>
      <c r="Z43" s="49"/>
      <c r="AA43" s="49"/>
      <c r="AB43" s="49"/>
      <c r="AC43" s="49"/>
      <c r="AD43" s="49"/>
      <c r="AE43" s="49"/>
    </row>
    <row r="44" spans="1:31">
      <c r="A44" s="43"/>
      <c r="B44" s="43"/>
      <c r="C44" s="43"/>
      <c r="D44" s="43"/>
      <c r="E44" s="43"/>
      <c r="F44" s="43"/>
      <c r="G44" s="43"/>
      <c r="H44" s="43"/>
      <c r="I44" s="43"/>
      <c r="J44" s="43"/>
      <c r="K44" s="43"/>
      <c r="L44" s="43"/>
      <c r="M44" s="43"/>
      <c r="N44" s="43"/>
      <c r="O44" s="43"/>
      <c r="P44" s="43"/>
      <c r="Q44" s="43"/>
      <c r="R44" s="43"/>
      <c r="S44" s="43"/>
      <c r="T44" s="49"/>
      <c r="U44" s="49"/>
      <c r="V44" s="49"/>
      <c r="W44" s="49"/>
      <c r="X44" s="49"/>
      <c r="Y44" s="49"/>
      <c r="Z44" s="49"/>
      <c r="AA44" s="49"/>
      <c r="AB44" s="49"/>
      <c r="AC44" s="49"/>
      <c r="AD44" s="49"/>
      <c r="AE44" s="49"/>
    </row>
    <row r="45" spans="1:31">
      <c r="A45" s="43"/>
      <c r="B45" s="43"/>
      <c r="C45" s="43"/>
      <c r="D45" s="43"/>
      <c r="E45" s="43"/>
      <c r="F45" s="43"/>
      <c r="T45" s="49"/>
      <c r="U45" s="49"/>
      <c r="V45" s="49"/>
      <c r="W45" s="49"/>
      <c r="X45" s="49"/>
      <c r="Y45" s="49"/>
      <c r="Z45" s="49"/>
      <c r="AA45" s="49"/>
      <c r="AB45" s="49"/>
      <c r="AC45" s="49"/>
      <c r="AD45" s="49"/>
      <c r="AE45" s="49"/>
    </row>
    <row r="46" spans="1:31">
      <c r="A46" s="43"/>
      <c r="B46" s="43"/>
      <c r="C46" s="43"/>
      <c r="D46" s="43"/>
      <c r="E46" s="43"/>
      <c r="F46" s="43"/>
      <c r="G46" s="43" t="s">
        <v>2132</v>
      </c>
      <c r="H46" s="88">
        <f t="shared" ref="H46:S46" si="12">-SUM(H37:H38)</f>
        <v>0</v>
      </c>
      <c r="I46" s="88">
        <f t="shared" si="12"/>
        <v>-19800</v>
      </c>
      <c r="J46" s="88">
        <f t="shared" si="12"/>
        <v>-47779.5</v>
      </c>
      <c r="K46" s="88">
        <f t="shared" si="12"/>
        <v>-48630</v>
      </c>
      <c r="L46" s="88">
        <f t="shared" si="12"/>
        <v>-36441.4</v>
      </c>
      <c r="M46" s="88">
        <f t="shared" si="12"/>
        <v>-37858.9</v>
      </c>
      <c r="N46" s="88">
        <f t="shared" si="12"/>
        <v>-39478.900000000009</v>
      </c>
      <c r="O46" s="88">
        <f t="shared" si="12"/>
        <v>-41098.900000000009</v>
      </c>
      <c r="P46" s="88">
        <f t="shared" si="12"/>
        <v>-42313.900000000009</v>
      </c>
      <c r="Q46" s="88">
        <f t="shared" si="12"/>
        <v>-43123.900000000009</v>
      </c>
      <c r="R46" s="88">
        <f t="shared" si="12"/>
        <v>-45958.900000000009</v>
      </c>
      <c r="S46" s="88">
        <f t="shared" si="12"/>
        <v>-42313.900000000009</v>
      </c>
      <c r="T46" s="49"/>
      <c r="U46" s="49"/>
      <c r="V46" s="49"/>
      <c r="W46" s="49"/>
      <c r="X46" s="49"/>
      <c r="Y46" s="49"/>
      <c r="Z46" s="49"/>
      <c r="AA46" s="49"/>
      <c r="AB46" s="49"/>
      <c r="AC46" s="49"/>
      <c r="AD46" s="49"/>
      <c r="AE46" s="49"/>
    </row>
    <row r="47" spans="1:31">
      <c r="A47" s="43"/>
      <c r="B47" s="43"/>
      <c r="C47" s="43"/>
      <c r="D47" s="43"/>
      <c r="E47" s="43"/>
      <c r="F47" s="43"/>
      <c r="G47" s="43" t="s">
        <v>2133</v>
      </c>
      <c r="H47" s="88">
        <f t="shared" ref="H47:S47" si="13">-SUM(H32:H36)</f>
        <v>-1491</v>
      </c>
      <c r="I47" s="88">
        <f t="shared" si="13"/>
        <v>-6761.72</v>
      </c>
      <c r="J47" s="88">
        <f t="shared" si="13"/>
        <v>-15754.5</v>
      </c>
      <c r="K47" s="88">
        <f t="shared" si="13"/>
        <v>-24124</v>
      </c>
      <c r="L47" s="88">
        <f t="shared" si="13"/>
        <v>-36211.5</v>
      </c>
      <c r="M47" s="88">
        <f t="shared" si="13"/>
        <v>-53134</v>
      </c>
      <c r="N47" s="88">
        <f t="shared" si="13"/>
        <v>-72474</v>
      </c>
      <c r="O47" s="88">
        <f t="shared" si="13"/>
        <v>-91814</v>
      </c>
      <c r="P47" s="88">
        <f t="shared" si="13"/>
        <v>-111154</v>
      </c>
      <c r="Q47" s="88">
        <f t="shared" si="13"/>
        <v>-130494</v>
      </c>
      <c r="R47" s="88">
        <f t="shared" si="13"/>
        <v>-149834</v>
      </c>
      <c r="S47" s="88">
        <f t="shared" si="13"/>
        <v>-78759.5</v>
      </c>
      <c r="T47" s="49"/>
      <c r="U47" s="49"/>
      <c r="V47" s="49"/>
      <c r="W47" s="49"/>
      <c r="X47" s="49"/>
      <c r="Y47" s="49"/>
      <c r="Z47" s="49"/>
      <c r="AA47" s="49"/>
      <c r="AB47" s="49"/>
      <c r="AC47" s="49"/>
      <c r="AD47" s="49"/>
      <c r="AE47" s="49"/>
    </row>
    <row r="48" spans="1:31">
      <c r="A48" s="43"/>
      <c r="B48" s="43"/>
      <c r="C48" s="43"/>
      <c r="D48" s="43"/>
      <c r="E48" s="43"/>
      <c r="F48" s="49"/>
      <c r="G48" s="43"/>
      <c r="H48" s="43"/>
      <c r="I48" s="43"/>
      <c r="J48" s="43"/>
      <c r="K48" s="43"/>
      <c r="L48" s="43"/>
      <c r="M48" s="43"/>
      <c r="N48" s="43"/>
      <c r="O48" s="43"/>
      <c r="P48" s="43"/>
      <c r="Q48" s="43"/>
      <c r="R48" s="43"/>
      <c r="S48" s="43"/>
      <c r="T48" s="49"/>
      <c r="U48" s="49"/>
      <c r="V48" s="49"/>
      <c r="W48" s="49"/>
      <c r="X48" s="49"/>
      <c r="Y48" s="49"/>
      <c r="Z48" s="49"/>
      <c r="AA48" s="49"/>
      <c r="AB48" s="49"/>
      <c r="AC48" s="49"/>
      <c r="AD48" s="49"/>
      <c r="AE48" s="49"/>
    </row>
    <row r="49" spans="1:31" ht="17.25">
      <c r="A49" s="43"/>
      <c r="B49" s="43"/>
      <c r="C49" s="43"/>
      <c r="D49" s="43"/>
      <c r="E49" s="43"/>
      <c r="F49" s="390" t="s">
        <v>2134</v>
      </c>
      <c r="G49" s="56"/>
      <c r="H49" s="45" t="s">
        <v>37</v>
      </c>
      <c r="I49" s="45" t="s">
        <v>38</v>
      </c>
      <c r="J49" s="45" t="s">
        <v>39</v>
      </c>
      <c r="K49" s="45" t="s">
        <v>40</v>
      </c>
      <c r="L49" s="45" t="s">
        <v>41</v>
      </c>
      <c r="M49" s="45" t="s">
        <v>42</v>
      </c>
      <c r="N49" s="45" t="s">
        <v>43</v>
      </c>
      <c r="O49" s="45" t="s">
        <v>44</v>
      </c>
      <c r="P49" s="45" t="s">
        <v>33</v>
      </c>
      <c r="Q49" s="45" t="s">
        <v>34</v>
      </c>
      <c r="R49" s="46" t="s">
        <v>35</v>
      </c>
      <c r="S49" s="47" t="s">
        <v>36</v>
      </c>
      <c r="T49" s="49"/>
      <c r="U49" s="49"/>
      <c r="V49" s="49"/>
      <c r="W49" s="49"/>
      <c r="X49" s="49"/>
      <c r="Y49" s="49"/>
      <c r="Z49" s="49"/>
      <c r="AA49" s="49"/>
      <c r="AB49" s="49"/>
      <c r="AC49" s="49"/>
      <c r="AD49" s="49"/>
      <c r="AE49" s="49"/>
    </row>
    <row r="50" spans="1:31">
      <c r="A50" s="43"/>
      <c r="B50" s="43"/>
      <c r="C50" s="43"/>
      <c r="D50" s="43"/>
      <c r="E50" s="43"/>
      <c r="F50" s="391">
        <v>45682</v>
      </c>
      <c r="G50" s="56"/>
      <c r="H50" s="392"/>
      <c r="I50" s="56"/>
      <c r="J50" s="56"/>
      <c r="K50" s="56"/>
      <c r="L50" s="56"/>
      <c r="M50" s="56"/>
      <c r="N50" s="56"/>
      <c r="O50" s="56"/>
      <c r="P50" s="56"/>
      <c r="Q50" s="56"/>
      <c r="R50" s="56"/>
      <c r="S50" s="393"/>
      <c r="T50" s="49"/>
      <c r="U50" s="49"/>
      <c r="V50" s="49"/>
      <c r="W50" s="49"/>
      <c r="X50" s="49"/>
      <c r="Y50" s="49"/>
      <c r="Z50" s="49"/>
      <c r="AA50" s="49"/>
      <c r="AB50" s="49"/>
      <c r="AC50" s="49"/>
      <c r="AD50" s="49"/>
      <c r="AE50" s="49"/>
    </row>
    <row r="51" spans="1:31">
      <c r="A51" s="43"/>
      <c r="B51" s="43"/>
      <c r="C51" s="43"/>
      <c r="D51" s="43"/>
      <c r="E51" s="43"/>
      <c r="F51" s="394" t="s">
        <v>2135</v>
      </c>
      <c r="G51" s="43"/>
      <c r="H51" s="395">
        <f>H12*$C$15</f>
        <v>48600</v>
      </c>
      <c r="I51" s="43"/>
      <c r="J51" s="43"/>
      <c r="K51" s="43"/>
      <c r="L51" s="43"/>
      <c r="M51" s="43"/>
      <c r="N51" s="43"/>
      <c r="O51" s="43"/>
      <c r="P51" s="43"/>
      <c r="Q51" s="43"/>
      <c r="R51" s="43"/>
      <c r="S51" s="396"/>
      <c r="T51" s="49"/>
      <c r="U51" s="49"/>
      <c r="V51" s="49"/>
      <c r="W51" s="49"/>
      <c r="X51" s="49"/>
      <c r="Y51" s="49"/>
      <c r="Z51" s="49"/>
      <c r="AA51" s="49"/>
      <c r="AB51" s="49"/>
      <c r="AC51" s="49"/>
      <c r="AD51" s="49"/>
      <c r="AE51" s="49"/>
    </row>
    <row r="52" spans="1:31">
      <c r="A52" s="43"/>
      <c r="B52" s="43"/>
      <c r="C52" s="43"/>
      <c r="D52" s="43"/>
      <c r="E52" s="43"/>
      <c r="F52" s="394" t="s">
        <v>2136</v>
      </c>
      <c r="G52" s="43"/>
      <c r="H52" s="395">
        <f>H7</f>
        <v>21300</v>
      </c>
      <c r="I52" s="43"/>
      <c r="J52" s="43"/>
      <c r="K52" s="43"/>
      <c r="L52" s="43"/>
      <c r="M52" s="43"/>
      <c r="N52" s="43"/>
      <c r="O52" s="43"/>
      <c r="P52" s="43"/>
      <c r="Q52" s="43"/>
      <c r="R52" s="43"/>
      <c r="S52" s="396"/>
      <c r="T52" s="49"/>
      <c r="U52" s="49"/>
      <c r="V52" s="49"/>
      <c r="W52" s="49"/>
      <c r="X52" s="49"/>
      <c r="Y52" s="49"/>
      <c r="Z52" s="49"/>
      <c r="AA52" s="49"/>
      <c r="AB52" s="49"/>
      <c r="AC52" s="49"/>
      <c r="AD52" s="49"/>
      <c r="AE52" s="49"/>
    </row>
    <row r="53" spans="1:31">
      <c r="A53" s="43"/>
      <c r="B53" s="43"/>
      <c r="C53" s="43"/>
      <c r="D53" s="43"/>
      <c r="E53" s="43"/>
      <c r="F53" s="394" t="s">
        <v>2134</v>
      </c>
      <c r="G53" s="395">
        <f>SUM(H53:S53)</f>
        <v>232505.4618806559</v>
      </c>
      <c r="H53" s="395">
        <f>H51-H52</f>
        <v>27300</v>
      </c>
      <c r="I53" s="395">
        <f t="shared" ref="I53:S53" si="14">H53*(1-$C$30)</f>
        <v>25525.5</v>
      </c>
      <c r="J53" s="395">
        <f t="shared" si="14"/>
        <v>23866.342500000002</v>
      </c>
      <c r="K53" s="395">
        <f t="shared" si="14"/>
        <v>22315.030237500003</v>
      </c>
      <c r="L53" s="395">
        <f t="shared" si="14"/>
        <v>20864.553272062505</v>
      </c>
      <c r="M53" s="395">
        <f t="shared" si="14"/>
        <v>19508.357309378443</v>
      </c>
      <c r="N53" s="395">
        <f t="shared" si="14"/>
        <v>18240.314084268844</v>
      </c>
      <c r="O53" s="395">
        <f t="shared" si="14"/>
        <v>17054.693668791369</v>
      </c>
      <c r="P53" s="395">
        <f t="shared" si="14"/>
        <v>15946.138580319932</v>
      </c>
      <c r="Q53" s="395">
        <f t="shared" si="14"/>
        <v>14909.639572599137</v>
      </c>
      <c r="R53" s="395">
        <f t="shared" si="14"/>
        <v>13940.513000380193</v>
      </c>
      <c r="S53" s="397">
        <f t="shared" si="14"/>
        <v>13034.379655355482</v>
      </c>
      <c r="T53" s="49"/>
      <c r="U53" s="49"/>
      <c r="V53" s="49"/>
      <c r="W53" s="49"/>
      <c r="X53" s="49"/>
      <c r="Y53" s="49"/>
      <c r="Z53" s="49"/>
      <c r="AA53" s="49"/>
      <c r="AB53" s="49"/>
      <c r="AC53" s="49"/>
      <c r="AD53" s="49"/>
      <c r="AE53" s="49"/>
    </row>
    <row r="54" spans="1:31">
      <c r="A54" s="43"/>
      <c r="B54" s="43"/>
      <c r="C54" s="43"/>
      <c r="D54" s="43"/>
      <c r="E54" s="43"/>
      <c r="F54" s="394" t="s">
        <v>2137</v>
      </c>
      <c r="G54" s="395">
        <f>SUM(H54:S55)</f>
        <v>0</v>
      </c>
      <c r="H54" s="43"/>
      <c r="I54" s="398"/>
      <c r="J54" s="395">
        <f t="shared" ref="J54:S54" si="15">I54*(1-$C$30)</f>
        <v>0</v>
      </c>
      <c r="K54" s="395">
        <f t="shared" si="15"/>
        <v>0</v>
      </c>
      <c r="L54" s="395">
        <f t="shared" si="15"/>
        <v>0</v>
      </c>
      <c r="M54" s="395">
        <f t="shared" si="15"/>
        <v>0</v>
      </c>
      <c r="N54" s="395">
        <f t="shared" si="15"/>
        <v>0</v>
      </c>
      <c r="O54" s="395">
        <f t="shared" si="15"/>
        <v>0</v>
      </c>
      <c r="P54" s="395">
        <f t="shared" si="15"/>
        <v>0</v>
      </c>
      <c r="Q54" s="395">
        <f t="shared" si="15"/>
        <v>0</v>
      </c>
      <c r="R54" s="395">
        <f t="shared" si="15"/>
        <v>0</v>
      </c>
      <c r="S54" s="397">
        <f t="shared" si="15"/>
        <v>0</v>
      </c>
      <c r="T54" s="49"/>
      <c r="U54" s="49"/>
      <c r="V54" s="49"/>
      <c r="W54" s="49"/>
      <c r="X54" s="49"/>
      <c r="Y54" s="49"/>
      <c r="Z54" s="49"/>
      <c r="AA54" s="49"/>
      <c r="AB54" s="49"/>
      <c r="AC54" s="49"/>
      <c r="AD54" s="49"/>
      <c r="AE54" s="49"/>
    </row>
    <row r="55" spans="1:31">
      <c r="A55" s="43"/>
      <c r="B55" s="43"/>
      <c r="C55" s="43"/>
      <c r="D55" s="43"/>
      <c r="E55" s="43"/>
      <c r="F55" s="399"/>
      <c r="G55" s="400"/>
      <c r="H55" s="400"/>
      <c r="I55" s="400"/>
      <c r="J55" s="401">
        <f>I54</f>
        <v>0</v>
      </c>
      <c r="K55" s="402">
        <f t="shared" ref="K55:S55" si="16">J55*(1-$C$30)</f>
        <v>0</v>
      </c>
      <c r="L55" s="402">
        <f t="shared" si="16"/>
        <v>0</v>
      </c>
      <c r="M55" s="402">
        <f t="shared" si="16"/>
        <v>0</v>
      </c>
      <c r="N55" s="402">
        <f t="shared" si="16"/>
        <v>0</v>
      </c>
      <c r="O55" s="402">
        <f t="shared" si="16"/>
        <v>0</v>
      </c>
      <c r="P55" s="402">
        <f t="shared" si="16"/>
        <v>0</v>
      </c>
      <c r="Q55" s="402">
        <f t="shared" si="16"/>
        <v>0</v>
      </c>
      <c r="R55" s="402">
        <f t="shared" si="16"/>
        <v>0</v>
      </c>
      <c r="S55" s="403">
        <f t="shared" si="16"/>
        <v>0</v>
      </c>
      <c r="T55" s="49"/>
      <c r="U55" s="49"/>
      <c r="V55" s="49"/>
      <c r="W55" s="49"/>
      <c r="X55" s="49"/>
      <c r="Y55" s="49"/>
      <c r="Z55" s="49"/>
      <c r="AA55" s="49"/>
      <c r="AB55" s="49"/>
      <c r="AC55" s="49"/>
      <c r="AD55" s="49"/>
      <c r="AE55" s="49"/>
    </row>
    <row r="56" spans="1:31">
      <c r="A56" s="43"/>
      <c r="B56" s="43"/>
      <c r="C56" s="43"/>
      <c r="D56" s="43"/>
      <c r="E56" s="43"/>
      <c r="F56" s="43"/>
      <c r="G56" s="43"/>
      <c r="H56" s="43"/>
      <c r="I56" s="43"/>
      <c r="J56" s="43"/>
      <c r="K56" s="43"/>
      <c r="L56" s="43"/>
      <c r="M56" s="43"/>
      <c r="N56" s="43"/>
      <c r="O56" s="43"/>
      <c r="P56" s="43"/>
      <c r="Q56" s="43"/>
      <c r="R56" s="43"/>
      <c r="S56" s="43"/>
      <c r="T56" s="49"/>
      <c r="U56" s="49"/>
      <c r="V56" s="49"/>
      <c r="W56" s="49"/>
      <c r="X56" s="49"/>
      <c r="Y56" s="49"/>
      <c r="Z56" s="49"/>
      <c r="AA56" s="49"/>
      <c r="AB56" s="49"/>
      <c r="AC56" s="49"/>
      <c r="AD56" s="49"/>
      <c r="AE56" s="49"/>
    </row>
    <row r="57" spans="1:31" ht="17.25">
      <c r="A57" s="43"/>
      <c r="B57" s="43"/>
      <c r="C57" s="43"/>
      <c r="D57" s="43"/>
      <c r="E57" s="43"/>
      <c r="F57" s="390" t="s">
        <v>2134</v>
      </c>
      <c r="G57" s="56"/>
      <c r="H57" s="45" t="s">
        <v>37</v>
      </c>
      <c r="I57" s="45" t="s">
        <v>38</v>
      </c>
      <c r="J57" s="45" t="s">
        <v>39</v>
      </c>
      <c r="K57" s="45" t="s">
        <v>40</v>
      </c>
      <c r="L57" s="45" t="s">
        <v>41</v>
      </c>
      <c r="M57" s="45" t="s">
        <v>42</v>
      </c>
      <c r="N57" s="45" t="s">
        <v>43</v>
      </c>
      <c r="O57" s="45" t="s">
        <v>44</v>
      </c>
      <c r="P57" s="45" t="s">
        <v>33</v>
      </c>
      <c r="Q57" s="45" t="s">
        <v>34</v>
      </c>
      <c r="R57" s="46" t="s">
        <v>35</v>
      </c>
      <c r="S57" s="47" t="s">
        <v>36</v>
      </c>
      <c r="T57" s="49"/>
      <c r="U57" s="49"/>
      <c r="V57" s="49"/>
      <c r="W57" s="49"/>
      <c r="X57" s="49"/>
      <c r="Y57" s="49"/>
      <c r="Z57" s="49"/>
      <c r="AA57" s="49"/>
      <c r="AB57" s="49"/>
      <c r="AC57" s="49"/>
      <c r="AD57" s="49"/>
      <c r="AE57" s="49"/>
    </row>
    <row r="58" spans="1:31">
      <c r="A58" s="43"/>
      <c r="B58" s="43"/>
      <c r="C58" s="43"/>
      <c r="D58" s="43"/>
      <c r="E58" s="43"/>
      <c r="F58" s="391">
        <v>45713</v>
      </c>
      <c r="G58" s="56"/>
      <c r="H58" s="392"/>
      <c r="I58" s="56"/>
      <c r="J58" s="56"/>
      <c r="K58" s="56"/>
      <c r="L58" s="56"/>
      <c r="M58" s="56"/>
      <c r="N58" s="56"/>
      <c r="O58" s="56"/>
      <c r="P58" s="56"/>
      <c r="Q58" s="56"/>
      <c r="R58" s="56"/>
      <c r="S58" s="393"/>
      <c r="T58" s="49"/>
      <c r="U58" s="49"/>
      <c r="V58" s="49"/>
      <c r="W58" s="49"/>
      <c r="X58" s="49"/>
      <c r="Y58" s="49"/>
      <c r="Z58" s="49"/>
      <c r="AA58" s="49"/>
      <c r="AB58" s="49"/>
      <c r="AC58" s="49"/>
      <c r="AD58" s="49"/>
      <c r="AE58" s="49"/>
    </row>
    <row r="59" spans="1:31">
      <c r="A59" s="43"/>
      <c r="B59" s="43"/>
      <c r="C59" s="43"/>
      <c r="D59" s="43"/>
      <c r="E59" s="43"/>
      <c r="F59" s="394" t="s">
        <v>2135</v>
      </c>
      <c r="G59" s="43"/>
      <c r="H59" s="395">
        <f>H20*$C$15</f>
        <v>0</v>
      </c>
      <c r="I59" s="395">
        <f t="shared" ref="I59:J59" si="17">SUM(I12*$C$15)</f>
        <v>64800</v>
      </c>
      <c r="J59" s="395">
        <f t="shared" si="17"/>
        <v>109350</v>
      </c>
      <c r="K59" s="395"/>
      <c r="L59" s="395"/>
      <c r="M59" s="395"/>
      <c r="N59" s="395"/>
      <c r="O59" s="395"/>
      <c r="P59" s="395"/>
      <c r="Q59" s="395"/>
      <c r="R59" s="395"/>
      <c r="S59" s="395"/>
      <c r="T59" s="49"/>
      <c r="U59" s="49"/>
      <c r="V59" s="49"/>
      <c r="W59" s="49"/>
      <c r="X59" s="49"/>
      <c r="Y59" s="49"/>
      <c r="Z59" s="49"/>
      <c r="AA59" s="49"/>
      <c r="AB59" s="49"/>
      <c r="AC59" s="49"/>
      <c r="AD59" s="49"/>
      <c r="AE59" s="49"/>
    </row>
    <row r="60" spans="1:31">
      <c r="A60" s="43"/>
      <c r="B60" s="43"/>
      <c r="C60" s="43"/>
      <c r="D60" s="43"/>
      <c r="E60" s="43"/>
      <c r="F60" s="394" t="s">
        <v>2136</v>
      </c>
      <c r="G60" s="43"/>
      <c r="H60" s="395"/>
      <c r="I60" s="395">
        <v>16596</v>
      </c>
      <c r="J60" s="395"/>
      <c r="K60" s="395"/>
      <c r="L60" s="395"/>
      <c r="M60" s="395"/>
      <c r="N60" s="395"/>
      <c r="O60" s="395"/>
      <c r="P60" s="395"/>
      <c r="Q60" s="395"/>
      <c r="R60" s="395"/>
      <c r="S60" s="395"/>
      <c r="T60" s="49"/>
      <c r="U60" s="49"/>
      <c r="V60" s="49"/>
      <c r="W60" s="49"/>
      <c r="X60" s="49"/>
      <c r="Y60" s="49"/>
      <c r="Z60" s="49"/>
      <c r="AA60" s="49"/>
      <c r="AB60" s="49"/>
      <c r="AC60" s="49"/>
      <c r="AD60" s="49"/>
      <c r="AE60" s="49"/>
    </row>
    <row r="61" spans="1:31">
      <c r="A61" s="43"/>
      <c r="B61" s="43"/>
      <c r="C61" s="43"/>
      <c r="D61" s="43"/>
      <c r="E61" s="43"/>
      <c r="F61" s="394" t="s">
        <v>2134</v>
      </c>
      <c r="G61" s="395">
        <f>SUM(H61:S61)</f>
        <v>387523.22518638772</v>
      </c>
      <c r="H61" s="395">
        <f t="shared" ref="H61:I61" si="18">H59-H60</f>
        <v>0</v>
      </c>
      <c r="I61" s="395">
        <f t="shared" si="18"/>
        <v>48204</v>
      </c>
      <c r="J61" s="395">
        <f t="shared" ref="J61:S61" si="19">I61*(1-$C$30)</f>
        <v>45070.740000000005</v>
      </c>
      <c r="K61" s="395">
        <f t="shared" si="19"/>
        <v>42141.14190000001</v>
      </c>
      <c r="L61" s="395">
        <f t="shared" si="19"/>
        <v>39401.967676500011</v>
      </c>
      <c r="M61" s="395">
        <f t="shared" si="19"/>
        <v>36840.839777527515</v>
      </c>
      <c r="N61" s="395">
        <f t="shared" si="19"/>
        <v>34446.185191988232</v>
      </c>
      <c r="O61" s="395">
        <f t="shared" si="19"/>
        <v>32207.183154508999</v>
      </c>
      <c r="P61" s="395">
        <f t="shared" si="19"/>
        <v>30113.716249465917</v>
      </c>
      <c r="Q61" s="395">
        <f t="shared" si="19"/>
        <v>28156.324693250634</v>
      </c>
      <c r="R61" s="395">
        <f t="shared" si="19"/>
        <v>26326.163588189345</v>
      </c>
      <c r="S61" s="397">
        <f t="shared" si="19"/>
        <v>24614.962954957038</v>
      </c>
      <c r="T61" s="49"/>
      <c r="U61" s="49"/>
      <c r="V61" s="49"/>
      <c r="W61" s="49"/>
      <c r="X61" s="49"/>
      <c r="Y61" s="49"/>
      <c r="Z61" s="49"/>
      <c r="AA61" s="49"/>
      <c r="AB61" s="49"/>
      <c r="AC61" s="49"/>
      <c r="AD61" s="49"/>
      <c r="AE61" s="49"/>
    </row>
    <row r="62" spans="1:31">
      <c r="A62" s="43"/>
      <c r="B62" s="43"/>
      <c r="C62" s="43"/>
      <c r="D62" s="43"/>
      <c r="E62" s="43"/>
      <c r="F62" s="394" t="s">
        <v>2137</v>
      </c>
      <c r="G62" s="395">
        <f>SUM(H62:S63)</f>
        <v>387722.50238400698</v>
      </c>
      <c r="H62" s="43"/>
      <c r="I62" s="395"/>
      <c r="J62" s="398">
        <v>51500</v>
      </c>
      <c r="K62" s="395">
        <f t="shared" ref="K62:S62" si="20">J62*(1-$C$30)</f>
        <v>48152.5</v>
      </c>
      <c r="L62" s="395">
        <f t="shared" si="20"/>
        <v>45022.587500000001</v>
      </c>
      <c r="M62" s="395">
        <f t="shared" si="20"/>
        <v>42096.119312500006</v>
      </c>
      <c r="N62" s="395">
        <f t="shared" si="20"/>
        <v>39359.871557187507</v>
      </c>
      <c r="O62" s="395">
        <f t="shared" si="20"/>
        <v>36801.479905970322</v>
      </c>
      <c r="P62" s="395">
        <f t="shared" si="20"/>
        <v>34409.38371208225</v>
      </c>
      <c r="Q62" s="395">
        <f t="shared" si="20"/>
        <v>32172.773770796906</v>
      </c>
      <c r="R62" s="395">
        <f t="shared" si="20"/>
        <v>30081.543475695111</v>
      </c>
      <c r="S62" s="397">
        <f t="shared" si="20"/>
        <v>28126.243149774931</v>
      </c>
      <c r="T62" s="49"/>
      <c r="U62" s="49"/>
      <c r="V62" s="49"/>
      <c r="W62" s="49"/>
      <c r="X62" s="49"/>
      <c r="Y62" s="49"/>
      <c r="Z62" s="49"/>
      <c r="AA62" s="49"/>
      <c r="AB62" s="49"/>
      <c r="AC62" s="49"/>
      <c r="AD62" s="49"/>
      <c r="AE62" s="49"/>
    </row>
    <row r="63" spans="1:31">
      <c r="A63" s="43"/>
      <c r="B63" s="43"/>
      <c r="C63" s="43"/>
      <c r="D63" s="43"/>
      <c r="E63" s="43"/>
      <c r="F63" s="399"/>
      <c r="G63" s="400"/>
      <c r="H63" s="400"/>
      <c r="I63" s="400"/>
      <c r="J63" s="402">
        <f>I62</f>
        <v>0</v>
      </c>
      <c r="K63" s="402">
        <f t="shared" ref="K63:S63" si="21">J63*(1-$C$30)</f>
        <v>0</v>
      </c>
      <c r="L63" s="402">
        <f t="shared" si="21"/>
        <v>0</v>
      </c>
      <c r="M63" s="402">
        <f t="shared" si="21"/>
        <v>0</v>
      </c>
      <c r="N63" s="402">
        <f t="shared" si="21"/>
        <v>0</v>
      </c>
      <c r="O63" s="402">
        <f t="shared" si="21"/>
        <v>0</v>
      </c>
      <c r="P63" s="402">
        <f t="shared" si="21"/>
        <v>0</v>
      </c>
      <c r="Q63" s="402">
        <f t="shared" si="21"/>
        <v>0</v>
      </c>
      <c r="R63" s="402">
        <f t="shared" si="21"/>
        <v>0</v>
      </c>
      <c r="S63" s="403">
        <f t="shared" si="21"/>
        <v>0</v>
      </c>
      <c r="T63" s="49"/>
      <c r="U63" s="49"/>
      <c r="V63" s="49"/>
      <c r="W63" s="49"/>
      <c r="X63" s="49"/>
      <c r="Y63" s="49"/>
      <c r="Z63" s="49"/>
      <c r="AA63" s="49"/>
      <c r="AB63" s="49"/>
      <c r="AC63" s="49"/>
      <c r="AD63" s="49"/>
      <c r="AE63" s="49"/>
    </row>
    <row r="64" spans="1:31">
      <c r="A64" s="43"/>
      <c r="B64" s="43"/>
      <c r="C64" s="43"/>
      <c r="D64" s="43"/>
      <c r="E64" s="43"/>
      <c r="F64" s="43"/>
      <c r="G64" s="43"/>
      <c r="H64" s="43"/>
      <c r="I64" s="43"/>
      <c r="J64" s="43"/>
      <c r="K64" s="43"/>
      <c r="L64" s="43"/>
      <c r="M64" s="43"/>
      <c r="N64" s="43"/>
      <c r="O64" s="43"/>
      <c r="P64" s="43"/>
      <c r="Q64" s="43"/>
      <c r="R64" s="43"/>
      <c r="S64" s="43"/>
      <c r="T64" s="49"/>
      <c r="U64" s="49"/>
      <c r="V64" s="49"/>
      <c r="W64" s="49"/>
      <c r="X64" s="49"/>
      <c r="Y64" s="49"/>
      <c r="Z64" s="49"/>
      <c r="AA64" s="49"/>
      <c r="AB64" s="49"/>
      <c r="AC64" s="49"/>
      <c r="AD64" s="49"/>
      <c r="AE64" s="49"/>
    </row>
    <row r="65" spans="1:31">
      <c r="A65" s="43"/>
      <c r="B65" s="43"/>
      <c r="C65" s="43"/>
      <c r="D65" s="43"/>
      <c r="E65" s="43"/>
      <c r="F65" s="43"/>
      <c r="G65" s="43"/>
      <c r="H65" s="43"/>
      <c r="I65" s="43"/>
      <c r="J65" s="43"/>
      <c r="K65" s="43"/>
      <c r="L65" s="43"/>
      <c r="M65" s="43"/>
      <c r="N65" s="43"/>
      <c r="O65" s="43"/>
      <c r="P65" s="43"/>
      <c r="Q65" s="43"/>
      <c r="R65" s="43"/>
      <c r="S65" s="43"/>
      <c r="T65" s="49"/>
      <c r="U65" s="49"/>
      <c r="V65" s="49"/>
      <c r="W65" s="49"/>
      <c r="X65" s="49"/>
      <c r="Y65" s="49"/>
      <c r="Z65" s="49"/>
      <c r="AA65" s="49"/>
      <c r="AB65" s="49"/>
      <c r="AC65" s="49"/>
      <c r="AD65" s="49"/>
      <c r="AE65" s="49"/>
    </row>
    <row r="66" spans="1:31">
      <c r="A66" s="43"/>
      <c r="B66" s="43"/>
      <c r="C66" s="43"/>
      <c r="D66" s="43"/>
      <c r="E66" s="43"/>
      <c r="F66" s="43"/>
      <c r="G66" s="43"/>
      <c r="H66" s="43"/>
      <c r="I66" s="43"/>
      <c r="J66" s="43"/>
      <c r="K66" s="43"/>
      <c r="L66" s="43"/>
      <c r="M66" s="43"/>
      <c r="N66" s="43"/>
      <c r="O66" s="43"/>
      <c r="P66" s="43"/>
      <c r="Q66" s="43"/>
      <c r="R66" s="43"/>
      <c r="S66" s="43"/>
      <c r="T66" s="49"/>
      <c r="U66" s="49"/>
      <c r="V66" s="49"/>
      <c r="W66" s="49"/>
      <c r="X66" s="49"/>
      <c r="Y66" s="49"/>
      <c r="Z66" s="49"/>
      <c r="AA66" s="49"/>
      <c r="AB66" s="49"/>
      <c r="AC66" s="49"/>
      <c r="AD66" s="49"/>
      <c r="AE66" s="49"/>
    </row>
    <row r="67" spans="1:31">
      <c r="A67" s="43"/>
      <c r="B67" s="43"/>
      <c r="C67" s="43"/>
      <c r="D67" s="43"/>
      <c r="E67" s="43"/>
      <c r="F67" s="43"/>
      <c r="G67" s="43"/>
      <c r="H67" s="43"/>
      <c r="I67" s="43"/>
      <c r="J67" s="43"/>
      <c r="K67" s="43"/>
      <c r="L67" s="43"/>
      <c r="M67" s="43"/>
      <c r="N67" s="43"/>
      <c r="O67" s="43"/>
      <c r="P67" s="43"/>
      <c r="Q67" s="43"/>
      <c r="R67" s="43"/>
      <c r="S67" s="43"/>
      <c r="T67" s="49"/>
      <c r="U67" s="49"/>
      <c r="V67" s="49"/>
      <c r="W67" s="49"/>
      <c r="X67" s="49"/>
      <c r="Y67" s="49"/>
      <c r="Z67" s="49"/>
      <c r="AA67" s="49"/>
      <c r="AB67" s="49"/>
      <c r="AC67" s="49"/>
      <c r="AD67" s="49"/>
      <c r="AE67" s="49"/>
    </row>
    <row r="68" spans="1:31">
      <c r="A68" s="43"/>
      <c r="B68" s="43"/>
      <c r="C68" s="43"/>
      <c r="D68" s="43"/>
      <c r="E68" s="43"/>
      <c r="F68" s="43"/>
      <c r="G68" s="43"/>
      <c r="H68" s="43"/>
      <c r="I68" s="43"/>
      <c r="J68" s="43"/>
      <c r="K68" s="43"/>
      <c r="L68" s="43"/>
      <c r="M68" s="43"/>
      <c r="N68" s="43"/>
      <c r="O68" s="43"/>
      <c r="P68" s="43"/>
      <c r="Q68" s="43"/>
      <c r="R68" s="43"/>
      <c r="S68" s="43"/>
      <c r="T68" s="49"/>
      <c r="U68" s="49"/>
      <c r="V68" s="49"/>
      <c r="W68" s="49"/>
      <c r="X68" s="49"/>
      <c r="Y68" s="49"/>
      <c r="Z68" s="49"/>
      <c r="AA68" s="49"/>
      <c r="AB68" s="49"/>
      <c r="AC68" s="49"/>
      <c r="AD68" s="49"/>
      <c r="AE68" s="49"/>
    </row>
    <row r="69" spans="1:31">
      <c r="A69" s="43"/>
      <c r="B69" s="43"/>
      <c r="C69" s="43"/>
      <c r="D69" s="43"/>
      <c r="E69" s="43"/>
      <c r="F69" s="43"/>
      <c r="G69" s="43"/>
      <c r="H69" s="43"/>
      <c r="I69" s="43"/>
      <c r="J69" s="43"/>
      <c r="K69" s="43"/>
      <c r="L69" s="43"/>
      <c r="M69" s="43"/>
      <c r="N69" s="43"/>
      <c r="O69" s="43"/>
      <c r="P69" s="43"/>
      <c r="Q69" s="43"/>
      <c r="R69" s="43"/>
      <c r="S69" s="43"/>
      <c r="T69" s="49"/>
      <c r="U69" s="49"/>
      <c r="V69" s="49"/>
      <c r="W69" s="49"/>
      <c r="X69" s="49"/>
      <c r="Y69" s="49"/>
      <c r="Z69" s="49"/>
      <c r="AA69" s="49"/>
      <c r="AB69" s="49"/>
      <c r="AC69" s="49"/>
      <c r="AD69" s="49"/>
      <c r="AE69" s="49"/>
    </row>
    <row r="70" spans="1:31">
      <c r="A70" s="43"/>
      <c r="B70" s="43"/>
      <c r="C70" s="43"/>
      <c r="D70" s="43"/>
      <c r="E70" s="43"/>
      <c r="F70" s="43"/>
      <c r="G70" s="43"/>
      <c r="H70" s="43"/>
      <c r="I70" s="43"/>
      <c r="J70" s="43"/>
      <c r="K70" s="43"/>
      <c r="L70" s="43"/>
      <c r="M70" s="43"/>
      <c r="N70" s="43"/>
      <c r="O70" s="43"/>
      <c r="P70" s="43"/>
      <c r="Q70" s="43"/>
      <c r="R70" s="43"/>
      <c r="S70" s="43"/>
      <c r="T70" s="49"/>
      <c r="U70" s="49"/>
      <c r="V70" s="49"/>
      <c r="W70" s="49"/>
      <c r="X70" s="49"/>
      <c r="Y70" s="49"/>
      <c r="Z70" s="49"/>
      <c r="AA70" s="49"/>
      <c r="AB70" s="49"/>
      <c r="AC70" s="49"/>
      <c r="AD70" s="49"/>
      <c r="AE70" s="49"/>
    </row>
    <row r="71" spans="1:31">
      <c r="A71" s="43"/>
      <c r="B71" s="43"/>
      <c r="C71" s="43"/>
      <c r="D71" s="43"/>
      <c r="E71" s="43"/>
      <c r="F71" s="43"/>
      <c r="G71" s="43"/>
      <c r="H71" s="43"/>
      <c r="I71" s="43"/>
      <c r="J71" s="43"/>
      <c r="K71" s="43"/>
      <c r="L71" s="43"/>
      <c r="M71" s="43"/>
      <c r="N71" s="43"/>
      <c r="O71" s="43"/>
      <c r="P71" s="43"/>
      <c r="Q71" s="43"/>
      <c r="R71" s="43"/>
      <c r="S71" s="43"/>
      <c r="T71" s="49"/>
      <c r="U71" s="49"/>
      <c r="V71" s="49"/>
      <c r="W71" s="49"/>
      <c r="X71" s="49"/>
      <c r="Y71" s="49"/>
      <c r="Z71" s="49"/>
      <c r="AA71" s="49"/>
      <c r="AB71" s="49"/>
      <c r="AC71" s="49"/>
      <c r="AD71" s="49"/>
      <c r="AE71" s="49"/>
    </row>
    <row r="72" spans="1:31">
      <c r="A72" s="43"/>
      <c r="B72" s="43"/>
      <c r="C72" s="43"/>
      <c r="D72" s="43"/>
      <c r="E72" s="43"/>
      <c r="F72" s="43"/>
      <c r="G72" s="43"/>
      <c r="H72" s="43"/>
      <c r="I72" s="43"/>
      <c r="J72" s="43"/>
      <c r="K72" s="43"/>
      <c r="L72" s="43"/>
      <c r="M72" s="43"/>
      <c r="N72" s="43"/>
      <c r="O72" s="43"/>
      <c r="P72" s="43"/>
      <c r="Q72" s="43"/>
      <c r="R72" s="43"/>
      <c r="S72" s="43"/>
      <c r="T72" s="49"/>
      <c r="U72" s="49"/>
      <c r="V72" s="49"/>
      <c r="W72" s="49"/>
      <c r="X72" s="49"/>
      <c r="Y72" s="49"/>
      <c r="Z72" s="49"/>
      <c r="AA72" s="49"/>
      <c r="AB72" s="49"/>
      <c r="AC72" s="49"/>
      <c r="AD72" s="49"/>
      <c r="AE72" s="49"/>
    </row>
    <row r="73" spans="1:31">
      <c r="A73" s="43"/>
      <c r="B73" s="43"/>
      <c r="C73" s="43"/>
      <c r="D73" s="43"/>
      <c r="E73" s="43"/>
      <c r="F73" s="43"/>
      <c r="G73" s="43"/>
      <c r="H73" s="43"/>
      <c r="I73" s="43"/>
      <c r="J73" s="43"/>
      <c r="K73" s="43"/>
      <c r="L73" s="43"/>
      <c r="M73" s="43"/>
      <c r="N73" s="43"/>
      <c r="O73" s="43"/>
      <c r="P73" s="43"/>
      <c r="Q73" s="43"/>
      <c r="R73" s="43"/>
      <c r="S73" s="43"/>
      <c r="T73" s="49"/>
      <c r="U73" s="49"/>
      <c r="V73" s="49"/>
      <c r="W73" s="49"/>
      <c r="X73" s="49"/>
      <c r="Y73" s="49"/>
      <c r="Z73" s="49"/>
      <c r="AA73" s="49"/>
      <c r="AB73" s="49"/>
      <c r="AC73" s="49"/>
      <c r="AD73" s="49"/>
      <c r="AE73" s="49"/>
    </row>
    <row r="74" spans="1:31">
      <c r="A74" s="43"/>
      <c r="B74" s="43"/>
      <c r="C74" s="43"/>
      <c r="D74" s="43"/>
      <c r="E74" s="43"/>
      <c r="F74" s="43"/>
      <c r="G74" s="43"/>
      <c r="H74" s="43"/>
      <c r="I74" s="43"/>
      <c r="J74" s="43"/>
      <c r="K74" s="43"/>
      <c r="L74" s="43"/>
      <c r="M74" s="43"/>
      <c r="N74" s="43"/>
      <c r="O74" s="43"/>
      <c r="P74" s="43"/>
      <c r="Q74" s="43"/>
      <c r="R74" s="43"/>
      <c r="S74" s="43"/>
      <c r="T74" s="49"/>
      <c r="U74" s="49"/>
      <c r="V74" s="49"/>
      <c r="W74" s="49"/>
      <c r="X74" s="49"/>
      <c r="Y74" s="49"/>
      <c r="Z74" s="49"/>
      <c r="AA74" s="49"/>
      <c r="AB74" s="49"/>
      <c r="AC74" s="49"/>
      <c r="AD74" s="49"/>
      <c r="AE74" s="49"/>
    </row>
    <row r="75" spans="1:31">
      <c r="A75" s="43"/>
      <c r="B75" s="43"/>
      <c r="C75" s="43"/>
      <c r="D75" s="43"/>
      <c r="E75" s="43"/>
      <c r="F75" s="43"/>
      <c r="G75" s="43"/>
      <c r="H75" s="43"/>
      <c r="I75" s="43"/>
      <c r="J75" s="43"/>
      <c r="K75" s="43"/>
      <c r="L75" s="43"/>
      <c r="M75" s="43"/>
      <c r="N75" s="43"/>
      <c r="O75" s="43"/>
      <c r="P75" s="43"/>
      <c r="Q75" s="43"/>
      <c r="R75" s="43"/>
      <c r="S75" s="43"/>
      <c r="T75" s="49"/>
      <c r="U75" s="49"/>
      <c r="V75" s="49"/>
      <c r="W75" s="49"/>
      <c r="X75" s="49"/>
      <c r="Y75" s="49"/>
      <c r="Z75" s="49"/>
      <c r="AA75" s="49"/>
      <c r="AB75" s="49"/>
      <c r="AC75" s="49"/>
      <c r="AD75" s="49"/>
      <c r="AE75" s="49"/>
    </row>
    <row r="76" spans="1:31">
      <c r="A76" s="43"/>
      <c r="B76" s="43"/>
      <c r="C76" s="43"/>
      <c r="D76" s="43"/>
      <c r="E76" s="43"/>
      <c r="F76" s="43"/>
      <c r="G76" s="43"/>
      <c r="H76" s="43"/>
      <c r="I76" s="43"/>
      <c r="J76" s="43"/>
      <c r="K76" s="43"/>
      <c r="L76" s="43"/>
      <c r="M76" s="43"/>
      <c r="N76" s="43"/>
      <c r="O76" s="43"/>
      <c r="P76" s="43"/>
      <c r="Q76" s="43"/>
      <c r="R76" s="43"/>
      <c r="S76" s="43"/>
      <c r="T76" s="49"/>
      <c r="U76" s="49"/>
      <c r="V76" s="49"/>
      <c r="W76" s="49"/>
      <c r="X76" s="49"/>
      <c r="Y76" s="49"/>
      <c r="Z76" s="49"/>
      <c r="AA76" s="49"/>
      <c r="AB76" s="49"/>
      <c r="AC76" s="49"/>
      <c r="AD76" s="49"/>
      <c r="AE76" s="49"/>
    </row>
    <row r="77" spans="1:31">
      <c r="A77" s="43"/>
      <c r="B77" s="43"/>
      <c r="C77" s="43"/>
      <c r="D77" s="43"/>
      <c r="E77" s="43"/>
      <c r="F77" s="43"/>
      <c r="G77" s="43"/>
      <c r="H77" s="43"/>
      <c r="I77" s="43"/>
      <c r="J77" s="43"/>
      <c r="K77" s="43"/>
      <c r="L77" s="43"/>
      <c r="M77" s="43"/>
      <c r="N77" s="43"/>
      <c r="O77" s="43"/>
      <c r="P77" s="43"/>
      <c r="Q77" s="43"/>
      <c r="R77" s="43"/>
      <c r="S77" s="43"/>
      <c r="T77" s="49"/>
      <c r="U77" s="49"/>
      <c r="V77" s="49"/>
      <c r="W77" s="49"/>
      <c r="X77" s="49"/>
      <c r="Y77" s="49"/>
      <c r="Z77" s="49"/>
      <c r="AA77" s="49"/>
      <c r="AB77" s="49"/>
      <c r="AC77" s="49"/>
      <c r="AD77" s="49"/>
      <c r="AE77" s="49"/>
    </row>
    <row r="78" spans="1:31">
      <c r="A78" s="43"/>
      <c r="B78" s="43"/>
      <c r="C78" s="43"/>
      <c r="D78" s="43"/>
      <c r="E78" s="43"/>
      <c r="F78" s="43"/>
      <c r="G78" s="43"/>
      <c r="H78" s="43"/>
      <c r="I78" s="43"/>
      <c r="J78" s="43"/>
      <c r="K78" s="43"/>
      <c r="L78" s="43"/>
      <c r="M78" s="43"/>
      <c r="N78" s="43"/>
      <c r="O78" s="43"/>
      <c r="P78" s="43"/>
      <c r="Q78" s="43"/>
      <c r="R78" s="43"/>
      <c r="S78" s="43"/>
      <c r="T78" s="49"/>
      <c r="U78" s="49"/>
      <c r="V78" s="49"/>
      <c r="W78" s="49"/>
      <c r="X78" s="49"/>
      <c r="Y78" s="49"/>
      <c r="Z78" s="49"/>
      <c r="AA78" s="49"/>
      <c r="AB78" s="49"/>
      <c r="AC78" s="49"/>
      <c r="AD78" s="49"/>
      <c r="AE78" s="49"/>
    </row>
    <row r="79" spans="1:31">
      <c r="A79" s="43"/>
      <c r="B79" s="43"/>
      <c r="C79" s="43"/>
      <c r="D79" s="43"/>
      <c r="E79" s="43"/>
      <c r="F79" s="43"/>
      <c r="G79" s="43"/>
      <c r="H79" s="43"/>
      <c r="I79" s="43"/>
      <c r="J79" s="43"/>
      <c r="K79" s="43"/>
      <c r="L79" s="43"/>
      <c r="M79" s="43"/>
      <c r="N79" s="43"/>
      <c r="O79" s="43"/>
      <c r="P79" s="43"/>
      <c r="Q79" s="43"/>
      <c r="R79" s="43"/>
      <c r="S79" s="43"/>
      <c r="T79" s="49"/>
      <c r="U79" s="49"/>
      <c r="V79" s="49"/>
      <c r="W79" s="49"/>
      <c r="X79" s="49"/>
      <c r="Y79" s="49"/>
      <c r="Z79" s="49"/>
      <c r="AA79" s="49"/>
      <c r="AB79" s="49"/>
      <c r="AC79" s="49"/>
      <c r="AD79" s="49"/>
      <c r="AE79" s="49"/>
    </row>
    <row r="80" spans="1:31">
      <c r="A80" s="43"/>
      <c r="B80" s="43"/>
      <c r="C80" s="43"/>
      <c r="D80" s="43"/>
      <c r="E80" s="43"/>
      <c r="F80" s="43"/>
      <c r="G80" s="43"/>
      <c r="H80" s="43"/>
      <c r="I80" s="43"/>
      <c r="J80" s="43"/>
      <c r="K80" s="43"/>
      <c r="L80" s="43"/>
      <c r="M80" s="43"/>
      <c r="N80" s="43"/>
      <c r="O80" s="43"/>
      <c r="P80" s="43"/>
      <c r="Q80" s="43"/>
      <c r="R80" s="43"/>
      <c r="S80" s="43"/>
      <c r="T80" s="49"/>
      <c r="U80" s="49"/>
      <c r="V80" s="49"/>
      <c r="W80" s="49"/>
      <c r="X80" s="49"/>
      <c r="Y80" s="49"/>
      <c r="Z80" s="49"/>
      <c r="AA80" s="49"/>
      <c r="AB80" s="49"/>
      <c r="AC80" s="49"/>
      <c r="AD80" s="49"/>
      <c r="AE80" s="49"/>
    </row>
    <row r="81" spans="1:31">
      <c r="A81" s="43"/>
      <c r="B81" s="43"/>
      <c r="C81" s="43"/>
      <c r="D81" s="43"/>
      <c r="E81" s="43"/>
      <c r="F81" s="43"/>
      <c r="G81" s="43"/>
      <c r="H81" s="43"/>
      <c r="I81" s="43"/>
      <c r="J81" s="43"/>
      <c r="K81" s="43"/>
      <c r="L81" s="43"/>
      <c r="M81" s="43"/>
      <c r="N81" s="43"/>
      <c r="O81" s="43"/>
      <c r="P81" s="43"/>
      <c r="Q81" s="43"/>
      <c r="R81" s="43"/>
      <c r="S81" s="43"/>
      <c r="T81" s="49"/>
      <c r="U81" s="49"/>
      <c r="V81" s="49"/>
      <c r="W81" s="49"/>
      <c r="X81" s="49"/>
      <c r="Y81" s="49"/>
      <c r="Z81" s="49"/>
      <c r="AA81" s="49"/>
      <c r="AB81" s="49"/>
      <c r="AC81" s="49"/>
      <c r="AD81" s="49"/>
      <c r="AE81" s="49"/>
    </row>
    <row r="82" spans="1:31">
      <c r="A82" s="43"/>
      <c r="B82" s="43"/>
      <c r="C82" s="43"/>
      <c r="D82" s="43"/>
      <c r="E82" s="43"/>
      <c r="F82" s="43"/>
      <c r="G82" s="43"/>
      <c r="H82" s="43"/>
      <c r="I82" s="43"/>
      <c r="J82" s="43"/>
      <c r="K82" s="43"/>
      <c r="L82" s="43"/>
      <c r="M82" s="43"/>
      <c r="N82" s="43"/>
      <c r="O82" s="43"/>
      <c r="P82" s="43"/>
      <c r="Q82" s="43"/>
      <c r="R82" s="43"/>
      <c r="S82" s="43"/>
      <c r="T82" s="49"/>
      <c r="U82" s="49"/>
      <c r="V82" s="49"/>
      <c r="W82" s="49"/>
      <c r="X82" s="49"/>
      <c r="Y82" s="49"/>
      <c r="Z82" s="49"/>
      <c r="AA82" s="49"/>
      <c r="AB82" s="49"/>
      <c r="AC82" s="49"/>
      <c r="AD82" s="49"/>
      <c r="AE82" s="49"/>
    </row>
    <row r="83" spans="1:31">
      <c r="A83" s="43"/>
      <c r="B83" s="43"/>
      <c r="C83" s="43"/>
      <c r="D83" s="43"/>
      <c r="E83" s="43"/>
      <c r="F83" s="43"/>
      <c r="G83" s="43"/>
      <c r="H83" s="43"/>
      <c r="I83" s="43"/>
      <c r="J83" s="43"/>
      <c r="K83" s="43"/>
      <c r="L83" s="43"/>
      <c r="M83" s="43"/>
      <c r="N83" s="43"/>
      <c r="O83" s="43"/>
      <c r="P83" s="43"/>
      <c r="Q83" s="43"/>
      <c r="R83" s="43"/>
      <c r="S83" s="43"/>
      <c r="T83" s="49"/>
      <c r="U83" s="49"/>
      <c r="V83" s="49"/>
      <c r="W83" s="49"/>
      <c r="X83" s="49"/>
      <c r="Y83" s="49"/>
      <c r="Z83" s="49"/>
      <c r="AA83" s="49"/>
      <c r="AB83" s="49"/>
      <c r="AC83" s="49"/>
      <c r="AD83" s="49"/>
      <c r="AE83" s="49"/>
    </row>
    <row r="84" spans="1:31">
      <c r="A84" s="43"/>
      <c r="B84" s="43"/>
      <c r="C84" s="43"/>
      <c r="D84" s="43"/>
      <c r="E84" s="43"/>
      <c r="F84" s="43"/>
      <c r="G84" s="43"/>
      <c r="H84" s="43"/>
      <c r="I84" s="43"/>
      <c r="J84" s="43"/>
      <c r="K84" s="43"/>
      <c r="L84" s="43"/>
      <c r="M84" s="43"/>
      <c r="N84" s="43"/>
      <c r="O84" s="43"/>
      <c r="P84" s="43"/>
      <c r="Q84" s="43"/>
      <c r="R84" s="43"/>
      <c r="S84" s="43"/>
      <c r="T84" s="49"/>
      <c r="U84" s="49"/>
      <c r="V84" s="49"/>
      <c r="W84" s="49"/>
      <c r="X84" s="49"/>
      <c r="Y84" s="49"/>
      <c r="Z84" s="49"/>
      <c r="AA84" s="49"/>
      <c r="AB84" s="49"/>
      <c r="AC84" s="49"/>
      <c r="AD84" s="49"/>
      <c r="AE84" s="49"/>
    </row>
    <row r="85" spans="1:31">
      <c r="A85" s="43"/>
      <c r="B85" s="43"/>
      <c r="C85" s="43"/>
      <c r="D85" s="43"/>
      <c r="E85" s="43"/>
      <c r="F85" s="43"/>
      <c r="G85" s="43"/>
      <c r="H85" s="43"/>
      <c r="I85" s="43"/>
      <c r="J85" s="43"/>
      <c r="K85" s="43"/>
      <c r="L85" s="43"/>
      <c r="M85" s="43"/>
      <c r="N85" s="43"/>
      <c r="O85" s="43"/>
      <c r="P85" s="43"/>
      <c r="Q85" s="43"/>
      <c r="R85" s="43"/>
      <c r="S85" s="43"/>
      <c r="T85" s="49"/>
      <c r="U85" s="49"/>
      <c r="V85" s="49"/>
      <c r="W85" s="49"/>
      <c r="X85" s="49"/>
      <c r="Y85" s="49"/>
      <c r="Z85" s="49"/>
      <c r="AA85" s="49"/>
      <c r="AB85" s="49"/>
      <c r="AC85" s="49"/>
      <c r="AD85" s="49"/>
      <c r="AE85" s="49"/>
    </row>
    <row r="86" spans="1:31">
      <c r="A86" s="43"/>
      <c r="B86" s="43"/>
      <c r="C86" s="43"/>
      <c r="D86" s="43"/>
      <c r="E86" s="43"/>
      <c r="F86" s="43"/>
      <c r="G86" s="43"/>
      <c r="H86" s="43"/>
      <c r="I86" s="43"/>
      <c r="J86" s="43"/>
      <c r="K86" s="43"/>
      <c r="L86" s="43"/>
      <c r="M86" s="43"/>
      <c r="N86" s="43"/>
      <c r="O86" s="43"/>
      <c r="P86" s="43"/>
      <c r="Q86" s="43"/>
      <c r="R86" s="43"/>
      <c r="S86" s="43"/>
      <c r="T86" s="49"/>
      <c r="U86" s="49"/>
      <c r="V86" s="49"/>
      <c r="W86" s="49"/>
      <c r="X86" s="49"/>
      <c r="Y86" s="49"/>
      <c r="Z86" s="49"/>
      <c r="AA86" s="49"/>
      <c r="AB86" s="49"/>
      <c r="AC86" s="49"/>
      <c r="AD86" s="49"/>
      <c r="AE86" s="49"/>
    </row>
    <row r="87" spans="1:31">
      <c r="A87" s="43"/>
      <c r="B87" s="43"/>
      <c r="C87" s="43"/>
      <c r="D87" s="43"/>
      <c r="E87" s="43"/>
      <c r="F87" s="43"/>
      <c r="G87" s="43"/>
      <c r="H87" s="43"/>
      <c r="I87" s="43"/>
      <c r="J87" s="43"/>
      <c r="K87" s="43"/>
      <c r="L87" s="43"/>
      <c r="M87" s="43"/>
      <c r="N87" s="43"/>
      <c r="O87" s="43"/>
      <c r="P87" s="43"/>
      <c r="Q87" s="43"/>
      <c r="R87" s="43"/>
      <c r="S87" s="43"/>
      <c r="T87" s="49"/>
      <c r="U87" s="49"/>
      <c r="V87" s="49"/>
      <c r="W87" s="49"/>
      <c r="X87" s="49"/>
      <c r="Y87" s="49"/>
      <c r="Z87" s="49"/>
      <c r="AA87" s="49"/>
      <c r="AB87" s="49"/>
      <c r="AC87" s="49"/>
      <c r="AD87" s="49"/>
      <c r="AE87" s="49"/>
    </row>
    <row r="88" spans="1:31">
      <c r="A88" s="43"/>
      <c r="B88" s="43"/>
      <c r="C88" s="43"/>
      <c r="D88" s="43"/>
      <c r="E88" s="43"/>
      <c r="F88" s="43"/>
      <c r="G88" s="43"/>
      <c r="H88" s="43"/>
      <c r="I88" s="43"/>
      <c r="J88" s="43"/>
      <c r="K88" s="43"/>
      <c r="L88" s="43"/>
      <c r="M88" s="43"/>
      <c r="N88" s="43"/>
      <c r="O88" s="43"/>
      <c r="P88" s="43"/>
      <c r="Q88" s="43"/>
      <c r="R88" s="43"/>
      <c r="S88" s="43"/>
      <c r="T88" s="49"/>
      <c r="U88" s="49"/>
      <c r="V88" s="49"/>
      <c r="W88" s="49"/>
      <c r="X88" s="49"/>
      <c r="Y88" s="49"/>
      <c r="Z88" s="49"/>
      <c r="AA88" s="49"/>
      <c r="AB88" s="49"/>
      <c r="AC88" s="49"/>
      <c r="AD88" s="49"/>
      <c r="AE88" s="49"/>
    </row>
    <row r="89" spans="1:31">
      <c r="A89" s="43"/>
      <c r="B89" s="43"/>
      <c r="C89" s="43"/>
      <c r="D89" s="43"/>
      <c r="E89" s="43"/>
      <c r="F89" s="43"/>
      <c r="G89" s="43"/>
      <c r="H89" s="43"/>
      <c r="I89" s="43"/>
      <c r="J89" s="43"/>
      <c r="K89" s="43"/>
      <c r="L89" s="43"/>
      <c r="M89" s="43"/>
      <c r="N89" s="43"/>
      <c r="O89" s="43"/>
      <c r="P89" s="43"/>
      <c r="Q89" s="43"/>
      <c r="R89" s="43"/>
      <c r="S89" s="43"/>
      <c r="T89" s="49"/>
      <c r="U89" s="49"/>
      <c r="V89" s="49"/>
      <c r="W89" s="49"/>
      <c r="X89" s="49"/>
      <c r="Y89" s="49"/>
      <c r="Z89" s="49"/>
      <c r="AA89" s="49"/>
      <c r="AB89" s="49"/>
      <c r="AC89" s="49"/>
      <c r="AD89" s="49"/>
      <c r="AE89" s="49"/>
    </row>
    <row r="90" spans="1:31">
      <c r="A90" s="43"/>
      <c r="B90" s="43"/>
      <c r="C90" s="43"/>
      <c r="D90" s="43"/>
      <c r="E90" s="43"/>
      <c r="F90" s="43"/>
      <c r="G90" s="43"/>
      <c r="H90" s="43"/>
      <c r="I90" s="43"/>
      <c r="J90" s="43"/>
      <c r="K90" s="43"/>
      <c r="L90" s="43"/>
      <c r="M90" s="43"/>
      <c r="N90" s="43"/>
      <c r="O90" s="43"/>
      <c r="P90" s="43"/>
      <c r="Q90" s="43"/>
      <c r="R90" s="43"/>
      <c r="S90" s="43"/>
      <c r="T90" s="49"/>
      <c r="U90" s="49"/>
      <c r="V90" s="49"/>
      <c r="W90" s="49"/>
      <c r="X90" s="49"/>
      <c r="Y90" s="49"/>
      <c r="Z90" s="49"/>
      <c r="AA90" s="49"/>
      <c r="AB90" s="49"/>
      <c r="AC90" s="49"/>
      <c r="AD90" s="49"/>
      <c r="AE90" s="49"/>
    </row>
    <row r="91" spans="1:31">
      <c r="A91" s="43"/>
      <c r="B91" s="43"/>
      <c r="C91" s="43"/>
      <c r="D91" s="43"/>
      <c r="E91" s="43"/>
      <c r="F91" s="43"/>
      <c r="G91" s="43"/>
      <c r="H91" s="43"/>
      <c r="I91" s="43"/>
      <c r="J91" s="43"/>
      <c r="K91" s="43"/>
      <c r="L91" s="43"/>
      <c r="M91" s="43"/>
      <c r="N91" s="43"/>
      <c r="O91" s="43"/>
      <c r="P91" s="43"/>
      <c r="Q91" s="43"/>
      <c r="R91" s="43"/>
      <c r="S91" s="43"/>
      <c r="T91" s="49"/>
      <c r="U91" s="49"/>
      <c r="V91" s="49"/>
      <c r="W91" s="49"/>
      <c r="X91" s="49"/>
      <c r="Y91" s="49"/>
      <c r="Z91" s="49"/>
      <c r="AA91" s="49"/>
      <c r="AB91" s="49"/>
      <c r="AC91" s="49"/>
      <c r="AD91" s="49"/>
      <c r="AE91" s="49"/>
    </row>
    <row r="92" spans="1:31">
      <c r="A92" s="43"/>
      <c r="B92" s="43"/>
      <c r="C92" s="43"/>
      <c r="D92" s="43"/>
      <c r="E92" s="43"/>
      <c r="F92" s="43"/>
      <c r="G92" s="43"/>
      <c r="H92" s="43"/>
      <c r="I92" s="43"/>
      <c r="J92" s="43"/>
      <c r="K92" s="43"/>
      <c r="L92" s="43"/>
      <c r="M92" s="43"/>
      <c r="N92" s="43"/>
      <c r="O92" s="43"/>
      <c r="P92" s="43"/>
      <c r="Q92" s="43"/>
      <c r="R92" s="43"/>
      <c r="S92" s="43"/>
      <c r="T92" s="49"/>
      <c r="U92" s="49"/>
      <c r="V92" s="49"/>
      <c r="W92" s="49"/>
      <c r="X92" s="49"/>
      <c r="Y92" s="49"/>
      <c r="Z92" s="49"/>
      <c r="AA92" s="49"/>
      <c r="AB92" s="49"/>
      <c r="AC92" s="49"/>
      <c r="AD92" s="49"/>
      <c r="AE92" s="49"/>
    </row>
    <row r="93" spans="1:31">
      <c r="A93" s="43"/>
      <c r="B93" s="43"/>
      <c r="C93" s="43"/>
      <c r="D93" s="43"/>
      <c r="E93" s="43"/>
      <c r="F93" s="43"/>
      <c r="G93" s="43"/>
      <c r="H93" s="43"/>
      <c r="I93" s="43"/>
      <c r="J93" s="43"/>
      <c r="K93" s="43"/>
      <c r="L93" s="43"/>
      <c r="M93" s="43"/>
      <c r="N93" s="43"/>
      <c r="O93" s="43"/>
      <c r="P93" s="43"/>
      <c r="Q93" s="43"/>
      <c r="R93" s="43"/>
      <c r="S93" s="43"/>
      <c r="T93" s="49"/>
      <c r="U93" s="49"/>
      <c r="V93" s="49"/>
      <c r="W93" s="49"/>
      <c r="X93" s="49"/>
      <c r="Y93" s="49"/>
      <c r="Z93" s="49"/>
      <c r="AA93" s="49"/>
      <c r="AB93" s="49"/>
      <c r="AC93" s="49"/>
      <c r="AD93" s="49"/>
      <c r="AE93" s="49"/>
    </row>
    <row r="94" spans="1:31">
      <c r="A94" s="43"/>
      <c r="B94" s="43"/>
      <c r="C94" s="43"/>
      <c r="D94" s="43"/>
      <c r="E94" s="43"/>
      <c r="F94" s="43"/>
      <c r="G94" s="43"/>
      <c r="H94" s="43"/>
      <c r="I94" s="43"/>
      <c r="J94" s="43"/>
      <c r="K94" s="43"/>
      <c r="L94" s="43"/>
      <c r="M94" s="43"/>
      <c r="N94" s="43"/>
      <c r="O94" s="43"/>
      <c r="P94" s="43"/>
      <c r="Q94" s="43"/>
      <c r="R94" s="43"/>
      <c r="S94" s="43"/>
      <c r="T94" s="49"/>
      <c r="U94" s="49"/>
      <c r="V94" s="49"/>
      <c r="W94" s="49"/>
      <c r="X94" s="49"/>
      <c r="Y94" s="49"/>
      <c r="Z94" s="49"/>
      <c r="AA94" s="49"/>
      <c r="AB94" s="49"/>
      <c r="AC94" s="49"/>
      <c r="AD94" s="49"/>
      <c r="AE94" s="49"/>
    </row>
    <row r="95" spans="1:31">
      <c r="A95" s="43"/>
      <c r="B95" s="43"/>
      <c r="C95" s="43"/>
      <c r="D95" s="43"/>
      <c r="E95" s="43"/>
      <c r="F95" s="43"/>
      <c r="G95" s="43"/>
      <c r="H95" s="43"/>
      <c r="I95" s="43"/>
      <c r="J95" s="43"/>
      <c r="K95" s="43"/>
      <c r="L95" s="43"/>
      <c r="M95" s="43"/>
      <c r="N95" s="43"/>
      <c r="O95" s="43"/>
      <c r="P95" s="43"/>
      <c r="Q95" s="43"/>
      <c r="R95" s="43"/>
      <c r="S95" s="43"/>
      <c r="T95" s="49"/>
      <c r="U95" s="49"/>
      <c r="V95" s="49"/>
      <c r="W95" s="49"/>
      <c r="X95" s="49"/>
      <c r="Y95" s="49"/>
      <c r="Z95" s="49"/>
      <c r="AA95" s="49"/>
      <c r="AB95" s="49"/>
      <c r="AC95" s="49"/>
      <c r="AD95" s="49"/>
      <c r="AE95" s="49"/>
    </row>
    <row r="96" spans="1:31">
      <c r="A96" s="43"/>
      <c r="B96" s="43"/>
      <c r="C96" s="43"/>
      <c r="D96" s="43"/>
      <c r="E96" s="43"/>
      <c r="F96" s="43"/>
      <c r="G96" s="43"/>
      <c r="H96" s="43"/>
      <c r="I96" s="43"/>
      <c r="J96" s="43"/>
      <c r="K96" s="43"/>
      <c r="L96" s="43"/>
      <c r="M96" s="43"/>
      <c r="N96" s="43"/>
      <c r="O96" s="43"/>
      <c r="P96" s="43"/>
      <c r="Q96" s="43"/>
      <c r="R96" s="43"/>
      <c r="S96" s="43"/>
      <c r="T96" s="49"/>
      <c r="U96" s="49"/>
      <c r="V96" s="49"/>
      <c r="W96" s="49"/>
      <c r="X96" s="49"/>
      <c r="Y96" s="49"/>
      <c r="Z96" s="49"/>
      <c r="AA96" s="49"/>
      <c r="AB96" s="49"/>
      <c r="AC96" s="49"/>
      <c r="AD96" s="49"/>
      <c r="AE96" s="49"/>
    </row>
    <row r="97" spans="1:31">
      <c r="A97" s="43"/>
      <c r="B97" s="43"/>
      <c r="C97" s="43"/>
      <c r="D97" s="43"/>
      <c r="E97" s="43"/>
      <c r="F97" s="43"/>
      <c r="G97" s="43"/>
      <c r="H97" s="43"/>
      <c r="I97" s="43"/>
      <c r="J97" s="43"/>
      <c r="K97" s="43"/>
      <c r="L97" s="43"/>
      <c r="M97" s="43"/>
      <c r="N97" s="43"/>
      <c r="O97" s="43"/>
      <c r="P97" s="43"/>
      <c r="Q97" s="43"/>
      <c r="R97" s="43"/>
      <c r="S97" s="43"/>
      <c r="T97" s="49"/>
      <c r="U97" s="49"/>
      <c r="V97" s="49"/>
      <c r="W97" s="49"/>
      <c r="X97" s="49"/>
      <c r="Y97" s="49"/>
      <c r="Z97" s="49"/>
      <c r="AA97" s="49"/>
      <c r="AB97" s="49"/>
      <c r="AC97" s="49"/>
      <c r="AD97" s="49"/>
      <c r="AE97" s="49"/>
    </row>
    <row r="98" spans="1:31">
      <c r="A98" s="43"/>
      <c r="B98" s="43"/>
      <c r="C98" s="43"/>
      <c r="D98" s="43"/>
      <c r="E98" s="43"/>
      <c r="F98" s="43"/>
      <c r="G98" s="43"/>
      <c r="H98" s="43"/>
      <c r="I98" s="43"/>
      <c r="J98" s="43"/>
      <c r="K98" s="43"/>
      <c r="L98" s="43"/>
      <c r="M98" s="43"/>
      <c r="N98" s="43"/>
      <c r="O98" s="43"/>
      <c r="P98" s="43"/>
      <c r="Q98" s="43"/>
      <c r="R98" s="43"/>
      <c r="S98" s="43"/>
      <c r="T98" s="49"/>
      <c r="U98" s="49"/>
      <c r="V98" s="49"/>
      <c r="W98" s="49"/>
      <c r="X98" s="49"/>
      <c r="Y98" s="49"/>
      <c r="Z98" s="49"/>
      <c r="AA98" s="49"/>
      <c r="AB98" s="49"/>
      <c r="AC98" s="49"/>
      <c r="AD98" s="49"/>
      <c r="AE98" s="49"/>
    </row>
    <row r="99" spans="1:31">
      <c r="A99" s="43"/>
      <c r="B99" s="43"/>
      <c r="C99" s="43"/>
      <c r="D99" s="43"/>
      <c r="E99" s="43"/>
      <c r="F99" s="43"/>
      <c r="G99" s="43"/>
      <c r="H99" s="43"/>
      <c r="I99" s="43"/>
      <c r="J99" s="43"/>
      <c r="K99" s="43"/>
      <c r="L99" s="43"/>
      <c r="M99" s="43"/>
      <c r="N99" s="43"/>
      <c r="O99" s="43"/>
      <c r="P99" s="43"/>
      <c r="Q99" s="43"/>
      <c r="R99" s="43"/>
      <c r="S99" s="43"/>
      <c r="T99" s="49"/>
      <c r="U99" s="49"/>
      <c r="V99" s="49"/>
      <c r="W99" s="49"/>
      <c r="X99" s="49"/>
      <c r="Y99" s="49"/>
      <c r="Z99" s="49"/>
      <c r="AA99" s="49"/>
      <c r="AB99" s="49"/>
      <c r="AC99" s="49"/>
      <c r="AD99" s="49"/>
      <c r="AE99" s="49"/>
    </row>
    <row r="100" spans="1:31">
      <c r="A100" s="43"/>
      <c r="B100" s="43"/>
      <c r="C100" s="43"/>
      <c r="D100" s="43"/>
      <c r="E100" s="43"/>
      <c r="F100" s="43"/>
      <c r="G100" s="43"/>
      <c r="H100" s="43"/>
      <c r="I100" s="43"/>
      <c r="J100" s="43"/>
      <c r="K100" s="43"/>
      <c r="L100" s="43"/>
      <c r="M100" s="43"/>
      <c r="N100" s="43"/>
      <c r="O100" s="43"/>
      <c r="P100" s="43"/>
      <c r="Q100" s="43"/>
      <c r="R100" s="43"/>
      <c r="S100" s="43"/>
      <c r="T100" s="49"/>
      <c r="U100" s="49"/>
      <c r="V100" s="49"/>
      <c r="W100" s="49"/>
      <c r="X100" s="49"/>
      <c r="Y100" s="49"/>
      <c r="Z100" s="49"/>
      <c r="AA100" s="49"/>
      <c r="AB100" s="49"/>
      <c r="AC100" s="49"/>
      <c r="AD100" s="49"/>
      <c r="AE100" s="49"/>
    </row>
    <row r="101" spans="1:31">
      <c r="A101" s="43"/>
      <c r="B101" s="43"/>
      <c r="C101" s="43"/>
      <c r="D101" s="43"/>
      <c r="E101" s="43"/>
      <c r="F101" s="43"/>
      <c r="G101" s="43"/>
      <c r="H101" s="43"/>
      <c r="I101" s="43"/>
      <c r="J101" s="43"/>
      <c r="K101" s="43"/>
      <c r="L101" s="43"/>
      <c r="M101" s="43"/>
      <c r="N101" s="43"/>
      <c r="O101" s="43"/>
      <c r="P101" s="43"/>
      <c r="Q101" s="43"/>
      <c r="R101" s="43"/>
      <c r="S101" s="43"/>
      <c r="T101" s="49"/>
      <c r="U101" s="49"/>
      <c r="V101" s="49"/>
      <c r="W101" s="49"/>
      <c r="X101" s="49"/>
      <c r="Y101" s="49"/>
      <c r="Z101" s="49"/>
      <c r="AA101" s="49"/>
      <c r="AB101" s="49"/>
      <c r="AC101" s="49"/>
      <c r="AD101" s="49"/>
      <c r="AE101" s="49"/>
    </row>
    <row r="102" spans="1:31">
      <c r="A102" s="43"/>
      <c r="B102" s="43"/>
      <c r="C102" s="43"/>
      <c r="D102" s="43"/>
      <c r="E102" s="43"/>
      <c r="F102" s="43"/>
      <c r="G102" s="43"/>
      <c r="H102" s="43"/>
      <c r="I102" s="43"/>
      <c r="J102" s="43"/>
      <c r="K102" s="43"/>
      <c r="L102" s="43"/>
      <c r="M102" s="43"/>
      <c r="N102" s="43"/>
      <c r="O102" s="43"/>
      <c r="P102" s="43"/>
      <c r="Q102" s="43"/>
      <c r="R102" s="43"/>
      <c r="S102" s="43"/>
      <c r="T102" s="49"/>
      <c r="U102" s="49"/>
      <c r="V102" s="49"/>
      <c r="W102" s="49"/>
      <c r="X102" s="49"/>
      <c r="Y102" s="49"/>
      <c r="Z102" s="49"/>
      <c r="AA102" s="49"/>
      <c r="AB102" s="49"/>
      <c r="AC102" s="49"/>
      <c r="AD102" s="49"/>
      <c r="AE102" s="49"/>
    </row>
    <row r="103" spans="1:31">
      <c r="A103" s="43"/>
      <c r="B103" s="43"/>
      <c r="C103" s="43"/>
      <c r="D103" s="43"/>
      <c r="E103" s="43"/>
      <c r="F103" s="43"/>
      <c r="G103" s="43"/>
      <c r="H103" s="43"/>
      <c r="I103" s="43"/>
      <c r="J103" s="43"/>
      <c r="K103" s="43"/>
      <c r="L103" s="43"/>
      <c r="M103" s="43"/>
      <c r="N103" s="43"/>
      <c r="O103" s="43"/>
      <c r="P103" s="43"/>
      <c r="Q103" s="43"/>
      <c r="R103" s="43"/>
      <c r="S103" s="43"/>
      <c r="T103" s="49"/>
      <c r="U103" s="49"/>
      <c r="V103" s="49"/>
      <c r="W103" s="49"/>
      <c r="X103" s="49"/>
      <c r="Y103" s="49"/>
      <c r="Z103" s="49"/>
      <c r="AA103" s="49"/>
      <c r="AB103" s="49"/>
      <c r="AC103" s="49"/>
      <c r="AD103" s="49"/>
      <c r="AE103" s="49"/>
    </row>
    <row r="104" spans="1:31">
      <c r="A104" s="43"/>
      <c r="B104" s="43"/>
      <c r="C104" s="43"/>
      <c r="D104" s="43"/>
      <c r="E104" s="43"/>
      <c r="F104" s="43"/>
      <c r="G104" s="43"/>
      <c r="H104" s="43"/>
      <c r="I104" s="43"/>
      <c r="J104" s="43"/>
      <c r="K104" s="43"/>
      <c r="L104" s="43"/>
      <c r="M104" s="43"/>
      <c r="N104" s="43"/>
      <c r="O104" s="43"/>
      <c r="P104" s="43"/>
      <c r="Q104" s="43"/>
      <c r="R104" s="43"/>
      <c r="S104" s="43"/>
      <c r="T104" s="49"/>
      <c r="U104" s="49"/>
      <c r="V104" s="49"/>
      <c r="W104" s="49"/>
      <c r="X104" s="49"/>
      <c r="Y104" s="49"/>
      <c r="Z104" s="49"/>
      <c r="AA104" s="49"/>
      <c r="AB104" s="49"/>
      <c r="AC104" s="49"/>
      <c r="AD104" s="49"/>
      <c r="AE104" s="49"/>
    </row>
    <row r="105" spans="1:31">
      <c r="A105" s="43"/>
      <c r="B105" s="43"/>
      <c r="C105" s="43"/>
      <c r="D105" s="43"/>
      <c r="E105" s="43"/>
      <c r="F105" s="43"/>
      <c r="G105" s="43"/>
      <c r="H105" s="43"/>
      <c r="I105" s="43"/>
      <c r="J105" s="43"/>
      <c r="K105" s="43"/>
      <c r="L105" s="43"/>
      <c r="M105" s="43"/>
      <c r="N105" s="43"/>
      <c r="O105" s="43"/>
      <c r="P105" s="43"/>
      <c r="Q105" s="43"/>
      <c r="R105" s="43"/>
      <c r="S105" s="43"/>
      <c r="T105" s="49"/>
      <c r="U105" s="49"/>
      <c r="V105" s="49"/>
      <c r="W105" s="49"/>
      <c r="X105" s="49"/>
      <c r="Y105" s="49"/>
      <c r="Z105" s="49"/>
      <c r="AA105" s="49"/>
      <c r="AB105" s="49"/>
      <c r="AC105" s="49"/>
      <c r="AD105" s="49"/>
      <c r="AE105" s="49"/>
    </row>
    <row r="106" spans="1:31">
      <c r="A106" s="43"/>
      <c r="B106" s="43"/>
      <c r="C106" s="43"/>
      <c r="D106" s="43"/>
      <c r="E106" s="43"/>
      <c r="F106" s="43"/>
      <c r="G106" s="43"/>
      <c r="H106" s="43"/>
      <c r="I106" s="43"/>
      <c r="J106" s="43"/>
      <c r="K106" s="43"/>
      <c r="L106" s="43"/>
      <c r="M106" s="43"/>
      <c r="N106" s="43"/>
      <c r="O106" s="43"/>
      <c r="P106" s="43"/>
      <c r="Q106" s="43"/>
      <c r="R106" s="43"/>
      <c r="S106" s="43"/>
      <c r="T106" s="49"/>
      <c r="U106" s="49"/>
      <c r="V106" s="49"/>
      <c r="W106" s="49"/>
      <c r="X106" s="49"/>
      <c r="Y106" s="49"/>
      <c r="Z106" s="49"/>
      <c r="AA106" s="49"/>
      <c r="AB106" s="49"/>
      <c r="AC106" s="49"/>
      <c r="AD106" s="49"/>
      <c r="AE106" s="49"/>
    </row>
    <row r="107" spans="1:31">
      <c r="A107" s="43"/>
      <c r="B107" s="43"/>
      <c r="C107" s="43"/>
      <c r="D107" s="43"/>
      <c r="E107" s="43"/>
      <c r="F107" s="43"/>
      <c r="G107" s="43"/>
      <c r="H107" s="43"/>
      <c r="I107" s="43"/>
      <c r="J107" s="43"/>
      <c r="K107" s="43"/>
      <c r="L107" s="43"/>
      <c r="M107" s="43"/>
      <c r="N107" s="43"/>
      <c r="O107" s="43"/>
      <c r="P107" s="43"/>
      <c r="Q107" s="43"/>
      <c r="R107" s="43"/>
      <c r="S107" s="43"/>
      <c r="T107" s="49"/>
      <c r="U107" s="49"/>
      <c r="V107" s="49"/>
      <c r="W107" s="49"/>
      <c r="X107" s="49"/>
      <c r="Y107" s="49"/>
      <c r="Z107" s="49"/>
      <c r="AA107" s="49"/>
      <c r="AB107" s="49"/>
      <c r="AC107" s="49"/>
      <c r="AD107" s="49"/>
      <c r="AE107" s="49"/>
    </row>
    <row r="108" spans="1:31">
      <c r="A108" s="43"/>
      <c r="B108" s="43"/>
      <c r="C108" s="43"/>
      <c r="D108" s="43"/>
      <c r="E108" s="43"/>
      <c r="F108" s="43"/>
      <c r="G108" s="43"/>
      <c r="H108" s="43"/>
      <c r="I108" s="43"/>
      <c r="J108" s="43"/>
      <c r="K108" s="43"/>
      <c r="L108" s="43"/>
      <c r="M108" s="43"/>
      <c r="N108" s="43"/>
      <c r="O108" s="43"/>
      <c r="P108" s="43"/>
      <c r="Q108" s="43"/>
      <c r="R108" s="43"/>
      <c r="S108" s="43"/>
      <c r="T108" s="49"/>
      <c r="U108" s="49"/>
      <c r="V108" s="49"/>
      <c r="W108" s="49"/>
      <c r="X108" s="49"/>
      <c r="Y108" s="49"/>
      <c r="Z108" s="49"/>
      <c r="AA108" s="49"/>
      <c r="AB108" s="49"/>
      <c r="AC108" s="49"/>
      <c r="AD108" s="49"/>
      <c r="AE108" s="49"/>
    </row>
    <row r="109" spans="1:31">
      <c r="A109" s="43"/>
      <c r="B109" s="43"/>
      <c r="C109" s="43"/>
      <c r="D109" s="43"/>
      <c r="E109" s="43"/>
      <c r="F109" s="43"/>
      <c r="G109" s="43"/>
      <c r="H109" s="43"/>
      <c r="I109" s="43"/>
      <c r="J109" s="43"/>
      <c r="K109" s="43"/>
      <c r="L109" s="43"/>
      <c r="M109" s="43"/>
      <c r="N109" s="43"/>
      <c r="O109" s="43"/>
      <c r="P109" s="43"/>
      <c r="Q109" s="43"/>
      <c r="R109" s="43"/>
      <c r="S109" s="43"/>
      <c r="T109" s="49"/>
      <c r="U109" s="49"/>
      <c r="V109" s="49"/>
      <c r="W109" s="49"/>
      <c r="X109" s="49"/>
      <c r="Y109" s="49"/>
      <c r="Z109" s="49"/>
      <c r="AA109" s="49"/>
      <c r="AB109" s="49"/>
      <c r="AC109" s="49"/>
      <c r="AD109" s="49"/>
      <c r="AE109" s="49"/>
    </row>
    <row r="110" spans="1:31">
      <c r="A110" s="43"/>
      <c r="B110" s="43"/>
      <c r="C110" s="43"/>
      <c r="D110" s="43"/>
      <c r="E110" s="43"/>
      <c r="F110" s="43"/>
      <c r="G110" s="43"/>
      <c r="H110" s="43"/>
      <c r="I110" s="43"/>
      <c r="J110" s="43"/>
      <c r="K110" s="43"/>
      <c r="L110" s="43"/>
      <c r="M110" s="43"/>
      <c r="N110" s="43"/>
      <c r="O110" s="43"/>
      <c r="P110" s="43"/>
      <c r="Q110" s="43"/>
      <c r="R110" s="43"/>
      <c r="S110" s="43"/>
      <c r="T110" s="49"/>
      <c r="U110" s="49"/>
      <c r="V110" s="49"/>
      <c r="W110" s="49"/>
      <c r="X110" s="49"/>
      <c r="Y110" s="49"/>
      <c r="Z110" s="49"/>
      <c r="AA110" s="49"/>
      <c r="AB110" s="49"/>
      <c r="AC110" s="49"/>
      <c r="AD110" s="49"/>
      <c r="AE110" s="49"/>
    </row>
    <row r="111" spans="1:31">
      <c r="A111" s="43"/>
      <c r="B111" s="43"/>
      <c r="C111" s="43"/>
      <c r="D111" s="43"/>
      <c r="E111" s="43"/>
      <c r="F111" s="43"/>
      <c r="G111" s="43"/>
      <c r="H111" s="43"/>
      <c r="I111" s="43"/>
      <c r="J111" s="43"/>
      <c r="K111" s="43"/>
      <c r="L111" s="43"/>
      <c r="M111" s="43"/>
      <c r="N111" s="43"/>
      <c r="O111" s="43"/>
      <c r="P111" s="43"/>
      <c r="Q111" s="43"/>
      <c r="R111" s="43"/>
      <c r="S111" s="43"/>
      <c r="T111" s="49"/>
      <c r="U111" s="49"/>
      <c r="V111" s="49"/>
      <c r="W111" s="49"/>
      <c r="X111" s="49"/>
      <c r="Y111" s="49"/>
      <c r="Z111" s="49"/>
      <c r="AA111" s="49"/>
      <c r="AB111" s="49"/>
      <c r="AC111" s="49"/>
      <c r="AD111" s="49"/>
      <c r="AE111" s="49"/>
    </row>
    <row r="112" spans="1:31">
      <c r="A112" s="43"/>
      <c r="B112" s="43"/>
      <c r="C112" s="43"/>
      <c r="D112" s="43"/>
      <c r="E112" s="43"/>
      <c r="F112" s="43"/>
      <c r="G112" s="43"/>
      <c r="H112" s="43"/>
      <c r="I112" s="43"/>
      <c r="J112" s="43"/>
      <c r="K112" s="43"/>
      <c r="L112" s="43"/>
      <c r="M112" s="43"/>
      <c r="N112" s="43"/>
      <c r="O112" s="43"/>
      <c r="P112" s="43"/>
      <c r="Q112" s="43"/>
      <c r="R112" s="43"/>
      <c r="S112" s="43"/>
      <c r="T112" s="49"/>
      <c r="U112" s="49"/>
      <c r="V112" s="49"/>
      <c r="W112" s="49"/>
      <c r="X112" s="49"/>
      <c r="Y112" s="49"/>
      <c r="Z112" s="49"/>
      <c r="AA112" s="49"/>
      <c r="AB112" s="49"/>
      <c r="AC112" s="49"/>
      <c r="AD112" s="49"/>
      <c r="AE112" s="49"/>
    </row>
    <row r="113" spans="1:31">
      <c r="A113" s="43"/>
      <c r="B113" s="43"/>
      <c r="C113" s="43"/>
      <c r="D113" s="43"/>
      <c r="E113" s="43"/>
      <c r="F113" s="43"/>
      <c r="G113" s="43"/>
      <c r="H113" s="43"/>
      <c r="I113" s="43"/>
      <c r="J113" s="43"/>
      <c r="K113" s="43"/>
      <c r="L113" s="43"/>
      <c r="M113" s="43"/>
      <c r="N113" s="43"/>
      <c r="O113" s="43"/>
      <c r="P113" s="43"/>
      <c r="Q113" s="43"/>
      <c r="R113" s="43"/>
      <c r="S113" s="43"/>
      <c r="T113" s="49"/>
      <c r="U113" s="49"/>
      <c r="V113" s="49"/>
      <c r="W113" s="49"/>
      <c r="X113" s="49"/>
      <c r="Y113" s="49"/>
      <c r="Z113" s="49"/>
      <c r="AA113" s="49"/>
      <c r="AB113" s="49"/>
      <c r="AC113" s="49"/>
      <c r="AD113" s="49"/>
      <c r="AE113" s="49"/>
    </row>
    <row r="114" spans="1:31">
      <c r="A114" s="43"/>
      <c r="B114" s="43"/>
      <c r="C114" s="43"/>
      <c r="D114" s="43"/>
      <c r="E114" s="43"/>
      <c r="F114" s="43"/>
      <c r="G114" s="43"/>
      <c r="H114" s="43"/>
      <c r="I114" s="43"/>
      <c r="J114" s="43"/>
      <c r="K114" s="43"/>
      <c r="L114" s="43"/>
      <c r="M114" s="43"/>
      <c r="N114" s="43"/>
      <c r="O114" s="43"/>
      <c r="P114" s="43"/>
      <c r="Q114" s="43"/>
      <c r="R114" s="43"/>
      <c r="S114" s="43"/>
      <c r="T114" s="49"/>
      <c r="U114" s="49"/>
      <c r="V114" s="49"/>
      <c r="W114" s="49"/>
      <c r="X114" s="49"/>
      <c r="Y114" s="49"/>
      <c r="Z114" s="49"/>
      <c r="AA114" s="49"/>
      <c r="AB114" s="49"/>
      <c r="AC114" s="49"/>
      <c r="AD114" s="49"/>
      <c r="AE114" s="49"/>
    </row>
    <row r="115" spans="1:31">
      <c r="A115" s="43"/>
      <c r="B115" s="43"/>
      <c r="C115" s="43"/>
      <c r="D115" s="43"/>
      <c r="E115" s="43"/>
      <c r="F115" s="43"/>
      <c r="G115" s="43"/>
      <c r="H115" s="43"/>
      <c r="I115" s="43"/>
      <c r="J115" s="43"/>
      <c r="K115" s="43"/>
      <c r="L115" s="43"/>
      <c r="M115" s="43"/>
      <c r="N115" s="43"/>
      <c r="O115" s="43"/>
      <c r="P115" s="43"/>
      <c r="Q115" s="43"/>
      <c r="R115" s="43"/>
      <c r="S115" s="43"/>
      <c r="T115" s="49"/>
      <c r="U115" s="49"/>
      <c r="V115" s="49"/>
      <c r="W115" s="49"/>
      <c r="X115" s="49"/>
      <c r="Y115" s="49"/>
      <c r="Z115" s="49"/>
      <c r="AA115" s="49"/>
      <c r="AB115" s="49"/>
      <c r="AC115" s="49"/>
      <c r="AD115" s="49"/>
      <c r="AE115" s="49"/>
    </row>
    <row r="116" spans="1:31">
      <c r="A116" s="43"/>
      <c r="B116" s="43"/>
      <c r="C116" s="43"/>
      <c r="D116" s="43"/>
      <c r="E116" s="43"/>
      <c r="F116" s="43"/>
      <c r="G116" s="43"/>
      <c r="H116" s="43"/>
      <c r="I116" s="43"/>
      <c r="J116" s="43"/>
      <c r="K116" s="43"/>
      <c r="L116" s="43"/>
      <c r="M116" s="43"/>
      <c r="N116" s="43"/>
      <c r="O116" s="43"/>
      <c r="P116" s="43"/>
      <c r="Q116" s="43"/>
      <c r="R116" s="43"/>
      <c r="S116" s="43"/>
      <c r="T116" s="49"/>
      <c r="U116" s="49"/>
      <c r="V116" s="49"/>
      <c r="W116" s="49"/>
      <c r="X116" s="49"/>
      <c r="Y116" s="49"/>
      <c r="Z116" s="49"/>
      <c r="AA116" s="49"/>
      <c r="AB116" s="49"/>
      <c r="AC116" s="49"/>
      <c r="AD116" s="49"/>
      <c r="AE116" s="49"/>
    </row>
    <row r="117" spans="1:31">
      <c r="A117" s="43"/>
      <c r="B117" s="43"/>
      <c r="C117" s="43"/>
      <c r="D117" s="43"/>
      <c r="E117" s="43"/>
      <c r="F117" s="43"/>
      <c r="G117" s="43"/>
      <c r="H117" s="43"/>
      <c r="I117" s="43"/>
      <c r="J117" s="43"/>
      <c r="K117" s="43"/>
      <c r="L117" s="43"/>
      <c r="M117" s="43"/>
      <c r="N117" s="43"/>
      <c r="O117" s="43"/>
      <c r="P117" s="43"/>
      <c r="Q117" s="43"/>
      <c r="R117" s="43"/>
      <c r="S117" s="43"/>
      <c r="T117" s="49"/>
      <c r="U117" s="49"/>
      <c r="V117" s="49"/>
      <c r="W117" s="49"/>
      <c r="X117" s="49"/>
      <c r="Y117" s="49"/>
      <c r="Z117" s="49"/>
      <c r="AA117" s="49"/>
      <c r="AB117" s="49"/>
      <c r="AC117" s="49"/>
      <c r="AD117" s="49"/>
      <c r="AE117" s="49"/>
    </row>
    <row r="118" spans="1:31">
      <c r="A118" s="43"/>
      <c r="B118" s="43"/>
      <c r="C118" s="43"/>
      <c r="D118" s="43"/>
      <c r="E118" s="43"/>
      <c r="F118" s="43"/>
      <c r="G118" s="43"/>
      <c r="H118" s="43"/>
      <c r="I118" s="43"/>
      <c r="J118" s="43"/>
      <c r="K118" s="43"/>
      <c r="L118" s="43"/>
      <c r="M118" s="43"/>
      <c r="N118" s="43"/>
      <c r="O118" s="43"/>
      <c r="P118" s="43"/>
      <c r="Q118" s="43"/>
      <c r="R118" s="43"/>
      <c r="S118" s="43"/>
      <c r="T118" s="49"/>
      <c r="U118" s="49"/>
      <c r="V118" s="49"/>
      <c r="W118" s="49"/>
      <c r="X118" s="49"/>
      <c r="Y118" s="49"/>
      <c r="Z118" s="49"/>
      <c r="AA118" s="49"/>
      <c r="AB118" s="49"/>
      <c r="AC118" s="49"/>
      <c r="AD118" s="49"/>
      <c r="AE118" s="49"/>
    </row>
    <row r="119" spans="1:31">
      <c r="A119" s="43"/>
      <c r="B119" s="43"/>
      <c r="C119" s="43"/>
      <c r="D119" s="43"/>
      <c r="E119" s="43"/>
      <c r="F119" s="43"/>
      <c r="G119" s="43"/>
      <c r="H119" s="43"/>
      <c r="I119" s="43"/>
      <c r="J119" s="43"/>
      <c r="K119" s="43"/>
      <c r="L119" s="43"/>
      <c r="M119" s="43"/>
      <c r="N119" s="43"/>
      <c r="O119" s="43"/>
      <c r="P119" s="43"/>
      <c r="Q119" s="43"/>
      <c r="R119" s="43"/>
      <c r="S119" s="43"/>
      <c r="T119" s="49"/>
      <c r="U119" s="49"/>
      <c r="V119" s="49"/>
      <c r="W119" s="49"/>
      <c r="X119" s="49"/>
      <c r="Y119" s="49"/>
      <c r="Z119" s="49"/>
      <c r="AA119" s="49"/>
      <c r="AB119" s="49"/>
      <c r="AC119" s="49"/>
      <c r="AD119" s="49"/>
      <c r="AE119" s="49"/>
    </row>
    <row r="120" spans="1:31">
      <c r="A120" s="43"/>
      <c r="B120" s="43"/>
      <c r="C120" s="43"/>
      <c r="D120" s="43"/>
      <c r="E120" s="43"/>
      <c r="F120" s="43"/>
      <c r="G120" s="43"/>
      <c r="H120" s="43"/>
      <c r="I120" s="43"/>
      <c r="J120" s="43"/>
      <c r="K120" s="43"/>
      <c r="L120" s="43"/>
      <c r="M120" s="43"/>
      <c r="N120" s="43"/>
      <c r="O120" s="43"/>
      <c r="P120" s="43"/>
      <c r="Q120" s="43"/>
      <c r="R120" s="43"/>
      <c r="S120" s="43"/>
      <c r="T120" s="49"/>
      <c r="U120" s="49"/>
      <c r="V120" s="49"/>
      <c r="W120" s="49"/>
      <c r="X120" s="49"/>
      <c r="Y120" s="49"/>
      <c r="Z120" s="49"/>
      <c r="AA120" s="49"/>
      <c r="AB120" s="49"/>
      <c r="AC120" s="49"/>
      <c r="AD120" s="49"/>
      <c r="AE120" s="49"/>
    </row>
    <row r="121" spans="1:31">
      <c r="A121" s="43"/>
      <c r="B121" s="43"/>
      <c r="C121" s="43"/>
      <c r="D121" s="43"/>
      <c r="E121" s="43"/>
      <c r="F121" s="43"/>
      <c r="G121" s="43"/>
      <c r="H121" s="43"/>
      <c r="I121" s="43"/>
      <c r="J121" s="43"/>
      <c r="K121" s="43"/>
      <c r="L121" s="43"/>
      <c r="M121" s="43"/>
      <c r="N121" s="43"/>
      <c r="O121" s="43"/>
      <c r="P121" s="43"/>
      <c r="Q121" s="43"/>
      <c r="R121" s="43"/>
      <c r="S121" s="43"/>
      <c r="T121" s="49"/>
      <c r="U121" s="49"/>
      <c r="V121" s="49"/>
      <c r="W121" s="49"/>
      <c r="X121" s="49"/>
      <c r="Y121" s="49"/>
      <c r="Z121" s="49"/>
      <c r="AA121" s="49"/>
      <c r="AB121" s="49"/>
      <c r="AC121" s="49"/>
      <c r="AD121" s="49"/>
      <c r="AE121" s="49"/>
    </row>
    <row r="122" spans="1:31">
      <c r="A122" s="43"/>
      <c r="B122" s="43"/>
      <c r="C122" s="43"/>
      <c r="D122" s="43"/>
      <c r="E122" s="43"/>
      <c r="F122" s="43"/>
      <c r="G122" s="43"/>
      <c r="H122" s="43"/>
      <c r="I122" s="43"/>
      <c r="J122" s="43"/>
      <c r="K122" s="43"/>
      <c r="L122" s="43"/>
      <c r="M122" s="43"/>
      <c r="N122" s="43"/>
      <c r="O122" s="43"/>
      <c r="P122" s="43"/>
      <c r="Q122" s="43"/>
      <c r="R122" s="43"/>
      <c r="S122" s="43"/>
      <c r="T122" s="49"/>
      <c r="U122" s="49"/>
      <c r="V122" s="49"/>
      <c r="W122" s="49"/>
      <c r="X122" s="49"/>
      <c r="Y122" s="49"/>
      <c r="Z122" s="49"/>
      <c r="AA122" s="49"/>
      <c r="AB122" s="49"/>
      <c r="AC122" s="49"/>
      <c r="AD122" s="49"/>
      <c r="AE122" s="49"/>
    </row>
    <row r="123" spans="1:31">
      <c r="A123" s="43"/>
      <c r="B123" s="43"/>
      <c r="C123" s="43"/>
      <c r="D123" s="43"/>
      <c r="E123" s="43"/>
      <c r="F123" s="43"/>
      <c r="G123" s="43"/>
      <c r="H123" s="43"/>
      <c r="I123" s="43"/>
      <c r="J123" s="43"/>
      <c r="K123" s="43"/>
      <c r="L123" s="43"/>
      <c r="M123" s="43"/>
      <c r="N123" s="43"/>
      <c r="O123" s="43"/>
      <c r="P123" s="43"/>
      <c r="Q123" s="43"/>
      <c r="R123" s="43"/>
      <c r="S123" s="43"/>
      <c r="T123" s="49"/>
      <c r="U123" s="49"/>
      <c r="V123" s="49"/>
      <c r="W123" s="49"/>
      <c r="X123" s="49"/>
      <c r="Y123" s="49"/>
      <c r="Z123" s="49"/>
      <c r="AA123" s="49"/>
      <c r="AB123" s="49"/>
      <c r="AC123" s="49"/>
      <c r="AD123" s="49"/>
      <c r="AE123" s="49"/>
    </row>
    <row r="124" spans="1:31">
      <c r="A124" s="43"/>
      <c r="B124" s="43"/>
      <c r="C124" s="43"/>
      <c r="D124" s="43"/>
      <c r="E124" s="43"/>
      <c r="F124" s="43"/>
      <c r="G124" s="43"/>
      <c r="H124" s="43"/>
      <c r="I124" s="43"/>
      <c r="J124" s="43"/>
      <c r="K124" s="43"/>
      <c r="L124" s="43"/>
      <c r="M124" s="43"/>
      <c r="N124" s="43"/>
      <c r="O124" s="43"/>
      <c r="P124" s="43"/>
      <c r="Q124" s="43"/>
      <c r="R124" s="43"/>
      <c r="S124" s="43"/>
      <c r="T124" s="49"/>
      <c r="U124" s="49"/>
      <c r="V124" s="49"/>
      <c r="W124" s="49"/>
      <c r="X124" s="49"/>
      <c r="Y124" s="49"/>
      <c r="Z124" s="49"/>
      <c r="AA124" s="49"/>
      <c r="AB124" s="49"/>
      <c r="AC124" s="49"/>
      <c r="AD124" s="49"/>
      <c r="AE124" s="49"/>
    </row>
    <row r="125" spans="1:31">
      <c r="A125" s="43"/>
      <c r="B125" s="43"/>
      <c r="C125" s="43"/>
      <c r="D125" s="43"/>
      <c r="E125" s="43"/>
      <c r="F125" s="43"/>
      <c r="G125" s="43"/>
      <c r="H125" s="43"/>
      <c r="I125" s="43"/>
      <c r="J125" s="43"/>
      <c r="K125" s="43"/>
      <c r="L125" s="43"/>
      <c r="M125" s="43"/>
      <c r="N125" s="43"/>
      <c r="O125" s="43"/>
      <c r="P125" s="43"/>
      <c r="Q125" s="43"/>
      <c r="R125" s="43"/>
      <c r="S125" s="43"/>
      <c r="T125" s="49"/>
      <c r="U125" s="49"/>
      <c r="V125" s="49"/>
      <c r="W125" s="49"/>
      <c r="X125" s="49"/>
      <c r="Y125" s="49"/>
      <c r="Z125" s="49"/>
      <c r="AA125" s="49"/>
      <c r="AB125" s="49"/>
      <c r="AC125" s="49"/>
      <c r="AD125" s="49"/>
      <c r="AE125" s="49"/>
    </row>
    <row r="126" spans="1:31">
      <c r="A126" s="43"/>
      <c r="B126" s="43"/>
      <c r="C126" s="43"/>
      <c r="D126" s="43"/>
      <c r="E126" s="43"/>
      <c r="F126" s="43"/>
      <c r="G126" s="43"/>
      <c r="H126" s="43"/>
      <c r="I126" s="43"/>
      <c r="J126" s="43"/>
      <c r="K126" s="43"/>
      <c r="L126" s="43"/>
      <c r="M126" s="43"/>
      <c r="N126" s="43"/>
      <c r="O126" s="43"/>
      <c r="P126" s="43"/>
      <c r="Q126" s="43"/>
      <c r="R126" s="43"/>
      <c r="S126" s="43"/>
      <c r="T126" s="49"/>
      <c r="U126" s="49"/>
      <c r="V126" s="49"/>
      <c r="W126" s="49"/>
      <c r="X126" s="49"/>
      <c r="Y126" s="49"/>
      <c r="Z126" s="49"/>
      <c r="AA126" s="49"/>
      <c r="AB126" s="49"/>
      <c r="AC126" s="49"/>
      <c r="AD126" s="49"/>
      <c r="AE126" s="49"/>
    </row>
    <row r="127" spans="1:31">
      <c r="A127" s="43"/>
      <c r="B127" s="43"/>
      <c r="C127" s="43"/>
      <c r="D127" s="43"/>
      <c r="E127" s="43"/>
      <c r="F127" s="43"/>
      <c r="G127" s="43"/>
      <c r="H127" s="43"/>
      <c r="I127" s="43"/>
      <c r="J127" s="43"/>
      <c r="K127" s="43"/>
      <c r="L127" s="43"/>
      <c r="M127" s="43"/>
      <c r="N127" s="43"/>
      <c r="O127" s="43"/>
      <c r="P127" s="43"/>
      <c r="Q127" s="43"/>
      <c r="R127" s="43"/>
      <c r="S127" s="43"/>
      <c r="T127" s="49"/>
      <c r="U127" s="49"/>
      <c r="V127" s="49"/>
      <c r="W127" s="49"/>
      <c r="X127" s="49"/>
      <c r="Y127" s="49"/>
      <c r="Z127" s="49"/>
      <c r="AA127" s="49"/>
      <c r="AB127" s="49"/>
      <c r="AC127" s="49"/>
      <c r="AD127" s="49"/>
      <c r="AE127" s="49"/>
    </row>
    <row r="128" spans="1:31">
      <c r="A128" s="43"/>
      <c r="B128" s="43"/>
      <c r="C128" s="43"/>
      <c r="D128" s="43"/>
      <c r="E128" s="43"/>
      <c r="F128" s="43"/>
      <c r="G128" s="43"/>
      <c r="H128" s="43"/>
      <c r="I128" s="43"/>
      <c r="J128" s="43"/>
      <c r="K128" s="43"/>
      <c r="L128" s="43"/>
      <c r="M128" s="43"/>
      <c r="N128" s="43"/>
      <c r="O128" s="43"/>
      <c r="P128" s="43"/>
      <c r="Q128" s="43"/>
      <c r="R128" s="43"/>
      <c r="S128" s="43"/>
      <c r="T128" s="49"/>
      <c r="U128" s="49"/>
      <c r="V128" s="49"/>
      <c r="W128" s="49"/>
      <c r="X128" s="49"/>
      <c r="Y128" s="49"/>
      <c r="Z128" s="49"/>
      <c r="AA128" s="49"/>
      <c r="AB128" s="49"/>
      <c r="AC128" s="49"/>
      <c r="AD128" s="49"/>
      <c r="AE128" s="49"/>
    </row>
    <row r="129" spans="1:31">
      <c r="A129" s="43"/>
      <c r="B129" s="43"/>
      <c r="C129" s="43"/>
      <c r="D129" s="43"/>
      <c r="E129" s="43"/>
      <c r="F129" s="43"/>
      <c r="G129" s="43"/>
      <c r="H129" s="43"/>
      <c r="I129" s="43"/>
      <c r="J129" s="43"/>
      <c r="K129" s="43"/>
      <c r="L129" s="43"/>
      <c r="M129" s="43"/>
      <c r="N129" s="43"/>
      <c r="O129" s="43"/>
      <c r="P129" s="43"/>
      <c r="Q129" s="43"/>
      <c r="R129" s="43"/>
      <c r="S129" s="43"/>
      <c r="T129" s="49"/>
      <c r="U129" s="49"/>
      <c r="V129" s="49"/>
      <c r="W129" s="49"/>
      <c r="X129" s="49"/>
      <c r="Y129" s="49"/>
      <c r="Z129" s="49"/>
      <c r="AA129" s="49"/>
      <c r="AB129" s="49"/>
      <c r="AC129" s="49"/>
      <c r="AD129" s="49"/>
      <c r="AE129" s="49"/>
    </row>
    <row r="130" spans="1:31">
      <c r="A130" s="43"/>
      <c r="B130" s="43"/>
      <c r="C130" s="43"/>
      <c r="D130" s="43"/>
      <c r="E130" s="43"/>
      <c r="F130" s="43"/>
      <c r="G130" s="43"/>
      <c r="H130" s="43"/>
      <c r="I130" s="43"/>
      <c r="J130" s="43"/>
      <c r="K130" s="43"/>
      <c r="L130" s="43"/>
      <c r="M130" s="43"/>
      <c r="N130" s="43"/>
      <c r="O130" s="43"/>
      <c r="P130" s="43"/>
      <c r="Q130" s="43"/>
      <c r="R130" s="43"/>
      <c r="S130" s="43"/>
      <c r="T130" s="49"/>
      <c r="U130" s="49"/>
      <c r="V130" s="49"/>
      <c r="W130" s="49"/>
      <c r="X130" s="49"/>
      <c r="Y130" s="49"/>
      <c r="Z130" s="49"/>
      <c r="AA130" s="49"/>
      <c r="AB130" s="49"/>
      <c r="AC130" s="49"/>
      <c r="AD130" s="49"/>
      <c r="AE130" s="49"/>
    </row>
    <row r="131" spans="1:31">
      <c r="A131" s="43"/>
      <c r="B131" s="43"/>
      <c r="C131" s="43"/>
      <c r="D131" s="43"/>
      <c r="E131" s="43"/>
      <c r="F131" s="43"/>
      <c r="G131" s="43"/>
      <c r="H131" s="43"/>
      <c r="I131" s="43"/>
      <c r="J131" s="43"/>
      <c r="K131" s="43"/>
      <c r="L131" s="43"/>
      <c r="M131" s="43"/>
      <c r="N131" s="43"/>
      <c r="O131" s="43"/>
      <c r="P131" s="43"/>
      <c r="Q131" s="43"/>
      <c r="R131" s="43"/>
      <c r="S131" s="43"/>
      <c r="T131" s="49"/>
      <c r="U131" s="49"/>
      <c r="V131" s="49"/>
      <c r="W131" s="49"/>
      <c r="X131" s="49"/>
      <c r="Y131" s="49"/>
      <c r="Z131" s="49"/>
      <c r="AA131" s="49"/>
      <c r="AB131" s="49"/>
      <c r="AC131" s="49"/>
      <c r="AD131" s="49"/>
      <c r="AE131" s="49"/>
    </row>
    <row r="132" spans="1:31">
      <c r="A132" s="43"/>
      <c r="B132" s="43"/>
      <c r="C132" s="43"/>
      <c r="D132" s="43"/>
      <c r="E132" s="43"/>
      <c r="F132" s="43"/>
      <c r="G132" s="43"/>
      <c r="H132" s="43"/>
      <c r="I132" s="43"/>
      <c r="J132" s="43"/>
      <c r="K132" s="43"/>
      <c r="L132" s="43"/>
      <c r="M132" s="43"/>
      <c r="N132" s="43"/>
      <c r="O132" s="43"/>
      <c r="P132" s="43"/>
      <c r="Q132" s="43"/>
      <c r="R132" s="43"/>
      <c r="S132" s="43"/>
      <c r="T132" s="49"/>
      <c r="U132" s="49"/>
      <c r="V132" s="49"/>
      <c r="W132" s="49"/>
      <c r="X132" s="49"/>
      <c r="Y132" s="49"/>
      <c r="Z132" s="49"/>
      <c r="AA132" s="49"/>
      <c r="AB132" s="49"/>
      <c r="AC132" s="49"/>
      <c r="AD132" s="49"/>
      <c r="AE132" s="49"/>
    </row>
    <row r="133" spans="1:31">
      <c r="A133" s="43"/>
      <c r="B133" s="43"/>
      <c r="C133" s="43"/>
      <c r="D133" s="43"/>
      <c r="E133" s="43"/>
      <c r="F133" s="43"/>
      <c r="G133" s="43"/>
      <c r="H133" s="43"/>
      <c r="I133" s="43"/>
      <c r="J133" s="43"/>
      <c r="K133" s="43"/>
      <c r="L133" s="43"/>
      <c r="M133" s="43"/>
      <c r="N133" s="43"/>
      <c r="O133" s="43"/>
      <c r="P133" s="43"/>
      <c r="Q133" s="43"/>
      <c r="R133" s="43"/>
      <c r="S133" s="43"/>
      <c r="T133" s="49"/>
      <c r="U133" s="49"/>
      <c r="V133" s="49"/>
      <c r="W133" s="49"/>
      <c r="X133" s="49"/>
      <c r="Y133" s="49"/>
      <c r="Z133" s="49"/>
      <c r="AA133" s="49"/>
      <c r="AB133" s="49"/>
      <c r="AC133" s="49"/>
      <c r="AD133" s="49"/>
      <c r="AE133" s="49"/>
    </row>
    <row r="134" spans="1:31">
      <c r="A134" s="43"/>
      <c r="B134" s="43"/>
      <c r="C134" s="43"/>
      <c r="D134" s="43"/>
      <c r="E134" s="43"/>
      <c r="F134" s="43"/>
      <c r="G134" s="43"/>
      <c r="H134" s="43"/>
      <c r="I134" s="43"/>
      <c r="J134" s="43"/>
      <c r="K134" s="43"/>
      <c r="L134" s="43"/>
      <c r="M134" s="43"/>
      <c r="N134" s="43"/>
      <c r="O134" s="43"/>
      <c r="P134" s="43"/>
      <c r="Q134" s="43"/>
      <c r="R134" s="43"/>
      <c r="S134" s="43"/>
      <c r="T134" s="49"/>
      <c r="U134" s="49"/>
      <c r="V134" s="49"/>
      <c r="W134" s="49"/>
      <c r="X134" s="49"/>
      <c r="Y134" s="49"/>
      <c r="Z134" s="49"/>
      <c r="AA134" s="49"/>
      <c r="AB134" s="49"/>
      <c r="AC134" s="49"/>
      <c r="AD134" s="49"/>
      <c r="AE134" s="49"/>
    </row>
    <row r="135" spans="1:31">
      <c r="A135" s="43"/>
      <c r="B135" s="43"/>
      <c r="C135" s="43"/>
      <c r="D135" s="43"/>
      <c r="E135" s="43"/>
      <c r="F135" s="43"/>
      <c r="G135" s="43"/>
      <c r="H135" s="43"/>
      <c r="I135" s="43"/>
      <c r="J135" s="43"/>
      <c r="K135" s="43"/>
      <c r="L135" s="43"/>
      <c r="M135" s="43"/>
      <c r="N135" s="43"/>
      <c r="O135" s="43"/>
      <c r="P135" s="43"/>
      <c r="Q135" s="43"/>
      <c r="R135" s="43"/>
      <c r="S135" s="43"/>
      <c r="T135" s="49"/>
      <c r="U135" s="49"/>
      <c r="V135" s="49"/>
      <c r="W135" s="49"/>
      <c r="X135" s="49"/>
      <c r="Y135" s="49"/>
      <c r="Z135" s="49"/>
      <c r="AA135" s="49"/>
      <c r="AB135" s="49"/>
      <c r="AC135" s="49"/>
      <c r="AD135" s="49"/>
      <c r="AE135" s="49"/>
    </row>
    <row r="136" spans="1:31">
      <c r="A136" s="43"/>
      <c r="B136" s="43"/>
      <c r="C136" s="43"/>
      <c r="D136" s="43"/>
      <c r="E136" s="43"/>
      <c r="F136" s="43"/>
      <c r="G136" s="43"/>
      <c r="H136" s="43"/>
      <c r="I136" s="43"/>
      <c r="J136" s="43"/>
      <c r="K136" s="43"/>
      <c r="L136" s="43"/>
      <c r="M136" s="43"/>
      <c r="N136" s="43"/>
      <c r="O136" s="43"/>
      <c r="P136" s="43"/>
      <c r="Q136" s="43"/>
      <c r="R136" s="43"/>
      <c r="S136" s="43"/>
      <c r="T136" s="49"/>
      <c r="U136" s="49"/>
      <c r="V136" s="49"/>
      <c r="W136" s="49"/>
      <c r="X136" s="49"/>
      <c r="Y136" s="49"/>
      <c r="Z136" s="49"/>
      <c r="AA136" s="49"/>
      <c r="AB136" s="49"/>
      <c r="AC136" s="49"/>
      <c r="AD136" s="49"/>
      <c r="AE136" s="49"/>
    </row>
    <row r="137" spans="1:31">
      <c r="A137" s="43"/>
      <c r="B137" s="43"/>
      <c r="C137" s="43"/>
      <c r="D137" s="43"/>
      <c r="E137" s="43"/>
      <c r="F137" s="43"/>
      <c r="G137" s="43"/>
      <c r="H137" s="43"/>
      <c r="I137" s="43"/>
      <c r="J137" s="43"/>
      <c r="K137" s="43"/>
      <c r="L137" s="43"/>
      <c r="M137" s="43"/>
      <c r="N137" s="43"/>
      <c r="O137" s="43"/>
      <c r="P137" s="43"/>
      <c r="Q137" s="43"/>
      <c r="R137" s="43"/>
      <c r="S137" s="43"/>
      <c r="T137" s="49"/>
      <c r="U137" s="49"/>
      <c r="V137" s="49"/>
      <c r="W137" s="49"/>
      <c r="X137" s="49"/>
      <c r="Y137" s="49"/>
      <c r="Z137" s="49"/>
      <c r="AA137" s="49"/>
      <c r="AB137" s="49"/>
      <c r="AC137" s="49"/>
      <c r="AD137" s="49"/>
      <c r="AE137" s="49"/>
    </row>
    <row r="138" spans="1:31">
      <c r="A138" s="43"/>
      <c r="B138" s="43"/>
      <c r="C138" s="43"/>
      <c r="D138" s="43"/>
      <c r="E138" s="43"/>
      <c r="F138" s="43"/>
      <c r="G138" s="43"/>
      <c r="H138" s="43"/>
      <c r="I138" s="43"/>
      <c r="J138" s="43"/>
      <c r="K138" s="43"/>
      <c r="L138" s="43"/>
      <c r="M138" s="43"/>
      <c r="N138" s="43"/>
      <c r="O138" s="43"/>
      <c r="P138" s="43"/>
      <c r="Q138" s="43"/>
      <c r="R138" s="43"/>
      <c r="S138" s="43"/>
      <c r="T138" s="49"/>
      <c r="U138" s="49"/>
      <c r="V138" s="49"/>
      <c r="W138" s="49"/>
      <c r="X138" s="49"/>
      <c r="Y138" s="49"/>
      <c r="Z138" s="49"/>
      <c r="AA138" s="49"/>
      <c r="AB138" s="49"/>
      <c r="AC138" s="49"/>
      <c r="AD138" s="49"/>
      <c r="AE138" s="49"/>
    </row>
    <row r="139" spans="1:31">
      <c r="A139" s="43"/>
      <c r="B139" s="43"/>
      <c r="C139" s="43"/>
      <c r="D139" s="43"/>
      <c r="E139" s="43"/>
      <c r="F139" s="43"/>
      <c r="G139" s="43"/>
      <c r="H139" s="43"/>
      <c r="I139" s="43"/>
      <c r="J139" s="43"/>
      <c r="K139" s="43"/>
      <c r="L139" s="43"/>
      <c r="M139" s="43"/>
      <c r="N139" s="43"/>
      <c r="O139" s="43"/>
      <c r="P139" s="43"/>
      <c r="Q139" s="43"/>
      <c r="R139" s="43"/>
      <c r="S139" s="43"/>
      <c r="T139" s="49"/>
      <c r="U139" s="49"/>
      <c r="V139" s="49"/>
      <c r="W139" s="49"/>
      <c r="X139" s="49"/>
      <c r="Y139" s="49"/>
      <c r="Z139" s="49"/>
      <c r="AA139" s="49"/>
      <c r="AB139" s="49"/>
      <c r="AC139" s="49"/>
      <c r="AD139" s="49"/>
      <c r="AE139" s="49"/>
    </row>
    <row r="140" spans="1:31">
      <c r="A140" s="43"/>
      <c r="B140" s="43"/>
      <c r="C140" s="43"/>
      <c r="D140" s="43"/>
      <c r="E140" s="43"/>
      <c r="F140" s="43"/>
      <c r="G140" s="43"/>
      <c r="H140" s="43"/>
      <c r="I140" s="43"/>
      <c r="J140" s="43"/>
      <c r="K140" s="43"/>
      <c r="L140" s="43"/>
      <c r="M140" s="43"/>
      <c r="N140" s="43"/>
      <c r="O140" s="43"/>
      <c r="P140" s="43"/>
      <c r="Q140" s="43"/>
      <c r="R140" s="43"/>
      <c r="S140" s="43"/>
      <c r="T140" s="49"/>
      <c r="U140" s="49"/>
      <c r="V140" s="49"/>
      <c r="W140" s="49"/>
      <c r="X140" s="49"/>
      <c r="Y140" s="49"/>
      <c r="Z140" s="49"/>
      <c r="AA140" s="49"/>
      <c r="AB140" s="49"/>
      <c r="AC140" s="49"/>
      <c r="AD140" s="49"/>
      <c r="AE140" s="49"/>
    </row>
    <row r="141" spans="1:31">
      <c r="A141" s="43"/>
      <c r="B141" s="43"/>
      <c r="C141" s="43"/>
      <c r="D141" s="43"/>
      <c r="E141" s="43"/>
      <c r="F141" s="43"/>
      <c r="G141" s="43"/>
      <c r="H141" s="43"/>
      <c r="I141" s="43"/>
      <c r="J141" s="43"/>
      <c r="K141" s="43"/>
      <c r="L141" s="43"/>
      <c r="M141" s="43"/>
      <c r="N141" s="43"/>
      <c r="O141" s="43"/>
      <c r="P141" s="43"/>
      <c r="Q141" s="43"/>
      <c r="R141" s="43"/>
      <c r="S141" s="43"/>
      <c r="T141" s="49"/>
      <c r="U141" s="49"/>
      <c r="V141" s="49"/>
      <c r="W141" s="49"/>
      <c r="X141" s="49"/>
      <c r="Y141" s="49"/>
      <c r="Z141" s="49"/>
      <c r="AA141" s="49"/>
      <c r="AB141" s="49"/>
      <c r="AC141" s="49"/>
      <c r="AD141" s="49"/>
      <c r="AE141" s="49"/>
    </row>
    <row r="142" spans="1:31">
      <c r="A142" s="43"/>
      <c r="B142" s="43"/>
      <c r="C142" s="43"/>
      <c r="D142" s="43"/>
      <c r="E142" s="43"/>
      <c r="F142" s="43"/>
      <c r="G142" s="43"/>
      <c r="H142" s="43"/>
      <c r="I142" s="43"/>
      <c r="J142" s="43"/>
      <c r="K142" s="43"/>
      <c r="L142" s="43"/>
      <c r="M142" s="43"/>
      <c r="N142" s="43"/>
      <c r="O142" s="43"/>
      <c r="P142" s="43"/>
      <c r="Q142" s="43"/>
      <c r="R142" s="43"/>
      <c r="S142" s="43"/>
      <c r="T142" s="49"/>
      <c r="U142" s="49"/>
      <c r="V142" s="49"/>
      <c r="W142" s="49"/>
      <c r="X142" s="49"/>
      <c r="Y142" s="49"/>
      <c r="Z142" s="49"/>
      <c r="AA142" s="49"/>
      <c r="AB142" s="49"/>
      <c r="AC142" s="49"/>
      <c r="AD142" s="49"/>
      <c r="AE142" s="49"/>
    </row>
    <row r="143" spans="1:31">
      <c r="A143" s="43"/>
      <c r="B143" s="43"/>
      <c r="C143" s="43"/>
      <c r="D143" s="43"/>
      <c r="E143" s="43"/>
      <c r="F143" s="43"/>
      <c r="G143" s="43"/>
      <c r="H143" s="43"/>
      <c r="I143" s="43"/>
      <c r="J143" s="43"/>
      <c r="K143" s="43"/>
      <c r="L143" s="43"/>
      <c r="M143" s="43"/>
      <c r="N143" s="43"/>
      <c r="O143" s="43"/>
      <c r="P143" s="43"/>
      <c r="Q143" s="43"/>
      <c r="R143" s="43"/>
      <c r="S143" s="43"/>
      <c r="T143" s="49"/>
      <c r="U143" s="49"/>
      <c r="V143" s="49"/>
      <c r="W143" s="49"/>
      <c r="X143" s="49"/>
      <c r="Y143" s="49"/>
      <c r="Z143" s="49"/>
      <c r="AA143" s="49"/>
      <c r="AB143" s="49"/>
      <c r="AC143" s="49"/>
      <c r="AD143" s="49"/>
      <c r="AE143" s="49"/>
    </row>
    <row r="144" spans="1:31">
      <c r="A144" s="43"/>
      <c r="B144" s="43"/>
      <c r="C144" s="43"/>
      <c r="D144" s="43"/>
      <c r="E144" s="43"/>
      <c r="F144" s="43"/>
      <c r="G144" s="43"/>
      <c r="H144" s="43"/>
      <c r="I144" s="43"/>
      <c r="J144" s="43"/>
      <c r="K144" s="43"/>
      <c r="L144" s="43"/>
      <c r="M144" s="43"/>
      <c r="N144" s="43"/>
      <c r="O144" s="43"/>
      <c r="P144" s="43"/>
      <c r="Q144" s="43"/>
      <c r="R144" s="43"/>
      <c r="S144" s="43"/>
      <c r="T144" s="49"/>
      <c r="U144" s="49"/>
      <c r="V144" s="49"/>
      <c r="W144" s="49"/>
      <c r="X144" s="49"/>
      <c r="Y144" s="49"/>
      <c r="Z144" s="49"/>
      <c r="AA144" s="49"/>
      <c r="AB144" s="49"/>
      <c r="AC144" s="49"/>
      <c r="AD144" s="49"/>
      <c r="AE144" s="49"/>
    </row>
    <row r="145" spans="1:31">
      <c r="A145" s="43"/>
      <c r="B145" s="43"/>
      <c r="C145" s="43"/>
      <c r="D145" s="43"/>
      <c r="E145" s="43"/>
      <c r="F145" s="43"/>
      <c r="G145" s="43"/>
      <c r="H145" s="43"/>
      <c r="I145" s="43"/>
      <c r="J145" s="43"/>
      <c r="K145" s="43"/>
      <c r="L145" s="43"/>
      <c r="M145" s="43"/>
      <c r="N145" s="43"/>
      <c r="O145" s="43"/>
      <c r="P145" s="43"/>
      <c r="Q145" s="43"/>
      <c r="R145" s="43"/>
      <c r="S145" s="43"/>
      <c r="T145" s="49"/>
      <c r="U145" s="49"/>
      <c r="V145" s="49"/>
      <c r="W145" s="49"/>
      <c r="X145" s="49"/>
      <c r="Y145" s="49"/>
      <c r="Z145" s="49"/>
      <c r="AA145" s="49"/>
      <c r="AB145" s="49"/>
      <c r="AC145" s="49"/>
      <c r="AD145" s="49"/>
      <c r="AE145" s="49"/>
    </row>
    <row r="146" spans="1:31">
      <c r="A146" s="43"/>
      <c r="B146" s="43"/>
      <c r="C146" s="43"/>
      <c r="D146" s="43"/>
      <c r="E146" s="43"/>
      <c r="F146" s="43"/>
      <c r="G146" s="43"/>
      <c r="H146" s="43"/>
      <c r="I146" s="43"/>
      <c r="J146" s="43"/>
      <c r="K146" s="43"/>
      <c r="L146" s="43"/>
      <c r="M146" s="43"/>
      <c r="N146" s="43"/>
      <c r="O146" s="43"/>
      <c r="P146" s="43"/>
      <c r="Q146" s="43"/>
      <c r="R146" s="43"/>
      <c r="S146" s="43"/>
      <c r="T146" s="49"/>
      <c r="U146" s="49"/>
      <c r="V146" s="49"/>
      <c r="W146" s="49"/>
      <c r="X146" s="49"/>
      <c r="Y146" s="49"/>
      <c r="Z146" s="49"/>
      <c r="AA146" s="49"/>
      <c r="AB146" s="49"/>
      <c r="AC146" s="49"/>
      <c r="AD146" s="49"/>
      <c r="AE146" s="49"/>
    </row>
    <row r="147" spans="1:31">
      <c r="A147" s="43"/>
      <c r="B147" s="43"/>
      <c r="C147" s="43"/>
      <c r="D147" s="43"/>
      <c r="E147" s="43"/>
      <c r="F147" s="43"/>
      <c r="G147" s="43"/>
      <c r="H147" s="43"/>
      <c r="I147" s="43"/>
      <c r="J147" s="43"/>
      <c r="K147" s="43"/>
      <c r="L147" s="43"/>
      <c r="M147" s="43"/>
      <c r="N147" s="43"/>
      <c r="O147" s="43"/>
      <c r="P147" s="43"/>
      <c r="Q147" s="43"/>
      <c r="R147" s="43"/>
      <c r="S147" s="43"/>
      <c r="T147" s="49"/>
      <c r="U147" s="49"/>
      <c r="V147" s="49"/>
      <c r="W147" s="49"/>
      <c r="X147" s="49"/>
      <c r="Y147" s="49"/>
      <c r="Z147" s="49"/>
      <c r="AA147" s="49"/>
      <c r="AB147" s="49"/>
      <c r="AC147" s="49"/>
      <c r="AD147" s="49"/>
      <c r="AE147" s="49"/>
    </row>
    <row r="148" spans="1:31">
      <c r="A148" s="43"/>
      <c r="B148" s="43"/>
      <c r="C148" s="43"/>
      <c r="D148" s="43"/>
      <c r="E148" s="43"/>
      <c r="F148" s="43"/>
      <c r="G148" s="43"/>
      <c r="H148" s="43"/>
      <c r="I148" s="43"/>
      <c r="J148" s="43"/>
      <c r="K148" s="43"/>
      <c r="L148" s="43"/>
      <c r="M148" s="43"/>
      <c r="N148" s="43"/>
      <c r="O148" s="43"/>
      <c r="P148" s="43"/>
      <c r="Q148" s="43"/>
      <c r="R148" s="43"/>
      <c r="S148" s="43"/>
      <c r="T148" s="49"/>
      <c r="U148" s="49"/>
      <c r="V148" s="49"/>
      <c r="W148" s="49"/>
      <c r="X148" s="49"/>
      <c r="Y148" s="49"/>
      <c r="Z148" s="49"/>
      <c r="AA148" s="49"/>
      <c r="AB148" s="49"/>
      <c r="AC148" s="49"/>
      <c r="AD148" s="49"/>
      <c r="AE148" s="49"/>
    </row>
    <row r="149" spans="1:31">
      <c r="A149" s="43"/>
      <c r="B149" s="43"/>
      <c r="C149" s="43"/>
      <c r="D149" s="43"/>
      <c r="E149" s="43"/>
      <c r="F149" s="43"/>
      <c r="G149" s="43"/>
      <c r="H149" s="43"/>
      <c r="I149" s="43"/>
      <c r="J149" s="43"/>
      <c r="K149" s="43"/>
      <c r="L149" s="43"/>
      <c r="M149" s="43"/>
      <c r="N149" s="43"/>
      <c r="O149" s="43"/>
      <c r="P149" s="43"/>
      <c r="Q149" s="43"/>
      <c r="R149" s="43"/>
      <c r="S149" s="43"/>
      <c r="T149" s="49"/>
      <c r="U149" s="49"/>
      <c r="V149" s="49"/>
      <c r="W149" s="49"/>
      <c r="X149" s="49"/>
      <c r="Y149" s="49"/>
      <c r="Z149" s="49"/>
      <c r="AA149" s="49"/>
      <c r="AB149" s="49"/>
      <c r="AC149" s="49"/>
      <c r="AD149" s="49"/>
      <c r="AE149" s="49"/>
    </row>
    <row r="150" spans="1:31">
      <c r="A150" s="43"/>
      <c r="B150" s="43"/>
      <c r="C150" s="43"/>
      <c r="D150" s="43"/>
      <c r="E150" s="43"/>
      <c r="F150" s="43"/>
      <c r="G150" s="43"/>
      <c r="H150" s="43"/>
      <c r="I150" s="43"/>
      <c r="J150" s="43"/>
      <c r="K150" s="43"/>
      <c r="L150" s="43"/>
      <c r="M150" s="43"/>
      <c r="N150" s="43"/>
      <c r="O150" s="43"/>
      <c r="P150" s="43"/>
      <c r="Q150" s="43"/>
      <c r="R150" s="43"/>
      <c r="S150" s="43"/>
      <c r="T150" s="49"/>
      <c r="U150" s="49"/>
      <c r="V150" s="49"/>
      <c r="W150" s="49"/>
      <c r="X150" s="49"/>
      <c r="Y150" s="49"/>
      <c r="Z150" s="49"/>
      <c r="AA150" s="49"/>
      <c r="AB150" s="49"/>
      <c r="AC150" s="49"/>
      <c r="AD150" s="49"/>
      <c r="AE150" s="49"/>
    </row>
    <row r="151" spans="1:31">
      <c r="A151" s="43"/>
      <c r="B151" s="43"/>
      <c r="C151" s="43"/>
      <c r="D151" s="43"/>
      <c r="E151" s="43"/>
      <c r="F151" s="43"/>
      <c r="G151" s="43"/>
      <c r="H151" s="43"/>
      <c r="I151" s="43"/>
      <c r="J151" s="43"/>
      <c r="K151" s="43"/>
      <c r="L151" s="43"/>
      <c r="M151" s="43"/>
      <c r="N151" s="43"/>
      <c r="O151" s="43"/>
      <c r="P151" s="43"/>
      <c r="Q151" s="43"/>
      <c r="R151" s="43"/>
      <c r="S151" s="43"/>
      <c r="T151" s="49"/>
      <c r="U151" s="49"/>
      <c r="V151" s="49"/>
      <c r="W151" s="49"/>
      <c r="X151" s="49"/>
      <c r="Y151" s="49"/>
      <c r="Z151" s="49"/>
      <c r="AA151" s="49"/>
      <c r="AB151" s="49"/>
      <c r="AC151" s="49"/>
      <c r="AD151" s="49"/>
      <c r="AE151" s="49"/>
    </row>
    <row r="152" spans="1:31">
      <c r="A152" s="43"/>
      <c r="B152" s="43"/>
      <c r="C152" s="43"/>
      <c r="D152" s="43"/>
      <c r="E152" s="43"/>
      <c r="F152" s="43"/>
      <c r="G152" s="43"/>
      <c r="H152" s="43"/>
      <c r="I152" s="43"/>
      <c r="J152" s="43"/>
      <c r="K152" s="43"/>
      <c r="L152" s="43"/>
      <c r="M152" s="43"/>
      <c r="N152" s="43"/>
      <c r="O152" s="43"/>
      <c r="P152" s="43"/>
      <c r="Q152" s="43"/>
      <c r="R152" s="43"/>
      <c r="S152" s="43"/>
      <c r="T152" s="49"/>
      <c r="U152" s="49"/>
      <c r="V152" s="49"/>
      <c r="W152" s="49"/>
      <c r="X152" s="49"/>
      <c r="Y152" s="49"/>
      <c r="Z152" s="49"/>
      <c r="AA152" s="49"/>
      <c r="AB152" s="49"/>
      <c r="AC152" s="49"/>
      <c r="AD152" s="49"/>
      <c r="AE152" s="49"/>
    </row>
    <row r="153" spans="1:31">
      <c r="A153" s="43"/>
      <c r="B153" s="43"/>
      <c r="C153" s="43"/>
      <c r="D153" s="43"/>
      <c r="E153" s="43"/>
      <c r="F153" s="43"/>
      <c r="G153" s="43"/>
      <c r="H153" s="43"/>
      <c r="I153" s="43"/>
      <c r="J153" s="43"/>
      <c r="K153" s="43"/>
      <c r="L153" s="43"/>
      <c r="M153" s="43"/>
      <c r="N153" s="43"/>
      <c r="O153" s="43"/>
      <c r="P153" s="43"/>
      <c r="Q153" s="43"/>
      <c r="R153" s="43"/>
      <c r="S153" s="43"/>
      <c r="T153" s="49"/>
      <c r="U153" s="49"/>
      <c r="V153" s="49"/>
      <c r="W153" s="49"/>
      <c r="X153" s="49"/>
      <c r="Y153" s="49"/>
      <c r="Z153" s="49"/>
      <c r="AA153" s="49"/>
      <c r="AB153" s="49"/>
      <c r="AC153" s="49"/>
      <c r="AD153" s="49"/>
      <c r="AE153" s="49"/>
    </row>
    <row r="154" spans="1:31">
      <c r="A154" s="43"/>
      <c r="B154" s="43"/>
      <c r="C154" s="43"/>
      <c r="D154" s="43"/>
      <c r="E154" s="43"/>
      <c r="F154" s="43"/>
      <c r="G154" s="43"/>
      <c r="H154" s="43"/>
      <c r="I154" s="43"/>
      <c r="J154" s="43"/>
      <c r="K154" s="43"/>
      <c r="L154" s="43"/>
      <c r="M154" s="43"/>
      <c r="N154" s="43"/>
      <c r="O154" s="43"/>
      <c r="P154" s="43"/>
      <c r="Q154" s="43"/>
      <c r="R154" s="43"/>
      <c r="S154" s="43"/>
      <c r="T154" s="49"/>
      <c r="U154" s="49"/>
      <c r="V154" s="49"/>
      <c r="W154" s="49"/>
      <c r="X154" s="49"/>
      <c r="Y154" s="49"/>
      <c r="Z154" s="49"/>
      <c r="AA154" s="49"/>
      <c r="AB154" s="49"/>
      <c r="AC154" s="49"/>
      <c r="AD154" s="49"/>
      <c r="AE154" s="49"/>
    </row>
    <row r="155" spans="1:31">
      <c r="A155" s="43"/>
      <c r="B155" s="43"/>
      <c r="C155" s="43"/>
      <c r="D155" s="43"/>
      <c r="E155" s="43"/>
      <c r="F155" s="43"/>
      <c r="G155" s="43"/>
      <c r="H155" s="43"/>
      <c r="I155" s="43"/>
      <c r="J155" s="43"/>
      <c r="K155" s="43"/>
      <c r="L155" s="43"/>
      <c r="M155" s="43"/>
      <c r="N155" s="43"/>
      <c r="O155" s="43"/>
      <c r="P155" s="43"/>
      <c r="Q155" s="43"/>
      <c r="R155" s="43"/>
      <c r="S155" s="43"/>
      <c r="T155" s="49"/>
      <c r="U155" s="49"/>
      <c r="V155" s="49"/>
      <c r="W155" s="49"/>
      <c r="X155" s="49"/>
      <c r="Y155" s="49"/>
      <c r="Z155" s="49"/>
      <c r="AA155" s="49"/>
      <c r="AB155" s="49"/>
      <c r="AC155" s="49"/>
      <c r="AD155" s="49"/>
      <c r="AE155" s="49"/>
    </row>
    <row r="156" spans="1:31">
      <c r="A156" s="43"/>
      <c r="B156" s="43"/>
      <c r="C156" s="43"/>
      <c r="D156" s="43"/>
      <c r="E156" s="43"/>
      <c r="F156" s="43"/>
      <c r="G156" s="43"/>
      <c r="H156" s="43"/>
      <c r="I156" s="43"/>
      <c r="J156" s="43"/>
      <c r="K156" s="43"/>
      <c r="L156" s="43"/>
      <c r="M156" s="43"/>
      <c r="N156" s="43"/>
      <c r="O156" s="43"/>
      <c r="P156" s="43"/>
      <c r="Q156" s="43"/>
      <c r="R156" s="43"/>
      <c r="S156" s="43"/>
      <c r="T156" s="49"/>
      <c r="U156" s="49"/>
      <c r="V156" s="49"/>
      <c r="W156" s="49"/>
      <c r="X156" s="49"/>
      <c r="Y156" s="49"/>
      <c r="Z156" s="49"/>
      <c r="AA156" s="49"/>
      <c r="AB156" s="49"/>
      <c r="AC156" s="49"/>
      <c r="AD156" s="49"/>
      <c r="AE156" s="49"/>
    </row>
    <row r="157" spans="1:31">
      <c r="A157" s="43"/>
      <c r="B157" s="43"/>
      <c r="C157" s="43"/>
      <c r="D157" s="43"/>
      <c r="E157" s="43"/>
      <c r="F157" s="43"/>
      <c r="G157" s="43"/>
      <c r="H157" s="43"/>
      <c r="I157" s="43"/>
      <c r="J157" s="43"/>
      <c r="K157" s="43"/>
      <c r="L157" s="43"/>
      <c r="M157" s="43"/>
      <c r="N157" s="43"/>
      <c r="O157" s="43"/>
      <c r="P157" s="43"/>
      <c r="Q157" s="43"/>
      <c r="R157" s="43"/>
      <c r="S157" s="43"/>
      <c r="T157" s="49"/>
      <c r="U157" s="49"/>
      <c r="V157" s="49"/>
      <c r="W157" s="49"/>
      <c r="X157" s="49"/>
      <c r="Y157" s="49"/>
      <c r="Z157" s="49"/>
      <c r="AA157" s="49"/>
      <c r="AB157" s="49"/>
      <c r="AC157" s="49"/>
      <c r="AD157" s="49"/>
      <c r="AE157" s="49"/>
    </row>
    <row r="158" spans="1:31">
      <c r="A158" s="43"/>
      <c r="B158" s="43"/>
      <c r="C158" s="43"/>
      <c r="D158" s="43"/>
      <c r="E158" s="43"/>
      <c r="F158" s="43"/>
      <c r="G158" s="43"/>
      <c r="H158" s="43"/>
      <c r="I158" s="43"/>
      <c r="J158" s="43"/>
      <c r="K158" s="43"/>
      <c r="L158" s="43"/>
      <c r="M158" s="43"/>
      <c r="N158" s="43"/>
      <c r="O158" s="43"/>
      <c r="P158" s="43"/>
      <c r="Q158" s="43"/>
      <c r="R158" s="43"/>
      <c r="S158" s="43"/>
      <c r="T158" s="49"/>
      <c r="U158" s="49"/>
      <c r="V158" s="49"/>
      <c r="W158" s="49"/>
      <c r="X158" s="49"/>
      <c r="Y158" s="49"/>
      <c r="Z158" s="49"/>
      <c r="AA158" s="49"/>
      <c r="AB158" s="49"/>
      <c r="AC158" s="49"/>
      <c r="AD158" s="49"/>
      <c r="AE158" s="49"/>
    </row>
    <row r="159" spans="1:31">
      <c r="A159" s="43"/>
      <c r="B159" s="43"/>
      <c r="C159" s="43"/>
      <c r="D159" s="43"/>
      <c r="E159" s="43"/>
      <c r="F159" s="43"/>
      <c r="G159" s="43"/>
      <c r="H159" s="43"/>
      <c r="I159" s="43"/>
      <c r="J159" s="43"/>
      <c r="K159" s="43"/>
      <c r="L159" s="43"/>
      <c r="M159" s="43"/>
      <c r="N159" s="43"/>
      <c r="O159" s="43"/>
      <c r="P159" s="43"/>
      <c r="Q159" s="43"/>
      <c r="R159" s="43"/>
      <c r="S159" s="43"/>
      <c r="T159" s="49"/>
      <c r="U159" s="49"/>
      <c r="V159" s="49"/>
      <c r="W159" s="49"/>
      <c r="X159" s="49"/>
      <c r="Y159" s="49"/>
      <c r="Z159" s="49"/>
      <c r="AA159" s="49"/>
      <c r="AB159" s="49"/>
      <c r="AC159" s="49"/>
      <c r="AD159" s="49"/>
      <c r="AE159" s="49"/>
    </row>
    <row r="160" spans="1:31">
      <c r="A160" s="43"/>
      <c r="B160" s="43"/>
      <c r="C160" s="43"/>
      <c r="D160" s="43"/>
      <c r="E160" s="43"/>
      <c r="F160" s="43"/>
      <c r="G160" s="43"/>
      <c r="H160" s="43"/>
      <c r="I160" s="43"/>
      <c r="J160" s="43"/>
      <c r="K160" s="43"/>
      <c r="L160" s="43"/>
      <c r="M160" s="43"/>
      <c r="N160" s="43"/>
      <c r="O160" s="43"/>
      <c r="P160" s="43"/>
      <c r="Q160" s="43"/>
      <c r="R160" s="43"/>
      <c r="S160" s="43"/>
      <c r="T160" s="49"/>
      <c r="U160" s="49"/>
      <c r="V160" s="49"/>
      <c r="W160" s="49"/>
      <c r="X160" s="49"/>
      <c r="Y160" s="49"/>
      <c r="Z160" s="49"/>
      <c r="AA160" s="49"/>
      <c r="AB160" s="49"/>
      <c r="AC160" s="49"/>
      <c r="AD160" s="49"/>
      <c r="AE160" s="49"/>
    </row>
    <row r="161" spans="1:31">
      <c r="A161" s="43"/>
      <c r="B161" s="43"/>
      <c r="C161" s="43"/>
      <c r="D161" s="43"/>
      <c r="E161" s="43"/>
      <c r="F161" s="43"/>
      <c r="G161" s="43"/>
      <c r="H161" s="43"/>
      <c r="I161" s="43"/>
      <c r="J161" s="43"/>
      <c r="K161" s="43"/>
      <c r="L161" s="43"/>
      <c r="M161" s="43"/>
      <c r="N161" s="43"/>
      <c r="O161" s="43"/>
      <c r="P161" s="43"/>
      <c r="Q161" s="43"/>
      <c r="R161" s="43"/>
      <c r="S161" s="43"/>
      <c r="T161" s="49"/>
      <c r="U161" s="49"/>
      <c r="V161" s="49"/>
      <c r="W161" s="49"/>
      <c r="X161" s="49"/>
      <c r="Y161" s="49"/>
      <c r="Z161" s="49"/>
      <c r="AA161" s="49"/>
      <c r="AB161" s="49"/>
      <c r="AC161" s="49"/>
      <c r="AD161" s="49"/>
      <c r="AE161" s="49"/>
    </row>
    <row r="162" spans="1:31">
      <c r="A162" s="43"/>
      <c r="B162" s="43"/>
      <c r="C162" s="43"/>
      <c r="D162" s="43"/>
      <c r="E162" s="43"/>
      <c r="F162" s="43"/>
      <c r="G162" s="43"/>
      <c r="H162" s="43"/>
      <c r="I162" s="43"/>
      <c r="J162" s="43"/>
      <c r="K162" s="43"/>
      <c r="L162" s="43"/>
      <c r="M162" s="43"/>
      <c r="N162" s="43"/>
      <c r="O162" s="43"/>
      <c r="P162" s="43"/>
      <c r="Q162" s="43"/>
      <c r="R162" s="43"/>
      <c r="S162" s="43"/>
      <c r="T162" s="49"/>
      <c r="U162" s="49"/>
      <c r="V162" s="49"/>
      <c r="W162" s="49"/>
      <c r="X162" s="49"/>
      <c r="Y162" s="49"/>
      <c r="Z162" s="49"/>
      <c r="AA162" s="49"/>
      <c r="AB162" s="49"/>
      <c r="AC162" s="49"/>
      <c r="AD162" s="49"/>
      <c r="AE162" s="49"/>
    </row>
    <row r="163" spans="1:31">
      <c r="A163" s="43"/>
      <c r="B163" s="43"/>
      <c r="C163" s="43"/>
      <c r="D163" s="43"/>
      <c r="E163" s="43"/>
      <c r="F163" s="43"/>
      <c r="G163" s="43"/>
      <c r="H163" s="43"/>
      <c r="I163" s="43"/>
      <c r="J163" s="43"/>
      <c r="K163" s="43"/>
      <c r="L163" s="43"/>
      <c r="M163" s="43"/>
      <c r="N163" s="43"/>
      <c r="O163" s="43"/>
      <c r="P163" s="43"/>
      <c r="Q163" s="43"/>
      <c r="R163" s="43"/>
      <c r="S163" s="43"/>
      <c r="T163" s="49"/>
      <c r="U163" s="49"/>
      <c r="V163" s="49"/>
      <c r="W163" s="49"/>
      <c r="X163" s="49"/>
      <c r="Y163" s="49"/>
      <c r="Z163" s="49"/>
      <c r="AA163" s="49"/>
      <c r="AB163" s="49"/>
      <c r="AC163" s="49"/>
      <c r="AD163" s="49"/>
      <c r="AE163" s="49"/>
    </row>
    <row r="164" spans="1:31">
      <c r="A164" s="43"/>
      <c r="B164" s="43"/>
      <c r="C164" s="43"/>
      <c r="D164" s="43"/>
      <c r="E164" s="43"/>
      <c r="F164" s="43"/>
      <c r="G164" s="43"/>
      <c r="H164" s="43"/>
      <c r="I164" s="43"/>
      <c r="J164" s="43"/>
      <c r="K164" s="43"/>
      <c r="L164" s="43"/>
      <c r="M164" s="43"/>
      <c r="N164" s="43"/>
      <c r="O164" s="43"/>
      <c r="P164" s="43"/>
      <c r="Q164" s="43"/>
      <c r="R164" s="43"/>
      <c r="S164" s="43"/>
      <c r="T164" s="49"/>
      <c r="U164" s="49"/>
      <c r="V164" s="49"/>
      <c r="W164" s="49"/>
      <c r="X164" s="49"/>
      <c r="Y164" s="49"/>
      <c r="Z164" s="49"/>
      <c r="AA164" s="49"/>
      <c r="AB164" s="49"/>
      <c r="AC164" s="49"/>
      <c r="AD164" s="49"/>
      <c r="AE164" s="49"/>
    </row>
    <row r="165" spans="1:31">
      <c r="A165" s="43"/>
      <c r="B165" s="43"/>
      <c r="C165" s="43"/>
      <c r="D165" s="43"/>
      <c r="E165" s="43"/>
      <c r="F165" s="43"/>
      <c r="G165" s="43"/>
      <c r="H165" s="43"/>
      <c r="I165" s="43"/>
      <c r="J165" s="43"/>
      <c r="K165" s="43"/>
      <c r="L165" s="43"/>
      <c r="M165" s="43"/>
      <c r="N165" s="43"/>
      <c r="O165" s="43"/>
      <c r="P165" s="43"/>
      <c r="Q165" s="43"/>
      <c r="R165" s="43"/>
      <c r="S165" s="43"/>
      <c r="T165" s="49"/>
      <c r="U165" s="49"/>
      <c r="V165" s="49"/>
      <c r="W165" s="49"/>
      <c r="X165" s="49"/>
      <c r="Y165" s="49"/>
      <c r="Z165" s="49"/>
      <c r="AA165" s="49"/>
      <c r="AB165" s="49"/>
      <c r="AC165" s="49"/>
      <c r="AD165" s="49"/>
      <c r="AE165" s="49"/>
    </row>
    <row r="166" spans="1:31">
      <c r="A166" s="43"/>
      <c r="B166" s="43"/>
      <c r="C166" s="43"/>
      <c r="D166" s="43"/>
      <c r="E166" s="43"/>
      <c r="F166" s="43"/>
      <c r="G166" s="43"/>
      <c r="H166" s="43"/>
      <c r="I166" s="43"/>
      <c r="J166" s="43"/>
      <c r="K166" s="43"/>
      <c r="L166" s="43"/>
      <c r="M166" s="43"/>
      <c r="N166" s="43"/>
      <c r="O166" s="43"/>
      <c r="P166" s="43"/>
      <c r="Q166" s="43"/>
      <c r="R166" s="43"/>
      <c r="S166" s="43"/>
      <c r="T166" s="49"/>
      <c r="U166" s="49"/>
      <c r="V166" s="49"/>
      <c r="W166" s="49"/>
      <c r="X166" s="49"/>
      <c r="Y166" s="49"/>
      <c r="Z166" s="49"/>
      <c r="AA166" s="49"/>
      <c r="AB166" s="49"/>
      <c r="AC166" s="49"/>
      <c r="AD166" s="49"/>
      <c r="AE166" s="49"/>
    </row>
    <row r="167" spans="1:31">
      <c r="A167" s="43"/>
      <c r="B167" s="43"/>
      <c r="C167" s="43"/>
      <c r="D167" s="43"/>
      <c r="E167" s="43"/>
      <c r="F167" s="43"/>
      <c r="G167" s="43"/>
      <c r="H167" s="43"/>
      <c r="I167" s="43"/>
      <c r="J167" s="43"/>
      <c r="K167" s="43"/>
      <c r="L167" s="43"/>
      <c r="M167" s="43"/>
      <c r="N167" s="43"/>
      <c r="O167" s="43"/>
      <c r="P167" s="43"/>
      <c r="Q167" s="43"/>
      <c r="R167" s="43"/>
      <c r="S167" s="43"/>
      <c r="T167" s="49"/>
      <c r="U167" s="49"/>
      <c r="V167" s="49"/>
      <c r="W167" s="49"/>
      <c r="X167" s="49"/>
      <c r="Y167" s="49"/>
      <c r="Z167" s="49"/>
      <c r="AA167" s="49"/>
      <c r="AB167" s="49"/>
      <c r="AC167" s="49"/>
      <c r="AD167" s="49"/>
      <c r="AE167" s="49"/>
    </row>
    <row r="168" spans="1:31">
      <c r="A168" s="43"/>
      <c r="B168" s="43"/>
      <c r="C168" s="43"/>
      <c r="D168" s="43"/>
      <c r="E168" s="43"/>
      <c r="F168" s="43"/>
      <c r="G168" s="43"/>
      <c r="H168" s="43"/>
      <c r="I168" s="43"/>
      <c r="J168" s="43"/>
      <c r="K168" s="43"/>
      <c r="L168" s="43"/>
      <c r="M168" s="43"/>
      <c r="N168" s="43"/>
      <c r="O168" s="43"/>
      <c r="P168" s="43"/>
      <c r="Q168" s="43"/>
      <c r="R168" s="43"/>
      <c r="S168" s="43"/>
      <c r="T168" s="49"/>
      <c r="U168" s="49"/>
      <c r="V168" s="49"/>
      <c r="W168" s="49"/>
      <c r="X168" s="49"/>
      <c r="Y168" s="49"/>
      <c r="Z168" s="49"/>
      <c r="AA168" s="49"/>
      <c r="AB168" s="49"/>
      <c r="AC168" s="49"/>
      <c r="AD168" s="49"/>
      <c r="AE168" s="49"/>
    </row>
    <row r="169" spans="1:31">
      <c r="A169" s="43"/>
      <c r="B169" s="43"/>
      <c r="C169" s="43"/>
      <c r="D169" s="43"/>
      <c r="E169" s="43"/>
      <c r="F169" s="43"/>
      <c r="G169" s="43"/>
      <c r="H169" s="43"/>
      <c r="I169" s="43"/>
      <c r="J169" s="43"/>
      <c r="K169" s="43"/>
      <c r="L169" s="43"/>
      <c r="M169" s="43"/>
      <c r="N169" s="43"/>
      <c r="O169" s="43"/>
      <c r="P169" s="43"/>
      <c r="Q169" s="43"/>
      <c r="R169" s="43"/>
      <c r="S169" s="43"/>
      <c r="T169" s="49"/>
      <c r="U169" s="49"/>
      <c r="V169" s="49"/>
      <c r="W169" s="49"/>
      <c r="X169" s="49"/>
      <c r="Y169" s="49"/>
      <c r="Z169" s="49"/>
      <c r="AA169" s="49"/>
      <c r="AB169" s="49"/>
      <c r="AC169" s="49"/>
      <c r="AD169" s="49"/>
      <c r="AE169" s="49"/>
    </row>
    <row r="170" spans="1:31">
      <c r="A170" s="43"/>
      <c r="B170" s="43"/>
      <c r="C170" s="43"/>
      <c r="D170" s="43"/>
      <c r="E170" s="43"/>
      <c r="F170" s="43"/>
      <c r="G170" s="43"/>
      <c r="H170" s="43"/>
      <c r="I170" s="43"/>
      <c r="J170" s="43"/>
      <c r="K170" s="43"/>
      <c r="L170" s="43"/>
      <c r="M170" s="43"/>
      <c r="N170" s="43"/>
      <c r="O170" s="43"/>
      <c r="P170" s="43"/>
      <c r="Q170" s="43"/>
      <c r="R170" s="43"/>
      <c r="S170" s="43"/>
      <c r="T170" s="49"/>
      <c r="U170" s="49"/>
      <c r="V170" s="49"/>
      <c r="W170" s="49"/>
      <c r="X170" s="49"/>
      <c r="Y170" s="49"/>
      <c r="Z170" s="49"/>
      <c r="AA170" s="49"/>
      <c r="AB170" s="49"/>
      <c r="AC170" s="49"/>
      <c r="AD170" s="49"/>
      <c r="AE170" s="49"/>
    </row>
    <row r="171" spans="1:31">
      <c r="A171" s="43"/>
      <c r="B171" s="43"/>
      <c r="C171" s="43"/>
      <c r="D171" s="43"/>
      <c r="E171" s="43"/>
      <c r="F171" s="43"/>
      <c r="G171" s="43"/>
      <c r="H171" s="43"/>
      <c r="I171" s="43"/>
      <c r="J171" s="43"/>
      <c r="K171" s="43"/>
      <c r="L171" s="43"/>
      <c r="M171" s="43"/>
      <c r="N171" s="43"/>
      <c r="O171" s="43"/>
      <c r="P171" s="43"/>
      <c r="Q171" s="43"/>
      <c r="R171" s="43"/>
      <c r="S171" s="43"/>
      <c r="T171" s="49"/>
      <c r="U171" s="49"/>
      <c r="V171" s="49"/>
      <c r="W171" s="49"/>
      <c r="X171" s="49"/>
      <c r="Y171" s="49"/>
      <c r="Z171" s="49"/>
      <c r="AA171" s="49"/>
      <c r="AB171" s="49"/>
      <c r="AC171" s="49"/>
      <c r="AD171" s="49"/>
      <c r="AE171" s="49"/>
    </row>
    <row r="172" spans="1:31">
      <c r="A172" s="43"/>
      <c r="B172" s="43"/>
      <c r="C172" s="43"/>
      <c r="D172" s="43"/>
      <c r="E172" s="43"/>
      <c r="F172" s="43"/>
      <c r="G172" s="43"/>
      <c r="H172" s="43"/>
      <c r="I172" s="43"/>
      <c r="J172" s="43"/>
      <c r="K172" s="43"/>
      <c r="L172" s="43"/>
      <c r="M172" s="43"/>
      <c r="N172" s="43"/>
      <c r="O172" s="43"/>
      <c r="P172" s="43"/>
      <c r="Q172" s="43"/>
      <c r="R172" s="43"/>
      <c r="S172" s="43"/>
      <c r="T172" s="49"/>
      <c r="U172" s="49"/>
      <c r="V172" s="49"/>
      <c r="W172" s="49"/>
      <c r="X172" s="49"/>
      <c r="Y172" s="49"/>
      <c r="Z172" s="49"/>
      <c r="AA172" s="49"/>
      <c r="AB172" s="49"/>
      <c r="AC172" s="49"/>
      <c r="AD172" s="49"/>
      <c r="AE172" s="49"/>
    </row>
    <row r="173" spans="1:31">
      <c r="A173" s="43"/>
      <c r="B173" s="43"/>
      <c r="C173" s="43"/>
      <c r="D173" s="43"/>
      <c r="E173" s="43"/>
      <c r="F173" s="43"/>
      <c r="G173" s="43"/>
      <c r="H173" s="43"/>
      <c r="I173" s="43"/>
      <c r="J173" s="43"/>
      <c r="K173" s="43"/>
      <c r="L173" s="43"/>
      <c r="M173" s="43"/>
      <c r="N173" s="43"/>
      <c r="O173" s="43"/>
      <c r="P173" s="43"/>
      <c r="Q173" s="43"/>
      <c r="R173" s="43"/>
      <c r="S173" s="43"/>
      <c r="T173" s="49"/>
      <c r="U173" s="49"/>
      <c r="V173" s="49"/>
      <c r="W173" s="49"/>
      <c r="X173" s="49"/>
      <c r="Y173" s="49"/>
      <c r="Z173" s="49"/>
      <c r="AA173" s="49"/>
      <c r="AB173" s="49"/>
      <c r="AC173" s="49"/>
      <c r="AD173" s="49"/>
      <c r="AE173" s="49"/>
    </row>
    <row r="174" spans="1:31">
      <c r="A174" s="43"/>
      <c r="B174" s="43"/>
      <c r="C174" s="43"/>
      <c r="D174" s="43"/>
      <c r="E174" s="43"/>
      <c r="F174" s="43"/>
      <c r="G174" s="43"/>
      <c r="H174" s="43"/>
      <c r="I174" s="43"/>
      <c r="J174" s="43"/>
      <c r="K174" s="43"/>
      <c r="L174" s="43"/>
      <c r="M174" s="43"/>
      <c r="N174" s="43"/>
      <c r="O174" s="43"/>
      <c r="P174" s="43"/>
      <c r="Q174" s="43"/>
      <c r="R174" s="43"/>
      <c r="S174" s="43"/>
      <c r="T174" s="49"/>
      <c r="U174" s="49"/>
      <c r="V174" s="49"/>
      <c r="W174" s="49"/>
      <c r="X174" s="49"/>
      <c r="Y174" s="49"/>
      <c r="Z174" s="49"/>
      <c r="AA174" s="49"/>
      <c r="AB174" s="49"/>
      <c r="AC174" s="49"/>
      <c r="AD174" s="49"/>
      <c r="AE174" s="49"/>
    </row>
    <row r="175" spans="1:31">
      <c r="A175" s="43"/>
      <c r="B175" s="43"/>
      <c r="C175" s="43"/>
      <c r="D175" s="43"/>
      <c r="E175" s="43"/>
      <c r="F175" s="43"/>
      <c r="G175" s="43"/>
      <c r="H175" s="43"/>
      <c r="I175" s="43"/>
      <c r="J175" s="43"/>
      <c r="K175" s="43"/>
      <c r="L175" s="43"/>
      <c r="M175" s="43"/>
      <c r="N175" s="43"/>
      <c r="O175" s="43"/>
      <c r="P175" s="43"/>
      <c r="Q175" s="43"/>
      <c r="R175" s="43"/>
      <c r="S175" s="43"/>
      <c r="T175" s="49"/>
      <c r="U175" s="49"/>
      <c r="V175" s="49"/>
      <c r="W175" s="49"/>
      <c r="X175" s="49"/>
      <c r="Y175" s="49"/>
      <c r="Z175" s="49"/>
      <c r="AA175" s="49"/>
      <c r="AB175" s="49"/>
      <c r="AC175" s="49"/>
      <c r="AD175" s="49"/>
      <c r="AE175" s="49"/>
    </row>
    <row r="176" spans="1:31">
      <c r="A176" s="43"/>
      <c r="B176" s="43"/>
      <c r="C176" s="43"/>
      <c r="D176" s="43"/>
      <c r="E176" s="43"/>
      <c r="F176" s="43"/>
      <c r="G176" s="43"/>
      <c r="H176" s="43"/>
      <c r="I176" s="43"/>
      <c r="J176" s="43"/>
      <c r="K176" s="43"/>
      <c r="L176" s="43"/>
      <c r="M176" s="43"/>
      <c r="N176" s="43"/>
      <c r="O176" s="43"/>
      <c r="P176" s="43"/>
      <c r="Q176" s="43"/>
      <c r="R176" s="43"/>
      <c r="S176" s="43"/>
      <c r="T176" s="49"/>
      <c r="U176" s="49"/>
      <c r="V176" s="49"/>
      <c r="W176" s="49"/>
      <c r="X176" s="49"/>
      <c r="Y176" s="49"/>
      <c r="Z176" s="49"/>
      <c r="AA176" s="49"/>
      <c r="AB176" s="49"/>
      <c r="AC176" s="49"/>
      <c r="AD176" s="49"/>
      <c r="AE176" s="49"/>
    </row>
    <row r="177" spans="1:31">
      <c r="A177" s="43"/>
      <c r="B177" s="43"/>
      <c r="C177" s="43"/>
      <c r="D177" s="43"/>
      <c r="E177" s="43"/>
      <c r="F177" s="43"/>
      <c r="G177" s="43"/>
      <c r="H177" s="43"/>
      <c r="I177" s="43"/>
      <c r="J177" s="43"/>
      <c r="K177" s="43"/>
      <c r="L177" s="43"/>
      <c r="M177" s="43"/>
      <c r="N177" s="43"/>
      <c r="O177" s="43"/>
      <c r="P177" s="43"/>
      <c r="Q177" s="43"/>
      <c r="R177" s="43"/>
      <c r="S177" s="43"/>
      <c r="T177" s="49"/>
      <c r="U177" s="49"/>
      <c r="V177" s="49"/>
      <c r="W177" s="49"/>
      <c r="X177" s="49"/>
      <c r="Y177" s="49"/>
      <c r="Z177" s="49"/>
      <c r="AA177" s="49"/>
      <c r="AB177" s="49"/>
      <c r="AC177" s="49"/>
      <c r="AD177" s="49"/>
      <c r="AE177" s="49"/>
    </row>
    <row r="178" spans="1:31">
      <c r="A178" s="43"/>
      <c r="B178" s="43"/>
      <c r="C178" s="43"/>
      <c r="D178" s="43"/>
      <c r="E178" s="43"/>
      <c r="F178" s="43"/>
      <c r="G178" s="43"/>
      <c r="H178" s="43"/>
      <c r="I178" s="43"/>
      <c r="J178" s="43"/>
      <c r="K178" s="43"/>
      <c r="L178" s="43"/>
      <c r="M178" s="43"/>
      <c r="N178" s="43"/>
      <c r="O178" s="43"/>
      <c r="P178" s="43"/>
      <c r="Q178" s="43"/>
      <c r="R178" s="43"/>
      <c r="S178" s="43"/>
      <c r="T178" s="49"/>
      <c r="U178" s="49"/>
      <c r="V178" s="49"/>
      <c r="W178" s="49"/>
      <c r="X178" s="49"/>
      <c r="Y178" s="49"/>
      <c r="Z178" s="49"/>
      <c r="AA178" s="49"/>
      <c r="AB178" s="49"/>
      <c r="AC178" s="49"/>
      <c r="AD178" s="49"/>
      <c r="AE178" s="49"/>
    </row>
    <row r="179" spans="1:31">
      <c r="A179" s="43"/>
      <c r="B179" s="43"/>
      <c r="C179" s="43"/>
      <c r="D179" s="43"/>
      <c r="E179" s="43"/>
      <c r="F179" s="43"/>
      <c r="G179" s="43"/>
      <c r="H179" s="43"/>
      <c r="I179" s="43"/>
      <c r="J179" s="43"/>
      <c r="K179" s="43"/>
      <c r="L179" s="43"/>
      <c r="M179" s="43"/>
      <c r="N179" s="43"/>
      <c r="O179" s="43"/>
      <c r="P179" s="43"/>
      <c r="Q179" s="43"/>
      <c r="R179" s="43"/>
      <c r="S179" s="43"/>
      <c r="T179" s="49"/>
      <c r="U179" s="49"/>
      <c r="V179" s="49"/>
      <c r="W179" s="49"/>
      <c r="X179" s="49"/>
      <c r="Y179" s="49"/>
      <c r="Z179" s="49"/>
      <c r="AA179" s="49"/>
      <c r="AB179" s="49"/>
      <c r="AC179" s="49"/>
      <c r="AD179" s="49"/>
      <c r="AE179" s="49"/>
    </row>
    <row r="180" spans="1:31">
      <c r="A180" s="43"/>
      <c r="B180" s="43"/>
      <c r="C180" s="43"/>
      <c r="D180" s="43"/>
      <c r="E180" s="43"/>
      <c r="F180" s="43"/>
      <c r="G180" s="43"/>
      <c r="H180" s="43"/>
      <c r="I180" s="43"/>
      <c r="J180" s="43"/>
      <c r="K180" s="43"/>
      <c r="L180" s="43"/>
      <c r="M180" s="43"/>
      <c r="N180" s="43"/>
      <c r="O180" s="43"/>
      <c r="P180" s="43"/>
      <c r="Q180" s="43"/>
      <c r="R180" s="43"/>
      <c r="S180" s="43"/>
      <c r="T180" s="49"/>
      <c r="U180" s="49"/>
      <c r="V180" s="49"/>
      <c r="W180" s="49"/>
      <c r="X180" s="49"/>
      <c r="Y180" s="49"/>
      <c r="Z180" s="49"/>
      <c r="AA180" s="49"/>
      <c r="AB180" s="49"/>
      <c r="AC180" s="49"/>
      <c r="AD180" s="49"/>
      <c r="AE180" s="49"/>
    </row>
    <row r="181" spans="1:31">
      <c r="A181" s="43"/>
      <c r="B181" s="43"/>
      <c r="C181" s="43"/>
      <c r="D181" s="43"/>
      <c r="E181" s="43"/>
      <c r="F181" s="43"/>
      <c r="G181" s="43"/>
      <c r="H181" s="43"/>
      <c r="I181" s="43"/>
      <c r="J181" s="43"/>
      <c r="K181" s="43"/>
      <c r="L181" s="43"/>
      <c r="M181" s="43"/>
      <c r="N181" s="43"/>
      <c r="O181" s="43"/>
      <c r="P181" s="43"/>
      <c r="Q181" s="43"/>
      <c r="R181" s="43"/>
      <c r="S181" s="43"/>
      <c r="T181" s="49"/>
      <c r="U181" s="49"/>
      <c r="V181" s="49"/>
      <c r="W181" s="49"/>
      <c r="X181" s="49"/>
      <c r="Y181" s="49"/>
      <c r="Z181" s="49"/>
      <c r="AA181" s="49"/>
      <c r="AB181" s="49"/>
      <c r="AC181" s="49"/>
      <c r="AD181" s="49"/>
      <c r="AE181" s="49"/>
    </row>
    <row r="182" spans="1:31">
      <c r="A182" s="43"/>
      <c r="B182" s="43"/>
      <c r="C182" s="43"/>
      <c r="D182" s="43"/>
      <c r="E182" s="43"/>
      <c r="F182" s="43"/>
      <c r="G182" s="43"/>
      <c r="H182" s="43"/>
      <c r="I182" s="43"/>
      <c r="J182" s="43"/>
      <c r="K182" s="43"/>
      <c r="L182" s="43"/>
      <c r="M182" s="43"/>
      <c r="N182" s="43"/>
      <c r="O182" s="43"/>
      <c r="P182" s="43"/>
      <c r="Q182" s="43"/>
      <c r="R182" s="43"/>
      <c r="S182" s="43"/>
      <c r="T182" s="49"/>
      <c r="U182" s="49"/>
      <c r="V182" s="49"/>
      <c r="W182" s="49"/>
      <c r="X182" s="49"/>
      <c r="Y182" s="49"/>
      <c r="Z182" s="49"/>
      <c r="AA182" s="49"/>
      <c r="AB182" s="49"/>
      <c r="AC182" s="49"/>
      <c r="AD182" s="49"/>
      <c r="AE182" s="49"/>
    </row>
    <row r="183" spans="1:31">
      <c r="A183" s="43"/>
      <c r="B183" s="43"/>
      <c r="C183" s="43"/>
      <c r="D183" s="43"/>
      <c r="E183" s="43"/>
      <c r="F183" s="43"/>
      <c r="G183" s="43"/>
      <c r="H183" s="43"/>
      <c r="I183" s="43"/>
      <c r="J183" s="43"/>
      <c r="K183" s="43"/>
      <c r="L183" s="43"/>
      <c r="M183" s="43"/>
      <c r="N183" s="43"/>
      <c r="O183" s="43"/>
      <c r="P183" s="43"/>
      <c r="Q183" s="43"/>
      <c r="R183" s="43"/>
      <c r="S183" s="43"/>
      <c r="T183" s="49"/>
      <c r="U183" s="49"/>
      <c r="V183" s="49"/>
      <c r="W183" s="49"/>
      <c r="X183" s="49"/>
      <c r="Y183" s="49"/>
      <c r="Z183" s="49"/>
      <c r="AA183" s="49"/>
      <c r="AB183" s="49"/>
      <c r="AC183" s="49"/>
      <c r="AD183" s="49"/>
      <c r="AE183" s="49"/>
    </row>
    <row r="184" spans="1:31">
      <c r="A184" s="43"/>
      <c r="B184" s="43"/>
      <c r="C184" s="43"/>
      <c r="D184" s="43"/>
      <c r="E184" s="43"/>
      <c r="F184" s="43"/>
      <c r="G184" s="43"/>
      <c r="H184" s="43"/>
      <c r="I184" s="43"/>
      <c r="J184" s="43"/>
      <c r="K184" s="43"/>
      <c r="L184" s="43"/>
      <c r="M184" s="43"/>
      <c r="N184" s="43"/>
      <c r="O184" s="43"/>
      <c r="P184" s="43"/>
      <c r="Q184" s="43"/>
      <c r="R184" s="43"/>
      <c r="S184" s="43"/>
      <c r="T184" s="49"/>
      <c r="U184" s="49"/>
      <c r="V184" s="49"/>
      <c r="W184" s="49"/>
      <c r="X184" s="49"/>
      <c r="Y184" s="49"/>
      <c r="Z184" s="49"/>
      <c r="AA184" s="49"/>
      <c r="AB184" s="49"/>
      <c r="AC184" s="49"/>
      <c r="AD184" s="49"/>
      <c r="AE184" s="49"/>
    </row>
    <row r="185" spans="1:31">
      <c r="A185" s="43"/>
      <c r="B185" s="43"/>
      <c r="C185" s="43"/>
      <c r="D185" s="43"/>
      <c r="E185" s="43"/>
      <c r="F185" s="43"/>
      <c r="G185" s="43"/>
      <c r="H185" s="43"/>
      <c r="I185" s="43"/>
      <c r="J185" s="43"/>
      <c r="K185" s="43"/>
      <c r="L185" s="43"/>
      <c r="M185" s="43"/>
      <c r="N185" s="43"/>
      <c r="O185" s="43"/>
      <c r="P185" s="43"/>
      <c r="Q185" s="43"/>
      <c r="R185" s="43"/>
      <c r="S185" s="43"/>
      <c r="T185" s="49"/>
      <c r="U185" s="49"/>
      <c r="V185" s="49"/>
      <c r="W185" s="49"/>
      <c r="X185" s="49"/>
      <c r="Y185" s="49"/>
      <c r="Z185" s="49"/>
      <c r="AA185" s="49"/>
      <c r="AB185" s="49"/>
      <c r="AC185" s="49"/>
      <c r="AD185" s="49"/>
      <c r="AE185" s="49"/>
    </row>
    <row r="186" spans="1:31">
      <c r="A186" s="43"/>
      <c r="B186" s="43"/>
      <c r="C186" s="43"/>
      <c r="D186" s="43"/>
      <c r="E186" s="43"/>
      <c r="F186" s="43"/>
      <c r="G186" s="43"/>
      <c r="H186" s="43"/>
      <c r="I186" s="43"/>
      <c r="J186" s="43"/>
      <c r="K186" s="43"/>
      <c r="L186" s="43"/>
      <c r="M186" s="43"/>
      <c r="N186" s="43"/>
      <c r="O186" s="43"/>
      <c r="P186" s="43"/>
      <c r="Q186" s="43"/>
      <c r="R186" s="43"/>
      <c r="S186" s="43"/>
      <c r="T186" s="49"/>
      <c r="U186" s="49"/>
      <c r="V186" s="49"/>
      <c r="W186" s="49"/>
      <c r="X186" s="49"/>
      <c r="Y186" s="49"/>
      <c r="Z186" s="49"/>
      <c r="AA186" s="49"/>
      <c r="AB186" s="49"/>
      <c r="AC186" s="49"/>
      <c r="AD186" s="49"/>
      <c r="AE186" s="49"/>
    </row>
    <row r="187" spans="1:31">
      <c r="A187" s="43"/>
      <c r="B187" s="43"/>
      <c r="C187" s="43"/>
      <c r="D187" s="43"/>
      <c r="E187" s="43"/>
      <c r="F187" s="43"/>
      <c r="G187" s="43"/>
      <c r="H187" s="43"/>
      <c r="I187" s="43"/>
      <c r="J187" s="43"/>
      <c r="K187" s="43"/>
      <c r="L187" s="43"/>
      <c r="M187" s="43"/>
      <c r="N187" s="43"/>
      <c r="O187" s="43"/>
      <c r="P187" s="43"/>
      <c r="Q187" s="43"/>
      <c r="R187" s="43"/>
      <c r="S187" s="43"/>
      <c r="T187" s="49"/>
      <c r="U187" s="49"/>
      <c r="V187" s="49"/>
      <c r="W187" s="49"/>
      <c r="X187" s="49"/>
      <c r="Y187" s="49"/>
      <c r="Z187" s="49"/>
      <c r="AA187" s="49"/>
      <c r="AB187" s="49"/>
      <c r="AC187" s="49"/>
      <c r="AD187" s="49"/>
      <c r="AE187" s="49"/>
    </row>
    <row r="188" spans="1:31">
      <c r="A188" s="43"/>
      <c r="B188" s="43"/>
      <c r="C188" s="43"/>
      <c r="D188" s="43"/>
      <c r="E188" s="43"/>
      <c r="F188" s="43"/>
      <c r="G188" s="43"/>
      <c r="H188" s="43"/>
      <c r="I188" s="43"/>
      <c r="J188" s="43"/>
      <c r="K188" s="43"/>
      <c r="L188" s="43"/>
      <c r="M188" s="43"/>
      <c r="N188" s="43"/>
      <c r="O188" s="43"/>
      <c r="P188" s="43"/>
      <c r="Q188" s="43"/>
      <c r="R188" s="43"/>
      <c r="S188" s="43"/>
      <c r="T188" s="49"/>
      <c r="U188" s="49"/>
      <c r="V188" s="49"/>
      <c r="W188" s="49"/>
      <c r="X188" s="49"/>
      <c r="Y188" s="49"/>
      <c r="Z188" s="49"/>
      <c r="AA188" s="49"/>
      <c r="AB188" s="49"/>
      <c r="AC188" s="49"/>
      <c r="AD188" s="49"/>
      <c r="AE188" s="49"/>
    </row>
    <row r="189" spans="1:31">
      <c r="A189" s="43"/>
      <c r="B189" s="43"/>
      <c r="C189" s="43"/>
      <c r="D189" s="43"/>
      <c r="E189" s="43"/>
      <c r="F189" s="43"/>
      <c r="G189" s="43"/>
      <c r="H189" s="43"/>
      <c r="I189" s="43"/>
      <c r="J189" s="43"/>
      <c r="K189" s="43"/>
      <c r="L189" s="43"/>
      <c r="M189" s="43"/>
      <c r="N189" s="43"/>
      <c r="O189" s="43"/>
      <c r="P189" s="43"/>
      <c r="Q189" s="43"/>
      <c r="R189" s="43"/>
      <c r="S189" s="43"/>
      <c r="T189" s="49"/>
      <c r="U189" s="49"/>
      <c r="V189" s="49"/>
      <c r="W189" s="49"/>
      <c r="X189" s="49"/>
      <c r="Y189" s="49"/>
      <c r="Z189" s="49"/>
      <c r="AA189" s="49"/>
      <c r="AB189" s="49"/>
      <c r="AC189" s="49"/>
      <c r="AD189" s="49"/>
      <c r="AE189" s="49"/>
    </row>
    <row r="190" spans="1:31">
      <c r="A190" s="43"/>
      <c r="B190" s="43"/>
      <c r="C190" s="43"/>
      <c r="D190" s="43"/>
      <c r="E190" s="43"/>
      <c r="F190" s="43"/>
      <c r="G190" s="43"/>
      <c r="H190" s="43"/>
      <c r="I190" s="43"/>
      <c r="J190" s="43"/>
      <c r="K190" s="43"/>
      <c r="L190" s="43"/>
      <c r="M190" s="43"/>
      <c r="N190" s="43"/>
      <c r="O190" s="43"/>
      <c r="P190" s="43"/>
      <c r="Q190" s="43"/>
      <c r="R190" s="43"/>
      <c r="S190" s="43"/>
      <c r="T190" s="49"/>
      <c r="U190" s="49"/>
      <c r="V190" s="49"/>
      <c r="W190" s="49"/>
      <c r="X190" s="49"/>
      <c r="Y190" s="49"/>
      <c r="Z190" s="49"/>
      <c r="AA190" s="49"/>
      <c r="AB190" s="49"/>
      <c r="AC190" s="49"/>
      <c r="AD190" s="49"/>
      <c r="AE190" s="49"/>
    </row>
    <row r="191" spans="1:31">
      <c r="A191" s="43"/>
      <c r="B191" s="43"/>
      <c r="C191" s="43"/>
      <c r="D191" s="43"/>
      <c r="E191" s="43"/>
      <c r="F191" s="43"/>
      <c r="G191" s="43"/>
      <c r="H191" s="43"/>
      <c r="I191" s="43"/>
      <c r="J191" s="43"/>
      <c r="K191" s="43"/>
      <c r="L191" s="43"/>
      <c r="M191" s="43"/>
      <c r="N191" s="43"/>
      <c r="O191" s="43"/>
      <c r="P191" s="43"/>
      <c r="Q191" s="43"/>
      <c r="R191" s="43"/>
      <c r="S191" s="43"/>
      <c r="T191" s="49"/>
      <c r="U191" s="49"/>
      <c r="V191" s="49"/>
      <c r="W191" s="49"/>
      <c r="X191" s="49"/>
      <c r="Y191" s="49"/>
      <c r="Z191" s="49"/>
      <c r="AA191" s="49"/>
      <c r="AB191" s="49"/>
      <c r="AC191" s="49"/>
      <c r="AD191" s="49"/>
      <c r="AE191" s="49"/>
    </row>
    <row r="192" spans="1:31">
      <c r="A192" s="43"/>
      <c r="B192" s="43"/>
      <c r="C192" s="43"/>
      <c r="D192" s="43"/>
      <c r="E192" s="43"/>
      <c r="F192" s="43"/>
      <c r="G192" s="43"/>
      <c r="H192" s="43"/>
      <c r="I192" s="43"/>
      <c r="J192" s="43"/>
      <c r="K192" s="43"/>
      <c r="L192" s="43"/>
      <c r="M192" s="43"/>
      <c r="N192" s="43"/>
      <c r="O192" s="43"/>
      <c r="P192" s="43"/>
      <c r="Q192" s="43"/>
      <c r="R192" s="43"/>
      <c r="S192" s="43"/>
      <c r="T192" s="49"/>
      <c r="U192" s="49"/>
      <c r="V192" s="49"/>
      <c r="W192" s="49"/>
      <c r="X192" s="49"/>
      <c r="Y192" s="49"/>
      <c r="Z192" s="49"/>
      <c r="AA192" s="49"/>
      <c r="AB192" s="49"/>
      <c r="AC192" s="49"/>
      <c r="AD192" s="49"/>
      <c r="AE192" s="49"/>
    </row>
    <row r="193" spans="1:31">
      <c r="A193" s="43"/>
      <c r="B193" s="43"/>
      <c r="C193" s="43"/>
      <c r="D193" s="43"/>
      <c r="E193" s="43"/>
      <c r="F193" s="43"/>
      <c r="G193" s="43"/>
      <c r="H193" s="43"/>
      <c r="I193" s="43"/>
      <c r="J193" s="43"/>
      <c r="K193" s="43"/>
      <c r="L193" s="43"/>
      <c r="M193" s="43"/>
      <c r="N193" s="43"/>
      <c r="O193" s="43"/>
      <c r="P193" s="43"/>
      <c r="Q193" s="43"/>
      <c r="R193" s="43"/>
      <c r="S193" s="43"/>
      <c r="T193" s="49"/>
      <c r="U193" s="49"/>
      <c r="V193" s="49"/>
      <c r="W193" s="49"/>
      <c r="X193" s="49"/>
      <c r="Y193" s="49"/>
      <c r="Z193" s="49"/>
      <c r="AA193" s="49"/>
      <c r="AB193" s="49"/>
      <c r="AC193" s="49"/>
      <c r="AD193" s="49"/>
      <c r="AE193" s="49"/>
    </row>
    <row r="194" spans="1:31">
      <c r="A194" s="43"/>
      <c r="B194" s="43"/>
      <c r="C194" s="43"/>
      <c r="D194" s="43"/>
      <c r="E194" s="43"/>
      <c r="F194" s="43"/>
      <c r="G194" s="43"/>
      <c r="H194" s="43"/>
      <c r="I194" s="43"/>
      <c r="J194" s="43"/>
      <c r="K194" s="43"/>
      <c r="L194" s="43"/>
      <c r="M194" s="43"/>
      <c r="N194" s="43"/>
      <c r="O194" s="43"/>
      <c r="P194" s="43"/>
      <c r="Q194" s="43"/>
      <c r="R194" s="43"/>
      <c r="S194" s="43"/>
      <c r="T194" s="49"/>
      <c r="U194" s="49"/>
      <c r="V194" s="49"/>
      <c r="W194" s="49"/>
      <c r="X194" s="49"/>
      <c r="Y194" s="49"/>
      <c r="Z194" s="49"/>
      <c r="AA194" s="49"/>
      <c r="AB194" s="49"/>
      <c r="AC194" s="49"/>
      <c r="AD194" s="49"/>
      <c r="AE194" s="49"/>
    </row>
    <row r="195" spans="1:31">
      <c r="A195" s="43"/>
      <c r="B195" s="43"/>
      <c r="C195" s="43"/>
      <c r="D195" s="43"/>
      <c r="E195" s="43"/>
      <c r="F195" s="43"/>
      <c r="G195" s="43"/>
      <c r="H195" s="43"/>
      <c r="I195" s="43"/>
      <c r="J195" s="43"/>
      <c r="K195" s="43"/>
      <c r="L195" s="43"/>
      <c r="M195" s="43"/>
      <c r="N195" s="43"/>
      <c r="O195" s="43"/>
      <c r="P195" s="43"/>
      <c r="Q195" s="43"/>
      <c r="R195" s="43"/>
      <c r="S195" s="43"/>
      <c r="T195" s="49"/>
      <c r="U195" s="49"/>
      <c r="V195" s="49"/>
      <c r="W195" s="49"/>
      <c r="X195" s="49"/>
      <c r="Y195" s="49"/>
      <c r="Z195" s="49"/>
      <c r="AA195" s="49"/>
      <c r="AB195" s="49"/>
      <c r="AC195" s="49"/>
      <c r="AD195" s="49"/>
      <c r="AE195" s="49"/>
    </row>
    <row r="196" spans="1:31">
      <c r="A196" s="43"/>
      <c r="B196" s="43"/>
      <c r="C196" s="43"/>
      <c r="D196" s="43"/>
      <c r="E196" s="43"/>
      <c r="F196" s="43"/>
      <c r="G196" s="43"/>
      <c r="H196" s="43"/>
      <c r="I196" s="43"/>
      <c r="J196" s="43"/>
      <c r="K196" s="43"/>
      <c r="L196" s="43"/>
      <c r="M196" s="43"/>
      <c r="N196" s="43"/>
      <c r="O196" s="43"/>
      <c r="P196" s="43"/>
      <c r="Q196" s="43"/>
      <c r="R196" s="43"/>
      <c r="S196" s="43"/>
      <c r="T196" s="49"/>
      <c r="U196" s="49"/>
      <c r="V196" s="49"/>
      <c r="W196" s="49"/>
      <c r="X196" s="49"/>
      <c r="Y196" s="49"/>
      <c r="Z196" s="49"/>
      <c r="AA196" s="49"/>
      <c r="AB196" s="49"/>
      <c r="AC196" s="49"/>
      <c r="AD196" s="49"/>
      <c r="AE196" s="49"/>
    </row>
    <row r="197" spans="1:31">
      <c r="A197" s="43"/>
      <c r="B197" s="43"/>
      <c r="C197" s="43"/>
      <c r="D197" s="43"/>
      <c r="E197" s="43"/>
      <c r="F197" s="43"/>
      <c r="G197" s="43"/>
      <c r="H197" s="43"/>
      <c r="I197" s="43"/>
      <c r="J197" s="43"/>
      <c r="K197" s="43"/>
      <c r="L197" s="43"/>
      <c r="M197" s="43"/>
      <c r="N197" s="43"/>
      <c r="O197" s="43"/>
      <c r="P197" s="43"/>
      <c r="Q197" s="43"/>
      <c r="R197" s="43"/>
      <c r="S197" s="43"/>
      <c r="T197" s="49"/>
      <c r="U197" s="49"/>
      <c r="V197" s="49"/>
      <c r="W197" s="49"/>
      <c r="X197" s="49"/>
      <c r="Y197" s="49"/>
      <c r="Z197" s="49"/>
      <c r="AA197" s="49"/>
      <c r="AB197" s="49"/>
      <c r="AC197" s="49"/>
      <c r="AD197" s="49"/>
      <c r="AE197" s="49"/>
    </row>
    <row r="198" spans="1:31">
      <c r="A198" s="43"/>
      <c r="B198" s="43"/>
      <c r="C198" s="43"/>
      <c r="D198" s="43"/>
      <c r="E198" s="43"/>
      <c r="F198" s="43"/>
      <c r="G198" s="43"/>
      <c r="H198" s="43"/>
      <c r="I198" s="43"/>
      <c r="J198" s="43"/>
      <c r="K198" s="43"/>
      <c r="L198" s="43"/>
      <c r="M198" s="43"/>
      <c r="N198" s="43"/>
      <c r="O198" s="43"/>
      <c r="P198" s="43"/>
      <c r="Q198" s="43"/>
      <c r="R198" s="43"/>
      <c r="S198" s="43"/>
      <c r="T198" s="49"/>
      <c r="U198" s="49"/>
      <c r="V198" s="49"/>
      <c r="W198" s="49"/>
      <c r="X198" s="49"/>
      <c r="Y198" s="49"/>
      <c r="Z198" s="49"/>
      <c r="AA198" s="49"/>
      <c r="AB198" s="49"/>
      <c r="AC198" s="49"/>
      <c r="AD198" s="49"/>
      <c r="AE198" s="49"/>
    </row>
    <row r="199" spans="1:31">
      <c r="A199" s="43"/>
      <c r="B199" s="43"/>
      <c r="C199" s="43"/>
      <c r="D199" s="43"/>
      <c r="E199" s="43"/>
      <c r="F199" s="43"/>
      <c r="G199" s="43"/>
      <c r="H199" s="43"/>
      <c r="I199" s="43"/>
      <c r="J199" s="43"/>
      <c r="K199" s="43"/>
      <c r="L199" s="43"/>
      <c r="M199" s="43"/>
      <c r="N199" s="43"/>
      <c r="O199" s="43"/>
      <c r="P199" s="43"/>
      <c r="Q199" s="43"/>
      <c r="R199" s="43"/>
      <c r="S199" s="43"/>
      <c r="T199" s="49"/>
      <c r="U199" s="49"/>
      <c r="V199" s="49"/>
      <c r="W199" s="49"/>
      <c r="X199" s="49"/>
      <c r="Y199" s="49"/>
      <c r="Z199" s="49"/>
      <c r="AA199" s="49"/>
      <c r="AB199" s="49"/>
      <c r="AC199" s="49"/>
      <c r="AD199" s="49"/>
      <c r="AE199" s="49"/>
    </row>
    <row r="200" spans="1:31">
      <c r="A200" s="43"/>
      <c r="B200" s="43"/>
      <c r="C200" s="43"/>
      <c r="D200" s="43"/>
      <c r="E200" s="43"/>
      <c r="F200" s="43"/>
      <c r="G200" s="43"/>
      <c r="H200" s="43"/>
      <c r="I200" s="43"/>
      <c r="J200" s="43"/>
      <c r="K200" s="43"/>
      <c r="L200" s="43"/>
      <c r="M200" s="43"/>
      <c r="N200" s="43"/>
      <c r="O200" s="43"/>
      <c r="P200" s="43"/>
      <c r="Q200" s="43"/>
      <c r="R200" s="43"/>
      <c r="S200" s="43"/>
      <c r="T200" s="49"/>
      <c r="U200" s="49"/>
      <c r="V200" s="49"/>
      <c r="W200" s="49"/>
      <c r="X200" s="49"/>
      <c r="Y200" s="49"/>
      <c r="Z200" s="49"/>
      <c r="AA200" s="49"/>
      <c r="AB200" s="49"/>
      <c r="AC200" s="49"/>
      <c r="AD200" s="49"/>
      <c r="AE200" s="49"/>
    </row>
    <row r="201" spans="1:31">
      <c r="A201" s="43"/>
      <c r="B201" s="43"/>
      <c r="C201" s="43"/>
      <c r="D201" s="43"/>
      <c r="E201" s="43"/>
      <c r="F201" s="43"/>
      <c r="G201" s="43"/>
      <c r="H201" s="43"/>
      <c r="I201" s="43"/>
      <c r="J201" s="43"/>
      <c r="K201" s="43"/>
      <c r="L201" s="43"/>
      <c r="M201" s="43"/>
      <c r="N201" s="43"/>
      <c r="O201" s="43"/>
      <c r="P201" s="43"/>
      <c r="Q201" s="43"/>
      <c r="R201" s="43"/>
      <c r="S201" s="43"/>
      <c r="T201" s="49"/>
      <c r="U201" s="49"/>
      <c r="V201" s="49"/>
      <c r="W201" s="49"/>
      <c r="X201" s="49"/>
      <c r="Y201" s="49"/>
      <c r="Z201" s="49"/>
      <c r="AA201" s="49"/>
      <c r="AB201" s="49"/>
      <c r="AC201" s="49"/>
      <c r="AD201" s="49"/>
      <c r="AE201" s="49"/>
    </row>
    <row r="202" spans="1:31">
      <c r="A202" s="43"/>
      <c r="B202" s="43"/>
      <c r="C202" s="43"/>
      <c r="D202" s="43"/>
      <c r="E202" s="43"/>
      <c r="F202" s="43"/>
      <c r="G202" s="43"/>
      <c r="H202" s="43"/>
      <c r="I202" s="43"/>
      <c r="J202" s="43"/>
      <c r="K202" s="43"/>
      <c r="L202" s="43"/>
      <c r="M202" s="43"/>
      <c r="N202" s="43"/>
      <c r="O202" s="43"/>
      <c r="P202" s="43"/>
      <c r="Q202" s="43"/>
      <c r="R202" s="43"/>
      <c r="S202" s="43"/>
      <c r="T202" s="49"/>
      <c r="U202" s="49"/>
      <c r="V202" s="49"/>
      <c r="W202" s="49"/>
      <c r="X202" s="49"/>
      <c r="Y202" s="49"/>
      <c r="Z202" s="49"/>
      <c r="AA202" s="49"/>
      <c r="AB202" s="49"/>
      <c r="AC202" s="49"/>
      <c r="AD202" s="49"/>
      <c r="AE202" s="49"/>
    </row>
    <row r="203" spans="1:31">
      <c r="A203" s="43"/>
      <c r="B203" s="43"/>
      <c r="C203" s="43"/>
      <c r="D203" s="43"/>
      <c r="E203" s="43"/>
      <c r="F203" s="43"/>
      <c r="G203" s="43"/>
      <c r="H203" s="43"/>
      <c r="I203" s="43"/>
      <c r="J203" s="43"/>
      <c r="K203" s="43"/>
      <c r="L203" s="43"/>
      <c r="M203" s="43"/>
      <c r="N203" s="43"/>
      <c r="O203" s="43"/>
      <c r="P203" s="43"/>
      <c r="Q203" s="43"/>
      <c r="R203" s="43"/>
      <c r="S203" s="43"/>
      <c r="T203" s="49"/>
      <c r="U203" s="49"/>
      <c r="V203" s="49"/>
      <c r="W203" s="49"/>
      <c r="X203" s="49"/>
      <c r="Y203" s="49"/>
      <c r="Z203" s="49"/>
      <c r="AA203" s="49"/>
      <c r="AB203" s="49"/>
      <c r="AC203" s="49"/>
      <c r="AD203" s="49"/>
      <c r="AE203" s="49"/>
    </row>
    <row r="204" spans="1:31">
      <c r="A204" s="43"/>
      <c r="B204" s="43"/>
      <c r="C204" s="43"/>
      <c r="D204" s="43"/>
      <c r="E204" s="43"/>
      <c r="F204" s="43"/>
      <c r="G204" s="43"/>
      <c r="H204" s="43"/>
      <c r="I204" s="43"/>
      <c r="J204" s="43"/>
      <c r="K204" s="43"/>
      <c r="L204" s="43"/>
      <c r="M204" s="43"/>
      <c r="N204" s="43"/>
      <c r="O204" s="43"/>
      <c r="P204" s="43"/>
      <c r="Q204" s="43"/>
      <c r="R204" s="43"/>
      <c r="S204" s="43"/>
      <c r="T204" s="49"/>
      <c r="U204" s="49"/>
      <c r="V204" s="49"/>
      <c r="W204" s="49"/>
      <c r="X204" s="49"/>
      <c r="Y204" s="49"/>
      <c r="Z204" s="49"/>
      <c r="AA204" s="49"/>
      <c r="AB204" s="49"/>
      <c r="AC204" s="49"/>
      <c r="AD204" s="49"/>
      <c r="AE204" s="49"/>
    </row>
    <row r="205" spans="1:31">
      <c r="A205" s="43"/>
      <c r="B205" s="43"/>
      <c r="C205" s="43"/>
      <c r="D205" s="43"/>
      <c r="E205" s="43"/>
      <c r="F205" s="43"/>
      <c r="G205" s="43"/>
      <c r="H205" s="43"/>
      <c r="I205" s="43"/>
      <c r="J205" s="43"/>
      <c r="K205" s="43"/>
      <c r="L205" s="43"/>
      <c r="M205" s="43"/>
      <c r="N205" s="43"/>
      <c r="O205" s="43"/>
      <c r="P205" s="43"/>
      <c r="Q205" s="43"/>
      <c r="R205" s="43"/>
      <c r="S205" s="43"/>
      <c r="T205" s="49"/>
      <c r="U205" s="49"/>
      <c r="V205" s="49"/>
      <c r="W205" s="49"/>
      <c r="X205" s="49"/>
      <c r="Y205" s="49"/>
      <c r="Z205" s="49"/>
      <c r="AA205" s="49"/>
      <c r="AB205" s="49"/>
      <c r="AC205" s="49"/>
      <c r="AD205" s="49"/>
      <c r="AE205" s="49"/>
    </row>
    <row r="206" spans="1:31">
      <c r="A206" s="43"/>
      <c r="B206" s="43"/>
      <c r="C206" s="43"/>
      <c r="D206" s="43"/>
      <c r="E206" s="43"/>
      <c r="F206" s="43"/>
      <c r="G206" s="43"/>
      <c r="H206" s="43"/>
      <c r="I206" s="43"/>
      <c r="J206" s="43"/>
      <c r="K206" s="43"/>
      <c r="L206" s="43"/>
      <c r="M206" s="43"/>
      <c r="N206" s="43"/>
      <c r="O206" s="43"/>
      <c r="P206" s="43"/>
      <c r="Q206" s="43"/>
      <c r="R206" s="43"/>
      <c r="S206" s="43"/>
      <c r="T206" s="49"/>
      <c r="U206" s="49"/>
      <c r="V206" s="49"/>
      <c r="W206" s="49"/>
      <c r="X206" s="49"/>
      <c r="Y206" s="49"/>
      <c r="Z206" s="49"/>
      <c r="AA206" s="49"/>
      <c r="AB206" s="49"/>
      <c r="AC206" s="49"/>
      <c r="AD206" s="49"/>
      <c r="AE206" s="49"/>
    </row>
    <row r="207" spans="1:31">
      <c r="A207" s="43"/>
      <c r="B207" s="43"/>
      <c r="C207" s="43"/>
      <c r="D207" s="43"/>
      <c r="E207" s="43"/>
      <c r="F207" s="43"/>
      <c r="G207" s="43"/>
      <c r="H207" s="43"/>
      <c r="I207" s="43"/>
      <c r="J207" s="43"/>
      <c r="K207" s="43"/>
      <c r="L207" s="43"/>
      <c r="M207" s="43"/>
      <c r="N207" s="43"/>
      <c r="O207" s="43"/>
      <c r="P207" s="43"/>
      <c r="Q207" s="43"/>
      <c r="R207" s="43"/>
      <c r="S207" s="43"/>
      <c r="T207" s="49"/>
      <c r="U207" s="49"/>
      <c r="V207" s="49"/>
      <c r="W207" s="49"/>
      <c r="X207" s="49"/>
      <c r="Y207" s="49"/>
      <c r="Z207" s="49"/>
      <c r="AA207" s="49"/>
      <c r="AB207" s="49"/>
      <c r="AC207" s="49"/>
      <c r="AD207" s="49"/>
      <c r="AE207" s="49"/>
    </row>
    <row r="208" spans="1:31">
      <c r="A208" s="43"/>
      <c r="B208" s="43"/>
      <c r="C208" s="43"/>
      <c r="D208" s="43"/>
      <c r="E208" s="43"/>
      <c r="F208" s="43"/>
      <c r="G208" s="43"/>
      <c r="H208" s="43"/>
      <c r="I208" s="43"/>
      <c r="J208" s="43"/>
      <c r="K208" s="43"/>
      <c r="L208" s="43"/>
      <c r="M208" s="43"/>
      <c r="N208" s="43"/>
      <c r="O208" s="43"/>
      <c r="P208" s="43"/>
      <c r="Q208" s="43"/>
      <c r="R208" s="43"/>
      <c r="S208" s="43"/>
      <c r="T208" s="49"/>
      <c r="U208" s="49"/>
      <c r="V208" s="49"/>
      <c r="W208" s="49"/>
      <c r="X208" s="49"/>
      <c r="Y208" s="49"/>
      <c r="Z208" s="49"/>
      <c r="AA208" s="49"/>
      <c r="AB208" s="49"/>
      <c r="AC208" s="49"/>
      <c r="AD208" s="49"/>
      <c r="AE208" s="49"/>
    </row>
    <row r="209" spans="1:31">
      <c r="A209" s="43"/>
      <c r="B209" s="43"/>
      <c r="C209" s="43"/>
      <c r="D209" s="43"/>
      <c r="E209" s="43"/>
      <c r="F209" s="43"/>
      <c r="G209" s="43"/>
      <c r="H209" s="43"/>
      <c r="I209" s="43"/>
      <c r="J209" s="43"/>
      <c r="K209" s="43"/>
      <c r="L209" s="43"/>
      <c r="M209" s="43"/>
      <c r="N209" s="43"/>
      <c r="O209" s="43"/>
      <c r="P209" s="43"/>
      <c r="Q209" s="43"/>
      <c r="R209" s="43"/>
      <c r="S209" s="43"/>
      <c r="T209" s="49"/>
      <c r="U209" s="49"/>
      <c r="V209" s="49"/>
      <c r="W209" s="49"/>
      <c r="X209" s="49"/>
      <c r="Y209" s="49"/>
      <c r="Z209" s="49"/>
      <c r="AA209" s="49"/>
      <c r="AB209" s="49"/>
      <c r="AC209" s="49"/>
      <c r="AD209" s="49"/>
      <c r="AE209" s="49"/>
    </row>
    <row r="210" spans="1:31">
      <c r="A210" s="43"/>
      <c r="B210" s="43"/>
      <c r="C210" s="43"/>
      <c r="D210" s="43"/>
      <c r="E210" s="43"/>
      <c r="F210" s="43"/>
      <c r="G210" s="43"/>
      <c r="H210" s="43"/>
      <c r="I210" s="43"/>
      <c r="J210" s="43"/>
      <c r="K210" s="43"/>
      <c r="L210" s="43"/>
      <c r="M210" s="43"/>
      <c r="N210" s="43"/>
      <c r="O210" s="43"/>
      <c r="P210" s="43"/>
      <c r="Q210" s="43"/>
      <c r="R210" s="43"/>
      <c r="S210" s="43"/>
      <c r="T210" s="49"/>
      <c r="U210" s="49"/>
      <c r="V210" s="49"/>
      <c r="W210" s="49"/>
      <c r="X210" s="49"/>
      <c r="Y210" s="49"/>
      <c r="Z210" s="49"/>
      <c r="AA210" s="49"/>
      <c r="AB210" s="49"/>
      <c r="AC210" s="49"/>
      <c r="AD210" s="49"/>
      <c r="AE210" s="49"/>
    </row>
    <row r="211" spans="1:31">
      <c r="A211" s="43"/>
      <c r="B211" s="43"/>
      <c r="C211" s="43"/>
      <c r="D211" s="43"/>
      <c r="E211" s="43"/>
      <c r="F211" s="43"/>
      <c r="G211" s="43"/>
      <c r="H211" s="43"/>
      <c r="I211" s="43"/>
      <c r="J211" s="43"/>
      <c r="K211" s="43"/>
      <c r="L211" s="43"/>
      <c r="M211" s="43"/>
      <c r="N211" s="43"/>
      <c r="O211" s="43"/>
      <c r="P211" s="43"/>
      <c r="Q211" s="43"/>
      <c r="R211" s="43"/>
      <c r="S211" s="43"/>
      <c r="T211" s="49"/>
      <c r="U211" s="49"/>
      <c r="V211" s="49"/>
      <c r="W211" s="49"/>
      <c r="X211" s="49"/>
      <c r="Y211" s="49"/>
      <c r="Z211" s="49"/>
      <c r="AA211" s="49"/>
      <c r="AB211" s="49"/>
      <c r="AC211" s="49"/>
      <c r="AD211" s="49"/>
      <c r="AE211" s="49"/>
    </row>
    <row r="212" spans="1:31">
      <c r="A212" s="43"/>
      <c r="B212" s="43"/>
      <c r="C212" s="43"/>
      <c r="D212" s="43"/>
      <c r="E212" s="43"/>
      <c r="F212" s="43"/>
      <c r="G212" s="43"/>
      <c r="H212" s="43"/>
      <c r="I212" s="43"/>
      <c r="J212" s="43"/>
      <c r="K212" s="43"/>
      <c r="L212" s="43"/>
      <c r="M212" s="43"/>
      <c r="N212" s="43"/>
      <c r="O212" s="43"/>
      <c r="P212" s="43"/>
      <c r="Q212" s="43"/>
      <c r="R212" s="43"/>
      <c r="S212" s="43"/>
      <c r="T212" s="49"/>
      <c r="U212" s="49"/>
      <c r="V212" s="49"/>
      <c r="W212" s="49"/>
      <c r="X212" s="49"/>
      <c r="Y212" s="49"/>
      <c r="Z212" s="49"/>
      <c r="AA212" s="49"/>
      <c r="AB212" s="49"/>
      <c r="AC212" s="49"/>
      <c r="AD212" s="49"/>
      <c r="AE212" s="49"/>
    </row>
    <row r="213" spans="1:31">
      <c r="A213" s="43"/>
      <c r="B213" s="43"/>
      <c r="C213" s="43"/>
      <c r="D213" s="43"/>
      <c r="E213" s="43"/>
      <c r="F213" s="43"/>
      <c r="G213" s="43"/>
      <c r="H213" s="43"/>
      <c r="I213" s="43"/>
      <c r="J213" s="43"/>
      <c r="K213" s="43"/>
      <c r="L213" s="43"/>
      <c r="M213" s="43"/>
      <c r="N213" s="43"/>
      <c r="O213" s="43"/>
      <c r="P213" s="43"/>
      <c r="Q213" s="43"/>
      <c r="R213" s="43"/>
      <c r="S213" s="43"/>
      <c r="T213" s="49"/>
      <c r="U213" s="49"/>
      <c r="V213" s="49"/>
      <c r="W213" s="49"/>
      <c r="X213" s="49"/>
      <c r="Y213" s="49"/>
      <c r="Z213" s="49"/>
      <c r="AA213" s="49"/>
      <c r="AB213" s="49"/>
      <c r="AC213" s="49"/>
      <c r="AD213" s="49"/>
      <c r="AE213" s="49"/>
    </row>
    <row r="214" spans="1:31">
      <c r="A214" s="43"/>
      <c r="B214" s="43"/>
      <c r="C214" s="43"/>
      <c r="D214" s="43"/>
      <c r="E214" s="43"/>
      <c r="F214" s="43"/>
      <c r="G214" s="43"/>
      <c r="H214" s="43"/>
      <c r="I214" s="43"/>
      <c r="J214" s="43"/>
      <c r="K214" s="43"/>
      <c r="L214" s="43"/>
      <c r="M214" s="43"/>
      <c r="N214" s="43"/>
      <c r="O214" s="43"/>
      <c r="P214" s="43"/>
      <c r="Q214" s="43"/>
      <c r="R214" s="43"/>
      <c r="S214" s="43"/>
      <c r="T214" s="49"/>
      <c r="U214" s="49"/>
      <c r="V214" s="49"/>
      <c r="W214" s="49"/>
      <c r="X214" s="49"/>
      <c r="Y214" s="49"/>
      <c r="Z214" s="49"/>
      <c r="AA214" s="49"/>
      <c r="AB214" s="49"/>
      <c r="AC214" s="49"/>
      <c r="AD214" s="49"/>
      <c r="AE214" s="49"/>
    </row>
    <row r="215" spans="1:31">
      <c r="A215" s="43"/>
      <c r="B215" s="43"/>
      <c r="C215" s="43"/>
      <c r="D215" s="43"/>
      <c r="E215" s="43"/>
      <c r="F215" s="43"/>
      <c r="G215" s="43"/>
      <c r="H215" s="43"/>
      <c r="I215" s="43"/>
      <c r="J215" s="43"/>
      <c r="K215" s="43"/>
      <c r="L215" s="43"/>
      <c r="M215" s="43"/>
      <c r="N215" s="43"/>
      <c r="O215" s="43"/>
      <c r="P215" s="43"/>
      <c r="Q215" s="43"/>
      <c r="R215" s="43"/>
      <c r="S215" s="43"/>
      <c r="T215" s="49"/>
      <c r="U215" s="49"/>
      <c r="V215" s="49"/>
      <c r="W215" s="49"/>
      <c r="X215" s="49"/>
      <c r="Y215" s="49"/>
      <c r="Z215" s="49"/>
      <c r="AA215" s="49"/>
      <c r="AB215" s="49"/>
      <c r="AC215" s="49"/>
      <c r="AD215" s="49"/>
      <c r="AE215" s="49"/>
    </row>
    <row r="216" spans="1:31">
      <c r="A216" s="43"/>
      <c r="B216" s="43"/>
      <c r="C216" s="43"/>
      <c r="D216" s="43"/>
      <c r="E216" s="43"/>
      <c r="F216" s="43"/>
      <c r="G216" s="43"/>
      <c r="H216" s="43"/>
      <c r="I216" s="43"/>
      <c r="J216" s="43"/>
      <c r="K216" s="43"/>
      <c r="L216" s="43"/>
      <c r="M216" s="43"/>
      <c r="N216" s="43"/>
      <c r="O216" s="43"/>
      <c r="P216" s="43"/>
      <c r="Q216" s="43"/>
      <c r="R216" s="43"/>
      <c r="S216" s="43"/>
      <c r="T216" s="49"/>
      <c r="U216" s="49"/>
      <c r="V216" s="49"/>
      <c r="W216" s="49"/>
      <c r="X216" s="49"/>
      <c r="Y216" s="49"/>
      <c r="Z216" s="49"/>
      <c r="AA216" s="49"/>
      <c r="AB216" s="49"/>
      <c r="AC216" s="49"/>
      <c r="AD216" s="49"/>
      <c r="AE216" s="49"/>
    </row>
    <row r="217" spans="1:31">
      <c r="A217" s="43"/>
      <c r="B217" s="43"/>
      <c r="C217" s="43"/>
      <c r="D217" s="43"/>
      <c r="E217" s="43"/>
      <c r="F217" s="43"/>
      <c r="G217" s="43"/>
      <c r="H217" s="43"/>
      <c r="I217" s="43"/>
      <c r="J217" s="43"/>
      <c r="K217" s="43"/>
      <c r="L217" s="43"/>
      <c r="M217" s="43"/>
      <c r="N217" s="43"/>
      <c r="O217" s="43"/>
      <c r="P217" s="43"/>
      <c r="Q217" s="43"/>
      <c r="R217" s="43"/>
      <c r="S217" s="43"/>
      <c r="T217" s="49"/>
      <c r="U217" s="49"/>
      <c r="V217" s="49"/>
      <c r="W217" s="49"/>
      <c r="X217" s="49"/>
      <c r="Y217" s="49"/>
      <c r="Z217" s="49"/>
      <c r="AA217" s="49"/>
      <c r="AB217" s="49"/>
      <c r="AC217" s="49"/>
      <c r="AD217" s="49"/>
      <c r="AE217" s="49"/>
    </row>
    <row r="218" spans="1:31">
      <c r="A218" s="43"/>
      <c r="B218" s="43"/>
      <c r="C218" s="43"/>
      <c r="D218" s="43"/>
      <c r="E218" s="43"/>
      <c r="F218" s="43"/>
      <c r="G218" s="43"/>
      <c r="H218" s="43"/>
      <c r="I218" s="43"/>
      <c r="J218" s="43"/>
      <c r="K218" s="43"/>
      <c r="L218" s="43"/>
      <c r="M218" s="43"/>
      <c r="N218" s="43"/>
      <c r="O218" s="43"/>
      <c r="P218" s="43"/>
      <c r="Q218" s="43"/>
      <c r="R218" s="43"/>
      <c r="S218" s="43"/>
      <c r="T218" s="49"/>
      <c r="U218" s="49"/>
      <c r="V218" s="49"/>
      <c r="W218" s="49"/>
      <c r="X218" s="49"/>
      <c r="Y218" s="49"/>
      <c r="Z218" s="49"/>
      <c r="AA218" s="49"/>
      <c r="AB218" s="49"/>
      <c r="AC218" s="49"/>
      <c r="AD218" s="49"/>
      <c r="AE218" s="49"/>
    </row>
    <row r="219" spans="1:31">
      <c r="A219" s="43"/>
      <c r="B219" s="43"/>
      <c r="C219" s="43"/>
      <c r="D219" s="43"/>
      <c r="E219" s="43"/>
      <c r="F219" s="43"/>
      <c r="G219" s="43"/>
      <c r="H219" s="43"/>
      <c r="I219" s="43"/>
      <c r="J219" s="43"/>
      <c r="K219" s="43"/>
      <c r="L219" s="43"/>
      <c r="M219" s="43"/>
      <c r="N219" s="43"/>
      <c r="O219" s="43"/>
      <c r="P219" s="43"/>
      <c r="Q219" s="43"/>
      <c r="R219" s="43"/>
      <c r="S219" s="43"/>
      <c r="T219" s="49"/>
      <c r="U219" s="49"/>
      <c r="V219" s="49"/>
      <c r="W219" s="49"/>
      <c r="X219" s="49"/>
      <c r="Y219" s="49"/>
      <c r="Z219" s="49"/>
      <c r="AA219" s="49"/>
      <c r="AB219" s="49"/>
      <c r="AC219" s="49"/>
      <c r="AD219" s="49"/>
      <c r="AE219" s="49"/>
    </row>
    <row r="220" spans="1:31">
      <c r="A220" s="43"/>
      <c r="B220" s="43"/>
      <c r="C220" s="43"/>
      <c r="D220" s="43"/>
      <c r="E220" s="43"/>
      <c r="F220" s="43"/>
      <c r="G220" s="43"/>
      <c r="H220" s="43"/>
      <c r="I220" s="43"/>
      <c r="J220" s="43"/>
      <c r="K220" s="43"/>
      <c r="L220" s="43"/>
      <c r="M220" s="43"/>
      <c r="N220" s="43"/>
      <c r="O220" s="43"/>
      <c r="P220" s="43"/>
      <c r="Q220" s="43"/>
      <c r="R220" s="43"/>
      <c r="S220" s="43"/>
      <c r="T220" s="49"/>
      <c r="U220" s="49"/>
      <c r="V220" s="49"/>
      <c r="W220" s="49"/>
      <c r="X220" s="49"/>
      <c r="Y220" s="49"/>
      <c r="Z220" s="49"/>
      <c r="AA220" s="49"/>
      <c r="AB220" s="49"/>
      <c r="AC220" s="49"/>
      <c r="AD220" s="49"/>
      <c r="AE220" s="49"/>
    </row>
    <row r="221" spans="1:31">
      <c r="A221" s="43"/>
      <c r="B221" s="43"/>
      <c r="C221" s="43"/>
      <c r="D221" s="43"/>
      <c r="E221" s="43"/>
      <c r="F221" s="43"/>
      <c r="G221" s="43"/>
      <c r="H221" s="43"/>
      <c r="I221" s="43"/>
      <c r="J221" s="43"/>
      <c r="K221" s="43"/>
      <c r="L221" s="43"/>
      <c r="M221" s="43"/>
      <c r="N221" s="43"/>
      <c r="O221" s="43"/>
      <c r="P221" s="43"/>
      <c r="Q221" s="43"/>
      <c r="R221" s="43"/>
      <c r="S221" s="43"/>
      <c r="T221" s="49"/>
      <c r="U221" s="49"/>
      <c r="V221" s="49"/>
      <c r="W221" s="49"/>
      <c r="X221" s="49"/>
      <c r="Y221" s="49"/>
      <c r="Z221" s="49"/>
      <c r="AA221" s="49"/>
      <c r="AB221" s="49"/>
      <c r="AC221" s="49"/>
      <c r="AD221" s="49"/>
      <c r="AE221" s="49"/>
    </row>
    <row r="222" spans="1:31">
      <c r="A222" s="43"/>
      <c r="B222" s="43"/>
      <c r="C222" s="43"/>
      <c r="D222" s="43"/>
      <c r="E222" s="43"/>
      <c r="F222" s="43"/>
      <c r="G222" s="43"/>
      <c r="H222" s="43"/>
      <c r="I222" s="43"/>
      <c r="J222" s="43"/>
      <c r="K222" s="43"/>
      <c r="L222" s="43"/>
      <c r="M222" s="43"/>
      <c r="N222" s="43"/>
      <c r="O222" s="43"/>
      <c r="P222" s="43"/>
      <c r="Q222" s="43"/>
      <c r="R222" s="43"/>
      <c r="S222" s="43"/>
      <c r="T222" s="49"/>
      <c r="U222" s="49"/>
      <c r="V222" s="49"/>
      <c r="W222" s="49"/>
      <c r="X222" s="49"/>
      <c r="Y222" s="49"/>
      <c r="Z222" s="49"/>
      <c r="AA222" s="49"/>
      <c r="AB222" s="49"/>
      <c r="AC222" s="49"/>
      <c r="AD222" s="49"/>
      <c r="AE222" s="49"/>
    </row>
    <row r="223" spans="1:31">
      <c r="A223" s="43"/>
      <c r="B223" s="43"/>
      <c r="C223" s="43"/>
      <c r="D223" s="43"/>
      <c r="E223" s="43"/>
      <c r="F223" s="43"/>
      <c r="G223" s="43"/>
      <c r="H223" s="43"/>
      <c r="I223" s="43"/>
      <c r="J223" s="43"/>
      <c r="K223" s="43"/>
      <c r="L223" s="43"/>
      <c r="M223" s="43"/>
      <c r="N223" s="43"/>
      <c r="O223" s="43"/>
      <c r="P223" s="43"/>
      <c r="Q223" s="43"/>
      <c r="R223" s="43"/>
      <c r="S223" s="43"/>
      <c r="T223" s="49"/>
      <c r="U223" s="49"/>
      <c r="V223" s="49"/>
      <c r="W223" s="49"/>
      <c r="X223" s="49"/>
      <c r="Y223" s="49"/>
      <c r="Z223" s="49"/>
      <c r="AA223" s="49"/>
      <c r="AB223" s="49"/>
      <c r="AC223" s="49"/>
      <c r="AD223" s="49"/>
      <c r="AE223" s="49"/>
    </row>
    <row r="224" spans="1:31">
      <c r="A224" s="43"/>
      <c r="B224" s="43"/>
      <c r="C224" s="43"/>
      <c r="D224" s="43"/>
      <c r="E224" s="43"/>
      <c r="F224" s="43"/>
      <c r="G224" s="43"/>
      <c r="H224" s="43"/>
      <c r="I224" s="43"/>
      <c r="J224" s="43"/>
      <c r="K224" s="43"/>
      <c r="L224" s="43"/>
      <c r="M224" s="43"/>
      <c r="N224" s="43"/>
      <c r="O224" s="43"/>
      <c r="P224" s="43"/>
      <c r="Q224" s="43"/>
      <c r="R224" s="43"/>
      <c r="S224" s="43"/>
      <c r="T224" s="49"/>
      <c r="U224" s="49"/>
      <c r="V224" s="49"/>
      <c r="W224" s="49"/>
      <c r="X224" s="49"/>
      <c r="Y224" s="49"/>
      <c r="Z224" s="49"/>
      <c r="AA224" s="49"/>
      <c r="AB224" s="49"/>
      <c r="AC224" s="49"/>
      <c r="AD224" s="49"/>
      <c r="AE224" s="49"/>
    </row>
    <row r="225" spans="1:31">
      <c r="A225" s="43"/>
      <c r="B225" s="43"/>
      <c r="C225" s="43"/>
      <c r="D225" s="43"/>
      <c r="E225" s="43"/>
      <c r="F225" s="43"/>
      <c r="G225" s="43"/>
      <c r="H225" s="43"/>
      <c r="I225" s="43"/>
      <c r="J225" s="43"/>
      <c r="K225" s="43"/>
      <c r="L225" s="43"/>
      <c r="M225" s="43"/>
      <c r="N225" s="43"/>
      <c r="O225" s="43"/>
      <c r="P225" s="43"/>
      <c r="Q225" s="43"/>
      <c r="R225" s="43"/>
      <c r="S225" s="43"/>
      <c r="T225" s="49"/>
      <c r="U225" s="49"/>
      <c r="V225" s="49"/>
      <c r="W225" s="49"/>
      <c r="X225" s="49"/>
      <c r="Y225" s="49"/>
      <c r="Z225" s="49"/>
      <c r="AA225" s="49"/>
      <c r="AB225" s="49"/>
      <c r="AC225" s="49"/>
      <c r="AD225" s="49"/>
      <c r="AE225" s="49"/>
    </row>
    <row r="226" spans="1:31">
      <c r="A226" s="43"/>
      <c r="B226" s="43"/>
      <c r="C226" s="43"/>
      <c r="D226" s="43"/>
      <c r="E226" s="43"/>
      <c r="F226" s="43"/>
      <c r="G226" s="43"/>
      <c r="H226" s="43"/>
      <c r="I226" s="43"/>
      <c r="J226" s="43"/>
      <c r="K226" s="43"/>
      <c r="L226" s="43"/>
      <c r="M226" s="43"/>
      <c r="N226" s="43"/>
      <c r="O226" s="43"/>
      <c r="P226" s="43"/>
      <c r="Q226" s="43"/>
      <c r="R226" s="43"/>
      <c r="S226" s="43"/>
      <c r="T226" s="49"/>
      <c r="U226" s="49"/>
      <c r="V226" s="49"/>
      <c r="W226" s="49"/>
      <c r="X226" s="49"/>
      <c r="Y226" s="49"/>
      <c r="Z226" s="49"/>
      <c r="AA226" s="49"/>
      <c r="AB226" s="49"/>
      <c r="AC226" s="49"/>
      <c r="AD226" s="49"/>
      <c r="AE226" s="49"/>
    </row>
    <row r="227" spans="1:31">
      <c r="A227" s="43"/>
      <c r="B227" s="43"/>
      <c r="C227" s="43"/>
      <c r="D227" s="43"/>
      <c r="E227" s="43"/>
      <c r="F227" s="43"/>
      <c r="G227" s="43"/>
      <c r="H227" s="43"/>
      <c r="I227" s="43"/>
      <c r="J227" s="43"/>
      <c r="K227" s="43"/>
      <c r="L227" s="43"/>
      <c r="M227" s="43"/>
      <c r="N227" s="43"/>
      <c r="O227" s="43"/>
      <c r="P227" s="43"/>
      <c r="Q227" s="43"/>
      <c r="R227" s="43"/>
      <c r="S227" s="43"/>
      <c r="T227" s="49"/>
      <c r="U227" s="49"/>
      <c r="V227" s="49"/>
      <c r="W227" s="49"/>
      <c r="X227" s="49"/>
      <c r="Y227" s="49"/>
      <c r="Z227" s="49"/>
      <c r="AA227" s="49"/>
      <c r="AB227" s="49"/>
      <c r="AC227" s="49"/>
      <c r="AD227" s="49"/>
      <c r="AE227" s="49"/>
    </row>
    <row r="228" spans="1:31">
      <c r="A228" s="43"/>
      <c r="B228" s="43"/>
      <c r="C228" s="43"/>
      <c r="D228" s="43"/>
      <c r="E228" s="43"/>
      <c r="F228" s="43"/>
      <c r="G228" s="43"/>
      <c r="H228" s="43"/>
      <c r="I228" s="43"/>
      <c r="J228" s="43"/>
      <c r="K228" s="43"/>
      <c r="L228" s="43"/>
      <c r="M228" s="43"/>
      <c r="N228" s="43"/>
      <c r="O228" s="43"/>
      <c r="P228" s="43"/>
      <c r="Q228" s="43"/>
      <c r="R228" s="43"/>
      <c r="S228" s="43"/>
      <c r="T228" s="49"/>
      <c r="U228" s="49"/>
      <c r="V228" s="49"/>
      <c r="W228" s="49"/>
      <c r="X228" s="49"/>
      <c r="Y228" s="49"/>
      <c r="Z228" s="49"/>
      <c r="AA228" s="49"/>
      <c r="AB228" s="49"/>
      <c r="AC228" s="49"/>
      <c r="AD228" s="49"/>
      <c r="AE228" s="49"/>
    </row>
    <row r="229" spans="1:31">
      <c r="A229" s="43"/>
      <c r="B229" s="43"/>
      <c r="C229" s="43"/>
      <c r="D229" s="43"/>
      <c r="E229" s="43"/>
      <c r="F229" s="43"/>
      <c r="G229" s="43"/>
      <c r="H229" s="43"/>
      <c r="I229" s="43"/>
      <c r="J229" s="43"/>
      <c r="K229" s="43"/>
      <c r="L229" s="43"/>
      <c r="M229" s="43"/>
      <c r="N229" s="43"/>
      <c r="O229" s="43"/>
      <c r="P229" s="43"/>
      <c r="Q229" s="43"/>
      <c r="R229" s="43"/>
      <c r="S229" s="43"/>
      <c r="T229" s="49"/>
      <c r="U229" s="49"/>
      <c r="V229" s="49"/>
      <c r="W229" s="49"/>
      <c r="X229" s="49"/>
      <c r="Y229" s="49"/>
      <c r="Z229" s="49"/>
      <c r="AA229" s="49"/>
      <c r="AB229" s="49"/>
      <c r="AC229" s="49"/>
      <c r="AD229" s="49"/>
      <c r="AE229" s="49"/>
    </row>
    <row r="230" spans="1:31">
      <c r="A230" s="43"/>
      <c r="B230" s="43"/>
      <c r="C230" s="43"/>
      <c r="D230" s="43"/>
      <c r="E230" s="43"/>
      <c r="F230" s="43"/>
      <c r="G230" s="43"/>
      <c r="H230" s="43"/>
      <c r="I230" s="43"/>
      <c r="J230" s="43"/>
      <c r="K230" s="43"/>
      <c r="L230" s="43"/>
      <c r="M230" s="43"/>
      <c r="N230" s="43"/>
      <c r="O230" s="43"/>
      <c r="P230" s="43"/>
      <c r="Q230" s="43"/>
      <c r="R230" s="43"/>
      <c r="S230" s="43"/>
      <c r="T230" s="49"/>
      <c r="U230" s="49"/>
      <c r="V230" s="49"/>
      <c r="W230" s="49"/>
      <c r="X230" s="49"/>
      <c r="Y230" s="49"/>
      <c r="Z230" s="49"/>
      <c r="AA230" s="49"/>
      <c r="AB230" s="49"/>
      <c r="AC230" s="49"/>
      <c r="AD230" s="49"/>
      <c r="AE230" s="49"/>
    </row>
    <row r="231" spans="1:31">
      <c r="A231" s="43"/>
      <c r="B231" s="43"/>
      <c r="C231" s="43"/>
      <c r="D231" s="43"/>
      <c r="E231" s="43"/>
      <c r="F231" s="43"/>
      <c r="G231" s="43"/>
      <c r="H231" s="43"/>
      <c r="I231" s="43"/>
      <c r="J231" s="43"/>
      <c r="K231" s="43"/>
      <c r="L231" s="43"/>
      <c r="M231" s="43"/>
      <c r="N231" s="43"/>
      <c r="O231" s="43"/>
      <c r="P231" s="43"/>
      <c r="Q231" s="43"/>
      <c r="R231" s="43"/>
      <c r="S231" s="43"/>
      <c r="T231" s="49"/>
      <c r="U231" s="49"/>
      <c r="V231" s="49"/>
      <c r="W231" s="49"/>
      <c r="X231" s="49"/>
      <c r="Y231" s="49"/>
      <c r="Z231" s="49"/>
      <c r="AA231" s="49"/>
      <c r="AB231" s="49"/>
      <c r="AC231" s="49"/>
      <c r="AD231" s="49"/>
      <c r="AE231" s="49"/>
    </row>
    <row r="232" spans="1:31">
      <c r="A232" s="43"/>
      <c r="B232" s="43"/>
      <c r="C232" s="43"/>
      <c r="D232" s="43"/>
      <c r="E232" s="43"/>
      <c r="F232" s="43"/>
      <c r="G232" s="43"/>
      <c r="H232" s="43"/>
      <c r="I232" s="43"/>
      <c r="J232" s="43"/>
      <c r="K232" s="43"/>
      <c r="L232" s="43"/>
      <c r="M232" s="43"/>
      <c r="N232" s="43"/>
      <c r="O232" s="43"/>
      <c r="P232" s="43"/>
      <c r="Q232" s="43"/>
      <c r="R232" s="43"/>
      <c r="S232" s="43"/>
      <c r="T232" s="49"/>
      <c r="U232" s="49"/>
      <c r="V232" s="49"/>
      <c r="W232" s="49"/>
      <c r="X232" s="49"/>
      <c r="Y232" s="49"/>
      <c r="Z232" s="49"/>
      <c r="AA232" s="49"/>
      <c r="AB232" s="49"/>
      <c r="AC232" s="49"/>
      <c r="AD232" s="49"/>
      <c r="AE232" s="49"/>
    </row>
    <row r="233" spans="1:31">
      <c r="A233" s="43"/>
      <c r="B233" s="43"/>
      <c r="C233" s="43"/>
      <c r="D233" s="43"/>
      <c r="E233" s="43"/>
      <c r="F233" s="43"/>
      <c r="G233" s="43"/>
      <c r="H233" s="43"/>
      <c r="I233" s="43"/>
      <c r="J233" s="43"/>
      <c r="K233" s="43"/>
      <c r="L233" s="43"/>
      <c r="M233" s="43"/>
      <c r="N233" s="43"/>
      <c r="O233" s="43"/>
      <c r="P233" s="43"/>
      <c r="Q233" s="43"/>
      <c r="R233" s="43"/>
      <c r="S233" s="43"/>
      <c r="T233" s="49"/>
      <c r="U233" s="49"/>
      <c r="V233" s="49"/>
      <c r="W233" s="49"/>
      <c r="X233" s="49"/>
      <c r="Y233" s="49"/>
      <c r="Z233" s="49"/>
      <c r="AA233" s="49"/>
      <c r="AB233" s="49"/>
      <c r="AC233" s="49"/>
      <c r="AD233" s="49"/>
      <c r="AE233" s="49"/>
    </row>
    <row r="234" spans="1:31">
      <c r="A234" s="43"/>
      <c r="B234" s="43"/>
      <c r="C234" s="43"/>
      <c r="D234" s="43"/>
      <c r="E234" s="43"/>
      <c r="F234" s="43"/>
      <c r="G234" s="43"/>
      <c r="H234" s="43"/>
      <c r="I234" s="43"/>
      <c r="J234" s="43"/>
      <c r="K234" s="43"/>
      <c r="L234" s="43"/>
      <c r="M234" s="43"/>
      <c r="N234" s="43"/>
      <c r="O234" s="43"/>
      <c r="P234" s="43"/>
      <c r="Q234" s="43"/>
      <c r="R234" s="43"/>
      <c r="S234" s="43"/>
      <c r="T234" s="49"/>
      <c r="U234" s="49"/>
      <c r="V234" s="49"/>
      <c r="W234" s="49"/>
      <c r="X234" s="49"/>
      <c r="Y234" s="49"/>
      <c r="Z234" s="49"/>
      <c r="AA234" s="49"/>
      <c r="AB234" s="49"/>
      <c r="AC234" s="49"/>
      <c r="AD234" s="49"/>
      <c r="AE234" s="49"/>
    </row>
    <row r="235" spans="1:31">
      <c r="A235" s="43"/>
      <c r="B235" s="43"/>
      <c r="C235" s="43"/>
      <c r="D235" s="43"/>
      <c r="E235" s="43"/>
      <c r="F235" s="43"/>
      <c r="G235" s="43"/>
      <c r="H235" s="43"/>
      <c r="I235" s="43"/>
      <c r="J235" s="43"/>
      <c r="K235" s="43"/>
      <c r="L235" s="43"/>
      <c r="M235" s="43"/>
      <c r="N235" s="43"/>
      <c r="O235" s="43"/>
      <c r="P235" s="43"/>
      <c r="Q235" s="43"/>
      <c r="R235" s="43"/>
      <c r="S235" s="43"/>
      <c r="T235" s="49"/>
      <c r="U235" s="49"/>
      <c r="V235" s="49"/>
      <c r="W235" s="49"/>
      <c r="X235" s="49"/>
      <c r="Y235" s="49"/>
      <c r="Z235" s="49"/>
      <c r="AA235" s="49"/>
      <c r="AB235" s="49"/>
      <c r="AC235" s="49"/>
      <c r="AD235" s="49"/>
      <c r="AE235" s="49"/>
    </row>
    <row r="236" spans="1:31">
      <c r="A236" s="43"/>
      <c r="B236" s="43"/>
      <c r="C236" s="43"/>
      <c r="D236" s="43"/>
      <c r="E236" s="43"/>
      <c r="F236" s="43"/>
      <c r="G236" s="43"/>
      <c r="H236" s="43"/>
      <c r="I236" s="43"/>
      <c r="J236" s="43"/>
      <c r="K236" s="43"/>
      <c r="L236" s="43"/>
      <c r="M236" s="43"/>
      <c r="N236" s="43"/>
      <c r="O236" s="43"/>
      <c r="P236" s="43"/>
      <c r="Q236" s="43"/>
      <c r="R236" s="43"/>
      <c r="S236" s="43"/>
      <c r="T236" s="49"/>
      <c r="U236" s="49"/>
      <c r="V236" s="49"/>
      <c r="W236" s="49"/>
      <c r="X236" s="49"/>
      <c r="Y236" s="49"/>
      <c r="Z236" s="49"/>
      <c r="AA236" s="49"/>
      <c r="AB236" s="49"/>
      <c r="AC236" s="49"/>
      <c r="AD236" s="49"/>
      <c r="AE236" s="49"/>
    </row>
    <row r="237" spans="1:31">
      <c r="A237" s="43"/>
      <c r="B237" s="43"/>
      <c r="C237" s="43"/>
      <c r="D237" s="43"/>
      <c r="E237" s="43"/>
      <c r="F237" s="43"/>
      <c r="G237" s="43"/>
      <c r="H237" s="43"/>
      <c r="I237" s="43"/>
      <c r="J237" s="43"/>
      <c r="K237" s="43"/>
      <c r="L237" s="43"/>
      <c r="M237" s="43"/>
      <c r="N237" s="43"/>
      <c r="O237" s="43"/>
      <c r="P237" s="43"/>
      <c r="Q237" s="43"/>
      <c r="R237" s="43"/>
      <c r="S237" s="43"/>
      <c r="T237" s="49"/>
      <c r="U237" s="49"/>
      <c r="V237" s="49"/>
      <c r="W237" s="49"/>
      <c r="X237" s="49"/>
      <c r="Y237" s="49"/>
      <c r="Z237" s="49"/>
      <c r="AA237" s="49"/>
      <c r="AB237" s="49"/>
      <c r="AC237" s="49"/>
      <c r="AD237" s="49"/>
      <c r="AE237" s="49"/>
    </row>
    <row r="238" spans="1:31">
      <c r="A238" s="43"/>
      <c r="B238" s="43"/>
      <c r="C238" s="43"/>
      <c r="D238" s="43"/>
      <c r="E238" s="43"/>
      <c r="F238" s="43"/>
      <c r="G238" s="43"/>
      <c r="H238" s="43"/>
      <c r="I238" s="43"/>
      <c r="J238" s="43"/>
      <c r="K238" s="43"/>
      <c r="L238" s="43"/>
      <c r="M238" s="43"/>
      <c r="N238" s="43"/>
      <c r="O238" s="43"/>
      <c r="P238" s="43"/>
      <c r="Q238" s="43"/>
      <c r="R238" s="43"/>
      <c r="S238" s="43"/>
      <c r="T238" s="49"/>
      <c r="U238" s="49"/>
      <c r="V238" s="49"/>
      <c r="W238" s="49"/>
      <c r="X238" s="49"/>
      <c r="Y238" s="49"/>
      <c r="Z238" s="49"/>
      <c r="AA238" s="49"/>
      <c r="AB238" s="49"/>
      <c r="AC238" s="49"/>
      <c r="AD238" s="49"/>
      <c r="AE238" s="49"/>
    </row>
    <row r="239" spans="1:31">
      <c r="A239" s="43"/>
      <c r="B239" s="43"/>
      <c r="C239" s="43"/>
      <c r="D239" s="43"/>
      <c r="E239" s="43"/>
      <c r="F239" s="43"/>
      <c r="G239" s="43"/>
      <c r="H239" s="43"/>
      <c r="I239" s="43"/>
      <c r="J239" s="43"/>
      <c r="K239" s="43"/>
      <c r="L239" s="43"/>
      <c r="M239" s="43"/>
      <c r="N239" s="43"/>
      <c r="O239" s="43"/>
      <c r="P239" s="43"/>
      <c r="Q239" s="43"/>
      <c r="R239" s="43"/>
      <c r="S239" s="43"/>
      <c r="T239" s="49"/>
      <c r="U239" s="49"/>
      <c r="V239" s="49"/>
      <c r="W239" s="49"/>
      <c r="X239" s="49"/>
      <c r="Y239" s="49"/>
      <c r="Z239" s="49"/>
      <c r="AA239" s="49"/>
      <c r="AB239" s="49"/>
      <c r="AC239" s="49"/>
      <c r="AD239" s="49"/>
      <c r="AE239" s="49"/>
    </row>
    <row r="240" spans="1:31">
      <c r="A240" s="43"/>
      <c r="B240" s="43"/>
      <c r="C240" s="43"/>
      <c r="D240" s="43"/>
      <c r="E240" s="43"/>
      <c r="F240" s="43"/>
      <c r="G240" s="43"/>
      <c r="H240" s="43"/>
      <c r="I240" s="43"/>
      <c r="J240" s="43"/>
      <c r="K240" s="43"/>
      <c r="L240" s="43"/>
      <c r="M240" s="43"/>
      <c r="N240" s="43"/>
      <c r="O240" s="43"/>
      <c r="P240" s="43"/>
      <c r="Q240" s="43"/>
      <c r="R240" s="43"/>
      <c r="S240" s="43"/>
      <c r="T240" s="49"/>
      <c r="U240" s="49"/>
      <c r="V240" s="49"/>
      <c r="W240" s="49"/>
      <c r="X240" s="49"/>
      <c r="Y240" s="49"/>
      <c r="Z240" s="49"/>
      <c r="AA240" s="49"/>
      <c r="AB240" s="49"/>
      <c r="AC240" s="49"/>
      <c r="AD240" s="49"/>
      <c r="AE240" s="49"/>
    </row>
    <row r="241" spans="1:31">
      <c r="A241" s="43"/>
      <c r="B241" s="43"/>
      <c r="C241" s="43"/>
      <c r="D241" s="43"/>
      <c r="E241" s="43"/>
      <c r="F241" s="43"/>
      <c r="G241" s="43"/>
      <c r="H241" s="43"/>
      <c r="I241" s="43"/>
      <c r="J241" s="43"/>
      <c r="K241" s="43"/>
      <c r="L241" s="43"/>
      <c r="M241" s="43"/>
      <c r="N241" s="43"/>
      <c r="O241" s="43"/>
      <c r="P241" s="43"/>
      <c r="Q241" s="43"/>
      <c r="R241" s="43"/>
      <c r="S241" s="43"/>
      <c r="T241" s="49"/>
      <c r="U241" s="49"/>
      <c r="V241" s="49"/>
      <c r="W241" s="49"/>
      <c r="X241" s="49"/>
      <c r="Y241" s="49"/>
      <c r="Z241" s="49"/>
      <c r="AA241" s="49"/>
      <c r="AB241" s="49"/>
      <c r="AC241" s="49"/>
      <c r="AD241" s="49"/>
      <c r="AE241" s="49"/>
    </row>
    <row r="242" spans="1:31">
      <c r="A242" s="43"/>
      <c r="B242" s="43"/>
      <c r="C242" s="43"/>
      <c r="D242" s="43"/>
      <c r="E242" s="43"/>
      <c r="F242" s="43"/>
      <c r="G242" s="43"/>
      <c r="H242" s="43"/>
      <c r="I242" s="43"/>
      <c r="J242" s="43"/>
      <c r="K242" s="43"/>
      <c r="L242" s="43"/>
      <c r="M242" s="43"/>
      <c r="N242" s="43"/>
      <c r="O242" s="43"/>
      <c r="P242" s="43"/>
      <c r="Q242" s="43"/>
      <c r="R242" s="43"/>
      <c r="S242" s="43"/>
      <c r="T242" s="49"/>
      <c r="U242" s="49"/>
      <c r="V242" s="49"/>
      <c r="W242" s="49"/>
      <c r="X242" s="49"/>
      <c r="Y242" s="49"/>
      <c r="Z242" s="49"/>
      <c r="AA242" s="49"/>
      <c r="AB242" s="49"/>
      <c r="AC242" s="49"/>
      <c r="AD242" s="49"/>
      <c r="AE242" s="49"/>
    </row>
    <row r="243" spans="1:31">
      <c r="A243" s="43"/>
      <c r="B243" s="43"/>
      <c r="C243" s="43"/>
      <c r="D243" s="43"/>
      <c r="E243" s="43"/>
      <c r="F243" s="43"/>
      <c r="G243" s="43"/>
      <c r="H243" s="43"/>
      <c r="I243" s="43"/>
      <c r="J243" s="43"/>
      <c r="K243" s="43"/>
      <c r="L243" s="43"/>
      <c r="M243" s="43"/>
      <c r="N243" s="43"/>
      <c r="O243" s="43"/>
      <c r="P243" s="43"/>
      <c r="Q243" s="43"/>
      <c r="R243" s="43"/>
      <c r="S243" s="43"/>
      <c r="T243" s="49"/>
      <c r="U243" s="49"/>
      <c r="V243" s="49"/>
      <c r="W243" s="49"/>
      <c r="X243" s="49"/>
      <c r="Y243" s="49"/>
      <c r="Z243" s="49"/>
      <c r="AA243" s="49"/>
      <c r="AB243" s="49"/>
      <c r="AC243" s="49"/>
      <c r="AD243" s="49"/>
      <c r="AE243" s="49"/>
    </row>
    <row r="244" spans="1:31">
      <c r="A244" s="43"/>
      <c r="B244" s="43"/>
      <c r="C244" s="43"/>
      <c r="D244" s="43"/>
      <c r="E244" s="43"/>
      <c r="F244" s="43"/>
      <c r="G244" s="43"/>
      <c r="H244" s="43"/>
      <c r="I244" s="43"/>
      <c r="J244" s="43"/>
      <c r="K244" s="43"/>
      <c r="L244" s="43"/>
      <c r="M244" s="43"/>
      <c r="N244" s="43"/>
      <c r="O244" s="43"/>
      <c r="P244" s="43"/>
      <c r="Q244" s="43"/>
      <c r="R244" s="43"/>
      <c r="S244" s="43"/>
      <c r="T244" s="49"/>
      <c r="U244" s="49"/>
      <c r="V244" s="49"/>
      <c r="W244" s="49"/>
      <c r="X244" s="49"/>
      <c r="Y244" s="49"/>
      <c r="Z244" s="49"/>
      <c r="AA244" s="49"/>
      <c r="AB244" s="49"/>
      <c r="AC244" s="49"/>
      <c r="AD244" s="49"/>
      <c r="AE244" s="49"/>
    </row>
    <row r="245" spans="1:31">
      <c r="A245" s="43"/>
      <c r="B245" s="43"/>
      <c r="C245" s="43"/>
      <c r="D245" s="43"/>
      <c r="E245" s="43"/>
      <c r="F245" s="43"/>
      <c r="G245" s="43"/>
      <c r="H245" s="43"/>
      <c r="I245" s="43"/>
      <c r="J245" s="43"/>
      <c r="K245" s="43"/>
      <c r="L245" s="43"/>
      <c r="M245" s="43"/>
      <c r="N245" s="43"/>
      <c r="O245" s="43"/>
      <c r="P245" s="43"/>
      <c r="Q245" s="43"/>
      <c r="R245" s="43"/>
      <c r="S245" s="43"/>
      <c r="T245" s="49"/>
      <c r="U245" s="49"/>
      <c r="V245" s="49"/>
      <c r="W245" s="49"/>
      <c r="X245" s="49"/>
      <c r="Y245" s="49"/>
      <c r="Z245" s="49"/>
      <c r="AA245" s="49"/>
      <c r="AB245" s="49"/>
      <c r="AC245" s="49"/>
      <c r="AD245" s="49"/>
      <c r="AE245" s="49"/>
    </row>
    <row r="246" spans="1:31">
      <c r="A246" s="43"/>
      <c r="B246" s="43"/>
      <c r="C246" s="43"/>
      <c r="D246" s="43"/>
      <c r="E246" s="43"/>
      <c r="F246" s="43"/>
      <c r="G246" s="43"/>
      <c r="H246" s="43"/>
      <c r="I246" s="43"/>
      <c r="J246" s="43"/>
      <c r="K246" s="43"/>
      <c r="L246" s="43"/>
      <c r="M246" s="43"/>
      <c r="N246" s="43"/>
      <c r="O246" s="43"/>
      <c r="P246" s="43"/>
      <c r="Q246" s="43"/>
      <c r="R246" s="43"/>
      <c r="S246" s="43"/>
      <c r="T246" s="49"/>
      <c r="U246" s="49"/>
      <c r="V246" s="49"/>
      <c r="W246" s="49"/>
      <c r="X246" s="49"/>
      <c r="Y246" s="49"/>
      <c r="Z246" s="49"/>
      <c r="AA246" s="49"/>
      <c r="AB246" s="49"/>
      <c r="AC246" s="49"/>
      <c r="AD246" s="49"/>
      <c r="AE246" s="49"/>
    </row>
    <row r="247" spans="1:31">
      <c r="A247" s="43"/>
      <c r="B247" s="43"/>
      <c r="C247" s="43"/>
      <c r="D247" s="43"/>
      <c r="E247" s="43"/>
      <c r="F247" s="43"/>
      <c r="G247" s="43"/>
      <c r="H247" s="43"/>
      <c r="I247" s="43"/>
      <c r="J247" s="43"/>
      <c r="K247" s="43"/>
      <c r="L247" s="43"/>
      <c r="M247" s="43"/>
      <c r="N247" s="43"/>
      <c r="O247" s="43"/>
      <c r="P247" s="43"/>
      <c r="Q247" s="43"/>
      <c r="R247" s="43"/>
      <c r="S247" s="43"/>
      <c r="T247" s="49"/>
      <c r="U247" s="49"/>
      <c r="V247" s="49"/>
      <c r="W247" s="49"/>
      <c r="X247" s="49"/>
      <c r="Y247" s="49"/>
      <c r="Z247" s="49"/>
      <c r="AA247" s="49"/>
      <c r="AB247" s="49"/>
      <c r="AC247" s="49"/>
      <c r="AD247" s="49"/>
      <c r="AE247" s="49"/>
    </row>
    <row r="248" spans="1:31">
      <c r="A248" s="43"/>
      <c r="B248" s="43"/>
      <c r="C248" s="43"/>
      <c r="D248" s="43"/>
      <c r="E248" s="43"/>
      <c r="F248" s="43"/>
      <c r="G248" s="43"/>
      <c r="H248" s="43"/>
      <c r="I248" s="43"/>
      <c r="J248" s="43"/>
      <c r="K248" s="43"/>
      <c r="L248" s="43"/>
      <c r="M248" s="43"/>
      <c r="N248" s="43"/>
      <c r="O248" s="43"/>
      <c r="P248" s="43"/>
      <c r="Q248" s="43"/>
      <c r="R248" s="43"/>
      <c r="S248" s="43"/>
      <c r="T248" s="49"/>
      <c r="U248" s="49"/>
      <c r="V248" s="49"/>
      <c r="W248" s="49"/>
      <c r="X248" s="49"/>
      <c r="Y248" s="49"/>
      <c r="Z248" s="49"/>
      <c r="AA248" s="49"/>
      <c r="AB248" s="49"/>
      <c r="AC248" s="49"/>
      <c r="AD248" s="49"/>
      <c r="AE248" s="49"/>
    </row>
    <row r="249" spans="1:31">
      <c r="A249" s="43"/>
      <c r="B249" s="43"/>
      <c r="C249" s="43"/>
      <c r="D249" s="43"/>
      <c r="E249" s="43"/>
      <c r="F249" s="43"/>
      <c r="G249" s="43"/>
      <c r="H249" s="43"/>
      <c r="I249" s="43"/>
      <c r="J249" s="43"/>
      <c r="K249" s="43"/>
      <c r="L249" s="43"/>
      <c r="M249" s="43"/>
      <c r="N249" s="43"/>
      <c r="O249" s="43"/>
      <c r="P249" s="43"/>
      <c r="Q249" s="43"/>
      <c r="R249" s="43"/>
      <c r="S249" s="43"/>
      <c r="T249" s="49"/>
      <c r="U249" s="49"/>
      <c r="V249" s="49"/>
      <c r="W249" s="49"/>
      <c r="X249" s="49"/>
      <c r="Y249" s="49"/>
      <c r="Z249" s="49"/>
      <c r="AA249" s="49"/>
      <c r="AB249" s="49"/>
      <c r="AC249" s="49"/>
      <c r="AD249" s="49"/>
      <c r="AE249" s="49"/>
    </row>
    <row r="250" spans="1:31">
      <c r="A250" s="43"/>
      <c r="B250" s="43"/>
      <c r="C250" s="43"/>
      <c r="D250" s="43"/>
      <c r="E250" s="43"/>
      <c r="F250" s="43"/>
      <c r="G250" s="43"/>
      <c r="H250" s="43"/>
      <c r="I250" s="43"/>
      <c r="J250" s="43"/>
      <c r="K250" s="43"/>
      <c r="L250" s="43"/>
      <c r="M250" s="43"/>
      <c r="N250" s="43"/>
      <c r="O250" s="43"/>
      <c r="P250" s="43"/>
      <c r="Q250" s="43"/>
      <c r="R250" s="43"/>
      <c r="S250" s="43"/>
      <c r="T250" s="49"/>
      <c r="U250" s="49"/>
      <c r="V250" s="49"/>
      <c r="W250" s="49"/>
      <c r="X250" s="49"/>
      <c r="Y250" s="49"/>
      <c r="Z250" s="49"/>
      <c r="AA250" s="49"/>
      <c r="AB250" s="49"/>
      <c r="AC250" s="49"/>
      <c r="AD250" s="49"/>
      <c r="AE250" s="49"/>
    </row>
    <row r="251" spans="1:31">
      <c r="A251" s="43"/>
      <c r="B251" s="43"/>
      <c r="C251" s="43"/>
      <c r="D251" s="43"/>
      <c r="E251" s="43"/>
      <c r="F251" s="43"/>
      <c r="G251" s="43"/>
      <c r="H251" s="43"/>
      <c r="I251" s="43"/>
      <c r="J251" s="43"/>
      <c r="K251" s="43"/>
      <c r="L251" s="43"/>
      <c r="M251" s="43"/>
      <c r="N251" s="43"/>
      <c r="O251" s="43"/>
      <c r="P251" s="43"/>
      <c r="Q251" s="43"/>
      <c r="R251" s="43"/>
      <c r="S251" s="43"/>
      <c r="T251" s="49"/>
      <c r="U251" s="49"/>
      <c r="V251" s="49"/>
      <c r="W251" s="49"/>
      <c r="X251" s="49"/>
      <c r="Y251" s="49"/>
      <c r="Z251" s="49"/>
      <c r="AA251" s="49"/>
      <c r="AB251" s="49"/>
      <c r="AC251" s="49"/>
      <c r="AD251" s="49"/>
      <c r="AE251" s="49"/>
    </row>
    <row r="252" spans="1:31">
      <c r="A252" s="43"/>
      <c r="B252" s="43"/>
      <c r="C252" s="43"/>
      <c r="D252" s="43"/>
      <c r="E252" s="43"/>
      <c r="F252" s="43"/>
      <c r="G252" s="43"/>
      <c r="H252" s="43"/>
      <c r="I252" s="43"/>
      <c r="J252" s="43"/>
      <c r="K252" s="43"/>
      <c r="L252" s="43"/>
      <c r="M252" s="43"/>
      <c r="N252" s="43"/>
      <c r="O252" s="43"/>
      <c r="P252" s="43"/>
      <c r="Q252" s="43"/>
      <c r="R252" s="43"/>
      <c r="S252" s="43"/>
      <c r="T252" s="49"/>
      <c r="U252" s="49"/>
      <c r="V252" s="49"/>
      <c r="W252" s="49"/>
      <c r="X252" s="49"/>
      <c r="Y252" s="49"/>
      <c r="Z252" s="49"/>
      <c r="AA252" s="49"/>
      <c r="AB252" s="49"/>
      <c r="AC252" s="49"/>
      <c r="AD252" s="49"/>
      <c r="AE252" s="49"/>
    </row>
    <row r="253" spans="1:31">
      <c r="A253" s="43"/>
      <c r="B253" s="43"/>
      <c r="C253" s="43"/>
      <c r="D253" s="43"/>
      <c r="E253" s="43"/>
      <c r="F253" s="43"/>
      <c r="G253" s="43"/>
      <c r="H253" s="43"/>
      <c r="I253" s="43"/>
      <c r="J253" s="43"/>
      <c r="K253" s="43"/>
      <c r="L253" s="43"/>
      <c r="M253" s="43"/>
      <c r="N253" s="43"/>
      <c r="O253" s="43"/>
      <c r="P253" s="43"/>
      <c r="Q253" s="43"/>
      <c r="R253" s="43"/>
      <c r="S253" s="43"/>
      <c r="T253" s="49"/>
      <c r="U253" s="49"/>
      <c r="V253" s="49"/>
      <c r="W253" s="49"/>
      <c r="X253" s="49"/>
      <c r="Y253" s="49"/>
      <c r="Z253" s="49"/>
      <c r="AA253" s="49"/>
      <c r="AB253" s="49"/>
      <c r="AC253" s="49"/>
      <c r="AD253" s="49"/>
      <c r="AE253" s="49"/>
    </row>
    <row r="254" spans="1:31">
      <c r="A254" s="43"/>
      <c r="B254" s="43"/>
      <c r="C254" s="43"/>
      <c r="D254" s="43"/>
      <c r="E254" s="43"/>
      <c r="F254" s="43"/>
      <c r="G254" s="43"/>
      <c r="H254" s="43"/>
      <c r="I254" s="43"/>
      <c r="J254" s="43"/>
      <c r="K254" s="43"/>
      <c r="L254" s="43"/>
      <c r="M254" s="43"/>
      <c r="N254" s="43"/>
      <c r="O254" s="43"/>
      <c r="P254" s="43"/>
      <c r="Q254" s="43"/>
      <c r="R254" s="43"/>
      <c r="S254" s="43"/>
      <c r="T254" s="49"/>
      <c r="U254" s="49"/>
      <c r="V254" s="49"/>
      <c r="W254" s="49"/>
      <c r="X254" s="49"/>
      <c r="Y254" s="49"/>
      <c r="Z254" s="49"/>
      <c r="AA254" s="49"/>
      <c r="AB254" s="49"/>
      <c r="AC254" s="49"/>
      <c r="AD254" s="49"/>
      <c r="AE254" s="49"/>
    </row>
    <row r="255" spans="1:31">
      <c r="A255" s="43"/>
      <c r="B255" s="43"/>
      <c r="C255" s="43"/>
      <c r="D255" s="43"/>
      <c r="E255" s="43"/>
      <c r="F255" s="43"/>
      <c r="G255" s="43"/>
      <c r="H255" s="43"/>
      <c r="I255" s="43"/>
      <c r="J255" s="43"/>
      <c r="K255" s="43"/>
      <c r="L255" s="43"/>
      <c r="M255" s="43"/>
      <c r="N255" s="43"/>
      <c r="O255" s="43"/>
      <c r="P255" s="43"/>
      <c r="Q255" s="43"/>
      <c r="R255" s="43"/>
      <c r="S255" s="43"/>
      <c r="T255" s="49"/>
      <c r="U255" s="49"/>
      <c r="V255" s="49"/>
      <c r="W255" s="49"/>
      <c r="X255" s="49"/>
      <c r="Y255" s="49"/>
      <c r="Z255" s="49"/>
      <c r="AA255" s="49"/>
      <c r="AB255" s="49"/>
      <c r="AC255" s="49"/>
      <c r="AD255" s="49"/>
      <c r="AE255" s="49"/>
    </row>
    <row r="256" spans="1:31">
      <c r="A256" s="43"/>
      <c r="B256" s="43"/>
      <c r="C256" s="43"/>
      <c r="D256" s="43"/>
      <c r="E256" s="43"/>
      <c r="F256" s="43"/>
      <c r="G256" s="43"/>
      <c r="H256" s="43"/>
      <c r="I256" s="43"/>
      <c r="J256" s="43"/>
      <c r="K256" s="43"/>
      <c r="L256" s="43"/>
      <c r="M256" s="43"/>
      <c r="N256" s="43"/>
      <c r="O256" s="43"/>
      <c r="P256" s="43"/>
      <c r="Q256" s="43"/>
      <c r="R256" s="43"/>
      <c r="S256" s="43"/>
      <c r="T256" s="49"/>
      <c r="U256" s="49"/>
      <c r="V256" s="49"/>
      <c r="W256" s="49"/>
      <c r="X256" s="49"/>
      <c r="Y256" s="49"/>
      <c r="Z256" s="49"/>
      <c r="AA256" s="49"/>
      <c r="AB256" s="49"/>
      <c r="AC256" s="49"/>
      <c r="AD256" s="49"/>
      <c r="AE256" s="49"/>
    </row>
    <row r="257" spans="1:31">
      <c r="A257" s="43"/>
      <c r="B257" s="43"/>
      <c r="C257" s="43"/>
      <c r="D257" s="43"/>
      <c r="E257" s="43"/>
      <c r="F257" s="43"/>
      <c r="G257" s="43"/>
      <c r="H257" s="43"/>
      <c r="I257" s="43"/>
      <c r="J257" s="43"/>
      <c r="K257" s="43"/>
      <c r="L257" s="43"/>
      <c r="M257" s="43"/>
      <c r="N257" s="43"/>
      <c r="O257" s="43"/>
      <c r="P257" s="43"/>
      <c r="Q257" s="43"/>
      <c r="R257" s="43"/>
      <c r="S257" s="43"/>
      <c r="T257" s="49"/>
      <c r="U257" s="49"/>
      <c r="V257" s="49"/>
      <c r="W257" s="49"/>
      <c r="X257" s="49"/>
      <c r="Y257" s="49"/>
      <c r="Z257" s="49"/>
      <c r="AA257" s="49"/>
      <c r="AB257" s="49"/>
      <c r="AC257" s="49"/>
      <c r="AD257" s="49"/>
      <c r="AE257" s="49"/>
    </row>
    <row r="258" spans="1:31">
      <c r="A258" s="43"/>
      <c r="B258" s="43"/>
      <c r="C258" s="43"/>
      <c r="D258" s="43"/>
      <c r="E258" s="43"/>
      <c r="F258" s="43"/>
      <c r="G258" s="43"/>
      <c r="H258" s="43"/>
      <c r="I258" s="43"/>
      <c r="J258" s="43"/>
      <c r="K258" s="43"/>
      <c r="L258" s="43"/>
      <c r="M258" s="43"/>
      <c r="N258" s="43"/>
      <c r="O258" s="43"/>
      <c r="P258" s="43"/>
      <c r="Q258" s="43"/>
      <c r="R258" s="43"/>
      <c r="S258" s="43"/>
      <c r="T258" s="49"/>
      <c r="U258" s="49"/>
      <c r="V258" s="49"/>
      <c r="W258" s="49"/>
      <c r="X258" s="49"/>
      <c r="Y258" s="49"/>
      <c r="Z258" s="49"/>
      <c r="AA258" s="49"/>
      <c r="AB258" s="49"/>
      <c r="AC258" s="49"/>
      <c r="AD258" s="49"/>
      <c r="AE258" s="49"/>
    </row>
    <row r="259" spans="1:31">
      <c r="A259" s="43"/>
      <c r="B259" s="43"/>
      <c r="C259" s="43"/>
      <c r="D259" s="43"/>
      <c r="E259" s="43"/>
      <c r="F259" s="43"/>
      <c r="G259" s="43"/>
      <c r="H259" s="43"/>
      <c r="I259" s="43"/>
      <c r="J259" s="43"/>
      <c r="K259" s="43"/>
      <c r="L259" s="43"/>
      <c r="M259" s="43"/>
      <c r="N259" s="43"/>
      <c r="O259" s="43"/>
      <c r="P259" s="43"/>
      <c r="Q259" s="43"/>
      <c r="R259" s="43"/>
      <c r="S259" s="43"/>
      <c r="T259" s="49"/>
      <c r="U259" s="49"/>
      <c r="V259" s="49"/>
      <c r="W259" s="49"/>
      <c r="X259" s="49"/>
      <c r="Y259" s="49"/>
      <c r="Z259" s="49"/>
      <c r="AA259" s="49"/>
      <c r="AB259" s="49"/>
      <c r="AC259" s="49"/>
      <c r="AD259" s="49"/>
      <c r="AE259" s="49"/>
    </row>
    <row r="260" spans="1:31">
      <c r="A260" s="43"/>
      <c r="B260" s="43"/>
      <c r="C260" s="43"/>
      <c r="D260" s="43"/>
      <c r="E260" s="43"/>
      <c r="F260" s="43"/>
      <c r="G260" s="43"/>
      <c r="H260" s="43"/>
      <c r="I260" s="43"/>
      <c r="J260" s="43"/>
      <c r="K260" s="43"/>
      <c r="L260" s="43"/>
      <c r="M260" s="43"/>
      <c r="N260" s="43"/>
      <c r="O260" s="43"/>
      <c r="P260" s="43"/>
      <c r="Q260" s="43"/>
      <c r="R260" s="43"/>
      <c r="S260" s="43"/>
      <c r="T260" s="49"/>
      <c r="U260" s="49"/>
      <c r="V260" s="49"/>
      <c r="W260" s="49"/>
      <c r="X260" s="49"/>
      <c r="Y260" s="49"/>
      <c r="Z260" s="49"/>
      <c r="AA260" s="49"/>
      <c r="AB260" s="49"/>
      <c r="AC260" s="49"/>
      <c r="AD260" s="49"/>
      <c r="AE260" s="49"/>
    </row>
    <row r="261" spans="1:31">
      <c r="A261" s="43"/>
      <c r="B261" s="43"/>
      <c r="C261" s="43"/>
      <c r="D261" s="43"/>
      <c r="E261" s="43"/>
      <c r="F261" s="43"/>
      <c r="G261" s="43"/>
      <c r="H261" s="43"/>
      <c r="I261" s="43"/>
      <c r="J261" s="43"/>
      <c r="K261" s="43"/>
      <c r="L261" s="43"/>
      <c r="M261" s="43"/>
      <c r="N261" s="43"/>
      <c r="O261" s="43"/>
      <c r="P261" s="43"/>
      <c r="Q261" s="43"/>
      <c r="R261" s="43"/>
      <c r="S261" s="43"/>
      <c r="T261" s="49"/>
      <c r="U261" s="49"/>
      <c r="V261" s="49"/>
      <c r="W261" s="49"/>
      <c r="X261" s="49"/>
      <c r="Y261" s="49"/>
      <c r="Z261" s="49"/>
      <c r="AA261" s="49"/>
      <c r="AB261" s="49"/>
      <c r="AC261" s="49"/>
      <c r="AD261" s="49"/>
      <c r="AE261" s="49"/>
    </row>
    <row r="262" spans="1:31">
      <c r="A262" s="43"/>
      <c r="B262" s="43"/>
      <c r="C262" s="43"/>
      <c r="D262" s="43"/>
      <c r="E262" s="43"/>
      <c r="F262" s="43"/>
      <c r="G262" s="43"/>
      <c r="H262" s="43"/>
      <c r="I262" s="43"/>
      <c r="J262" s="43"/>
      <c r="K262" s="43"/>
      <c r="L262" s="43"/>
      <c r="M262" s="43"/>
      <c r="N262" s="43"/>
      <c r="O262" s="43"/>
      <c r="P262" s="43"/>
      <c r="Q262" s="43"/>
      <c r="R262" s="43"/>
      <c r="S262" s="43"/>
      <c r="T262" s="49"/>
      <c r="U262" s="49"/>
      <c r="V262" s="49"/>
      <c r="W262" s="49"/>
      <c r="X262" s="49"/>
      <c r="Y262" s="49"/>
      <c r="Z262" s="49"/>
      <c r="AA262" s="49"/>
      <c r="AB262" s="49"/>
      <c r="AC262" s="49"/>
      <c r="AD262" s="49"/>
      <c r="AE262" s="49"/>
    </row>
    <row r="263" spans="1:31">
      <c r="A263" s="43"/>
      <c r="B263" s="43"/>
      <c r="C263" s="43"/>
      <c r="D263" s="43"/>
      <c r="E263" s="43"/>
      <c r="F263" s="43"/>
      <c r="G263" s="43"/>
      <c r="H263" s="43"/>
      <c r="I263" s="43"/>
      <c r="J263" s="43"/>
      <c r="K263" s="43"/>
      <c r="L263" s="43"/>
      <c r="M263" s="43"/>
      <c r="N263" s="43"/>
      <c r="O263" s="43"/>
      <c r="P263" s="43"/>
      <c r="Q263" s="43"/>
      <c r="R263" s="43"/>
      <c r="S263" s="43"/>
      <c r="T263" s="49"/>
      <c r="U263" s="49"/>
      <c r="V263" s="49"/>
      <c r="W263" s="49"/>
      <c r="X263" s="49"/>
      <c r="Y263" s="49"/>
      <c r="Z263" s="49"/>
      <c r="AA263" s="49"/>
      <c r="AB263" s="49"/>
      <c r="AC263" s="49"/>
      <c r="AD263" s="49"/>
      <c r="AE263" s="49"/>
    </row>
    <row r="264" spans="1:31">
      <c r="A264" s="43"/>
      <c r="B264" s="43"/>
      <c r="C264" s="43"/>
      <c r="D264" s="43"/>
      <c r="E264" s="43"/>
      <c r="F264" s="43"/>
      <c r="G264" s="43"/>
      <c r="H264" s="43"/>
      <c r="I264" s="43"/>
      <c r="J264" s="43"/>
      <c r="K264" s="43"/>
      <c r="L264" s="43"/>
      <c r="M264" s="43"/>
      <c r="N264" s="43"/>
      <c r="O264" s="43"/>
      <c r="P264" s="43"/>
      <c r="Q264" s="43"/>
      <c r="R264" s="43"/>
      <c r="S264" s="43"/>
      <c r="T264" s="49"/>
      <c r="U264" s="49"/>
      <c r="V264" s="49"/>
      <c r="W264" s="49"/>
      <c r="X264" s="49"/>
      <c r="Y264" s="49"/>
      <c r="Z264" s="49"/>
      <c r="AA264" s="49"/>
      <c r="AB264" s="49"/>
      <c r="AC264" s="49"/>
      <c r="AD264" s="49"/>
      <c r="AE264" s="49"/>
    </row>
    <row r="265" spans="1:31">
      <c r="A265" s="43"/>
      <c r="B265" s="43"/>
      <c r="C265" s="43"/>
      <c r="D265" s="43"/>
      <c r="E265" s="43"/>
      <c r="F265" s="43"/>
      <c r="G265" s="43"/>
      <c r="H265" s="43"/>
      <c r="I265" s="43"/>
      <c r="J265" s="43"/>
      <c r="K265" s="43"/>
      <c r="L265" s="43"/>
      <c r="M265" s="43"/>
      <c r="N265" s="43"/>
      <c r="O265" s="43"/>
      <c r="P265" s="43"/>
      <c r="Q265" s="43"/>
      <c r="R265" s="43"/>
      <c r="S265" s="43"/>
      <c r="T265" s="49"/>
      <c r="U265" s="49"/>
      <c r="V265" s="49"/>
      <c r="W265" s="49"/>
      <c r="X265" s="49"/>
      <c r="Y265" s="49"/>
      <c r="Z265" s="49"/>
      <c r="AA265" s="49"/>
      <c r="AB265" s="49"/>
      <c r="AC265" s="49"/>
      <c r="AD265" s="49"/>
      <c r="AE265" s="49"/>
    </row>
    <row r="266" spans="1:31">
      <c r="A266" s="43"/>
      <c r="B266" s="43"/>
      <c r="C266" s="43"/>
      <c r="D266" s="43"/>
      <c r="E266" s="43"/>
      <c r="F266" s="43"/>
      <c r="G266" s="43"/>
      <c r="H266" s="43"/>
      <c r="I266" s="43"/>
      <c r="J266" s="43"/>
      <c r="K266" s="43"/>
      <c r="L266" s="43"/>
      <c r="M266" s="43"/>
      <c r="N266" s="43"/>
      <c r="O266" s="43"/>
      <c r="P266" s="43"/>
      <c r="Q266" s="43"/>
      <c r="R266" s="43"/>
      <c r="S266" s="43"/>
      <c r="T266" s="49"/>
      <c r="U266" s="49"/>
      <c r="V266" s="49"/>
      <c r="W266" s="49"/>
      <c r="X266" s="49"/>
      <c r="Y266" s="49"/>
      <c r="Z266" s="49"/>
      <c r="AA266" s="49"/>
      <c r="AB266" s="49"/>
      <c r="AC266" s="49"/>
      <c r="AD266" s="49"/>
      <c r="AE266" s="49"/>
    </row>
    <row r="267" spans="1:31">
      <c r="A267" s="43"/>
      <c r="B267" s="43"/>
      <c r="C267" s="43"/>
      <c r="D267" s="43"/>
      <c r="E267" s="43"/>
      <c r="F267" s="43"/>
      <c r="G267" s="43"/>
      <c r="H267" s="43"/>
      <c r="I267" s="43"/>
      <c r="J267" s="43"/>
      <c r="K267" s="43"/>
      <c r="L267" s="43"/>
      <c r="M267" s="43"/>
      <c r="N267" s="43"/>
      <c r="O267" s="43"/>
      <c r="P267" s="43"/>
      <c r="Q267" s="43"/>
      <c r="R267" s="43"/>
      <c r="S267" s="43"/>
      <c r="T267" s="49"/>
      <c r="U267" s="49"/>
      <c r="V267" s="49"/>
      <c r="W267" s="49"/>
      <c r="X267" s="49"/>
      <c r="Y267" s="49"/>
      <c r="Z267" s="49"/>
      <c r="AA267" s="49"/>
      <c r="AB267" s="49"/>
      <c r="AC267" s="49"/>
      <c r="AD267" s="49"/>
      <c r="AE267" s="49"/>
    </row>
    <row r="268" spans="1:31">
      <c r="A268" s="43"/>
      <c r="B268" s="43"/>
      <c r="C268" s="43"/>
      <c r="D268" s="43"/>
      <c r="E268" s="43"/>
      <c r="F268" s="43"/>
      <c r="G268" s="43"/>
      <c r="H268" s="43"/>
      <c r="I268" s="43"/>
      <c r="J268" s="43"/>
      <c r="K268" s="43"/>
      <c r="L268" s="43"/>
      <c r="M268" s="43"/>
      <c r="N268" s="43"/>
      <c r="O268" s="43"/>
      <c r="P268" s="43"/>
      <c r="Q268" s="43"/>
      <c r="R268" s="43"/>
      <c r="S268" s="43"/>
      <c r="T268" s="49"/>
      <c r="U268" s="49"/>
      <c r="V268" s="49"/>
      <c r="W268" s="49"/>
      <c r="X268" s="49"/>
      <c r="Y268" s="49"/>
      <c r="Z268" s="49"/>
      <c r="AA268" s="49"/>
      <c r="AB268" s="49"/>
      <c r="AC268" s="49"/>
      <c r="AD268" s="49"/>
      <c r="AE268" s="49"/>
    </row>
    <row r="269" spans="1:31">
      <c r="A269" s="43"/>
      <c r="B269" s="43"/>
      <c r="C269" s="43"/>
      <c r="D269" s="43"/>
      <c r="E269" s="43"/>
      <c r="F269" s="43"/>
      <c r="G269" s="43"/>
      <c r="H269" s="43"/>
      <c r="I269" s="43"/>
      <c r="J269" s="43"/>
      <c r="K269" s="43"/>
      <c r="L269" s="43"/>
      <c r="M269" s="43"/>
      <c r="N269" s="43"/>
      <c r="O269" s="43"/>
      <c r="P269" s="43"/>
      <c r="Q269" s="43"/>
      <c r="R269" s="43"/>
      <c r="S269" s="43"/>
      <c r="T269" s="49"/>
      <c r="U269" s="49"/>
      <c r="V269" s="49"/>
      <c r="W269" s="49"/>
      <c r="X269" s="49"/>
      <c r="Y269" s="49"/>
      <c r="Z269" s="49"/>
      <c r="AA269" s="49"/>
      <c r="AB269" s="49"/>
      <c r="AC269" s="49"/>
      <c r="AD269" s="49"/>
      <c r="AE269" s="49"/>
    </row>
    <row r="270" spans="1:31">
      <c r="A270" s="43"/>
      <c r="B270" s="43"/>
      <c r="C270" s="43"/>
      <c r="D270" s="43"/>
      <c r="E270" s="43"/>
      <c r="F270" s="43"/>
      <c r="G270" s="43"/>
      <c r="H270" s="43"/>
      <c r="I270" s="43"/>
      <c r="J270" s="43"/>
      <c r="K270" s="43"/>
      <c r="L270" s="43"/>
      <c r="M270" s="43"/>
      <c r="N270" s="43"/>
      <c r="O270" s="43"/>
      <c r="P270" s="43"/>
      <c r="Q270" s="43"/>
      <c r="R270" s="43"/>
      <c r="S270" s="43"/>
      <c r="T270" s="49"/>
      <c r="U270" s="49"/>
      <c r="V270" s="49"/>
      <c r="W270" s="49"/>
      <c r="X270" s="49"/>
      <c r="Y270" s="49"/>
      <c r="Z270" s="49"/>
      <c r="AA270" s="49"/>
      <c r="AB270" s="49"/>
      <c r="AC270" s="49"/>
      <c r="AD270" s="49"/>
      <c r="AE270" s="49"/>
    </row>
    <row r="271" spans="1:31">
      <c r="A271" s="43"/>
      <c r="B271" s="43"/>
      <c r="C271" s="43"/>
      <c r="D271" s="43"/>
      <c r="E271" s="43"/>
      <c r="F271" s="43"/>
      <c r="G271" s="43"/>
      <c r="H271" s="43"/>
      <c r="I271" s="43"/>
      <c r="J271" s="43"/>
      <c r="K271" s="43"/>
      <c r="L271" s="43"/>
      <c r="M271" s="43"/>
      <c r="N271" s="43"/>
      <c r="O271" s="43"/>
      <c r="P271" s="43"/>
      <c r="Q271" s="43"/>
      <c r="R271" s="43"/>
      <c r="S271" s="43"/>
      <c r="T271" s="49"/>
      <c r="U271" s="49"/>
      <c r="V271" s="49"/>
      <c r="W271" s="49"/>
      <c r="X271" s="49"/>
      <c r="Y271" s="49"/>
      <c r="Z271" s="49"/>
      <c r="AA271" s="49"/>
      <c r="AB271" s="49"/>
      <c r="AC271" s="49"/>
      <c r="AD271" s="49"/>
      <c r="AE271" s="49"/>
    </row>
    <row r="272" spans="1:31">
      <c r="A272" s="43"/>
      <c r="B272" s="43"/>
      <c r="C272" s="43"/>
      <c r="D272" s="43"/>
      <c r="E272" s="43"/>
      <c r="F272" s="43"/>
      <c r="G272" s="43"/>
      <c r="H272" s="43"/>
      <c r="I272" s="43"/>
      <c r="J272" s="43"/>
      <c r="K272" s="43"/>
      <c r="L272" s="43"/>
      <c r="M272" s="43"/>
      <c r="N272" s="43"/>
      <c r="O272" s="43"/>
      <c r="P272" s="43"/>
      <c r="Q272" s="43"/>
      <c r="R272" s="43"/>
      <c r="S272" s="43"/>
      <c r="T272" s="49"/>
      <c r="U272" s="49"/>
      <c r="V272" s="49"/>
      <c r="W272" s="49"/>
      <c r="X272" s="49"/>
      <c r="Y272" s="49"/>
      <c r="Z272" s="49"/>
      <c r="AA272" s="49"/>
      <c r="AB272" s="49"/>
      <c r="AC272" s="49"/>
      <c r="AD272" s="49"/>
      <c r="AE272" s="49"/>
    </row>
    <row r="273" spans="1:31">
      <c r="A273" s="43"/>
      <c r="B273" s="43"/>
      <c r="C273" s="43"/>
      <c r="D273" s="43"/>
      <c r="E273" s="43"/>
      <c r="F273" s="43"/>
      <c r="G273" s="43"/>
      <c r="H273" s="43"/>
      <c r="I273" s="43"/>
      <c r="J273" s="43"/>
      <c r="K273" s="43"/>
      <c r="L273" s="43"/>
      <c r="M273" s="43"/>
      <c r="N273" s="43"/>
      <c r="O273" s="43"/>
      <c r="P273" s="43"/>
      <c r="Q273" s="43"/>
      <c r="R273" s="43"/>
      <c r="S273" s="43"/>
      <c r="T273" s="49"/>
      <c r="U273" s="49"/>
      <c r="V273" s="49"/>
      <c r="W273" s="49"/>
      <c r="X273" s="49"/>
      <c r="Y273" s="49"/>
      <c r="Z273" s="49"/>
      <c r="AA273" s="49"/>
      <c r="AB273" s="49"/>
      <c r="AC273" s="49"/>
      <c r="AD273" s="49"/>
      <c r="AE273" s="49"/>
    </row>
    <row r="274" spans="1:31">
      <c r="A274" s="43"/>
      <c r="B274" s="43"/>
      <c r="C274" s="43"/>
      <c r="D274" s="43"/>
      <c r="E274" s="43"/>
      <c r="F274" s="43"/>
      <c r="G274" s="43"/>
      <c r="H274" s="43"/>
      <c r="I274" s="43"/>
      <c r="J274" s="43"/>
      <c r="K274" s="43"/>
      <c r="L274" s="43"/>
      <c r="M274" s="43"/>
      <c r="N274" s="43"/>
      <c r="O274" s="43"/>
      <c r="P274" s="43"/>
      <c r="Q274" s="43"/>
      <c r="R274" s="43"/>
      <c r="S274" s="43"/>
      <c r="T274" s="49"/>
      <c r="U274" s="49"/>
      <c r="V274" s="49"/>
      <c r="W274" s="49"/>
      <c r="X274" s="49"/>
      <c r="Y274" s="49"/>
      <c r="Z274" s="49"/>
      <c r="AA274" s="49"/>
      <c r="AB274" s="49"/>
      <c r="AC274" s="49"/>
      <c r="AD274" s="49"/>
      <c r="AE274" s="49"/>
    </row>
    <row r="275" spans="1:31">
      <c r="A275" s="43"/>
      <c r="B275" s="43"/>
      <c r="C275" s="43"/>
      <c r="D275" s="43"/>
      <c r="E275" s="43"/>
      <c r="F275" s="43"/>
      <c r="G275" s="43"/>
      <c r="H275" s="43"/>
      <c r="I275" s="43"/>
      <c r="J275" s="43"/>
      <c r="K275" s="43"/>
      <c r="L275" s="43"/>
      <c r="M275" s="43"/>
      <c r="N275" s="43"/>
      <c r="O275" s="43"/>
      <c r="P275" s="43"/>
      <c r="Q275" s="43"/>
      <c r="R275" s="43"/>
      <c r="S275" s="43"/>
      <c r="T275" s="49"/>
      <c r="U275" s="49"/>
      <c r="V275" s="49"/>
      <c r="W275" s="49"/>
      <c r="X275" s="49"/>
      <c r="Y275" s="49"/>
      <c r="Z275" s="49"/>
      <c r="AA275" s="49"/>
      <c r="AB275" s="49"/>
      <c r="AC275" s="49"/>
      <c r="AD275" s="49"/>
      <c r="AE275" s="49"/>
    </row>
    <row r="276" spans="1:31">
      <c r="A276" s="43"/>
      <c r="B276" s="43"/>
      <c r="C276" s="43"/>
      <c r="D276" s="43"/>
      <c r="E276" s="43"/>
      <c r="F276" s="43"/>
      <c r="G276" s="43"/>
      <c r="H276" s="43"/>
      <c r="I276" s="43"/>
      <c r="J276" s="43"/>
      <c r="K276" s="43"/>
      <c r="L276" s="43"/>
      <c r="M276" s="43"/>
      <c r="N276" s="43"/>
      <c r="O276" s="43"/>
      <c r="P276" s="43"/>
      <c r="Q276" s="43"/>
      <c r="R276" s="43"/>
      <c r="S276" s="43"/>
      <c r="T276" s="49"/>
      <c r="U276" s="49"/>
      <c r="V276" s="49"/>
      <c r="W276" s="49"/>
      <c r="X276" s="49"/>
      <c r="Y276" s="49"/>
      <c r="Z276" s="49"/>
      <c r="AA276" s="49"/>
      <c r="AB276" s="49"/>
      <c r="AC276" s="49"/>
      <c r="AD276" s="49"/>
      <c r="AE276" s="49"/>
    </row>
    <row r="277" spans="1:31">
      <c r="A277" s="43"/>
      <c r="B277" s="43"/>
      <c r="C277" s="43"/>
      <c r="D277" s="43"/>
      <c r="E277" s="43"/>
      <c r="F277" s="43"/>
      <c r="G277" s="43"/>
      <c r="H277" s="43"/>
      <c r="I277" s="43"/>
      <c r="J277" s="43"/>
      <c r="K277" s="43"/>
      <c r="L277" s="43"/>
      <c r="M277" s="43"/>
      <c r="N277" s="43"/>
      <c r="O277" s="43"/>
      <c r="P277" s="43"/>
      <c r="Q277" s="43"/>
      <c r="R277" s="43"/>
      <c r="S277" s="43"/>
      <c r="T277" s="49"/>
      <c r="U277" s="49"/>
      <c r="V277" s="49"/>
      <c r="W277" s="49"/>
      <c r="X277" s="49"/>
      <c r="Y277" s="49"/>
      <c r="Z277" s="49"/>
      <c r="AA277" s="49"/>
      <c r="AB277" s="49"/>
      <c r="AC277" s="49"/>
      <c r="AD277" s="49"/>
      <c r="AE277" s="49"/>
    </row>
    <row r="278" spans="1:31">
      <c r="A278" s="43"/>
      <c r="B278" s="43"/>
      <c r="C278" s="43"/>
      <c r="D278" s="43"/>
      <c r="E278" s="43"/>
      <c r="F278" s="43"/>
      <c r="G278" s="43"/>
      <c r="H278" s="43"/>
      <c r="I278" s="43"/>
      <c r="J278" s="43"/>
      <c r="K278" s="43"/>
      <c r="L278" s="43"/>
      <c r="M278" s="43"/>
      <c r="N278" s="43"/>
      <c r="O278" s="43"/>
      <c r="P278" s="43"/>
      <c r="Q278" s="43"/>
      <c r="R278" s="43"/>
      <c r="S278" s="43"/>
      <c r="T278" s="49"/>
      <c r="U278" s="49"/>
      <c r="V278" s="49"/>
      <c r="W278" s="49"/>
      <c r="X278" s="49"/>
      <c r="Y278" s="49"/>
      <c r="Z278" s="49"/>
      <c r="AA278" s="49"/>
      <c r="AB278" s="49"/>
      <c r="AC278" s="49"/>
      <c r="AD278" s="49"/>
      <c r="AE278" s="49"/>
    </row>
    <row r="279" spans="1:31">
      <c r="A279" s="43"/>
      <c r="B279" s="43"/>
      <c r="C279" s="43"/>
      <c r="D279" s="43"/>
      <c r="E279" s="43"/>
      <c r="F279" s="43"/>
      <c r="G279" s="43"/>
      <c r="H279" s="43"/>
      <c r="I279" s="43"/>
      <c r="J279" s="43"/>
      <c r="K279" s="43"/>
      <c r="L279" s="43"/>
      <c r="M279" s="43"/>
      <c r="N279" s="43"/>
      <c r="O279" s="43"/>
      <c r="P279" s="43"/>
      <c r="Q279" s="43"/>
      <c r="R279" s="43"/>
      <c r="S279" s="43"/>
      <c r="T279" s="49"/>
      <c r="U279" s="49"/>
      <c r="V279" s="49"/>
      <c r="W279" s="49"/>
      <c r="X279" s="49"/>
      <c r="Y279" s="49"/>
      <c r="Z279" s="49"/>
      <c r="AA279" s="49"/>
      <c r="AB279" s="49"/>
      <c r="AC279" s="49"/>
      <c r="AD279" s="49"/>
      <c r="AE279" s="49"/>
    </row>
    <row r="280" spans="1:31">
      <c r="A280" s="43"/>
      <c r="B280" s="43"/>
      <c r="C280" s="43"/>
      <c r="D280" s="43"/>
      <c r="E280" s="43"/>
      <c r="F280" s="43"/>
      <c r="G280" s="43"/>
      <c r="H280" s="43"/>
      <c r="I280" s="43"/>
      <c r="J280" s="43"/>
      <c r="K280" s="43"/>
      <c r="L280" s="43"/>
      <c r="M280" s="43"/>
      <c r="N280" s="43"/>
      <c r="O280" s="43"/>
      <c r="P280" s="43"/>
      <c r="Q280" s="43"/>
      <c r="R280" s="43"/>
      <c r="S280" s="43"/>
      <c r="T280" s="49"/>
      <c r="U280" s="49"/>
      <c r="V280" s="49"/>
      <c r="W280" s="49"/>
      <c r="X280" s="49"/>
      <c r="Y280" s="49"/>
      <c r="Z280" s="49"/>
      <c r="AA280" s="49"/>
      <c r="AB280" s="49"/>
      <c r="AC280" s="49"/>
      <c r="AD280" s="49"/>
      <c r="AE280" s="49"/>
    </row>
    <row r="281" spans="1:31">
      <c r="A281" s="43"/>
      <c r="B281" s="43"/>
      <c r="C281" s="43"/>
      <c r="D281" s="43"/>
      <c r="E281" s="43"/>
      <c r="F281" s="43"/>
      <c r="G281" s="43"/>
      <c r="H281" s="43"/>
      <c r="I281" s="43"/>
      <c r="J281" s="43"/>
      <c r="K281" s="43"/>
      <c r="L281" s="43"/>
      <c r="M281" s="43"/>
      <c r="N281" s="43"/>
      <c r="O281" s="43"/>
      <c r="P281" s="43"/>
      <c r="Q281" s="43"/>
      <c r="R281" s="43"/>
      <c r="S281" s="43"/>
      <c r="T281" s="49"/>
      <c r="U281" s="49"/>
      <c r="V281" s="49"/>
      <c r="W281" s="49"/>
      <c r="X281" s="49"/>
      <c r="Y281" s="49"/>
      <c r="Z281" s="49"/>
      <c r="AA281" s="49"/>
      <c r="AB281" s="49"/>
      <c r="AC281" s="49"/>
      <c r="AD281" s="49"/>
      <c r="AE281" s="49"/>
    </row>
    <row r="282" spans="1:31">
      <c r="A282" s="43"/>
      <c r="B282" s="43"/>
      <c r="C282" s="43"/>
      <c r="D282" s="43"/>
      <c r="E282" s="43"/>
      <c r="F282" s="43"/>
      <c r="G282" s="43"/>
      <c r="H282" s="43"/>
      <c r="I282" s="43"/>
      <c r="J282" s="43"/>
      <c r="K282" s="43"/>
      <c r="L282" s="43"/>
      <c r="M282" s="43"/>
      <c r="N282" s="43"/>
      <c r="O282" s="43"/>
      <c r="P282" s="43"/>
      <c r="Q282" s="43"/>
      <c r="R282" s="43"/>
      <c r="S282" s="43"/>
      <c r="T282" s="49"/>
      <c r="U282" s="49"/>
      <c r="V282" s="49"/>
      <c r="W282" s="49"/>
      <c r="X282" s="49"/>
      <c r="Y282" s="49"/>
      <c r="Z282" s="49"/>
      <c r="AA282" s="49"/>
      <c r="AB282" s="49"/>
      <c r="AC282" s="49"/>
      <c r="AD282" s="49"/>
      <c r="AE282" s="49"/>
    </row>
    <row r="283" spans="1:31">
      <c r="A283" s="43"/>
      <c r="B283" s="43"/>
      <c r="C283" s="43"/>
      <c r="D283" s="43"/>
      <c r="E283" s="43"/>
      <c r="F283" s="43"/>
      <c r="G283" s="43"/>
      <c r="H283" s="43"/>
      <c r="I283" s="43"/>
      <c r="J283" s="43"/>
      <c r="K283" s="43"/>
      <c r="L283" s="43"/>
      <c r="M283" s="43"/>
      <c r="N283" s="43"/>
      <c r="O283" s="43"/>
      <c r="P283" s="43"/>
      <c r="Q283" s="43"/>
      <c r="R283" s="43"/>
      <c r="S283" s="43"/>
      <c r="T283" s="49"/>
      <c r="U283" s="49"/>
      <c r="V283" s="49"/>
      <c r="W283" s="49"/>
      <c r="X283" s="49"/>
      <c r="Y283" s="49"/>
      <c r="Z283" s="49"/>
      <c r="AA283" s="49"/>
      <c r="AB283" s="49"/>
      <c r="AC283" s="49"/>
      <c r="AD283" s="49"/>
      <c r="AE283" s="49"/>
    </row>
    <row r="284" spans="1:31">
      <c r="A284" s="43"/>
      <c r="B284" s="43"/>
      <c r="C284" s="43"/>
      <c r="D284" s="43"/>
      <c r="E284" s="43"/>
      <c r="F284" s="43"/>
      <c r="G284" s="43"/>
      <c r="H284" s="43"/>
      <c r="I284" s="43"/>
      <c r="J284" s="43"/>
      <c r="K284" s="43"/>
      <c r="L284" s="43"/>
      <c r="M284" s="43"/>
      <c r="N284" s="43"/>
      <c r="O284" s="43"/>
      <c r="P284" s="43"/>
      <c r="Q284" s="43"/>
      <c r="R284" s="43"/>
      <c r="S284" s="43"/>
      <c r="T284" s="49"/>
      <c r="U284" s="49"/>
      <c r="V284" s="49"/>
      <c r="W284" s="49"/>
      <c r="X284" s="49"/>
      <c r="Y284" s="49"/>
      <c r="Z284" s="49"/>
      <c r="AA284" s="49"/>
      <c r="AB284" s="49"/>
      <c r="AC284" s="49"/>
      <c r="AD284" s="49"/>
      <c r="AE284" s="49"/>
    </row>
    <row r="285" spans="1:31">
      <c r="A285" s="43"/>
      <c r="B285" s="43"/>
      <c r="C285" s="43"/>
      <c r="D285" s="43"/>
      <c r="E285" s="43"/>
      <c r="F285" s="43"/>
      <c r="G285" s="43"/>
      <c r="H285" s="43"/>
      <c r="I285" s="43"/>
      <c r="J285" s="43"/>
      <c r="K285" s="43"/>
      <c r="L285" s="43"/>
      <c r="M285" s="43"/>
      <c r="N285" s="43"/>
      <c r="O285" s="43"/>
      <c r="P285" s="43"/>
      <c r="Q285" s="43"/>
      <c r="R285" s="43"/>
      <c r="S285" s="43"/>
      <c r="T285" s="49"/>
      <c r="U285" s="49"/>
      <c r="V285" s="49"/>
      <c r="W285" s="49"/>
      <c r="X285" s="49"/>
      <c r="Y285" s="49"/>
      <c r="Z285" s="49"/>
      <c r="AA285" s="49"/>
      <c r="AB285" s="49"/>
      <c r="AC285" s="49"/>
      <c r="AD285" s="49"/>
      <c r="AE285" s="49"/>
    </row>
    <row r="286" spans="1:31">
      <c r="A286" s="43"/>
      <c r="B286" s="43"/>
      <c r="C286" s="43"/>
      <c r="D286" s="43"/>
      <c r="E286" s="43"/>
      <c r="F286" s="43"/>
      <c r="G286" s="43"/>
      <c r="H286" s="43"/>
      <c r="I286" s="43"/>
      <c r="J286" s="43"/>
      <c r="K286" s="43"/>
      <c r="L286" s="43"/>
      <c r="M286" s="43"/>
      <c r="N286" s="43"/>
      <c r="O286" s="43"/>
      <c r="P286" s="43"/>
      <c r="Q286" s="43"/>
      <c r="R286" s="43"/>
      <c r="S286" s="43"/>
      <c r="T286" s="49"/>
      <c r="U286" s="49"/>
      <c r="V286" s="49"/>
      <c r="W286" s="49"/>
      <c r="X286" s="49"/>
      <c r="Y286" s="49"/>
      <c r="Z286" s="49"/>
      <c r="AA286" s="49"/>
      <c r="AB286" s="49"/>
      <c r="AC286" s="49"/>
      <c r="AD286" s="49"/>
      <c r="AE286" s="49"/>
    </row>
    <row r="287" spans="1:31">
      <c r="A287" s="43"/>
      <c r="B287" s="43"/>
      <c r="C287" s="43"/>
      <c r="D287" s="43"/>
      <c r="E287" s="43"/>
      <c r="F287" s="43"/>
      <c r="G287" s="43"/>
      <c r="H287" s="43"/>
      <c r="I287" s="43"/>
      <c r="J287" s="43"/>
      <c r="K287" s="43"/>
      <c r="L287" s="43"/>
      <c r="M287" s="43"/>
      <c r="N287" s="43"/>
      <c r="O287" s="43"/>
      <c r="P287" s="43"/>
      <c r="Q287" s="43"/>
      <c r="R287" s="43"/>
      <c r="S287" s="43"/>
      <c r="T287" s="49"/>
      <c r="U287" s="49"/>
      <c r="V287" s="49"/>
      <c r="W287" s="49"/>
      <c r="X287" s="49"/>
      <c r="Y287" s="49"/>
      <c r="Z287" s="49"/>
      <c r="AA287" s="49"/>
      <c r="AB287" s="49"/>
      <c r="AC287" s="49"/>
      <c r="AD287" s="49"/>
      <c r="AE287" s="49"/>
    </row>
    <row r="288" spans="1:31">
      <c r="A288" s="43"/>
      <c r="B288" s="43"/>
      <c r="C288" s="43"/>
      <c r="D288" s="43"/>
      <c r="E288" s="43"/>
      <c r="F288" s="43"/>
      <c r="G288" s="43"/>
      <c r="H288" s="43"/>
      <c r="I288" s="43"/>
      <c r="J288" s="43"/>
      <c r="K288" s="43"/>
      <c r="L288" s="43"/>
      <c r="M288" s="43"/>
      <c r="N288" s="43"/>
      <c r="O288" s="43"/>
      <c r="P288" s="43"/>
      <c r="Q288" s="43"/>
      <c r="R288" s="43"/>
      <c r="S288" s="43"/>
      <c r="T288" s="49"/>
      <c r="U288" s="49"/>
      <c r="V288" s="49"/>
      <c r="W288" s="49"/>
      <c r="X288" s="49"/>
      <c r="Y288" s="49"/>
      <c r="Z288" s="49"/>
      <c r="AA288" s="49"/>
      <c r="AB288" s="49"/>
      <c r="AC288" s="49"/>
      <c r="AD288" s="49"/>
      <c r="AE288" s="49"/>
    </row>
    <row r="289" spans="1:31">
      <c r="A289" s="43"/>
      <c r="B289" s="43"/>
      <c r="C289" s="43"/>
      <c r="D289" s="43"/>
      <c r="E289" s="43"/>
      <c r="F289" s="43"/>
      <c r="G289" s="43"/>
      <c r="H289" s="43"/>
      <c r="I289" s="43"/>
      <c r="J289" s="43"/>
      <c r="K289" s="43"/>
      <c r="L289" s="43"/>
      <c r="M289" s="43"/>
      <c r="N289" s="43"/>
      <c r="O289" s="43"/>
      <c r="P289" s="43"/>
      <c r="Q289" s="43"/>
      <c r="R289" s="43"/>
      <c r="S289" s="43"/>
      <c r="T289" s="49"/>
      <c r="U289" s="49"/>
      <c r="V289" s="49"/>
      <c r="W289" s="49"/>
      <c r="X289" s="49"/>
      <c r="Y289" s="49"/>
      <c r="Z289" s="49"/>
      <c r="AA289" s="49"/>
      <c r="AB289" s="49"/>
      <c r="AC289" s="49"/>
      <c r="AD289" s="49"/>
      <c r="AE289" s="49"/>
    </row>
    <row r="290" spans="1:31">
      <c r="A290" s="43"/>
      <c r="B290" s="43"/>
      <c r="C290" s="43"/>
      <c r="D290" s="43"/>
      <c r="E290" s="43"/>
      <c r="F290" s="43"/>
      <c r="G290" s="43"/>
      <c r="H290" s="43"/>
      <c r="I290" s="43"/>
      <c r="J290" s="43"/>
      <c r="K290" s="43"/>
      <c r="L290" s="43"/>
      <c r="M290" s="43"/>
      <c r="N290" s="43"/>
      <c r="O290" s="43"/>
      <c r="P290" s="43"/>
      <c r="Q290" s="43"/>
      <c r="R290" s="43"/>
      <c r="S290" s="43"/>
      <c r="T290" s="49"/>
      <c r="U290" s="49"/>
      <c r="V290" s="49"/>
      <c r="W290" s="49"/>
      <c r="X290" s="49"/>
      <c r="Y290" s="49"/>
      <c r="Z290" s="49"/>
      <c r="AA290" s="49"/>
      <c r="AB290" s="49"/>
      <c r="AC290" s="49"/>
      <c r="AD290" s="49"/>
      <c r="AE290" s="49"/>
    </row>
    <row r="291" spans="1:31">
      <c r="A291" s="43"/>
      <c r="B291" s="43"/>
      <c r="C291" s="43"/>
      <c r="D291" s="43"/>
      <c r="E291" s="43"/>
      <c r="F291" s="43"/>
      <c r="G291" s="43"/>
      <c r="H291" s="43"/>
      <c r="I291" s="43"/>
      <c r="J291" s="43"/>
      <c r="K291" s="43"/>
      <c r="L291" s="43"/>
      <c r="M291" s="43"/>
      <c r="N291" s="43"/>
      <c r="O291" s="43"/>
      <c r="P291" s="43"/>
      <c r="Q291" s="43"/>
      <c r="R291" s="43"/>
      <c r="S291" s="43"/>
      <c r="T291" s="49"/>
      <c r="U291" s="49"/>
      <c r="V291" s="49"/>
      <c r="W291" s="49"/>
      <c r="X291" s="49"/>
      <c r="Y291" s="49"/>
      <c r="Z291" s="49"/>
      <c r="AA291" s="49"/>
      <c r="AB291" s="49"/>
      <c r="AC291" s="49"/>
      <c r="AD291" s="49"/>
      <c r="AE291" s="49"/>
    </row>
    <row r="292" spans="1:31">
      <c r="A292" s="43"/>
      <c r="B292" s="43"/>
      <c r="C292" s="43"/>
      <c r="D292" s="43"/>
      <c r="E292" s="43"/>
      <c r="F292" s="43"/>
      <c r="G292" s="43"/>
      <c r="H292" s="43"/>
      <c r="I292" s="43"/>
      <c r="J292" s="43"/>
      <c r="K292" s="43"/>
      <c r="L292" s="43"/>
      <c r="M292" s="43"/>
      <c r="N292" s="43"/>
      <c r="O292" s="43"/>
      <c r="P292" s="43"/>
      <c r="Q292" s="43"/>
      <c r="R292" s="43"/>
      <c r="S292" s="43"/>
      <c r="T292" s="49"/>
      <c r="U292" s="49"/>
      <c r="V292" s="49"/>
      <c r="W292" s="49"/>
      <c r="X292" s="49"/>
      <c r="Y292" s="49"/>
      <c r="Z292" s="49"/>
      <c r="AA292" s="49"/>
      <c r="AB292" s="49"/>
      <c r="AC292" s="49"/>
      <c r="AD292" s="49"/>
      <c r="AE292" s="49"/>
    </row>
    <row r="293" spans="1:31">
      <c r="A293" s="43"/>
      <c r="B293" s="43"/>
      <c r="C293" s="43"/>
      <c r="D293" s="43"/>
      <c r="E293" s="43"/>
      <c r="F293" s="43"/>
      <c r="G293" s="43"/>
      <c r="H293" s="43"/>
      <c r="I293" s="43"/>
      <c r="J293" s="43"/>
      <c r="K293" s="43"/>
      <c r="L293" s="43"/>
      <c r="M293" s="43"/>
      <c r="N293" s="43"/>
      <c r="O293" s="43"/>
      <c r="P293" s="43"/>
      <c r="Q293" s="43"/>
      <c r="R293" s="43"/>
      <c r="S293" s="43"/>
      <c r="T293" s="49"/>
      <c r="U293" s="49"/>
      <c r="V293" s="49"/>
      <c r="W293" s="49"/>
      <c r="X293" s="49"/>
      <c r="Y293" s="49"/>
      <c r="Z293" s="49"/>
      <c r="AA293" s="49"/>
      <c r="AB293" s="49"/>
      <c r="AC293" s="49"/>
      <c r="AD293" s="49"/>
      <c r="AE293" s="49"/>
    </row>
    <row r="294" spans="1:31">
      <c r="A294" s="43"/>
      <c r="B294" s="43"/>
      <c r="C294" s="43"/>
      <c r="D294" s="43"/>
      <c r="E294" s="43"/>
      <c r="F294" s="43"/>
      <c r="G294" s="43"/>
      <c r="H294" s="43"/>
      <c r="I294" s="43"/>
      <c r="J294" s="43"/>
      <c r="K294" s="43"/>
      <c r="L294" s="43"/>
      <c r="M294" s="43"/>
      <c r="N294" s="43"/>
      <c r="O294" s="43"/>
      <c r="P294" s="43"/>
      <c r="Q294" s="43"/>
      <c r="R294" s="43"/>
      <c r="S294" s="43"/>
      <c r="T294" s="49"/>
      <c r="U294" s="49"/>
      <c r="V294" s="49"/>
      <c r="W294" s="49"/>
      <c r="X294" s="49"/>
      <c r="Y294" s="49"/>
      <c r="Z294" s="49"/>
      <c r="AA294" s="49"/>
      <c r="AB294" s="49"/>
      <c r="AC294" s="49"/>
      <c r="AD294" s="49"/>
      <c r="AE294" s="49"/>
    </row>
    <row r="295" spans="1:31">
      <c r="A295" s="43"/>
      <c r="B295" s="43"/>
      <c r="C295" s="43"/>
      <c r="D295" s="43"/>
      <c r="E295" s="43"/>
      <c r="F295" s="43"/>
      <c r="G295" s="43"/>
      <c r="H295" s="43"/>
      <c r="I295" s="43"/>
      <c r="J295" s="43"/>
      <c r="K295" s="43"/>
      <c r="L295" s="43"/>
      <c r="M295" s="43"/>
      <c r="N295" s="43"/>
      <c r="O295" s="43"/>
      <c r="P295" s="43"/>
      <c r="Q295" s="43"/>
      <c r="R295" s="43"/>
      <c r="S295" s="43"/>
      <c r="T295" s="49"/>
      <c r="U295" s="49"/>
      <c r="V295" s="49"/>
      <c r="W295" s="49"/>
      <c r="X295" s="49"/>
      <c r="Y295" s="49"/>
      <c r="Z295" s="49"/>
      <c r="AA295" s="49"/>
      <c r="AB295" s="49"/>
      <c r="AC295" s="49"/>
      <c r="AD295" s="49"/>
      <c r="AE295" s="49"/>
    </row>
    <row r="296" spans="1:31">
      <c r="A296" s="43"/>
      <c r="B296" s="43"/>
      <c r="C296" s="43"/>
      <c r="D296" s="43"/>
      <c r="E296" s="43"/>
      <c r="F296" s="43"/>
      <c r="G296" s="43"/>
      <c r="H296" s="43"/>
      <c r="I296" s="43"/>
      <c r="J296" s="43"/>
      <c r="K296" s="43"/>
      <c r="L296" s="43"/>
      <c r="M296" s="43"/>
      <c r="N296" s="43"/>
      <c r="O296" s="43"/>
      <c r="P296" s="43"/>
      <c r="Q296" s="43"/>
      <c r="R296" s="43"/>
      <c r="S296" s="43"/>
      <c r="T296" s="49"/>
      <c r="U296" s="49"/>
      <c r="V296" s="49"/>
      <c r="W296" s="49"/>
      <c r="X296" s="49"/>
      <c r="Y296" s="49"/>
      <c r="Z296" s="49"/>
      <c r="AA296" s="49"/>
      <c r="AB296" s="49"/>
      <c r="AC296" s="49"/>
      <c r="AD296" s="49"/>
      <c r="AE296" s="49"/>
    </row>
    <row r="297" spans="1:31">
      <c r="A297" s="43"/>
      <c r="B297" s="43"/>
      <c r="C297" s="43"/>
      <c r="D297" s="43"/>
      <c r="E297" s="43"/>
      <c r="F297" s="43"/>
      <c r="G297" s="43"/>
      <c r="H297" s="43"/>
      <c r="I297" s="43"/>
      <c r="J297" s="43"/>
      <c r="K297" s="43"/>
      <c r="L297" s="43"/>
      <c r="M297" s="43"/>
      <c r="N297" s="43"/>
      <c r="O297" s="43"/>
      <c r="P297" s="43"/>
      <c r="Q297" s="43"/>
      <c r="R297" s="43"/>
      <c r="S297" s="43"/>
      <c r="T297" s="49"/>
      <c r="U297" s="49"/>
      <c r="V297" s="49"/>
      <c r="W297" s="49"/>
      <c r="X297" s="49"/>
      <c r="Y297" s="49"/>
      <c r="Z297" s="49"/>
      <c r="AA297" s="49"/>
      <c r="AB297" s="49"/>
      <c r="AC297" s="49"/>
      <c r="AD297" s="49"/>
      <c r="AE297" s="49"/>
    </row>
    <row r="298" spans="1:31">
      <c r="A298" s="43"/>
      <c r="B298" s="43"/>
      <c r="C298" s="43"/>
      <c r="D298" s="43"/>
      <c r="E298" s="43"/>
      <c r="F298" s="43"/>
      <c r="G298" s="43"/>
      <c r="H298" s="43"/>
      <c r="I298" s="43"/>
      <c r="J298" s="43"/>
      <c r="K298" s="43"/>
      <c r="L298" s="43"/>
      <c r="M298" s="43"/>
      <c r="N298" s="43"/>
      <c r="O298" s="43"/>
      <c r="P298" s="43"/>
      <c r="Q298" s="43"/>
      <c r="R298" s="43"/>
      <c r="S298" s="43"/>
      <c r="T298" s="49"/>
      <c r="U298" s="49"/>
      <c r="V298" s="49"/>
      <c r="W298" s="49"/>
      <c r="X298" s="49"/>
      <c r="Y298" s="49"/>
      <c r="Z298" s="49"/>
      <c r="AA298" s="49"/>
      <c r="AB298" s="49"/>
      <c r="AC298" s="49"/>
      <c r="AD298" s="49"/>
      <c r="AE298" s="49"/>
    </row>
    <row r="299" spans="1:31">
      <c r="A299" s="43"/>
      <c r="B299" s="43"/>
      <c r="C299" s="43"/>
      <c r="D299" s="43"/>
      <c r="E299" s="43"/>
      <c r="F299" s="43"/>
      <c r="G299" s="43"/>
      <c r="H299" s="43"/>
      <c r="I299" s="43"/>
      <c r="J299" s="43"/>
      <c r="K299" s="43"/>
      <c r="L299" s="43"/>
      <c r="M299" s="43"/>
      <c r="N299" s="43"/>
      <c r="O299" s="43"/>
      <c r="P299" s="43"/>
      <c r="Q299" s="43"/>
      <c r="R299" s="43"/>
      <c r="S299" s="43"/>
      <c r="T299" s="49"/>
      <c r="U299" s="49"/>
      <c r="V299" s="49"/>
      <c r="W299" s="49"/>
      <c r="X299" s="49"/>
      <c r="Y299" s="49"/>
      <c r="Z299" s="49"/>
      <c r="AA299" s="49"/>
      <c r="AB299" s="49"/>
      <c r="AC299" s="49"/>
      <c r="AD299" s="49"/>
      <c r="AE299" s="49"/>
    </row>
    <row r="300" spans="1:31">
      <c r="A300" s="43"/>
      <c r="B300" s="43"/>
      <c r="C300" s="43"/>
      <c r="D300" s="43"/>
      <c r="E300" s="43"/>
      <c r="F300" s="43"/>
      <c r="G300" s="43"/>
      <c r="H300" s="43"/>
      <c r="I300" s="43"/>
      <c r="J300" s="43"/>
      <c r="K300" s="43"/>
      <c r="L300" s="43"/>
      <c r="M300" s="43"/>
      <c r="N300" s="43"/>
      <c r="O300" s="43"/>
      <c r="P300" s="43"/>
      <c r="Q300" s="43"/>
      <c r="R300" s="43"/>
      <c r="S300" s="43"/>
      <c r="T300" s="49"/>
      <c r="U300" s="49"/>
      <c r="V300" s="49"/>
      <c r="W300" s="49"/>
      <c r="X300" s="49"/>
      <c r="Y300" s="49"/>
      <c r="Z300" s="49"/>
      <c r="AA300" s="49"/>
      <c r="AB300" s="49"/>
      <c r="AC300" s="49"/>
      <c r="AD300" s="49"/>
      <c r="AE300" s="49"/>
    </row>
    <row r="301" spans="1:31">
      <c r="A301" s="43"/>
      <c r="B301" s="43"/>
      <c r="C301" s="43"/>
      <c r="D301" s="43"/>
      <c r="E301" s="43"/>
      <c r="F301" s="43"/>
      <c r="G301" s="43"/>
      <c r="H301" s="43"/>
      <c r="I301" s="43"/>
      <c r="J301" s="43"/>
      <c r="K301" s="43"/>
      <c r="L301" s="43"/>
      <c r="M301" s="43"/>
      <c r="N301" s="43"/>
      <c r="O301" s="43"/>
      <c r="P301" s="43"/>
      <c r="Q301" s="43"/>
      <c r="R301" s="43"/>
      <c r="S301" s="43"/>
      <c r="T301" s="49"/>
      <c r="U301" s="49"/>
      <c r="V301" s="49"/>
      <c r="W301" s="49"/>
      <c r="X301" s="49"/>
      <c r="Y301" s="49"/>
      <c r="Z301" s="49"/>
      <c r="AA301" s="49"/>
      <c r="AB301" s="49"/>
      <c r="AC301" s="49"/>
      <c r="AD301" s="49"/>
      <c r="AE301" s="49"/>
    </row>
    <row r="302" spans="1:31">
      <c r="A302" s="43"/>
      <c r="B302" s="43"/>
      <c r="C302" s="43"/>
      <c r="D302" s="43"/>
      <c r="E302" s="43"/>
      <c r="F302" s="43"/>
      <c r="G302" s="43"/>
      <c r="H302" s="43"/>
      <c r="I302" s="43"/>
      <c r="J302" s="43"/>
      <c r="K302" s="43"/>
      <c r="L302" s="43"/>
      <c r="M302" s="43"/>
      <c r="N302" s="43"/>
      <c r="O302" s="43"/>
      <c r="P302" s="43"/>
      <c r="Q302" s="43"/>
      <c r="R302" s="43"/>
      <c r="S302" s="43"/>
      <c r="T302" s="49"/>
      <c r="U302" s="49"/>
      <c r="V302" s="49"/>
      <c r="W302" s="49"/>
      <c r="X302" s="49"/>
      <c r="Y302" s="49"/>
      <c r="Z302" s="49"/>
      <c r="AA302" s="49"/>
      <c r="AB302" s="49"/>
      <c r="AC302" s="49"/>
      <c r="AD302" s="49"/>
      <c r="AE302" s="49"/>
    </row>
    <row r="303" spans="1:31">
      <c r="A303" s="43"/>
      <c r="B303" s="43"/>
      <c r="C303" s="43"/>
      <c r="D303" s="43"/>
      <c r="E303" s="43"/>
      <c r="F303" s="43"/>
      <c r="G303" s="43"/>
      <c r="H303" s="43"/>
      <c r="I303" s="43"/>
      <c r="J303" s="43"/>
      <c r="K303" s="43"/>
      <c r="L303" s="43"/>
      <c r="M303" s="43"/>
      <c r="N303" s="43"/>
      <c r="O303" s="43"/>
      <c r="P303" s="43"/>
      <c r="Q303" s="43"/>
      <c r="R303" s="43"/>
      <c r="S303" s="43"/>
      <c r="T303" s="49"/>
      <c r="U303" s="49"/>
      <c r="V303" s="49"/>
      <c r="W303" s="49"/>
      <c r="X303" s="49"/>
      <c r="Y303" s="49"/>
      <c r="Z303" s="49"/>
      <c r="AA303" s="49"/>
      <c r="AB303" s="49"/>
      <c r="AC303" s="49"/>
      <c r="AD303" s="49"/>
      <c r="AE303" s="49"/>
    </row>
    <row r="304" spans="1:31">
      <c r="A304" s="43"/>
      <c r="B304" s="43"/>
      <c r="C304" s="43"/>
      <c r="D304" s="43"/>
      <c r="E304" s="43"/>
      <c r="F304" s="43"/>
      <c r="G304" s="43"/>
      <c r="H304" s="43"/>
      <c r="I304" s="43"/>
      <c r="J304" s="43"/>
      <c r="K304" s="43"/>
      <c r="L304" s="43"/>
      <c r="M304" s="43"/>
      <c r="N304" s="43"/>
      <c r="O304" s="43"/>
      <c r="P304" s="43"/>
      <c r="Q304" s="43"/>
      <c r="R304" s="43"/>
      <c r="S304" s="43"/>
      <c r="T304" s="49"/>
      <c r="U304" s="49"/>
      <c r="V304" s="49"/>
      <c r="W304" s="49"/>
      <c r="X304" s="49"/>
      <c r="Y304" s="49"/>
      <c r="Z304" s="49"/>
      <c r="AA304" s="49"/>
      <c r="AB304" s="49"/>
      <c r="AC304" s="49"/>
      <c r="AD304" s="49"/>
      <c r="AE304" s="49"/>
    </row>
    <row r="305" spans="1:31">
      <c r="A305" s="43"/>
      <c r="B305" s="43"/>
      <c r="C305" s="43"/>
      <c r="D305" s="43"/>
      <c r="E305" s="43"/>
      <c r="F305" s="43"/>
      <c r="G305" s="43"/>
      <c r="H305" s="43"/>
      <c r="I305" s="43"/>
      <c r="J305" s="43"/>
      <c r="K305" s="43"/>
      <c r="L305" s="43"/>
      <c r="M305" s="43"/>
      <c r="N305" s="43"/>
      <c r="O305" s="43"/>
      <c r="P305" s="43"/>
      <c r="Q305" s="43"/>
      <c r="R305" s="43"/>
      <c r="S305" s="43"/>
      <c r="T305" s="49"/>
      <c r="U305" s="49"/>
      <c r="V305" s="49"/>
      <c r="W305" s="49"/>
      <c r="X305" s="49"/>
      <c r="Y305" s="49"/>
      <c r="Z305" s="49"/>
      <c r="AA305" s="49"/>
      <c r="AB305" s="49"/>
      <c r="AC305" s="49"/>
      <c r="AD305" s="49"/>
      <c r="AE305" s="49"/>
    </row>
    <row r="306" spans="1:31">
      <c r="A306" s="43"/>
      <c r="B306" s="43"/>
      <c r="C306" s="43"/>
      <c r="D306" s="43"/>
      <c r="E306" s="43"/>
      <c r="F306" s="43"/>
      <c r="G306" s="43"/>
      <c r="H306" s="43"/>
      <c r="I306" s="43"/>
      <c r="J306" s="43"/>
      <c r="K306" s="43"/>
      <c r="L306" s="43"/>
      <c r="M306" s="43"/>
      <c r="N306" s="43"/>
      <c r="O306" s="43"/>
      <c r="P306" s="43"/>
      <c r="Q306" s="43"/>
      <c r="R306" s="43"/>
      <c r="S306" s="43"/>
      <c r="T306" s="49"/>
      <c r="U306" s="49"/>
      <c r="V306" s="49"/>
      <c r="W306" s="49"/>
      <c r="X306" s="49"/>
      <c r="Y306" s="49"/>
      <c r="Z306" s="49"/>
      <c r="AA306" s="49"/>
      <c r="AB306" s="49"/>
      <c r="AC306" s="49"/>
      <c r="AD306" s="49"/>
      <c r="AE306" s="49"/>
    </row>
    <row r="307" spans="1:31">
      <c r="A307" s="43"/>
      <c r="B307" s="43"/>
      <c r="C307" s="43"/>
      <c r="D307" s="43"/>
      <c r="E307" s="43"/>
      <c r="F307" s="43"/>
      <c r="G307" s="43"/>
      <c r="H307" s="43"/>
      <c r="I307" s="43"/>
      <c r="J307" s="43"/>
      <c r="K307" s="43"/>
      <c r="L307" s="43"/>
      <c r="M307" s="43"/>
      <c r="N307" s="43"/>
      <c r="O307" s="43"/>
      <c r="P307" s="43"/>
      <c r="Q307" s="43"/>
      <c r="R307" s="43"/>
      <c r="S307" s="43"/>
      <c r="T307" s="49"/>
      <c r="U307" s="49"/>
      <c r="V307" s="49"/>
      <c r="W307" s="49"/>
      <c r="X307" s="49"/>
      <c r="Y307" s="49"/>
      <c r="Z307" s="49"/>
      <c r="AA307" s="49"/>
      <c r="AB307" s="49"/>
      <c r="AC307" s="49"/>
      <c r="AD307" s="49"/>
      <c r="AE307" s="49"/>
    </row>
    <row r="308" spans="1:31">
      <c r="A308" s="43"/>
      <c r="B308" s="43"/>
      <c r="C308" s="43"/>
      <c r="D308" s="43"/>
      <c r="E308" s="43"/>
      <c r="F308" s="43"/>
      <c r="G308" s="43"/>
      <c r="H308" s="43"/>
      <c r="I308" s="43"/>
      <c r="J308" s="43"/>
      <c r="K308" s="43"/>
      <c r="L308" s="43"/>
      <c r="M308" s="43"/>
      <c r="N308" s="43"/>
      <c r="O308" s="43"/>
      <c r="P308" s="43"/>
      <c r="Q308" s="43"/>
      <c r="R308" s="43"/>
      <c r="S308" s="43"/>
      <c r="T308" s="49"/>
      <c r="U308" s="49"/>
      <c r="V308" s="49"/>
      <c r="W308" s="49"/>
      <c r="X308" s="49"/>
      <c r="Y308" s="49"/>
      <c r="Z308" s="49"/>
      <c r="AA308" s="49"/>
      <c r="AB308" s="49"/>
      <c r="AC308" s="49"/>
      <c r="AD308" s="49"/>
      <c r="AE308" s="49"/>
    </row>
    <row r="309" spans="1:31">
      <c r="A309" s="43"/>
      <c r="B309" s="43"/>
      <c r="C309" s="43"/>
      <c r="D309" s="43"/>
      <c r="E309" s="43"/>
      <c r="F309" s="43"/>
      <c r="G309" s="43"/>
      <c r="H309" s="43"/>
      <c r="I309" s="43"/>
      <c r="J309" s="43"/>
      <c r="K309" s="43"/>
      <c r="L309" s="43"/>
      <c r="M309" s="43"/>
      <c r="N309" s="43"/>
      <c r="O309" s="43"/>
      <c r="P309" s="43"/>
      <c r="Q309" s="43"/>
      <c r="R309" s="43"/>
      <c r="S309" s="43"/>
      <c r="T309" s="49"/>
      <c r="U309" s="49"/>
      <c r="V309" s="49"/>
      <c r="W309" s="49"/>
      <c r="X309" s="49"/>
      <c r="Y309" s="49"/>
      <c r="Z309" s="49"/>
      <c r="AA309" s="49"/>
      <c r="AB309" s="49"/>
      <c r="AC309" s="49"/>
      <c r="AD309" s="49"/>
      <c r="AE309" s="49"/>
    </row>
    <row r="310" spans="1:31">
      <c r="A310" s="43"/>
      <c r="B310" s="43"/>
      <c r="C310" s="43"/>
      <c r="D310" s="43"/>
      <c r="E310" s="43"/>
      <c r="F310" s="43"/>
      <c r="G310" s="43"/>
      <c r="H310" s="43"/>
      <c r="I310" s="43"/>
      <c r="J310" s="43"/>
      <c r="K310" s="43"/>
      <c r="L310" s="43"/>
      <c r="M310" s="43"/>
      <c r="N310" s="43"/>
      <c r="O310" s="43"/>
      <c r="P310" s="43"/>
      <c r="Q310" s="43"/>
      <c r="R310" s="43"/>
      <c r="S310" s="43"/>
      <c r="T310" s="49"/>
      <c r="U310" s="49"/>
      <c r="V310" s="49"/>
      <c r="W310" s="49"/>
      <c r="X310" s="49"/>
      <c r="Y310" s="49"/>
      <c r="Z310" s="49"/>
      <c r="AA310" s="49"/>
      <c r="AB310" s="49"/>
      <c r="AC310" s="49"/>
      <c r="AD310" s="49"/>
      <c r="AE310" s="49"/>
    </row>
    <row r="311" spans="1:31">
      <c r="A311" s="43"/>
      <c r="B311" s="43"/>
      <c r="C311" s="43"/>
      <c r="D311" s="43"/>
      <c r="E311" s="43"/>
      <c r="F311" s="43"/>
      <c r="G311" s="43"/>
      <c r="H311" s="43"/>
      <c r="I311" s="43"/>
      <c r="J311" s="43"/>
      <c r="K311" s="43"/>
      <c r="L311" s="43"/>
      <c r="M311" s="43"/>
      <c r="N311" s="43"/>
      <c r="O311" s="43"/>
      <c r="P311" s="43"/>
      <c r="Q311" s="43"/>
      <c r="R311" s="43"/>
      <c r="S311" s="43"/>
      <c r="T311" s="49"/>
      <c r="U311" s="49"/>
      <c r="V311" s="49"/>
      <c r="W311" s="49"/>
      <c r="X311" s="49"/>
      <c r="Y311" s="49"/>
      <c r="Z311" s="49"/>
      <c r="AA311" s="49"/>
      <c r="AB311" s="49"/>
      <c r="AC311" s="49"/>
      <c r="AD311" s="49"/>
      <c r="AE311" s="49"/>
    </row>
    <row r="312" spans="1:31">
      <c r="A312" s="43"/>
      <c r="B312" s="43"/>
      <c r="C312" s="43"/>
      <c r="D312" s="43"/>
      <c r="E312" s="43"/>
      <c r="F312" s="43"/>
      <c r="G312" s="43"/>
      <c r="H312" s="43"/>
      <c r="I312" s="43"/>
      <c r="J312" s="43"/>
      <c r="K312" s="43"/>
      <c r="L312" s="43"/>
      <c r="M312" s="43"/>
      <c r="N312" s="43"/>
      <c r="O312" s="43"/>
      <c r="P312" s="43"/>
      <c r="Q312" s="43"/>
      <c r="R312" s="43"/>
      <c r="S312" s="43"/>
      <c r="T312" s="49"/>
      <c r="U312" s="49"/>
      <c r="V312" s="49"/>
      <c r="W312" s="49"/>
      <c r="X312" s="49"/>
      <c r="Y312" s="49"/>
      <c r="Z312" s="49"/>
      <c r="AA312" s="49"/>
      <c r="AB312" s="49"/>
      <c r="AC312" s="49"/>
      <c r="AD312" s="49"/>
      <c r="AE312" s="49"/>
    </row>
    <row r="313" spans="1:31">
      <c r="A313" s="43"/>
      <c r="B313" s="43"/>
      <c r="C313" s="43"/>
      <c r="D313" s="43"/>
      <c r="E313" s="43"/>
      <c r="F313" s="43"/>
      <c r="G313" s="43"/>
      <c r="H313" s="43"/>
      <c r="I313" s="43"/>
      <c r="J313" s="43"/>
      <c r="K313" s="43"/>
      <c r="L313" s="43"/>
      <c r="M313" s="43"/>
      <c r="N313" s="43"/>
      <c r="O313" s="43"/>
      <c r="P313" s="43"/>
      <c r="Q313" s="43"/>
      <c r="R313" s="43"/>
      <c r="S313" s="43"/>
      <c r="T313" s="49"/>
      <c r="U313" s="49"/>
      <c r="V313" s="49"/>
      <c r="W313" s="49"/>
      <c r="X313" s="49"/>
      <c r="Y313" s="49"/>
      <c r="Z313" s="49"/>
      <c r="AA313" s="49"/>
      <c r="AB313" s="49"/>
      <c r="AC313" s="49"/>
      <c r="AD313" s="49"/>
      <c r="AE313" s="49"/>
    </row>
    <row r="314" spans="1:31">
      <c r="A314" s="43"/>
      <c r="B314" s="43"/>
      <c r="C314" s="43"/>
      <c r="D314" s="43"/>
      <c r="E314" s="43"/>
      <c r="F314" s="43"/>
      <c r="G314" s="43"/>
      <c r="H314" s="43"/>
      <c r="I314" s="43"/>
      <c r="J314" s="43"/>
      <c r="K314" s="43"/>
      <c r="L314" s="43"/>
      <c r="M314" s="43"/>
      <c r="N314" s="43"/>
      <c r="O314" s="43"/>
      <c r="P314" s="43"/>
      <c r="Q314" s="43"/>
      <c r="R314" s="43"/>
      <c r="S314" s="43"/>
      <c r="T314" s="49"/>
      <c r="U314" s="49"/>
      <c r="V314" s="49"/>
      <c r="W314" s="49"/>
      <c r="X314" s="49"/>
      <c r="Y314" s="49"/>
      <c r="Z314" s="49"/>
      <c r="AA314" s="49"/>
      <c r="AB314" s="49"/>
      <c r="AC314" s="49"/>
      <c r="AD314" s="49"/>
      <c r="AE314" s="49"/>
    </row>
    <row r="315" spans="1:31">
      <c r="A315" s="43"/>
      <c r="B315" s="43"/>
      <c r="C315" s="43"/>
      <c r="D315" s="43"/>
      <c r="E315" s="43"/>
      <c r="F315" s="43"/>
      <c r="G315" s="43"/>
      <c r="H315" s="43"/>
      <c r="I315" s="43"/>
      <c r="J315" s="43"/>
      <c r="K315" s="43"/>
      <c r="L315" s="43"/>
      <c r="M315" s="43"/>
      <c r="N315" s="43"/>
      <c r="O315" s="43"/>
      <c r="P315" s="43"/>
      <c r="Q315" s="43"/>
      <c r="R315" s="43"/>
      <c r="S315" s="43"/>
      <c r="T315" s="49"/>
      <c r="U315" s="49"/>
      <c r="V315" s="49"/>
      <c r="W315" s="49"/>
      <c r="X315" s="49"/>
      <c r="Y315" s="49"/>
      <c r="Z315" s="49"/>
      <c r="AA315" s="49"/>
      <c r="AB315" s="49"/>
      <c r="AC315" s="49"/>
      <c r="AD315" s="49"/>
      <c r="AE315" s="49"/>
    </row>
    <row r="316" spans="1:31">
      <c r="A316" s="43"/>
      <c r="B316" s="43"/>
      <c r="C316" s="43"/>
      <c r="D316" s="43"/>
      <c r="E316" s="43"/>
      <c r="F316" s="43"/>
      <c r="G316" s="43"/>
      <c r="H316" s="43"/>
      <c r="I316" s="43"/>
      <c r="J316" s="43"/>
      <c r="K316" s="43"/>
      <c r="L316" s="43"/>
      <c r="M316" s="43"/>
      <c r="N316" s="43"/>
      <c r="O316" s="43"/>
      <c r="P316" s="43"/>
      <c r="Q316" s="43"/>
      <c r="R316" s="43"/>
      <c r="S316" s="43"/>
      <c r="T316" s="49"/>
      <c r="U316" s="49"/>
      <c r="V316" s="49"/>
      <c r="W316" s="49"/>
      <c r="X316" s="49"/>
      <c r="Y316" s="49"/>
      <c r="Z316" s="49"/>
      <c r="AA316" s="49"/>
      <c r="AB316" s="49"/>
      <c r="AC316" s="49"/>
      <c r="AD316" s="49"/>
      <c r="AE316" s="49"/>
    </row>
    <row r="317" spans="1:31">
      <c r="A317" s="43"/>
      <c r="B317" s="43"/>
      <c r="C317" s="43"/>
      <c r="D317" s="43"/>
      <c r="E317" s="43"/>
      <c r="F317" s="43"/>
      <c r="G317" s="43"/>
      <c r="H317" s="43"/>
      <c r="I317" s="43"/>
      <c r="J317" s="43"/>
      <c r="K317" s="43"/>
      <c r="L317" s="43"/>
      <c r="M317" s="43"/>
      <c r="N317" s="43"/>
      <c r="O317" s="43"/>
      <c r="P317" s="43"/>
      <c r="Q317" s="43"/>
      <c r="R317" s="43"/>
      <c r="S317" s="43"/>
      <c r="T317" s="49"/>
      <c r="U317" s="49"/>
      <c r="V317" s="49"/>
      <c r="W317" s="49"/>
      <c r="X317" s="49"/>
      <c r="Y317" s="49"/>
      <c r="Z317" s="49"/>
      <c r="AA317" s="49"/>
      <c r="AB317" s="49"/>
      <c r="AC317" s="49"/>
      <c r="AD317" s="49"/>
      <c r="AE317" s="49"/>
    </row>
    <row r="318" spans="1:31">
      <c r="A318" s="43"/>
      <c r="B318" s="43"/>
      <c r="C318" s="43"/>
      <c r="D318" s="43"/>
      <c r="E318" s="43"/>
      <c r="F318" s="43"/>
      <c r="G318" s="43"/>
      <c r="H318" s="43"/>
      <c r="I318" s="43"/>
      <c r="J318" s="43"/>
      <c r="K318" s="43"/>
      <c r="L318" s="43"/>
      <c r="M318" s="43"/>
      <c r="N318" s="43"/>
      <c r="O318" s="43"/>
      <c r="P318" s="43"/>
      <c r="Q318" s="43"/>
      <c r="R318" s="43"/>
      <c r="S318" s="43"/>
      <c r="T318" s="49"/>
      <c r="U318" s="49"/>
      <c r="V318" s="49"/>
      <c r="W318" s="49"/>
      <c r="X318" s="49"/>
      <c r="Y318" s="49"/>
      <c r="Z318" s="49"/>
      <c r="AA318" s="49"/>
      <c r="AB318" s="49"/>
      <c r="AC318" s="49"/>
      <c r="AD318" s="49"/>
      <c r="AE318" s="49"/>
    </row>
    <row r="319" spans="1:31">
      <c r="A319" s="43"/>
      <c r="B319" s="43"/>
      <c r="C319" s="43"/>
      <c r="D319" s="43"/>
      <c r="E319" s="43"/>
      <c r="F319" s="43"/>
      <c r="G319" s="43"/>
      <c r="H319" s="43"/>
      <c r="I319" s="43"/>
      <c r="J319" s="43"/>
      <c r="K319" s="43"/>
      <c r="L319" s="43"/>
      <c r="M319" s="43"/>
      <c r="N319" s="43"/>
      <c r="O319" s="43"/>
      <c r="P319" s="43"/>
      <c r="Q319" s="43"/>
      <c r="R319" s="43"/>
      <c r="S319" s="43"/>
      <c r="T319" s="49"/>
      <c r="U319" s="49"/>
      <c r="V319" s="49"/>
      <c r="W319" s="49"/>
      <c r="X319" s="49"/>
      <c r="Y319" s="49"/>
      <c r="Z319" s="49"/>
      <c r="AA319" s="49"/>
      <c r="AB319" s="49"/>
      <c r="AC319" s="49"/>
      <c r="AD319" s="49"/>
      <c r="AE319" s="49"/>
    </row>
    <row r="320" spans="1:31">
      <c r="A320" s="43"/>
      <c r="B320" s="43"/>
      <c r="C320" s="43"/>
      <c r="D320" s="43"/>
      <c r="E320" s="43"/>
      <c r="F320" s="43"/>
      <c r="G320" s="43"/>
      <c r="H320" s="43"/>
      <c r="I320" s="43"/>
      <c r="J320" s="43"/>
      <c r="K320" s="43"/>
      <c r="L320" s="43"/>
      <c r="M320" s="43"/>
      <c r="N320" s="43"/>
      <c r="O320" s="43"/>
      <c r="P320" s="43"/>
      <c r="Q320" s="43"/>
      <c r="R320" s="43"/>
      <c r="S320" s="43"/>
      <c r="T320" s="49"/>
      <c r="U320" s="49"/>
      <c r="V320" s="49"/>
      <c r="W320" s="49"/>
      <c r="X320" s="49"/>
      <c r="Y320" s="49"/>
      <c r="Z320" s="49"/>
      <c r="AA320" s="49"/>
      <c r="AB320" s="49"/>
      <c r="AC320" s="49"/>
      <c r="AD320" s="49"/>
      <c r="AE320" s="49"/>
    </row>
    <row r="321" spans="1:31">
      <c r="A321" s="43"/>
      <c r="B321" s="43"/>
      <c r="C321" s="43"/>
      <c r="D321" s="43"/>
      <c r="E321" s="43"/>
      <c r="F321" s="43"/>
      <c r="G321" s="43"/>
      <c r="H321" s="43"/>
      <c r="I321" s="43"/>
      <c r="J321" s="43"/>
      <c r="K321" s="43"/>
      <c r="L321" s="43"/>
      <c r="M321" s="43"/>
      <c r="N321" s="43"/>
      <c r="O321" s="43"/>
      <c r="P321" s="43"/>
      <c r="Q321" s="43"/>
      <c r="R321" s="43"/>
      <c r="S321" s="43"/>
      <c r="T321" s="49"/>
      <c r="U321" s="49"/>
      <c r="V321" s="49"/>
      <c r="W321" s="49"/>
      <c r="X321" s="49"/>
      <c r="Y321" s="49"/>
      <c r="Z321" s="49"/>
      <c r="AA321" s="49"/>
      <c r="AB321" s="49"/>
      <c r="AC321" s="49"/>
      <c r="AD321" s="49"/>
      <c r="AE321" s="49"/>
    </row>
    <row r="322" spans="1:31">
      <c r="A322" s="43"/>
      <c r="B322" s="43"/>
      <c r="C322" s="43"/>
      <c r="D322" s="43"/>
      <c r="E322" s="43"/>
      <c r="F322" s="43"/>
      <c r="G322" s="43"/>
      <c r="H322" s="43"/>
      <c r="I322" s="43"/>
      <c r="J322" s="43"/>
      <c r="K322" s="43"/>
      <c r="L322" s="43"/>
      <c r="M322" s="43"/>
      <c r="N322" s="43"/>
      <c r="O322" s="43"/>
      <c r="P322" s="43"/>
      <c r="Q322" s="43"/>
      <c r="R322" s="43"/>
      <c r="S322" s="43"/>
      <c r="T322" s="49"/>
      <c r="U322" s="49"/>
      <c r="V322" s="49"/>
      <c r="W322" s="49"/>
      <c r="X322" s="49"/>
      <c r="Y322" s="49"/>
      <c r="Z322" s="49"/>
      <c r="AA322" s="49"/>
      <c r="AB322" s="49"/>
      <c r="AC322" s="49"/>
      <c r="AD322" s="49"/>
      <c r="AE322" s="49"/>
    </row>
    <row r="323" spans="1:31">
      <c r="A323" s="43"/>
      <c r="B323" s="43"/>
      <c r="C323" s="43"/>
      <c r="D323" s="43"/>
      <c r="E323" s="43"/>
      <c r="F323" s="43"/>
      <c r="G323" s="43"/>
      <c r="H323" s="43"/>
      <c r="I323" s="43"/>
      <c r="J323" s="43"/>
      <c r="K323" s="43"/>
      <c r="L323" s="43"/>
      <c r="M323" s="43"/>
      <c r="N323" s="43"/>
      <c r="O323" s="43"/>
      <c r="P323" s="43"/>
      <c r="Q323" s="43"/>
      <c r="R323" s="43"/>
      <c r="S323" s="43"/>
      <c r="T323" s="49"/>
      <c r="U323" s="49"/>
      <c r="V323" s="49"/>
      <c r="W323" s="49"/>
      <c r="X323" s="49"/>
      <c r="Y323" s="49"/>
      <c r="Z323" s="49"/>
      <c r="AA323" s="49"/>
      <c r="AB323" s="49"/>
      <c r="AC323" s="49"/>
      <c r="AD323" s="49"/>
      <c r="AE323" s="49"/>
    </row>
    <row r="324" spans="1:31">
      <c r="A324" s="43"/>
      <c r="B324" s="43"/>
      <c r="C324" s="43"/>
      <c r="D324" s="43"/>
      <c r="E324" s="43"/>
      <c r="F324" s="43"/>
      <c r="G324" s="43"/>
      <c r="H324" s="43"/>
      <c r="I324" s="43"/>
      <c r="J324" s="43"/>
      <c r="K324" s="43"/>
      <c r="L324" s="43"/>
      <c r="M324" s="43"/>
      <c r="N324" s="43"/>
      <c r="O324" s="43"/>
      <c r="P324" s="43"/>
      <c r="Q324" s="43"/>
      <c r="R324" s="43"/>
      <c r="S324" s="43"/>
      <c r="T324" s="49"/>
      <c r="U324" s="49"/>
      <c r="V324" s="49"/>
      <c r="W324" s="49"/>
      <c r="X324" s="49"/>
      <c r="Y324" s="49"/>
      <c r="Z324" s="49"/>
      <c r="AA324" s="49"/>
      <c r="AB324" s="49"/>
      <c r="AC324" s="49"/>
      <c r="AD324" s="49"/>
      <c r="AE324" s="49"/>
    </row>
    <row r="325" spans="1:31">
      <c r="A325" s="43"/>
      <c r="B325" s="43"/>
      <c r="C325" s="43"/>
      <c r="D325" s="43"/>
      <c r="E325" s="43"/>
      <c r="F325" s="43"/>
      <c r="G325" s="43"/>
      <c r="H325" s="43"/>
      <c r="I325" s="43"/>
      <c r="J325" s="43"/>
      <c r="K325" s="43"/>
      <c r="L325" s="43"/>
      <c r="M325" s="43"/>
      <c r="N325" s="43"/>
      <c r="O325" s="43"/>
      <c r="P325" s="43"/>
      <c r="Q325" s="43"/>
      <c r="R325" s="43"/>
      <c r="S325" s="43"/>
      <c r="T325" s="49"/>
      <c r="U325" s="49"/>
      <c r="V325" s="49"/>
      <c r="W325" s="49"/>
      <c r="X325" s="49"/>
      <c r="Y325" s="49"/>
      <c r="Z325" s="49"/>
      <c r="AA325" s="49"/>
      <c r="AB325" s="49"/>
      <c r="AC325" s="49"/>
      <c r="AD325" s="49"/>
      <c r="AE325" s="49"/>
    </row>
    <row r="326" spans="1:31">
      <c r="A326" s="43"/>
      <c r="B326" s="43"/>
      <c r="C326" s="43"/>
      <c r="D326" s="43"/>
      <c r="E326" s="43"/>
      <c r="F326" s="43"/>
      <c r="G326" s="43"/>
      <c r="H326" s="43"/>
      <c r="I326" s="43"/>
      <c r="J326" s="43"/>
      <c r="K326" s="43"/>
      <c r="L326" s="43"/>
      <c r="M326" s="43"/>
      <c r="N326" s="43"/>
      <c r="O326" s="43"/>
      <c r="P326" s="43"/>
      <c r="Q326" s="43"/>
      <c r="R326" s="43"/>
      <c r="S326" s="43"/>
      <c r="T326" s="49"/>
      <c r="U326" s="49"/>
      <c r="V326" s="49"/>
      <c r="W326" s="49"/>
      <c r="X326" s="49"/>
      <c r="Y326" s="49"/>
      <c r="Z326" s="49"/>
      <c r="AA326" s="49"/>
      <c r="AB326" s="49"/>
      <c r="AC326" s="49"/>
      <c r="AD326" s="49"/>
      <c r="AE326" s="49"/>
    </row>
    <row r="327" spans="1:31">
      <c r="A327" s="43"/>
      <c r="B327" s="43"/>
      <c r="C327" s="43"/>
      <c r="D327" s="43"/>
      <c r="E327" s="43"/>
      <c r="F327" s="43"/>
      <c r="G327" s="43"/>
      <c r="H327" s="43"/>
      <c r="I327" s="43"/>
      <c r="J327" s="43"/>
      <c r="K327" s="43"/>
      <c r="L327" s="43"/>
      <c r="M327" s="43"/>
      <c r="N327" s="43"/>
      <c r="O327" s="43"/>
      <c r="P327" s="43"/>
      <c r="Q327" s="43"/>
      <c r="R327" s="43"/>
      <c r="S327" s="43"/>
      <c r="T327" s="49"/>
      <c r="U327" s="49"/>
      <c r="V327" s="49"/>
      <c r="W327" s="49"/>
      <c r="X327" s="49"/>
      <c r="Y327" s="49"/>
      <c r="Z327" s="49"/>
      <c r="AA327" s="49"/>
      <c r="AB327" s="49"/>
      <c r="AC327" s="49"/>
      <c r="AD327" s="49"/>
      <c r="AE327" s="49"/>
    </row>
    <row r="328" spans="1:31">
      <c r="A328" s="43"/>
      <c r="B328" s="43"/>
      <c r="C328" s="43"/>
      <c r="D328" s="43"/>
      <c r="E328" s="43"/>
      <c r="F328" s="43"/>
      <c r="G328" s="43"/>
      <c r="H328" s="43"/>
      <c r="I328" s="43"/>
      <c r="J328" s="43"/>
      <c r="K328" s="43"/>
      <c r="L328" s="43"/>
      <c r="M328" s="43"/>
      <c r="N328" s="43"/>
      <c r="O328" s="43"/>
      <c r="P328" s="43"/>
      <c r="Q328" s="43"/>
      <c r="R328" s="43"/>
      <c r="S328" s="43"/>
      <c r="T328" s="49"/>
      <c r="U328" s="49"/>
      <c r="V328" s="49"/>
      <c r="W328" s="49"/>
      <c r="X328" s="49"/>
      <c r="Y328" s="49"/>
      <c r="Z328" s="49"/>
      <c r="AA328" s="49"/>
      <c r="AB328" s="49"/>
      <c r="AC328" s="49"/>
      <c r="AD328" s="49"/>
      <c r="AE328" s="49"/>
    </row>
    <row r="329" spans="1:31">
      <c r="A329" s="43"/>
      <c r="B329" s="43"/>
      <c r="C329" s="43"/>
      <c r="D329" s="43"/>
      <c r="E329" s="43"/>
      <c r="F329" s="43"/>
      <c r="G329" s="43"/>
      <c r="H329" s="43"/>
      <c r="I329" s="43"/>
      <c r="J329" s="43"/>
      <c r="K329" s="43"/>
      <c r="L329" s="43"/>
      <c r="M329" s="43"/>
      <c r="N329" s="43"/>
      <c r="O329" s="43"/>
      <c r="P329" s="43"/>
      <c r="Q329" s="43"/>
      <c r="R329" s="43"/>
      <c r="S329" s="43"/>
      <c r="T329" s="49"/>
      <c r="U329" s="49"/>
      <c r="V329" s="49"/>
      <c r="W329" s="49"/>
      <c r="X329" s="49"/>
      <c r="Y329" s="49"/>
      <c r="Z329" s="49"/>
      <c r="AA329" s="49"/>
      <c r="AB329" s="49"/>
      <c r="AC329" s="49"/>
      <c r="AD329" s="49"/>
      <c r="AE329" s="49"/>
    </row>
    <row r="330" spans="1:31">
      <c r="A330" s="43"/>
      <c r="B330" s="43"/>
      <c r="C330" s="43"/>
      <c r="D330" s="43"/>
      <c r="E330" s="43"/>
      <c r="F330" s="43"/>
      <c r="G330" s="43"/>
      <c r="H330" s="43"/>
      <c r="I330" s="43"/>
      <c r="J330" s="43"/>
      <c r="K330" s="43"/>
      <c r="L330" s="43"/>
      <c r="M330" s="43"/>
      <c r="N330" s="43"/>
      <c r="O330" s="43"/>
      <c r="P330" s="43"/>
      <c r="Q330" s="43"/>
      <c r="R330" s="43"/>
      <c r="S330" s="43"/>
      <c r="T330" s="49"/>
      <c r="U330" s="49"/>
      <c r="V330" s="49"/>
      <c r="W330" s="49"/>
      <c r="X330" s="49"/>
      <c r="Y330" s="49"/>
      <c r="Z330" s="49"/>
      <c r="AA330" s="49"/>
      <c r="AB330" s="49"/>
      <c r="AC330" s="49"/>
      <c r="AD330" s="49"/>
      <c r="AE330" s="49"/>
    </row>
    <row r="331" spans="1:31">
      <c r="A331" s="43"/>
      <c r="B331" s="43"/>
      <c r="C331" s="43"/>
      <c r="D331" s="43"/>
      <c r="E331" s="43"/>
      <c r="F331" s="43"/>
      <c r="G331" s="43"/>
      <c r="H331" s="43"/>
      <c r="I331" s="43"/>
      <c r="J331" s="43"/>
      <c r="K331" s="43"/>
      <c r="L331" s="43"/>
      <c r="M331" s="43"/>
      <c r="N331" s="43"/>
      <c r="O331" s="43"/>
      <c r="P331" s="43"/>
      <c r="Q331" s="43"/>
      <c r="R331" s="43"/>
      <c r="S331" s="43"/>
      <c r="T331" s="49"/>
      <c r="U331" s="49"/>
      <c r="V331" s="49"/>
      <c r="W331" s="49"/>
      <c r="X331" s="49"/>
      <c r="Y331" s="49"/>
      <c r="Z331" s="49"/>
      <c r="AA331" s="49"/>
      <c r="AB331" s="49"/>
      <c r="AC331" s="49"/>
      <c r="AD331" s="49"/>
      <c r="AE331" s="49"/>
    </row>
    <row r="332" spans="1:31">
      <c r="A332" s="43"/>
      <c r="B332" s="43"/>
      <c r="C332" s="43"/>
      <c r="D332" s="43"/>
      <c r="E332" s="43"/>
      <c r="F332" s="43"/>
      <c r="G332" s="43"/>
      <c r="H332" s="43"/>
      <c r="I332" s="43"/>
      <c r="J332" s="43"/>
      <c r="K332" s="43"/>
      <c r="L332" s="43"/>
      <c r="M332" s="43"/>
      <c r="N332" s="43"/>
      <c r="O332" s="43"/>
      <c r="P332" s="43"/>
      <c r="Q332" s="43"/>
      <c r="R332" s="43"/>
      <c r="S332" s="43"/>
      <c r="T332" s="49"/>
      <c r="U332" s="49"/>
      <c r="V332" s="49"/>
      <c r="W332" s="49"/>
      <c r="X332" s="49"/>
      <c r="Y332" s="49"/>
      <c r="Z332" s="49"/>
      <c r="AA332" s="49"/>
      <c r="AB332" s="49"/>
      <c r="AC332" s="49"/>
      <c r="AD332" s="49"/>
      <c r="AE332" s="49"/>
    </row>
    <row r="333" spans="1:31">
      <c r="A333" s="43"/>
      <c r="B333" s="43"/>
      <c r="C333" s="43"/>
      <c r="D333" s="43"/>
      <c r="E333" s="43"/>
      <c r="F333" s="43"/>
      <c r="G333" s="43"/>
      <c r="H333" s="43"/>
      <c r="I333" s="43"/>
      <c r="J333" s="43"/>
      <c r="K333" s="43"/>
      <c r="L333" s="43"/>
      <c r="M333" s="43"/>
      <c r="N333" s="43"/>
      <c r="O333" s="43"/>
      <c r="P333" s="43"/>
      <c r="Q333" s="43"/>
      <c r="R333" s="43"/>
      <c r="S333" s="43"/>
      <c r="T333" s="49"/>
      <c r="U333" s="49"/>
      <c r="V333" s="49"/>
      <c r="W333" s="49"/>
      <c r="X333" s="49"/>
      <c r="Y333" s="49"/>
      <c r="Z333" s="49"/>
      <c r="AA333" s="49"/>
      <c r="AB333" s="49"/>
      <c r="AC333" s="49"/>
      <c r="AD333" s="49"/>
      <c r="AE333" s="49"/>
    </row>
    <row r="334" spans="1:31">
      <c r="A334" s="43"/>
      <c r="B334" s="43"/>
      <c r="C334" s="43"/>
      <c r="D334" s="43"/>
      <c r="E334" s="43"/>
      <c r="F334" s="43"/>
      <c r="G334" s="43"/>
      <c r="H334" s="43"/>
      <c r="I334" s="43"/>
      <c r="J334" s="43"/>
      <c r="K334" s="43"/>
      <c r="L334" s="43"/>
      <c r="M334" s="43"/>
      <c r="N334" s="43"/>
      <c r="O334" s="43"/>
      <c r="P334" s="43"/>
      <c r="Q334" s="43"/>
      <c r="R334" s="43"/>
      <c r="S334" s="43"/>
      <c r="T334" s="49"/>
      <c r="U334" s="49"/>
      <c r="V334" s="49"/>
      <c r="W334" s="49"/>
      <c r="X334" s="49"/>
      <c r="Y334" s="49"/>
      <c r="Z334" s="49"/>
      <c r="AA334" s="49"/>
      <c r="AB334" s="49"/>
      <c r="AC334" s="49"/>
      <c r="AD334" s="49"/>
      <c r="AE334" s="49"/>
    </row>
    <row r="335" spans="1:31">
      <c r="A335" s="43"/>
      <c r="B335" s="43"/>
      <c r="C335" s="43"/>
      <c r="D335" s="43"/>
      <c r="E335" s="43"/>
      <c r="F335" s="43"/>
      <c r="G335" s="43"/>
      <c r="H335" s="43"/>
      <c r="I335" s="43"/>
      <c r="J335" s="43"/>
      <c r="K335" s="43"/>
      <c r="L335" s="43"/>
      <c r="M335" s="43"/>
      <c r="N335" s="43"/>
      <c r="O335" s="43"/>
      <c r="P335" s="43"/>
      <c r="Q335" s="43"/>
      <c r="R335" s="43"/>
      <c r="S335" s="43"/>
      <c r="T335" s="49"/>
      <c r="U335" s="49"/>
      <c r="V335" s="49"/>
      <c r="W335" s="49"/>
      <c r="X335" s="49"/>
      <c r="Y335" s="49"/>
      <c r="Z335" s="49"/>
      <c r="AA335" s="49"/>
      <c r="AB335" s="49"/>
      <c r="AC335" s="49"/>
      <c r="AD335" s="49"/>
      <c r="AE335" s="49"/>
    </row>
    <row r="336" spans="1:31">
      <c r="A336" s="43"/>
      <c r="B336" s="43"/>
      <c r="C336" s="43"/>
      <c r="D336" s="43"/>
      <c r="E336" s="43"/>
      <c r="F336" s="43"/>
      <c r="G336" s="43"/>
      <c r="H336" s="43"/>
      <c r="I336" s="43"/>
      <c r="J336" s="43"/>
      <c r="K336" s="43"/>
      <c r="L336" s="43"/>
      <c r="M336" s="43"/>
      <c r="N336" s="43"/>
      <c r="O336" s="43"/>
      <c r="P336" s="43"/>
      <c r="Q336" s="43"/>
      <c r="R336" s="43"/>
      <c r="S336" s="43"/>
      <c r="T336" s="49"/>
      <c r="U336" s="49"/>
      <c r="V336" s="49"/>
      <c r="W336" s="49"/>
      <c r="X336" s="49"/>
      <c r="Y336" s="49"/>
      <c r="Z336" s="49"/>
      <c r="AA336" s="49"/>
      <c r="AB336" s="49"/>
      <c r="AC336" s="49"/>
      <c r="AD336" s="49"/>
      <c r="AE336" s="49"/>
    </row>
    <row r="337" spans="1:31">
      <c r="A337" s="43"/>
      <c r="B337" s="43"/>
      <c r="C337" s="43"/>
      <c r="D337" s="43"/>
      <c r="E337" s="43"/>
      <c r="F337" s="43"/>
      <c r="G337" s="43"/>
      <c r="H337" s="43"/>
      <c r="I337" s="43"/>
      <c r="J337" s="43"/>
      <c r="K337" s="43"/>
      <c r="L337" s="43"/>
      <c r="M337" s="43"/>
      <c r="N337" s="43"/>
      <c r="O337" s="43"/>
      <c r="P337" s="43"/>
      <c r="Q337" s="43"/>
      <c r="R337" s="43"/>
      <c r="S337" s="43"/>
      <c r="T337" s="49"/>
      <c r="U337" s="49"/>
      <c r="V337" s="49"/>
      <c r="W337" s="49"/>
      <c r="X337" s="49"/>
      <c r="Y337" s="49"/>
      <c r="Z337" s="49"/>
      <c r="AA337" s="49"/>
      <c r="AB337" s="49"/>
      <c r="AC337" s="49"/>
      <c r="AD337" s="49"/>
      <c r="AE337" s="49"/>
    </row>
    <row r="338" spans="1:31">
      <c r="A338" s="43"/>
      <c r="B338" s="43"/>
      <c r="C338" s="43"/>
      <c r="D338" s="43"/>
      <c r="E338" s="43"/>
      <c r="F338" s="43"/>
      <c r="G338" s="43"/>
      <c r="H338" s="43"/>
      <c r="I338" s="43"/>
      <c r="J338" s="43"/>
      <c r="K338" s="43"/>
      <c r="L338" s="43"/>
      <c r="M338" s="43"/>
      <c r="N338" s="43"/>
      <c r="O338" s="43"/>
      <c r="P338" s="43"/>
      <c r="Q338" s="43"/>
      <c r="R338" s="43"/>
      <c r="S338" s="43"/>
      <c r="T338" s="49"/>
      <c r="U338" s="49"/>
      <c r="V338" s="49"/>
      <c r="W338" s="49"/>
      <c r="X338" s="49"/>
      <c r="Y338" s="49"/>
      <c r="Z338" s="49"/>
      <c r="AA338" s="49"/>
      <c r="AB338" s="49"/>
      <c r="AC338" s="49"/>
      <c r="AD338" s="49"/>
      <c r="AE338" s="49"/>
    </row>
    <row r="339" spans="1:31">
      <c r="A339" s="43"/>
      <c r="B339" s="43"/>
      <c r="C339" s="43"/>
      <c r="D339" s="43"/>
      <c r="E339" s="43"/>
      <c r="F339" s="43"/>
      <c r="G339" s="43"/>
      <c r="H339" s="43"/>
      <c r="I339" s="43"/>
      <c r="J339" s="43"/>
      <c r="K339" s="43"/>
      <c r="L339" s="43"/>
      <c r="M339" s="43"/>
      <c r="N339" s="43"/>
      <c r="O339" s="43"/>
      <c r="P339" s="43"/>
      <c r="Q339" s="43"/>
      <c r="R339" s="43"/>
      <c r="S339" s="43"/>
      <c r="T339" s="49"/>
      <c r="U339" s="49"/>
      <c r="V339" s="49"/>
      <c r="W339" s="49"/>
      <c r="X339" s="49"/>
      <c r="Y339" s="49"/>
      <c r="Z339" s="49"/>
      <c r="AA339" s="49"/>
      <c r="AB339" s="49"/>
      <c r="AC339" s="49"/>
      <c r="AD339" s="49"/>
      <c r="AE339" s="49"/>
    </row>
    <row r="340" spans="1:31">
      <c r="A340" s="43"/>
      <c r="B340" s="43"/>
      <c r="C340" s="43"/>
      <c r="D340" s="43"/>
      <c r="E340" s="43"/>
      <c r="F340" s="43"/>
      <c r="G340" s="43"/>
      <c r="H340" s="43"/>
      <c r="I340" s="43"/>
      <c r="J340" s="43"/>
      <c r="K340" s="43"/>
      <c r="L340" s="43"/>
      <c r="M340" s="43"/>
      <c r="N340" s="43"/>
      <c r="O340" s="43"/>
      <c r="P340" s="43"/>
      <c r="Q340" s="43"/>
      <c r="R340" s="43"/>
      <c r="S340" s="43"/>
      <c r="T340" s="49"/>
      <c r="U340" s="49"/>
      <c r="V340" s="49"/>
      <c r="W340" s="49"/>
      <c r="X340" s="49"/>
      <c r="Y340" s="49"/>
      <c r="Z340" s="49"/>
      <c r="AA340" s="49"/>
      <c r="AB340" s="49"/>
      <c r="AC340" s="49"/>
      <c r="AD340" s="49"/>
      <c r="AE340" s="49"/>
    </row>
    <row r="341" spans="1:31">
      <c r="A341" s="43"/>
      <c r="B341" s="43"/>
      <c r="C341" s="43"/>
      <c r="D341" s="43"/>
      <c r="E341" s="43"/>
      <c r="F341" s="43"/>
      <c r="G341" s="43"/>
      <c r="H341" s="43"/>
      <c r="I341" s="43"/>
      <c r="J341" s="43"/>
      <c r="K341" s="43"/>
      <c r="L341" s="43"/>
      <c r="M341" s="43"/>
      <c r="N341" s="43"/>
      <c r="O341" s="43"/>
      <c r="P341" s="43"/>
      <c r="Q341" s="43"/>
      <c r="R341" s="43"/>
      <c r="S341" s="43"/>
      <c r="T341" s="49"/>
      <c r="U341" s="49"/>
      <c r="V341" s="49"/>
      <c r="W341" s="49"/>
      <c r="X341" s="49"/>
      <c r="Y341" s="49"/>
      <c r="Z341" s="49"/>
      <c r="AA341" s="49"/>
      <c r="AB341" s="49"/>
      <c r="AC341" s="49"/>
      <c r="AD341" s="49"/>
      <c r="AE341" s="49"/>
    </row>
    <row r="342" spans="1:31">
      <c r="A342" s="43"/>
      <c r="B342" s="43"/>
      <c r="C342" s="43"/>
      <c r="D342" s="43"/>
      <c r="E342" s="43"/>
      <c r="F342" s="43"/>
      <c r="G342" s="43"/>
      <c r="H342" s="43"/>
      <c r="I342" s="43"/>
      <c r="J342" s="43"/>
      <c r="K342" s="43"/>
      <c r="L342" s="43"/>
      <c r="M342" s="43"/>
      <c r="N342" s="43"/>
      <c r="O342" s="43"/>
      <c r="P342" s="43"/>
      <c r="Q342" s="43"/>
      <c r="R342" s="43"/>
      <c r="S342" s="43"/>
      <c r="T342" s="49"/>
      <c r="U342" s="49"/>
      <c r="V342" s="49"/>
      <c r="W342" s="49"/>
      <c r="X342" s="49"/>
      <c r="Y342" s="49"/>
      <c r="Z342" s="49"/>
      <c r="AA342" s="49"/>
      <c r="AB342" s="49"/>
      <c r="AC342" s="49"/>
      <c r="AD342" s="49"/>
      <c r="AE342" s="49"/>
    </row>
    <row r="343" spans="1:31">
      <c r="A343" s="43"/>
      <c r="B343" s="43"/>
      <c r="C343" s="43"/>
      <c r="D343" s="43"/>
      <c r="E343" s="43"/>
      <c r="F343" s="43"/>
      <c r="G343" s="43"/>
      <c r="H343" s="43"/>
      <c r="I343" s="43"/>
      <c r="J343" s="43"/>
      <c r="K343" s="43"/>
      <c r="L343" s="43"/>
      <c r="M343" s="43"/>
      <c r="N343" s="43"/>
      <c r="O343" s="43"/>
      <c r="P343" s="43"/>
      <c r="Q343" s="43"/>
      <c r="R343" s="43"/>
      <c r="S343" s="43"/>
      <c r="T343" s="49"/>
      <c r="U343" s="49"/>
      <c r="V343" s="49"/>
      <c r="W343" s="49"/>
      <c r="X343" s="49"/>
      <c r="Y343" s="49"/>
      <c r="Z343" s="49"/>
      <c r="AA343" s="49"/>
      <c r="AB343" s="49"/>
      <c r="AC343" s="49"/>
      <c r="AD343" s="49"/>
      <c r="AE343" s="49"/>
    </row>
    <row r="344" spans="1:31">
      <c r="A344" s="43"/>
      <c r="B344" s="43"/>
      <c r="C344" s="43"/>
      <c r="D344" s="43"/>
      <c r="E344" s="43"/>
      <c r="F344" s="43"/>
      <c r="G344" s="43"/>
      <c r="H344" s="43"/>
      <c r="I344" s="43"/>
      <c r="J344" s="43"/>
      <c r="K344" s="43"/>
      <c r="L344" s="43"/>
      <c r="M344" s="43"/>
      <c r="N344" s="43"/>
      <c r="O344" s="43"/>
      <c r="P344" s="43"/>
      <c r="Q344" s="43"/>
      <c r="R344" s="43"/>
      <c r="S344" s="43"/>
      <c r="T344" s="49"/>
      <c r="U344" s="49"/>
      <c r="V344" s="49"/>
      <c r="W344" s="49"/>
      <c r="X344" s="49"/>
      <c r="Y344" s="49"/>
      <c r="Z344" s="49"/>
      <c r="AA344" s="49"/>
      <c r="AB344" s="49"/>
      <c r="AC344" s="49"/>
      <c r="AD344" s="49"/>
      <c r="AE344" s="49"/>
    </row>
    <row r="345" spans="1:31">
      <c r="A345" s="43"/>
      <c r="B345" s="43"/>
      <c r="C345" s="43"/>
      <c r="D345" s="43"/>
      <c r="E345" s="43"/>
      <c r="F345" s="43"/>
      <c r="G345" s="43"/>
      <c r="H345" s="43"/>
      <c r="I345" s="43"/>
      <c r="J345" s="43"/>
      <c r="K345" s="43"/>
      <c r="L345" s="43"/>
      <c r="M345" s="43"/>
      <c r="N345" s="43"/>
      <c r="O345" s="43"/>
      <c r="P345" s="43"/>
      <c r="Q345" s="43"/>
      <c r="R345" s="43"/>
      <c r="S345" s="43"/>
      <c r="T345" s="49"/>
      <c r="U345" s="49"/>
      <c r="V345" s="49"/>
      <c r="W345" s="49"/>
      <c r="X345" s="49"/>
      <c r="Y345" s="49"/>
      <c r="Z345" s="49"/>
      <c r="AA345" s="49"/>
      <c r="AB345" s="49"/>
      <c r="AC345" s="49"/>
      <c r="AD345" s="49"/>
      <c r="AE345" s="49"/>
    </row>
    <row r="346" spans="1:31">
      <c r="A346" s="43"/>
      <c r="B346" s="43"/>
      <c r="C346" s="43"/>
      <c r="D346" s="43"/>
      <c r="E346" s="43"/>
      <c r="F346" s="43"/>
      <c r="G346" s="43"/>
      <c r="H346" s="43"/>
      <c r="I346" s="43"/>
      <c r="J346" s="43"/>
      <c r="K346" s="43"/>
      <c r="L346" s="43"/>
      <c r="M346" s="43"/>
      <c r="N346" s="43"/>
      <c r="O346" s="43"/>
      <c r="P346" s="43"/>
      <c r="Q346" s="43"/>
      <c r="R346" s="43"/>
      <c r="S346" s="43"/>
      <c r="T346" s="49"/>
      <c r="U346" s="49"/>
      <c r="V346" s="49"/>
      <c r="W346" s="49"/>
      <c r="X346" s="49"/>
      <c r="Y346" s="49"/>
      <c r="Z346" s="49"/>
      <c r="AA346" s="49"/>
      <c r="AB346" s="49"/>
      <c r="AC346" s="49"/>
      <c r="AD346" s="49"/>
      <c r="AE346" s="49"/>
    </row>
    <row r="347" spans="1:31">
      <c r="A347" s="43"/>
      <c r="B347" s="43"/>
      <c r="C347" s="43"/>
      <c r="D347" s="43"/>
      <c r="E347" s="43"/>
      <c r="F347" s="43"/>
      <c r="G347" s="43"/>
      <c r="H347" s="43"/>
      <c r="I347" s="43"/>
      <c r="J347" s="43"/>
      <c r="K347" s="43"/>
      <c r="L347" s="43"/>
      <c r="M347" s="43"/>
      <c r="N347" s="43"/>
      <c r="O347" s="43"/>
      <c r="P347" s="43"/>
      <c r="Q347" s="43"/>
      <c r="R347" s="43"/>
      <c r="S347" s="43"/>
      <c r="T347" s="49"/>
      <c r="U347" s="49"/>
      <c r="V347" s="49"/>
      <c r="W347" s="49"/>
      <c r="X347" s="49"/>
      <c r="Y347" s="49"/>
      <c r="Z347" s="49"/>
      <c r="AA347" s="49"/>
      <c r="AB347" s="49"/>
      <c r="AC347" s="49"/>
      <c r="AD347" s="49"/>
      <c r="AE347" s="49"/>
    </row>
    <row r="348" spans="1:31">
      <c r="A348" s="43"/>
      <c r="B348" s="43"/>
      <c r="C348" s="43"/>
      <c r="D348" s="43"/>
      <c r="E348" s="43"/>
      <c r="F348" s="43"/>
      <c r="G348" s="43"/>
      <c r="H348" s="43"/>
      <c r="I348" s="43"/>
      <c r="J348" s="43"/>
      <c r="K348" s="43"/>
      <c r="L348" s="43"/>
      <c r="M348" s="43"/>
      <c r="N348" s="43"/>
      <c r="O348" s="43"/>
      <c r="P348" s="43"/>
      <c r="Q348" s="43"/>
      <c r="R348" s="43"/>
      <c r="S348" s="43"/>
      <c r="T348" s="49"/>
      <c r="U348" s="49"/>
      <c r="V348" s="49"/>
      <c r="W348" s="49"/>
      <c r="X348" s="49"/>
      <c r="Y348" s="49"/>
      <c r="Z348" s="49"/>
      <c r="AA348" s="49"/>
      <c r="AB348" s="49"/>
      <c r="AC348" s="49"/>
      <c r="AD348" s="49"/>
      <c r="AE348" s="49"/>
    </row>
    <row r="349" spans="1:31">
      <c r="A349" s="43"/>
      <c r="B349" s="43"/>
      <c r="C349" s="43"/>
      <c r="D349" s="43"/>
      <c r="E349" s="43"/>
      <c r="F349" s="43"/>
      <c r="G349" s="43"/>
      <c r="H349" s="43"/>
      <c r="I349" s="43"/>
      <c r="J349" s="43"/>
      <c r="K349" s="43"/>
      <c r="L349" s="43"/>
      <c r="M349" s="43"/>
      <c r="N349" s="43"/>
      <c r="O349" s="43"/>
      <c r="P349" s="43"/>
      <c r="Q349" s="43"/>
      <c r="R349" s="43"/>
      <c r="S349" s="43"/>
      <c r="T349" s="49"/>
      <c r="U349" s="49"/>
      <c r="V349" s="49"/>
      <c r="W349" s="49"/>
      <c r="X349" s="49"/>
      <c r="Y349" s="49"/>
      <c r="Z349" s="49"/>
      <c r="AA349" s="49"/>
      <c r="AB349" s="49"/>
      <c r="AC349" s="49"/>
      <c r="AD349" s="49"/>
      <c r="AE349" s="49"/>
    </row>
    <row r="350" spans="1:31">
      <c r="A350" s="43"/>
      <c r="B350" s="43"/>
      <c r="C350" s="43"/>
      <c r="D350" s="43"/>
      <c r="E350" s="43"/>
      <c r="F350" s="43"/>
      <c r="G350" s="43"/>
      <c r="H350" s="43"/>
      <c r="I350" s="43"/>
      <c r="J350" s="43"/>
      <c r="K350" s="43"/>
      <c r="L350" s="43"/>
      <c r="M350" s="43"/>
      <c r="N350" s="43"/>
      <c r="O350" s="43"/>
      <c r="P350" s="43"/>
      <c r="Q350" s="43"/>
      <c r="R350" s="43"/>
      <c r="S350" s="43"/>
      <c r="T350" s="49"/>
      <c r="U350" s="49"/>
      <c r="V350" s="49"/>
      <c r="W350" s="49"/>
      <c r="X350" s="49"/>
      <c r="Y350" s="49"/>
      <c r="Z350" s="49"/>
      <c r="AA350" s="49"/>
      <c r="AB350" s="49"/>
      <c r="AC350" s="49"/>
      <c r="AD350" s="49"/>
      <c r="AE350" s="49"/>
    </row>
    <row r="351" spans="1:31">
      <c r="A351" s="43"/>
      <c r="B351" s="43"/>
      <c r="C351" s="43"/>
      <c r="D351" s="43"/>
      <c r="E351" s="43"/>
      <c r="F351" s="43"/>
      <c r="G351" s="43"/>
      <c r="H351" s="43"/>
      <c r="I351" s="43"/>
      <c r="J351" s="43"/>
      <c r="K351" s="43"/>
      <c r="L351" s="43"/>
      <c r="M351" s="43"/>
      <c r="N351" s="43"/>
      <c r="O351" s="43"/>
      <c r="P351" s="43"/>
      <c r="Q351" s="43"/>
      <c r="R351" s="43"/>
      <c r="S351" s="43"/>
      <c r="T351" s="49"/>
      <c r="U351" s="49"/>
      <c r="V351" s="49"/>
      <c r="W351" s="49"/>
      <c r="X351" s="49"/>
      <c r="Y351" s="49"/>
      <c r="Z351" s="49"/>
      <c r="AA351" s="49"/>
      <c r="AB351" s="49"/>
      <c r="AC351" s="49"/>
      <c r="AD351" s="49"/>
      <c r="AE351" s="49"/>
    </row>
    <row r="352" spans="1:31">
      <c r="A352" s="43"/>
      <c r="B352" s="43"/>
      <c r="C352" s="43"/>
      <c r="D352" s="43"/>
      <c r="E352" s="43"/>
      <c r="F352" s="43"/>
      <c r="G352" s="43"/>
      <c r="H352" s="43"/>
      <c r="I352" s="43"/>
      <c r="J352" s="43"/>
      <c r="K352" s="43"/>
      <c r="L352" s="43"/>
      <c r="M352" s="43"/>
      <c r="N352" s="43"/>
      <c r="O352" s="43"/>
      <c r="P352" s="43"/>
      <c r="Q352" s="43"/>
      <c r="R352" s="43"/>
      <c r="S352" s="43"/>
      <c r="T352" s="49"/>
      <c r="U352" s="49"/>
      <c r="V352" s="49"/>
      <c r="W352" s="49"/>
      <c r="X352" s="49"/>
      <c r="Y352" s="49"/>
      <c r="Z352" s="49"/>
      <c r="AA352" s="49"/>
      <c r="AB352" s="49"/>
      <c r="AC352" s="49"/>
      <c r="AD352" s="49"/>
      <c r="AE352" s="49"/>
    </row>
    <row r="353" spans="1:31">
      <c r="A353" s="43"/>
      <c r="B353" s="43"/>
      <c r="C353" s="43"/>
      <c r="D353" s="43"/>
      <c r="E353" s="43"/>
      <c r="F353" s="43"/>
      <c r="G353" s="43"/>
      <c r="H353" s="43"/>
      <c r="I353" s="43"/>
      <c r="J353" s="43"/>
      <c r="K353" s="43"/>
      <c r="L353" s="43"/>
      <c r="M353" s="43"/>
      <c r="N353" s="43"/>
      <c r="O353" s="43"/>
      <c r="P353" s="43"/>
      <c r="Q353" s="43"/>
      <c r="R353" s="43"/>
      <c r="S353" s="43"/>
      <c r="T353" s="49"/>
      <c r="U353" s="49"/>
      <c r="V353" s="49"/>
      <c r="W353" s="49"/>
      <c r="X353" s="49"/>
      <c r="Y353" s="49"/>
      <c r="Z353" s="49"/>
      <c r="AA353" s="49"/>
      <c r="AB353" s="49"/>
      <c r="AC353" s="49"/>
      <c r="AD353" s="49"/>
      <c r="AE353" s="49"/>
    </row>
    <row r="354" spans="1:31">
      <c r="A354" s="43"/>
      <c r="B354" s="43"/>
      <c r="C354" s="43"/>
      <c r="D354" s="43"/>
      <c r="E354" s="43"/>
      <c r="F354" s="43"/>
      <c r="G354" s="43"/>
      <c r="H354" s="43"/>
      <c r="I354" s="43"/>
      <c r="J354" s="43"/>
      <c r="K354" s="43"/>
      <c r="L354" s="43"/>
      <c r="M354" s="43"/>
      <c r="N354" s="43"/>
      <c r="O354" s="43"/>
      <c r="P354" s="43"/>
      <c r="Q354" s="43"/>
      <c r="R354" s="43"/>
      <c r="S354" s="43"/>
      <c r="T354" s="49"/>
      <c r="U354" s="49"/>
      <c r="V354" s="49"/>
      <c r="W354" s="49"/>
      <c r="X354" s="49"/>
      <c r="Y354" s="49"/>
      <c r="Z354" s="49"/>
      <c r="AA354" s="49"/>
      <c r="AB354" s="49"/>
      <c r="AC354" s="49"/>
      <c r="AD354" s="49"/>
      <c r="AE354" s="49"/>
    </row>
    <row r="355" spans="1:31">
      <c r="A355" s="43"/>
      <c r="B355" s="43"/>
      <c r="C355" s="43"/>
      <c r="D355" s="43"/>
      <c r="E355" s="43"/>
      <c r="F355" s="43"/>
      <c r="G355" s="43"/>
      <c r="H355" s="43"/>
      <c r="I355" s="43"/>
      <c r="J355" s="43"/>
      <c r="K355" s="43"/>
      <c r="L355" s="43"/>
      <c r="M355" s="43"/>
      <c r="N355" s="43"/>
      <c r="O355" s="43"/>
      <c r="P355" s="43"/>
      <c r="Q355" s="43"/>
      <c r="R355" s="43"/>
      <c r="S355" s="43"/>
      <c r="T355" s="49"/>
      <c r="U355" s="49"/>
      <c r="V355" s="49"/>
      <c r="W355" s="49"/>
      <c r="X355" s="49"/>
      <c r="Y355" s="49"/>
      <c r="Z355" s="49"/>
      <c r="AA355" s="49"/>
      <c r="AB355" s="49"/>
      <c r="AC355" s="49"/>
      <c r="AD355" s="49"/>
      <c r="AE355" s="49"/>
    </row>
    <row r="356" spans="1:31">
      <c r="A356" s="43"/>
      <c r="B356" s="43"/>
      <c r="C356" s="43"/>
      <c r="D356" s="43"/>
      <c r="E356" s="43"/>
      <c r="F356" s="43"/>
      <c r="G356" s="43"/>
      <c r="H356" s="43"/>
      <c r="I356" s="43"/>
      <c r="J356" s="43"/>
      <c r="K356" s="43"/>
      <c r="L356" s="43"/>
      <c r="M356" s="43"/>
      <c r="N356" s="43"/>
      <c r="O356" s="43"/>
      <c r="P356" s="43"/>
      <c r="Q356" s="43"/>
      <c r="R356" s="43"/>
      <c r="S356" s="43"/>
      <c r="T356" s="49"/>
      <c r="U356" s="49"/>
      <c r="V356" s="49"/>
      <c r="W356" s="49"/>
      <c r="X356" s="49"/>
      <c r="Y356" s="49"/>
      <c r="Z356" s="49"/>
      <c r="AA356" s="49"/>
      <c r="AB356" s="49"/>
      <c r="AC356" s="49"/>
      <c r="AD356" s="49"/>
      <c r="AE356" s="49"/>
    </row>
    <row r="357" spans="1:31">
      <c r="A357" s="43"/>
      <c r="B357" s="43"/>
      <c r="C357" s="43"/>
      <c r="D357" s="43"/>
      <c r="E357" s="43"/>
      <c r="F357" s="43"/>
      <c r="G357" s="43"/>
      <c r="H357" s="43"/>
      <c r="I357" s="43"/>
      <c r="J357" s="43"/>
      <c r="K357" s="43"/>
      <c r="L357" s="43"/>
      <c r="M357" s="43"/>
      <c r="N357" s="43"/>
      <c r="O357" s="43"/>
      <c r="P357" s="43"/>
      <c r="Q357" s="43"/>
      <c r="R357" s="43"/>
      <c r="S357" s="43"/>
      <c r="T357" s="49"/>
      <c r="U357" s="49"/>
      <c r="V357" s="49"/>
      <c r="W357" s="49"/>
      <c r="X357" s="49"/>
      <c r="Y357" s="49"/>
      <c r="Z357" s="49"/>
      <c r="AA357" s="49"/>
      <c r="AB357" s="49"/>
      <c r="AC357" s="49"/>
      <c r="AD357" s="49"/>
      <c r="AE357" s="49"/>
    </row>
    <row r="358" spans="1:31">
      <c r="A358" s="43"/>
      <c r="B358" s="43"/>
      <c r="C358" s="43"/>
      <c r="D358" s="43"/>
      <c r="E358" s="43"/>
      <c r="F358" s="43"/>
      <c r="G358" s="43"/>
      <c r="H358" s="43"/>
      <c r="I358" s="43"/>
      <c r="J358" s="43"/>
      <c r="K358" s="43"/>
      <c r="L358" s="43"/>
      <c r="M358" s="43"/>
      <c r="N358" s="43"/>
      <c r="O358" s="43"/>
      <c r="P358" s="43"/>
      <c r="Q358" s="43"/>
      <c r="R358" s="43"/>
      <c r="S358" s="43"/>
      <c r="T358" s="49"/>
      <c r="U358" s="49"/>
      <c r="V358" s="49"/>
      <c r="W358" s="49"/>
      <c r="X358" s="49"/>
      <c r="Y358" s="49"/>
      <c r="Z358" s="49"/>
      <c r="AA358" s="49"/>
      <c r="AB358" s="49"/>
      <c r="AC358" s="49"/>
      <c r="AD358" s="49"/>
      <c r="AE358" s="49"/>
    </row>
    <row r="359" spans="1:31">
      <c r="A359" s="43"/>
      <c r="B359" s="43"/>
      <c r="C359" s="43"/>
      <c r="D359" s="43"/>
      <c r="E359" s="43"/>
      <c r="F359" s="43"/>
      <c r="G359" s="43"/>
      <c r="H359" s="43"/>
      <c r="I359" s="43"/>
      <c r="J359" s="43"/>
      <c r="K359" s="43"/>
      <c r="L359" s="43"/>
      <c r="M359" s="43"/>
      <c r="N359" s="43"/>
      <c r="O359" s="43"/>
      <c r="P359" s="43"/>
      <c r="Q359" s="43"/>
      <c r="R359" s="43"/>
      <c r="S359" s="43"/>
      <c r="T359" s="49"/>
      <c r="U359" s="49"/>
      <c r="V359" s="49"/>
      <c r="W359" s="49"/>
      <c r="X359" s="49"/>
      <c r="Y359" s="49"/>
      <c r="Z359" s="49"/>
      <c r="AA359" s="49"/>
      <c r="AB359" s="49"/>
      <c r="AC359" s="49"/>
      <c r="AD359" s="49"/>
      <c r="AE359" s="49"/>
    </row>
    <row r="360" spans="1:31">
      <c r="A360" s="43"/>
      <c r="B360" s="43"/>
      <c r="C360" s="43"/>
      <c r="D360" s="43"/>
      <c r="E360" s="43"/>
      <c r="F360" s="43"/>
      <c r="G360" s="43"/>
      <c r="H360" s="43"/>
      <c r="I360" s="43"/>
      <c r="J360" s="43"/>
      <c r="K360" s="43"/>
      <c r="L360" s="43"/>
      <c r="M360" s="43"/>
      <c r="N360" s="43"/>
      <c r="O360" s="43"/>
      <c r="P360" s="43"/>
      <c r="Q360" s="43"/>
      <c r="R360" s="43"/>
      <c r="S360" s="43"/>
      <c r="T360" s="49"/>
      <c r="U360" s="49"/>
      <c r="V360" s="49"/>
      <c r="W360" s="49"/>
      <c r="X360" s="49"/>
      <c r="Y360" s="49"/>
      <c r="Z360" s="49"/>
      <c r="AA360" s="49"/>
      <c r="AB360" s="49"/>
      <c r="AC360" s="49"/>
      <c r="AD360" s="49"/>
      <c r="AE360" s="49"/>
    </row>
    <row r="361" spans="1:31">
      <c r="A361" s="43"/>
      <c r="B361" s="43"/>
      <c r="C361" s="43"/>
      <c r="D361" s="43"/>
      <c r="E361" s="43"/>
      <c r="F361" s="43"/>
      <c r="G361" s="43"/>
      <c r="H361" s="43"/>
      <c r="I361" s="43"/>
      <c r="J361" s="43"/>
      <c r="K361" s="43"/>
      <c r="L361" s="43"/>
      <c r="M361" s="43"/>
      <c r="N361" s="43"/>
      <c r="O361" s="43"/>
      <c r="P361" s="43"/>
      <c r="Q361" s="43"/>
      <c r="R361" s="43"/>
      <c r="S361" s="43"/>
      <c r="T361" s="49"/>
      <c r="U361" s="49"/>
      <c r="V361" s="49"/>
      <c r="W361" s="49"/>
      <c r="X361" s="49"/>
      <c r="Y361" s="49"/>
      <c r="Z361" s="49"/>
      <c r="AA361" s="49"/>
      <c r="AB361" s="49"/>
      <c r="AC361" s="49"/>
      <c r="AD361" s="49"/>
      <c r="AE361" s="49"/>
    </row>
    <row r="362" spans="1:31">
      <c r="A362" s="43"/>
      <c r="B362" s="43"/>
      <c r="C362" s="43"/>
      <c r="D362" s="43"/>
      <c r="E362" s="43"/>
      <c r="F362" s="43"/>
      <c r="G362" s="43"/>
      <c r="H362" s="43"/>
      <c r="I362" s="43"/>
      <c r="J362" s="43"/>
      <c r="K362" s="43"/>
      <c r="L362" s="43"/>
      <c r="M362" s="43"/>
      <c r="N362" s="43"/>
      <c r="O362" s="43"/>
      <c r="P362" s="43"/>
      <c r="Q362" s="43"/>
      <c r="R362" s="43"/>
      <c r="S362" s="43"/>
      <c r="T362" s="49"/>
      <c r="U362" s="49"/>
      <c r="V362" s="49"/>
      <c r="W362" s="49"/>
      <c r="X362" s="49"/>
      <c r="Y362" s="49"/>
      <c r="Z362" s="49"/>
      <c r="AA362" s="49"/>
      <c r="AB362" s="49"/>
      <c r="AC362" s="49"/>
      <c r="AD362" s="49"/>
      <c r="AE362" s="49"/>
    </row>
    <row r="363" spans="1:31">
      <c r="A363" s="43"/>
      <c r="B363" s="43"/>
      <c r="C363" s="43"/>
      <c r="D363" s="43"/>
      <c r="E363" s="43"/>
      <c r="F363" s="43"/>
      <c r="G363" s="43"/>
      <c r="H363" s="43"/>
      <c r="I363" s="43"/>
      <c r="J363" s="43"/>
      <c r="K363" s="43"/>
      <c r="L363" s="43"/>
      <c r="M363" s="43"/>
      <c r="N363" s="43"/>
      <c r="O363" s="43"/>
      <c r="P363" s="43"/>
      <c r="Q363" s="43"/>
      <c r="R363" s="43"/>
      <c r="S363" s="43"/>
      <c r="T363" s="49"/>
      <c r="U363" s="49"/>
      <c r="V363" s="49"/>
      <c r="W363" s="49"/>
      <c r="X363" s="49"/>
      <c r="Y363" s="49"/>
      <c r="Z363" s="49"/>
      <c r="AA363" s="49"/>
      <c r="AB363" s="49"/>
      <c r="AC363" s="49"/>
      <c r="AD363" s="49"/>
      <c r="AE363" s="49"/>
    </row>
    <row r="364" spans="1:31">
      <c r="A364" s="43"/>
      <c r="B364" s="43"/>
      <c r="C364" s="43"/>
      <c r="D364" s="43"/>
      <c r="E364" s="43"/>
      <c r="F364" s="43"/>
      <c r="G364" s="43"/>
      <c r="H364" s="43"/>
      <c r="I364" s="43"/>
      <c r="J364" s="43"/>
      <c r="K364" s="43"/>
      <c r="L364" s="43"/>
      <c r="M364" s="43"/>
      <c r="N364" s="43"/>
      <c r="O364" s="43"/>
      <c r="P364" s="43"/>
      <c r="Q364" s="43"/>
      <c r="R364" s="43"/>
      <c r="S364" s="43"/>
      <c r="T364" s="49"/>
      <c r="U364" s="49"/>
      <c r="V364" s="49"/>
      <c r="W364" s="49"/>
      <c r="X364" s="49"/>
      <c r="Y364" s="49"/>
      <c r="Z364" s="49"/>
      <c r="AA364" s="49"/>
      <c r="AB364" s="49"/>
      <c r="AC364" s="49"/>
      <c r="AD364" s="49"/>
      <c r="AE364" s="49"/>
    </row>
    <row r="365" spans="1:31">
      <c r="A365" s="43"/>
      <c r="B365" s="43"/>
      <c r="C365" s="43"/>
      <c r="D365" s="43"/>
      <c r="E365" s="43"/>
      <c r="F365" s="43"/>
      <c r="G365" s="43"/>
      <c r="H365" s="43"/>
      <c r="I365" s="43"/>
      <c r="J365" s="43"/>
      <c r="K365" s="43"/>
      <c r="L365" s="43"/>
      <c r="M365" s="43"/>
      <c r="N365" s="43"/>
      <c r="O365" s="43"/>
      <c r="P365" s="43"/>
      <c r="Q365" s="43"/>
      <c r="R365" s="43"/>
      <c r="S365" s="43"/>
      <c r="T365" s="49"/>
      <c r="U365" s="49"/>
      <c r="V365" s="49"/>
      <c r="W365" s="49"/>
      <c r="X365" s="49"/>
      <c r="Y365" s="49"/>
      <c r="Z365" s="49"/>
      <c r="AA365" s="49"/>
      <c r="AB365" s="49"/>
      <c r="AC365" s="49"/>
      <c r="AD365" s="49"/>
      <c r="AE365" s="49"/>
    </row>
    <row r="366" spans="1:31">
      <c r="A366" s="43"/>
      <c r="B366" s="43"/>
      <c r="C366" s="43"/>
      <c r="D366" s="43"/>
      <c r="E366" s="43"/>
      <c r="F366" s="43"/>
      <c r="G366" s="43"/>
      <c r="H366" s="43"/>
      <c r="I366" s="43"/>
      <c r="J366" s="43"/>
      <c r="K366" s="43"/>
      <c r="L366" s="43"/>
      <c r="M366" s="43"/>
      <c r="N366" s="43"/>
      <c r="O366" s="43"/>
      <c r="P366" s="43"/>
      <c r="Q366" s="43"/>
      <c r="R366" s="43"/>
      <c r="S366" s="43"/>
      <c r="T366" s="49"/>
      <c r="U366" s="49"/>
      <c r="V366" s="49"/>
      <c r="W366" s="49"/>
      <c r="X366" s="49"/>
      <c r="Y366" s="49"/>
      <c r="Z366" s="49"/>
      <c r="AA366" s="49"/>
      <c r="AB366" s="49"/>
      <c r="AC366" s="49"/>
      <c r="AD366" s="49"/>
      <c r="AE366" s="49"/>
    </row>
    <row r="367" spans="1:31">
      <c r="A367" s="43"/>
      <c r="B367" s="43"/>
      <c r="C367" s="43"/>
      <c r="D367" s="43"/>
      <c r="E367" s="43"/>
      <c r="F367" s="43"/>
      <c r="G367" s="43"/>
      <c r="H367" s="43"/>
      <c r="I367" s="43"/>
      <c r="J367" s="43"/>
      <c r="K367" s="43"/>
      <c r="L367" s="43"/>
      <c r="M367" s="43"/>
      <c r="N367" s="43"/>
      <c r="O367" s="43"/>
      <c r="P367" s="43"/>
      <c r="Q367" s="43"/>
      <c r="R367" s="43"/>
      <c r="S367" s="43"/>
      <c r="T367" s="49"/>
      <c r="U367" s="49"/>
      <c r="V367" s="49"/>
      <c r="W367" s="49"/>
      <c r="X367" s="49"/>
      <c r="Y367" s="49"/>
      <c r="Z367" s="49"/>
      <c r="AA367" s="49"/>
      <c r="AB367" s="49"/>
      <c r="AC367" s="49"/>
      <c r="AD367" s="49"/>
      <c r="AE367" s="49"/>
    </row>
    <row r="368" spans="1:31">
      <c r="A368" s="43"/>
      <c r="B368" s="43"/>
      <c r="C368" s="43"/>
      <c r="D368" s="43"/>
      <c r="E368" s="43"/>
      <c r="F368" s="43"/>
      <c r="G368" s="43"/>
      <c r="H368" s="43"/>
      <c r="I368" s="43"/>
      <c r="J368" s="43"/>
      <c r="K368" s="43"/>
      <c r="L368" s="43"/>
      <c r="M368" s="43"/>
      <c r="N368" s="43"/>
      <c r="O368" s="43"/>
      <c r="P368" s="43"/>
      <c r="Q368" s="43"/>
      <c r="R368" s="43"/>
      <c r="S368" s="43"/>
      <c r="T368" s="49"/>
      <c r="U368" s="49"/>
      <c r="V368" s="49"/>
      <c r="W368" s="49"/>
      <c r="X368" s="49"/>
      <c r="Y368" s="49"/>
      <c r="Z368" s="49"/>
      <c r="AA368" s="49"/>
      <c r="AB368" s="49"/>
      <c r="AC368" s="49"/>
      <c r="AD368" s="49"/>
      <c r="AE368" s="49"/>
    </row>
    <row r="369" spans="1:31">
      <c r="A369" s="43"/>
      <c r="B369" s="43"/>
      <c r="C369" s="43"/>
      <c r="D369" s="43"/>
      <c r="E369" s="43"/>
      <c r="F369" s="43"/>
      <c r="G369" s="43"/>
      <c r="H369" s="43"/>
      <c r="I369" s="43"/>
      <c r="J369" s="43"/>
      <c r="K369" s="43"/>
      <c r="L369" s="43"/>
      <c r="M369" s="43"/>
      <c r="N369" s="43"/>
      <c r="O369" s="43"/>
      <c r="P369" s="43"/>
      <c r="Q369" s="43"/>
      <c r="R369" s="43"/>
      <c r="S369" s="43"/>
      <c r="T369" s="49"/>
      <c r="U369" s="49"/>
      <c r="V369" s="49"/>
      <c r="W369" s="49"/>
      <c r="X369" s="49"/>
      <c r="Y369" s="49"/>
      <c r="Z369" s="49"/>
      <c r="AA369" s="49"/>
      <c r="AB369" s="49"/>
      <c r="AC369" s="49"/>
      <c r="AD369" s="49"/>
      <c r="AE369" s="49"/>
    </row>
    <row r="370" spans="1:31">
      <c r="A370" s="43"/>
      <c r="B370" s="43"/>
      <c r="C370" s="43"/>
      <c r="D370" s="43"/>
      <c r="E370" s="43"/>
      <c r="F370" s="43"/>
      <c r="G370" s="43"/>
      <c r="H370" s="43"/>
      <c r="I370" s="43"/>
      <c r="J370" s="43"/>
      <c r="K370" s="43"/>
      <c r="L370" s="43"/>
      <c r="M370" s="43"/>
      <c r="N370" s="43"/>
      <c r="O370" s="43"/>
      <c r="P370" s="43"/>
      <c r="Q370" s="43"/>
      <c r="R370" s="43"/>
      <c r="S370" s="43"/>
      <c r="T370" s="49"/>
      <c r="U370" s="49"/>
      <c r="V370" s="49"/>
      <c r="W370" s="49"/>
      <c r="X370" s="49"/>
      <c r="Y370" s="49"/>
      <c r="Z370" s="49"/>
      <c r="AA370" s="49"/>
      <c r="AB370" s="49"/>
      <c r="AC370" s="49"/>
      <c r="AD370" s="49"/>
      <c r="AE370" s="49"/>
    </row>
    <row r="371" spans="1:31">
      <c r="A371" s="43"/>
      <c r="B371" s="43"/>
      <c r="C371" s="43"/>
      <c r="D371" s="43"/>
      <c r="E371" s="43"/>
      <c r="F371" s="43"/>
      <c r="G371" s="43"/>
      <c r="H371" s="43"/>
      <c r="I371" s="43"/>
      <c r="J371" s="43"/>
      <c r="K371" s="43"/>
      <c r="L371" s="43"/>
      <c r="M371" s="43"/>
      <c r="N371" s="43"/>
      <c r="O371" s="43"/>
      <c r="P371" s="43"/>
      <c r="Q371" s="43"/>
      <c r="R371" s="43"/>
      <c r="S371" s="43"/>
      <c r="T371" s="49"/>
      <c r="U371" s="49"/>
      <c r="V371" s="49"/>
      <c r="W371" s="49"/>
      <c r="X371" s="49"/>
      <c r="Y371" s="49"/>
      <c r="Z371" s="49"/>
      <c r="AA371" s="49"/>
      <c r="AB371" s="49"/>
      <c r="AC371" s="49"/>
      <c r="AD371" s="49"/>
      <c r="AE371" s="49"/>
    </row>
    <row r="372" spans="1:31">
      <c r="A372" s="43"/>
      <c r="B372" s="43"/>
      <c r="C372" s="43"/>
      <c r="D372" s="43"/>
      <c r="E372" s="43"/>
      <c r="F372" s="43"/>
      <c r="G372" s="43"/>
      <c r="H372" s="43"/>
      <c r="I372" s="43"/>
      <c r="J372" s="43"/>
      <c r="K372" s="43"/>
      <c r="L372" s="43"/>
      <c r="M372" s="43"/>
      <c r="N372" s="43"/>
      <c r="O372" s="43"/>
      <c r="P372" s="43"/>
      <c r="Q372" s="43"/>
      <c r="R372" s="43"/>
      <c r="S372" s="43"/>
      <c r="T372" s="49"/>
      <c r="U372" s="49"/>
      <c r="V372" s="49"/>
      <c r="W372" s="49"/>
      <c r="X372" s="49"/>
      <c r="Y372" s="49"/>
      <c r="Z372" s="49"/>
      <c r="AA372" s="49"/>
      <c r="AB372" s="49"/>
      <c r="AC372" s="49"/>
      <c r="AD372" s="49"/>
      <c r="AE372" s="49"/>
    </row>
    <row r="373" spans="1:31">
      <c r="A373" s="43"/>
      <c r="B373" s="43"/>
      <c r="C373" s="43"/>
      <c r="D373" s="43"/>
      <c r="E373" s="43"/>
      <c r="F373" s="43"/>
      <c r="G373" s="43"/>
      <c r="H373" s="43"/>
      <c r="I373" s="43"/>
      <c r="J373" s="43"/>
      <c r="K373" s="43"/>
      <c r="L373" s="43"/>
      <c r="M373" s="43"/>
      <c r="N373" s="43"/>
      <c r="O373" s="43"/>
      <c r="P373" s="43"/>
      <c r="Q373" s="43"/>
      <c r="R373" s="43"/>
      <c r="S373" s="43"/>
      <c r="T373" s="49"/>
      <c r="U373" s="49"/>
      <c r="V373" s="49"/>
      <c r="W373" s="49"/>
      <c r="X373" s="49"/>
      <c r="Y373" s="49"/>
      <c r="Z373" s="49"/>
      <c r="AA373" s="49"/>
      <c r="AB373" s="49"/>
      <c r="AC373" s="49"/>
      <c r="AD373" s="49"/>
      <c r="AE373" s="49"/>
    </row>
    <row r="374" spans="1:31">
      <c r="A374" s="43"/>
      <c r="B374" s="43"/>
      <c r="C374" s="43"/>
      <c r="D374" s="43"/>
      <c r="E374" s="43"/>
      <c r="F374" s="43"/>
      <c r="G374" s="43"/>
      <c r="H374" s="43"/>
      <c r="I374" s="43"/>
      <c r="J374" s="43"/>
      <c r="K374" s="43"/>
      <c r="L374" s="43"/>
      <c r="M374" s="43"/>
      <c r="N374" s="43"/>
      <c r="O374" s="43"/>
      <c r="P374" s="43"/>
      <c r="Q374" s="43"/>
      <c r="R374" s="43"/>
      <c r="S374" s="43"/>
      <c r="T374" s="49"/>
      <c r="U374" s="49"/>
      <c r="V374" s="49"/>
      <c r="W374" s="49"/>
      <c r="X374" s="49"/>
      <c r="Y374" s="49"/>
      <c r="Z374" s="49"/>
      <c r="AA374" s="49"/>
      <c r="AB374" s="49"/>
      <c r="AC374" s="49"/>
      <c r="AD374" s="49"/>
      <c r="AE374" s="49"/>
    </row>
    <row r="375" spans="1:31">
      <c r="A375" s="43"/>
      <c r="B375" s="43"/>
      <c r="C375" s="43"/>
      <c r="D375" s="43"/>
      <c r="E375" s="43"/>
      <c r="F375" s="43"/>
      <c r="G375" s="43"/>
      <c r="H375" s="43"/>
      <c r="I375" s="43"/>
      <c r="J375" s="43"/>
      <c r="K375" s="43"/>
      <c r="L375" s="43"/>
      <c r="M375" s="43"/>
      <c r="N375" s="43"/>
      <c r="O375" s="43"/>
      <c r="P375" s="43"/>
      <c r="Q375" s="43"/>
      <c r="R375" s="43"/>
      <c r="S375" s="43"/>
      <c r="T375" s="49"/>
      <c r="U375" s="49"/>
      <c r="V375" s="49"/>
      <c r="W375" s="49"/>
      <c r="X375" s="49"/>
      <c r="Y375" s="49"/>
      <c r="Z375" s="49"/>
      <c r="AA375" s="49"/>
      <c r="AB375" s="49"/>
      <c r="AC375" s="49"/>
      <c r="AD375" s="49"/>
      <c r="AE375" s="49"/>
    </row>
    <row r="376" spans="1:31">
      <c r="A376" s="43"/>
      <c r="B376" s="43"/>
      <c r="C376" s="43"/>
      <c r="D376" s="43"/>
      <c r="E376" s="43"/>
      <c r="F376" s="43"/>
      <c r="G376" s="43"/>
      <c r="H376" s="43"/>
      <c r="I376" s="43"/>
      <c r="J376" s="43"/>
      <c r="K376" s="43"/>
      <c r="L376" s="43"/>
      <c r="M376" s="43"/>
      <c r="N376" s="43"/>
      <c r="O376" s="43"/>
      <c r="P376" s="43"/>
      <c r="Q376" s="43"/>
      <c r="R376" s="43"/>
      <c r="S376" s="43"/>
      <c r="T376" s="49"/>
      <c r="U376" s="49"/>
      <c r="V376" s="49"/>
      <c r="W376" s="49"/>
      <c r="X376" s="49"/>
      <c r="Y376" s="49"/>
      <c r="Z376" s="49"/>
      <c r="AA376" s="49"/>
      <c r="AB376" s="49"/>
      <c r="AC376" s="49"/>
      <c r="AD376" s="49"/>
      <c r="AE376" s="49"/>
    </row>
    <row r="377" spans="1:31">
      <c r="A377" s="43"/>
      <c r="B377" s="43"/>
      <c r="C377" s="43"/>
      <c r="D377" s="43"/>
      <c r="E377" s="43"/>
      <c r="F377" s="43"/>
      <c r="G377" s="43"/>
      <c r="H377" s="43"/>
      <c r="I377" s="43"/>
      <c r="J377" s="43"/>
      <c r="K377" s="43"/>
      <c r="L377" s="43"/>
      <c r="M377" s="43"/>
      <c r="N377" s="43"/>
      <c r="O377" s="43"/>
      <c r="P377" s="43"/>
      <c r="Q377" s="43"/>
      <c r="R377" s="43"/>
      <c r="S377" s="43"/>
      <c r="T377" s="49"/>
      <c r="U377" s="49"/>
      <c r="V377" s="49"/>
      <c r="W377" s="49"/>
      <c r="X377" s="49"/>
      <c r="Y377" s="49"/>
      <c r="Z377" s="49"/>
      <c r="AA377" s="49"/>
      <c r="AB377" s="49"/>
      <c r="AC377" s="49"/>
      <c r="AD377" s="49"/>
      <c r="AE377" s="49"/>
    </row>
    <row r="378" spans="1:31">
      <c r="A378" s="43"/>
      <c r="B378" s="43"/>
      <c r="C378" s="43"/>
      <c r="D378" s="43"/>
      <c r="E378" s="43"/>
      <c r="F378" s="43"/>
      <c r="G378" s="43"/>
      <c r="H378" s="43"/>
      <c r="I378" s="43"/>
      <c r="J378" s="43"/>
      <c r="K378" s="43"/>
      <c r="L378" s="43"/>
      <c r="M378" s="43"/>
      <c r="N378" s="43"/>
      <c r="O378" s="43"/>
      <c r="P378" s="43"/>
      <c r="Q378" s="43"/>
      <c r="R378" s="43"/>
      <c r="S378" s="43"/>
      <c r="T378" s="49"/>
      <c r="U378" s="49"/>
      <c r="V378" s="49"/>
      <c r="W378" s="49"/>
      <c r="X378" s="49"/>
      <c r="Y378" s="49"/>
      <c r="Z378" s="49"/>
      <c r="AA378" s="49"/>
      <c r="AB378" s="49"/>
      <c r="AC378" s="49"/>
      <c r="AD378" s="49"/>
      <c r="AE378" s="49"/>
    </row>
    <row r="379" spans="1:31">
      <c r="A379" s="43"/>
      <c r="B379" s="43"/>
      <c r="C379" s="43"/>
      <c r="D379" s="43"/>
      <c r="E379" s="43"/>
      <c r="F379" s="43"/>
      <c r="G379" s="43"/>
      <c r="H379" s="43"/>
      <c r="I379" s="43"/>
      <c r="J379" s="43"/>
      <c r="K379" s="43"/>
      <c r="L379" s="43"/>
      <c r="M379" s="43"/>
      <c r="N379" s="43"/>
      <c r="O379" s="43"/>
      <c r="P379" s="43"/>
      <c r="Q379" s="43"/>
      <c r="R379" s="43"/>
      <c r="S379" s="43"/>
      <c r="T379" s="49"/>
      <c r="U379" s="49"/>
      <c r="V379" s="49"/>
      <c r="W379" s="49"/>
      <c r="X379" s="49"/>
      <c r="Y379" s="49"/>
      <c r="Z379" s="49"/>
      <c r="AA379" s="49"/>
      <c r="AB379" s="49"/>
      <c r="AC379" s="49"/>
      <c r="AD379" s="49"/>
      <c r="AE379" s="49"/>
    </row>
    <row r="380" spans="1:31">
      <c r="A380" s="43"/>
      <c r="B380" s="43"/>
      <c r="C380" s="43"/>
      <c r="D380" s="43"/>
      <c r="E380" s="43"/>
      <c r="F380" s="43"/>
      <c r="G380" s="43"/>
      <c r="H380" s="43"/>
      <c r="I380" s="43"/>
      <c r="J380" s="43"/>
      <c r="K380" s="43"/>
      <c r="L380" s="43"/>
      <c r="M380" s="43"/>
      <c r="N380" s="43"/>
      <c r="O380" s="43"/>
      <c r="P380" s="43"/>
      <c r="Q380" s="43"/>
      <c r="R380" s="43"/>
      <c r="S380" s="43"/>
      <c r="T380" s="49"/>
      <c r="U380" s="49"/>
      <c r="V380" s="49"/>
      <c r="W380" s="49"/>
      <c r="X380" s="49"/>
      <c r="Y380" s="49"/>
      <c r="Z380" s="49"/>
      <c r="AA380" s="49"/>
      <c r="AB380" s="49"/>
      <c r="AC380" s="49"/>
      <c r="AD380" s="49"/>
      <c r="AE380" s="49"/>
    </row>
    <row r="381" spans="1:31">
      <c r="A381" s="43"/>
      <c r="B381" s="43"/>
      <c r="C381" s="43"/>
      <c r="D381" s="43"/>
      <c r="E381" s="43"/>
      <c r="F381" s="43"/>
      <c r="G381" s="43"/>
      <c r="H381" s="43"/>
      <c r="I381" s="43"/>
      <c r="J381" s="43"/>
      <c r="K381" s="43"/>
      <c r="L381" s="43"/>
      <c r="M381" s="43"/>
      <c r="N381" s="43"/>
      <c r="O381" s="43"/>
      <c r="P381" s="43"/>
      <c r="Q381" s="43"/>
      <c r="R381" s="43"/>
      <c r="S381" s="43"/>
      <c r="T381" s="49"/>
      <c r="U381" s="49"/>
      <c r="V381" s="49"/>
      <c r="W381" s="49"/>
      <c r="X381" s="49"/>
      <c r="Y381" s="49"/>
      <c r="Z381" s="49"/>
      <c r="AA381" s="49"/>
      <c r="AB381" s="49"/>
      <c r="AC381" s="49"/>
      <c r="AD381" s="49"/>
      <c r="AE381" s="49"/>
    </row>
    <row r="382" spans="1:31">
      <c r="A382" s="43"/>
      <c r="B382" s="43"/>
      <c r="C382" s="43"/>
      <c r="D382" s="43"/>
      <c r="E382" s="43"/>
      <c r="F382" s="43"/>
      <c r="G382" s="43"/>
      <c r="H382" s="43"/>
      <c r="I382" s="43"/>
      <c r="J382" s="43"/>
      <c r="K382" s="43"/>
      <c r="L382" s="43"/>
      <c r="M382" s="43"/>
      <c r="N382" s="43"/>
      <c r="O382" s="43"/>
      <c r="P382" s="43"/>
      <c r="Q382" s="43"/>
      <c r="R382" s="43"/>
      <c r="S382" s="43"/>
      <c r="T382" s="49"/>
      <c r="U382" s="49"/>
      <c r="V382" s="49"/>
      <c r="W382" s="49"/>
      <c r="X382" s="49"/>
      <c r="Y382" s="49"/>
      <c r="Z382" s="49"/>
      <c r="AA382" s="49"/>
      <c r="AB382" s="49"/>
      <c r="AC382" s="49"/>
      <c r="AD382" s="49"/>
      <c r="AE382" s="49"/>
    </row>
    <row r="383" spans="1:31">
      <c r="A383" s="43"/>
      <c r="B383" s="43"/>
      <c r="C383" s="43"/>
      <c r="D383" s="43"/>
      <c r="E383" s="43"/>
      <c r="F383" s="43"/>
      <c r="G383" s="43"/>
      <c r="H383" s="43"/>
      <c r="I383" s="43"/>
      <c r="J383" s="43"/>
      <c r="K383" s="43"/>
      <c r="L383" s="43"/>
      <c r="M383" s="43"/>
      <c r="N383" s="43"/>
      <c r="O383" s="43"/>
      <c r="P383" s="43"/>
      <c r="Q383" s="43"/>
      <c r="R383" s="43"/>
      <c r="S383" s="43"/>
      <c r="T383" s="49"/>
      <c r="U383" s="49"/>
      <c r="V383" s="49"/>
      <c r="W383" s="49"/>
      <c r="X383" s="49"/>
      <c r="Y383" s="49"/>
      <c r="Z383" s="49"/>
      <c r="AA383" s="49"/>
      <c r="AB383" s="49"/>
      <c r="AC383" s="49"/>
      <c r="AD383" s="49"/>
      <c r="AE383" s="49"/>
    </row>
    <row r="384" spans="1:31">
      <c r="A384" s="43"/>
      <c r="B384" s="43"/>
      <c r="C384" s="43"/>
      <c r="D384" s="43"/>
      <c r="E384" s="43"/>
      <c r="F384" s="43"/>
      <c r="G384" s="43"/>
      <c r="H384" s="43"/>
      <c r="I384" s="43"/>
      <c r="J384" s="43"/>
      <c r="K384" s="43"/>
      <c r="L384" s="43"/>
      <c r="M384" s="43"/>
      <c r="N384" s="43"/>
      <c r="O384" s="43"/>
      <c r="P384" s="43"/>
      <c r="Q384" s="43"/>
      <c r="R384" s="43"/>
      <c r="S384" s="43"/>
      <c r="T384" s="49"/>
      <c r="U384" s="49"/>
      <c r="V384" s="49"/>
      <c r="W384" s="49"/>
      <c r="X384" s="49"/>
      <c r="Y384" s="49"/>
      <c r="Z384" s="49"/>
      <c r="AA384" s="49"/>
      <c r="AB384" s="49"/>
      <c r="AC384" s="49"/>
      <c r="AD384" s="49"/>
      <c r="AE384" s="49"/>
    </row>
    <row r="385" spans="1:31">
      <c r="A385" s="43"/>
      <c r="B385" s="43"/>
      <c r="C385" s="43"/>
      <c r="D385" s="43"/>
      <c r="E385" s="43"/>
      <c r="F385" s="43"/>
      <c r="G385" s="43"/>
      <c r="H385" s="43"/>
      <c r="I385" s="43"/>
      <c r="J385" s="43"/>
      <c r="K385" s="43"/>
      <c r="L385" s="43"/>
      <c r="M385" s="43"/>
      <c r="N385" s="43"/>
      <c r="O385" s="43"/>
      <c r="P385" s="43"/>
      <c r="Q385" s="43"/>
      <c r="R385" s="43"/>
      <c r="S385" s="43"/>
      <c r="T385" s="49"/>
      <c r="U385" s="49"/>
      <c r="V385" s="49"/>
      <c r="W385" s="49"/>
      <c r="X385" s="49"/>
      <c r="Y385" s="49"/>
      <c r="Z385" s="49"/>
      <c r="AA385" s="49"/>
      <c r="AB385" s="49"/>
      <c r="AC385" s="49"/>
      <c r="AD385" s="49"/>
      <c r="AE385" s="49"/>
    </row>
    <row r="386" spans="1:31">
      <c r="A386" s="43"/>
      <c r="B386" s="43"/>
      <c r="C386" s="43"/>
      <c r="D386" s="43"/>
      <c r="E386" s="43"/>
      <c r="F386" s="43"/>
      <c r="G386" s="43"/>
      <c r="H386" s="43"/>
      <c r="I386" s="43"/>
      <c r="J386" s="43"/>
      <c r="K386" s="43"/>
      <c r="L386" s="43"/>
      <c r="M386" s="43"/>
      <c r="N386" s="43"/>
      <c r="O386" s="43"/>
      <c r="P386" s="43"/>
      <c r="Q386" s="43"/>
      <c r="R386" s="43"/>
      <c r="S386" s="43"/>
      <c r="T386" s="49"/>
      <c r="U386" s="49"/>
      <c r="V386" s="49"/>
      <c r="W386" s="49"/>
      <c r="X386" s="49"/>
      <c r="Y386" s="49"/>
      <c r="Z386" s="49"/>
      <c r="AA386" s="49"/>
      <c r="AB386" s="49"/>
      <c r="AC386" s="49"/>
      <c r="AD386" s="49"/>
      <c r="AE386" s="49"/>
    </row>
    <row r="387" spans="1:31">
      <c r="A387" s="43"/>
      <c r="B387" s="43"/>
      <c r="C387" s="43"/>
      <c r="D387" s="43"/>
      <c r="E387" s="43"/>
      <c r="F387" s="43"/>
      <c r="G387" s="43"/>
      <c r="H387" s="43"/>
      <c r="I387" s="43"/>
      <c r="J387" s="43"/>
      <c r="K387" s="43"/>
      <c r="L387" s="43"/>
      <c r="M387" s="43"/>
      <c r="N387" s="43"/>
      <c r="O387" s="43"/>
      <c r="P387" s="43"/>
      <c r="Q387" s="43"/>
      <c r="R387" s="43"/>
      <c r="S387" s="43"/>
      <c r="T387" s="49"/>
      <c r="U387" s="49"/>
      <c r="V387" s="49"/>
      <c r="W387" s="49"/>
      <c r="X387" s="49"/>
      <c r="Y387" s="49"/>
      <c r="Z387" s="49"/>
      <c r="AA387" s="49"/>
      <c r="AB387" s="49"/>
      <c r="AC387" s="49"/>
      <c r="AD387" s="49"/>
      <c r="AE387" s="49"/>
    </row>
    <row r="388" spans="1:31">
      <c r="A388" s="43"/>
      <c r="B388" s="43"/>
      <c r="C388" s="43"/>
      <c r="D388" s="43"/>
      <c r="E388" s="43"/>
      <c r="F388" s="43"/>
      <c r="G388" s="43"/>
      <c r="H388" s="43"/>
      <c r="I388" s="43"/>
      <c r="J388" s="43"/>
      <c r="K388" s="43"/>
      <c r="L388" s="43"/>
      <c r="M388" s="43"/>
      <c r="N388" s="43"/>
      <c r="O388" s="43"/>
      <c r="P388" s="43"/>
      <c r="Q388" s="43"/>
      <c r="R388" s="43"/>
      <c r="S388" s="43"/>
      <c r="T388" s="49"/>
      <c r="U388" s="49"/>
      <c r="V388" s="49"/>
      <c r="W388" s="49"/>
      <c r="X388" s="49"/>
      <c r="Y388" s="49"/>
      <c r="Z388" s="49"/>
      <c r="AA388" s="49"/>
      <c r="AB388" s="49"/>
      <c r="AC388" s="49"/>
      <c r="AD388" s="49"/>
      <c r="AE388" s="49"/>
    </row>
    <row r="389" spans="1:31">
      <c r="A389" s="43"/>
      <c r="B389" s="43"/>
      <c r="C389" s="43"/>
      <c r="D389" s="43"/>
      <c r="E389" s="43"/>
      <c r="F389" s="43"/>
      <c r="G389" s="43"/>
      <c r="H389" s="43"/>
      <c r="I389" s="43"/>
      <c r="J389" s="43"/>
      <c r="K389" s="43"/>
      <c r="L389" s="43"/>
      <c r="M389" s="43"/>
      <c r="N389" s="43"/>
      <c r="O389" s="43"/>
      <c r="P389" s="43"/>
      <c r="Q389" s="43"/>
      <c r="R389" s="43"/>
      <c r="S389" s="43"/>
      <c r="T389" s="49"/>
      <c r="U389" s="49"/>
      <c r="V389" s="49"/>
      <c r="W389" s="49"/>
      <c r="X389" s="49"/>
      <c r="Y389" s="49"/>
      <c r="Z389" s="49"/>
      <c r="AA389" s="49"/>
      <c r="AB389" s="49"/>
      <c r="AC389" s="49"/>
      <c r="AD389" s="49"/>
      <c r="AE389" s="49"/>
    </row>
    <row r="390" spans="1:31">
      <c r="A390" s="43"/>
      <c r="B390" s="43"/>
      <c r="C390" s="43"/>
      <c r="D390" s="43"/>
      <c r="E390" s="43"/>
      <c r="F390" s="43"/>
      <c r="G390" s="43"/>
      <c r="H390" s="43"/>
      <c r="I390" s="43"/>
      <c r="J390" s="43"/>
      <c r="K390" s="43"/>
      <c r="L390" s="43"/>
      <c r="M390" s="43"/>
      <c r="N390" s="43"/>
      <c r="O390" s="43"/>
      <c r="P390" s="43"/>
      <c r="Q390" s="43"/>
      <c r="R390" s="43"/>
      <c r="S390" s="43"/>
      <c r="T390" s="49"/>
      <c r="U390" s="49"/>
      <c r="V390" s="49"/>
      <c r="W390" s="49"/>
      <c r="X390" s="49"/>
      <c r="Y390" s="49"/>
      <c r="Z390" s="49"/>
      <c r="AA390" s="49"/>
      <c r="AB390" s="49"/>
      <c r="AC390" s="49"/>
      <c r="AD390" s="49"/>
      <c r="AE390" s="49"/>
    </row>
    <row r="391" spans="1:31">
      <c r="A391" s="43"/>
      <c r="B391" s="43"/>
      <c r="C391" s="43"/>
      <c r="D391" s="43"/>
      <c r="E391" s="43"/>
      <c r="F391" s="43"/>
      <c r="G391" s="43"/>
      <c r="H391" s="43"/>
      <c r="I391" s="43"/>
      <c r="J391" s="43"/>
      <c r="K391" s="43"/>
      <c r="L391" s="43"/>
      <c r="M391" s="43"/>
      <c r="N391" s="43"/>
      <c r="O391" s="43"/>
      <c r="P391" s="43"/>
      <c r="Q391" s="43"/>
      <c r="R391" s="43"/>
      <c r="S391" s="43"/>
      <c r="T391" s="49"/>
      <c r="U391" s="49"/>
      <c r="V391" s="49"/>
      <c r="W391" s="49"/>
      <c r="X391" s="49"/>
      <c r="Y391" s="49"/>
      <c r="Z391" s="49"/>
      <c r="AA391" s="49"/>
      <c r="AB391" s="49"/>
      <c r="AC391" s="49"/>
      <c r="AD391" s="49"/>
      <c r="AE391" s="49"/>
    </row>
    <row r="392" spans="1:31">
      <c r="A392" s="43"/>
      <c r="B392" s="43"/>
      <c r="C392" s="43"/>
      <c r="D392" s="43"/>
      <c r="E392" s="43"/>
      <c r="F392" s="43"/>
      <c r="G392" s="43"/>
      <c r="H392" s="43"/>
      <c r="I392" s="43"/>
      <c r="J392" s="43"/>
      <c r="K392" s="43"/>
      <c r="L392" s="43"/>
      <c r="M392" s="43"/>
      <c r="N392" s="43"/>
      <c r="O392" s="43"/>
      <c r="P392" s="43"/>
      <c r="Q392" s="43"/>
      <c r="R392" s="43"/>
      <c r="S392" s="43"/>
      <c r="T392" s="49"/>
      <c r="U392" s="49"/>
      <c r="V392" s="49"/>
      <c r="W392" s="49"/>
      <c r="X392" s="49"/>
      <c r="Y392" s="49"/>
      <c r="Z392" s="49"/>
      <c r="AA392" s="49"/>
      <c r="AB392" s="49"/>
      <c r="AC392" s="49"/>
      <c r="AD392" s="49"/>
      <c r="AE392" s="49"/>
    </row>
    <row r="393" spans="1:31">
      <c r="A393" s="43"/>
      <c r="B393" s="43"/>
      <c r="C393" s="43"/>
      <c r="D393" s="43"/>
      <c r="E393" s="43"/>
      <c r="F393" s="43"/>
      <c r="G393" s="43"/>
      <c r="H393" s="43"/>
      <c r="I393" s="43"/>
      <c r="J393" s="43"/>
      <c r="K393" s="43"/>
      <c r="L393" s="43"/>
      <c r="M393" s="43"/>
      <c r="N393" s="43"/>
      <c r="O393" s="43"/>
      <c r="P393" s="43"/>
      <c r="Q393" s="43"/>
      <c r="R393" s="43"/>
      <c r="S393" s="43"/>
      <c r="T393" s="49"/>
      <c r="U393" s="49"/>
      <c r="V393" s="49"/>
      <c r="W393" s="49"/>
      <c r="X393" s="49"/>
      <c r="Y393" s="49"/>
      <c r="Z393" s="49"/>
      <c r="AA393" s="49"/>
      <c r="AB393" s="49"/>
      <c r="AC393" s="49"/>
      <c r="AD393" s="49"/>
      <c r="AE393" s="49"/>
    </row>
    <row r="394" spans="1:31">
      <c r="A394" s="43"/>
      <c r="B394" s="43"/>
      <c r="C394" s="43"/>
      <c r="D394" s="43"/>
      <c r="E394" s="43"/>
      <c r="F394" s="43"/>
      <c r="G394" s="43"/>
      <c r="H394" s="43"/>
      <c r="I394" s="43"/>
      <c r="J394" s="43"/>
      <c r="K394" s="43"/>
      <c r="L394" s="43"/>
      <c r="M394" s="43"/>
      <c r="N394" s="43"/>
      <c r="O394" s="43"/>
      <c r="P394" s="43"/>
      <c r="Q394" s="43"/>
      <c r="R394" s="43"/>
      <c r="S394" s="43"/>
      <c r="T394" s="49"/>
      <c r="U394" s="49"/>
      <c r="V394" s="49"/>
      <c r="W394" s="49"/>
      <c r="X394" s="49"/>
      <c r="Y394" s="49"/>
      <c r="Z394" s="49"/>
      <c r="AA394" s="49"/>
      <c r="AB394" s="49"/>
      <c r="AC394" s="49"/>
      <c r="AD394" s="49"/>
      <c r="AE394" s="49"/>
    </row>
    <row r="395" spans="1:31">
      <c r="A395" s="43"/>
      <c r="B395" s="43"/>
      <c r="C395" s="43"/>
      <c r="D395" s="43"/>
      <c r="E395" s="43"/>
      <c r="F395" s="43"/>
      <c r="G395" s="43"/>
      <c r="H395" s="43"/>
      <c r="I395" s="43"/>
      <c r="J395" s="43"/>
      <c r="K395" s="43"/>
      <c r="L395" s="43"/>
      <c r="M395" s="43"/>
      <c r="N395" s="43"/>
      <c r="O395" s="43"/>
      <c r="P395" s="43"/>
      <c r="Q395" s="43"/>
      <c r="R395" s="43"/>
      <c r="S395" s="43"/>
      <c r="T395" s="49"/>
      <c r="U395" s="49"/>
      <c r="V395" s="49"/>
      <c r="W395" s="49"/>
      <c r="X395" s="49"/>
      <c r="Y395" s="49"/>
      <c r="Z395" s="49"/>
      <c r="AA395" s="49"/>
      <c r="AB395" s="49"/>
      <c r="AC395" s="49"/>
      <c r="AD395" s="49"/>
      <c r="AE395" s="49"/>
    </row>
    <row r="396" spans="1:31">
      <c r="A396" s="43"/>
      <c r="B396" s="43"/>
      <c r="C396" s="43"/>
      <c r="D396" s="43"/>
      <c r="E396" s="43"/>
      <c r="F396" s="43"/>
      <c r="G396" s="43"/>
      <c r="H396" s="43"/>
      <c r="I396" s="43"/>
      <c r="J396" s="43"/>
      <c r="K396" s="43"/>
      <c r="L396" s="43"/>
      <c r="M396" s="43"/>
      <c r="N396" s="43"/>
      <c r="O396" s="43"/>
      <c r="P396" s="43"/>
      <c r="Q396" s="43"/>
      <c r="R396" s="43"/>
      <c r="S396" s="43"/>
      <c r="T396" s="49"/>
      <c r="U396" s="49"/>
      <c r="V396" s="49"/>
      <c r="W396" s="49"/>
      <c r="X396" s="49"/>
      <c r="Y396" s="49"/>
      <c r="Z396" s="49"/>
      <c r="AA396" s="49"/>
      <c r="AB396" s="49"/>
      <c r="AC396" s="49"/>
      <c r="AD396" s="49"/>
      <c r="AE396" s="49"/>
    </row>
    <row r="397" spans="1:31">
      <c r="A397" s="43"/>
      <c r="B397" s="43"/>
      <c r="C397" s="43"/>
      <c r="D397" s="43"/>
      <c r="E397" s="43"/>
      <c r="F397" s="43"/>
      <c r="G397" s="43"/>
      <c r="H397" s="43"/>
      <c r="I397" s="43"/>
      <c r="J397" s="43"/>
      <c r="K397" s="43"/>
      <c r="L397" s="43"/>
      <c r="M397" s="43"/>
      <c r="N397" s="43"/>
      <c r="O397" s="43"/>
      <c r="P397" s="43"/>
      <c r="Q397" s="43"/>
      <c r="R397" s="43"/>
      <c r="S397" s="43"/>
      <c r="T397" s="49"/>
      <c r="U397" s="49"/>
      <c r="V397" s="49"/>
      <c r="W397" s="49"/>
      <c r="X397" s="49"/>
      <c r="Y397" s="49"/>
      <c r="Z397" s="49"/>
      <c r="AA397" s="49"/>
      <c r="AB397" s="49"/>
      <c r="AC397" s="49"/>
      <c r="AD397" s="49"/>
      <c r="AE397" s="49"/>
    </row>
    <row r="398" spans="1:31">
      <c r="A398" s="43"/>
      <c r="B398" s="43"/>
      <c r="C398" s="43"/>
      <c r="D398" s="43"/>
      <c r="E398" s="43"/>
      <c r="F398" s="43"/>
      <c r="G398" s="43"/>
      <c r="H398" s="43"/>
      <c r="I398" s="43"/>
      <c r="J398" s="43"/>
      <c r="K398" s="43"/>
      <c r="L398" s="43"/>
      <c r="M398" s="43"/>
      <c r="N398" s="43"/>
      <c r="O398" s="43"/>
      <c r="P398" s="43"/>
      <c r="Q398" s="43"/>
      <c r="R398" s="43"/>
      <c r="S398" s="43"/>
      <c r="T398" s="49"/>
      <c r="U398" s="49"/>
      <c r="V398" s="49"/>
      <c r="W398" s="49"/>
      <c r="X398" s="49"/>
      <c r="Y398" s="49"/>
      <c r="Z398" s="49"/>
      <c r="AA398" s="49"/>
      <c r="AB398" s="49"/>
      <c r="AC398" s="49"/>
      <c r="AD398" s="49"/>
      <c r="AE398" s="49"/>
    </row>
    <row r="399" spans="1:31">
      <c r="A399" s="43"/>
      <c r="B399" s="43"/>
      <c r="C399" s="43"/>
      <c r="D399" s="43"/>
      <c r="E399" s="43"/>
      <c r="F399" s="43"/>
      <c r="G399" s="43"/>
      <c r="H399" s="43"/>
      <c r="I399" s="43"/>
      <c r="J399" s="43"/>
      <c r="K399" s="43"/>
      <c r="L399" s="43"/>
      <c r="M399" s="43"/>
      <c r="N399" s="43"/>
      <c r="O399" s="43"/>
      <c r="P399" s="43"/>
      <c r="Q399" s="43"/>
      <c r="R399" s="43"/>
      <c r="S399" s="43"/>
      <c r="T399" s="49"/>
      <c r="U399" s="49"/>
      <c r="V399" s="49"/>
      <c r="W399" s="49"/>
      <c r="X399" s="49"/>
      <c r="Y399" s="49"/>
      <c r="Z399" s="49"/>
      <c r="AA399" s="49"/>
      <c r="AB399" s="49"/>
      <c r="AC399" s="49"/>
      <c r="AD399" s="49"/>
      <c r="AE399" s="49"/>
    </row>
    <row r="400" spans="1:31">
      <c r="A400" s="43"/>
      <c r="B400" s="43"/>
      <c r="C400" s="43"/>
      <c r="D400" s="43"/>
      <c r="E400" s="43"/>
      <c r="F400" s="43"/>
      <c r="G400" s="43"/>
      <c r="H400" s="43"/>
      <c r="I400" s="43"/>
      <c r="J400" s="43"/>
      <c r="K400" s="43"/>
      <c r="L400" s="43"/>
      <c r="M400" s="43"/>
      <c r="N400" s="43"/>
      <c r="O400" s="43"/>
      <c r="P400" s="43"/>
      <c r="Q400" s="43"/>
      <c r="R400" s="43"/>
      <c r="S400" s="43"/>
      <c r="T400" s="49"/>
      <c r="U400" s="49"/>
      <c r="V400" s="49"/>
      <c r="W400" s="49"/>
      <c r="X400" s="49"/>
      <c r="Y400" s="49"/>
      <c r="Z400" s="49"/>
      <c r="AA400" s="49"/>
      <c r="AB400" s="49"/>
      <c r="AC400" s="49"/>
      <c r="AD400" s="49"/>
      <c r="AE400" s="49"/>
    </row>
    <row r="401" spans="1:31">
      <c r="A401" s="43"/>
      <c r="B401" s="43"/>
      <c r="C401" s="43"/>
      <c r="D401" s="43"/>
      <c r="E401" s="43"/>
      <c r="F401" s="43"/>
      <c r="G401" s="43"/>
      <c r="H401" s="43"/>
      <c r="I401" s="43"/>
      <c r="J401" s="43"/>
      <c r="K401" s="43"/>
      <c r="L401" s="43"/>
      <c r="M401" s="43"/>
      <c r="N401" s="43"/>
      <c r="O401" s="43"/>
      <c r="P401" s="43"/>
      <c r="Q401" s="43"/>
      <c r="R401" s="43"/>
      <c r="S401" s="43"/>
      <c r="T401" s="49"/>
      <c r="U401" s="49"/>
      <c r="V401" s="49"/>
      <c r="W401" s="49"/>
      <c r="X401" s="49"/>
      <c r="Y401" s="49"/>
      <c r="Z401" s="49"/>
      <c r="AA401" s="49"/>
      <c r="AB401" s="49"/>
      <c r="AC401" s="49"/>
      <c r="AD401" s="49"/>
      <c r="AE401" s="49"/>
    </row>
    <row r="402" spans="1:31">
      <c r="A402" s="43"/>
      <c r="B402" s="43"/>
      <c r="C402" s="43"/>
      <c r="D402" s="43"/>
      <c r="E402" s="43"/>
      <c r="F402" s="43"/>
      <c r="G402" s="43"/>
      <c r="H402" s="43"/>
      <c r="I402" s="43"/>
      <c r="J402" s="43"/>
      <c r="K402" s="43"/>
      <c r="L402" s="43"/>
      <c r="M402" s="43"/>
      <c r="N402" s="43"/>
      <c r="O402" s="43"/>
      <c r="P402" s="43"/>
      <c r="Q402" s="43"/>
      <c r="R402" s="43"/>
      <c r="S402" s="43"/>
      <c r="T402" s="49"/>
      <c r="U402" s="49"/>
      <c r="V402" s="49"/>
      <c r="W402" s="49"/>
      <c r="X402" s="49"/>
      <c r="Y402" s="49"/>
      <c r="Z402" s="49"/>
      <c r="AA402" s="49"/>
      <c r="AB402" s="49"/>
      <c r="AC402" s="49"/>
      <c r="AD402" s="49"/>
      <c r="AE402" s="49"/>
    </row>
    <row r="403" spans="1:31">
      <c r="A403" s="43"/>
      <c r="B403" s="43"/>
      <c r="C403" s="43"/>
      <c r="D403" s="43"/>
      <c r="E403" s="43"/>
      <c r="F403" s="43"/>
      <c r="G403" s="43"/>
      <c r="H403" s="43"/>
      <c r="I403" s="43"/>
      <c r="J403" s="43"/>
      <c r="K403" s="43"/>
      <c r="L403" s="43"/>
      <c r="M403" s="43"/>
      <c r="N403" s="43"/>
      <c r="O403" s="43"/>
      <c r="P403" s="43"/>
      <c r="Q403" s="43"/>
      <c r="R403" s="43"/>
      <c r="S403" s="43"/>
      <c r="T403" s="49"/>
      <c r="U403" s="49"/>
      <c r="V403" s="49"/>
      <c r="W403" s="49"/>
      <c r="X403" s="49"/>
      <c r="Y403" s="49"/>
      <c r="Z403" s="49"/>
      <c r="AA403" s="49"/>
      <c r="AB403" s="49"/>
      <c r="AC403" s="49"/>
      <c r="AD403" s="49"/>
      <c r="AE403" s="49"/>
    </row>
    <row r="404" spans="1:31">
      <c r="A404" s="43"/>
      <c r="B404" s="43"/>
      <c r="C404" s="43"/>
      <c r="D404" s="43"/>
      <c r="E404" s="43"/>
      <c r="F404" s="43"/>
      <c r="G404" s="43"/>
      <c r="H404" s="43"/>
      <c r="I404" s="43"/>
      <c r="J404" s="43"/>
      <c r="K404" s="43"/>
      <c r="L404" s="43"/>
      <c r="M404" s="43"/>
      <c r="N404" s="43"/>
      <c r="O404" s="43"/>
      <c r="P404" s="43"/>
      <c r="Q404" s="43"/>
      <c r="R404" s="43"/>
      <c r="S404" s="43"/>
      <c r="T404" s="49"/>
      <c r="U404" s="49"/>
      <c r="V404" s="49"/>
      <c r="W404" s="49"/>
      <c r="X404" s="49"/>
      <c r="Y404" s="49"/>
      <c r="Z404" s="49"/>
      <c r="AA404" s="49"/>
      <c r="AB404" s="49"/>
      <c r="AC404" s="49"/>
      <c r="AD404" s="49"/>
      <c r="AE404" s="49"/>
    </row>
    <row r="405" spans="1:31">
      <c r="A405" s="43"/>
      <c r="B405" s="43"/>
      <c r="C405" s="43"/>
      <c r="D405" s="43"/>
      <c r="E405" s="43"/>
      <c r="F405" s="43"/>
      <c r="G405" s="43"/>
      <c r="H405" s="43"/>
      <c r="I405" s="43"/>
      <c r="J405" s="43"/>
      <c r="K405" s="43"/>
      <c r="L405" s="43"/>
      <c r="M405" s="43"/>
      <c r="N405" s="43"/>
      <c r="O405" s="43"/>
      <c r="P405" s="43"/>
      <c r="Q405" s="43"/>
      <c r="R405" s="43"/>
      <c r="S405" s="43"/>
      <c r="T405" s="49"/>
      <c r="U405" s="49"/>
      <c r="V405" s="49"/>
      <c r="W405" s="49"/>
      <c r="X405" s="49"/>
      <c r="Y405" s="49"/>
      <c r="Z405" s="49"/>
      <c r="AA405" s="49"/>
      <c r="AB405" s="49"/>
      <c r="AC405" s="49"/>
      <c r="AD405" s="49"/>
      <c r="AE405" s="49"/>
    </row>
    <row r="406" spans="1:31">
      <c r="A406" s="43"/>
      <c r="B406" s="43"/>
      <c r="C406" s="43"/>
      <c r="D406" s="43"/>
      <c r="E406" s="43"/>
      <c r="F406" s="43"/>
      <c r="G406" s="43"/>
      <c r="H406" s="43"/>
      <c r="I406" s="43"/>
      <c r="J406" s="43"/>
      <c r="K406" s="43"/>
      <c r="L406" s="43"/>
      <c r="M406" s="43"/>
      <c r="N406" s="43"/>
      <c r="O406" s="43"/>
      <c r="P406" s="43"/>
      <c r="Q406" s="43"/>
      <c r="R406" s="43"/>
      <c r="S406" s="43"/>
      <c r="T406" s="49"/>
      <c r="U406" s="49"/>
      <c r="V406" s="49"/>
      <c r="W406" s="49"/>
      <c r="X406" s="49"/>
      <c r="Y406" s="49"/>
      <c r="Z406" s="49"/>
      <c r="AA406" s="49"/>
      <c r="AB406" s="49"/>
      <c r="AC406" s="49"/>
      <c r="AD406" s="49"/>
      <c r="AE406" s="49"/>
    </row>
    <row r="407" spans="1:31">
      <c r="A407" s="43"/>
      <c r="B407" s="43"/>
      <c r="C407" s="43"/>
      <c r="D407" s="43"/>
      <c r="E407" s="43"/>
      <c r="F407" s="43"/>
      <c r="G407" s="43"/>
      <c r="H407" s="43"/>
      <c r="I407" s="43"/>
      <c r="J407" s="43"/>
      <c r="K407" s="43"/>
      <c r="L407" s="43"/>
      <c r="M407" s="43"/>
      <c r="N407" s="43"/>
      <c r="O407" s="43"/>
      <c r="P407" s="43"/>
      <c r="Q407" s="43"/>
      <c r="R407" s="43"/>
      <c r="S407" s="43"/>
      <c r="T407" s="49"/>
      <c r="U407" s="49"/>
      <c r="V407" s="49"/>
      <c r="W407" s="49"/>
      <c r="X407" s="49"/>
      <c r="Y407" s="49"/>
      <c r="Z407" s="49"/>
      <c r="AA407" s="49"/>
      <c r="AB407" s="49"/>
      <c r="AC407" s="49"/>
      <c r="AD407" s="49"/>
      <c r="AE407" s="49"/>
    </row>
    <row r="408" spans="1:31">
      <c r="A408" s="43"/>
      <c r="B408" s="43"/>
      <c r="C408" s="43"/>
      <c r="D408" s="43"/>
      <c r="E408" s="43"/>
      <c r="F408" s="43"/>
      <c r="G408" s="43"/>
      <c r="H408" s="43"/>
      <c r="I408" s="43"/>
      <c r="J408" s="43"/>
      <c r="K408" s="43"/>
      <c r="L408" s="43"/>
      <c r="M408" s="43"/>
      <c r="N408" s="43"/>
      <c r="O408" s="43"/>
      <c r="P408" s="43"/>
      <c r="Q408" s="43"/>
      <c r="R408" s="43"/>
      <c r="S408" s="43"/>
      <c r="T408" s="49"/>
      <c r="U408" s="49"/>
      <c r="V408" s="49"/>
      <c r="W408" s="49"/>
      <c r="X408" s="49"/>
      <c r="Y408" s="49"/>
      <c r="Z408" s="49"/>
      <c r="AA408" s="49"/>
      <c r="AB408" s="49"/>
      <c r="AC408" s="49"/>
      <c r="AD408" s="49"/>
      <c r="AE408" s="49"/>
    </row>
    <row r="409" spans="1:31">
      <c r="A409" s="43"/>
      <c r="B409" s="43"/>
      <c r="C409" s="43"/>
      <c r="D409" s="43"/>
      <c r="E409" s="43"/>
      <c r="F409" s="43"/>
      <c r="G409" s="43"/>
      <c r="H409" s="43"/>
      <c r="I409" s="43"/>
      <c r="J409" s="43"/>
      <c r="K409" s="43"/>
      <c r="L409" s="43"/>
      <c r="M409" s="43"/>
      <c r="N409" s="43"/>
      <c r="O409" s="43"/>
      <c r="P409" s="43"/>
      <c r="Q409" s="43"/>
      <c r="R409" s="43"/>
      <c r="S409" s="43"/>
      <c r="T409" s="49"/>
      <c r="U409" s="49"/>
      <c r="V409" s="49"/>
      <c r="W409" s="49"/>
      <c r="X409" s="49"/>
      <c r="Y409" s="49"/>
      <c r="Z409" s="49"/>
      <c r="AA409" s="49"/>
      <c r="AB409" s="49"/>
      <c r="AC409" s="49"/>
      <c r="AD409" s="49"/>
      <c r="AE409" s="49"/>
    </row>
    <row r="410" spans="1:31">
      <c r="A410" s="43"/>
      <c r="B410" s="43"/>
      <c r="C410" s="43"/>
      <c r="D410" s="43"/>
      <c r="E410" s="43"/>
      <c r="F410" s="43"/>
      <c r="G410" s="43"/>
      <c r="H410" s="43"/>
      <c r="I410" s="43"/>
      <c r="J410" s="43"/>
      <c r="K410" s="43"/>
      <c r="L410" s="43"/>
      <c r="M410" s="43"/>
      <c r="N410" s="43"/>
      <c r="O410" s="43"/>
      <c r="P410" s="43"/>
      <c r="Q410" s="43"/>
      <c r="R410" s="43"/>
      <c r="S410" s="43"/>
      <c r="T410" s="49"/>
      <c r="U410" s="49"/>
      <c r="V410" s="49"/>
      <c r="W410" s="49"/>
      <c r="X410" s="49"/>
      <c r="Y410" s="49"/>
      <c r="Z410" s="49"/>
      <c r="AA410" s="49"/>
      <c r="AB410" s="49"/>
      <c r="AC410" s="49"/>
      <c r="AD410" s="49"/>
      <c r="AE410" s="49"/>
    </row>
    <row r="411" spans="1:31">
      <c r="A411" s="43"/>
      <c r="B411" s="43"/>
      <c r="C411" s="43"/>
      <c r="D411" s="43"/>
      <c r="E411" s="43"/>
      <c r="F411" s="43"/>
      <c r="G411" s="43"/>
      <c r="H411" s="43"/>
      <c r="I411" s="43"/>
      <c r="J411" s="43"/>
      <c r="K411" s="43"/>
      <c r="L411" s="43"/>
      <c r="M411" s="43"/>
      <c r="N411" s="43"/>
      <c r="O411" s="43"/>
      <c r="P411" s="43"/>
      <c r="Q411" s="43"/>
      <c r="R411" s="43"/>
      <c r="S411" s="43"/>
      <c r="T411" s="49"/>
      <c r="U411" s="49"/>
      <c r="V411" s="49"/>
      <c r="W411" s="49"/>
      <c r="X411" s="49"/>
      <c r="Y411" s="49"/>
      <c r="Z411" s="49"/>
      <c r="AA411" s="49"/>
      <c r="AB411" s="49"/>
      <c r="AC411" s="49"/>
      <c r="AD411" s="49"/>
      <c r="AE411" s="49"/>
    </row>
    <row r="412" spans="1:31">
      <c r="A412" s="43"/>
      <c r="B412" s="43"/>
      <c r="C412" s="43"/>
      <c r="D412" s="43"/>
      <c r="E412" s="43"/>
      <c r="F412" s="43"/>
      <c r="G412" s="43"/>
      <c r="H412" s="43"/>
      <c r="I412" s="43"/>
      <c r="J412" s="43"/>
      <c r="K412" s="43"/>
      <c r="L412" s="43"/>
      <c r="M412" s="43"/>
      <c r="N412" s="43"/>
      <c r="O412" s="43"/>
      <c r="P412" s="43"/>
      <c r="Q412" s="43"/>
      <c r="R412" s="43"/>
      <c r="S412" s="43"/>
      <c r="T412" s="49"/>
      <c r="U412" s="49"/>
      <c r="V412" s="49"/>
      <c r="W412" s="49"/>
      <c r="X412" s="49"/>
      <c r="Y412" s="49"/>
      <c r="Z412" s="49"/>
      <c r="AA412" s="49"/>
      <c r="AB412" s="49"/>
      <c r="AC412" s="49"/>
      <c r="AD412" s="49"/>
      <c r="AE412" s="49"/>
    </row>
    <row r="413" spans="1:31">
      <c r="A413" s="43"/>
      <c r="B413" s="43"/>
      <c r="C413" s="43"/>
      <c r="D413" s="43"/>
      <c r="E413" s="43"/>
      <c r="F413" s="43"/>
      <c r="G413" s="43"/>
      <c r="H413" s="43"/>
      <c r="I413" s="43"/>
      <c r="J413" s="43"/>
      <c r="K413" s="43"/>
      <c r="L413" s="43"/>
      <c r="M413" s="43"/>
      <c r="N413" s="43"/>
      <c r="O413" s="43"/>
      <c r="P413" s="43"/>
      <c r="Q413" s="43"/>
      <c r="R413" s="43"/>
      <c r="S413" s="43"/>
      <c r="T413" s="49"/>
      <c r="U413" s="49"/>
      <c r="V413" s="49"/>
      <c r="W413" s="49"/>
      <c r="X413" s="49"/>
      <c r="Y413" s="49"/>
      <c r="Z413" s="49"/>
      <c r="AA413" s="49"/>
      <c r="AB413" s="49"/>
      <c r="AC413" s="49"/>
      <c r="AD413" s="49"/>
      <c r="AE413" s="49"/>
    </row>
    <row r="414" spans="1:31">
      <c r="A414" s="43"/>
      <c r="B414" s="43"/>
      <c r="C414" s="43"/>
      <c r="D414" s="43"/>
      <c r="E414" s="43"/>
      <c r="F414" s="43"/>
      <c r="G414" s="43"/>
      <c r="H414" s="43"/>
      <c r="I414" s="43"/>
      <c r="J414" s="43"/>
      <c r="K414" s="43"/>
      <c r="L414" s="43"/>
      <c r="M414" s="43"/>
      <c r="N414" s="43"/>
      <c r="O414" s="43"/>
      <c r="P414" s="43"/>
      <c r="Q414" s="43"/>
      <c r="R414" s="43"/>
      <c r="S414" s="43"/>
      <c r="T414" s="49"/>
      <c r="U414" s="49"/>
      <c r="V414" s="49"/>
      <c r="W414" s="49"/>
      <c r="X414" s="49"/>
      <c r="Y414" s="49"/>
      <c r="Z414" s="49"/>
      <c r="AA414" s="49"/>
      <c r="AB414" s="49"/>
      <c r="AC414" s="49"/>
      <c r="AD414" s="49"/>
      <c r="AE414" s="49"/>
    </row>
    <row r="415" spans="1:31">
      <c r="A415" s="43"/>
      <c r="B415" s="43"/>
      <c r="C415" s="43"/>
      <c r="D415" s="43"/>
      <c r="E415" s="43"/>
      <c r="F415" s="43"/>
      <c r="G415" s="43"/>
      <c r="H415" s="43"/>
      <c r="I415" s="43"/>
      <c r="J415" s="43"/>
      <c r="K415" s="43"/>
      <c r="L415" s="43"/>
      <c r="M415" s="43"/>
      <c r="N415" s="43"/>
      <c r="O415" s="43"/>
      <c r="P415" s="43"/>
      <c r="Q415" s="43"/>
      <c r="R415" s="43"/>
      <c r="S415" s="43"/>
      <c r="T415" s="49"/>
      <c r="U415" s="49"/>
      <c r="V415" s="49"/>
      <c r="W415" s="49"/>
      <c r="X415" s="49"/>
      <c r="Y415" s="49"/>
      <c r="Z415" s="49"/>
      <c r="AA415" s="49"/>
      <c r="AB415" s="49"/>
      <c r="AC415" s="49"/>
      <c r="AD415" s="49"/>
      <c r="AE415" s="49"/>
    </row>
    <row r="416" spans="1:31">
      <c r="A416" s="43"/>
      <c r="B416" s="43"/>
      <c r="C416" s="43"/>
      <c r="D416" s="43"/>
      <c r="E416" s="43"/>
      <c r="F416" s="43"/>
      <c r="G416" s="43"/>
      <c r="H416" s="43"/>
      <c r="I416" s="43"/>
      <c r="J416" s="43"/>
      <c r="K416" s="43"/>
      <c r="L416" s="43"/>
      <c r="M416" s="43"/>
      <c r="N416" s="43"/>
      <c r="O416" s="43"/>
      <c r="P416" s="43"/>
      <c r="Q416" s="43"/>
      <c r="R416" s="43"/>
      <c r="S416" s="43"/>
      <c r="T416" s="49"/>
      <c r="U416" s="49"/>
      <c r="V416" s="49"/>
      <c r="W416" s="49"/>
      <c r="X416" s="49"/>
      <c r="Y416" s="49"/>
      <c r="Z416" s="49"/>
      <c r="AA416" s="49"/>
      <c r="AB416" s="49"/>
      <c r="AC416" s="49"/>
      <c r="AD416" s="49"/>
      <c r="AE416" s="49"/>
    </row>
    <row r="417" spans="1:31">
      <c r="A417" s="43"/>
      <c r="B417" s="43"/>
      <c r="C417" s="43"/>
      <c r="D417" s="43"/>
      <c r="E417" s="43"/>
      <c r="F417" s="43"/>
      <c r="G417" s="43"/>
      <c r="H417" s="43"/>
      <c r="I417" s="43"/>
      <c r="J417" s="43"/>
      <c r="K417" s="43"/>
      <c r="L417" s="43"/>
      <c r="M417" s="43"/>
      <c r="N417" s="43"/>
      <c r="O417" s="43"/>
      <c r="P417" s="43"/>
      <c r="Q417" s="43"/>
      <c r="R417" s="43"/>
      <c r="S417" s="43"/>
      <c r="T417" s="49"/>
      <c r="U417" s="49"/>
      <c r="V417" s="49"/>
      <c r="W417" s="49"/>
      <c r="X417" s="49"/>
      <c r="Y417" s="49"/>
      <c r="Z417" s="49"/>
      <c r="AA417" s="49"/>
      <c r="AB417" s="49"/>
      <c r="AC417" s="49"/>
      <c r="AD417" s="49"/>
      <c r="AE417" s="49"/>
    </row>
    <row r="418" spans="1:31">
      <c r="A418" s="43"/>
      <c r="B418" s="43"/>
      <c r="C418" s="43"/>
      <c r="D418" s="43"/>
      <c r="E418" s="43"/>
      <c r="F418" s="43"/>
      <c r="G418" s="43"/>
      <c r="H418" s="43"/>
      <c r="I418" s="43"/>
      <c r="J418" s="43"/>
      <c r="K418" s="43"/>
      <c r="L418" s="43"/>
      <c r="M418" s="43"/>
      <c r="N418" s="43"/>
      <c r="O418" s="43"/>
      <c r="P418" s="43"/>
      <c r="Q418" s="43"/>
      <c r="R418" s="43"/>
      <c r="S418" s="43"/>
      <c r="T418" s="49"/>
      <c r="U418" s="49"/>
      <c r="V418" s="49"/>
      <c r="W418" s="49"/>
      <c r="X418" s="49"/>
      <c r="Y418" s="49"/>
      <c r="Z418" s="49"/>
      <c r="AA418" s="49"/>
      <c r="AB418" s="49"/>
      <c r="AC418" s="49"/>
      <c r="AD418" s="49"/>
      <c r="AE418" s="49"/>
    </row>
    <row r="419" spans="1:31">
      <c r="A419" s="43"/>
      <c r="B419" s="43"/>
      <c r="C419" s="43"/>
      <c r="D419" s="43"/>
      <c r="E419" s="43"/>
      <c r="F419" s="43"/>
      <c r="G419" s="43"/>
      <c r="H419" s="43"/>
      <c r="I419" s="43"/>
      <c r="J419" s="43"/>
      <c r="K419" s="43"/>
      <c r="L419" s="43"/>
      <c r="M419" s="43"/>
      <c r="N419" s="43"/>
      <c r="O419" s="43"/>
      <c r="P419" s="43"/>
      <c r="Q419" s="43"/>
      <c r="R419" s="43"/>
      <c r="S419" s="43"/>
      <c r="T419" s="49"/>
      <c r="U419" s="49"/>
      <c r="V419" s="49"/>
      <c r="W419" s="49"/>
      <c r="X419" s="49"/>
      <c r="Y419" s="49"/>
      <c r="Z419" s="49"/>
      <c r="AA419" s="49"/>
      <c r="AB419" s="49"/>
      <c r="AC419" s="49"/>
      <c r="AD419" s="49"/>
      <c r="AE419" s="49"/>
    </row>
    <row r="420" spans="1:31">
      <c r="A420" s="43"/>
      <c r="B420" s="43"/>
      <c r="C420" s="43"/>
      <c r="D420" s="43"/>
      <c r="E420" s="43"/>
      <c r="F420" s="43"/>
      <c r="G420" s="43"/>
      <c r="H420" s="43"/>
      <c r="I420" s="43"/>
      <c r="J420" s="43"/>
      <c r="K420" s="43"/>
      <c r="L420" s="43"/>
      <c r="M420" s="43"/>
      <c r="N420" s="43"/>
      <c r="O420" s="43"/>
      <c r="P420" s="43"/>
      <c r="Q420" s="43"/>
      <c r="R420" s="43"/>
      <c r="S420" s="43"/>
      <c r="T420" s="49"/>
      <c r="U420" s="49"/>
      <c r="V420" s="49"/>
      <c r="W420" s="49"/>
      <c r="X420" s="49"/>
      <c r="Y420" s="49"/>
      <c r="Z420" s="49"/>
      <c r="AA420" s="49"/>
      <c r="AB420" s="49"/>
      <c r="AC420" s="49"/>
      <c r="AD420" s="49"/>
      <c r="AE420" s="49"/>
    </row>
    <row r="421" spans="1:31">
      <c r="A421" s="43"/>
      <c r="B421" s="43"/>
      <c r="C421" s="43"/>
      <c r="D421" s="43"/>
      <c r="E421" s="43"/>
      <c r="F421" s="43"/>
      <c r="G421" s="43"/>
      <c r="H421" s="43"/>
      <c r="I421" s="43"/>
      <c r="J421" s="43"/>
      <c r="K421" s="43"/>
      <c r="L421" s="43"/>
      <c r="M421" s="43"/>
      <c r="N421" s="43"/>
      <c r="O421" s="43"/>
      <c r="P421" s="43"/>
      <c r="Q421" s="43"/>
      <c r="R421" s="43"/>
      <c r="S421" s="43"/>
      <c r="T421" s="49"/>
      <c r="U421" s="49"/>
      <c r="V421" s="49"/>
      <c r="W421" s="49"/>
      <c r="X421" s="49"/>
      <c r="Y421" s="49"/>
      <c r="Z421" s="49"/>
      <c r="AA421" s="49"/>
      <c r="AB421" s="49"/>
      <c r="AC421" s="49"/>
      <c r="AD421" s="49"/>
      <c r="AE421" s="49"/>
    </row>
    <row r="422" spans="1:31">
      <c r="A422" s="43"/>
      <c r="B422" s="43"/>
      <c r="C422" s="43"/>
      <c r="D422" s="43"/>
      <c r="E422" s="43"/>
      <c r="F422" s="43"/>
      <c r="G422" s="43"/>
      <c r="H422" s="43"/>
      <c r="I422" s="43"/>
      <c r="J422" s="43"/>
      <c r="K422" s="43"/>
      <c r="L422" s="43"/>
      <c r="M422" s="43"/>
      <c r="N422" s="43"/>
      <c r="O422" s="43"/>
      <c r="P422" s="43"/>
      <c r="Q422" s="43"/>
      <c r="R422" s="43"/>
      <c r="S422" s="43"/>
      <c r="T422" s="49"/>
      <c r="U422" s="49"/>
      <c r="V422" s="49"/>
      <c r="W422" s="49"/>
      <c r="X422" s="49"/>
      <c r="Y422" s="49"/>
      <c r="Z422" s="49"/>
      <c r="AA422" s="49"/>
      <c r="AB422" s="49"/>
      <c r="AC422" s="49"/>
      <c r="AD422" s="49"/>
      <c r="AE422" s="49"/>
    </row>
    <row r="423" spans="1:31">
      <c r="A423" s="43"/>
      <c r="B423" s="43"/>
      <c r="C423" s="43"/>
      <c r="D423" s="43"/>
      <c r="E423" s="43"/>
      <c r="F423" s="43"/>
      <c r="G423" s="43"/>
      <c r="H423" s="43"/>
      <c r="I423" s="43"/>
      <c r="J423" s="43"/>
      <c r="K423" s="43"/>
      <c r="L423" s="43"/>
      <c r="M423" s="43"/>
      <c r="N423" s="43"/>
      <c r="O423" s="43"/>
      <c r="P423" s="43"/>
      <c r="Q423" s="43"/>
      <c r="R423" s="43"/>
      <c r="S423" s="43"/>
      <c r="T423" s="49"/>
      <c r="U423" s="49"/>
      <c r="V423" s="49"/>
      <c r="W423" s="49"/>
      <c r="X423" s="49"/>
      <c r="Y423" s="49"/>
      <c r="Z423" s="49"/>
      <c r="AA423" s="49"/>
      <c r="AB423" s="49"/>
      <c r="AC423" s="49"/>
      <c r="AD423" s="49"/>
      <c r="AE423" s="49"/>
    </row>
    <row r="424" spans="1:31">
      <c r="A424" s="43"/>
      <c r="B424" s="43"/>
      <c r="C424" s="43"/>
      <c r="D424" s="43"/>
      <c r="E424" s="43"/>
      <c r="F424" s="43"/>
      <c r="G424" s="43"/>
      <c r="H424" s="43"/>
      <c r="I424" s="43"/>
      <c r="J424" s="43"/>
      <c r="K424" s="43"/>
      <c r="L424" s="43"/>
      <c r="M424" s="43"/>
      <c r="N424" s="43"/>
      <c r="O424" s="43"/>
      <c r="P424" s="43"/>
      <c r="Q424" s="43"/>
      <c r="R424" s="43"/>
      <c r="S424" s="43"/>
      <c r="T424" s="49"/>
      <c r="U424" s="49"/>
      <c r="V424" s="49"/>
      <c r="W424" s="49"/>
      <c r="X424" s="49"/>
      <c r="Y424" s="49"/>
      <c r="Z424" s="49"/>
      <c r="AA424" s="49"/>
      <c r="AB424" s="49"/>
      <c r="AC424" s="49"/>
      <c r="AD424" s="49"/>
      <c r="AE424" s="49"/>
    </row>
    <row r="425" spans="1:31">
      <c r="A425" s="43"/>
      <c r="B425" s="43"/>
      <c r="C425" s="43"/>
      <c r="D425" s="43"/>
      <c r="E425" s="43"/>
      <c r="F425" s="43"/>
      <c r="G425" s="43"/>
      <c r="H425" s="43"/>
      <c r="I425" s="43"/>
      <c r="J425" s="43"/>
      <c r="K425" s="43"/>
      <c r="L425" s="43"/>
      <c r="M425" s="43"/>
      <c r="N425" s="43"/>
      <c r="O425" s="43"/>
      <c r="P425" s="43"/>
      <c r="Q425" s="43"/>
      <c r="R425" s="43"/>
      <c r="S425" s="43"/>
      <c r="T425" s="49"/>
      <c r="U425" s="49"/>
      <c r="V425" s="49"/>
      <c r="W425" s="49"/>
      <c r="X425" s="49"/>
      <c r="Y425" s="49"/>
      <c r="Z425" s="49"/>
      <c r="AA425" s="49"/>
      <c r="AB425" s="49"/>
      <c r="AC425" s="49"/>
      <c r="AD425" s="49"/>
      <c r="AE425" s="49"/>
    </row>
    <row r="426" spans="1:31">
      <c r="A426" s="43"/>
      <c r="B426" s="43"/>
      <c r="C426" s="43"/>
      <c r="D426" s="43"/>
      <c r="E426" s="43"/>
      <c r="F426" s="43"/>
      <c r="G426" s="43"/>
      <c r="H426" s="43"/>
      <c r="I426" s="43"/>
      <c r="J426" s="43"/>
      <c r="K426" s="43"/>
      <c r="L426" s="43"/>
      <c r="M426" s="43"/>
      <c r="N426" s="43"/>
      <c r="O426" s="43"/>
      <c r="P426" s="43"/>
      <c r="Q426" s="43"/>
      <c r="R426" s="43"/>
      <c r="S426" s="43"/>
      <c r="T426" s="49"/>
      <c r="U426" s="49"/>
      <c r="V426" s="49"/>
      <c r="W426" s="49"/>
      <c r="X426" s="49"/>
      <c r="Y426" s="49"/>
      <c r="Z426" s="49"/>
      <c r="AA426" s="49"/>
      <c r="AB426" s="49"/>
      <c r="AC426" s="49"/>
      <c r="AD426" s="49"/>
      <c r="AE426" s="49"/>
    </row>
    <row r="427" spans="1:31">
      <c r="A427" s="43"/>
      <c r="B427" s="43"/>
      <c r="C427" s="43"/>
      <c r="D427" s="43"/>
      <c r="E427" s="43"/>
      <c r="F427" s="43"/>
      <c r="G427" s="43"/>
      <c r="H427" s="43"/>
      <c r="I427" s="43"/>
      <c r="J427" s="43"/>
      <c r="K427" s="43"/>
      <c r="L427" s="43"/>
      <c r="M427" s="43"/>
      <c r="N427" s="43"/>
      <c r="O427" s="43"/>
      <c r="P427" s="43"/>
      <c r="Q427" s="43"/>
      <c r="R427" s="43"/>
      <c r="S427" s="43"/>
      <c r="T427" s="49"/>
      <c r="U427" s="49"/>
      <c r="V427" s="49"/>
      <c r="W427" s="49"/>
      <c r="X427" s="49"/>
      <c r="Y427" s="49"/>
      <c r="Z427" s="49"/>
      <c r="AA427" s="49"/>
      <c r="AB427" s="49"/>
      <c r="AC427" s="49"/>
      <c r="AD427" s="49"/>
      <c r="AE427" s="49"/>
    </row>
    <row r="428" spans="1:31">
      <c r="A428" s="43"/>
      <c r="B428" s="43"/>
      <c r="C428" s="43"/>
      <c r="D428" s="43"/>
      <c r="E428" s="43"/>
      <c r="F428" s="43"/>
      <c r="G428" s="43"/>
      <c r="H428" s="43"/>
      <c r="I428" s="43"/>
      <c r="J428" s="43"/>
      <c r="K428" s="43"/>
      <c r="L428" s="43"/>
      <c r="M428" s="43"/>
      <c r="N428" s="43"/>
      <c r="O428" s="43"/>
      <c r="P428" s="43"/>
      <c r="Q428" s="43"/>
      <c r="R428" s="43"/>
      <c r="S428" s="43"/>
      <c r="T428" s="49"/>
      <c r="U428" s="49"/>
      <c r="V428" s="49"/>
      <c r="W428" s="49"/>
      <c r="X428" s="49"/>
      <c r="Y428" s="49"/>
      <c r="Z428" s="49"/>
      <c r="AA428" s="49"/>
      <c r="AB428" s="49"/>
      <c r="AC428" s="49"/>
      <c r="AD428" s="49"/>
      <c r="AE428" s="49"/>
    </row>
    <row r="429" spans="1:31">
      <c r="A429" s="43"/>
      <c r="B429" s="43"/>
      <c r="C429" s="43"/>
      <c r="D429" s="43"/>
      <c r="E429" s="43"/>
      <c r="F429" s="43"/>
      <c r="G429" s="43"/>
      <c r="H429" s="43"/>
      <c r="I429" s="43"/>
      <c r="J429" s="43"/>
      <c r="K429" s="43"/>
      <c r="L429" s="43"/>
      <c r="M429" s="43"/>
      <c r="N429" s="43"/>
      <c r="O429" s="43"/>
      <c r="P429" s="43"/>
      <c r="Q429" s="43"/>
      <c r="R429" s="43"/>
      <c r="S429" s="43"/>
      <c r="T429" s="49"/>
      <c r="U429" s="49"/>
      <c r="V429" s="49"/>
      <c r="W429" s="49"/>
      <c r="X429" s="49"/>
      <c r="Y429" s="49"/>
      <c r="Z429" s="49"/>
      <c r="AA429" s="49"/>
      <c r="AB429" s="49"/>
      <c r="AC429" s="49"/>
      <c r="AD429" s="49"/>
      <c r="AE429" s="49"/>
    </row>
    <row r="430" spans="1:31">
      <c r="A430" s="43"/>
      <c r="B430" s="43"/>
      <c r="C430" s="43"/>
      <c r="D430" s="43"/>
      <c r="E430" s="43"/>
      <c r="F430" s="43"/>
      <c r="G430" s="43"/>
      <c r="H430" s="43"/>
      <c r="I430" s="43"/>
      <c r="J430" s="43"/>
      <c r="K430" s="43"/>
      <c r="L430" s="43"/>
      <c r="M430" s="43"/>
      <c r="N430" s="43"/>
      <c r="O430" s="43"/>
      <c r="P430" s="43"/>
      <c r="Q430" s="43"/>
      <c r="R430" s="43"/>
      <c r="S430" s="43"/>
      <c r="T430" s="49"/>
      <c r="U430" s="49"/>
      <c r="V430" s="49"/>
      <c r="W430" s="49"/>
      <c r="X430" s="49"/>
      <c r="Y430" s="49"/>
      <c r="Z430" s="49"/>
      <c r="AA430" s="49"/>
      <c r="AB430" s="49"/>
      <c r="AC430" s="49"/>
      <c r="AD430" s="49"/>
      <c r="AE430" s="49"/>
    </row>
    <row r="431" spans="1:31">
      <c r="A431" s="43"/>
      <c r="B431" s="43"/>
      <c r="C431" s="43"/>
      <c r="D431" s="43"/>
      <c r="E431" s="43"/>
      <c r="F431" s="43"/>
      <c r="G431" s="43"/>
      <c r="H431" s="43"/>
      <c r="I431" s="43"/>
      <c r="J431" s="43"/>
      <c r="K431" s="43"/>
      <c r="L431" s="43"/>
      <c r="M431" s="43"/>
      <c r="N431" s="43"/>
      <c r="O431" s="43"/>
      <c r="P431" s="43"/>
      <c r="Q431" s="43"/>
      <c r="R431" s="43"/>
      <c r="S431" s="43"/>
      <c r="T431" s="49"/>
      <c r="U431" s="49"/>
      <c r="V431" s="49"/>
      <c r="W431" s="49"/>
      <c r="X431" s="49"/>
      <c r="Y431" s="49"/>
      <c r="Z431" s="49"/>
      <c r="AA431" s="49"/>
      <c r="AB431" s="49"/>
      <c r="AC431" s="49"/>
      <c r="AD431" s="49"/>
      <c r="AE431" s="49"/>
    </row>
    <row r="432" spans="1:31">
      <c r="A432" s="43"/>
      <c r="B432" s="43"/>
      <c r="C432" s="43"/>
      <c r="D432" s="43"/>
      <c r="E432" s="43"/>
      <c r="F432" s="43"/>
      <c r="G432" s="43"/>
      <c r="H432" s="43"/>
      <c r="I432" s="43"/>
      <c r="J432" s="43"/>
      <c r="K432" s="43"/>
      <c r="L432" s="43"/>
      <c r="M432" s="43"/>
      <c r="N432" s="43"/>
      <c r="O432" s="43"/>
      <c r="P432" s="43"/>
      <c r="Q432" s="43"/>
      <c r="R432" s="43"/>
      <c r="S432" s="43"/>
      <c r="T432" s="49"/>
      <c r="U432" s="49"/>
      <c r="V432" s="49"/>
      <c r="W432" s="49"/>
      <c r="X432" s="49"/>
      <c r="Y432" s="49"/>
      <c r="Z432" s="49"/>
      <c r="AA432" s="49"/>
      <c r="AB432" s="49"/>
      <c r="AC432" s="49"/>
      <c r="AD432" s="49"/>
      <c r="AE432" s="49"/>
    </row>
    <row r="433" spans="1:31">
      <c r="A433" s="43"/>
      <c r="B433" s="43"/>
      <c r="C433" s="43"/>
      <c r="D433" s="43"/>
      <c r="E433" s="43"/>
      <c r="F433" s="43"/>
      <c r="G433" s="43"/>
      <c r="H433" s="43"/>
      <c r="I433" s="43"/>
      <c r="J433" s="43"/>
      <c r="K433" s="43"/>
      <c r="L433" s="43"/>
      <c r="M433" s="43"/>
      <c r="N433" s="43"/>
      <c r="O433" s="43"/>
      <c r="P433" s="43"/>
      <c r="Q433" s="43"/>
      <c r="R433" s="43"/>
      <c r="S433" s="43"/>
      <c r="T433" s="49"/>
      <c r="U433" s="49"/>
      <c r="V433" s="49"/>
      <c r="W433" s="49"/>
      <c r="X433" s="49"/>
      <c r="Y433" s="49"/>
      <c r="Z433" s="49"/>
      <c r="AA433" s="49"/>
      <c r="AB433" s="49"/>
      <c r="AC433" s="49"/>
      <c r="AD433" s="49"/>
      <c r="AE433" s="49"/>
    </row>
    <row r="434" spans="1:31">
      <c r="A434" s="43"/>
      <c r="B434" s="43"/>
      <c r="C434" s="43"/>
      <c r="D434" s="43"/>
      <c r="E434" s="43"/>
      <c r="F434" s="43"/>
      <c r="G434" s="43"/>
      <c r="H434" s="43"/>
      <c r="I434" s="43"/>
      <c r="J434" s="43"/>
      <c r="K434" s="43"/>
      <c r="L434" s="43"/>
      <c r="M434" s="43"/>
      <c r="N434" s="43"/>
      <c r="O434" s="43"/>
      <c r="P434" s="43"/>
      <c r="Q434" s="43"/>
      <c r="R434" s="43"/>
      <c r="S434" s="43"/>
      <c r="T434" s="49"/>
      <c r="U434" s="49"/>
      <c r="V434" s="49"/>
      <c r="W434" s="49"/>
      <c r="X434" s="49"/>
      <c r="Y434" s="49"/>
      <c r="Z434" s="49"/>
      <c r="AA434" s="49"/>
      <c r="AB434" s="49"/>
      <c r="AC434" s="49"/>
      <c r="AD434" s="49"/>
      <c r="AE434" s="49"/>
    </row>
    <row r="435" spans="1:31">
      <c r="A435" s="43"/>
      <c r="B435" s="43"/>
      <c r="C435" s="43"/>
      <c r="D435" s="43"/>
      <c r="E435" s="43"/>
      <c r="F435" s="43"/>
      <c r="G435" s="43"/>
      <c r="H435" s="43"/>
      <c r="I435" s="43"/>
      <c r="J435" s="43"/>
      <c r="K435" s="43"/>
      <c r="L435" s="43"/>
      <c r="M435" s="43"/>
      <c r="N435" s="43"/>
      <c r="O435" s="43"/>
      <c r="P435" s="43"/>
      <c r="Q435" s="43"/>
      <c r="R435" s="43"/>
      <c r="S435" s="43"/>
      <c r="T435" s="49"/>
      <c r="U435" s="49"/>
      <c r="V435" s="49"/>
      <c r="W435" s="49"/>
      <c r="X435" s="49"/>
      <c r="Y435" s="49"/>
      <c r="Z435" s="49"/>
      <c r="AA435" s="49"/>
      <c r="AB435" s="49"/>
      <c r="AC435" s="49"/>
      <c r="AD435" s="49"/>
      <c r="AE435" s="49"/>
    </row>
    <row r="436" spans="1:31">
      <c r="A436" s="43"/>
      <c r="B436" s="43"/>
      <c r="C436" s="43"/>
      <c r="D436" s="43"/>
      <c r="E436" s="43"/>
      <c r="F436" s="43"/>
      <c r="G436" s="43"/>
      <c r="H436" s="43"/>
      <c r="I436" s="43"/>
      <c r="J436" s="43"/>
      <c r="K436" s="43"/>
      <c r="L436" s="43"/>
      <c r="M436" s="43"/>
      <c r="N436" s="43"/>
      <c r="O436" s="43"/>
      <c r="P436" s="43"/>
      <c r="Q436" s="43"/>
      <c r="R436" s="43"/>
      <c r="S436" s="43"/>
      <c r="T436" s="49"/>
      <c r="U436" s="49"/>
      <c r="V436" s="49"/>
      <c r="W436" s="49"/>
      <c r="X436" s="49"/>
      <c r="Y436" s="49"/>
      <c r="Z436" s="49"/>
      <c r="AA436" s="49"/>
      <c r="AB436" s="49"/>
      <c r="AC436" s="49"/>
      <c r="AD436" s="49"/>
      <c r="AE436" s="49"/>
    </row>
    <row r="437" spans="1:31">
      <c r="A437" s="43"/>
      <c r="B437" s="43"/>
      <c r="C437" s="43"/>
      <c r="D437" s="43"/>
      <c r="E437" s="43"/>
      <c r="F437" s="43"/>
      <c r="G437" s="43"/>
      <c r="H437" s="43"/>
      <c r="I437" s="43"/>
      <c r="J437" s="43"/>
      <c r="K437" s="43"/>
      <c r="L437" s="43"/>
      <c r="M437" s="43"/>
      <c r="N437" s="43"/>
      <c r="O437" s="43"/>
      <c r="P437" s="43"/>
      <c r="Q437" s="43"/>
      <c r="R437" s="43"/>
      <c r="S437" s="43"/>
      <c r="T437" s="49"/>
      <c r="U437" s="49"/>
      <c r="V437" s="49"/>
      <c r="W437" s="49"/>
      <c r="X437" s="49"/>
      <c r="Y437" s="49"/>
      <c r="Z437" s="49"/>
      <c r="AA437" s="49"/>
      <c r="AB437" s="49"/>
      <c r="AC437" s="49"/>
      <c r="AD437" s="49"/>
      <c r="AE437" s="49"/>
    </row>
    <row r="438" spans="1:31">
      <c r="A438" s="43"/>
      <c r="B438" s="43"/>
      <c r="C438" s="43"/>
      <c r="D438" s="43"/>
      <c r="E438" s="43"/>
      <c r="F438" s="43"/>
      <c r="G438" s="43"/>
      <c r="H438" s="43"/>
      <c r="I438" s="43"/>
      <c r="J438" s="43"/>
      <c r="K438" s="43"/>
      <c r="L438" s="43"/>
      <c r="M438" s="43"/>
      <c r="N438" s="43"/>
      <c r="O438" s="43"/>
      <c r="P438" s="43"/>
      <c r="Q438" s="43"/>
      <c r="R438" s="43"/>
      <c r="S438" s="43"/>
      <c r="T438" s="49"/>
      <c r="U438" s="49"/>
      <c r="V438" s="49"/>
      <c r="W438" s="49"/>
      <c r="X438" s="49"/>
      <c r="Y438" s="49"/>
      <c r="Z438" s="49"/>
      <c r="AA438" s="49"/>
      <c r="AB438" s="49"/>
      <c r="AC438" s="49"/>
      <c r="AD438" s="49"/>
      <c r="AE438" s="49"/>
    </row>
    <row r="439" spans="1:31">
      <c r="A439" s="43"/>
      <c r="B439" s="43"/>
      <c r="C439" s="43"/>
      <c r="D439" s="43"/>
      <c r="E439" s="43"/>
      <c r="F439" s="43"/>
      <c r="G439" s="43"/>
      <c r="H439" s="43"/>
      <c r="I439" s="43"/>
      <c r="J439" s="43"/>
      <c r="K439" s="43"/>
      <c r="L439" s="43"/>
      <c r="M439" s="43"/>
      <c r="N439" s="43"/>
      <c r="O439" s="43"/>
      <c r="P439" s="43"/>
      <c r="Q439" s="43"/>
      <c r="R439" s="43"/>
      <c r="S439" s="43"/>
      <c r="T439" s="49"/>
      <c r="U439" s="49"/>
      <c r="V439" s="49"/>
      <c r="W439" s="49"/>
      <c r="X439" s="49"/>
      <c r="Y439" s="49"/>
      <c r="Z439" s="49"/>
      <c r="AA439" s="49"/>
      <c r="AB439" s="49"/>
      <c r="AC439" s="49"/>
      <c r="AD439" s="49"/>
      <c r="AE439" s="49"/>
    </row>
    <row r="440" spans="1:31">
      <c r="A440" s="43"/>
      <c r="B440" s="43"/>
      <c r="C440" s="43"/>
      <c r="D440" s="43"/>
      <c r="E440" s="43"/>
      <c r="F440" s="43"/>
      <c r="G440" s="43"/>
      <c r="H440" s="43"/>
      <c r="I440" s="43"/>
      <c r="J440" s="43"/>
      <c r="K440" s="43"/>
      <c r="L440" s="43"/>
      <c r="M440" s="43"/>
      <c r="N440" s="43"/>
      <c r="O440" s="43"/>
      <c r="P440" s="43"/>
      <c r="Q440" s="43"/>
      <c r="R440" s="43"/>
      <c r="S440" s="43"/>
      <c r="T440" s="49"/>
      <c r="U440" s="49"/>
      <c r="V440" s="49"/>
      <c r="W440" s="49"/>
      <c r="X440" s="49"/>
      <c r="Y440" s="49"/>
      <c r="Z440" s="49"/>
      <c r="AA440" s="49"/>
      <c r="AB440" s="49"/>
      <c r="AC440" s="49"/>
      <c r="AD440" s="49"/>
      <c r="AE440" s="49"/>
    </row>
    <row r="441" spans="1:31">
      <c r="A441" s="43"/>
      <c r="B441" s="43"/>
      <c r="C441" s="43"/>
      <c r="D441" s="43"/>
      <c r="E441" s="43"/>
      <c r="F441" s="43"/>
      <c r="G441" s="43"/>
      <c r="H441" s="43"/>
      <c r="I441" s="43"/>
      <c r="J441" s="43"/>
      <c r="K441" s="43"/>
      <c r="L441" s="43"/>
      <c r="M441" s="43"/>
      <c r="N441" s="43"/>
      <c r="O441" s="43"/>
      <c r="P441" s="43"/>
      <c r="Q441" s="43"/>
      <c r="R441" s="43"/>
      <c r="S441" s="43"/>
      <c r="T441" s="49"/>
      <c r="U441" s="49"/>
      <c r="V441" s="49"/>
      <c r="W441" s="49"/>
      <c r="X441" s="49"/>
      <c r="Y441" s="49"/>
      <c r="Z441" s="49"/>
      <c r="AA441" s="49"/>
      <c r="AB441" s="49"/>
      <c r="AC441" s="49"/>
      <c r="AD441" s="49"/>
      <c r="AE441" s="49"/>
    </row>
    <row r="442" spans="1:31">
      <c r="A442" s="43"/>
      <c r="B442" s="43"/>
      <c r="C442" s="43"/>
      <c r="D442" s="43"/>
      <c r="E442" s="43"/>
      <c r="F442" s="43"/>
      <c r="G442" s="43"/>
      <c r="H442" s="43"/>
      <c r="I442" s="43"/>
      <c r="J442" s="43"/>
      <c r="K442" s="43"/>
      <c r="L442" s="43"/>
      <c r="M442" s="43"/>
      <c r="N442" s="43"/>
      <c r="O442" s="43"/>
      <c r="P442" s="43"/>
      <c r="Q442" s="43"/>
      <c r="R442" s="43"/>
      <c r="S442" s="43"/>
      <c r="T442" s="49"/>
      <c r="U442" s="49"/>
      <c r="V442" s="49"/>
      <c r="W442" s="49"/>
      <c r="X442" s="49"/>
      <c r="Y442" s="49"/>
      <c r="Z442" s="49"/>
      <c r="AA442" s="49"/>
      <c r="AB442" s="49"/>
      <c r="AC442" s="49"/>
      <c r="AD442" s="49"/>
      <c r="AE442" s="49"/>
    </row>
    <row r="443" spans="1:31">
      <c r="A443" s="43"/>
      <c r="B443" s="43"/>
      <c r="C443" s="43"/>
      <c r="D443" s="43"/>
      <c r="E443" s="43"/>
      <c r="F443" s="43"/>
      <c r="G443" s="43"/>
      <c r="H443" s="43"/>
      <c r="I443" s="43"/>
      <c r="J443" s="43"/>
      <c r="K443" s="43"/>
      <c r="L443" s="43"/>
      <c r="M443" s="43"/>
      <c r="N443" s="43"/>
      <c r="O443" s="43"/>
      <c r="P443" s="43"/>
      <c r="Q443" s="43"/>
      <c r="R443" s="43"/>
      <c r="S443" s="43"/>
      <c r="T443" s="49"/>
      <c r="U443" s="49"/>
      <c r="V443" s="49"/>
      <c r="W443" s="49"/>
      <c r="X443" s="49"/>
      <c r="Y443" s="49"/>
      <c r="Z443" s="49"/>
      <c r="AA443" s="49"/>
      <c r="AB443" s="49"/>
      <c r="AC443" s="49"/>
      <c r="AD443" s="49"/>
      <c r="AE443" s="49"/>
    </row>
    <row r="444" spans="1:31">
      <c r="A444" s="43"/>
      <c r="B444" s="43"/>
      <c r="C444" s="43"/>
      <c r="D444" s="43"/>
      <c r="E444" s="43"/>
      <c r="F444" s="43"/>
      <c r="G444" s="43"/>
      <c r="H444" s="43"/>
      <c r="I444" s="43"/>
      <c r="J444" s="43"/>
      <c r="K444" s="43"/>
      <c r="L444" s="43"/>
      <c r="M444" s="43"/>
      <c r="N444" s="43"/>
      <c r="O444" s="43"/>
      <c r="P444" s="43"/>
      <c r="Q444" s="43"/>
      <c r="R444" s="43"/>
      <c r="S444" s="43"/>
      <c r="T444" s="49"/>
      <c r="U444" s="49"/>
      <c r="V444" s="49"/>
      <c r="W444" s="49"/>
      <c r="X444" s="49"/>
      <c r="Y444" s="49"/>
      <c r="Z444" s="49"/>
      <c r="AA444" s="49"/>
      <c r="AB444" s="49"/>
      <c r="AC444" s="49"/>
      <c r="AD444" s="49"/>
      <c r="AE444" s="49"/>
    </row>
    <row r="445" spans="1:31">
      <c r="A445" s="43"/>
      <c r="B445" s="43"/>
      <c r="C445" s="43"/>
      <c r="D445" s="43"/>
      <c r="E445" s="43"/>
      <c r="F445" s="43"/>
      <c r="G445" s="43"/>
      <c r="H445" s="43"/>
      <c r="I445" s="43"/>
      <c r="J445" s="43"/>
      <c r="K445" s="43"/>
      <c r="L445" s="43"/>
      <c r="M445" s="43"/>
      <c r="N445" s="43"/>
      <c r="O445" s="43"/>
      <c r="P445" s="43"/>
      <c r="Q445" s="43"/>
      <c r="R445" s="43"/>
      <c r="S445" s="43"/>
      <c r="T445" s="49"/>
      <c r="U445" s="49"/>
      <c r="V445" s="49"/>
      <c r="W445" s="49"/>
      <c r="X445" s="49"/>
      <c r="Y445" s="49"/>
      <c r="Z445" s="49"/>
      <c r="AA445" s="49"/>
      <c r="AB445" s="49"/>
      <c r="AC445" s="49"/>
      <c r="AD445" s="49"/>
      <c r="AE445" s="49"/>
    </row>
    <row r="446" spans="1:31">
      <c r="A446" s="43"/>
      <c r="B446" s="43"/>
      <c r="C446" s="43"/>
      <c r="D446" s="43"/>
      <c r="E446" s="43"/>
      <c r="F446" s="43"/>
      <c r="G446" s="43"/>
      <c r="H446" s="43"/>
      <c r="I446" s="43"/>
      <c r="J446" s="43"/>
      <c r="K446" s="43"/>
      <c r="L446" s="43"/>
      <c r="M446" s="43"/>
      <c r="N446" s="43"/>
      <c r="O446" s="43"/>
      <c r="P446" s="43"/>
      <c r="Q446" s="43"/>
      <c r="R446" s="43"/>
      <c r="S446" s="43"/>
      <c r="T446" s="49"/>
      <c r="U446" s="49"/>
      <c r="V446" s="49"/>
      <c r="W446" s="49"/>
      <c r="X446" s="49"/>
      <c r="Y446" s="49"/>
      <c r="Z446" s="49"/>
      <c r="AA446" s="49"/>
      <c r="AB446" s="49"/>
      <c r="AC446" s="49"/>
      <c r="AD446" s="49"/>
      <c r="AE446" s="49"/>
    </row>
    <row r="447" spans="1:31">
      <c r="A447" s="43"/>
      <c r="B447" s="43"/>
      <c r="C447" s="43"/>
      <c r="D447" s="43"/>
      <c r="E447" s="43"/>
      <c r="F447" s="43"/>
      <c r="G447" s="43"/>
      <c r="H447" s="43"/>
      <c r="I447" s="43"/>
      <c r="J447" s="43"/>
      <c r="K447" s="43"/>
      <c r="L447" s="43"/>
      <c r="M447" s="43"/>
      <c r="N447" s="43"/>
      <c r="O447" s="43"/>
      <c r="P447" s="43"/>
      <c r="Q447" s="43"/>
      <c r="R447" s="43"/>
      <c r="S447" s="43"/>
      <c r="T447" s="49"/>
      <c r="U447" s="49"/>
      <c r="V447" s="49"/>
      <c r="W447" s="49"/>
      <c r="X447" s="49"/>
      <c r="Y447" s="49"/>
      <c r="Z447" s="49"/>
      <c r="AA447" s="49"/>
      <c r="AB447" s="49"/>
      <c r="AC447" s="49"/>
      <c r="AD447" s="49"/>
      <c r="AE447" s="49"/>
    </row>
    <row r="448" spans="1:31">
      <c r="A448" s="43"/>
      <c r="B448" s="43"/>
      <c r="C448" s="43"/>
      <c r="D448" s="43"/>
      <c r="E448" s="43"/>
      <c r="F448" s="43"/>
      <c r="G448" s="43"/>
      <c r="H448" s="43"/>
      <c r="I448" s="43"/>
      <c r="J448" s="43"/>
      <c r="K448" s="43"/>
      <c r="L448" s="43"/>
      <c r="M448" s="43"/>
      <c r="N448" s="43"/>
      <c r="O448" s="43"/>
      <c r="P448" s="43"/>
      <c r="Q448" s="43"/>
      <c r="R448" s="43"/>
      <c r="S448" s="43"/>
      <c r="T448" s="49"/>
      <c r="U448" s="49"/>
      <c r="V448" s="49"/>
      <c r="W448" s="49"/>
      <c r="X448" s="49"/>
      <c r="Y448" s="49"/>
      <c r="Z448" s="49"/>
      <c r="AA448" s="49"/>
      <c r="AB448" s="49"/>
      <c r="AC448" s="49"/>
      <c r="AD448" s="49"/>
      <c r="AE448" s="49"/>
    </row>
    <row r="449" spans="1:31">
      <c r="A449" s="43"/>
      <c r="B449" s="43"/>
      <c r="C449" s="43"/>
      <c r="D449" s="43"/>
      <c r="E449" s="43"/>
      <c r="F449" s="43"/>
      <c r="G449" s="43"/>
      <c r="H449" s="43"/>
      <c r="I449" s="43"/>
      <c r="J449" s="43"/>
      <c r="K449" s="43"/>
      <c r="L449" s="43"/>
      <c r="M449" s="43"/>
      <c r="N449" s="43"/>
      <c r="O449" s="43"/>
      <c r="P449" s="43"/>
      <c r="Q449" s="43"/>
      <c r="R449" s="43"/>
      <c r="S449" s="43"/>
      <c r="T449" s="49"/>
      <c r="U449" s="49"/>
      <c r="V449" s="49"/>
      <c r="W449" s="49"/>
      <c r="X449" s="49"/>
      <c r="Y449" s="49"/>
      <c r="Z449" s="49"/>
      <c r="AA449" s="49"/>
      <c r="AB449" s="49"/>
      <c r="AC449" s="49"/>
      <c r="AD449" s="49"/>
      <c r="AE449" s="49"/>
    </row>
    <row r="450" spans="1:31">
      <c r="A450" s="43"/>
      <c r="B450" s="43"/>
      <c r="C450" s="43"/>
      <c r="D450" s="43"/>
      <c r="E450" s="43"/>
      <c r="F450" s="43"/>
      <c r="G450" s="43"/>
      <c r="H450" s="43"/>
      <c r="I450" s="43"/>
      <c r="J450" s="43"/>
      <c r="K450" s="43"/>
      <c r="L450" s="43"/>
      <c r="M450" s="43"/>
      <c r="N450" s="43"/>
      <c r="O450" s="43"/>
      <c r="P450" s="43"/>
      <c r="Q450" s="43"/>
      <c r="R450" s="43"/>
      <c r="S450" s="43"/>
      <c r="T450" s="49"/>
      <c r="U450" s="49"/>
      <c r="V450" s="49"/>
      <c r="W450" s="49"/>
      <c r="X450" s="49"/>
      <c r="Y450" s="49"/>
      <c r="Z450" s="49"/>
      <c r="AA450" s="49"/>
      <c r="AB450" s="49"/>
      <c r="AC450" s="49"/>
      <c r="AD450" s="49"/>
      <c r="AE450" s="49"/>
    </row>
    <row r="451" spans="1:31">
      <c r="A451" s="43"/>
      <c r="B451" s="43"/>
      <c r="C451" s="43"/>
      <c r="D451" s="43"/>
      <c r="E451" s="43"/>
      <c r="F451" s="43"/>
      <c r="G451" s="43"/>
      <c r="H451" s="43"/>
      <c r="I451" s="43"/>
      <c r="J451" s="43"/>
      <c r="K451" s="43"/>
      <c r="L451" s="43"/>
      <c r="M451" s="43"/>
      <c r="N451" s="43"/>
      <c r="O451" s="43"/>
      <c r="P451" s="43"/>
      <c r="Q451" s="43"/>
      <c r="R451" s="43"/>
      <c r="S451" s="43"/>
      <c r="T451" s="49"/>
      <c r="U451" s="49"/>
      <c r="V451" s="49"/>
      <c r="W451" s="49"/>
      <c r="X451" s="49"/>
      <c r="Y451" s="49"/>
      <c r="Z451" s="49"/>
      <c r="AA451" s="49"/>
      <c r="AB451" s="49"/>
      <c r="AC451" s="49"/>
      <c r="AD451" s="49"/>
      <c r="AE451" s="49"/>
    </row>
    <row r="452" spans="1:31">
      <c r="A452" s="43"/>
      <c r="B452" s="43"/>
      <c r="C452" s="43"/>
      <c r="D452" s="43"/>
      <c r="E452" s="43"/>
      <c r="F452" s="43"/>
      <c r="G452" s="43"/>
      <c r="H452" s="43"/>
      <c r="I452" s="43"/>
      <c r="J452" s="43"/>
      <c r="K452" s="43"/>
      <c r="L452" s="43"/>
      <c r="M452" s="43"/>
      <c r="N452" s="43"/>
      <c r="O452" s="43"/>
      <c r="P452" s="43"/>
      <c r="Q452" s="43"/>
      <c r="R452" s="43"/>
      <c r="S452" s="43"/>
      <c r="T452" s="49"/>
      <c r="U452" s="49"/>
      <c r="V452" s="49"/>
      <c r="W452" s="49"/>
      <c r="X452" s="49"/>
      <c r="Y452" s="49"/>
      <c r="Z452" s="49"/>
      <c r="AA452" s="49"/>
      <c r="AB452" s="49"/>
      <c r="AC452" s="49"/>
      <c r="AD452" s="49"/>
      <c r="AE452" s="49"/>
    </row>
    <row r="453" spans="1:31">
      <c r="A453" s="43"/>
      <c r="B453" s="43"/>
      <c r="C453" s="43"/>
      <c r="D453" s="43"/>
      <c r="E453" s="43"/>
      <c r="F453" s="43"/>
      <c r="G453" s="43"/>
      <c r="H453" s="43"/>
      <c r="I453" s="43"/>
      <c r="J453" s="43"/>
      <c r="K453" s="43"/>
      <c r="L453" s="43"/>
      <c r="M453" s="43"/>
      <c r="N453" s="43"/>
      <c r="O453" s="43"/>
      <c r="P453" s="43"/>
      <c r="Q453" s="43"/>
      <c r="R453" s="43"/>
      <c r="S453" s="43"/>
      <c r="T453" s="49"/>
      <c r="U453" s="49"/>
      <c r="V453" s="49"/>
      <c r="W453" s="49"/>
      <c r="X453" s="49"/>
      <c r="Y453" s="49"/>
      <c r="Z453" s="49"/>
      <c r="AA453" s="49"/>
      <c r="AB453" s="49"/>
      <c r="AC453" s="49"/>
      <c r="AD453" s="49"/>
      <c r="AE453" s="49"/>
    </row>
    <row r="454" spans="1:31">
      <c r="A454" s="43"/>
      <c r="B454" s="43"/>
      <c r="C454" s="43"/>
      <c r="D454" s="43"/>
      <c r="E454" s="43"/>
      <c r="F454" s="43"/>
      <c r="G454" s="43"/>
      <c r="H454" s="43"/>
      <c r="I454" s="43"/>
      <c r="J454" s="43"/>
      <c r="K454" s="43"/>
      <c r="L454" s="43"/>
      <c r="M454" s="43"/>
      <c r="N454" s="43"/>
      <c r="O454" s="43"/>
      <c r="P454" s="43"/>
      <c r="Q454" s="43"/>
      <c r="R454" s="43"/>
      <c r="S454" s="43"/>
      <c r="T454" s="49"/>
      <c r="U454" s="49"/>
      <c r="V454" s="49"/>
      <c r="W454" s="49"/>
      <c r="X454" s="49"/>
      <c r="Y454" s="49"/>
      <c r="Z454" s="49"/>
      <c r="AA454" s="49"/>
      <c r="AB454" s="49"/>
      <c r="AC454" s="49"/>
      <c r="AD454" s="49"/>
      <c r="AE454" s="49"/>
    </row>
    <row r="455" spans="1:31">
      <c r="A455" s="43"/>
      <c r="B455" s="43"/>
      <c r="C455" s="43"/>
      <c r="D455" s="43"/>
      <c r="E455" s="43"/>
      <c r="F455" s="43"/>
      <c r="G455" s="43"/>
      <c r="H455" s="43"/>
      <c r="I455" s="43"/>
      <c r="J455" s="43"/>
      <c r="K455" s="43"/>
      <c r="L455" s="43"/>
      <c r="M455" s="43"/>
      <c r="N455" s="43"/>
      <c r="O455" s="43"/>
      <c r="P455" s="43"/>
      <c r="Q455" s="43"/>
      <c r="R455" s="43"/>
      <c r="S455" s="43"/>
      <c r="T455" s="49"/>
      <c r="U455" s="49"/>
      <c r="V455" s="49"/>
      <c r="W455" s="49"/>
      <c r="X455" s="49"/>
      <c r="Y455" s="49"/>
      <c r="Z455" s="49"/>
      <c r="AA455" s="49"/>
      <c r="AB455" s="49"/>
      <c r="AC455" s="49"/>
      <c r="AD455" s="49"/>
      <c r="AE455" s="49"/>
    </row>
    <row r="456" spans="1:31">
      <c r="A456" s="43"/>
      <c r="B456" s="43"/>
      <c r="C456" s="43"/>
      <c r="D456" s="43"/>
      <c r="E456" s="43"/>
      <c r="F456" s="43"/>
      <c r="G456" s="43"/>
      <c r="H456" s="43"/>
      <c r="I456" s="43"/>
      <c r="J456" s="43"/>
      <c r="K456" s="43"/>
      <c r="L456" s="43"/>
      <c r="M456" s="43"/>
      <c r="N456" s="43"/>
      <c r="O456" s="43"/>
      <c r="P456" s="43"/>
      <c r="Q456" s="43"/>
      <c r="R456" s="43"/>
      <c r="S456" s="43"/>
      <c r="T456" s="49"/>
      <c r="U456" s="49"/>
      <c r="V456" s="49"/>
      <c r="W456" s="49"/>
      <c r="X456" s="49"/>
      <c r="Y456" s="49"/>
      <c r="Z456" s="49"/>
      <c r="AA456" s="49"/>
      <c r="AB456" s="49"/>
      <c r="AC456" s="49"/>
      <c r="AD456" s="49"/>
      <c r="AE456" s="49"/>
    </row>
    <row r="457" spans="1:31">
      <c r="A457" s="43"/>
      <c r="B457" s="43"/>
      <c r="C457" s="43"/>
      <c r="D457" s="43"/>
      <c r="E457" s="43"/>
      <c r="F457" s="43"/>
      <c r="G457" s="43"/>
      <c r="H457" s="43"/>
      <c r="I457" s="43"/>
      <c r="J457" s="43"/>
      <c r="K457" s="43"/>
      <c r="L457" s="43"/>
      <c r="M457" s="43"/>
      <c r="N457" s="43"/>
      <c r="O457" s="43"/>
      <c r="P457" s="43"/>
      <c r="Q457" s="43"/>
      <c r="R457" s="43"/>
      <c r="S457" s="43"/>
      <c r="T457" s="49"/>
      <c r="U457" s="49"/>
      <c r="V457" s="49"/>
      <c r="W457" s="49"/>
      <c r="X457" s="49"/>
      <c r="Y457" s="49"/>
      <c r="Z457" s="49"/>
      <c r="AA457" s="49"/>
      <c r="AB457" s="49"/>
      <c r="AC457" s="49"/>
      <c r="AD457" s="49"/>
      <c r="AE457" s="49"/>
    </row>
    <row r="458" spans="1:31">
      <c r="A458" s="43"/>
      <c r="B458" s="43"/>
      <c r="C458" s="43"/>
      <c r="D458" s="43"/>
      <c r="E458" s="43"/>
      <c r="F458" s="43"/>
      <c r="G458" s="43"/>
      <c r="H458" s="43"/>
      <c r="I458" s="43"/>
      <c r="J458" s="43"/>
      <c r="K458" s="43"/>
      <c r="L458" s="43"/>
      <c r="M458" s="43"/>
      <c r="N458" s="43"/>
      <c r="O458" s="43"/>
      <c r="P458" s="43"/>
      <c r="Q458" s="43"/>
      <c r="R458" s="43"/>
      <c r="S458" s="43"/>
      <c r="T458" s="49"/>
      <c r="U458" s="49"/>
      <c r="V458" s="49"/>
      <c r="W458" s="49"/>
      <c r="X458" s="49"/>
      <c r="Y458" s="49"/>
      <c r="Z458" s="49"/>
      <c r="AA458" s="49"/>
      <c r="AB458" s="49"/>
      <c r="AC458" s="49"/>
      <c r="AD458" s="49"/>
      <c r="AE458" s="49"/>
    </row>
    <row r="459" spans="1:31">
      <c r="A459" s="43"/>
      <c r="B459" s="43"/>
      <c r="C459" s="43"/>
      <c r="D459" s="43"/>
      <c r="E459" s="43"/>
      <c r="F459" s="43"/>
      <c r="G459" s="43"/>
      <c r="H459" s="43"/>
      <c r="I459" s="43"/>
      <c r="J459" s="43"/>
      <c r="K459" s="43"/>
      <c r="L459" s="43"/>
      <c r="M459" s="43"/>
      <c r="N459" s="43"/>
      <c r="O459" s="43"/>
      <c r="P459" s="43"/>
      <c r="Q459" s="43"/>
      <c r="R459" s="43"/>
      <c r="S459" s="43"/>
      <c r="T459" s="49"/>
      <c r="U459" s="49"/>
      <c r="V459" s="49"/>
      <c r="W459" s="49"/>
      <c r="X459" s="49"/>
      <c r="Y459" s="49"/>
      <c r="Z459" s="49"/>
      <c r="AA459" s="49"/>
      <c r="AB459" s="49"/>
      <c r="AC459" s="49"/>
      <c r="AD459" s="49"/>
      <c r="AE459" s="49"/>
    </row>
    <row r="460" spans="1:31">
      <c r="A460" s="43"/>
      <c r="B460" s="43"/>
      <c r="C460" s="43"/>
      <c r="D460" s="43"/>
      <c r="E460" s="43"/>
      <c r="F460" s="43"/>
      <c r="G460" s="43"/>
      <c r="H460" s="43"/>
      <c r="I460" s="43"/>
      <c r="J460" s="43"/>
      <c r="K460" s="43"/>
      <c r="L460" s="43"/>
      <c r="M460" s="43"/>
      <c r="N460" s="43"/>
      <c r="O460" s="43"/>
      <c r="P460" s="43"/>
      <c r="Q460" s="43"/>
      <c r="R460" s="43"/>
      <c r="S460" s="43"/>
      <c r="T460" s="49"/>
      <c r="U460" s="49"/>
      <c r="V460" s="49"/>
      <c r="W460" s="49"/>
      <c r="X460" s="49"/>
      <c r="Y460" s="49"/>
      <c r="Z460" s="49"/>
      <c r="AA460" s="49"/>
      <c r="AB460" s="49"/>
      <c r="AC460" s="49"/>
      <c r="AD460" s="49"/>
      <c r="AE460" s="49"/>
    </row>
    <row r="461" spans="1:31">
      <c r="A461" s="43"/>
      <c r="B461" s="43"/>
      <c r="C461" s="43"/>
      <c r="D461" s="43"/>
      <c r="E461" s="43"/>
      <c r="F461" s="43"/>
      <c r="G461" s="43"/>
      <c r="H461" s="43"/>
      <c r="I461" s="43"/>
      <c r="J461" s="43"/>
      <c r="K461" s="43"/>
      <c r="L461" s="43"/>
      <c r="M461" s="43"/>
      <c r="N461" s="43"/>
      <c r="O461" s="43"/>
      <c r="P461" s="43"/>
      <c r="Q461" s="43"/>
      <c r="R461" s="43"/>
      <c r="S461" s="43"/>
      <c r="T461" s="49"/>
      <c r="U461" s="49"/>
      <c r="V461" s="49"/>
      <c r="W461" s="49"/>
      <c r="X461" s="49"/>
      <c r="Y461" s="49"/>
      <c r="Z461" s="49"/>
      <c r="AA461" s="49"/>
      <c r="AB461" s="49"/>
      <c r="AC461" s="49"/>
      <c r="AD461" s="49"/>
      <c r="AE461" s="49"/>
    </row>
    <row r="462" spans="1:31">
      <c r="A462" s="43"/>
      <c r="B462" s="43"/>
      <c r="C462" s="43"/>
      <c r="D462" s="43"/>
      <c r="E462" s="43"/>
      <c r="F462" s="43"/>
      <c r="G462" s="43"/>
      <c r="H462" s="43"/>
      <c r="I462" s="43"/>
      <c r="J462" s="43"/>
      <c r="K462" s="43"/>
      <c r="L462" s="43"/>
      <c r="M462" s="43"/>
      <c r="N462" s="43"/>
      <c r="O462" s="43"/>
      <c r="P462" s="43"/>
      <c r="Q462" s="43"/>
      <c r="R462" s="43"/>
      <c r="S462" s="43"/>
      <c r="T462" s="49"/>
      <c r="U462" s="49"/>
      <c r="V462" s="49"/>
      <c r="W462" s="49"/>
      <c r="X462" s="49"/>
      <c r="Y462" s="49"/>
      <c r="Z462" s="49"/>
      <c r="AA462" s="49"/>
      <c r="AB462" s="49"/>
      <c r="AC462" s="49"/>
      <c r="AD462" s="49"/>
      <c r="AE462" s="49"/>
    </row>
    <row r="463" spans="1:31">
      <c r="A463" s="43"/>
      <c r="B463" s="43"/>
      <c r="C463" s="43"/>
      <c r="D463" s="43"/>
      <c r="E463" s="43"/>
      <c r="F463" s="43"/>
      <c r="G463" s="43"/>
      <c r="H463" s="43"/>
      <c r="I463" s="43"/>
      <c r="J463" s="43"/>
      <c r="K463" s="43"/>
      <c r="L463" s="43"/>
      <c r="M463" s="43"/>
      <c r="N463" s="43"/>
      <c r="O463" s="43"/>
      <c r="P463" s="43"/>
      <c r="Q463" s="43"/>
      <c r="R463" s="43"/>
      <c r="S463" s="43"/>
      <c r="T463" s="49"/>
      <c r="U463" s="49"/>
      <c r="V463" s="49"/>
      <c r="W463" s="49"/>
      <c r="X463" s="49"/>
      <c r="Y463" s="49"/>
      <c r="Z463" s="49"/>
      <c r="AA463" s="49"/>
      <c r="AB463" s="49"/>
      <c r="AC463" s="49"/>
      <c r="AD463" s="49"/>
      <c r="AE463" s="49"/>
    </row>
    <row r="464" spans="1:31">
      <c r="A464" s="43"/>
      <c r="B464" s="43"/>
      <c r="C464" s="43"/>
      <c r="D464" s="43"/>
      <c r="E464" s="43"/>
      <c r="F464" s="43"/>
      <c r="G464" s="43"/>
      <c r="H464" s="43"/>
      <c r="I464" s="43"/>
      <c r="J464" s="43"/>
      <c r="K464" s="43"/>
      <c r="L464" s="43"/>
      <c r="M464" s="43"/>
      <c r="N464" s="43"/>
      <c r="O464" s="43"/>
      <c r="P464" s="43"/>
      <c r="Q464" s="43"/>
      <c r="R464" s="43"/>
      <c r="S464" s="43"/>
      <c r="T464" s="49"/>
      <c r="U464" s="49"/>
      <c r="V464" s="49"/>
      <c r="W464" s="49"/>
      <c r="X464" s="49"/>
      <c r="Y464" s="49"/>
      <c r="Z464" s="49"/>
      <c r="AA464" s="49"/>
      <c r="AB464" s="49"/>
      <c r="AC464" s="49"/>
      <c r="AD464" s="49"/>
      <c r="AE464" s="49"/>
    </row>
    <row r="465" spans="1:31">
      <c r="A465" s="43"/>
      <c r="B465" s="43"/>
      <c r="C465" s="43"/>
      <c r="D465" s="43"/>
      <c r="E465" s="43"/>
      <c r="F465" s="43"/>
      <c r="G465" s="43"/>
      <c r="H465" s="43"/>
      <c r="I465" s="43"/>
      <c r="J465" s="43"/>
      <c r="K465" s="43"/>
      <c r="L465" s="43"/>
      <c r="M465" s="43"/>
      <c r="N465" s="43"/>
      <c r="O465" s="43"/>
      <c r="P465" s="43"/>
      <c r="Q465" s="43"/>
      <c r="R465" s="43"/>
      <c r="S465" s="43"/>
      <c r="T465" s="49"/>
      <c r="U465" s="49"/>
      <c r="V465" s="49"/>
      <c r="W465" s="49"/>
      <c r="X465" s="49"/>
      <c r="Y465" s="49"/>
      <c r="Z465" s="49"/>
      <c r="AA465" s="49"/>
      <c r="AB465" s="49"/>
      <c r="AC465" s="49"/>
      <c r="AD465" s="49"/>
      <c r="AE465" s="49"/>
    </row>
    <row r="466" spans="1:31">
      <c r="A466" s="43"/>
      <c r="B466" s="43"/>
      <c r="C466" s="43"/>
      <c r="D466" s="43"/>
      <c r="E466" s="43"/>
      <c r="F466" s="43"/>
      <c r="G466" s="43"/>
      <c r="H466" s="43"/>
      <c r="I466" s="43"/>
      <c r="J466" s="43"/>
      <c r="K466" s="43"/>
      <c r="L466" s="43"/>
      <c r="M466" s="43"/>
      <c r="N466" s="43"/>
      <c r="O466" s="43"/>
      <c r="P466" s="43"/>
      <c r="Q466" s="43"/>
      <c r="R466" s="43"/>
      <c r="S466" s="43"/>
      <c r="T466" s="49"/>
      <c r="U466" s="49"/>
      <c r="V466" s="49"/>
      <c r="W466" s="49"/>
      <c r="X466" s="49"/>
      <c r="Y466" s="49"/>
      <c r="Z466" s="49"/>
      <c r="AA466" s="49"/>
      <c r="AB466" s="49"/>
      <c r="AC466" s="49"/>
      <c r="AD466" s="49"/>
      <c r="AE466" s="49"/>
    </row>
    <row r="467" spans="1:31">
      <c r="A467" s="43"/>
      <c r="B467" s="43"/>
      <c r="C467" s="43"/>
      <c r="D467" s="43"/>
      <c r="E467" s="43"/>
      <c r="F467" s="43"/>
      <c r="G467" s="43"/>
      <c r="H467" s="43"/>
      <c r="I467" s="43"/>
      <c r="J467" s="43"/>
      <c r="K467" s="43"/>
      <c r="L467" s="43"/>
      <c r="M467" s="43"/>
      <c r="N467" s="43"/>
      <c r="O467" s="43"/>
      <c r="P467" s="43"/>
      <c r="Q467" s="43"/>
      <c r="R467" s="43"/>
      <c r="S467" s="43"/>
      <c r="T467" s="49"/>
      <c r="U467" s="49"/>
      <c r="V467" s="49"/>
      <c r="W467" s="49"/>
      <c r="X467" s="49"/>
      <c r="Y467" s="49"/>
      <c r="Z467" s="49"/>
      <c r="AA467" s="49"/>
      <c r="AB467" s="49"/>
      <c r="AC467" s="49"/>
      <c r="AD467" s="49"/>
      <c r="AE467" s="49"/>
    </row>
    <row r="468" spans="1:31">
      <c r="A468" s="43"/>
      <c r="B468" s="43"/>
      <c r="C468" s="43"/>
      <c r="D468" s="43"/>
      <c r="E468" s="43"/>
      <c r="F468" s="43"/>
      <c r="G468" s="43"/>
      <c r="H468" s="43"/>
      <c r="I468" s="43"/>
      <c r="J468" s="43"/>
      <c r="K468" s="43"/>
      <c r="L468" s="43"/>
      <c r="M468" s="43"/>
      <c r="N468" s="43"/>
      <c r="O468" s="43"/>
      <c r="P468" s="43"/>
      <c r="Q468" s="43"/>
      <c r="R468" s="43"/>
      <c r="S468" s="43"/>
      <c r="T468" s="49"/>
      <c r="U468" s="49"/>
      <c r="V468" s="49"/>
      <c r="W468" s="49"/>
      <c r="X468" s="49"/>
      <c r="Y468" s="49"/>
      <c r="Z468" s="49"/>
      <c r="AA468" s="49"/>
      <c r="AB468" s="49"/>
      <c r="AC468" s="49"/>
      <c r="AD468" s="49"/>
      <c r="AE468" s="49"/>
    </row>
    <row r="469" spans="1:31">
      <c r="A469" s="43"/>
      <c r="B469" s="43"/>
      <c r="C469" s="43"/>
      <c r="D469" s="43"/>
      <c r="E469" s="43"/>
      <c r="F469" s="43"/>
      <c r="G469" s="43"/>
      <c r="H469" s="43"/>
      <c r="I469" s="43"/>
      <c r="J469" s="43"/>
      <c r="K469" s="43"/>
      <c r="L469" s="43"/>
      <c r="M469" s="43"/>
      <c r="N469" s="43"/>
      <c r="O469" s="43"/>
      <c r="P469" s="43"/>
      <c r="Q469" s="43"/>
      <c r="R469" s="43"/>
      <c r="S469" s="43"/>
      <c r="T469" s="49"/>
      <c r="U469" s="49"/>
      <c r="V469" s="49"/>
      <c r="W469" s="49"/>
      <c r="X469" s="49"/>
      <c r="Y469" s="49"/>
      <c r="Z469" s="49"/>
      <c r="AA469" s="49"/>
      <c r="AB469" s="49"/>
      <c r="AC469" s="49"/>
      <c r="AD469" s="49"/>
      <c r="AE469" s="49"/>
    </row>
    <row r="470" spans="1:31">
      <c r="A470" s="43"/>
      <c r="B470" s="43"/>
      <c r="C470" s="43"/>
      <c r="D470" s="43"/>
      <c r="E470" s="43"/>
      <c r="F470" s="43"/>
      <c r="G470" s="43"/>
      <c r="H470" s="43"/>
      <c r="I470" s="43"/>
      <c r="J470" s="43"/>
      <c r="K470" s="43"/>
      <c r="L470" s="43"/>
      <c r="M470" s="43"/>
      <c r="N470" s="43"/>
      <c r="O470" s="43"/>
      <c r="P470" s="43"/>
      <c r="Q470" s="43"/>
      <c r="R470" s="43"/>
      <c r="S470" s="43"/>
      <c r="T470" s="49"/>
      <c r="U470" s="49"/>
      <c r="V470" s="49"/>
      <c r="W470" s="49"/>
      <c r="X470" s="49"/>
      <c r="Y470" s="49"/>
      <c r="Z470" s="49"/>
      <c r="AA470" s="49"/>
      <c r="AB470" s="49"/>
      <c r="AC470" s="49"/>
      <c r="AD470" s="49"/>
      <c r="AE470" s="49"/>
    </row>
    <row r="471" spans="1:31">
      <c r="A471" s="43"/>
      <c r="B471" s="43"/>
      <c r="C471" s="43"/>
      <c r="D471" s="43"/>
      <c r="E471" s="43"/>
      <c r="F471" s="43"/>
      <c r="G471" s="43"/>
      <c r="H471" s="43"/>
      <c r="I471" s="43"/>
      <c r="J471" s="43"/>
      <c r="K471" s="43"/>
      <c r="L471" s="43"/>
      <c r="M471" s="43"/>
      <c r="N471" s="43"/>
      <c r="O471" s="43"/>
      <c r="P471" s="43"/>
      <c r="Q471" s="43"/>
      <c r="R471" s="43"/>
      <c r="S471" s="43"/>
      <c r="T471" s="49"/>
      <c r="U471" s="49"/>
      <c r="V471" s="49"/>
      <c r="W471" s="49"/>
      <c r="X471" s="49"/>
      <c r="Y471" s="49"/>
      <c r="Z471" s="49"/>
      <c r="AA471" s="49"/>
      <c r="AB471" s="49"/>
      <c r="AC471" s="49"/>
      <c r="AD471" s="49"/>
      <c r="AE471" s="49"/>
    </row>
    <row r="472" spans="1:31">
      <c r="A472" s="43"/>
      <c r="B472" s="43"/>
      <c r="C472" s="43"/>
      <c r="D472" s="43"/>
      <c r="E472" s="43"/>
      <c r="F472" s="43"/>
      <c r="G472" s="43"/>
      <c r="H472" s="43"/>
      <c r="I472" s="43"/>
      <c r="J472" s="43"/>
      <c r="K472" s="43"/>
      <c r="L472" s="43"/>
      <c r="M472" s="43"/>
      <c r="N472" s="43"/>
      <c r="O472" s="43"/>
      <c r="P472" s="43"/>
      <c r="Q472" s="43"/>
      <c r="R472" s="43"/>
      <c r="S472" s="43"/>
      <c r="T472" s="49"/>
      <c r="U472" s="49"/>
      <c r="V472" s="49"/>
      <c r="W472" s="49"/>
      <c r="X472" s="49"/>
      <c r="Y472" s="49"/>
      <c r="Z472" s="49"/>
      <c r="AA472" s="49"/>
      <c r="AB472" s="49"/>
      <c r="AC472" s="49"/>
      <c r="AD472" s="49"/>
      <c r="AE472" s="49"/>
    </row>
    <row r="473" spans="1:31">
      <c r="A473" s="43"/>
      <c r="B473" s="43"/>
      <c r="C473" s="43"/>
      <c r="D473" s="43"/>
      <c r="E473" s="43"/>
      <c r="F473" s="43"/>
      <c r="G473" s="43"/>
      <c r="H473" s="43"/>
      <c r="I473" s="43"/>
      <c r="J473" s="43"/>
      <c r="K473" s="43"/>
      <c r="L473" s="43"/>
      <c r="M473" s="43"/>
      <c r="N473" s="43"/>
      <c r="O473" s="43"/>
      <c r="P473" s="43"/>
      <c r="Q473" s="43"/>
      <c r="R473" s="43"/>
      <c r="S473" s="43"/>
      <c r="T473" s="49"/>
      <c r="U473" s="49"/>
      <c r="V473" s="49"/>
      <c r="W473" s="49"/>
      <c r="X473" s="49"/>
      <c r="Y473" s="49"/>
      <c r="Z473" s="49"/>
      <c r="AA473" s="49"/>
      <c r="AB473" s="49"/>
      <c r="AC473" s="49"/>
      <c r="AD473" s="49"/>
      <c r="AE473" s="49"/>
    </row>
    <row r="474" spans="1:31">
      <c r="A474" s="43"/>
      <c r="B474" s="43"/>
      <c r="C474" s="43"/>
      <c r="D474" s="43"/>
      <c r="E474" s="43"/>
      <c r="F474" s="43"/>
      <c r="G474" s="43"/>
      <c r="H474" s="43"/>
      <c r="I474" s="43"/>
      <c r="J474" s="43"/>
      <c r="K474" s="43"/>
      <c r="L474" s="43"/>
      <c r="M474" s="43"/>
      <c r="N474" s="43"/>
      <c r="O474" s="43"/>
      <c r="P474" s="43"/>
      <c r="Q474" s="43"/>
      <c r="R474" s="43"/>
      <c r="S474" s="43"/>
      <c r="T474" s="49"/>
      <c r="U474" s="49"/>
      <c r="V474" s="49"/>
      <c r="W474" s="49"/>
      <c r="X474" s="49"/>
      <c r="Y474" s="49"/>
      <c r="Z474" s="49"/>
      <c r="AA474" s="49"/>
      <c r="AB474" s="49"/>
      <c r="AC474" s="49"/>
      <c r="AD474" s="49"/>
      <c r="AE474" s="49"/>
    </row>
    <row r="475" spans="1:31">
      <c r="A475" s="43"/>
      <c r="B475" s="43"/>
      <c r="C475" s="43"/>
      <c r="D475" s="43"/>
      <c r="E475" s="43"/>
      <c r="F475" s="43"/>
      <c r="G475" s="43"/>
      <c r="H475" s="43"/>
      <c r="I475" s="43"/>
      <c r="J475" s="43"/>
      <c r="K475" s="43"/>
      <c r="L475" s="43"/>
      <c r="M475" s="43"/>
      <c r="N475" s="43"/>
      <c r="O475" s="43"/>
      <c r="P475" s="43"/>
      <c r="Q475" s="43"/>
      <c r="R475" s="43"/>
      <c r="S475" s="43"/>
      <c r="T475" s="49"/>
      <c r="U475" s="49"/>
      <c r="V475" s="49"/>
      <c r="W475" s="49"/>
      <c r="X475" s="49"/>
      <c r="Y475" s="49"/>
      <c r="Z475" s="49"/>
      <c r="AA475" s="49"/>
      <c r="AB475" s="49"/>
      <c r="AC475" s="49"/>
      <c r="AD475" s="49"/>
      <c r="AE475" s="49"/>
    </row>
    <row r="476" spans="1:31">
      <c r="A476" s="43"/>
      <c r="B476" s="43"/>
      <c r="C476" s="43"/>
      <c r="D476" s="43"/>
      <c r="E476" s="43"/>
      <c r="F476" s="43"/>
      <c r="G476" s="43"/>
      <c r="H476" s="43"/>
      <c r="I476" s="43"/>
      <c r="J476" s="43"/>
      <c r="K476" s="43"/>
      <c r="L476" s="43"/>
      <c r="M476" s="43"/>
      <c r="N476" s="43"/>
      <c r="O476" s="43"/>
      <c r="P476" s="43"/>
      <c r="Q476" s="43"/>
      <c r="R476" s="43"/>
      <c r="S476" s="43"/>
      <c r="T476" s="49"/>
      <c r="U476" s="49"/>
      <c r="V476" s="49"/>
      <c r="W476" s="49"/>
      <c r="X476" s="49"/>
      <c r="Y476" s="49"/>
      <c r="Z476" s="49"/>
      <c r="AA476" s="49"/>
      <c r="AB476" s="49"/>
      <c r="AC476" s="49"/>
      <c r="AD476" s="49"/>
      <c r="AE476" s="49"/>
    </row>
    <row r="477" spans="1:31">
      <c r="A477" s="43"/>
      <c r="B477" s="43"/>
      <c r="C477" s="43"/>
      <c r="D477" s="43"/>
      <c r="E477" s="43"/>
      <c r="F477" s="43"/>
      <c r="G477" s="43"/>
      <c r="H477" s="43"/>
      <c r="I477" s="43"/>
      <c r="J477" s="43"/>
      <c r="K477" s="43"/>
      <c r="L477" s="43"/>
      <c r="M477" s="43"/>
      <c r="N477" s="43"/>
      <c r="O477" s="43"/>
      <c r="P477" s="43"/>
      <c r="Q477" s="43"/>
      <c r="R477" s="43"/>
      <c r="S477" s="43"/>
      <c r="T477" s="49"/>
      <c r="U477" s="49"/>
      <c r="V477" s="49"/>
      <c r="W477" s="49"/>
      <c r="X477" s="49"/>
      <c r="Y477" s="49"/>
      <c r="Z477" s="49"/>
      <c r="AA477" s="49"/>
      <c r="AB477" s="49"/>
      <c r="AC477" s="49"/>
      <c r="AD477" s="49"/>
      <c r="AE477" s="49"/>
    </row>
    <row r="478" spans="1:31">
      <c r="A478" s="43"/>
      <c r="B478" s="43"/>
      <c r="C478" s="43"/>
      <c r="D478" s="43"/>
      <c r="E478" s="43"/>
      <c r="F478" s="43"/>
      <c r="G478" s="43"/>
      <c r="H478" s="43"/>
      <c r="I478" s="43"/>
      <c r="J478" s="43"/>
      <c r="K478" s="43"/>
      <c r="L478" s="43"/>
      <c r="M478" s="43"/>
      <c r="N478" s="43"/>
      <c r="O478" s="43"/>
      <c r="P478" s="43"/>
      <c r="Q478" s="43"/>
      <c r="R478" s="43"/>
      <c r="S478" s="43"/>
      <c r="T478" s="49"/>
      <c r="U478" s="49"/>
      <c r="V478" s="49"/>
      <c r="W478" s="49"/>
      <c r="X478" s="49"/>
      <c r="Y478" s="49"/>
      <c r="Z478" s="49"/>
      <c r="AA478" s="49"/>
      <c r="AB478" s="49"/>
      <c r="AC478" s="49"/>
      <c r="AD478" s="49"/>
      <c r="AE478" s="49"/>
    </row>
    <row r="479" spans="1:31">
      <c r="A479" s="43"/>
      <c r="B479" s="43"/>
      <c r="C479" s="43"/>
      <c r="D479" s="43"/>
      <c r="E479" s="43"/>
      <c r="F479" s="43"/>
      <c r="G479" s="43"/>
      <c r="H479" s="43"/>
      <c r="I479" s="43"/>
      <c r="J479" s="43"/>
      <c r="K479" s="43"/>
      <c r="L479" s="43"/>
      <c r="M479" s="43"/>
      <c r="N479" s="43"/>
      <c r="O479" s="43"/>
      <c r="P479" s="43"/>
      <c r="Q479" s="43"/>
      <c r="R479" s="43"/>
      <c r="S479" s="43"/>
      <c r="T479" s="49"/>
      <c r="U479" s="49"/>
      <c r="V479" s="49"/>
      <c r="W479" s="49"/>
      <c r="X479" s="49"/>
      <c r="Y479" s="49"/>
      <c r="Z479" s="49"/>
      <c r="AA479" s="49"/>
      <c r="AB479" s="49"/>
      <c r="AC479" s="49"/>
      <c r="AD479" s="49"/>
      <c r="AE479" s="49"/>
    </row>
    <row r="480" spans="1:31">
      <c r="A480" s="43"/>
      <c r="B480" s="43"/>
      <c r="C480" s="43"/>
      <c r="D480" s="43"/>
      <c r="E480" s="43"/>
      <c r="F480" s="43"/>
      <c r="G480" s="43"/>
      <c r="H480" s="43"/>
      <c r="I480" s="43"/>
      <c r="J480" s="43"/>
      <c r="K480" s="43"/>
      <c r="L480" s="43"/>
      <c r="M480" s="43"/>
      <c r="N480" s="43"/>
      <c r="O480" s="43"/>
      <c r="P480" s="43"/>
      <c r="Q480" s="43"/>
      <c r="R480" s="43"/>
      <c r="S480" s="43"/>
      <c r="T480" s="49"/>
      <c r="U480" s="49"/>
      <c r="V480" s="49"/>
      <c r="W480" s="49"/>
      <c r="X480" s="49"/>
      <c r="Y480" s="49"/>
      <c r="Z480" s="49"/>
      <c r="AA480" s="49"/>
      <c r="AB480" s="49"/>
      <c r="AC480" s="49"/>
      <c r="AD480" s="49"/>
      <c r="AE480" s="49"/>
    </row>
    <row r="481" spans="1:31">
      <c r="A481" s="43"/>
      <c r="B481" s="43"/>
      <c r="C481" s="43"/>
      <c r="D481" s="43"/>
      <c r="E481" s="43"/>
      <c r="F481" s="43"/>
      <c r="G481" s="43"/>
      <c r="H481" s="43"/>
      <c r="I481" s="43"/>
      <c r="J481" s="43"/>
      <c r="K481" s="43"/>
      <c r="L481" s="43"/>
      <c r="M481" s="43"/>
      <c r="N481" s="43"/>
      <c r="O481" s="43"/>
      <c r="P481" s="43"/>
      <c r="Q481" s="43"/>
      <c r="R481" s="43"/>
      <c r="S481" s="43"/>
      <c r="T481" s="49"/>
      <c r="U481" s="49"/>
      <c r="V481" s="49"/>
      <c r="W481" s="49"/>
      <c r="X481" s="49"/>
      <c r="Y481" s="49"/>
      <c r="Z481" s="49"/>
      <c r="AA481" s="49"/>
      <c r="AB481" s="49"/>
      <c r="AC481" s="49"/>
      <c r="AD481" s="49"/>
      <c r="AE481" s="49"/>
    </row>
    <row r="482" spans="1:31">
      <c r="A482" s="43"/>
      <c r="B482" s="43"/>
      <c r="C482" s="43"/>
      <c r="D482" s="43"/>
      <c r="E482" s="43"/>
      <c r="F482" s="43"/>
      <c r="G482" s="43"/>
      <c r="H482" s="43"/>
      <c r="I482" s="43"/>
      <c r="J482" s="43"/>
      <c r="K482" s="43"/>
      <c r="L482" s="43"/>
      <c r="M482" s="43"/>
      <c r="N482" s="43"/>
      <c r="O482" s="43"/>
      <c r="P482" s="43"/>
      <c r="Q482" s="43"/>
      <c r="R482" s="43"/>
      <c r="S482" s="43"/>
      <c r="T482" s="49"/>
      <c r="U482" s="49"/>
      <c r="V482" s="49"/>
      <c r="W482" s="49"/>
      <c r="X482" s="49"/>
      <c r="Y482" s="49"/>
      <c r="Z482" s="49"/>
      <c r="AA482" s="49"/>
      <c r="AB482" s="49"/>
      <c r="AC482" s="49"/>
      <c r="AD482" s="49"/>
      <c r="AE482" s="49"/>
    </row>
    <row r="483" spans="1:31">
      <c r="A483" s="43"/>
      <c r="B483" s="43"/>
      <c r="C483" s="43"/>
      <c r="D483" s="43"/>
      <c r="E483" s="43"/>
      <c r="F483" s="43"/>
      <c r="G483" s="43"/>
      <c r="H483" s="43"/>
      <c r="I483" s="43"/>
      <c r="J483" s="43"/>
      <c r="K483" s="43"/>
      <c r="L483" s="43"/>
      <c r="M483" s="43"/>
      <c r="N483" s="43"/>
      <c r="O483" s="43"/>
      <c r="P483" s="43"/>
      <c r="Q483" s="43"/>
      <c r="R483" s="43"/>
      <c r="S483" s="43"/>
      <c r="T483" s="49"/>
      <c r="U483" s="49"/>
      <c r="V483" s="49"/>
      <c r="W483" s="49"/>
      <c r="X483" s="49"/>
      <c r="Y483" s="49"/>
      <c r="Z483" s="49"/>
      <c r="AA483" s="49"/>
      <c r="AB483" s="49"/>
      <c r="AC483" s="49"/>
      <c r="AD483" s="49"/>
      <c r="AE483" s="49"/>
    </row>
    <row r="484" spans="1:31">
      <c r="A484" s="43"/>
      <c r="B484" s="43"/>
      <c r="C484" s="43"/>
      <c r="D484" s="43"/>
      <c r="E484" s="43"/>
      <c r="F484" s="43"/>
      <c r="G484" s="43"/>
      <c r="H484" s="43"/>
      <c r="I484" s="43"/>
      <c r="J484" s="43"/>
      <c r="K484" s="43"/>
      <c r="L484" s="43"/>
      <c r="M484" s="43"/>
      <c r="N484" s="43"/>
      <c r="O484" s="43"/>
      <c r="P484" s="43"/>
      <c r="Q484" s="43"/>
      <c r="R484" s="43"/>
      <c r="S484" s="43"/>
      <c r="T484" s="49"/>
      <c r="U484" s="49"/>
      <c r="V484" s="49"/>
      <c r="W484" s="49"/>
      <c r="X484" s="49"/>
      <c r="Y484" s="49"/>
      <c r="Z484" s="49"/>
      <c r="AA484" s="49"/>
      <c r="AB484" s="49"/>
      <c r="AC484" s="49"/>
      <c r="AD484" s="49"/>
      <c r="AE484" s="49"/>
    </row>
    <row r="485" spans="1:31">
      <c r="A485" s="43"/>
      <c r="B485" s="43"/>
      <c r="C485" s="43"/>
      <c r="D485" s="43"/>
      <c r="E485" s="43"/>
      <c r="F485" s="43"/>
      <c r="G485" s="43"/>
      <c r="H485" s="43"/>
      <c r="I485" s="43"/>
      <c r="J485" s="43"/>
      <c r="K485" s="43"/>
      <c r="L485" s="43"/>
      <c r="M485" s="43"/>
      <c r="N485" s="43"/>
      <c r="O485" s="43"/>
      <c r="P485" s="43"/>
      <c r="Q485" s="43"/>
      <c r="R485" s="43"/>
      <c r="S485" s="43"/>
      <c r="T485" s="49"/>
      <c r="U485" s="49"/>
      <c r="V485" s="49"/>
      <c r="W485" s="49"/>
      <c r="X485" s="49"/>
      <c r="Y485" s="49"/>
      <c r="Z485" s="49"/>
      <c r="AA485" s="49"/>
      <c r="AB485" s="49"/>
      <c r="AC485" s="49"/>
      <c r="AD485" s="49"/>
      <c r="AE485" s="49"/>
    </row>
    <row r="486" spans="1:31">
      <c r="A486" s="43"/>
      <c r="B486" s="43"/>
      <c r="C486" s="43"/>
      <c r="D486" s="43"/>
      <c r="E486" s="43"/>
      <c r="F486" s="43"/>
      <c r="G486" s="43"/>
      <c r="H486" s="43"/>
      <c r="I486" s="43"/>
      <c r="J486" s="43"/>
      <c r="K486" s="43"/>
      <c r="L486" s="43"/>
      <c r="M486" s="43"/>
      <c r="N486" s="43"/>
      <c r="O486" s="43"/>
      <c r="P486" s="43"/>
      <c r="Q486" s="43"/>
      <c r="R486" s="43"/>
      <c r="S486" s="43"/>
      <c r="T486" s="49"/>
      <c r="U486" s="49"/>
      <c r="V486" s="49"/>
      <c r="W486" s="49"/>
      <c r="X486" s="49"/>
      <c r="Y486" s="49"/>
      <c r="Z486" s="49"/>
      <c r="AA486" s="49"/>
      <c r="AB486" s="49"/>
      <c r="AC486" s="49"/>
      <c r="AD486" s="49"/>
      <c r="AE486" s="49"/>
    </row>
    <row r="487" spans="1:31">
      <c r="A487" s="43"/>
      <c r="B487" s="43"/>
      <c r="C487" s="43"/>
      <c r="D487" s="43"/>
      <c r="E487" s="43"/>
      <c r="F487" s="43"/>
      <c r="G487" s="43"/>
      <c r="H487" s="43"/>
      <c r="I487" s="43"/>
      <c r="J487" s="43"/>
      <c r="K487" s="43"/>
      <c r="L487" s="43"/>
      <c r="M487" s="43"/>
      <c r="N487" s="43"/>
      <c r="O487" s="43"/>
      <c r="P487" s="43"/>
      <c r="Q487" s="43"/>
      <c r="R487" s="43"/>
      <c r="S487" s="43"/>
      <c r="T487" s="49"/>
      <c r="U487" s="49"/>
      <c r="V487" s="49"/>
      <c r="W487" s="49"/>
      <c r="X487" s="49"/>
      <c r="Y487" s="49"/>
      <c r="Z487" s="49"/>
      <c r="AA487" s="49"/>
      <c r="AB487" s="49"/>
      <c r="AC487" s="49"/>
      <c r="AD487" s="49"/>
      <c r="AE487" s="49"/>
    </row>
    <row r="488" spans="1:31">
      <c r="A488" s="43"/>
      <c r="B488" s="43"/>
      <c r="C488" s="43"/>
      <c r="D488" s="43"/>
      <c r="E488" s="43"/>
      <c r="F488" s="43"/>
      <c r="G488" s="43"/>
      <c r="H488" s="43"/>
      <c r="I488" s="43"/>
      <c r="J488" s="43"/>
      <c r="K488" s="43"/>
      <c r="L488" s="43"/>
      <c r="M488" s="43"/>
      <c r="N488" s="43"/>
      <c r="O488" s="43"/>
      <c r="P488" s="43"/>
      <c r="Q488" s="43"/>
      <c r="R488" s="43"/>
      <c r="S488" s="43"/>
      <c r="T488" s="49"/>
      <c r="U488" s="49"/>
      <c r="V488" s="49"/>
      <c r="W488" s="49"/>
      <c r="X488" s="49"/>
      <c r="Y488" s="49"/>
      <c r="Z488" s="49"/>
      <c r="AA488" s="49"/>
      <c r="AB488" s="49"/>
      <c r="AC488" s="49"/>
      <c r="AD488" s="49"/>
      <c r="AE488" s="49"/>
    </row>
    <row r="489" spans="1:31">
      <c r="A489" s="43"/>
      <c r="B489" s="43"/>
      <c r="C489" s="43"/>
      <c r="D489" s="43"/>
      <c r="E489" s="43"/>
      <c r="F489" s="43"/>
      <c r="G489" s="43"/>
      <c r="H489" s="43"/>
      <c r="I489" s="43"/>
      <c r="J489" s="43"/>
      <c r="K489" s="43"/>
      <c r="L489" s="43"/>
      <c r="M489" s="43"/>
      <c r="N489" s="43"/>
      <c r="O489" s="43"/>
      <c r="P489" s="43"/>
      <c r="Q489" s="43"/>
      <c r="R489" s="43"/>
      <c r="S489" s="43"/>
      <c r="T489" s="49"/>
      <c r="U489" s="49"/>
      <c r="V489" s="49"/>
      <c r="W489" s="49"/>
      <c r="X489" s="49"/>
      <c r="Y489" s="49"/>
      <c r="Z489" s="49"/>
      <c r="AA489" s="49"/>
      <c r="AB489" s="49"/>
      <c r="AC489" s="49"/>
      <c r="AD489" s="49"/>
      <c r="AE489" s="49"/>
    </row>
    <row r="490" spans="1:31">
      <c r="A490" s="43"/>
      <c r="B490" s="43"/>
      <c r="C490" s="43"/>
      <c r="D490" s="43"/>
      <c r="E490" s="43"/>
      <c r="F490" s="43"/>
      <c r="G490" s="43"/>
      <c r="H490" s="43"/>
      <c r="I490" s="43"/>
      <c r="J490" s="43"/>
      <c r="K490" s="43"/>
      <c r="L490" s="43"/>
      <c r="M490" s="43"/>
      <c r="N490" s="43"/>
      <c r="O490" s="43"/>
      <c r="P490" s="43"/>
      <c r="Q490" s="43"/>
      <c r="R490" s="43"/>
      <c r="S490" s="43"/>
      <c r="T490" s="49"/>
      <c r="U490" s="49"/>
      <c r="V490" s="49"/>
      <c r="W490" s="49"/>
      <c r="X490" s="49"/>
      <c r="Y490" s="49"/>
      <c r="Z490" s="49"/>
      <c r="AA490" s="49"/>
      <c r="AB490" s="49"/>
      <c r="AC490" s="49"/>
      <c r="AD490" s="49"/>
      <c r="AE490" s="49"/>
    </row>
    <row r="491" spans="1:31">
      <c r="A491" s="43"/>
      <c r="B491" s="43"/>
      <c r="C491" s="43"/>
      <c r="D491" s="43"/>
      <c r="E491" s="43"/>
      <c r="F491" s="43"/>
      <c r="G491" s="43"/>
      <c r="H491" s="43"/>
      <c r="I491" s="43"/>
      <c r="J491" s="43"/>
      <c r="K491" s="43"/>
      <c r="L491" s="43"/>
      <c r="M491" s="43"/>
      <c r="N491" s="43"/>
      <c r="O491" s="43"/>
      <c r="P491" s="43"/>
      <c r="Q491" s="43"/>
      <c r="R491" s="43"/>
      <c r="S491" s="43"/>
      <c r="T491" s="49"/>
      <c r="U491" s="49"/>
      <c r="V491" s="49"/>
      <c r="W491" s="49"/>
      <c r="X491" s="49"/>
      <c r="Y491" s="49"/>
      <c r="Z491" s="49"/>
      <c r="AA491" s="49"/>
      <c r="AB491" s="49"/>
      <c r="AC491" s="49"/>
      <c r="AD491" s="49"/>
      <c r="AE491" s="49"/>
    </row>
    <row r="492" spans="1:31">
      <c r="A492" s="43"/>
      <c r="B492" s="43"/>
      <c r="C492" s="43"/>
      <c r="D492" s="43"/>
      <c r="E492" s="43"/>
      <c r="F492" s="43"/>
      <c r="G492" s="43"/>
      <c r="H492" s="43"/>
      <c r="I492" s="43"/>
      <c r="J492" s="43"/>
      <c r="K492" s="43"/>
      <c r="L492" s="43"/>
      <c r="M492" s="43"/>
      <c r="N492" s="43"/>
      <c r="O492" s="43"/>
      <c r="P492" s="43"/>
      <c r="Q492" s="43"/>
      <c r="R492" s="43"/>
      <c r="S492" s="43"/>
      <c r="T492" s="49"/>
      <c r="U492" s="49"/>
      <c r="V492" s="49"/>
      <c r="W492" s="49"/>
      <c r="X492" s="49"/>
      <c r="Y492" s="49"/>
      <c r="Z492" s="49"/>
      <c r="AA492" s="49"/>
      <c r="AB492" s="49"/>
      <c r="AC492" s="49"/>
      <c r="AD492" s="49"/>
      <c r="AE492" s="49"/>
    </row>
    <row r="493" spans="1:31">
      <c r="A493" s="43"/>
      <c r="B493" s="43"/>
      <c r="C493" s="43"/>
      <c r="D493" s="43"/>
      <c r="E493" s="43"/>
      <c r="F493" s="43"/>
      <c r="G493" s="43"/>
      <c r="H493" s="43"/>
      <c r="I493" s="43"/>
      <c r="J493" s="43"/>
      <c r="K493" s="43"/>
      <c r="L493" s="43"/>
      <c r="M493" s="43"/>
      <c r="N493" s="43"/>
      <c r="O493" s="43"/>
      <c r="P493" s="43"/>
      <c r="Q493" s="43"/>
      <c r="R493" s="43"/>
      <c r="S493" s="43"/>
      <c r="T493" s="49"/>
      <c r="U493" s="49"/>
      <c r="V493" s="49"/>
      <c r="W493" s="49"/>
      <c r="X493" s="49"/>
      <c r="Y493" s="49"/>
      <c r="Z493" s="49"/>
      <c r="AA493" s="49"/>
      <c r="AB493" s="49"/>
      <c r="AC493" s="49"/>
      <c r="AD493" s="49"/>
      <c r="AE493" s="49"/>
    </row>
    <row r="494" spans="1:31">
      <c r="A494" s="43"/>
      <c r="B494" s="43"/>
      <c r="C494" s="43"/>
      <c r="D494" s="43"/>
      <c r="E494" s="43"/>
      <c r="F494" s="43"/>
      <c r="G494" s="43"/>
      <c r="H494" s="43"/>
      <c r="I494" s="43"/>
      <c r="J494" s="43"/>
      <c r="K494" s="43"/>
      <c r="L494" s="43"/>
      <c r="M494" s="43"/>
      <c r="N494" s="43"/>
      <c r="O494" s="43"/>
      <c r="P494" s="43"/>
      <c r="Q494" s="43"/>
      <c r="R494" s="43"/>
      <c r="S494" s="43"/>
      <c r="T494" s="49"/>
      <c r="U494" s="49"/>
      <c r="V494" s="49"/>
      <c r="W494" s="49"/>
      <c r="X494" s="49"/>
      <c r="Y494" s="49"/>
      <c r="Z494" s="49"/>
      <c r="AA494" s="49"/>
      <c r="AB494" s="49"/>
      <c r="AC494" s="49"/>
      <c r="AD494" s="49"/>
      <c r="AE494" s="49"/>
    </row>
    <row r="495" spans="1:31">
      <c r="A495" s="43"/>
      <c r="B495" s="43"/>
      <c r="C495" s="43"/>
      <c r="D495" s="43"/>
      <c r="E495" s="43"/>
      <c r="F495" s="43"/>
      <c r="G495" s="43"/>
      <c r="H495" s="43"/>
      <c r="I495" s="43"/>
      <c r="J495" s="43"/>
      <c r="K495" s="43"/>
      <c r="L495" s="43"/>
      <c r="M495" s="43"/>
      <c r="N495" s="43"/>
      <c r="O495" s="43"/>
      <c r="P495" s="43"/>
      <c r="Q495" s="43"/>
      <c r="R495" s="43"/>
      <c r="S495" s="43"/>
      <c r="T495" s="49"/>
      <c r="U495" s="49"/>
      <c r="V495" s="49"/>
      <c r="W495" s="49"/>
      <c r="X495" s="49"/>
      <c r="Y495" s="49"/>
      <c r="Z495" s="49"/>
      <c r="AA495" s="49"/>
      <c r="AB495" s="49"/>
      <c r="AC495" s="49"/>
      <c r="AD495" s="49"/>
      <c r="AE495" s="49"/>
    </row>
    <row r="496" spans="1:31">
      <c r="A496" s="43"/>
      <c r="B496" s="43"/>
      <c r="C496" s="43"/>
      <c r="D496" s="43"/>
      <c r="E496" s="43"/>
      <c r="F496" s="43"/>
      <c r="G496" s="43"/>
      <c r="H496" s="43"/>
      <c r="I496" s="43"/>
      <c r="J496" s="43"/>
      <c r="K496" s="43"/>
      <c r="L496" s="43"/>
      <c r="M496" s="43"/>
      <c r="N496" s="43"/>
      <c r="O496" s="43"/>
      <c r="P496" s="43"/>
      <c r="Q496" s="43"/>
      <c r="R496" s="43"/>
      <c r="S496" s="43"/>
      <c r="T496" s="49"/>
      <c r="U496" s="49"/>
      <c r="V496" s="49"/>
      <c r="W496" s="49"/>
      <c r="X496" s="49"/>
      <c r="Y496" s="49"/>
      <c r="Z496" s="49"/>
      <c r="AA496" s="49"/>
      <c r="AB496" s="49"/>
      <c r="AC496" s="49"/>
      <c r="AD496" s="49"/>
      <c r="AE496" s="49"/>
    </row>
    <row r="497" spans="1:31">
      <c r="A497" s="43"/>
      <c r="B497" s="43"/>
      <c r="C497" s="43"/>
      <c r="D497" s="43"/>
      <c r="E497" s="43"/>
      <c r="F497" s="43"/>
      <c r="G497" s="43"/>
      <c r="H497" s="43"/>
      <c r="I497" s="43"/>
      <c r="J497" s="43"/>
      <c r="K497" s="43"/>
      <c r="L497" s="43"/>
      <c r="M497" s="43"/>
      <c r="N497" s="43"/>
      <c r="O497" s="43"/>
      <c r="P497" s="43"/>
      <c r="Q497" s="43"/>
      <c r="R497" s="43"/>
      <c r="S497" s="43"/>
      <c r="T497" s="49"/>
      <c r="U497" s="49"/>
      <c r="V497" s="49"/>
      <c r="W497" s="49"/>
      <c r="X497" s="49"/>
      <c r="Y497" s="49"/>
      <c r="Z497" s="49"/>
      <c r="AA497" s="49"/>
      <c r="AB497" s="49"/>
      <c r="AC497" s="49"/>
      <c r="AD497" s="49"/>
      <c r="AE497" s="49"/>
    </row>
    <row r="498" spans="1:31">
      <c r="A498" s="43"/>
      <c r="B498" s="43"/>
      <c r="C498" s="43"/>
      <c r="D498" s="43"/>
      <c r="E498" s="43"/>
      <c r="F498" s="43"/>
      <c r="G498" s="43"/>
      <c r="H498" s="43"/>
      <c r="I498" s="43"/>
      <c r="J498" s="43"/>
      <c r="K498" s="43"/>
      <c r="L498" s="43"/>
      <c r="M498" s="43"/>
      <c r="N498" s="43"/>
      <c r="O498" s="43"/>
      <c r="P498" s="43"/>
      <c r="Q498" s="43"/>
      <c r="R498" s="43"/>
      <c r="S498" s="43"/>
      <c r="T498" s="49"/>
      <c r="U498" s="49"/>
      <c r="V498" s="49"/>
      <c r="W498" s="49"/>
      <c r="X498" s="49"/>
      <c r="Y498" s="49"/>
      <c r="Z498" s="49"/>
      <c r="AA498" s="49"/>
      <c r="AB498" s="49"/>
      <c r="AC498" s="49"/>
      <c r="AD498" s="49"/>
      <c r="AE498" s="49"/>
    </row>
    <row r="499" spans="1:31">
      <c r="A499" s="43"/>
      <c r="B499" s="43"/>
      <c r="C499" s="43"/>
      <c r="D499" s="43"/>
      <c r="E499" s="43"/>
      <c r="F499" s="43"/>
      <c r="G499" s="43"/>
      <c r="H499" s="43"/>
      <c r="I499" s="43"/>
      <c r="J499" s="43"/>
      <c r="K499" s="43"/>
      <c r="L499" s="43"/>
      <c r="M499" s="43"/>
      <c r="N499" s="43"/>
      <c r="O499" s="43"/>
      <c r="P499" s="43"/>
      <c r="Q499" s="43"/>
      <c r="R499" s="43"/>
      <c r="S499" s="43"/>
      <c r="T499" s="49"/>
      <c r="U499" s="49"/>
      <c r="V499" s="49"/>
      <c r="W499" s="49"/>
      <c r="X499" s="49"/>
      <c r="Y499" s="49"/>
      <c r="Z499" s="49"/>
      <c r="AA499" s="49"/>
      <c r="AB499" s="49"/>
      <c r="AC499" s="49"/>
      <c r="AD499" s="49"/>
      <c r="AE499" s="49"/>
    </row>
    <row r="500" spans="1:31">
      <c r="A500" s="43"/>
      <c r="B500" s="43"/>
      <c r="C500" s="43"/>
      <c r="D500" s="43"/>
      <c r="E500" s="43"/>
      <c r="F500" s="43"/>
      <c r="G500" s="43"/>
      <c r="H500" s="43"/>
      <c r="I500" s="43"/>
      <c r="J500" s="43"/>
      <c r="K500" s="43"/>
      <c r="L500" s="43"/>
      <c r="M500" s="43"/>
      <c r="N500" s="43"/>
      <c r="O500" s="43"/>
      <c r="P500" s="43"/>
      <c r="Q500" s="43"/>
      <c r="R500" s="43"/>
      <c r="S500" s="43"/>
      <c r="T500" s="49"/>
      <c r="U500" s="49"/>
      <c r="V500" s="49"/>
      <c r="W500" s="49"/>
      <c r="X500" s="49"/>
      <c r="Y500" s="49"/>
      <c r="Z500" s="49"/>
      <c r="AA500" s="49"/>
      <c r="AB500" s="49"/>
      <c r="AC500" s="49"/>
      <c r="AD500" s="49"/>
      <c r="AE500" s="49"/>
    </row>
    <row r="501" spans="1:31">
      <c r="A501" s="43"/>
      <c r="B501" s="43"/>
      <c r="C501" s="43"/>
      <c r="D501" s="43"/>
      <c r="E501" s="43"/>
      <c r="F501" s="43"/>
      <c r="G501" s="43"/>
      <c r="H501" s="43"/>
      <c r="I501" s="43"/>
      <c r="J501" s="43"/>
      <c r="K501" s="43"/>
      <c r="L501" s="43"/>
      <c r="M501" s="43"/>
      <c r="N501" s="43"/>
      <c r="O501" s="43"/>
      <c r="P501" s="43"/>
      <c r="Q501" s="43"/>
      <c r="R501" s="43"/>
      <c r="S501" s="43"/>
      <c r="T501" s="49"/>
      <c r="U501" s="49"/>
      <c r="V501" s="49"/>
      <c r="W501" s="49"/>
      <c r="X501" s="49"/>
      <c r="Y501" s="49"/>
      <c r="Z501" s="49"/>
      <c r="AA501" s="49"/>
      <c r="AB501" s="49"/>
      <c r="AC501" s="49"/>
      <c r="AD501" s="49"/>
      <c r="AE501" s="49"/>
    </row>
    <row r="502" spans="1:31">
      <c r="A502" s="43"/>
      <c r="B502" s="43"/>
      <c r="C502" s="43"/>
      <c r="D502" s="43"/>
      <c r="E502" s="43"/>
      <c r="F502" s="43"/>
      <c r="G502" s="43"/>
      <c r="H502" s="43"/>
      <c r="I502" s="43"/>
      <c r="J502" s="43"/>
      <c r="K502" s="43"/>
      <c r="L502" s="43"/>
      <c r="M502" s="43"/>
      <c r="N502" s="43"/>
      <c r="O502" s="43"/>
      <c r="P502" s="43"/>
      <c r="Q502" s="43"/>
      <c r="R502" s="43"/>
      <c r="S502" s="43"/>
      <c r="T502" s="49"/>
      <c r="U502" s="49"/>
      <c r="V502" s="49"/>
      <c r="W502" s="49"/>
      <c r="X502" s="49"/>
      <c r="Y502" s="49"/>
      <c r="Z502" s="49"/>
      <c r="AA502" s="49"/>
      <c r="AB502" s="49"/>
      <c r="AC502" s="49"/>
      <c r="AD502" s="49"/>
      <c r="AE502" s="49"/>
    </row>
    <row r="503" spans="1:31">
      <c r="A503" s="43"/>
      <c r="B503" s="43"/>
      <c r="C503" s="43"/>
      <c r="D503" s="43"/>
      <c r="E503" s="43"/>
      <c r="F503" s="43"/>
      <c r="G503" s="43"/>
      <c r="H503" s="43"/>
      <c r="I503" s="43"/>
      <c r="J503" s="43"/>
      <c r="K503" s="43"/>
      <c r="L503" s="43"/>
      <c r="M503" s="43"/>
      <c r="N503" s="43"/>
      <c r="O503" s="43"/>
      <c r="P503" s="43"/>
      <c r="Q503" s="43"/>
      <c r="R503" s="43"/>
      <c r="S503" s="43"/>
      <c r="T503" s="49"/>
      <c r="U503" s="49"/>
      <c r="V503" s="49"/>
      <c r="W503" s="49"/>
      <c r="X503" s="49"/>
      <c r="Y503" s="49"/>
      <c r="Z503" s="49"/>
      <c r="AA503" s="49"/>
      <c r="AB503" s="49"/>
      <c r="AC503" s="49"/>
      <c r="AD503" s="49"/>
      <c r="AE503" s="49"/>
    </row>
    <row r="504" spans="1:31">
      <c r="A504" s="43"/>
      <c r="B504" s="43"/>
      <c r="C504" s="43"/>
      <c r="D504" s="43"/>
      <c r="E504" s="43"/>
      <c r="F504" s="43"/>
      <c r="G504" s="43"/>
      <c r="H504" s="43"/>
      <c r="I504" s="43"/>
      <c r="J504" s="43"/>
      <c r="K504" s="43"/>
      <c r="L504" s="43"/>
      <c r="M504" s="43"/>
      <c r="N504" s="43"/>
      <c r="O504" s="43"/>
      <c r="P504" s="43"/>
      <c r="Q504" s="43"/>
      <c r="R504" s="43"/>
      <c r="S504" s="43"/>
      <c r="T504" s="49"/>
      <c r="U504" s="49"/>
      <c r="V504" s="49"/>
      <c r="W504" s="49"/>
      <c r="X504" s="49"/>
      <c r="Y504" s="49"/>
      <c r="Z504" s="49"/>
      <c r="AA504" s="49"/>
      <c r="AB504" s="49"/>
      <c r="AC504" s="49"/>
      <c r="AD504" s="49"/>
      <c r="AE504" s="49"/>
    </row>
    <row r="505" spans="1:31">
      <c r="A505" s="43"/>
      <c r="B505" s="43"/>
      <c r="C505" s="43"/>
      <c r="D505" s="43"/>
      <c r="E505" s="43"/>
      <c r="F505" s="43"/>
      <c r="G505" s="43"/>
      <c r="H505" s="43"/>
      <c r="I505" s="43"/>
      <c r="J505" s="43"/>
      <c r="K505" s="43"/>
      <c r="L505" s="43"/>
      <c r="M505" s="43"/>
      <c r="N505" s="43"/>
      <c r="O505" s="43"/>
      <c r="P505" s="43"/>
      <c r="Q505" s="43"/>
      <c r="R505" s="43"/>
      <c r="S505" s="43"/>
      <c r="T505" s="49"/>
      <c r="U505" s="49"/>
      <c r="V505" s="49"/>
      <c r="W505" s="49"/>
      <c r="X505" s="49"/>
      <c r="Y505" s="49"/>
      <c r="Z505" s="49"/>
      <c r="AA505" s="49"/>
      <c r="AB505" s="49"/>
      <c r="AC505" s="49"/>
      <c r="AD505" s="49"/>
      <c r="AE505" s="49"/>
    </row>
    <row r="506" spans="1:31">
      <c r="A506" s="43"/>
      <c r="B506" s="43"/>
      <c r="C506" s="43"/>
      <c r="D506" s="43"/>
      <c r="E506" s="43"/>
      <c r="F506" s="43"/>
      <c r="G506" s="43"/>
      <c r="H506" s="43"/>
      <c r="I506" s="43"/>
      <c r="J506" s="43"/>
      <c r="K506" s="43"/>
      <c r="L506" s="43"/>
      <c r="M506" s="43"/>
      <c r="N506" s="43"/>
      <c r="O506" s="43"/>
      <c r="P506" s="43"/>
      <c r="Q506" s="43"/>
      <c r="R506" s="43"/>
      <c r="S506" s="43"/>
      <c r="T506" s="49"/>
      <c r="U506" s="49"/>
      <c r="V506" s="49"/>
      <c r="W506" s="49"/>
      <c r="X506" s="49"/>
      <c r="Y506" s="49"/>
      <c r="Z506" s="49"/>
      <c r="AA506" s="49"/>
      <c r="AB506" s="49"/>
      <c r="AC506" s="49"/>
      <c r="AD506" s="49"/>
      <c r="AE506" s="49"/>
    </row>
    <row r="507" spans="1:31">
      <c r="A507" s="43"/>
      <c r="B507" s="43"/>
      <c r="C507" s="43"/>
      <c r="D507" s="43"/>
      <c r="E507" s="43"/>
      <c r="F507" s="43"/>
      <c r="G507" s="43"/>
      <c r="H507" s="43"/>
      <c r="I507" s="43"/>
      <c r="J507" s="43"/>
      <c r="K507" s="43"/>
      <c r="L507" s="43"/>
      <c r="M507" s="43"/>
      <c r="N507" s="43"/>
      <c r="O507" s="43"/>
      <c r="P507" s="43"/>
      <c r="Q507" s="43"/>
      <c r="R507" s="43"/>
      <c r="S507" s="43"/>
      <c r="T507" s="49"/>
      <c r="U507" s="49"/>
      <c r="V507" s="49"/>
      <c r="W507" s="49"/>
      <c r="X507" s="49"/>
      <c r="Y507" s="49"/>
      <c r="Z507" s="49"/>
      <c r="AA507" s="49"/>
      <c r="AB507" s="49"/>
      <c r="AC507" s="49"/>
      <c r="AD507" s="49"/>
      <c r="AE507" s="49"/>
    </row>
    <row r="508" spans="1:31">
      <c r="A508" s="43"/>
      <c r="B508" s="43"/>
      <c r="C508" s="43"/>
      <c r="D508" s="43"/>
      <c r="E508" s="43"/>
      <c r="F508" s="43"/>
      <c r="G508" s="43"/>
      <c r="H508" s="43"/>
      <c r="I508" s="43"/>
      <c r="J508" s="43"/>
      <c r="K508" s="43"/>
      <c r="L508" s="43"/>
      <c r="M508" s="43"/>
      <c r="N508" s="43"/>
      <c r="O508" s="43"/>
      <c r="P508" s="43"/>
      <c r="Q508" s="43"/>
      <c r="R508" s="43"/>
      <c r="S508" s="43"/>
      <c r="T508" s="49"/>
      <c r="U508" s="49"/>
      <c r="V508" s="49"/>
      <c r="W508" s="49"/>
      <c r="X508" s="49"/>
      <c r="Y508" s="49"/>
      <c r="Z508" s="49"/>
      <c r="AA508" s="49"/>
      <c r="AB508" s="49"/>
      <c r="AC508" s="49"/>
      <c r="AD508" s="49"/>
      <c r="AE508" s="49"/>
    </row>
    <row r="509" spans="1:31">
      <c r="A509" s="43"/>
      <c r="B509" s="43"/>
      <c r="C509" s="43"/>
      <c r="D509" s="43"/>
      <c r="E509" s="43"/>
      <c r="F509" s="43"/>
      <c r="G509" s="43"/>
      <c r="H509" s="43"/>
      <c r="I509" s="43"/>
      <c r="J509" s="43"/>
      <c r="K509" s="43"/>
      <c r="L509" s="43"/>
      <c r="M509" s="43"/>
      <c r="N509" s="43"/>
      <c r="O509" s="43"/>
      <c r="P509" s="43"/>
      <c r="Q509" s="43"/>
      <c r="R509" s="43"/>
      <c r="S509" s="43"/>
      <c r="T509" s="49"/>
      <c r="U509" s="49"/>
      <c r="V509" s="49"/>
      <c r="W509" s="49"/>
      <c r="X509" s="49"/>
      <c r="Y509" s="49"/>
      <c r="Z509" s="49"/>
      <c r="AA509" s="49"/>
      <c r="AB509" s="49"/>
      <c r="AC509" s="49"/>
      <c r="AD509" s="49"/>
      <c r="AE509" s="49"/>
    </row>
    <row r="510" spans="1:31">
      <c r="A510" s="43"/>
      <c r="B510" s="43"/>
      <c r="C510" s="43"/>
      <c r="D510" s="43"/>
      <c r="E510" s="43"/>
      <c r="F510" s="43"/>
      <c r="G510" s="43"/>
      <c r="H510" s="43"/>
      <c r="I510" s="43"/>
      <c r="J510" s="43"/>
      <c r="K510" s="43"/>
      <c r="L510" s="43"/>
      <c r="M510" s="43"/>
      <c r="N510" s="43"/>
      <c r="O510" s="43"/>
      <c r="P510" s="43"/>
      <c r="Q510" s="43"/>
      <c r="R510" s="43"/>
      <c r="S510" s="43"/>
      <c r="T510" s="49"/>
      <c r="U510" s="49"/>
      <c r="V510" s="49"/>
      <c r="W510" s="49"/>
      <c r="X510" s="49"/>
      <c r="Y510" s="49"/>
      <c r="Z510" s="49"/>
      <c r="AA510" s="49"/>
      <c r="AB510" s="49"/>
      <c r="AC510" s="49"/>
      <c r="AD510" s="49"/>
      <c r="AE510" s="49"/>
    </row>
    <row r="511" spans="1:31">
      <c r="A511" s="43"/>
      <c r="B511" s="43"/>
      <c r="C511" s="43"/>
      <c r="D511" s="43"/>
      <c r="E511" s="43"/>
      <c r="F511" s="43"/>
      <c r="G511" s="43"/>
      <c r="H511" s="43"/>
      <c r="I511" s="43"/>
      <c r="J511" s="43"/>
      <c r="K511" s="43"/>
      <c r="L511" s="43"/>
      <c r="M511" s="43"/>
      <c r="N511" s="43"/>
      <c r="O511" s="43"/>
      <c r="P511" s="43"/>
      <c r="Q511" s="43"/>
      <c r="R511" s="43"/>
      <c r="S511" s="43"/>
      <c r="T511" s="49"/>
      <c r="U511" s="49"/>
      <c r="V511" s="49"/>
      <c r="W511" s="49"/>
      <c r="X511" s="49"/>
      <c r="Y511" s="49"/>
      <c r="Z511" s="49"/>
      <c r="AA511" s="49"/>
      <c r="AB511" s="49"/>
      <c r="AC511" s="49"/>
      <c r="AD511" s="49"/>
      <c r="AE511" s="49"/>
    </row>
    <row r="512" spans="1:31">
      <c r="A512" s="43"/>
      <c r="B512" s="43"/>
      <c r="C512" s="43"/>
      <c r="D512" s="43"/>
      <c r="E512" s="43"/>
      <c r="F512" s="43"/>
      <c r="G512" s="43"/>
      <c r="H512" s="43"/>
      <c r="I512" s="43"/>
      <c r="J512" s="43"/>
      <c r="K512" s="43"/>
      <c r="L512" s="43"/>
      <c r="M512" s="43"/>
      <c r="N512" s="43"/>
      <c r="O512" s="43"/>
      <c r="P512" s="43"/>
      <c r="Q512" s="43"/>
      <c r="R512" s="43"/>
      <c r="S512" s="43"/>
      <c r="T512" s="49"/>
      <c r="U512" s="49"/>
      <c r="V512" s="49"/>
      <c r="W512" s="49"/>
      <c r="X512" s="49"/>
      <c r="Y512" s="49"/>
      <c r="Z512" s="49"/>
      <c r="AA512" s="49"/>
      <c r="AB512" s="49"/>
      <c r="AC512" s="49"/>
      <c r="AD512" s="49"/>
      <c r="AE512" s="49"/>
    </row>
    <row r="513" spans="1:31">
      <c r="A513" s="43"/>
      <c r="B513" s="43"/>
      <c r="C513" s="43"/>
      <c r="D513" s="43"/>
      <c r="E513" s="43"/>
      <c r="F513" s="43"/>
      <c r="G513" s="43"/>
      <c r="H513" s="43"/>
      <c r="I513" s="43"/>
      <c r="J513" s="43"/>
      <c r="K513" s="43"/>
      <c r="L513" s="43"/>
      <c r="M513" s="43"/>
      <c r="N513" s="43"/>
      <c r="O513" s="43"/>
      <c r="P513" s="43"/>
      <c r="Q513" s="43"/>
      <c r="R513" s="43"/>
      <c r="S513" s="43"/>
      <c r="T513" s="49"/>
      <c r="U513" s="49"/>
      <c r="V513" s="49"/>
      <c r="W513" s="49"/>
      <c r="X513" s="49"/>
      <c r="Y513" s="49"/>
      <c r="Z513" s="49"/>
      <c r="AA513" s="49"/>
      <c r="AB513" s="49"/>
      <c r="AC513" s="49"/>
      <c r="AD513" s="49"/>
      <c r="AE513" s="49"/>
    </row>
    <row r="514" spans="1:31">
      <c r="A514" s="43"/>
      <c r="B514" s="43"/>
      <c r="C514" s="43"/>
      <c r="D514" s="43"/>
      <c r="E514" s="43"/>
      <c r="F514" s="43"/>
      <c r="G514" s="43"/>
      <c r="H514" s="43"/>
      <c r="I514" s="43"/>
      <c r="J514" s="43"/>
      <c r="K514" s="43"/>
      <c r="L514" s="43"/>
      <c r="M514" s="43"/>
      <c r="N514" s="43"/>
      <c r="O514" s="43"/>
      <c r="P514" s="43"/>
      <c r="Q514" s="43"/>
      <c r="R514" s="43"/>
      <c r="S514" s="43"/>
      <c r="T514" s="49"/>
      <c r="U514" s="49"/>
      <c r="V514" s="49"/>
      <c r="W514" s="49"/>
      <c r="X514" s="49"/>
      <c r="Y514" s="49"/>
      <c r="Z514" s="49"/>
      <c r="AA514" s="49"/>
      <c r="AB514" s="49"/>
      <c r="AC514" s="49"/>
      <c r="AD514" s="49"/>
      <c r="AE514" s="49"/>
    </row>
    <row r="515" spans="1:31">
      <c r="A515" s="43"/>
      <c r="B515" s="43"/>
      <c r="C515" s="43"/>
      <c r="D515" s="43"/>
      <c r="E515" s="43"/>
      <c r="F515" s="43"/>
      <c r="G515" s="43"/>
      <c r="H515" s="43"/>
      <c r="I515" s="43"/>
      <c r="J515" s="43"/>
      <c r="K515" s="43"/>
      <c r="L515" s="43"/>
      <c r="M515" s="43"/>
      <c r="N515" s="43"/>
      <c r="O515" s="43"/>
      <c r="P515" s="43"/>
      <c r="Q515" s="43"/>
      <c r="R515" s="43"/>
      <c r="S515" s="43"/>
      <c r="T515" s="49"/>
      <c r="U515" s="49"/>
      <c r="V515" s="49"/>
      <c r="W515" s="49"/>
      <c r="X515" s="49"/>
      <c r="Y515" s="49"/>
      <c r="Z515" s="49"/>
      <c r="AA515" s="49"/>
      <c r="AB515" s="49"/>
      <c r="AC515" s="49"/>
      <c r="AD515" s="49"/>
      <c r="AE515" s="49"/>
    </row>
    <row r="516" spans="1:31">
      <c r="A516" s="43"/>
      <c r="B516" s="43"/>
      <c r="C516" s="43"/>
      <c r="D516" s="43"/>
      <c r="E516" s="43"/>
      <c r="F516" s="43"/>
      <c r="G516" s="43"/>
      <c r="H516" s="43"/>
      <c r="I516" s="43"/>
      <c r="J516" s="43"/>
      <c r="K516" s="43"/>
      <c r="L516" s="43"/>
      <c r="M516" s="43"/>
      <c r="N516" s="43"/>
      <c r="O516" s="43"/>
      <c r="P516" s="43"/>
      <c r="Q516" s="43"/>
      <c r="R516" s="43"/>
      <c r="S516" s="43"/>
      <c r="T516" s="49"/>
      <c r="U516" s="49"/>
      <c r="V516" s="49"/>
      <c r="W516" s="49"/>
      <c r="X516" s="49"/>
      <c r="Y516" s="49"/>
      <c r="Z516" s="49"/>
      <c r="AA516" s="49"/>
      <c r="AB516" s="49"/>
      <c r="AC516" s="49"/>
      <c r="AD516" s="49"/>
      <c r="AE516" s="49"/>
    </row>
    <row r="517" spans="1:31">
      <c r="A517" s="43"/>
      <c r="B517" s="43"/>
      <c r="C517" s="43"/>
      <c r="D517" s="43"/>
      <c r="E517" s="43"/>
      <c r="F517" s="43"/>
      <c r="G517" s="43"/>
      <c r="H517" s="43"/>
      <c r="I517" s="43"/>
      <c r="J517" s="43"/>
      <c r="K517" s="43"/>
      <c r="L517" s="43"/>
      <c r="M517" s="43"/>
      <c r="N517" s="43"/>
      <c r="O517" s="43"/>
      <c r="P517" s="43"/>
      <c r="Q517" s="43"/>
      <c r="R517" s="43"/>
      <c r="S517" s="43"/>
      <c r="T517" s="49"/>
      <c r="U517" s="49"/>
      <c r="V517" s="49"/>
      <c r="W517" s="49"/>
      <c r="X517" s="49"/>
      <c r="Y517" s="49"/>
      <c r="Z517" s="49"/>
      <c r="AA517" s="49"/>
      <c r="AB517" s="49"/>
      <c r="AC517" s="49"/>
      <c r="AD517" s="49"/>
      <c r="AE517" s="49"/>
    </row>
    <row r="518" spans="1:31">
      <c r="A518" s="43"/>
      <c r="B518" s="43"/>
      <c r="C518" s="43"/>
      <c r="D518" s="43"/>
      <c r="E518" s="43"/>
      <c r="F518" s="43"/>
      <c r="G518" s="43"/>
      <c r="H518" s="43"/>
      <c r="I518" s="43"/>
      <c r="J518" s="43"/>
      <c r="K518" s="43"/>
      <c r="L518" s="43"/>
      <c r="M518" s="43"/>
      <c r="N518" s="43"/>
      <c r="O518" s="43"/>
      <c r="P518" s="43"/>
      <c r="Q518" s="43"/>
      <c r="R518" s="43"/>
      <c r="S518" s="43"/>
      <c r="T518" s="49"/>
      <c r="U518" s="49"/>
      <c r="V518" s="49"/>
      <c r="W518" s="49"/>
      <c r="X518" s="49"/>
      <c r="Y518" s="49"/>
      <c r="Z518" s="49"/>
      <c r="AA518" s="49"/>
      <c r="AB518" s="49"/>
      <c r="AC518" s="49"/>
      <c r="AD518" s="49"/>
      <c r="AE518" s="49"/>
    </row>
    <row r="519" spans="1:31">
      <c r="A519" s="43"/>
      <c r="B519" s="43"/>
      <c r="C519" s="43"/>
      <c r="D519" s="43"/>
      <c r="E519" s="43"/>
      <c r="F519" s="43"/>
      <c r="G519" s="43"/>
      <c r="H519" s="43"/>
      <c r="I519" s="43"/>
      <c r="J519" s="43"/>
      <c r="K519" s="43"/>
      <c r="L519" s="43"/>
      <c r="M519" s="43"/>
      <c r="N519" s="43"/>
      <c r="O519" s="43"/>
      <c r="P519" s="43"/>
      <c r="Q519" s="43"/>
      <c r="R519" s="43"/>
      <c r="S519" s="43"/>
      <c r="T519" s="49"/>
      <c r="U519" s="49"/>
      <c r="V519" s="49"/>
      <c r="W519" s="49"/>
      <c r="X519" s="49"/>
      <c r="Y519" s="49"/>
      <c r="Z519" s="49"/>
      <c r="AA519" s="49"/>
      <c r="AB519" s="49"/>
      <c r="AC519" s="49"/>
      <c r="AD519" s="49"/>
      <c r="AE519" s="49"/>
    </row>
    <row r="520" spans="1:31">
      <c r="A520" s="43"/>
      <c r="B520" s="43"/>
      <c r="C520" s="43"/>
      <c r="D520" s="43"/>
      <c r="E520" s="43"/>
      <c r="F520" s="43"/>
      <c r="G520" s="43"/>
      <c r="H520" s="43"/>
      <c r="I520" s="43"/>
      <c r="J520" s="43"/>
      <c r="K520" s="43"/>
      <c r="L520" s="43"/>
      <c r="M520" s="43"/>
      <c r="N520" s="43"/>
      <c r="O520" s="43"/>
      <c r="P520" s="43"/>
      <c r="Q520" s="43"/>
      <c r="R520" s="43"/>
      <c r="S520" s="43"/>
      <c r="T520" s="49"/>
      <c r="U520" s="49"/>
      <c r="V520" s="49"/>
      <c r="W520" s="49"/>
      <c r="X520" s="49"/>
      <c r="Y520" s="49"/>
      <c r="Z520" s="49"/>
      <c r="AA520" s="49"/>
      <c r="AB520" s="49"/>
      <c r="AC520" s="49"/>
      <c r="AD520" s="49"/>
      <c r="AE520" s="49"/>
    </row>
    <row r="521" spans="1:31">
      <c r="A521" s="43"/>
      <c r="B521" s="43"/>
      <c r="C521" s="43"/>
      <c r="D521" s="43"/>
      <c r="E521" s="43"/>
      <c r="F521" s="43"/>
      <c r="G521" s="43"/>
      <c r="H521" s="43"/>
      <c r="I521" s="43"/>
      <c r="J521" s="43"/>
      <c r="K521" s="43"/>
      <c r="L521" s="43"/>
      <c r="M521" s="43"/>
      <c r="N521" s="43"/>
      <c r="O521" s="43"/>
      <c r="P521" s="43"/>
      <c r="Q521" s="43"/>
      <c r="R521" s="43"/>
      <c r="S521" s="43"/>
      <c r="T521" s="49"/>
      <c r="U521" s="49"/>
      <c r="V521" s="49"/>
      <c r="W521" s="49"/>
      <c r="X521" s="49"/>
      <c r="Y521" s="49"/>
      <c r="Z521" s="49"/>
      <c r="AA521" s="49"/>
      <c r="AB521" s="49"/>
      <c r="AC521" s="49"/>
      <c r="AD521" s="49"/>
      <c r="AE521" s="49"/>
    </row>
    <row r="522" spans="1:31">
      <c r="A522" s="43"/>
      <c r="B522" s="43"/>
      <c r="C522" s="43"/>
      <c r="D522" s="43"/>
      <c r="E522" s="43"/>
      <c r="F522" s="43"/>
      <c r="G522" s="43"/>
      <c r="H522" s="43"/>
      <c r="I522" s="43"/>
      <c r="J522" s="43"/>
      <c r="K522" s="43"/>
      <c r="L522" s="43"/>
      <c r="M522" s="43"/>
      <c r="N522" s="43"/>
      <c r="O522" s="43"/>
      <c r="P522" s="43"/>
      <c r="Q522" s="43"/>
      <c r="R522" s="43"/>
      <c r="S522" s="43"/>
      <c r="T522" s="49"/>
      <c r="U522" s="49"/>
      <c r="V522" s="49"/>
      <c r="W522" s="49"/>
      <c r="X522" s="49"/>
      <c r="Y522" s="49"/>
      <c r="Z522" s="49"/>
      <c r="AA522" s="49"/>
      <c r="AB522" s="49"/>
      <c r="AC522" s="49"/>
      <c r="AD522" s="49"/>
      <c r="AE522" s="49"/>
    </row>
    <row r="523" spans="1:31">
      <c r="A523" s="43"/>
      <c r="B523" s="43"/>
      <c r="C523" s="43"/>
      <c r="D523" s="43"/>
      <c r="E523" s="43"/>
      <c r="F523" s="43"/>
      <c r="G523" s="43"/>
      <c r="H523" s="43"/>
      <c r="I523" s="43"/>
      <c r="J523" s="43"/>
      <c r="K523" s="43"/>
      <c r="L523" s="43"/>
      <c r="M523" s="43"/>
      <c r="N523" s="43"/>
      <c r="O523" s="43"/>
      <c r="P523" s="43"/>
      <c r="Q523" s="43"/>
      <c r="R523" s="43"/>
      <c r="S523" s="43"/>
      <c r="T523" s="49"/>
      <c r="U523" s="49"/>
      <c r="V523" s="49"/>
      <c r="W523" s="49"/>
      <c r="X523" s="49"/>
      <c r="Y523" s="49"/>
      <c r="Z523" s="49"/>
      <c r="AA523" s="49"/>
      <c r="AB523" s="49"/>
      <c r="AC523" s="49"/>
      <c r="AD523" s="49"/>
      <c r="AE523" s="49"/>
    </row>
    <row r="524" spans="1:31">
      <c r="A524" s="43"/>
      <c r="B524" s="43"/>
      <c r="C524" s="43"/>
      <c r="D524" s="43"/>
      <c r="E524" s="43"/>
      <c r="F524" s="43"/>
      <c r="G524" s="43"/>
      <c r="H524" s="43"/>
      <c r="I524" s="43"/>
      <c r="J524" s="43"/>
      <c r="K524" s="43"/>
      <c r="L524" s="43"/>
      <c r="M524" s="43"/>
      <c r="N524" s="43"/>
      <c r="O524" s="43"/>
      <c r="P524" s="43"/>
      <c r="Q524" s="43"/>
      <c r="R524" s="43"/>
      <c r="S524" s="43"/>
      <c r="T524" s="49"/>
      <c r="U524" s="49"/>
      <c r="V524" s="49"/>
      <c r="W524" s="49"/>
      <c r="X524" s="49"/>
      <c r="Y524" s="49"/>
      <c r="Z524" s="49"/>
      <c r="AA524" s="49"/>
      <c r="AB524" s="49"/>
      <c r="AC524" s="49"/>
      <c r="AD524" s="49"/>
      <c r="AE524" s="49"/>
    </row>
    <row r="525" spans="1:31">
      <c r="A525" s="43"/>
      <c r="B525" s="43"/>
      <c r="C525" s="43"/>
      <c r="D525" s="43"/>
      <c r="E525" s="43"/>
      <c r="F525" s="43"/>
      <c r="G525" s="43"/>
      <c r="H525" s="43"/>
      <c r="I525" s="43"/>
      <c r="J525" s="43"/>
      <c r="K525" s="43"/>
      <c r="L525" s="43"/>
      <c r="M525" s="43"/>
      <c r="N525" s="43"/>
      <c r="O525" s="43"/>
      <c r="P525" s="43"/>
      <c r="Q525" s="43"/>
      <c r="R525" s="43"/>
      <c r="S525" s="43"/>
      <c r="T525" s="49"/>
      <c r="U525" s="49"/>
      <c r="V525" s="49"/>
      <c r="W525" s="49"/>
      <c r="X525" s="49"/>
      <c r="Y525" s="49"/>
      <c r="Z525" s="49"/>
      <c r="AA525" s="49"/>
      <c r="AB525" s="49"/>
      <c r="AC525" s="49"/>
      <c r="AD525" s="49"/>
      <c r="AE525" s="49"/>
    </row>
    <row r="526" spans="1:31">
      <c r="A526" s="43"/>
      <c r="B526" s="43"/>
      <c r="C526" s="43"/>
      <c r="D526" s="43"/>
      <c r="E526" s="43"/>
      <c r="F526" s="43"/>
      <c r="G526" s="43"/>
      <c r="H526" s="43"/>
      <c r="I526" s="43"/>
      <c r="J526" s="43"/>
      <c r="K526" s="43"/>
      <c r="L526" s="43"/>
      <c r="M526" s="43"/>
      <c r="N526" s="43"/>
      <c r="O526" s="43"/>
      <c r="P526" s="43"/>
      <c r="Q526" s="43"/>
      <c r="R526" s="43"/>
      <c r="S526" s="43"/>
      <c r="T526" s="49"/>
      <c r="U526" s="49"/>
      <c r="V526" s="49"/>
      <c r="W526" s="49"/>
      <c r="X526" s="49"/>
      <c r="Y526" s="49"/>
      <c r="Z526" s="49"/>
      <c r="AA526" s="49"/>
      <c r="AB526" s="49"/>
      <c r="AC526" s="49"/>
      <c r="AD526" s="49"/>
      <c r="AE526" s="49"/>
    </row>
    <row r="527" spans="1:31">
      <c r="A527" s="43"/>
      <c r="B527" s="43"/>
      <c r="C527" s="43"/>
      <c r="D527" s="43"/>
      <c r="E527" s="43"/>
      <c r="F527" s="43"/>
      <c r="G527" s="43"/>
      <c r="H527" s="43"/>
      <c r="I527" s="43"/>
      <c r="J527" s="43"/>
      <c r="K527" s="43"/>
      <c r="L527" s="43"/>
      <c r="M527" s="43"/>
      <c r="N527" s="43"/>
      <c r="O527" s="43"/>
      <c r="P527" s="43"/>
      <c r="Q527" s="43"/>
      <c r="R527" s="43"/>
      <c r="S527" s="43"/>
      <c r="T527" s="49"/>
      <c r="U527" s="49"/>
      <c r="V527" s="49"/>
      <c r="W527" s="49"/>
      <c r="X527" s="49"/>
      <c r="Y527" s="49"/>
      <c r="Z527" s="49"/>
      <c r="AA527" s="49"/>
      <c r="AB527" s="49"/>
      <c r="AC527" s="49"/>
      <c r="AD527" s="49"/>
      <c r="AE527" s="49"/>
    </row>
    <row r="528" spans="1:31">
      <c r="A528" s="43"/>
      <c r="B528" s="43"/>
      <c r="C528" s="43"/>
      <c r="D528" s="43"/>
      <c r="E528" s="43"/>
      <c r="F528" s="43"/>
      <c r="G528" s="43"/>
      <c r="H528" s="43"/>
      <c r="I528" s="43"/>
      <c r="J528" s="43"/>
      <c r="K528" s="43"/>
      <c r="L528" s="43"/>
      <c r="M528" s="43"/>
      <c r="N528" s="43"/>
      <c r="O528" s="43"/>
      <c r="P528" s="43"/>
      <c r="Q528" s="43"/>
      <c r="R528" s="43"/>
      <c r="S528" s="43"/>
      <c r="T528" s="49"/>
      <c r="U528" s="49"/>
      <c r="V528" s="49"/>
      <c r="W528" s="49"/>
      <c r="X528" s="49"/>
      <c r="Y528" s="49"/>
      <c r="Z528" s="49"/>
      <c r="AA528" s="49"/>
      <c r="AB528" s="49"/>
      <c r="AC528" s="49"/>
      <c r="AD528" s="49"/>
      <c r="AE528" s="49"/>
    </row>
    <row r="529" spans="1:31">
      <c r="A529" s="43"/>
      <c r="B529" s="43"/>
      <c r="C529" s="43"/>
      <c r="D529" s="43"/>
      <c r="E529" s="43"/>
      <c r="F529" s="43"/>
      <c r="G529" s="43"/>
      <c r="H529" s="43"/>
      <c r="I529" s="43"/>
      <c r="J529" s="43"/>
      <c r="K529" s="43"/>
      <c r="L529" s="43"/>
      <c r="M529" s="43"/>
      <c r="N529" s="43"/>
      <c r="O529" s="43"/>
      <c r="P529" s="43"/>
      <c r="Q529" s="43"/>
      <c r="R529" s="43"/>
      <c r="S529" s="43"/>
      <c r="T529" s="49"/>
      <c r="U529" s="49"/>
      <c r="V529" s="49"/>
      <c r="W529" s="49"/>
      <c r="X529" s="49"/>
      <c r="Y529" s="49"/>
      <c r="Z529" s="49"/>
      <c r="AA529" s="49"/>
      <c r="AB529" s="49"/>
      <c r="AC529" s="49"/>
      <c r="AD529" s="49"/>
      <c r="AE529" s="49"/>
    </row>
    <row r="530" spans="1:31">
      <c r="A530" s="43"/>
      <c r="B530" s="43"/>
      <c r="C530" s="43"/>
      <c r="D530" s="43"/>
      <c r="E530" s="43"/>
      <c r="F530" s="43"/>
      <c r="G530" s="43"/>
      <c r="H530" s="43"/>
      <c r="I530" s="43"/>
      <c r="J530" s="43"/>
      <c r="K530" s="43"/>
      <c r="L530" s="43"/>
      <c r="M530" s="43"/>
      <c r="N530" s="43"/>
      <c r="O530" s="43"/>
      <c r="P530" s="43"/>
      <c r="Q530" s="43"/>
      <c r="R530" s="43"/>
      <c r="S530" s="43"/>
      <c r="T530" s="49"/>
      <c r="U530" s="49"/>
      <c r="V530" s="49"/>
      <c r="W530" s="49"/>
      <c r="X530" s="49"/>
      <c r="Y530" s="49"/>
      <c r="Z530" s="49"/>
      <c r="AA530" s="49"/>
      <c r="AB530" s="49"/>
      <c r="AC530" s="49"/>
      <c r="AD530" s="49"/>
      <c r="AE530" s="49"/>
    </row>
    <row r="531" spans="1:31">
      <c r="A531" s="43"/>
      <c r="B531" s="43"/>
      <c r="C531" s="43"/>
      <c r="D531" s="43"/>
      <c r="E531" s="43"/>
      <c r="F531" s="43"/>
      <c r="G531" s="43"/>
      <c r="H531" s="43"/>
      <c r="I531" s="43"/>
      <c r="J531" s="43"/>
      <c r="K531" s="43"/>
      <c r="L531" s="43"/>
      <c r="M531" s="43"/>
      <c r="N531" s="43"/>
      <c r="O531" s="43"/>
      <c r="P531" s="43"/>
      <c r="Q531" s="43"/>
      <c r="R531" s="43"/>
      <c r="S531" s="43"/>
      <c r="T531" s="49"/>
      <c r="U531" s="49"/>
      <c r="V531" s="49"/>
      <c r="W531" s="49"/>
      <c r="X531" s="49"/>
      <c r="Y531" s="49"/>
      <c r="Z531" s="49"/>
      <c r="AA531" s="49"/>
      <c r="AB531" s="49"/>
      <c r="AC531" s="49"/>
      <c r="AD531" s="49"/>
      <c r="AE531" s="49"/>
    </row>
    <row r="532" spans="1:31">
      <c r="A532" s="43"/>
      <c r="B532" s="43"/>
      <c r="C532" s="43"/>
      <c r="D532" s="43"/>
      <c r="E532" s="43"/>
      <c r="F532" s="43"/>
      <c r="G532" s="43"/>
      <c r="H532" s="43"/>
      <c r="I532" s="43"/>
      <c r="J532" s="43"/>
      <c r="K532" s="43"/>
      <c r="L532" s="43"/>
      <c r="M532" s="43"/>
      <c r="N532" s="43"/>
      <c r="O532" s="43"/>
      <c r="P532" s="43"/>
      <c r="Q532" s="43"/>
      <c r="R532" s="43"/>
      <c r="S532" s="43"/>
      <c r="T532" s="49"/>
      <c r="U532" s="49"/>
      <c r="V532" s="49"/>
      <c r="W532" s="49"/>
      <c r="X532" s="49"/>
      <c r="Y532" s="49"/>
      <c r="Z532" s="49"/>
      <c r="AA532" s="49"/>
      <c r="AB532" s="49"/>
      <c r="AC532" s="49"/>
      <c r="AD532" s="49"/>
      <c r="AE532" s="49"/>
    </row>
    <row r="533" spans="1:31">
      <c r="A533" s="43"/>
      <c r="B533" s="43"/>
      <c r="C533" s="43"/>
      <c r="D533" s="43"/>
      <c r="E533" s="43"/>
      <c r="F533" s="43"/>
      <c r="G533" s="43"/>
      <c r="H533" s="43"/>
      <c r="I533" s="43"/>
      <c r="J533" s="43"/>
      <c r="K533" s="43"/>
      <c r="L533" s="43"/>
      <c r="M533" s="43"/>
      <c r="N533" s="43"/>
      <c r="O533" s="43"/>
      <c r="P533" s="43"/>
      <c r="Q533" s="43"/>
      <c r="R533" s="43"/>
      <c r="S533" s="43"/>
      <c r="T533" s="49"/>
      <c r="U533" s="49"/>
      <c r="V533" s="49"/>
      <c r="W533" s="49"/>
      <c r="X533" s="49"/>
      <c r="Y533" s="49"/>
      <c r="Z533" s="49"/>
      <c r="AA533" s="49"/>
      <c r="AB533" s="49"/>
      <c r="AC533" s="49"/>
      <c r="AD533" s="49"/>
      <c r="AE533" s="49"/>
    </row>
    <row r="534" spans="1:31">
      <c r="A534" s="43"/>
      <c r="B534" s="43"/>
      <c r="C534" s="43"/>
      <c r="D534" s="43"/>
      <c r="E534" s="43"/>
      <c r="F534" s="43"/>
      <c r="G534" s="43"/>
      <c r="H534" s="43"/>
      <c r="I534" s="43"/>
      <c r="J534" s="43"/>
      <c r="K534" s="43"/>
      <c r="L534" s="43"/>
      <c r="M534" s="43"/>
      <c r="N534" s="43"/>
      <c r="O534" s="43"/>
      <c r="P534" s="43"/>
      <c r="Q534" s="43"/>
      <c r="R534" s="43"/>
      <c r="S534" s="43"/>
      <c r="T534" s="49"/>
      <c r="U534" s="49"/>
      <c r="V534" s="49"/>
      <c r="W534" s="49"/>
      <c r="X534" s="49"/>
      <c r="Y534" s="49"/>
      <c r="Z534" s="49"/>
      <c r="AA534" s="49"/>
      <c r="AB534" s="49"/>
      <c r="AC534" s="49"/>
      <c r="AD534" s="49"/>
      <c r="AE534" s="49"/>
    </row>
    <row r="535" spans="1:31">
      <c r="A535" s="43"/>
      <c r="B535" s="43"/>
      <c r="C535" s="43"/>
      <c r="D535" s="43"/>
      <c r="E535" s="43"/>
      <c r="F535" s="43"/>
      <c r="G535" s="43"/>
      <c r="H535" s="43"/>
      <c r="I535" s="43"/>
      <c r="J535" s="43"/>
      <c r="K535" s="43"/>
      <c r="L535" s="43"/>
      <c r="M535" s="43"/>
      <c r="N535" s="43"/>
      <c r="O535" s="43"/>
      <c r="P535" s="43"/>
      <c r="Q535" s="43"/>
      <c r="R535" s="43"/>
      <c r="S535" s="43"/>
      <c r="T535" s="49"/>
      <c r="U535" s="49"/>
      <c r="V535" s="49"/>
      <c r="W535" s="49"/>
      <c r="X535" s="49"/>
      <c r="Y535" s="49"/>
      <c r="Z535" s="49"/>
      <c r="AA535" s="49"/>
      <c r="AB535" s="49"/>
      <c r="AC535" s="49"/>
      <c r="AD535" s="49"/>
      <c r="AE535" s="49"/>
    </row>
    <row r="536" spans="1:31">
      <c r="A536" s="43"/>
      <c r="B536" s="43"/>
      <c r="C536" s="43"/>
      <c r="D536" s="43"/>
      <c r="E536" s="43"/>
      <c r="F536" s="43"/>
      <c r="G536" s="43"/>
      <c r="H536" s="43"/>
      <c r="I536" s="43"/>
      <c r="J536" s="43"/>
      <c r="K536" s="43"/>
      <c r="L536" s="43"/>
      <c r="M536" s="43"/>
      <c r="N536" s="43"/>
      <c r="O536" s="43"/>
      <c r="P536" s="43"/>
      <c r="Q536" s="43"/>
      <c r="R536" s="43"/>
      <c r="S536" s="43"/>
      <c r="T536" s="49"/>
      <c r="U536" s="49"/>
      <c r="V536" s="49"/>
      <c r="W536" s="49"/>
      <c r="X536" s="49"/>
      <c r="Y536" s="49"/>
      <c r="Z536" s="49"/>
      <c r="AA536" s="49"/>
      <c r="AB536" s="49"/>
      <c r="AC536" s="49"/>
      <c r="AD536" s="49"/>
      <c r="AE536" s="49"/>
    </row>
    <row r="537" spans="1:31">
      <c r="A537" s="43"/>
      <c r="B537" s="43"/>
      <c r="C537" s="43"/>
      <c r="D537" s="43"/>
      <c r="E537" s="43"/>
      <c r="F537" s="43"/>
      <c r="G537" s="43"/>
      <c r="H537" s="43"/>
      <c r="I537" s="43"/>
      <c r="J537" s="43"/>
      <c r="K537" s="43"/>
      <c r="L537" s="43"/>
      <c r="M537" s="43"/>
      <c r="N537" s="43"/>
      <c r="O537" s="43"/>
      <c r="P537" s="43"/>
      <c r="Q537" s="43"/>
      <c r="R537" s="43"/>
      <c r="S537" s="43"/>
      <c r="T537" s="49"/>
      <c r="U537" s="49"/>
      <c r="V537" s="49"/>
      <c r="W537" s="49"/>
      <c r="X537" s="49"/>
      <c r="Y537" s="49"/>
      <c r="Z537" s="49"/>
      <c r="AA537" s="49"/>
      <c r="AB537" s="49"/>
      <c r="AC537" s="49"/>
      <c r="AD537" s="49"/>
      <c r="AE537" s="49"/>
    </row>
    <row r="538" spans="1:31">
      <c r="A538" s="43"/>
      <c r="B538" s="43"/>
      <c r="C538" s="43"/>
      <c r="D538" s="43"/>
      <c r="E538" s="43"/>
      <c r="F538" s="43"/>
      <c r="G538" s="43"/>
      <c r="H538" s="43"/>
      <c r="I538" s="43"/>
      <c r="J538" s="43"/>
      <c r="K538" s="43"/>
      <c r="L538" s="43"/>
      <c r="M538" s="43"/>
      <c r="N538" s="43"/>
      <c r="O538" s="43"/>
      <c r="P538" s="43"/>
      <c r="Q538" s="43"/>
      <c r="R538" s="43"/>
      <c r="S538" s="43"/>
      <c r="T538" s="49"/>
      <c r="U538" s="49"/>
      <c r="V538" s="49"/>
      <c r="W538" s="49"/>
      <c r="X538" s="49"/>
      <c r="Y538" s="49"/>
      <c r="Z538" s="49"/>
      <c r="AA538" s="49"/>
      <c r="AB538" s="49"/>
      <c r="AC538" s="49"/>
      <c r="AD538" s="49"/>
      <c r="AE538" s="49"/>
    </row>
    <row r="539" spans="1:31">
      <c r="A539" s="43"/>
      <c r="B539" s="43"/>
      <c r="C539" s="43"/>
      <c r="D539" s="43"/>
      <c r="E539" s="43"/>
      <c r="F539" s="43"/>
      <c r="G539" s="43"/>
      <c r="H539" s="43"/>
      <c r="I539" s="43"/>
      <c r="J539" s="43"/>
      <c r="K539" s="43"/>
      <c r="L539" s="43"/>
      <c r="M539" s="43"/>
      <c r="N539" s="43"/>
      <c r="O539" s="43"/>
      <c r="P539" s="43"/>
      <c r="Q539" s="43"/>
      <c r="R539" s="43"/>
      <c r="S539" s="43"/>
      <c r="T539" s="49"/>
      <c r="U539" s="49"/>
      <c r="V539" s="49"/>
      <c r="W539" s="49"/>
      <c r="X539" s="49"/>
      <c r="Y539" s="49"/>
      <c r="Z539" s="49"/>
      <c r="AA539" s="49"/>
      <c r="AB539" s="49"/>
      <c r="AC539" s="49"/>
      <c r="AD539" s="49"/>
      <c r="AE539" s="49"/>
    </row>
    <row r="540" spans="1:31">
      <c r="A540" s="43"/>
      <c r="B540" s="43"/>
      <c r="C540" s="43"/>
      <c r="D540" s="43"/>
      <c r="E540" s="43"/>
      <c r="F540" s="43"/>
      <c r="G540" s="43"/>
      <c r="H540" s="43"/>
      <c r="I540" s="43"/>
      <c r="J540" s="43"/>
      <c r="K540" s="43"/>
      <c r="L540" s="43"/>
      <c r="M540" s="43"/>
      <c r="N540" s="43"/>
      <c r="O540" s="43"/>
      <c r="P540" s="43"/>
      <c r="Q540" s="43"/>
      <c r="R540" s="43"/>
      <c r="S540" s="43"/>
      <c r="T540" s="49"/>
      <c r="U540" s="49"/>
      <c r="V540" s="49"/>
      <c r="W540" s="49"/>
      <c r="X540" s="49"/>
      <c r="Y540" s="49"/>
      <c r="Z540" s="49"/>
      <c r="AA540" s="49"/>
      <c r="AB540" s="49"/>
      <c r="AC540" s="49"/>
      <c r="AD540" s="49"/>
      <c r="AE540" s="49"/>
    </row>
    <row r="541" spans="1:31">
      <c r="A541" s="43"/>
      <c r="B541" s="43"/>
      <c r="C541" s="43"/>
      <c r="D541" s="43"/>
      <c r="E541" s="43"/>
      <c r="F541" s="43"/>
      <c r="G541" s="43"/>
      <c r="H541" s="43"/>
      <c r="I541" s="43"/>
      <c r="J541" s="43"/>
      <c r="K541" s="43"/>
      <c r="L541" s="43"/>
      <c r="M541" s="43"/>
      <c r="N541" s="43"/>
      <c r="O541" s="43"/>
      <c r="P541" s="43"/>
      <c r="Q541" s="43"/>
      <c r="R541" s="43"/>
      <c r="S541" s="43"/>
      <c r="T541" s="49"/>
      <c r="U541" s="49"/>
      <c r="V541" s="49"/>
      <c r="W541" s="49"/>
      <c r="X541" s="49"/>
      <c r="Y541" s="49"/>
      <c r="Z541" s="49"/>
      <c r="AA541" s="49"/>
      <c r="AB541" s="49"/>
      <c r="AC541" s="49"/>
      <c r="AD541" s="49"/>
      <c r="AE541" s="49"/>
    </row>
    <row r="542" spans="1:31">
      <c r="A542" s="43"/>
      <c r="B542" s="43"/>
      <c r="C542" s="43"/>
      <c r="D542" s="43"/>
      <c r="E542" s="43"/>
      <c r="F542" s="43"/>
      <c r="G542" s="43"/>
      <c r="H542" s="43"/>
      <c r="I542" s="43"/>
      <c r="J542" s="43"/>
      <c r="K542" s="43"/>
      <c r="L542" s="43"/>
      <c r="M542" s="43"/>
      <c r="N542" s="43"/>
      <c r="O542" s="43"/>
      <c r="P542" s="43"/>
      <c r="Q542" s="43"/>
      <c r="R542" s="43"/>
      <c r="S542" s="43"/>
      <c r="T542" s="49"/>
      <c r="U542" s="49"/>
      <c r="V542" s="49"/>
      <c r="W542" s="49"/>
      <c r="X542" s="49"/>
      <c r="Y542" s="49"/>
      <c r="Z542" s="49"/>
      <c r="AA542" s="49"/>
      <c r="AB542" s="49"/>
      <c r="AC542" s="49"/>
      <c r="AD542" s="49"/>
      <c r="AE542" s="49"/>
    </row>
    <row r="543" spans="1:31">
      <c r="A543" s="43"/>
      <c r="B543" s="43"/>
      <c r="C543" s="43"/>
      <c r="D543" s="43"/>
      <c r="E543" s="43"/>
      <c r="F543" s="43"/>
      <c r="G543" s="43"/>
      <c r="H543" s="43"/>
      <c r="I543" s="43"/>
      <c r="J543" s="43"/>
      <c r="K543" s="43"/>
      <c r="L543" s="43"/>
      <c r="M543" s="43"/>
      <c r="N543" s="43"/>
      <c r="O543" s="43"/>
      <c r="P543" s="43"/>
      <c r="Q543" s="43"/>
      <c r="R543" s="43"/>
      <c r="S543" s="43"/>
      <c r="T543" s="49"/>
      <c r="U543" s="49"/>
      <c r="V543" s="49"/>
      <c r="W543" s="49"/>
      <c r="X543" s="49"/>
      <c r="Y543" s="49"/>
      <c r="Z543" s="49"/>
      <c r="AA543" s="49"/>
      <c r="AB543" s="49"/>
      <c r="AC543" s="49"/>
      <c r="AD543" s="49"/>
      <c r="AE543" s="49"/>
    </row>
    <row r="544" spans="1:31">
      <c r="A544" s="43"/>
      <c r="B544" s="43"/>
      <c r="C544" s="43"/>
      <c r="D544" s="43"/>
      <c r="E544" s="43"/>
      <c r="F544" s="43"/>
      <c r="G544" s="43"/>
      <c r="H544" s="43"/>
      <c r="I544" s="43"/>
      <c r="J544" s="43"/>
      <c r="K544" s="43"/>
      <c r="L544" s="43"/>
      <c r="M544" s="43"/>
      <c r="N544" s="43"/>
      <c r="O544" s="43"/>
      <c r="P544" s="43"/>
      <c r="Q544" s="43"/>
      <c r="R544" s="43"/>
      <c r="S544" s="43"/>
      <c r="T544" s="49"/>
      <c r="U544" s="49"/>
      <c r="V544" s="49"/>
      <c r="W544" s="49"/>
      <c r="X544" s="49"/>
      <c r="Y544" s="49"/>
      <c r="Z544" s="49"/>
      <c r="AA544" s="49"/>
      <c r="AB544" s="49"/>
      <c r="AC544" s="49"/>
      <c r="AD544" s="49"/>
      <c r="AE544" s="49"/>
    </row>
    <row r="545" spans="1:31">
      <c r="A545" s="43"/>
      <c r="B545" s="43"/>
      <c r="C545" s="43"/>
      <c r="D545" s="43"/>
      <c r="E545" s="43"/>
      <c r="F545" s="43"/>
      <c r="G545" s="43"/>
      <c r="H545" s="43"/>
      <c r="I545" s="43"/>
      <c r="J545" s="43"/>
      <c r="K545" s="43"/>
      <c r="L545" s="43"/>
      <c r="M545" s="43"/>
      <c r="N545" s="43"/>
      <c r="O545" s="43"/>
      <c r="P545" s="43"/>
      <c r="Q545" s="43"/>
      <c r="R545" s="43"/>
      <c r="S545" s="43"/>
      <c r="T545" s="49"/>
      <c r="U545" s="49"/>
      <c r="V545" s="49"/>
      <c r="W545" s="49"/>
      <c r="X545" s="49"/>
      <c r="Y545" s="49"/>
      <c r="Z545" s="49"/>
      <c r="AA545" s="49"/>
      <c r="AB545" s="49"/>
      <c r="AC545" s="49"/>
      <c r="AD545" s="49"/>
      <c r="AE545" s="49"/>
    </row>
    <row r="546" spans="1:31">
      <c r="A546" s="43"/>
      <c r="B546" s="43"/>
      <c r="C546" s="43"/>
      <c r="D546" s="43"/>
      <c r="E546" s="43"/>
      <c r="F546" s="43"/>
      <c r="G546" s="43"/>
      <c r="H546" s="43"/>
      <c r="I546" s="43"/>
      <c r="J546" s="43"/>
      <c r="K546" s="43"/>
      <c r="L546" s="43"/>
      <c r="M546" s="43"/>
      <c r="N546" s="43"/>
      <c r="O546" s="43"/>
      <c r="P546" s="43"/>
      <c r="Q546" s="43"/>
      <c r="R546" s="43"/>
      <c r="S546" s="43"/>
      <c r="T546" s="49"/>
      <c r="U546" s="49"/>
      <c r="V546" s="49"/>
      <c r="W546" s="49"/>
      <c r="X546" s="49"/>
      <c r="Y546" s="49"/>
      <c r="Z546" s="49"/>
      <c r="AA546" s="49"/>
      <c r="AB546" s="49"/>
      <c r="AC546" s="49"/>
      <c r="AD546" s="49"/>
      <c r="AE546" s="49"/>
    </row>
    <row r="547" spans="1:31">
      <c r="A547" s="43"/>
      <c r="B547" s="43"/>
      <c r="C547" s="43"/>
      <c r="D547" s="43"/>
      <c r="E547" s="43"/>
      <c r="F547" s="43"/>
      <c r="G547" s="43"/>
      <c r="H547" s="43"/>
      <c r="I547" s="43"/>
      <c r="J547" s="43"/>
      <c r="K547" s="43"/>
      <c r="L547" s="43"/>
      <c r="M547" s="43"/>
      <c r="N547" s="43"/>
      <c r="O547" s="43"/>
      <c r="P547" s="43"/>
      <c r="Q547" s="43"/>
      <c r="R547" s="43"/>
      <c r="S547" s="43"/>
      <c r="T547" s="49"/>
      <c r="U547" s="49"/>
      <c r="V547" s="49"/>
      <c r="W547" s="49"/>
      <c r="X547" s="49"/>
      <c r="Y547" s="49"/>
      <c r="Z547" s="49"/>
      <c r="AA547" s="49"/>
      <c r="AB547" s="49"/>
      <c r="AC547" s="49"/>
      <c r="AD547" s="49"/>
      <c r="AE547" s="49"/>
    </row>
    <row r="548" spans="1:31">
      <c r="A548" s="43"/>
      <c r="B548" s="43"/>
      <c r="C548" s="43"/>
      <c r="D548" s="43"/>
      <c r="E548" s="43"/>
      <c r="F548" s="43"/>
      <c r="G548" s="43"/>
      <c r="H548" s="43"/>
      <c r="I548" s="43"/>
      <c r="J548" s="43"/>
      <c r="K548" s="43"/>
      <c r="L548" s="43"/>
      <c r="M548" s="43"/>
      <c r="N548" s="43"/>
      <c r="O548" s="43"/>
      <c r="P548" s="43"/>
      <c r="Q548" s="43"/>
      <c r="R548" s="43"/>
      <c r="S548" s="43"/>
      <c r="T548" s="49"/>
      <c r="U548" s="49"/>
      <c r="V548" s="49"/>
      <c r="W548" s="49"/>
      <c r="X548" s="49"/>
      <c r="Y548" s="49"/>
      <c r="Z548" s="49"/>
      <c r="AA548" s="49"/>
      <c r="AB548" s="49"/>
      <c r="AC548" s="49"/>
      <c r="AD548" s="49"/>
      <c r="AE548" s="49"/>
    </row>
    <row r="549" spans="1:31">
      <c r="A549" s="43"/>
      <c r="B549" s="43"/>
      <c r="C549" s="43"/>
      <c r="D549" s="43"/>
      <c r="E549" s="43"/>
      <c r="F549" s="43"/>
      <c r="G549" s="43"/>
      <c r="H549" s="43"/>
      <c r="I549" s="43"/>
      <c r="J549" s="43"/>
      <c r="K549" s="43"/>
      <c r="L549" s="43"/>
      <c r="M549" s="43"/>
      <c r="N549" s="43"/>
      <c r="O549" s="43"/>
      <c r="P549" s="43"/>
      <c r="Q549" s="43"/>
      <c r="R549" s="43"/>
      <c r="S549" s="43"/>
      <c r="T549" s="49"/>
      <c r="U549" s="49"/>
      <c r="V549" s="49"/>
      <c r="W549" s="49"/>
      <c r="X549" s="49"/>
      <c r="Y549" s="49"/>
      <c r="Z549" s="49"/>
      <c r="AA549" s="49"/>
      <c r="AB549" s="49"/>
      <c r="AC549" s="49"/>
      <c r="AD549" s="49"/>
      <c r="AE549" s="49"/>
    </row>
    <row r="550" spans="1:31">
      <c r="A550" s="43"/>
      <c r="B550" s="43"/>
      <c r="C550" s="43"/>
      <c r="D550" s="43"/>
      <c r="E550" s="43"/>
      <c r="F550" s="43"/>
      <c r="G550" s="43"/>
      <c r="H550" s="43"/>
      <c r="I550" s="43"/>
      <c r="J550" s="43"/>
      <c r="K550" s="43"/>
      <c r="L550" s="43"/>
      <c r="M550" s="43"/>
      <c r="N550" s="43"/>
      <c r="O550" s="43"/>
      <c r="P550" s="43"/>
      <c r="Q550" s="43"/>
      <c r="R550" s="43"/>
      <c r="S550" s="43"/>
      <c r="T550" s="49"/>
      <c r="U550" s="49"/>
      <c r="V550" s="49"/>
      <c r="W550" s="49"/>
      <c r="X550" s="49"/>
      <c r="Y550" s="49"/>
      <c r="Z550" s="49"/>
      <c r="AA550" s="49"/>
      <c r="AB550" s="49"/>
      <c r="AC550" s="49"/>
      <c r="AD550" s="49"/>
      <c r="AE550" s="49"/>
    </row>
    <row r="551" spans="1:31">
      <c r="A551" s="43"/>
      <c r="B551" s="43"/>
      <c r="C551" s="43"/>
      <c r="D551" s="43"/>
      <c r="E551" s="43"/>
      <c r="F551" s="43"/>
      <c r="G551" s="43"/>
      <c r="H551" s="43"/>
      <c r="I551" s="43"/>
      <c r="J551" s="43"/>
      <c r="K551" s="43"/>
      <c r="L551" s="43"/>
      <c r="M551" s="43"/>
      <c r="N551" s="43"/>
      <c r="O551" s="43"/>
      <c r="P551" s="43"/>
      <c r="Q551" s="43"/>
      <c r="R551" s="43"/>
      <c r="S551" s="43"/>
      <c r="T551" s="49"/>
      <c r="U551" s="49"/>
      <c r="V551" s="49"/>
      <c r="W551" s="49"/>
      <c r="X551" s="49"/>
      <c r="Y551" s="49"/>
      <c r="Z551" s="49"/>
      <c r="AA551" s="49"/>
      <c r="AB551" s="49"/>
      <c r="AC551" s="49"/>
      <c r="AD551" s="49"/>
      <c r="AE551" s="49"/>
    </row>
    <row r="552" spans="1:31">
      <c r="A552" s="43"/>
      <c r="B552" s="43"/>
      <c r="C552" s="43"/>
      <c r="D552" s="43"/>
      <c r="E552" s="43"/>
      <c r="F552" s="43"/>
      <c r="G552" s="43"/>
      <c r="H552" s="43"/>
      <c r="I552" s="43"/>
      <c r="J552" s="43"/>
      <c r="K552" s="43"/>
      <c r="L552" s="43"/>
      <c r="M552" s="43"/>
      <c r="N552" s="43"/>
      <c r="O552" s="43"/>
      <c r="P552" s="43"/>
      <c r="Q552" s="43"/>
      <c r="R552" s="43"/>
      <c r="S552" s="43"/>
      <c r="T552" s="49"/>
      <c r="U552" s="49"/>
      <c r="V552" s="49"/>
      <c r="W552" s="49"/>
      <c r="X552" s="49"/>
      <c r="Y552" s="49"/>
      <c r="Z552" s="49"/>
      <c r="AA552" s="49"/>
      <c r="AB552" s="49"/>
      <c r="AC552" s="49"/>
      <c r="AD552" s="49"/>
      <c r="AE552" s="49"/>
    </row>
    <row r="553" spans="1:31">
      <c r="A553" s="43"/>
      <c r="B553" s="43"/>
      <c r="C553" s="43"/>
      <c r="D553" s="43"/>
      <c r="E553" s="43"/>
      <c r="F553" s="43"/>
      <c r="G553" s="43"/>
      <c r="H553" s="43"/>
      <c r="I553" s="43"/>
      <c r="J553" s="43"/>
      <c r="K553" s="43"/>
      <c r="L553" s="43"/>
      <c r="M553" s="43"/>
      <c r="N553" s="43"/>
      <c r="O553" s="43"/>
      <c r="P553" s="43"/>
      <c r="Q553" s="43"/>
      <c r="R553" s="43"/>
      <c r="S553" s="43"/>
      <c r="T553" s="49"/>
      <c r="U553" s="49"/>
      <c r="V553" s="49"/>
      <c r="W553" s="49"/>
      <c r="X553" s="49"/>
      <c r="Y553" s="49"/>
      <c r="Z553" s="49"/>
      <c r="AA553" s="49"/>
      <c r="AB553" s="49"/>
      <c r="AC553" s="49"/>
      <c r="AD553" s="49"/>
      <c r="AE553" s="49"/>
    </row>
    <row r="554" spans="1:31">
      <c r="A554" s="43"/>
      <c r="B554" s="43"/>
      <c r="C554" s="43"/>
      <c r="D554" s="43"/>
      <c r="E554" s="43"/>
      <c r="F554" s="43"/>
      <c r="G554" s="43"/>
      <c r="H554" s="43"/>
      <c r="I554" s="43"/>
      <c r="J554" s="43"/>
      <c r="K554" s="43"/>
      <c r="L554" s="43"/>
      <c r="M554" s="43"/>
      <c r="N554" s="43"/>
      <c r="O554" s="43"/>
      <c r="P554" s="43"/>
      <c r="Q554" s="43"/>
      <c r="R554" s="43"/>
      <c r="S554" s="43"/>
      <c r="T554" s="49"/>
      <c r="U554" s="49"/>
      <c r="V554" s="49"/>
      <c r="W554" s="49"/>
      <c r="X554" s="49"/>
      <c r="Y554" s="49"/>
      <c r="Z554" s="49"/>
      <c r="AA554" s="49"/>
      <c r="AB554" s="49"/>
      <c r="AC554" s="49"/>
      <c r="AD554" s="49"/>
      <c r="AE554" s="49"/>
    </row>
    <row r="555" spans="1:31">
      <c r="A555" s="43"/>
      <c r="B555" s="43"/>
      <c r="C555" s="43"/>
      <c r="D555" s="43"/>
      <c r="E555" s="43"/>
      <c r="F555" s="43"/>
      <c r="G555" s="43"/>
      <c r="H555" s="43"/>
      <c r="I555" s="43"/>
      <c r="J555" s="43"/>
      <c r="K555" s="43"/>
      <c r="L555" s="43"/>
      <c r="M555" s="43"/>
      <c r="N555" s="43"/>
      <c r="O555" s="43"/>
      <c r="P555" s="43"/>
      <c r="Q555" s="43"/>
      <c r="R555" s="43"/>
      <c r="S555" s="43"/>
      <c r="T555" s="49"/>
      <c r="U555" s="49"/>
      <c r="V555" s="49"/>
      <c r="W555" s="49"/>
      <c r="X555" s="49"/>
      <c r="Y555" s="49"/>
      <c r="Z555" s="49"/>
      <c r="AA555" s="49"/>
      <c r="AB555" s="49"/>
      <c r="AC555" s="49"/>
      <c r="AD555" s="49"/>
      <c r="AE555" s="49"/>
    </row>
    <row r="556" spans="1:31">
      <c r="A556" s="43"/>
      <c r="B556" s="43"/>
      <c r="C556" s="43"/>
      <c r="D556" s="43"/>
      <c r="E556" s="43"/>
      <c r="F556" s="43"/>
      <c r="G556" s="43"/>
      <c r="H556" s="43"/>
      <c r="I556" s="43"/>
      <c r="J556" s="43"/>
      <c r="K556" s="43"/>
      <c r="L556" s="43"/>
      <c r="M556" s="43"/>
      <c r="N556" s="43"/>
      <c r="O556" s="43"/>
      <c r="P556" s="43"/>
      <c r="Q556" s="43"/>
      <c r="R556" s="43"/>
      <c r="S556" s="43"/>
      <c r="T556" s="49"/>
      <c r="U556" s="49"/>
      <c r="V556" s="49"/>
      <c r="W556" s="49"/>
      <c r="X556" s="49"/>
      <c r="Y556" s="49"/>
      <c r="Z556" s="49"/>
      <c r="AA556" s="49"/>
      <c r="AB556" s="49"/>
      <c r="AC556" s="49"/>
      <c r="AD556" s="49"/>
      <c r="AE556" s="49"/>
    </row>
    <row r="557" spans="1:31">
      <c r="A557" s="43"/>
      <c r="B557" s="43"/>
      <c r="C557" s="43"/>
      <c r="D557" s="43"/>
      <c r="E557" s="43"/>
      <c r="F557" s="43"/>
      <c r="G557" s="43"/>
      <c r="H557" s="43"/>
      <c r="I557" s="43"/>
      <c r="J557" s="43"/>
      <c r="K557" s="43"/>
      <c r="L557" s="43"/>
      <c r="M557" s="43"/>
      <c r="N557" s="43"/>
      <c r="O557" s="43"/>
      <c r="P557" s="43"/>
      <c r="Q557" s="43"/>
      <c r="R557" s="43"/>
      <c r="S557" s="43"/>
      <c r="T557" s="49"/>
      <c r="U557" s="49"/>
      <c r="V557" s="49"/>
      <c r="W557" s="49"/>
      <c r="X557" s="49"/>
      <c r="Y557" s="49"/>
      <c r="Z557" s="49"/>
      <c r="AA557" s="49"/>
      <c r="AB557" s="49"/>
      <c r="AC557" s="49"/>
      <c r="AD557" s="49"/>
      <c r="AE557" s="49"/>
    </row>
    <row r="558" spans="1:31">
      <c r="A558" s="43"/>
      <c r="B558" s="43"/>
      <c r="C558" s="43"/>
      <c r="D558" s="43"/>
      <c r="E558" s="43"/>
      <c r="F558" s="43"/>
      <c r="G558" s="43"/>
      <c r="H558" s="43"/>
      <c r="I558" s="43"/>
      <c r="J558" s="43"/>
      <c r="K558" s="43"/>
      <c r="L558" s="43"/>
      <c r="M558" s="43"/>
      <c r="N558" s="43"/>
      <c r="O558" s="43"/>
      <c r="P558" s="43"/>
      <c r="Q558" s="43"/>
      <c r="R558" s="43"/>
      <c r="S558" s="43"/>
      <c r="T558" s="49"/>
      <c r="U558" s="49"/>
      <c r="V558" s="49"/>
      <c r="W558" s="49"/>
      <c r="X558" s="49"/>
      <c r="Y558" s="49"/>
      <c r="Z558" s="49"/>
      <c r="AA558" s="49"/>
      <c r="AB558" s="49"/>
      <c r="AC558" s="49"/>
      <c r="AD558" s="49"/>
      <c r="AE558" s="49"/>
    </row>
    <row r="559" spans="1:31">
      <c r="A559" s="43"/>
      <c r="B559" s="43"/>
      <c r="C559" s="43"/>
      <c r="D559" s="43"/>
      <c r="E559" s="43"/>
      <c r="F559" s="43"/>
      <c r="G559" s="43"/>
      <c r="H559" s="43"/>
      <c r="I559" s="43"/>
      <c r="J559" s="43"/>
      <c r="K559" s="43"/>
      <c r="L559" s="43"/>
      <c r="M559" s="43"/>
      <c r="N559" s="43"/>
      <c r="O559" s="43"/>
      <c r="P559" s="43"/>
      <c r="Q559" s="43"/>
      <c r="R559" s="43"/>
      <c r="S559" s="43"/>
      <c r="T559" s="49"/>
      <c r="U559" s="49"/>
      <c r="V559" s="49"/>
      <c r="W559" s="49"/>
      <c r="X559" s="49"/>
      <c r="Y559" s="49"/>
      <c r="Z559" s="49"/>
      <c r="AA559" s="49"/>
      <c r="AB559" s="49"/>
      <c r="AC559" s="49"/>
      <c r="AD559" s="49"/>
      <c r="AE559" s="49"/>
    </row>
    <row r="560" spans="1:31">
      <c r="A560" s="43"/>
      <c r="B560" s="43"/>
      <c r="C560" s="43"/>
      <c r="D560" s="43"/>
      <c r="E560" s="43"/>
      <c r="F560" s="43"/>
      <c r="G560" s="43"/>
      <c r="H560" s="43"/>
      <c r="I560" s="43"/>
      <c r="J560" s="43"/>
      <c r="K560" s="43"/>
      <c r="L560" s="43"/>
      <c r="M560" s="43"/>
      <c r="N560" s="43"/>
      <c r="O560" s="43"/>
      <c r="P560" s="43"/>
      <c r="Q560" s="43"/>
      <c r="R560" s="43"/>
      <c r="S560" s="43"/>
      <c r="T560" s="49"/>
      <c r="U560" s="49"/>
      <c r="V560" s="49"/>
      <c r="W560" s="49"/>
      <c r="X560" s="49"/>
      <c r="Y560" s="49"/>
      <c r="Z560" s="49"/>
      <c r="AA560" s="49"/>
      <c r="AB560" s="49"/>
      <c r="AC560" s="49"/>
      <c r="AD560" s="49"/>
      <c r="AE560" s="49"/>
    </row>
    <row r="561" spans="1:31">
      <c r="A561" s="43"/>
      <c r="B561" s="43"/>
      <c r="C561" s="43"/>
      <c r="D561" s="43"/>
      <c r="E561" s="43"/>
      <c r="F561" s="43"/>
      <c r="G561" s="43"/>
      <c r="H561" s="43"/>
      <c r="I561" s="43"/>
      <c r="J561" s="43"/>
      <c r="K561" s="43"/>
      <c r="L561" s="43"/>
      <c r="M561" s="43"/>
      <c r="N561" s="43"/>
      <c r="O561" s="43"/>
      <c r="P561" s="43"/>
      <c r="Q561" s="43"/>
      <c r="R561" s="43"/>
      <c r="S561" s="43"/>
      <c r="T561" s="49"/>
      <c r="U561" s="49"/>
      <c r="V561" s="49"/>
      <c r="W561" s="49"/>
      <c r="X561" s="49"/>
      <c r="Y561" s="49"/>
      <c r="Z561" s="49"/>
      <c r="AA561" s="49"/>
      <c r="AB561" s="49"/>
      <c r="AC561" s="49"/>
      <c r="AD561" s="49"/>
      <c r="AE561" s="49"/>
    </row>
    <row r="562" spans="1:31">
      <c r="A562" s="43"/>
      <c r="B562" s="43"/>
      <c r="C562" s="43"/>
      <c r="D562" s="43"/>
      <c r="E562" s="43"/>
      <c r="F562" s="43"/>
      <c r="G562" s="43"/>
      <c r="H562" s="43"/>
      <c r="I562" s="43"/>
      <c r="J562" s="43"/>
      <c r="K562" s="43"/>
      <c r="L562" s="43"/>
      <c r="M562" s="43"/>
      <c r="N562" s="43"/>
      <c r="O562" s="43"/>
      <c r="P562" s="43"/>
      <c r="Q562" s="43"/>
      <c r="R562" s="43"/>
      <c r="S562" s="43"/>
      <c r="T562" s="49"/>
      <c r="U562" s="49"/>
      <c r="V562" s="49"/>
      <c r="W562" s="49"/>
      <c r="X562" s="49"/>
      <c r="Y562" s="49"/>
      <c r="Z562" s="49"/>
      <c r="AA562" s="49"/>
      <c r="AB562" s="49"/>
      <c r="AC562" s="49"/>
      <c r="AD562" s="49"/>
      <c r="AE562" s="49"/>
    </row>
    <row r="563" spans="1:31">
      <c r="A563" s="43"/>
      <c r="B563" s="43"/>
      <c r="C563" s="43"/>
      <c r="D563" s="43"/>
      <c r="E563" s="43"/>
      <c r="F563" s="43"/>
      <c r="G563" s="43"/>
      <c r="H563" s="43"/>
      <c r="I563" s="43"/>
      <c r="J563" s="43"/>
      <c r="K563" s="43"/>
      <c r="L563" s="43"/>
      <c r="M563" s="43"/>
      <c r="N563" s="43"/>
      <c r="O563" s="43"/>
      <c r="P563" s="43"/>
      <c r="Q563" s="43"/>
      <c r="R563" s="43"/>
      <c r="S563" s="43"/>
      <c r="T563" s="49"/>
      <c r="U563" s="49"/>
      <c r="V563" s="49"/>
      <c r="W563" s="49"/>
      <c r="X563" s="49"/>
      <c r="Y563" s="49"/>
      <c r="Z563" s="49"/>
      <c r="AA563" s="49"/>
      <c r="AB563" s="49"/>
      <c r="AC563" s="49"/>
      <c r="AD563" s="49"/>
      <c r="AE563" s="49"/>
    </row>
    <row r="564" spans="1:31">
      <c r="A564" s="43"/>
      <c r="B564" s="43"/>
      <c r="C564" s="43"/>
      <c r="D564" s="43"/>
      <c r="E564" s="43"/>
      <c r="F564" s="43"/>
      <c r="G564" s="43"/>
      <c r="H564" s="43"/>
      <c r="I564" s="43"/>
      <c r="J564" s="43"/>
      <c r="K564" s="43"/>
      <c r="L564" s="43"/>
      <c r="M564" s="43"/>
      <c r="N564" s="43"/>
      <c r="O564" s="43"/>
      <c r="P564" s="43"/>
      <c r="Q564" s="43"/>
      <c r="R564" s="43"/>
      <c r="S564" s="43"/>
      <c r="T564" s="49"/>
      <c r="U564" s="49"/>
      <c r="V564" s="49"/>
      <c r="W564" s="49"/>
      <c r="X564" s="49"/>
      <c r="Y564" s="49"/>
      <c r="Z564" s="49"/>
      <c r="AA564" s="49"/>
      <c r="AB564" s="49"/>
      <c r="AC564" s="49"/>
      <c r="AD564" s="49"/>
      <c r="AE564" s="49"/>
    </row>
    <row r="565" spans="1:31">
      <c r="A565" s="43"/>
      <c r="B565" s="43"/>
      <c r="C565" s="43"/>
      <c r="D565" s="43"/>
      <c r="E565" s="43"/>
      <c r="F565" s="43"/>
      <c r="G565" s="43"/>
      <c r="H565" s="43"/>
      <c r="I565" s="43"/>
      <c r="J565" s="43"/>
      <c r="K565" s="43"/>
      <c r="L565" s="43"/>
      <c r="M565" s="43"/>
      <c r="N565" s="43"/>
      <c r="O565" s="43"/>
      <c r="P565" s="43"/>
      <c r="Q565" s="43"/>
      <c r="R565" s="43"/>
      <c r="S565" s="43"/>
      <c r="T565" s="49"/>
      <c r="U565" s="49"/>
      <c r="V565" s="49"/>
      <c r="W565" s="49"/>
      <c r="X565" s="49"/>
      <c r="Y565" s="49"/>
      <c r="Z565" s="49"/>
      <c r="AA565" s="49"/>
      <c r="AB565" s="49"/>
      <c r="AC565" s="49"/>
      <c r="AD565" s="49"/>
      <c r="AE565" s="49"/>
    </row>
    <row r="566" spans="1:31">
      <c r="A566" s="43"/>
      <c r="B566" s="43"/>
      <c r="C566" s="43"/>
      <c r="D566" s="43"/>
      <c r="E566" s="43"/>
      <c r="F566" s="43"/>
      <c r="G566" s="43"/>
      <c r="H566" s="43"/>
      <c r="I566" s="43"/>
      <c r="J566" s="43"/>
      <c r="K566" s="43"/>
      <c r="L566" s="43"/>
      <c r="M566" s="43"/>
      <c r="N566" s="43"/>
      <c r="O566" s="43"/>
      <c r="P566" s="43"/>
      <c r="Q566" s="43"/>
      <c r="R566" s="43"/>
      <c r="S566" s="43"/>
      <c r="T566" s="49"/>
      <c r="U566" s="49"/>
      <c r="V566" s="49"/>
      <c r="W566" s="49"/>
      <c r="X566" s="49"/>
      <c r="Y566" s="49"/>
      <c r="Z566" s="49"/>
      <c r="AA566" s="49"/>
      <c r="AB566" s="49"/>
      <c r="AC566" s="49"/>
      <c r="AD566" s="49"/>
      <c r="AE566" s="49"/>
    </row>
    <row r="567" spans="1:31">
      <c r="A567" s="43"/>
      <c r="B567" s="43"/>
      <c r="C567" s="43"/>
      <c r="D567" s="43"/>
      <c r="E567" s="43"/>
      <c r="F567" s="43"/>
      <c r="G567" s="43"/>
      <c r="H567" s="43"/>
      <c r="I567" s="43"/>
      <c r="J567" s="43"/>
      <c r="K567" s="43"/>
      <c r="L567" s="43"/>
      <c r="M567" s="43"/>
      <c r="N567" s="43"/>
      <c r="O567" s="43"/>
      <c r="P567" s="43"/>
      <c r="Q567" s="43"/>
      <c r="R567" s="43"/>
      <c r="S567" s="43"/>
      <c r="T567" s="49"/>
      <c r="U567" s="49"/>
      <c r="V567" s="49"/>
      <c r="W567" s="49"/>
      <c r="X567" s="49"/>
      <c r="Y567" s="49"/>
      <c r="Z567" s="49"/>
      <c r="AA567" s="49"/>
      <c r="AB567" s="49"/>
      <c r="AC567" s="49"/>
      <c r="AD567" s="49"/>
      <c r="AE567" s="49"/>
    </row>
    <row r="568" spans="1:31">
      <c r="A568" s="43"/>
      <c r="B568" s="43"/>
      <c r="C568" s="43"/>
      <c r="D568" s="43"/>
      <c r="E568" s="43"/>
      <c r="F568" s="43"/>
      <c r="G568" s="43"/>
      <c r="H568" s="43"/>
      <c r="I568" s="43"/>
      <c r="J568" s="43"/>
      <c r="K568" s="43"/>
      <c r="L568" s="43"/>
      <c r="M568" s="43"/>
      <c r="N568" s="43"/>
      <c r="O568" s="43"/>
      <c r="P568" s="43"/>
      <c r="Q568" s="43"/>
      <c r="R568" s="43"/>
      <c r="S568" s="43"/>
      <c r="T568" s="49"/>
      <c r="U568" s="49"/>
      <c r="V568" s="49"/>
      <c r="W568" s="49"/>
      <c r="X568" s="49"/>
      <c r="Y568" s="49"/>
      <c r="Z568" s="49"/>
      <c r="AA568" s="49"/>
      <c r="AB568" s="49"/>
      <c r="AC568" s="49"/>
      <c r="AD568" s="49"/>
      <c r="AE568" s="49"/>
    </row>
    <row r="569" spans="1:31">
      <c r="A569" s="43"/>
      <c r="B569" s="43"/>
      <c r="C569" s="43"/>
      <c r="D569" s="43"/>
      <c r="E569" s="43"/>
      <c r="F569" s="43"/>
      <c r="G569" s="43"/>
      <c r="H569" s="43"/>
      <c r="I569" s="43"/>
      <c r="J569" s="43"/>
      <c r="K569" s="43"/>
      <c r="L569" s="43"/>
      <c r="M569" s="43"/>
      <c r="N569" s="43"/>
      <c r="O569" s="43"/>
      <c r="P569" s="43"/>
      <c r="Q569" s="43"/>
      <c r="R569" s="43"/>
      <c r="S569" s="43"/>
      <c r="T569" s="49"/>
      <c r="U569" s="49"/>
      <c r="V569" s="49"/>
      <c r="W569" s="49"/>
      <c r="X569" s="49"/>
      <c r="Y569" s="49"/>
      <c r="Z569" s="49"/>
      <c r="AA569" s="49"/>
      <c r="AB569" s="49"/>
      <c r="AC569" s="49"/>
      <c r="AD569" s="49"/>
      <c r="AE569" s="49"/>
    </row>
    <row r="570" spans="1:31">
      <c r="A570" s="43"/>
      <c r="B570" s="43"/>
      <c r="C570" s="43"/>
      <c r="D570" s="43"/>
      <c r="E570" s="43"/>
      <c r="F570" s="43"/>
      <c r="G570" s="43"/>
      <c r="H570" s="43"/>
      <c r="I570" s="43"/>
      <c r="J570" s="43"/>
      <c r="K570" s="43"/>
      <c r="L570" s="43"/>
      <c r="M570" s="43"/>
      <c r="N570" s="43"/>
      <c r="O570" s="43"/>
      <c r="P570" s="43"/>
      <c r="Q570" s="43"/>
      <c r="R570" s="43"/>
      <c r="S570" s="43"/>
      <c r="T570" s="49"/>
      <c r="U570" s="49"/>
      <c r="V570" s="49"/>
      <c r="W570" s="49"/>
      <c r="X570" s="49"/>
      <c r="Y570" s="49"/>
      <c r="Z570" s="49"/>
      <c r="AA570" s="49"/>
      <c r="AB570" s="49"/>
      <c r="AC570" s="49"/>
      <c r="AD570" s="49"/>
      <c r="AE570" s="49"/>
    </row>
    <row r="571" spans="1:31">
      <c r="A571" s="43"/>
      <c r="B571" s="43"/>
      <c r="C571" s="43"/>
      <c r="D571" s="43"/>
      <c r="E571" s="43"/>
      <c r="F571" s="43"/>
      <c r="G571" s="43"/>
      <c r="H571" s="43"/>
      <c r="I571" s="43"/>
      <c r="J571" s="43"/>
      <c r="K571" s="43"/>
      <c r="L571" s="43"/>
      <c r="M571" s="43"/>
      <c r="N571" s="43"/>
      <c r="O571" s="43"/>
      <c r="P571" s="43"/>
      <c r="Q571" s="43"/>
      <c r="R571" s="43"/>
      <c r="S571" s="43"/>
      <c r="T571" s="49"/>
      <c r="U571" s="49"/>
      <c r="V571" s="49"/>
      <c r="W571" s="49"/>
      <c r="X571" s="49"/>
      <c r="Y571" s="49"/>
      <c r="Z571" s="49"/>
      <c r="AA571" s="49"/>
      <c r="AB571" s="49"/>
      <c r="AC571" s="49"/>
      <c r="AD571" s="49"/>
      <c r="AE571" s="49"/>
    </row>
    <row r="572" spans="1:31">
      <c r="A572" s="43"/>
      <c r="B572" s="43"/>
      <c r="C572" s="43"/>
      <c r="D572" s="43"/>
      <c r="E572" s="43"/>
      <c r="F572" s="43"/>
      <c r="G572" s="43"/>
      <c r="H572" s="43"/>
      <c r="I572" s="43"/>
      <c r="J572" s="43"/>
      <c r="K572" s="43"/>
      <c r="L572" s="43"/>
      <c r="M572" s="43"/>
      <c r="N572" s="43"/>
      <c r="O572" s="43"/>
      <c r="P572" s="43"/>
      <c r="Q572" s="43"/>
      <c r="R572" s="43"/>
      <c r="S572" s="43"/>
      <c r="T572" s="49"/>
      <c r="U572" s="49"/>
      <c r="V572" s="49"/>
      <c r="W572" s="49"/>
      <c r="X572" s="49"/>
      <c r="Y572" s="49"/>
      <c r="Z572" s="49"/>
      <c r="AA572" s="49"/>
      <c r="AB572" s="49"/>
      <c r="AC572" s="49"/>
      <c r="AD572" s="49"/>
      <c r="AE572" s="49"/>
    </row>
    <row r="573" spans="1:31">
      <c r="A573" s="43"/>
      <c r="B573" s="43"/>
      <c r="C573" s="43"/>
      <c r="D573" s="43"/>
      <c r="E573" s="43"/>
      <c r="F573" s="43"/>
      <c r="G573" s="43"/>
      <c r="H573" s="43"/>
      <c r="I573" s="43"/>
      <c r="J573" s="43"/>
      <c r="K573" s="43"/>
      <c r="L573" s="43"/>
      <c r="M573" s="43"/>
      <c r="N573" s="43"/>
      <c r="O573" s="43"/>
      <c r="P573" s="43"/>
      <c r="Q573" s="43"/>
      <c r="R573" s="43"/>
      <c r="S573" s="43"/>
      <c r="T573" s="49"/>
      <c r="U573" s="49"/>
      <c r="V573" s="49"/>
      <c r="W573" s="49"/>
      <c r="X573" s="49"/>
      <c r="Y573" s="49"/>
      <c r="Z573" s="49"/>
      <c r="AA573" s="49"/>
      <c r="AB573" s="49"/>
      <c r="AC573" s="49"/>
      <c r="AD573" s="49"/>
      <c r="AE573" s="49"/>
    </row>
    <row r="574" spans="1:31">
      <c r="A574" s="43"/>
      <c r="B574" s="43"/>
      <c r="C574" s="43"/>
      <c r="D574" s="43"/>
      <c r="E574" s="43"/>
      <c r="F574" s="43"/>
      <c r="G574" s="43"/>
      <c r="H574" s="43"/>
      <c r="I574" s="43"/>
      <c r="J574" s="43"/>
      <c r="K574" s="43"/>
      <c r="L574" s="43"/>
      <c r="M574" s="43"/>
      <c r="N574" s="43"/>
      <c r="O574" s="43"/>
      <c r="P574" s="43"/>
      <c r="Q574" s="43"/>
      <c r="R574" s="43"/>
      <c r="S574" s="43"/>
      <c r="T574" s="49"/>
      <c r="U574" s="49"/>
      <c r="V574" s="49"/>
      <c r="W574" s="49"/>
      <c r="X574" s="49"/>
      <c r="Y574" s="49"/>
      <c r="Z574" s="49"/>
      <c r="AA574" s="49"/>
      <c r="AB574" s="49"/>
      <c r="AC574" s="49"/>
      <c r="AD574" s="49"/>
      <c r="AE574" s="49"/>
    </row>
    <row r="575" spans="1:31">
      <c r="A575" s="43"/>
      <c r="B575" s="43"/>
      <c r="C575" s="43"/>
      <c r="D575" s="43"/>
      <c r="E575" s="43"/>
      <c r="F575" s="43"/>
      <c r="G575" s="43"/>
      <c r="H575" s="43"/>
      <c r="I575" s="43"/>
      <c r="J575" s="43"/>
      <c r="K575" s="43"/>
      <c r="L575" s="43"/>
      <c r="M575" s="43"/>
      <c r="N575" s="43"/>
      <c r="O575" s="43"/>
      <c r="P575" s="43"/>
      <c r="Q575" s="43"/>
      <c r="R575" s="43"/>
      <c r="S575" s="43"/>
      <c r="T575" s="49"/>
      <c r="U575" s="49"/>
      <c r="V575" s="49"/>
      <c r="W575" s="49"/>
      <c r="X575" s="49"/>
      <c r="Y575" s="49"/>
      <c r="Z575" s="49"/>
      <c r="AA575" s="49"/>
      <c r="AB575" s="49"/>
      <c r="AC575" s="49"/>
      <c r="AD575" s="49"/>
      <c r="AE575" s="49"/>
    </row>
    <row r="576" spans="1:31">
      <c r="A576" s="43"/>
      <c r="B576" s="43"/>
      <c r="C576" s="43"/>
      <c r="D576" s="43"/>
      <c r="E576" s="43"/>
      <c r="F576" s="43"/>
      <c r="G576" s="43"/>
      <c r="H576" s="43"/>
      <c r="I576" s="43"/>
      <c r="J576" s="43"/>
      <c r="K576" s="43"/>
      <c r="L576" s="43"/>
      <c r="M576" s="43"/>
      <c r="N576" s="43"/>
      <c r="O576" s="43"/>
      <c r="P576" s="43"/>
      <c r="Q576" s="43"/>
      <c r="R576" s="43"/>
      <c r="S576" s="43"/>
      <c r="T576" s="49"/>
      <c r="U576" s="49"/>
      <c r="V576" s="49"/>
      <c r="W576" s="49"/>
      <c r="X576" s="49"/>
      <c r="Y576" s="49"/>
      <c r="Z576" s="49"/>
      <c r="AA576" s="49"/>
      <c r="AB576" s="49"/>
      <c r="AC576" s="49"/>
      <c r="AD576" s="49"/>
      <c r="AE576" s="49"/>
    </row>
    <row r="577" spans="1:31">
      <c r="A577" s="43"/>
      <c r="B577" s="43"/>
      <c r="C577" s="43"/>
      <c r="D577" s="43"/>
      <c r="E577" s="43"/>
      <c r="F577" s="43"/>
      <c r="G577" s="43"/>
      <c r="H577" s="43"/>
      <c r="I577" s="43"/>
      <c r="J577" s="43"/>
      <c r="K577" s="43"/>
      <c r="L577" s="43"/>
      <c r="M577" s="43"/>
      <c r="N577" s="43"/>
      <c r="O577" s="43"/>
      <c r="P577" s="43"/>
      <c r="Q577" s="43"/>
      <c r="R577" s="43"/>
      <c r="S577" s="43"/>
      <c r="T577" s="49"/>
      <c r="U577" s="49"/>
      <c r="V577" s="49"/>
      <c r="W577" s="49"/>
      <c r="X577" s="49"/>
      <c r="Y577" s="49"/>
      <c r="Z577" s="49"/>
      <c r="AA577" s="49"/>
      <c r="AB577" s="49"/>
      <c r="AC577" s="49"/>
      <c r="AD577" s="49"/>
      <c r="AE577" s="49"/>
    </row>
    <row r="578" spans="1:31">
      <c r="A578" s="43"/>
      <c r="B578" s="43"/>
      <c r="C578" s="43"/>
      <c r="D578" s="43"/>
      <c r="E578" s="43"/>
      <c r="F578" s="43"/>
      <c r="G578" s="43"/>
      <c r="H578" s="43"/>
      <c r="I578" s="43"/>
      <c r="J578" s="43"/>
      <c r="K578" s="43"/>
      <c r="L578" s="43"/>
      <c r="M578" s="43"/>
      <c r="N578" s="43"/>
      <c r="O578" s="43"/>
      <c r="P578" s="43"/>
      <c r="Q578" s="43"/>
      <c r="R578" s="43"/>
      <c r="S578" s="43"/>
      <c r="T578" s="49"/>
      <c r="U578" s="49"/>
      <c r="V578" s="49"/>
      <c r="W578" s="49"/>
      <c r="X578" s="49"/>
      <c r="Y578" s="49"/>
      <c r="Z578" s="49"/>
      <c r="AA578" s="49"/>
      <c r="AB578" s="49"/>
      <c r="AC578" s="49"/>
      <c r="AD578" s="49"/>
      <c r="AE578" s="49"/>
    </row>
    <row r="579" spans="1:31">
      <c r="A579" s="43"/>
      <c r="B579" s="43"/>
      <c r="C579" s="43"/>
      <c r="D579" s="43"/>
      <c r="E579" s="43"/>
      <c r="F579" s="43"/>
      <c r="G579" s="43"/>
      <c r="H579" s="43"/>
      <c r="I579" s="43"/>
      <c r="J579" s="43"/>
      <c r="K579" s="43"/>
      <c r="L579" s="43"/>
      <c r="M579" s="43"/>
      <c r="N579" s="43"/>
      <c r="O579" s="43"/>
      <c r="P579" s="43"/>
      <c r="Q579" s="43"/>
      <c r="R579" s="43"/>
      <c r="S579" s="43"/>
      <c r="T579" s="49"/>
      <c r="U579" s="49"/>
      <c r="V579" s="49"/>
      <c r="W579" s="49"/>
      <c r="X579" s="49"/>
      <c r="Y579" s="49"/>
      <c r="Z579" s="49"/>
      <c r="AA579" s="49"/>
      <c r="AB579" s="49"/>
      <c r="AC579" s="49"/>
      <c r="AD579" s="49"/>
      <c r="AE579" s="49"/>
    </row>
    <row r="580" spans="1:31">
      <c r="A580" s="43"/>
      <c r="B580" s="43"/>
      <c r="C580" s="43"/>
      <c r="D580" s="43"/>
      <c r="E580" s="43"/>
      <c r="F580" s="43"/>
      <c r="G580" s="43"/>
      <c r="H580" s="43"/>
      <c r="I580" s="43"/>
      <c r="J580" s="43"/>
      <c r="K580" s="43"/>
      <c r="L580" s="43"/>
      <c r="M580" s="43"/>
      <c r="N580" s="43"/>
      <c r="O580" s="43"/>
      <c r="P580" s="43"/>
      <c r="Q580" s="43"/>
      <c r="R580" s="43"/>
      <c r="S580" s="43"/>
      <c r="T580" s="49"/>
      <c r="U580" s="49"/>
      <c r="V580" s="49"/>
      <c r="W580" s="49"/>
      <c r="X580" s="49"/>
      <c r="Y580" s="49"/>
      <c r="Z580" s="49"/>
      <c r="AA580" s="49"/>
      <c r="AB580" s="49"/>
      <c r="AC580" s="49"/>
      <c r="AD580" s="49"/>
      <c r="AE580" s="49"/>
    </row>
    <row r="581" spans="1:31">
      <c r="A581" s="43"/>
      <c r="B581" s="43"/>
      <c r="C581" s="43"/>
      <c r="D581" s="43"/>
      <c r="E581" s="43"/>
      <c r="F581" s="43"/>
      <c r="G581" s="43"/>
      <c r="H581" s="43"/>
      <c r="I581" s="43"/>
      <c r="J581" s="43"/>
      <c r="K581" s="43"/>
      <c r="L581" s="43"/>
      <c r="M581" s="43"/>
      <c r="N581" s="43"/>
      <c r="O581" s="43"/>
      <c r="P581" s="43"/>
      <c r="Q581" s="43"/>
      <c r="R581" s="43"/>
      <c r="S581" s="43"/>
      <c r="T581" s="49"/>
      <c r="U581" s="49"/>
      <c r="V581" s="49"/>
      <c r="W581" s="49"/>
      <c r="X581" s="49"/>
      <c r="Y581" s="49"/>
      <c r="Z581" s="49"/>
      <c r="AA581" s="49"/>
      <c r="AB581" s="49"/>
      <c r="AC581" s="49"/>
      <c r="AD581" s="49"/>
      <c r="AE581" s="49"/>
    </row>
    <row r="582" spans="1:31">
      <c r="A582" s="43"/>
      <c r="B582" s="43"/>
      <c r="C582" s="43"/>
      <c r="D582" s="43"/>
      <c r="E582" s="43"/>
      <c r="F582" s="43"/>
      <c r="G582" s="43"/>
      <c r="H582" s="43"/>
      <c r="I582" s="43"/>
      <c r="J582" s="43"/>
      <c r="K582" s="43"/>
      <c r="L582" s="43"/>
      <c r="M582" s="43"/>
      <c r="N582" s="43"/>
      <c r="O582" s="43"/>
      <c r="P582" s="43"/>
      <c r="Q582" s="43"/>
      <c r="R582" s="43"/>
      <c r="S582" s="43"/>
      <c r="T582" s="49"/>
      <c r="U582" s="49"/>
      <c r="V582" s="49"/>
      <c r="W582" s="49"/>
      <c r="X582" s="49"/>
      <c r="Y582" s="49"/>
      <c r="Z582" s="49"/>
      <c r="AA582" s="49"/>
      <c r="AB582" s="49"/>
      <c r="AC582" s="49"/>
      <c r="AD582" s="49"/>
      <c r="AE582" s="49"/>
    </row>
    <row r="583" spans="1:31">
      <c r="A583" s="43"/>
      <c r="B583" s="43"/>
      <c r="C583" s="43"/>
      <c r="D583" s="43"/>
      <c r="E583" s="43"/>
      <c r="F583" s="43"/>
      <c r="G583" s="43"/>
      <c r="H583" s="43"/>
      <c r="I583" s="43"/>
      <c r="J583" s="43"/>
      <c r="K583" s="43"/>
      <c r="L583" s="43"/>
      <c r="M583" s="43"/>
      <c r="N583" s="43"/>
      <c r="O583" s="43"/>
      <c r="P583" s="43"/>
      <c r="Q583" s="43"/>
      <c r="R583" s="43"/>
      <c r="S583" s="43"/>
      <c r="T583" s="49"/>
      <c r="U583" s="49"/>
      <c r="V583" s="49"/>
      <c r="W583" s="49"/>
      <c r="X583" s="49"/>
      <c r="Y583" s="49"/>
      <c r="Z583" s="49"/>
      <c r="AA583" s="49"/>
      <c r="AB583" s="49"/>
      <c r="AC583" s="49"/>
      <c r="AD583" s="49"/>
      <c r="AE583" s="49"/>
    </row>
    <row r="584" spans="1:31">
      <c r="A584" s="43"/>
      <c r="B584" s="43"/>
      <c r="C584" s="43"/>
      <c r="D584" s="43"/>
      <c r="E584" s="43"/>
      <c r="F584" s="43"/>
      <c r="G584" s="43"/>
      <c r="H584" s="43"/>
      <c r="I584" s="43"/>
      <c r="J584" s="43"/>
      <c r="K584" s="43"/>
      <c r="L584" s="43"/>
      <c r="M584" s="43"/>
      <c r="N584" s="43"/>
      <c r="O584" s="43"/>
      <c r="P584" s="43"/>
      <c r="Q584" s="43"/>
      <c r="R584" s="43"/>
      <c r="S584" s="43"/>
      <c r="T584" s="49"/>
      <c r="U584" s="49"/>
      <c r="V584" s="49"/>
      <c r="W584" s="49"/>
      <c r="X584" s="49"/>
      <c r="Y584" s="49"/>
      <c r="Z584" s="49"/>
      <c r="AA584" s="49"/>
      <c r="AB584" s="49"/>
      <c r="AC584" s="49"/>
      <c r="AD584" s="49"/>
      <c r="AE584" s="49"/>
    </row>
    <row r="585" spans="1:31">
      <c r="A585" s="43"/>
      <c r="B585" s="43"/>
      <c r="C585" s="43"/>
      <c r="D585" s="43"/>
      <c r="E585" s="43"/>
      <c r="F585" s="43"/>
      <c r="G585" s="43"/>
      <c r="H585" s="43"/>
      <c r="I585" s="43"/>
      <c r="J585" s="43"/>
      <c r="K585" s="43"/>
      <c r="L585" s="43"/>
      <c r="M585" s="43"/>
      <c r="N585" s="43"/>
      <c r="O585" s="43"/>
      <c r="P585" s="43"/>
      <c r="Q585" s="43"/>
      <c r="R585" s="43"/>
      <c r="S585" s="43"/>
      <c r="T585" s="49"/>
      <c r="U585" s="49"/>
      <c r="V585" s="49"/>
      <c r="W585" s="49"/>
      <c r="X585" s="49"/>
      <c r="Y585" s="49"/>
      <c r="Z585" s="49"/>
      <c r="AA585" s="49"/>
      <c r="AB585" s="49"/>
      <c r="AC585" s="49"/>
      <c r="AD585" s="49"/>
      <c r="AE585" s="49"/>
    </row>
    <row r="586" spans="1:31">
      <c r="A586" s="43"/>
      <c r="B586" s="43"/>
      <c r="C586" s="43"/>
      <c r="D586" s="43"/>
      <c r="E586" s="43"/>
      <c r="F586" s="43"/>
      <c r="G586" s="43"/>
      <c r="H586" s="43"/>
      <c r="I586" s="43"/>
      <c r="J586" s="43"/>
      <c r="K586" s="43"/>
      <c r="L586" s="43"/>
      <c r="M586" s="43"/>
      <c r="N586" s="43"/>
      <c r="O586" s="43"/>
      <c r="P586" s="43"/>
      <c r="Q586" s="43"/>
      <c r="R586" s="43"/>
      <c r="S586" s="43"/>
      <c r="T586" s="49"/>
      <c r="U586" s="49"/>
      <c r="V586" s="49"/>
      <c r="W586" s="49"/>
      <c r="X586" s="49"/>
      <c r="Y586" s="49"/>
      <c r="Z586" s="49"/>
      <c r="AA586" s="49"/>
      <c r="AB586" s="49"/>
      <c r="AC586" s="49"/>
      <c r="AD586" s="49"/>
      <c r="AE586" s="49"/>
    </row>
    <row r="587" spans="1:31">
      <c r="A587" s="43"/>
      <c r="B587" s="43"/>
      <c r="C587" s="43"/>
      <c r="D587" s="43"/>
      <c r="E587" s="43"/>
      <c r="F587" s="43"/>
      <c r="G587" s="43"/>
      <c r="H587" s="43"/>
      <c r="I587" s="43"/>
      <c r="J587" s="43"/>
      <c r="K587" s="43"/>
      <c r="L587" s="43"/>
      <c r="M587" s="43"/>
      <c r="N587" s="43"/>
      <c r="O587" s="43"/>
      <c r="P587" s="43"/>
      <c r="Q587" s="43"/>
      <c r="R587" s="43"/>
      <c r="S587" s="43"/>
      <c r="T587" s="49"/>
      <c r="U587" s="49"/>
      <c r="V587" s="49"/>
      <c r="W587" s="49"/>
      <c r="X587" s="49"/>
      <c r="Y587" s="49"/>
      <c r="Z587" s="49"/>
      <c r="AA587" s="49"/>
      <c r="AB587" s="49"/>
      <c r="AC587" s="49"/>
      <c r="AD587" s="49"/>
      <c r="AE587" s="49"/>
    </row>
    <row r="588" spans="1:31">
      <c r="A588" s="43"/>
      <c r="B588" s="43"/>
      <c r="C588" s="43"/>
      <c r="D588" s="43"/>
      <c r="E588" s="43"/>
      <c r="F588" s="43"/>
      <c r="G588" s="43"/>
      <c r="H588" s="43"/>
      <c r="I588" s="43"/>
      <c r="J588" s="43"/>
      <c r="K588" s="43"/>
      <c r="L588" s="43"/>
      <c r="M588" s="43"/>
      <c r="N588" s="43"/>
      <c r="O588" s="43"/>
      <c r="P588" s="43"/>
      <c r="Q588" s="43"/>
      <c r="R588" s="43"/>
      <c r="S588" s="43"/>
      <c r="T588" s="49"/>
      <c r="U588" s="49"/>
      <c r="V588" s="49"/>
      <c r="W588" s="49"/>
      <c r="X588" s="49"/>
      <c r="Y588" s="49"/>
      <c r="Z588" s="49"/>
      <c r="AA588" s="49"/>
      <c r="AB588" s="49"/>
      <c r="AC588" s="49"/>
      <c r="AD588" s="49"/>
      <c r="AE588" s="49"/>
    </row>
    <row r="589" spans="1:31">
      <c r="A589" s="43"/>
      <c r="B589" s="43"/>
      <c r="C589" s="43"/>
      <c r="D589" s="43"/>
      <c r="E589" s="43"/>
      <c r="F589" s="43"/>
      <c r="G589" s="43"/>
      <c r="H589" s="43"/>
      <c r="I589" s="43"/>
      <c r="J589" s="43"/>
      <c r="K589" s="43"/>
      <c r="L589" s="43"/>
      <c r="M589" s="43"/>
      <c r="N589" s="43"/>
      <c r="O589" s="43"/>
      <c r="P589" s="43"/>
      <c r="Q589" s="43"/>
      <c r="R589" s="43"/>
      <c r="S589" s="43"/>
      <c r="T589" s="49"/>
      <c r="U589" s="49"/>
      <c r="V589" s="49"/>
      <c r="W589" s="49"/>
      <c r="X589" s="49"/>
      <c r="Y589" s="49"/>
      <c r="Z589" s="49"/>
      <c r="AA589" s="49"/>
      <c r="AB589" s="49"/>
      <c r="AC589" s="49"/>
      <c r="AD589" s="49"/>
      <c r="AE589" s="49"/>
    </row>
    <row r="590" spans="1:31">
      <c r="A590" s="43"/>
      <c r="B590" s="43"/>
      <c r="C590" s="43"/>
      <c r="D590" s="43"/>
      <c r="E590" s="43"/>
      <c r="F590" s="43"/>
      <c r="G590" s="43"/>
      <c r="H590" s="43"/>
      <c r="I590" s="43"/>
      <c r="J590" s="43"/>
      <c r="K590" s="43"/>
      <c r="L590" s="43"/>
      <c r="M590" s="43"/>
      <c r="N590" s="43"/>
      <c r="O590" s="43"/>
      <c r="P590" s="43"/>
      <c r="Q590" s="43"/>
      <c r="R590" s="43"/>
      <c r="S590" s="43"/>
      <c r="T590" s="49"/>
      <c r="U590" s="49"/>
      <c r="V590" s="49"/>
      <c r="W590" s="49"/>
      <c r="X590" s="49"/>
      <c r="Y590" s="49"/>
      <c r="Z590" s="49"/>
      <c r="AA590" s="49"/>
      <c r="AB590" s="49"/>
      <c r="AC590" s="49"/>
      <c r="AD590" s="49"/>
      <c r="AE590" s="49"/>
    </row>
    <row r="591" spans="1:31">
      <c r="A591" s="43"/>
      <c r="B591" s="43"/>
      <c r="C591" s="43"/>
      <c r="D591" s="43"/>
      <c r="E591" s="43"/>
      <c r="F591" s="43"/>
      <c r="G591" s="43"/>
      <c r="H591" s="43"/>
      <c r="I591" s="43"/>
      <c r="J591" s="43"/>
      <c r="K591" s="43"/>
      <c r="L591" s="43"/>
      <c r="M591" s="43"/>
      <c r="N591" s="43"/>
      <c r="O591" s="43"/>
      <c r="P591" s="43"/>
      <c r="Q591" s="43"/>
      <c r="R591" s="43"/>
      <c r="S591" s="43"/>
      <c r="T591" s="49"/>
      <c r="U591" s="49"/>
      <c r="V591" s="49"/>
      <c r="W591" s="49"/>
      <c r="X591" s="49"/>
      <c r="Y591" s="49"/>
      <c r="Z591" s="49"/>
      <c r="AA591" s="49"/>
      <c r="AB591" s="49"/>
      <c r="AC591" s="49"/>
      <c r="AD591" s="49"/>
      <c r="AE591" s="49"/>
    </row>
    <row r="592" spans="1:31">
      <c r="A592" s="43"/>
      <c r="B592" s="43"/>
      <c r="C592" s="43"/>
      <c r="D592" s="43"/>
      <c r="E592" s="43"/>
      <c r="F592" s="43"/>
      <c r="G592" s="43"/>
      <c r="H592" s="43"/>
      <c r="I592" s="43"/>
      <c r="J592" s="43"/>
      <c r="K592" s="43"/>
      <c r="L592" s="43"/>
      <c r="M592" s="43"/>
      <c r="N592" s="43"/>
      <c r="O592" s="43"/>
      <c r="P592" s="43"/>
      <c r="Q592" s="43"/>
      <c r="R592" s="43"/>
      <c r="S592" s="43"/>
      <c r="T592" s="49"/>
      <c r="U592" s="49"/>
      <c r="V592" s="49"/>
      <c r="W592" s="49"/>
      <c r="X592" s="49"/>
      <c r="Y592" s="49"/>
      <c r="Z592" s="49"/>
      <c r="AA592" s="49"/>
      <c r="AB592" s="49"/>
      <c r="AC592" s="49"/>
      <c r="AD592" s="49"/>
      <c r="AE592" s="49"/>
    </row>
    <row r="593" spans="1:31">
      <c r="A593" s="43"/>
      <c r="B593" s="43"/>
      <c r="C593" s="43"/>
      <c r="D593" s="43"/>
      <c r="E593" s="43"/>
      <c r="F593" s="43"/>
      <c r="G593" s="43"/>
      <c r="H593" s="43"/>
      <c r="I593" s="43"/>
      <c r="J593" s="43"/>
      <c r="K593" s="43"/>
      <c r="L593" s="43"/>
      <c r="M593" s="43"/>
      <c r="N593" s="43"/>
      <c r="O593" s="43"/>
      <c r="P593" s="43"/>
      <c r="Q593" s="43"/>
      <c r="R593" s="43"/>
      <c r="S593" s="43"/>
      <c r="T593" s="49"/>
      <c r="U593" s="49"/>
      <c r="V593" s="49"/>
      <c r="W593" s="49"/>
      <c r="X593" s="49"/>
      <c r="Y593" s="49"/>
      <c r="Z593" s="49"/>
      <c r="AA593" s="49"/>
      <c r="AB593" s="49"/>
      <c r="AC593" s="49"/>
      <c r="AD593" s="49"/>
      <c r="AE593" s="49"/>
    </row>
    <row r="594" spans="1:31">
      <c r="A594" s="43"/>
      <c r="B594" s="43"/>
      <c r="C594" s="43"/>
      <c r="D594" s="43"/>
      <c r="E594" s="43"/>
      <c r="F594" s="43"/>
      <c r="G594" s="43"/>
      <c r="H594" s="43"/>
      <c r="I594" s="43"/>
      <c r="J594" s="43"/>
      <c r="K594" s="43"/>
      <c r="L594" s="43"/>
      <c r="M594" s="43"/>
      <c r="N594" s="43"/>
      <c r="O594" s="43"/>
      <c r="P594" s="43"/>
      <c r="Q594" s="43"/>
      <c r="R594" s="43"/>
      <c r="S594" s="43"/>
      <c r="T594" s="49"/>
      <c r="U594" s="49"/>
      <c r="V594" s="49"/>
      <c r="W594" s="49"/>
      <c r="X594" s="49"/>
      <c r="Y594" s="49"/>
      <c r="Z594" s="49"/>
      <c r="AA594" s="49"/>
      <c r="AB594" s="49"/>
      <c r="AC594" s="49"/>
      <c r="AD594" s="49"/>
      <c r="AE594" s="49"/>
    </row>
    <row r="595" spans="1:31">
      <c r="A595" s="43"/>
      <c r="B595" s="43"/>
      <c r="C595" s="43"/>
      <c r="D595" s="43"/>
      <c r="E595" s="43"/>
      <c r="F595" s="43"/>
      <c r="G595" s="43"/>
      <c r="H595" s="43"/>
      <c r="I595" s="43"/>
      <c r="J595" s="43"/>
      <c r="K595" s="43"/>
      <c r="L595" s="43"/>
      <c r="M595" s="43"/>
      <c r="N595" s="43"/>
      <c r="O595" s="43"/>
      <c r="P595" s="43"/>
      <c r="Q595" s="43"/>
      <c r="R595" s="43"/>
      <c r="S595" s="43"/>
      <c r="T595" s="49"/>
      <c r="U595" s="49"/>
      <c r="V595" s="49"/>
      <c r="W595" s="49"/>
      <c r="X595" s="49"/>
      <c r="Y595" s="49"/>
      <c r="Z595" s="49"/>
      <c r="AA595" s="49"/>
      <c r="AB595" s="49"/>
      <c r="AC595" s="49"/>
      <c r="AD595" s="49"/>
      <c r="AE595" s="49"/>
    </row>
    <row r="596" spans="1:31">
      <c r="A596" s="43"/>
      <c r="B596" s="43"/>
      <c r="C596" s="43"/>
      <c r="D596" s="43"/>
      <c r="E596" s="43"/>
      <c r="F596" s="43"/>
      <c r="G596" s="43"/>
      <c r="H596" s="43"/>
      <c r="I596" s="43"/>
      <c r="J596" s="43"/>
      <c r="K596" s="43"/>
      <c r="L596" s="43"/>
      <c r="M596" s="43"/>
      <c r="N596" s="43"/>
      <c r="O596" s="43"/>
      <c r="P596" s="43"/>
      <c r="Q596" s="43"/>
      <c r="R596" s="43"/>
      <c r="S596" s="43"/>
      <c r="T596" s="49"/>
      <c r="U596" s="49"/>
      <c r="V596" s="49"/>
      <c r="W596" s="49"/>
      <c r="X596" s="49"/>
      <c r="Y596" s="49"/>
      <c r="Z596" s="49"/>
      <c r="AA596" s="49"/>
      <c r="AB596" s="49"/>
      <c r="AC596" s="49"/>
      <c r="AD596" s="49"/>
      <c r="AE596" s="49"/>
    </row>
    <row r="597" spans="1:31">
      <c r="A597" s="43"/>
      <c r="B597" s="43"/>
      <c r="C597" s="43"/>
      <c r="D597" s="43"/>
      <c r="E597" s="43"/>
      <c r="F597" s="43"/>
      <c r="G597" s="43"/>
      <c r="H597" s="43"/>
      <c r="I597" s="43"/>
      <c r="J597" s="43"/>
      <c r="K597" s="43"/>
      <c r="L597" s="43"/>
      <c r="M597" s="43"/>
      <c r="N597" s="43"/>
      <c r="O597" s="43"/>
      <c r="P597" s="43"/>
      <c r="Q597" s="43"/>
      <c r="R597" s="43"/>
      <c r="S597" s="43"/>
      <c r="T597" s="49"/>
      <c r="U597" s="49"/>
      <c r="V597" s="49"/>
      <c r="W597" s="49"/>
      <c r="X597" s="49"/>
      <c r="Y597" s="49"/>
      <c r="Z597" s="49"/>
      <c r="AA597" s="49"/>
      <c r="AB597" s="49"/>
      <c r="AC597" s="49"/>
      <c r="AD597" s="49"/>
      <c r="AE597" s="49"/>
    </row>
    <row r="598" spans="1:31">
      <c r="A598" s="43"/>
      <c r="B598" s="43"/>
      <c r="C598" s="43"/>
      <c r="D598" s="43"/>
      <c r="E598" s="43"/>
      <c r="F598" s="43"/>
      <c r="G598" s="43"/>
      <c r="H598" s="43"/>
      <c r="I598" s="43"/>
      <c r="J598" s="43"/>
      <c r="K598" s="43"/>
      <c r="L598" s="43"/>
      <c r="M598" s="43"/>
      <c r="N598" s="43"/>
      <c r="O598" s="43"/>
      <c r="P598" s="43"/>
      <c r="Q598" s="43"/>
      <c r="R598" s="43"/>
      <c r="S598" s="43"/>
      <c r="T598" s="49"/>
      <c r="U598" s="49"/>
      <c r="V598" s="49"/>
      <c r="W598" s="49"/>
      <c r="X598" s="49"/>
      <c r="Y598" s="49"/>
      <c r="Z598" s="49"/>
      <c r="AA598" s="49"/>
      <c r="AB598" s="49"/>
      <c r="AC598" s="49"/>
      <c r="AD598" s="49"/>
      <c r="AE598" s="49"/>
    </row>
    <row r="599" spans="1:31">
      <c r="A599" s="43"/>
      <c r="B599" s="43"/>
      <c r="C599" s="43"/>
      <c r="D599" s="43"/>
      <c r="E599" s="43"/>
      <c r="F599" s="43"/>
      <c r="G599" s="43"/>
      <c r="H599" s="43"/>
      <c r="I599" s="43"/>
      <c r="J599" s="43"/>
      <c r="K599" s="43"/>
      <c r="L599" s="43"/>
      <c r="M599" s="43"/>
      <c r="N599" s="43"/>
      <c r="O599" s="43"/>
      <c r="P599" s="43"/>
      <c r="Q599" s="43"/>
      <c r="R599" s="43"/>
      <c r="S599" s="43"/>
      <c r="T599" s="49"/>
      <c r="U599" s="49"/>
      <c r="V599" s="49"/>
      <c r="W599" s="49"/>
      <c r="X599" s="49"/>
      <c r="Y599" s="49"/>
      <c r="Z599" s="49"/>
      <c r="AA599" s="49"/>
      <c r="AB599" s="49"/>
      <c r="AC599" s="49"/>
      <c r="AD599" s="49"/>
      <c r="AE599" s="49"/>
    </row>
    <row r="600" spans="1:31">
      <c r="A600" s="43"/>
      <c r="B600" s="43"/>
      <c r="C600" s="43"/>
      <c r="D600" s="43"/>
      <c r="E600" s="43"/>
      <c r="F600" s="43"/>
      <c r="G600" s="43"/>
      <c r="H600" s="43"/>
      <c r="I600" s="43"/>
      <c r="J600" s="43"/>
      <c r="K600" s="43"/>
      <c r="L600" s="43"/>
      <c r="M600" s="43"/>
      <c r="N600" s="43"/>
      <c r="O600" s="43"/>
      <c r="P600" s="43"/>
      <c r="Q600" s="43"/>
      <c r="R600" s="43"/>
      <c r="S600" s="43"/>
      <c r="T600" s="49"/>
      <c r="U600" s="49"/>
      <c r="V600" s="49"/>
      <c r="W600" s="49"/>
      <c r="X600" s="49"/>
      <c r="Y600" s="49"/>
      <c r="Z600" s="49"/>
      <c r="AA600" s="49"/>
      <c r="AB600" s="49"/>
      <c r="AC600" s="49"/>
      <c r="AD600" s="49"/>
      <c r="AE600" s="49"/>
    </row>
    <row r="601" spans="1:31">
      <c r="A601" s="43"/>
      <c r="B601" s="43"/>
      <c r="C601" s="43"/>
      <c r="D601" s="43"/>
      <c r="E601" s="43"/>
      <c r="F601" s="43"/>
      <c r="G601" s="43"/>
      <c r="H601" s="43"/>
      <c r="I601" s="43"/>
      <c r="J601" s="43"/>
      <c r="K601" s="43"/>
      <c r="L601" s="43"/>
      <c r="M601" s="43"/>
      <c r="N601" s="43"/>
      <c r="O601" s="43"/>
      <c r="P601" s="43"/>
      <c r="Q601" s="43"/>
      <c r="R601" s="43"/>
      <c r="S601" s="43"/>
      <c r="T601" s="49"/>
      <c r="U601" s="49"/>
      <c r="V601" s="49"/>
      <c r="W601" s="49"/>
      <c r="X601" s="49"/>
      <c r="Y601" s="49"/>
      <c r="Z601" s="49"/>
      <c r="AA601" s="49"/>
      <c r="AB601" s="49"/>
      <c r="AC601" s="49"/>
      <c r="AD601" s="49"/>
      <c r="AE601" s="49"/>
    </row>
    <row r="602" spans="1:31">
      <c r="A602" s="43"/>
      <c r="B602" s="43"/>
      <c r="C602" s="43"/>
      <c r="D602" s="43"/>
      <c r="E602" s="43"/>
      <c r="F602" s="43"/>
      <c r="G602" s="43"/>
      <c r="H602" s="43"/>
      <c r="I602" s="43"/>
      <c r="J602" s="43"/>
      <c r="K602" s="43"/>
      <c r="L602" s="43"/>
      <c r="M602" s="43"/>
      <c r="N602" s="43"/>
      <c r="O602" s="43"/>
      <c r="P602" s="43"/>
      <c r="Q602" s="43"/>
      <c r="R602" s="43"/>
      <c r="S602" s="43"/>
      <c r="T602" s="49"/>
      <c r="U602" s="49"/>
      <c r="V602" s="49"/>
      <c r="W602" s="49"/>
      <c r="X602" s="49"/>
      <c r="Y602" s="49"/>
      <c r="Z602" s="49"/>
      <c r="AA602" s="49"/>
      <c r="AB602" s="49"/>
      <c r="AC602" s="49"/>
      <c r="AD602" s="49"/>
      <c r="AE602" s="49"/>
    </row>
    <row r="603" spans="1:31">
      <c r="A603" s="43"/>
      <c r="B603" s="43"/>
      <c r="C603" s="43"/>
      <c r="D603" s="43"/>
      <c r="E603" s="43"/>
      <c r="F603" s="43"/>
      <c r="G603" s="43"/>
      <c r="H603" s="43"/>
      <c r="I603" s="43"/>
      <c r="J603" s="43"/>
      <c r="K603" s="43"/>
      <c r="L603" s="43"/>
      <c r="M603" s="43"/>
      <c r="N603" s="43"/>
      <c r="O603" s="43"/>
      <c r="P603" s="43"/>
      <c r="Q603" s="43"/>
      <c r="R603" s="43"/>
      <c r="S603" s="43"/>
      <c r="T603" s="49"/>
      <c r="U603" s="49"/>
      <c r="V603" s="49"/>
      <c r="W603" s="49"/>
      <c r="X603" s="49"/>
      <c r="Y603" s="49"/>
      <c r="Z603" s="49"/>
      <c r="AA603" s="49"/>
      <c r="AB603" s="49"/>
      <c r="AC603" s="49"/>
      <c r="AD603" s="49"/>
      <c r="AE603" s="49"/>
    </row>
    <row r="604" spans="1:31">
      <c r="A604" s="43"/>
      <c r="B604" s="43"/>
      <c r="C604" s="43"/>
      <c r="D604" s="43"/>
      <c r="E604" s="43"/>
      <c r="F604" s="43"/>
      <c r="G604" s="43"/>
      <c r="H604" s="43"/>
      <c r="I604" s="43"/>
      <c r="J604" s="43"/>
      <c r="K604" s="43"/>
      <c r="L604" s="43"/>
      <c r="M604" s="43"/>
      <c r="N604" s="43"/>
      <c r="O604" s="43"/>
      <c r="P604" s="43"/>
      <c r="Q604" s="43"/>
      <c r="R604" s="43"/>
      <c r="S604" s="43"/>
      <c r="T604" s="49"/>
      <c r="U604" s="49"/>
      <c r="V604" s="49"/>
      <c r="W604" s="49"/>
      <c r="X604" s="49"/>
      <c r="Y604" s="49"/>
      <c r="Z604" s="49"/>
      <c r="AA604" s="49"/>
      <c r="AB604" s="49"/>
      <c r="AC604" s="49"/>
      <c r="AD604" s="49"/>
      <c r="AE604" s="49"/>
    </row>
    <row r="605" spans="1:31">
      <c r="A605" s="43"/>
      <c r="B605" s="43"/>
      <c r="C605" s="43"/>
      <c r="D605" s="43"/>
      <c r="E605" s="43"/>
      <c r="F605" s="43"/>
      <c r="G605" s="43"/>
      <c r="H605" s="43"/>
      <c r="I605" s="43"/>
      <c r="J605" s="43"/>
      <c r="K605" s="43"/>
      <c r="L605" s="43"/>
      <c r="M605" s="43"/>
      <c r="N605" s="43"/>
      <c r="O605" s="43"/>
      <c r="P605" s="43"/>
      <c r="Q605" s="43"/>
      <c r="R605" s="43"/>
      <c r="S605" s="43"/>
      <c r="T605" s="49"/>
      <c r="U605" s="49"/>
      <c r="V605" s="49"/>
      <c r="W605" s="49"/>
      <c r="X605" s="49"/>
      <c r="Y605" s="49"/>
      <c r="Z605" s="49"/>
      <c r="AA605" s="49"/>
      <c r="AB605" s="49"/>
      <c r="AC605" s="49"/>
      <c r="AD605" s="49"/>
      <c r="AE605" s="49"/>
    </row>
    <row r="606" spans="1:31">
      <c r="A606" s="43"/>
      <c r="B606" s="43"/>
      <c r="C606" s="43"/>
      <c r="D606" s="43"/>
      <c r="E606" s="43"/>
      <c r="F606" s="43"/>
      <c r="G606" s="43"/>
      <c r="H606" s="43"/>
      <c r="I606" s="43"/>
      <c r="J606" s="43"/>
      <c r="K606" s="43"/>
      <c r="L606" s="43"/>
      <c r="M606" s="43"/>
      <c r="N606" s="43"/>
      <c r="O606" s="43"/>
      <c r="P606" s="43"/>
      <c r="Q606" s="43"/>
      <c r="R606" s="43"/>
      <c r="S606" s="43"/>
      <c r="T606" s="49"/>
      <c r="U606" s="49"/>
      <c r="V606" s="49"/>
      <c r="W606" s="49"/>
      <c r="X606" s="49"/>
      <c r="Y606" s="49"/>
      <c r="Z606" s="49"/>
      <c r="AA606" s="49"/>
      <c r="AB606" s="49"/>
      <c r="AC606" s="49"/>
      <c r="AD606" s="49"/>
      <c r="AE606" s="49"/>
    </row>
    <row r="607" spans="1:31">
      <c r="A607" s="43"/>
      <c r="B607" s="43"/>
      <c r="C607" s="43"/>
      <c r="D607" s="43"/>
      <c r="E607" s="43"/>
      <c r="F607" s="43"/>
      <c r="G607" s="43"/>
      <c r="H607" s="43"/>
      <c r="I607" s="43"/>
      <c r="J607" s="43"/>
      <c r="K607" s="43"/>
      <c r="L607" s="43"/>
      <c r="M607" s="43"/>
      <c r="N607" s="43"/>
      <c r="O607" s="43"/>
      <c r="P607" s="43"/>
      <c r="Q607" s="43"/>
      <c r="R607" s="43"/>
      <c r="S607" s="43"/>
      <c r="T607" s="49"/>
      <c r="U607" s="49"/>
      <c r="V607" s="49"/>
      <c r="W607" s="49"/>
      <c r="X607" s="49"/>
      <c r="Y607" s="49"/>
      <c r="Z607" s="49"/>
      <c r="AA607" s="49"/>
      <c r="AB607" s="49"/>
      <c r="AC607" s="49"/>
      <c r="AD607" s="49"/>
      <c r="AE607" s="49"/>
    </row>
    <row r="608" spans="1:31">
      <c r="A608" s="43"/>
      <c r="B608" s="43"/>
      <c r="C608" s="43"/>
      <c r="D608" s="43"/>
      <c r="E608" s="43"/>
      <c r="F608" s="43"/>
      <c r="G608" s="43"/>
      <c r="H608" s="43"/>
      <c r="I608" s="43"/>
      <c r="J608" s="43"/>
      <c r="K608" s="43"/>
      <c r="L608" s="43"/>
      <c r="M608" s="43"/>
      <c r="N608" s="43"/>
      <c r="O608" s="43"/>
      <c r="P608" s="43"/>
      <c r="Q608" s="43"/>
      <c r="R608" s="43"/>
      <c r="S608" s="43"/>
      <c r="T608" s="49"/>
      <c r="U608" s="49"/>
      <c r="V608" s="49"/>
      <c r="W608" s="49"/>
      <c r="X608" s="49"/>
      <c r="Y608" s="49"/>
      <c r="Z608" s="49"/>
      <c r="AA608" s="49"/>
      <c r="AB608" s="49"/>
      <c r="AC608" s="49"/>
      <c r="AD608" s="49"/>
      <c r="AE608" s="49"/>
    </row>
    <row r="609" spans="1:31">
      <c r="A609" s="43"/>
      <c r="B609" s="43"/>
      <c r="C609" s="43"/>
      <c r="D609" s="43"/>
      <c r="E609" s="43"/>
      <c r="F609" s="43"/>
      <c r="G609" s="43"/>
      <c r="H609" s="43"/>
      <c r="I609" s="43"/>
      <c r="J609" s="43"/>
      <c r="K609" s="43"/>
      <c r="L609" s="43"/>
      <c r="M609" s="43"/>
      <c r="N609" s="43"/>
      <c r="O609" s="43"/>
      <c r="P609" s="43"/>
      <c r="Q609" s="43"/>
      <c r="R609" s="43"/>
      <c r="S609" s="43"/>
      <c r="T609" s="49"/>
      <c r="U609" s="49"/>
      <c r="V609" s="49"/>
      <c r="W609" s="49"/>
      <c r="X609" s="49"/>
      <c r="Y609" s="49"/>
      <c r="Z609" s="49"/>
      <c r="AA609" s="49"/>
      <c r="AB609" s="49"/>
      <c r="AC609" s="49"/>
      <c r="AD609" s="49"/>
      <c r="AE609" s="49"/>
    </row>
    <row r="610" spans="1:31">
      <c r="A610" s="43"/>
      <c r="B610" s="43"/>
      <c r="C610" s="43"/>
      <c r="D610" s="43"/>
      <c r="E610" s="43"/>
      <c r="F610" s="43"/>
      <c r="G610" s="43"/>
      <c r="H610" s="43"/>
      <c r="I610" s="43"/>
      <c r="J610" s="43"/>
      <c r="K610" s="43"/>
      <c r="L610" s="43"/>
      <c r="M610" s="43"/>
      <c r="N610" s="43"/>
      <c r="O610" s="43"/>
      <c r="P610" s="43"/>
      <c r="Q610" s="43"/>
      <c r="R610" s="43"/>
      <c r="S610" s="43"/>
      <c r="T610" s="49"/>
      <c r="U610" s="49"/>
      <c r="V610" s="49"/>
      <c r="W610" s="49"/>
      <c r="X610" s="49"/>
      <c r="Y610" s="49"/>
      <c r="Z610" s="49"/>
      <c r="AA610" s="49"/>
      <c r="AB610" s="49"/>
      <c r="AC610" s="49"/>
      <c r="AD610" s="49"/>
      <c r="AE610" s="49"/>
    </row>
    <row r="611" spans="1:31">
      <c r="A611" s="43"/>
      <c r="B611" s="43"/>
      <c r="C611" s="43"/>
      <c r="D611" s="43"/>
      <c r="E611" s="43"/>
      <c r="F611" s="43"/>
      <c r="G611" s="43"/>
      <c r="H611" s="43"/>
      <c r="I611" s="43"/>
      <c r="J611" s="43"/>
      <c r="K611" s="43"/>
      <c r="L611" s="43"/>
      <c r="M611" s="43"/>
      <c r="N611" s="43"/>
      <c r="O611" s="43"/>
      <c r="P611" s="43"/>
      <c r="Q611" s="43"/>
      <c r="R611" s="43"/>
      <c r="S611" s="43"/>
      <c r="T611" s="49"/>
      <c r="U611" s="49"/>
      <c r="V611" s="49"/>
      <c r="W611" s="49"/>
      <c r="X611" s="49"/>
      <c r="Y611" s="49"/>
      <c r="Z611" s="49"/>
      <c r="AA611" s="49"/>
      <c r="AB611" s="49"/>
      <c r="AC611" s="49"/>
      <c r="AD611" s="49"/>
      <c r="AE611" s="49"/>
    </row>
    <row r="612" spans="1:31">
      <c r="A612" s="43"/>
      <c r="B612" s="43"/>
      <c r="C612" s="43"/>
      <c r="D612" s="43"/>
      <c r="E612" s="43"/>
      <c r="F612" s="43"/>
      <c r="G612" s="43"/>
      <c r="H612" s="43"/>
      <c r="I612" s="43"/>
      <c r="J612" s="43"/>
      <c r="K612" s="43"/>
      <c r="L612" s="43"/>
      <c r="M612" s="43"/>
      <c r="N612" s="43"/>
      <c r="O612" s="43"/>
      <c r="P612" s="43"/>
      <c r="Q612" s="43"/>
      <c r="R612" s="43"/>
      <c r="S612" s="43"/>
      <c r="T612" s="49"/>
      <c r="U612" s="49"/>
      <c r="V612" s="49"/>
      <c r="W612" s="49"/>
      <c r="X612" s="49"/>
      <c r="Y612" s="49"/>
      <c r="Z612" s="49"/>
      <c r="AA612" s="49"/>
      <c r="AB612" s="49"/>
      <c r="AC612" s="49"/>
      <c r="AD612" s="49"/>
      <c r="AE612" s="49"/>
    </row>
    <row r="613" spans="1:31">
      <c r="A613" s="43"/>
      <c r="B613" s="43"/>
      <c r="C613" s="43"/>
      <c r="D613" s="43"/>
      <c r="E613" s="43"/>
      <c r="F613" s="43"/>
      <c r="G613" s="43"/>
      <c r="H613" s="43"/>
      <c r="I613" s="43"/>
      <c r="J613" s="43"/>
      <c r="K613" s="43"/>
      <c r="L613" s="43"/>
      <c r="M613" s="43"/>
      <c r="N613" s="43"/>
      <c r="O613" s="43"/>
      <c r="P613" s="43"/>
      <c r="Q613" s="43"/>
      <c r="R613" s="43"/>
      <c r="S613" s="43"/>
      <c r="T613" s="49"/>
      <c r="U613" s="49"/>
      <c r="V613" s="49"/>
      <c r="W613" s="49"/>
      <c r="X613" s="49"/>
      <c r="Y613" s="49"/>
      <c r="Z613" s="49"/>
      <c r="AA613" s="49"/>
      <c r="AB613" s="49"/>
      <c r="AC613" s="49"/>
      <c r="AD613" s="49"/>
      <c r="AE613" s="49"/>
    </row>
    <row r="614" spans="1:31">
      <c r="A614" s="43"/>
      <c r="B614" s="43"/>
      <c r="C614" s="43"/>
      <c r="D614" s="43"/>
      <c r="E614" s="43"/>
      <c r="F614" s="43"/>
      <c r="G614" s="43"/>
      <c r="H614" s="43"/>
      <c r="I614" s="43"/>
      <c r="J614" s="43"/>
      <c r="K614" s="43"/>
      <c r="L614" s="43"/>
      <c r="M614" s="43"/>
      <c r="N614" s="43"/>
      <c r="O614" s="43"/>
      <c r="P614" s="43"/>
      <c r="Q614" s="43"/>
      <c r="R614" s="43"/>
      <c r="S614" s="43"/>
      <c r="T614" s="49"/>
      <c r="U614" s="49"/>
      <c r="V614" s="49"/>
      <c r="W614" s="49"/>
      <c r="X614" s="49"/>
      <c r="Y614" s="49"/>
      <c r="Z614" s="49"/>
      <c r="AA614" s="49"/>
      <c r="AB614" s="49"/>
      <c r="AC614" s="49"/>
      <c r="AD614" s="49"/>
      <c r="AE614" s="49"/>
    </row>
    <row r="615" spans="1:31">
      <c r="A615" s="43"/>
      <c r="B615" s="43"/>
      <c r="C615" s="43"/>
      <c r="D615" s="43"/>
      <c r="E615" s="43"/>
      <c r="F615" s="43"/>
      <c r="G615" s="43"/>
      <c r="H615" s="43"/>
      <c r="I615" s="43"/>
      <c r="J615" s="43"/>
      <c r="K615" s="43"/>
      <c r="L615" s="43"/>
      <c r="M615" s="43"/>
      <c r="N615" s="43"/>
      <c r="O615" s="43"/>
      <c r="P615" s="43"/>
      <c r="Q615" s="43"/>
      <c r="R615" s="43"/>
      <c r="S615" s="43"/>
      <c r="T615" s="49"/>
      <c r="U615" s="49"/>
      <c r="V615" s="49"/>
      <c r="W615" s="49"/>
      <c r="X615" s="49"/>
      <c r="Y615" s="49"/>
      <c r="Z615" s="49"/>
      <c r="AA615" s="49"/>
      <c r="AB615" s="49"/>
      <c r="AC615" s="49"/>
      <c r="AD615" s="49"/>
      <c r="AE615" s="49"/>
    </row>
    <row r="616" spans="1:31">
      <c r="A616" s="43"/>
      <c r="B616" s="43"/>
      <c r="C616" s="43"/>
      <c r="D616" s="43"/>
      <c r="E616" s="43"/>
      <c r="F616" s="43"/>
      <c r="G616" s="43"/>
      <c r="H616" s="43"/>
      <c r="I616" s="43"/>
      <c r="J616" s="43"/>
      <c r="K616" s="43"/>
      <c r="L616" s="43"/>
      <c r="M616" s="43"/>
      <c r="N616" s="43"/>
      <c r="O616" s="43"/>
      <c r="P616" s="43"/>
      <c r="Q616" s="43"/>
      <c r="R616" s="43"/>
      <c r="S616" s="43"/>
      <c r="T616" s="49"/>
      <c r="U616" s="49"/>
      <c r="V616" s="49"/>
      <c r="W616" s="49"/>
      <c r="X616" s="49"/>
      <c r="Y616" s="49"/>
      <c r="Z616" s="49"/>
      <c r="AA616" s="49"/>
      <c r="AB616" s="49"/>
      <c r="AC616" s="49"/>
      <c r="AD616" s="49"/>
      <c r="AE616" s="49"/>
    </row>
    <row r="617" spans="1:31">
      <c r="A617" s="43"/>
      <c r="B617" s="43"/>
      <c r="C617" s="43"/>
      <c r="D617" s="43"/>
      <c r="E617" s="43"/>
      <c r="F617" s="43"/>
      <c r="G617" s="43"/>
      <c r="H617" s="43"/>
      <c r="I617" s="43"/>
      <c r="J617" s="43"/>
      <c r="K617" s="43"/>
      <c r="L617" s="43"/>
      <c r="M617" s="43"/>
      <c r="N617" s="43"/>
      <c r="O617" s="43"/>
      <c r="P617" s="43"/>
      <c r="Q617" s="43"/>
      <c r="R617" s="43"/>
      <c r="S617" s="43"/>
      <c r="T617" s="49"/>
      <c r="U617" s="49"/>
      <c r="V617" s="49"/>
      <c r="W617" s="49"/>
      <c r="X617" s="49"/>
      <c r="Y617" s="49"/>
      <c r="Z617" s="49"/>
      <c r="AA617" s="49"/>
      <c r="AB617" s="49"/>
      <c r="AC617" s="49"/>
      <c r="AD617" s="49"/>
      <c r="AE617" s="49"/>
    </row>
    <row r="618" spans="1:31">
      <c r="A618" s="43"/>
      <c r="B618" s="43"/>
      <c r="C618" s="43"/>
      <c r="D618" s="43"/>
      <c r="E618" s="43"/>
      <c r="F618" s="43"/>
      <c r="G618" s="43"/>
      <c r="H618" s="43"/>
      <c r="I618" s="43"/>
      <c r="J618" s="43"/>
      <c r="K618" s="43"/>
      <c r="L618" s="43"/>
      <c r="M618" s="43"/>
      <c r="N618" s="43"/>
      <c r="O618" s="43"/>
      <c r="P618" s="43"/>
      <c r="Q618" s="43"/>
      <c r="R618" s="43"/>
      <c r="S618" s="43"/>
      <c r="T618" s="49"/>
      <c r="U618" s="49"/>
      <c r="V618" s="49"/>
      <c r="W618" s="49"/>
      <c r="X618" s="49"/>
      <c r="Y618" s="49"/>
      <c r="Z618" s="49"/>
      <c r="AA618" s="49"/>
      <c r="AB618" s="49"/>
      <c r="AC618" s="49"/>
      <c r="AD618" s="49"/>
      <c r="AE618" s="49"/>
    </row>
    <row r="619" spans="1:31">
      <c r="A619" s="43"/>
      <c r="B619" s="43"/>
      <c r="C619" s="43"/>
      <c r="D619" s="43"/>
      <c r="E619" s="43"/>
      <c r="F619" s="43"/>
      <c r="G619" s="43"/>
      <c r="H619" s="43"/>
      <c r="I619" s="43"/>
      <c r="J619" s="43"/>
      <c r="K619" s="43"/>
      <c r="L619" s="43"/>
      <c r="M619" s="43"/>
      <c r="N619" s="43"/>
      <c r="O619" s="43"/>
      <c r="P619" s="43"/>
      <c r="Q619" s="43"/>
      <c r="R619" s="43"/>
      <c r="S619" s="43"/>
      <c r="T619" s="49"/>
      <c r="U619" s="49"/>
      <c r="V619" s="49"/>
      <c r="W619" s="49"/>
      <c r="X619" s="49"/>
      <c r="Y619" s="49"/>
      <c r="Z619" s="49"/>
      <c r="AA619" s="49"/>
      <c r="AB619" s="49"/>
      <c r="AC619" s="49"/>
      <c r="AD619" s="49"/>
      <c r="AE619" s="49"/>
    </row>
    <row r="620" spans="1:31">
      <c r="A620" s="43"/>
      <c r="B620" s="43"/>
      <c r="C620" s="43"/>
      <c r="D620" s="43"/>
      <c r="E620" s="43"/>
      <c r="F620" s="43"/>
      <c r="G620" s="43"/>
      <c r="H620" s="43"/>
      <c r="I620" s="43"/>
      <c r="J620" s="43"/>
      <c r="K620" s="43"/>
      <c r="L620" s="43"/>
      <c r="M620" s="43"/>
      <c r="N620" s="43"/>
      <c r="O620" s="43"/>
      <c r="P620" s="43"/>
      <c r="Q620" s="43"/>
      <c r="R620" s="43"/>
      <c r="S620" s="43"/>
      <c r="T620" s="49"/>
      <c r="U620" s="49"/>
      <c r="V620" s="49"/>
      <c r="W620" s="49"/>
      <c r="X620" s="49"/>
      <c r="Y620" s="49"/>
      <c r="Z620" s="49"/>
      <c r="AA620" s="49"/>
      <c r="AB620" s="49"/>
      <c r="AC620" s="49"/>
      <c r="AD620" s="49"/>
      <c r="AE620" s="49"/>
    </row>
    <row r="621" spans="1:31">
      <c r="A621" s="43"/>
      <c r="B621" s="43"/>
      <c r="C621" s="43"/>
      <c r="D621" s="43"/>
      <c r="E621" s="43"/>
      <c r="F621" s="43"/>
      <c r="G621" s="43"/>
      <c r="H621" s="43"/>
      <c r="I621" s="43"/>
      <c r="J621" s="43"/>
      <c r="K621" s="43"/>
      <c r="L621" s="43"/>
      <c r="M621" s="43"/>
      <c r="N621" s="43"/>
      <c r="O621" s="43"/>
      <c r="P621" s="43"/>
      <c r="Q621" s="43"/>
      <c r="R621" s="43"/>
      <c r="S621" s="43"/>
      <c r="T621" s="49"/>
      <c r="U621" s="49"/>
      <c r="V621" s="49"/>
      <c r="W621" s="49"/>
      <c r="X621" s="49"/>
      <c r="Y621" s="49"/>
      <c r="Z621" s="49"/>
      <c r="AA621" s="49"/>
      <c r="AB621" s="49"/>
      <c r="AC621" s="49"/>
      <c r="AD621" s="49"/>
      <c r="AE621" s="49"/>
    </row>
    <row r="622" spans="1:31">
      <c r="A622" s="43"/>
      <c r="B622" s="43"/>
      <c r="C622" s="43"/>
      <c r="D622" s="43"/>
      <c r="E622" s="43"/>
      <c r="F622" s="43"/>
      <c r="G622" s="43"/>
      <c r="H622" s="43"/>
      <c r="I622" s="43"/>
      <c r="J622" s="43"/>
      <c r="K622" s="43"/>
      <c r="L622" s="43"/>
      <c r="M622" s="43"/>
      <c r="N622" s="43"/>
      <c r="O622" s="43"/>
      <c r="P622" s="43"/>
      <c r="Q622" s="43"/>
      <c r="R622" s="43"/>
      <c r="S622" s="43"/>
      <c r="T622" s="49"/>
      <c r="U622" s="49"/>
      <c r="V622" s="49"/>
      <c r="W622" s="49"/>
      <c r="X622" s="49"/>
      <c r="Y622" s="49"/>
      <c r="Z622" s="49"/>
      <c r="AA622" s="49"/>
      <c r="AB622" s="49"/>
      <c r="AC622" s="49"/>
      <c r="AD622" s="49"/>
      <c r="AE622" s="49"/>
    </row>
    <row r="623" spans="1:31">
      <c r="A623" s="43"/>
      <c r="B623" s="43"/>
      <c r="C623" s="43"/>
      <c r="D623" s="43"/>
      <c r="E623" s="43"/>
      <c r="F623" s="43"/>
      <c r="G623" s="43"/>
      <c r="H623" s="43"/>
      <c r="I623" s="43"/>
      <c r="J623" s="43"/>
      <c r="K623" s="43"/>
      <c r="L623" s="43"/>
      <c r="M623" s="43"/>
      <c r="N623" s="43"/>
      <c r="O623" s="43"/>
      <c r="P623" s="43"/>
      <c r="Q623" s="43"/>
      <c r="R623" s="43"/>
      <c r="S623" s="43"/>
      <c r="T623" s="49"/>
      <c r="U623" s="49"/>
      <c r="V623" s="49"/>
      <c r="W623" s="49"/>
      <c r="X623" s="49"/>
      <c r="Y623" s="49"/>
      <c r="Z623" s="49"/>
      <c r="AA623" s="49"/>
      <c r="AB623" s="49"/>
      <c r="AC623" s="49"/>
      <c r="AD623" s="49"/>
      <c r="AE623" s="49"/>
    </row>
    <row r="624" spans="1:31">
      <c r="A624" s="43"/>
      <c r="B624" s="43"/>
      <c r="C624" s="43"/>
      <c r="D624" s="43"/>
      <c r="E624" s="43"/>
      <c r="F624" s="43"/>
      <c r="G624" s="43"/>
      <c r="H624" s="43"/>
      <c r="I624" s="43"/>
      <c r="J624" s="43"/>
      <c r="K624" s="43"/>
      <c r="L624" s="43"/>
      <c r="M624" s="43"/>
      <c r="N624" s="43"/>
      <c r="O624" s="43"/>
      <c r="P624" s="43"/>
      <c r="Q624" s="43"/>
      <c r="R624" s="43"/>
      <c r="S624" s="43"/>
      <c r="T624" s="49"/>
      <c r="U624" s="49"/>
      <c r="V624" s="49"/>
      <c r="W624" s="49"/>
      <c r="X624" s="49"/>
      <c r="Y624" s="49"/>
      <c r="Z624" s="49"/>
      <c r="AA624" s="49"/>
      <c r="AB624" s="49"/>
      <c r="AC624" s="49"/>
      <c r="AD624" s="49"/>
      <c r="AE624" s="49"/>
    </row>
    <row r="625" spans="1:31">
      <c r="A625" s="43"/>
      <c r="B625" s="43"/>
      <c r="C625" s="43"/>
      <c r="D625" s="43"/>
      <c r="E625" s="43"/>
      <c r="F625" s="43"/>
      <c r="G625" s="43"/>
      <c r="H625" s="43"/>
      <c r="I625" s="43"/>
      <c r="J625" s="43"/>
      <c r="K625" s="43"/>
      <c r="L625" s="43"/>
      <c r="M625" s="43"/>
      <c r="N625" s="43"/>
      <c r="O625" s="43"/>
      <c r="P625" s="43"/>
      <c r="Q625" s="43"/>
      <c r="R625" s="43"/>
      <c r="S625" s="43"/>
      <c r="T625" s="49"/>
      <c r="U625" s="49"/>
      <c r="V625" s="49"/>
      <c r="W625" s="49"/>
      <c r="X625" s="49"/>
      <c r="Y625" s="49"/>
      <c r="Z625" s="49"/>
      <c r="AA625" s="49"/>
      <c r="AB625" s="49"/>
      <c r="AC625" s="49"/>
      <c r="AD625" s="49"/>
      <c r="AE625" s="49"/>
    </row>
    <row r="626" spans="1:31">
      <c r="A626" s="43"/>
      <c r="B626" s="43"/>
      <c r="C626" s="43"/>
      <c r="D626" s="43"/>
      <c r="E626" s="43"/>
      <c r="F626" s="43"/>
      <c r="G626" s="43"/>
      <c r="H626" s="43"/>
      <c r="I626" s="43"/>
      <c r="J626" s="43"/>
      <c r="K626" s="43"/>
      <c r="L626" s="43"/>
      <c r="M626" s="43"/>
      <c r="N626" s="43"/>
      <c r="O626" s="43"/>
      <c r="P626" s="43"/>
      <c r="Q626" s="43"/>
      <c r="R626" s="43"/>
      <c r="S626" s="43"/>
      <c r="T626" s="49"/>
      <c r="U626" s="49"/>
      <c r="V626" s="49"/>
      <c r="W626" s="49"/>
      <c r="X626" s="49"/>
      <c r="Y626" s="49"/>
      <c r="Z626" s="49"/>
      <c r="AA626" s="49"/>
      <c r="AB626" s="49"/>
      <c r="AC626" s="49"/>
      <c r="AD626" s="49"/>
      <c r="AE626" s="49"/>
    </row>
    <row r="627" spans="1:31">
      <c r="A627" s="43"/>
      <c r="B627" s="43"/>
      <c r="C627" s="43"/>
      <c r="D627" s="43"/>
      <c r="E627" s="43"/>
      <c r="F627" s="43"/>
      <c r="G627" s="43"/>
      <c r="H627" s="43"/>
      <c r="I627" s="43"/>
      <c r="J627" s="43"/>
      <c r="K627" s="43"/>
      <c r="L627" s="43"/>
      <c r="M627" s="43"/>
      <c r="N627" s="43"/>
      <c r="O627" s="43"/>
      <c r="P627" s="43"/>
      <c r="Q627" s="43"/>
      <c r="R627" s="43"/>
      <c r="S627" s="43"/>
      <c r="T627" s="49"/>
      <c r="U627" s="49"/>
      <c r="V627" s="49"/>
      <c r="W627" s="49"/>
      <c r="X627" s="49"/>
      <c r="Y627" s="49"/>
      <c r="Z627" s="49"/>
      <c r="AA627" s="49"/>
      <c r="AB627" s="49"/>
      <c r="AC627" s="49"/>
      <c r="AD627" s="49"/>
      <c r="AE627" s="49"/>
    </row>
    <row r="628" spans="1:31">
      <c r="A628" s="43"/>
      <c r="B628" s="43"/>
      <c r="C628" s="43"/>
      <c r="D628" s="43"/>
      <c r="E628" s="43"/>
      <c r="F628" s="43"/>
      <c r="G628" s="43"/>
      <c r="H628" s="43"/>
      <c r="I628" s="43"/>
      <c r="J628" s="43"/>
      <c r="K628" s="43"/>
      <c r="L628" s="43"/>
      <c r="M628" s="43"/>
      <c r="N628" s="43"/>
      <c r="O628" s="43"/>
      <c r="P628" s="43"/>
      <c r="Q628" s="43"/>
      <c r="R628" s="43"/>
      <c r="S628" s="43"/>
      <c r="T628" s="49"/>
      <c r="U628" s="49"/>
      <c r="V628" s="49"/>
      <c r="W628" s="49"/>
      <c r="X628" s="49"/>
      <c r="Y628" s="49"/>
      <c r="Z628" s="49"/>
      <c r="AA628" s="49"/>
      <c r="AB628" s="49"/>
      <c r="AC628" s="49"/>
      <c r="AD628" s="49"/>
      <c r="AE628" s="49"/>
    </row>
    <row r="629" spans="1:31">
      <c r="A629" s="43"/>
      <c r="B629" s="43"/>
      <c r="C629" s="43"/>
      <c r="D629" s="43"/>
      <c r="E629" s="43"/>
      <c r="F629" s="43"/>
      <c r="G629" s="43"/>
      <c r="H629" s="43"/>
      <c r="I629" s="43"/>
      <c r="J629" s="43"/>
      <c r="K629" s="43"/>
      <c r="L629" s="43"/>
      <c r="M629" s="43"/>
      <c r="N629" s="43"/>
      <c r="O629" s="43"/>
      <c r="P629" s="43"/>
      <c r="Q629" s="43"/>
      <c r="R629" s="43"/>
      <c r="S629" s="43"/>
      <c r="T629" s="49"/>
      <c r="U629" s="49"/>
      <c r="V629" s="49"/>
      <c r="W629" s="49"/>
      <c r="X629" s="49"/>
      <c r="Y629" s="49"/>
      <c r="Z629" s="49"/>
      <c r="AA629" s="49"/>
      <c r="AB629" s="49"/>
      <c r="AC629" s="49"/>
      <c r="AD629" s="49"/>
      <c r="AE629" s="49"/>
    </row>
    <row r="630" spans="1:31">
      <c r="A630" s="43"/>
      <c r="B630" s="43"/>
      <c r="C630" s="43"/>
      <c r="D630" s="43"/>
      <c r="E630" s="43"/>
      <c r="F630" s="43"/>
      <c r="G630" s="43"/>
      <c r="H630" s="43"/>
      <c r="I630" s="43"/>
      <c r="J630" s="43"/>
      <c r="K630" s="43"/>
      <c r="L630" s="43"/>
      <c r="M630" s="43"/>
      <c r="N630" s="43"/>
      <c r="O630" s="43"/>
      <c r="P630" s="43"/>
      <c r="Q630" s="43"/>
      <c r="R630" s="43"/>
      <c r="S630" s="43"/>
      <c r="T630" s="49"/>
      <c r="U630" s="49"/>
      <c r="V630" s="49"/>
      <c r="W630" s="49"/>
      <c r="X630" s="49"/>
      <c r="Y630" s="49"/>
      <c r="Z630" s="49"/>
      <c r="AA630" s="49"/>
      <c r="AB630" s="49"/>
      <c r="AC630" s="49"/>
      <c r="AD630" s="49"/>
      <c r="AE630" s="49"/>
    </row>
    <row r="631" spans="1:31">
      <c r="A631" s="43"/>
      <c r="B631" s="43"/>
      <c r="C631" s="43"/>
      <c r="D631" s="43"/>
      <c r="E631" s="43"/>
      <c r="F631" s="43"/>
      <c r="G631" s="43"/>
      <c r="H631" s="43"/>
      <c r="I631" s="43"/>
      <c r="J631" s="43"/>
      <c r="K631" s="43"/>
      <c r="L631" s="43"/>
      <c r="M631" s="43"/>
      <c r="N631" s="43"/>
      <c r="O631" s="43"/>
      <c r="P631" s="43"/>
      <c r="Q631" s="43"/>
      <c r="R631" s="43"/>
      <c r="S631" s="43"/>
      <c r="T631" s="49"/>
      <c r="U631" s="49"/>
      <c r="V631" s="49"/>
      <c r="W631" s="49"/>
      <c r="X631" s="49"/>
      <c r="Y631" s="49"/>
      <c r="Z631" s="49"/>
      <c r="AA631" s="49"/>
      <c r="AB631" s="49"/>
      <c r="AC631" s="49"/>
      <c r="AD631" s="49"/>
      <c r="AE631" s="49"/>
    </row>
    <row r="632" spans="1:31">
      <c r="A632" s="43"/>
      <c r="B632" s="43"/>
      <c r="C632" s="43"/>
      <c r="D632" s="43"/>
      <c r="E632" s="43"/>
      <c r="F632" s="43"/>
      <c r="G632" s="43"/>
      <c r="H632" s="43"/>
      <c r="I632" s="43"/>
      <c r="J632" s="43"/>
      <c r="K632" s="43"/>
      <c r="L632" s="43"/>
      <c r="M632" s="43"/>
      <c r="N632" s="43"/>
      <c r="O632" s="43"/>
      <c r="P632" s="43"/>
      <c r="Q632" s="43"/>
      <c r="R632" s="43"/>
      <c r="S632" s="43"/>
      <c r="T632" s="49"/>
      <c r="U632" s="49"/>
      <c r="V632" s="49"/>
      <c r="W632" s="49"/>
      <c r="X632" s="49"/>
      <c r="Y632" s="49"/>
      <c r="Z632" s="49"/>
      <c r="AA632" s="49"/>
      <c r="AB632" s="49"/>
      <c r="AC632" s="49"/>
      <c r="AD632" s="49"/>
      <c r="AE632" s="49"/>
    </row>
    <row r="633" spans="1:31">
      <c r="A633" s="43"/>
      <c r="B633" s="43"/>
      <c r="C633" s="43"/>
      <c r="D633" s="43"/>
      <c r="E633" s="43"/>
      <c r="F633" s="43"/>
      <c r="G633" s="43"/>
      <c r="H633" s="43"/>
      <c r="I633" s="43"/>
      <c r="J633" s="43"/>
      <c r="K633" s="43"/>
      <c r="L633" s="43"/>
      <c r="M633" s="43"/>
      <c r="N633" s="43"/>
      <c r="O633" s="43"/>
      <c r="P633" s="43"/>
      <c r="Q633" s="43"/>
      <c r="R633" s="43"/>
      <c r="S633" s="43"/>
      <c r="T633" s="49"/>
      <c r="U633" s="49"/>
      <c r="V633" s="49"/>
      <c r="W633" s="49"/>
      <c r="X633" s="49"/>
      <c r="Y633" s="49"/>
      <c r="Z633" s="49"/>
      <c r="AA633" s="49"/>
      <c r="AB633" s="49"/>
      <c r="AC633" s="49"/>
      <c r="AD633" s="49"/>
      <c r="AE633" s="49"/>
    </row>
    <row r="634" spans="1:31">
      <c r="A634" s="43"/>
      <c r="B634" s="43"/>
      <c r="C634" s="43"/>
      <c r="D634" s="43"/>
      <c r="E634" s="43"/>
      <c r="F634" s="43"/>
      <c r="G634" s="43"/>
      <c r="H634" s="43"/>
      <c r="I634" s="43"/>
      <c r="J634" s="43"/>
      <c r="K634" s="43"/>
      <c r="L634" s="43"/>
      <c r="M634" s="43"/>
      <c r="N634" s="43"/>
      <c r="O634" s="43"/>
      <c r="P634" s="43"/>
      <c r="Q634" s="43"/>
      <c r="R634" s="43"/>
      <c r="S634" s="43"/>
      <c r="T634" s="49"/>
      <c r="U634" s="49"/>
      <c r="V634" s="49"/>
      <c r="W634" s="49"/>
      <c r="X634" s="49"/>
      <c r="Y634" s="49"/>
      <c r="Z634" s="49"/>
      <c r="AA634" s="49"/>
      <c r="AB634" s="49"/>
      <c r="AC634" s="49"/>
      <c r="AD634" s="49"/>
      <c r="AE634" s="49"/>
    </row>
    <row r="635" spans="1:31">
      <c r="A635" s="43"/>
      <c r="B635" s="43"/>
      <c r="C635" s="43"/>
      <c r="D635" s="43"/>
      <c r="E635" s="43"/>
      <c r="F635" s="43"/>
      <c r="G635" s="43"/>
      <c r="H635" s="43"/>
      <c r="I635" s="43"/>
      <c r="J635" s="43"/>
      <c r="K635" s="43"/>
      <c r="L635" s="43"/>
      <c r="M635" s="43"/>
      <c r="N635" s="43"/>
      <c r="O635" s="43"/>
      <c r="P635" s="43"/>
      <c r="Q635" s="43"/>
      <c r="R635" s="43"/>
      <c r="S635" s="43"/>
      <c r="T635" s="49"/>
      <c r="U635" s="49"/>
      <c r="V635" s="49"/>
      <c r="W635" s="49"/>
      <c r="X635" s="49"/>
      <c r="Y635" s="49"/>
      <c r="Z635" s="49"/>
      <c r="AA635" s="49"/>
      <c r="AB635" s="49"/>
      <c r="AC635" s="49"/>
      <c r="AD635" s="49"/>
      <c r="AE635" s="49"/>
    </row>
    <row r="636" spans="1:31">
      <c r="A636" s="43"/>
      <c r="B636" s="43"/>
      <c r="C636" s="43"/>
      <c r="D636" s="43"/>
      <c r="E636" s="43"/>
      <c r="F636" s="43"/>
      <c r="G636" s="43"/>
      <c r="H636" s="43"/>
      <c r="I636" s="43"/>
      <c r="J636" s="43"/>
      <c r="K636" s="43"/>
      <c r="L636" s="43"/>
      <c r="M636" s="43"/>
      <c r="N636" s="43"/>
      <c r="O636" s="43"/>
      <c r="P636" s="43"/>
      <c r="Q636" s="43"/>
      <c r="R636" s="43"/>
      <c r="S636" s="43"/>
      <c r="T636" s="49"/>
      <c r="U636" s="49"/>
      <c r="V636" s="49"/>
      <c r="W636" s="49"/>
      <c r="X636" s="49"/>
      <c r="Y636" s="49"/>
      <c r="Z636" s="49"/>
      <c r="AA636" s="49"/>
      <c r="AB636" s="49"/>
      <c r="AC636" s="49"/>
      <c r="AD636" s="49"/>
      <c r="AE636" s="49"/>
    </row>
    <row r="637" spans="1:31">
      <c r="A637" s="43"/>
      <c r="B637" s="43"/>
      <c r="C637" s="43"/>
      <c r="D637" s="43"/>
      <c r="E637" s="43"/>
      <c r="F637" s="43"/>
      <c r="G637" s="43"/>
      <c r="H637" s="43"/>
      <c r="I637" s="43"/>
      <c r="J637" s="43"/>
      <c r="K637" s="43"/>
      <c r="L637" s="43"/>
      <c r="M637" s="43"/>
      <c r="N637" s="43"/>
      <c r="O637" s="43"/>
      <c r="P637" s="43"/>
      <c r="Q637" s="43"/>
      <c r="R637" s="43"/>
      <c r="S637" s="43"/>
      <c r="T637" s="49"/>
      <c r="U637" s="49"/>
      <c r="V637" s="49"/>
      <c r="W637" s="49"/>
      <c r="X637" s="49"/>
      <c r="Y637" s="49"/>
      <c r="Z637" s="49"/>
      <c r="AA637" s="49"/>
      <c r="AB637" s="49"/>
      <c r="AC637" s="49"/>
      <c r="AD637" s="49"/>
      <c r="AE637" s="49"/>
    </row>
    <row r="638" spans="1:31">
      <c r="A638" s="43"/>
      <c r="B638" s="43"/>
      <c r="C638" s="43"/>
      <c r="D638" s="43"/>
      <c r="E638" s="43"/>
      <c r="F638" s="43"/>
      <c r="G638" s="43"/>
      <c r="H638" s="43"/>
      <c r="I638" s="43"/>
      <c r="J638" s="43"/>
      <c r="K638" s="43"/>
      <c r="L638" s="43"/>
      <c r="M638" s="43"/>
      <c r="N638" s="43"/>
      <c r="O638" s="43"/>
      <c r="P638" s="43"/>
      <c r="Q638" s="43"/>
      <c r="R638" s="43"/>
      <c r="S638" s="43"/>
      <c r="T638" s="49"/>
      <c r="U638" s="49"/>
      <c r="V638" s="49"/>
      <c r="W638" s="49"/>
      <c r="X638" s="49"/>
      <c r="Y638" s="49"/>
      <c r="Z638" s="49"/>
      <c r="AA638" s="49"/>
      <c r="AB638" s="49"/>
      <c r="AC638" s="49"/>
      <c r="AD638" s="49"/>
      <c r="AE638" s="49"/>
    </row>
    <row r="639" spans="1:31">
      <c r="A639" s="43"/>
      <c r="B639" s="43"/>
      <c r="C639" s="43"/>
      <c r="D639" s="43"/>
      <c r="E639" s="43"/>
      <c r="F639" s="43"/>
      <c r="G639" s="43"/>
      <c r="H639" s="43"/>
      <c r="I639" s="43"/>
      <c r="J639" s="43"/>
      <c r="K639" s="43"/>
      <c r="L639" s="43"/>
      <c r="M639" s="43"/>
      <c r="N639" s="43"/>
      <c r="O639" s="43"/>
      <c r="P639" s="43"/>
      <c r="Q639" s="43"/>
      <c r="R639" s="43"/>
      <c r="S639" s="43"/>
      <c r="T639" s="49"/>
      <c r="U639" s="49"/>
      <c r="V639" s="49"/>
      <c r="W639" s="49"/>
      <c r="X639" s="49"/>
      <c r="Y639" s="49"/>
      <c r="Z639" s="49"/>
      <c r="AA639" s="49"/>
      <c r="AB639" s="49"/>
      <c r="AC639" s="49"/>
      <c r="AD639" s="49"/>
      <c r="AE639" s="49"/>
    </row>
    <row r="640" spans="1:31">
      <c r="A640" s="43"/>
      <c r="B640" s="43"/>
      <c r="C640" s="43"/>
      <c r="D640" s="43"/>
      <c r="E640" s="43"/>
      <c r="F640" s="43"/>
      <c r="G640" s="43"/>
      <c r="H640" s="43"/>
      <c r="I640" s="43"/>
      <c r="J640" s="43"/>
      <c r="K640" s="43"/>
      <c r="L640" s="43"/>
      <c r="M640" s="43"/>
      <c r="N640" s="43"/>
      <c r="O640" s="43"/>
      <c r="P640" s="43"/>
      <c r="Q640" s="43"/>
      <c r="R640" s="43"/>
      <c r="S640" s="43"/>
      <c r="T640" s="49"/>
      <c r="U640" s="49"/>
      <c r="V640" s="49"/>
      <c r="W640" s="49"/>
      <c r="X640" s="49"/>
      <c r="Y640" s="49"/>
      <c r="Z640" s="49"/>
      <c r="AA640" s="49"/>
      <c r="AB640" s="49"/>
      <c r="AC640" s="49"/>
      <c r="AD640" s="49"/>
      <c r="AE640" s="49"/>
    </row>
    <row r="641" spans="1:31">
      <c r="A641" s="43"/>
      <c r="B641" s="43"/>
      <c r="C641" s="43"/>
      <c r="D641" s="43"/>
      <c r="E641" s="43"/>
      <c r="F641" s="43"/>
      <c r="G641" s="43"/>
      <c r="H641" s="43"/>
      <c r="I641" s="43"/>
      <c r="J641" s="43"/>
      <c r="K641" s="43"/>
      <c r="L641" s="43"/>
      <c r="M641" s="43"/>
      <c r="N641" s="43"/>
      <c r="O641" s="43"/>
      <c r="P641" s="43"/>
      <c r="Q641" s="43"/>
      <c r="R641" s="43"/>
      <c r="S641" s="43"/>
      <c r="T641" s="49"/>
      <c r="U641" s="49"/>
      <c r="V641" s="49"/>
      <c r="W641" s="49"/>
      <c r="X641" s="49"/>
      <c r="Y641" s="49"/>
      <c r="Z641" s="49"/>
      <c r="AA641" s="49"/>
      <c r="AB641" s="49"/>
      <c r="AC641" s="49"/>
      <c r="AD641" s="49"/>
      <c r="AE641" s="49"/>
    </row>
    <row r="642" spans="1:31">
      <c r="A642" s="43"/>
      <c r="B642" s="43"/>
      <c r="C642" s="43"/>
      <c r="D642" s="43"/>
      <c r="E642" s="43"/>
      <c r="F642" s="43"/>
      <c r="G642" s="43"/>
      <c r="H642" s="43"/>
      <c r="I642" s="43"/>
      <c r="J642" s="43"/>
      <c r="K642" s="43"/>
      <c r="L642" s="43"/>
      <c r="M642" s="43"/>
      <c r="N642" s="43"/>
      <c r="O642" s="43"/>
      <c r="P642" s="43"/>
      <c r="Q642" s="43"/>
      <c r="R642" s="43"/>
      <c r="S642" s="43"/>
      <c r="T642" s="49"/>
      <c r="U642" s="49"/>
      <c r="V642" s="49"/>
      <c r="W642" s="49"/>
      <c r="X642" s="49"/>
      <c r="Y642" s="49"/>
      <c r="Z642" s="49"/>
      <c r="AA642" s="49"/>
      <c r="AB642" s="49"/>
      <c r="AC642" s="49"/>
      <c r="AD642" s="49"/>
      <c r="AE642" s="49"/>
    </row>
    <row r="643" spans="1:31">
      <c r="A643" s="43"/>
      <c r="B643" s="43"/>
      <c r="C643" s="43"/>
      <c r="D643" s="43"/>
      <c r="E643" s="43"/>
      <c r="F643" s="43"/>
      <c r="G643" s="43"/>
      <c r="H643" s="43"/>
      <c r="I643" s="43"/>
      <c r="J643" s="43"/>
      <c r="K643" s="43"/>
      <c r="L643" s="43"/>
      <c r="M643" s="43"/>
      <c r="N643" s="43"/>
      <c r="O643" s="43"/>
      <c r="P643" s="43"/>
      <c r="Q643" s="43"/>
      <c r="R643" s="43"/>
      <c r="S643" s="43"/>
      <c r="T643" s="49"/>
      <c r="U643" s="49"/>
      <c r="V643" s="49"/>
      <c r="W643" s="49"/>
      <c r="X643" s="49"/>
      <c r="Y643" s="49"/>
      <c r="Z643" s="49"/>
      <c r="AA643" s="49"/>
      <c r="AB643" s="49"/>
      <c r="AC643" s="49"/>
      <c r="AD643" s="49"/>
      <c r="AE643" s="49"/>
    </row>
    <row r="644" spans="1:31">
      <c r="A644" s="43"/>
      <c r="B644" s="43"/>
      <c r="C644" s="43"/>
      <c r="D644" s="43"/>
      <c r="E644" s="43"/>
      <c r="F644" s="43"/>
      <c r="G644" s="43"/>
      <c r="H644" s="43"/>
      <c r="I644" s="43"/>
      <c r="J644" s="43"/>
      <c r="K644" s="43"/>
      <c r="L644" s="43"/>
      <c r="M644" s="43"/>
      <c r="N644" s="43"/>
      <c r="O644" s="43"/>
      <c r="P644" s="43"/>
      <c r="Q644" s="43"/>
      <c r="R644" s="43"/>
      <c r="S644" s="43"/>
      <c r="T644" s="49"/>
      <c r="U644" s="49"/>
      <c r="V644" s="49"/>
      <c r="W644" s="49"/>
      <c r="X644" s="49"/>
      <c r="Y644" s="49"/>
      <c r="Z644" s="49"/>
      <c r="AA644" s="49"/>
      <c r="AB644" s="49"/>
      <c r="AC644" s="49"/>
      <c r="AD644" s="49"/>
      <c r="AE644" s="49"/>
    </row>
    <row r="645" spans="1:31">
      <c r="A645" s="43"/>
      <c r="B645" s="43"/>
      <c r="C645" s="43"/>
      <c r="D645" s="43"/>
      <c r="E645" s="43"/>
      <c r="F645" s="43"/>
      <c r="G645" s="43"/>
      <c r="H645" s="43"/>
      <c r="I645" s="43"/>
      <c r="J645" s="43"/>
      <c r="K645" s="43"/>
      <c r="L645" s="43"/>
      <c r="M645" s="43"/>
      <c r="N645" s="43"/>
      <c r="O645" s="43"/>
      <c r="P645" s="43"/>
      <c r="Q645" s="43"/>
      <c r="R645" s="43"/>
      <c r="S645" s="43"/>
      <c r="T645" s="49"/>
      <c r="U645" s="49"/>
      <c r="V645" s="49"/>
      <c r="W645" s="49"/>
      <c r="X645" s="49"/>
      <c r="Y645" s="49"/>
      <c r="Z645" s="49"/>
      <c r="AA645" s="49"/>
      <c r="AB645" s="49"/>
      <c r="AC645" s="49"/>
      <c r="AD645" s="49"/>
      <c r="AE645" s="49"/>
    </row>
    <row r="646" spans="1:31">
      <c r="A646" s="43"/>
      <c r="B646" s="43"/>
      <c r="C646" s="43"/>
      <c r="D646" s="43"/>
      <c r="E646" s="43"/>
      <c r="F646" s="43"/>
      <c r="G646" s="43"/>
      <c r="H646" s="43"/>
      <c r="I646" s="43"/>
      <c r="J646" s="43"/>
      <c r="K646" s="43"/>
      <c r="L646" s="43"/>
      <c r="M646" s="43"/>
      <c r="N646" s="43"/>
      <c r="O646" s="43"/>
      <c r="P646" s="43"/>
      <c r="Q646" s="43"/>
      <c r="R646" s="43"/>
      <c r="S646" s="43"/>
      <c r="T646" s="49"/>
      <c r="U646" s="49"/>
      <c r="V646" s="49"/>
      <c r="W646" s="49"/>
      <c r="X646" s="49"/>
      <c r="Y646" s="49"/>
      <c r="Z646" s="49"/>
      <c r="AA646" s="49"/>
      <c r="AB646" s="49"/>
      <c r="AC646" s="49"/>
      <c r="AD646" s="49"/>
      <c r="AE646" s="49"/>
    </row>
    <row r="647" spans="1:31">
      <c r="A647" s="43"/>
      <c r="B647" s="43"/>
      <c r="C647" s="43"/>
      <c r="D647" s="43"/>
      <c r="E647" s="43"/>
      <c r="F647" s="43"/>
      <c r="G647" s="43"/>
      <c r="H647" s="43"/>
      <c r="I647" s="43"/>
      <c r="J647" s="43"/>
      <c r="K647" s="43"/>
      <c r="L647" s="43"/>
      <c r="M647" s="43"/>
      <c r="N647" s="43"/>
      <c r="O647" s="43"/>
      <c r="P647" s="43"/>
      <c r="Q647" s="43"/>
      <c r="R647" s="43"/>
      <c r="S647" s="43"/>
      <c r="T647" s="49"/>
      <c r="U647" s="49"/>
      <c r="V647" s="49"/>
      <c r="W647" s="49"/>
      <c r="X647" s="49"/>
      <c r="Y647" s="49"/>
      <c r="Z647" s="49"/>
      <c r="AA647" s="49"/>
      <c r="AB647" s="49"/>
      <c r="AC647" s="49"/>
      <c r="AD647" s="49"/>
      <c r="AE647" s="49"/>
    </row>
    <row r="648" spans="1:31">
      <c r="A648" s="43"/>
      <c r="B648" s="43"/>
      <c r="C648" s="43"/>
      <c r="D648" s="43"/>
      <c r="E648" s="43"/>
      <c r="F648" s="43"/>
      <c r="G648" s="43"/>
      <c r="H648" s="43"/>
      <c r="I648" s="43"/>
      <c r="J648" s="43"/>
      <c r="K648" s="43"/>
      <c r="L648" s="43"/>
      <c r="M648" s="43"/>
      <c r="N648" s="43"/>
      <c r="O648" s="43"/>
      <c r="P648" s="43"/>
      <c r="Q648" s="43"/>
      <c r="R648" s="43"/>
      <c r="S648" s="43"/>
      <c r="T648" s="49"/>
      <c r="U648" s="49"/>
      <c r="V648" s="49"/>
      <c r="W648" s="49"/>
      <c r="X648" s="49"/>
      <c r="Y648" s="49"/>
      <c r="Z648" s="49"/>
      <c r="AA648" s="49"/>
      <c r="AB648" s="49"/>
      <c r="AC648" s="49"/>
      <c r="AD648" s="49"/>
      <c r="AE648" s="49"/>
    </row>
    <row r="649" spans="1:31">
      <c r="A649" s="43"/>
      <c r="B649" s="43"/>
      <c r="C649" s="43"/>
      <c r="D649" s="43"/>
      <c r="E649" s="43"/>
      <c r="F649" s="43"/>
      <c r="G649" s="43"/>
      <c r="H649" s="43"/>
      <c r="I649" s="43"/>
      <c r="J649" s="43"/>
      <c r="K649" s="43"/>
      <c r="L649" s="43"/>
      <c r="M649" s="43"/>
      <c r="N649" s="43"/>
      <c r="O649" s="43"/>
      <c r="P649" s="43"/>
      <c r="Q649" s="43"/>
      <c r="R649" s="43"/>
      <c r="S649" s="43"/>
      <c r="T649" s="49"/>
      <c r="U649" s="49"/>
      <c r="V649" s="49"/>
      <c r="W649" s="49"/>
      <c r="X649" s="49"/>
      <c r="Y649" s="49"/>
      <c r="Z649" s="49"/>
      <c r="AA649" s="49"/>
      <c r="AB649" s="49"/>
      <c r="AC649" s="49"/>
      <c r="AD649" s="49"/>
      <c r="AE649" s="49"/>
    </row>
    <row r="650" spans="1:31">
      <c r="A650" s="43"/>
      <c r="B650" s="43"/>
      <c r="C650" s="43"/>
      <c r="D650" s="43"/>
      <c r="E650" s="43"/>
      <c r="F650" s="43"/>
      <c r="G650" s="43"/>
      <c r="H650" s="43"/>
      <c r="I650" s="43"/>
      <c r="J650" s="43"/>
      <c r="K650" s="43"/>
      <c r="L650" s="43"/>
      <c r="M650" s="43"/>
      <c r="N650" s="43"/>
      <c r="O650" s="43"/>
      <c r="P650" s="43"/>
      <c r="Q650" s="43"/>
      <c r="R650" s="43"/>
      <c r="S650" s="43"/>
      <c r="T650" s="49"/>
      <c r="U650" s="49"/>
      <c r="V650" s="49"/>
      <c r="W650" s="49"/>
      <c r="X650" s="49"/>
      <c r="Y650" s="49"/>
      <c r="Z650" s="49"/>
      <c r="AA650" s="49"/>
      <c r="AB650" s="49"/>
      <c r="AC650" s="49"/>
      <c r="AD650" s="49"/>
      <c r="AE650" s="49"/>
    </row>
    <row r="651" spans="1:31">
      <c r="A651" s="43"/>
      <c r="B651" s="43"/>
      <c r="C651" s="43"/>
      <c r="D651" s="43"/>
      <c r="E651" s="43"/>
      <c r="F651" s="43"/>
      <c r="G651" s="43"/>
      <c r="H651" s="43"/>
      <c r="I651" s="43"/>
      <c r="J651" s="43"/>
      <c r="K651" s="43"/>
      <c r="L651" s="43"/>
      <c r="M651" s="43"/>
      <c r="N651" s="43"/>
      <c r="O651" s="43"/>
      <c r="P651" s="43"/>
      <c r="Q651" s="43"/>
      <c r="R651" s="43"/>
      <c r="S651" s="43"/>
      <c r="T651" s="49"/>
      <c r="U651" s="49"/>
      <c r="V651" s="49"/>
      <c r="W651" s="49"/>
      <c r="X651" s="49"/>
      <c r="Y651" s="49"/>
      <c r="Z651" s="49"/>
      <c r="AA651" s="49"/>
      <c r="AB651" s="49"/>
      <c r="AC651" s="49"/>
      <c r="AD651" s="49"/>
      <c r="AE651" s="49"/>
    </row>
    <row r="652" spans="1:31">
      <c r="A652" s="43"/>
      <c r="B652" s="43"/>
      <c r="C652" s="43"/>
      <c r="D652" s="43"/>
      <c r="E652" s="43"/>
      <c r="F652" s="43"/>
      <c r="G652" s="43"/>
      <c r="H652" s="43"/>
      <c r="I652" s="43"/>
      <c r="J652" s="43"/>
      <c r="K652" s="43"/>
      <c r="L652" s="43"/>
      <c r="M652" s="43"/>
      <c r="N652" s="43"/>
      <c r="O652" s="43"/>
      <c r="P652" s="43"/>
      <c r="Q652" s="43"/>
      <c r="R652" s="43"/>
      <c r="S652" s="43"/>
      <c r="T652" s="49"/>
      <c r="U652" s="49"/>
      <c r="V652" s="49"/>
      <c r="W652" s="49"/>
      <c r="X652" s="49"/>
      <c r="Y652" s="49"/>
      <c r="Z652" s="49"/>
      <c r="AA652" s="49"/>
      <c r="AB652" s="49"/>
      <c r="AC652" s="49"/>
      <c r="AD652" s="49"/>
      <c r="AE652" s="49"/>
    </row>
    <row r="653" spans="1:31">
      <c r="A653" s="43"/>
      <c r="B653" s="43"/>
      <c r="C653" s="43"/>
      <c r="D653" s="43"/>
      <c r="E653" s="43"/>
      <c r="F653" s="43"/>
      <c r="G653" s="43"/>
      <c r="H653" s="43"/>
      <c r="I653" s="43"/>
      <c r="J653" s="43"/>
      <c r="K653" s="43"/>
      <c r="L653" s="43"/>
      <c r="M653" s="43"/>
      <c r="N653" s="43"/>
      <c r="O653" s="43"/>
      <c r="P653" s="43"/>
      <c r="Q653" s="43"/>
      <c r="R653" s="43"/>
      <c r="S653" s="43"/>
      <c r="T653" s="49"/>
      <c r="U653" s="49"/>
      <c r="V653" s="49"/>
      <c r="W653" s="49"/>
      <c r="X653" s="49"/>
      <c r="Y653" s="49"/>
      <c r="Z653" s="49"/>
      <c r="AA653" s="49"/>
      <c r="AB653" s="49"/>
      <c r="AC653" s="49"/>
      <c r="AD653" s="49"/>
      <c r="AE653" s="49"/>
    </row>
    <row r="654" spans="1:31">
      <c r="A654" s="43"/>
      <c r="B654" s="43"/>
      <c r="C654" s="43"/>
      <c r="D654" s="43"/>
      <c r="E654" s="43"/>
      <c r="F654" s="43"/>
      <c r="G654" s="43"/>
      <c r="H654" s="43"/>
      <c r="I654" s="43"/>
      <c r="J654" s="43"/>
      <c r="K654" s="43"/>
      <c r="L654" s="43"/>
      <c r="M654" s="43"/>
      <c r="N654" s="43"/>
      <c r="O654" s="43"/>
      <c r="P654" s="43"/>
      <c r="Q654" s="43"/>
      <c r="R654" s="43"/>
      <c r="S654" s="43"/>
      <c r="T654" s="49"/>
      <c r="U654" s="49"/>
      <c r="V654" s="49"/>
      <c r="W654" s="49"/>
      <c r="X654" s="49"/>
      <c r="Y654" s="49"/>
      <c r="Z654" s="49"/>
      <c r="AA654" s="49"/>
      <c r="AB654" s="49"/>
      <c r="AC654" s="49"/>
      <c r="AD654" s="49"/>
      <c r="AE654" s="49"/>
    </row>
    <row r="655" spans="1:31">
      <c r="A655" s="43"/>
      <c r="B655" s="43"/>
      <c r="C655" s="43"/>
      <c r="D655" s="43"/>
      <c r="E655" s="43"/>
      <c r="F655" s="43"/>
      <c r="G655" s="43"/>
      <c r="H655" s="43"/>
      <c r="I655" s="43"/>
      <c r="J655" s="43"/>
      <c r="K655" s="43"/>
      <c r="L655" s="43"/>
      <c r="M655" s="43"/>
      <c r="N655" s="43"/>
      <c r="O655" s="43"/>
      <c r="P655" s="43"/>
      <c r="Q655" s="43"/>
      <c r="R655" s="43"/>
      <c r="S655" s="43"/>
      <c r="T655" s="49"/>
      <c r="U655" s="49"/>
      <c r="V655" s="49"/>
      <c r="W655" s="49"/>
      <c r="X655" s="49"/>
      <c r="Y655" s="49"/>
      <c r="Z655" s="49"/>
      <c r="AA655" s="49"/>
      <c r="AB655" s="49"/>
      <c r="AC655" s="49"/>
      <c r="AD655" s="49"/>
      <c r="AE655" s="49"/>
    </row>
    <row r="656" spans="1:31">
      <c r="A656" s="43"/>
      <c r="B656" s="43"/>
      <c r="C656" s="43"/>
      <c r="D656" s="43"/>
      <c r="E656" s="43"/>
      <c r="F656" s="43"/>
      <c r="G656" s="43"/>
      <c r="H656" s="43"/>
      <c r="I656" s="43"/>
      <c r="J656" s="43"/>
      <c r="K656" s="43"/>
      <c r="L656" s="43"/>
      <c r="M656" s="43"/>
      <c r="N656" s="43"/>
      <c r="O656" s="43"/>
      <c r="P656" s="43"/>
      <c r="Q656" s="43"/>
      <c r="R656" s="43"/>
      <c r="S656" s="43"/>
      <c r="T656" s="49"/>
      <c r="U656" s="49"/>
      <c r="V656" s="49"/>
      <c r="W656" s="49"/>
      <c r="X656" s="49"/>
      <c r="Y656" s="49"/>
      <c r="Z656" s="49"/>
      <c r="AA656" s="49"/>
      <c r="AB656" s="49"/>
      <c r="AC656" s="49"/>
      <c r="AD656" s="49"/>
      <c r="AE656" s="49"/>
    </row>
    <row r="657" spans="1:31">
      <c r="A657" s="43"/>
      <c r="B657" s="43"/>
      <c r="C657" s="43"/>
      <c r="D657" s="43"/>
      <c r="E657" s="43"/>
      <c r="F657" s="43"/>
      <c r="G657" s="43"/>
      <c r="H657" s="43"/>
      <c r="I657" s="43"/>
      <c r="J657" s="43"/>
      <c r="K657" s="43"/>
      <c r="L657" s="43"/>
      <c r="M657" s="43"/>
      <c r="N657" s="43"/>
      <c r="O657" s="43"/>
      <c r="P657" s="43"/>
      <c r="Q657" s="43"/>
      <c r="R657" s="43"/>
      <c r="S657" s="43"/>
      <c r="T657" s="49"/>
      <c r="U657" s="49"/>
      <c r="V657" s="49"/>
      <c r="W657" s="49"/>
      <c r="X657" s="49"/>
      <c r="Y657" s="49"/>
      <c r="Z657" s="49"/>
      <c r="AA657" s="49"/>
      <c r="AB657" s="49"/>
      <c r="AC657" s="49"/>
      <c r="AD657" s="49"/>
      <c r="AE657" s="49"/>
    </row>
    <row r="658" spans="1:31">
      <c r="A658" s="43"/>
      <c r="B658" s="43"/>
      <c r="C658" s="43"/>
      <c r="D658" s="43"/>
      <c r="E658" s="43"/>
      <c r="F658" s="43"/>
      <c r="G658" s="43"/>
      <c r="H658" s="43"/>
      <c r="I658" s="43"/>
      <c r="J658" s="43"/>
      <c r="K658" s="43"/>
      <c r="L658" s="43"/>
      <c r="M658" s="43"/>
      <c r="N658" s="43"/>
      <c r="O658" s="43"/>
      <c r="P658" s="43"/>
      <c r="Q658" s="43"/>
      <c r="R658" s="43"/>
      <c r="S658" s="43"/>
      <c r="T658" s="49"/>
      <c r="U658" s="49"/>
      <c r="V658" s="49"/>
      <c r="W658" s="49"/>
      <c r="X658" s="49"/>
      <c r="Y658" s="49"/>
      <c r="Z658" s="49"/>
      <c r="AA658" s="49"/>
      <c r="AB658" s="49"/>
      <c r="AC658" s="49"/>
      <c r="AD658" s="49"/>
      <c r="AE658" s="49"/>
    </row>
    <row r="659" spans="1:31">
      <c r="A659" s="43"/>
      <c r="B659" s="43"/>
      <c r="C659" s="43"/>
      <c r="D659" s="43"/>
      <c r="E659" s="43"/>
      <c r="F659" s="43"/>
      <c r="G659" s="43"/>
      <c r="H659" s="43"/>
      <c r="I659" s="43"/>
      <c r="J659" s="43"/>
      <c r="K659" s="43"/>
      <c r="L659" s="43"/>
      <c r="M659" s="43"/>
      <c r="N659" s="43"/>
      <c r="O659" s="43"/>
      <c r="P659" s="43"/>
      <c r="Q659" s="43"/>
      <c r="R659" s="43"/>
      <c r="S659" s="43"/>
      <c r="T659" s="49"/>
      <c r="U659" s="49"/>
      <c r="V659" s="49"/>
      <c r="W659" s="49"/>
      <c r="X659" s="49"/>
      <c r="Y659" s="49"/>
      <c r="Z659" s="49"/>
      <c r="AA659" s="49"/>
      <c r="AB659" s="49"/>
      <c r="AC659" s="49"/>
      <c r="AD659" s="49"/>
      <c r="AE659" s="49"/>
    </row>
    <row r="660" spans="1:31">
      <c r="A660" s="43"/>
      <c r="B660" s="43"/>
      <c r="C660" s="43"/>
      <c r="D660" s="43"/>
      <c r="E660" s="43"/>
      <c r="F660" s="43"/>
      <c r="G660" s="43"/>
      <c r="H660" s="43"/>
      <c r="I660" s="43"/>
      <c r="J660" s="43"/>
      <c r="K660" s="43"/>
      <c r="L660" s="43"/>
      <c r="M660" s="43"/>
      <c r="N660" s="43"/>
      <c r="O660" s="43"/>
      <c r="P660" s="43"/>
      <c r="Q660" s="43"/>
      <c r="R660" s="43"/>
      <c r="S660" s="43"/>
      <c r="T660" s="49"/>
      <c r="U660" s="49"/>
      <c r="V660" s="49"/>
      <c r="W660" s="49"/>
      <c r="X660" s="49"/>
      <c r="Y660" s="49"/>
      <c r="Z660" s="49"/>
      <c r="AA660" s="49"/>
      <c r="AB660" s="49"/>
      <c r="AC660" s="49"/>
      <c r="AD660" s="49"/>
      <c r="AE660" s="49"/>
    </row>
    <row r="661" spans="1:31">
      <c r="A661" s="43"/>
      <c r="B661" s="43"/>
      <c r="C661" s="43"/>
      <c r="D661" s="43"/>
      <c r="E661" s="43"/>
      <c r="F661" s="43"/>
      <c r="G661" s="43"/>
      <c r="H661" s="43"/>
      <c r="I661" s="43"/>
      <c r="J661" s="43"/>
      <c r="K661" s="43"/>
      <c r="L661" s="43"/>
      <c r="M661" s="43"/>
      <c r="N661" s="43"/>
      <c r="O661" s="43"/>
      <c r="P661" s="43"/>
      <c r="Q661" s="43"/>
      <c r="R661" s="43"/>
      <c r="S661" s="43"/>
      <c r="T661" s="49"/>
      <c r="U661" s="49"/>
      <c r="V661" s="49"/>
      <c r="W661" s="49"/>
      <c r="X661" s="49"/>
      <c r="Y661" s="49"/>
      <c r="Z661" s="49"/>
      <c r="AA661" s="49"/>
      <c r="AB661" s="49"/>
      <c r="AC661" s="49"/>
      <c r="AD661" s="49"/>
      <c r="AE661" s="49"/>
    </row>
    <row r="662" spans="1:31">
      <c r="A662" s="43"/>
      <c r="B662" s="43"/>
      <c r="C662" s="43"/>
      <c r="D662" s="43"/>
      <c r="E662" s="43"/>
      <c r="F662" s="43"/>
      <c r="G662" s="43"/>
      <c r="H662" s="43"/>
      <c r="I662" s="43"/>
      <c r="J662" s="43"/>
      <c r="K662" s="43"/>
      <c r="L662" s="43"/>
      <c r="M662" s="43"/>
      <c r="N662" s="43"/>
      <c r="O662" s="43"/>
      <c r="P662" s="43"/>
      <c r="Q662" s="43"/>
      <c r="R662" s="43"/>
      <c r="S662" s="43"/>
      <c r="T662" s="49"/>
      <c r="U662" s="49"/>
      <c r="V662" s="49"/>
      <c r="W662" s="49"/>
      <c r="X662" s="49"/>
      <c r="Y662" s="49"/>
      <c r="Z662" s="49"/>
      <c r="AA662" s="49"/>
      <c r="AB662" s="49"/>
      <c r="AC662" s="49"/>
      <c r="AD662" s="49"/>
      <c r="AE662" s="49"/>
    </row>
    <row r="663" spans="1:31">
      <c r="A663" s="43"/>
      <c r="B663" s="43"/>
      <c r="C663" s="43"/>
      <c r="D663" s="43"/>
      <c r="E663" s="43"/>
      <c r="F663" s="43"/>
      <c r="G663" s="43"/>
      <c r="H663" s="43"/>
      <c r="I663" s="43"/>
      <c r="J663" s="43"/>
      <c r="K663" s="43"/>
      <c r="L663" s="43"/>
      <c r="M663" s="43"/>
      <c r="N663" s="43"/>
      <c r="O663" s="43"/>
      <c r="P663" s="43"/>
      <c r="Q663" s="43"/>
      <c r="R663" s="43"/>
      <c r="S663" s="43"/>
      <c r="T663" s="49"/>
      <c r="U663" s="49"/>
      <c r="V663" s="49"/>
      <c r="W663" s="49"/>
      <c r="X663" s="49"/>
      <c r="Y663" s="49"/>
      <c r="Z663" s="49"/>
      <c r="AA663" s="49"/>
      <c r="AB663" s="49"/>
      <c r="AC663" s="49"/>
      <c r="AD663" s="49"/>
      <c r="AE663" s="49"/>
    </row>
    <row r="664" spans="1:31">
      <c r="A664" s="43"/>
      <c r="B664" s="43"/>
      <c r="C664" s="43"/>
      <c r="D664" s="43"/>
      <c r="E664" s="43"/>
      <c r="F664" s="43"/>
      <c r="G664" s="43"/>
      <c r="H664" s="43"/>
      <c r="I664" s="43"/>
      <c r="J664" s="43"/>
      <c r="K664" s="43"/>
      <c r="L664" s="43"/>
      <c r="M664" s="43"/>
      <c r="N664" s="43"/>
      <c r="O664" s="43"/>
      <c r="P664" s="43"/>
      <c r="Q664" s="43"/>
      <c r="R664" s="43"/>
      <c r="S664" s="43"/>
      <c r="T664" s="49"/>
      <c r="U664" s="49"/>
      <c r="V664" s="49"/>
      <c r="W664" s="49"/>
      <c r="X664" s="49"/>
      <c r="Y664" s="49"/>
      <c r="Z664" s="49"/>
      <c r="AA664" s="49"/>
      <c r="AB664" s="49"/>
      <c r="AC664" s="49"/>
      <c r="AD664" s="49"/>
      <c r="AE664" s="49"/>
    </row>
    <row r="665" spans="1:31">
      <c r="A665" s="43"/>
      <c r="B665" s="43"/>
      <c r="C665" s="43"/>
      <c r="D665" s="43"/>
      <c r="E665" s="43"/>
      <c r="F665" s="43"/>
      <c r="G665" s="43"/>
      <c r="H665" s="43"/>
      <c r="I665" s="43"/>
      <c r="J665" s="43"/>
      <c r="K665" s="43"/>
      <c r="L665" s="43"/>
      <c r="M665" s="43"/>
      <c r="N665" s="43"/>
      <c r="O665" s="43"/>
      <c r="P665" s="43"/>
      <c r="Q665" s="43"/>
      <c r="R665" s="43"/>
      <c r="S665" s="43"/>
      <c r="T665" s="49"/>
      <c r="U665" s="49"/>
      <c r="V665" s="49"/>
      <c r="W665" s="49"/>
      <c r="X665" s="49"/>
      <c r="Y665" s="49"/>
      <c r="Z665" s="49"/>
      <c r="AA665" s="49"/>
      <c r="AB665" s="49"/>
      <c r="AC665" s="49"/>
      <c r="AD665" s="49"/>
      <c r="AE665" s="49"/>
    </row>
    <row r="666" spans="1:31">
      <c r="A666" s="43"/>
      <c r="B666" s="43"/>
      <c r="C666" s="43"/>
      <c r="D666" s="43"/>
      <c r="E666" s="43"/>
      <c r="F666" s="43"/>
      <c r="G666" s="43"/>
      <c r="H666" s="43"/>
      <c r="I666" s="43"/>
      <c r="J666" s="43"/>
      <c r="K666" s="43"/>
      <c r="L666" s="43"/>
      <c r="M666" s="43"/>
      <c r="N666" s="43"/>
      <c r="O666" s="43"/>
      <c r="P666" s="43"/>
      <c r="Q666" s="43"/>
      <c r="R666" s="43"/>
      <c r="S666" s="43"/>
      <c r="T666" s="49"/>
      <c r="U666" s="49"/>
      <c r="V666" s="49"/>
      <c r="W666" s="49"/>
      <c r="X666" s="49"/>
      <c r="Y666" s="49"/>
      <c r="Z666" s="49"/>
      <c r="AA666" s="49"/>
      <c r="AB666" s="49"/>
      <c r="AC666" s="49"/>
      <c r="AD666" s="49"/>
      <c r="AE666" s="49"/>
    </row>
    <row r="667" spans="1:31">
      <c r="A667" s="43"/>
      <c r="B667" s="43"/>
      <c r="C667" s="43"/>
      <c r="D667" s="43"/>
      <c r="E667" s="43"/>
      <c r="F667" s="43"/>
      <c r="G667" s="43"/>
      <c r="H667" s="43"/>
      <c r="I667" s="43"/>
      <c r="J667" s="43"/>
      <c r="K667" s="43"/>
      <c r="L667" s="43"/>
      <c r="M667" s="43"/>
      <c r="N667" s="43"/>
      <c r="O667" s="43"/>
      <c r="P667" s="43"/>
      <c r="Q667" s="43"/>
      <c r="R667" s="43"/>
      <c r="S667" s="43"/>
      <c r="T667" s="49"/>
      <c r="U667" s="49"/>
      <c r="V667" s="49"/>
      <c r="W667" s="49"/>
      <c r="X667" s="49"/>
      <c r="Y667" s="49"/>
      <c r="Z667" s="49"/>
      <c r="AA667" s="49"/>
      <c r="AB667" s="49"/>
      <c r="AC667" s="49"/>
      <c r="AD667" s="49"/>
      <c r="AE667" s="49"/>
    </row>
    <row r="668" spans="1:31">
      <c r="A668" s="43"/>
      <c r="B668" s="43"/>
      <c r="C668" s="43"/>
      <c r="D668" s="43"/>
      <c r="E668" s="43"/>
      <c r="F668" s="43"/>
      <c r="G668" s="43"/>
      <c r="H668" s="43"/>
      <c r="I668" s="43"/>
      <c r="J668" s="43"/>
      <c r="K668" s="43"/>
      <c r="L668" s="43"/>
      <c r="M668" s="43"/>
      <c r="N668" s="43"/>
      <c r="O668" s="43"/>
      <c r="P668" s="43"/>
      <c r="Q668" s="43"/>
      <c r="R668" s="43"/>
      <c r="S668" s="43"/>
      <c r="T668" s="49"/>
      <c r="U668" s="49"/>
      <c r="V668" s="49"/>
      <c r="W668" s="49"/>
      <c r="X668" s="49"/>
      <c r="Y668" s="49"/>
      <c r="Z668" s="49"/>
      <c r="AA668" s="49"/>
      <c r="AB668" s="49"/>
      <c r="AC668" s="49"/>
      <c r="AD668" s="49"/>
      <c r="AE668" s="49"/>
    </row>
    <row r="669" spans="1:31">
      <c r="A669" s="43"/>
      <c r="B669" s="43"/>
      <c r="C669" s="43"/>
      <c r="D669" s="43"/>
      <c r="E669" s="43"/>
      <c r="F669" s="43"/>
      <c r="G669" s="43"/>
      <c r="H669" s="43"/>
      <c r="I669" s="43"/>
      <c r="J669" s="43"/>
      <c r="K669" s="43"/>
      <c r="L669" s="43"/>
      <c r="M669" s="43"/>
      <c r="N669" s="43"/>
      <c r="O669" s="43"/>
      <c r="P669" s="43"/>
      <c r="Q669" s="43"/>
      <c r="R669" s="43"/>
      <c r="S669" s="43"/>
      <c r="T669" s="49"/>
      <c r="U669" s="49"/>
      <c r="V669" s="49"/>
      <c r="W669" s="49"/>
      <c r="X669" s="49"/>
      <c r="Y669" s="49"/>
      <c r="Z669" s="49"/>
      <c r="AA669" s="49"/>
      <c r="AB669" s="49"/>
      <c r="AC669" s="49"/>
      <c r="AD669" s="49"/>
      <c r="AE669" s="49"/>
    </row>
    <row r="670" spans="1:31">
      <c r="A670" s="43"/>
      <c r="B670" s="43"/>
      <c r="C670" s="43"/>
      <c r="D670" s="43"/>
      <c r="E670" s="43"/>
      <c r="F670" s="43"/>
      <c r="G670" s="43"/>
      <c r="H670" s="43"/>
      <c r="I670" s="43"/>
      <c r="J670" s="43"/>
      <c r="K670" s="43"/>
      <c r="L670" s="43"/>
      <c r="M670" s="43"/>
      <c r="N670" s="43"/>
      <c r="O670" s="43"/>
      <c r="P670" s="43"/>
      <c r="Q670" s="43"/>
      <c r="R670" s="43"/>
      <c r="S670" s="43"/>
      <c r="T670" s="49"/>
      <c r="U670" s="49"/>
      <c r="V670" s="49"/>
      <c r="W670" s="49"/>
      <c r="X670" s="49"/>
      <c r="Y670" s="49"/>
      <c r="Z670" s="49"/>
      <c r="AA670" s="49"/>
      <c r="AB670" s="49"/>
      <c r="AC670" s="49"/>
      <c r="AD670" s="49"/>
      <c r="AE670" s="49"/>
    </row>
    <row r="671" spans="1:31">
      <c r="A671" s="43"/>
      <c r="B671" s="43"/>
      <c r="C671" s="43"/>
      <c r="D671" s="43"/>
      <c r="E671" s="43"/>
      <c r="F671" s="43"/>
      <c r="G671" s="43"/>
      <c r="H671" s="43"/>
      <c r="I671" s="43"/>
      <c r="J671" s="43"/>
      <c r="K671" s="43"/>
      <c r="L671" s="43"/>
      <c r="M671" s="43"/>
      <c r="N671" s="43"/>
      <c r="O671" s="43"/>
      <c r="P671" s="43"/>
      <c r="Q671" s="43"/>
      <c r="R671" s="43"/>
      <c r="S671" s="43"/>
      <c r="T671" s="49"/>
      <c r="U671" s="49"/>
      <c r="V671" s="49"/>
      <c r="W671" s="49"/>
      <c r="X671" s="49"/>
      <c r="Y671" s="49"/>
      <c r="Z671" s="49"/>
      <c r="AA671" s="49"/>
      <c r="AB671" s="49"/>
      <c r="AC671" s="49"/>
      <c r="AD671" s="49"/>
      <c r="AE671" s="49"/>
    </row>
    <row r="672" spans="1:31">
      <c r="A672" s="43"/>
      <c r="B672" s="43"/>
      <c r="C672" s="43"/>
      <c r="D672" s="43"/>
      <c r="E672" s="43"/>
      <c r="F672" s="43"/>
      <c r="G672" s="43"/>
      <c r="H672" s="43"/>
      <c r="I672" s="43"/>
      <c r="J672" s="43"/>
      <c r="K672" s="43"/>
      <c r="L672" s="43"/>
      <c r="M672" s="43"/>
      <c r="N672" s="43"/>
      <c r="O672" s="43"/>
      <c r="P672" s="43"/>
      <c r="Q672" s="43"/>
      <c r="R672" s="43"/>
      <c r="S672" s="43"/>
      <c r="T672" s="49"/>
      <c r="U672" s="49"/>
      <c r="V672" s="49"/>
      <c r="W672" s="49"/>
      <c r="X672" s="49"/>
      <c r="Y672" s="49"/>
      <c r="Z672" s="49"/>
      <c r="AA672" s="49"/>
      <c r="AB672" s="49"/>
      <c r="AC672" s="49"/>
      <c r="AD672" s="49"/>
      <c r="AE672" s="49"/>
    </row>
    <row r="673" spans="1:31">
      <c r="A673" s="43"/>
      <c r="B673" s="43"/>
      <c r="C673" s="43"/>
      <c r="D673" s="43"/>
      <c r="E673" s="43"/>
      <c r="F673" s="43"/>
      <c r="G673" s="43"/>
      <c r="H673" s="43"/>
      <c r="I673" s="43"/>
      <c r="J673" s="43"/>
      <c r="K673" s="43"/>
      <c r="L673" s="43"/>
      <c r="M673" s="43"/>
      <c r="N673" s="43"/>
      <c r="O673" s="43"/>
      <c r="P673" s="43"/>
      <c r="Q673" s="43"/>
      <c r="R673" s="43"/>
      <c r="S673" s="43"/>
      <c r="T673" s="49"/>
      <c r="U673" s="49"/>
      <c r="V673" s="49"/>
      <c r="W673" s="49"/>
      <c r="X673" s="49"/>
      <c r="Y673" s="49"/>
      <c r="Z673" s="49"/>
      <c r="AA673" s="49"/>
      <c r="AB673" s="49"/>
      <c r="AC673" s="49"/>
      <c r="AD673" s="49"/>
      <c r="AE673" s="49"/>
    </row>
    <row r="674" spans="1:31">
      <c r="A674" s="43"/>
      <c r="B674" s="43"/>
      <c r="C674" s="43"/>
      <c r="D674" s="43"/>
      <c r="E674" s="43"/>
      <c r="F674" s="43"/>
      <c r="G674" s="43"/>
      <c r="H674" s="43"/>
      <c r="I674" s="43"/>
      <c r="J674" s="43"/>
      <c r="K674" s="43"/>
      <c r="L674" s="43"/>
      <c r="M674" s="43"/>
      <c r="N674" s="43"/>
      <c r="O674" s="43"/>
      <c r="P674" s="43"/>
      <c r="Q674" s="43"/>
      <c r="R674" s="43"/>
      <c r="S674" s="43"/>
      <c r="T674" s="49"/>
      <c r="U674" s="49"/>
      <c r="V674" s="49"/>
      <c r="W674" s="49"/>
      <c r="X674" s="49"/>
      <c r="Y674" s="49"/>
      <c r="Z674" s="49"/>
      <c r="AA674" s="49"/>
      <c r="AB674" s="49"/>
      <c r="AC674" s="49"/>
      <c r="AD674" s="49"/>
      <c r="AE674" s="49"/>
    </row>
    <row r="675" spans="1:31">
      <c r="A675" s="43"/>
      <c r="B675" s="43"/>
      <c r="C675" s="43"/>
      <c r="D675" s="43"/>
      <c r="E675" s="43"/>
      <c r="F675" s="43"/>
      <c r="G675" s="43"/>
      <c r="H675" s="43"/>
      <c r="I675" s="43"/>
      <c r="J675" s="43"/>
      <c r="K675" s="43"/>
      <c r="L675" s="43"/>
      <c r="M675" s="43"/>
      <c r="N675" s="43"/>
      <c r="O675" s="43"/>
      <c r="P675" s="43"/>
      <c r="Q675" s="43"/>
      <c r="R675" s="43"/>
      <c r="S675" s="43"/>
      <c r="T675" s="49"/>
      <c r="U675" s="49"/>
      <c r="V675" s="49"/>
      <c r="W675" s="49"/>
      <c r="X675" s="49"/>
      <c r="Y675" s="49"/>
      <c r="Z675" s="49"/>
      <c r="AA675" s="49"/>
      <c r="AB675" s="49"/>
      <c r="AC675" s="49"/>
      <c r="AD675" s="49"/>
      <c r="AE675" s="49"/>
    </row>
    <row r="676" spans="1:31">
      <c r="A676" s="43"/>
      <c r="B676" s="43"/>
      <c r="C676" s="43"/>
      <c r="D676" s="43"/>
      <c r="E676" s="43"/>
      <c r="F676" s="43"/>
      <c r="G676" s="43"/>
      <c r="H676" s="43"/>
      <c r="I676" s="43"/>
      <c r="J676" s="43"/>
      <c r="K676" s="43"/>
      <c r="L676" s="43"/>
      <c r="M676" s="43"/>
      <c r="N676" s="43"/>
      <c r="O676" s="43"/>
      <c r="P676" s="43"/>
      <c r="Q676" s="43"/>
      <c r="R676" s="43"/>
      <c r="S676" s="43"/>
      <c r="T676" s="49"/>
      <c r="U676" s="49"/>
      <c r="V676" s="49"/>
      <c r="W676" s="49"/>
      <c r="X676" s="49"/>
      <c r="Y676" s="49"/>
      <c r="Z676" s="49"/>
      <c r="AA676" s="49"/>
      <c r="AB676" s="49"/>
      <c r="AC676" s="49"/>
      <c r="AD676" s="49"/>
      <c r="AE676" s="49"/>
    </row>
    <row r="677" spans="1:31">
      <c r="A677" s="43"/>
      <c r="B677" s="43"/>
      <c r="C677" s="43"/>
      <c r="D677" s="43"/>
      <c r="E677" s="43"/>
      <c r="F677" s="43"/>
      <c r="G677" s="43"/>
      <c r="H677" s="43"/>
      <c r="I677" s="43"/>
      <c r="J677" s="43"/>
      <c r="K677" s="43"/>
      <c r="L677" s="43"/>
      <c r="M677" s="43"/>
      <c r="N677" s="43"/>
      <c r="O677" s="43"/>
      <c r="P677" s="43"/>
      <c r="Q677" s="43"/>
      <c r="R677" s="43"/>
      <c r="S677" s="43"/>
      <c r="T677" s="49"/>
      <c r="U677" s="49"/>
      <c r="V677" s="49"/>
      <c r="W677" s="49"/>
      <c r="X677" s="49"/>
      <c r="Y677" s="49"/>
      <c r="Z677" s="49"/>
      <c r="AA677" s="49"/>
      <c r="AB677" s="49"/>
      <c r="AC677" s="49"/>
      <c r="AD677" s="49"/>
      <c r="AE677" s="49"/>
    </row>
    <row r="678" spans="1:31">
      <c r="A678" s="43"/>
      <c r="B678" s="43"/>
      <c r="C678" s="43"/>
      <c r="D678" s="43"/>
      <c r="E678" s="43"/>
      <c r="F678" s="43"/>
      <c r="G678" s="43"/>
      <c r="H678" s="43"/>
      <c r="I678" s="43"/>
      <c r="J678" s="43"/>
      <c r="K678" s="43"/>
      <c r="L678" s="43"/>
      <c r="M678" s="43"/>
      <c r="N678" s="43"/>
      <c r="O678" s="43"/>
      <c r="P678" s="43"/>
      <c r="Q678" s="43"/>
      <c r="R678" s="43"/>
      <c r="S678" s="43"/>
      <c r="T678" s="49"/>
      <c r="U678" s="49"/>
      <c r="V678" s="49"/>
      <c r="W678" s="49"/>
      <c r="X678" s="49"/>
      <c r="Y678" s="49"/>
      <c r="Z678" s="49"/>
      <c r="AA678" s="49"/>
      <c r="AB678" s="49"/>
      <c r="AC678" s="49"/>
      <c r="AD678" s="49"/>
      <c r="AE678" s="49"/>
    </row>
    <row r="679" spans="1:31">
      <c r="A679" s="43"/>
      <c r="B679" s="43"/>
      <c r="C679" s="43"/>
      <c r="D679" s="43"/>
      <c r="E679" s="43"/>
      <c r="F679" s="43"/>
      <c r="G679" s="43"/>
      <c r="H679" s="43"/>
      <c r="I679" s="43"/>
      <c r="J679" s="43"/>
      <c r="K679" s="43"/>
      <c r="L679" s="43"/>
      <c r="M679" s="43"/>
      <c r="N679" s="43"/>
      <c r="O679" s="43"/>
      <c r="P679" s="43"/>
      <c r="Q679" s="43"/>
      <c r="R679" s="43"/>
      <c r="S679" s="43"/>
      <c r="T679" s="49"/>
      <c r="U679" s="49"/>
      <c r="V679" s="49"/>
      <c r="W679" s="49"/>
      <c r="X679" s="49"/>
      <c r="Y679" s="49"/>
      <c r="Z679" s="49"/>
      <c r="AA679" s="49"/>
      <c r="AB679" s="49"/>
      <c r="AC679" s="49"/>
      <c r="AD679" s="49"/>
      <c r="AE679" s="49"/>
    </row>
    <row r="680" spans="1:31">
      <c r="A680" s="43"/>
      <c r="B680" s="43"/>
      <c r="C680" s="43"/>
      <c r="D680" s="43"/>
      <c r="E680" s="43"/>
      <c r="F680" s="43"/>
      <c r="G680" s="43"/>
      <c r="H680" s="43"/>
      <c r="I680" s="43"/>
      <c r="J680" s="43"/>
      <c r="K680" s="43"/>
      <c r="L680" s="43"/>
      <c r="M680" s="43"/>
      <c r="N680" s="43"/>
      <c r="O680" s="43"/>
      <c r="P680" s="43"/>
      <c r="Q680" s="43"/>
      <c r="R680" s="43"/>
      <c r="S680" s="43"/>
      <c r="T680" s="49"/>
      <c r="U680" s="49"/>
      <c r="V680" s="49"/>
      <c r="W680" s="49"/>
      <c r="X680" s="49"/>
      <c r="Y680" s="49"/>
      <c r="Z680" s="49"/>
      <c r="AA680" s="49"/>
      <c r="AB680" s="49"/>
      <c r="AC680" s="49"/>
      <c r="AD680" s="49"/>
      <c r="AE680" s="49"/>
    </row>
    <row r="681" spans="1:31">
      <c r="A681" s="43"/>
      <c r="B681" s="43"/>
      <c r="C681" s="43"/>
      <c r="D681" s="43"/>
      <c r="E681" s="43"/>
      <c r="F681" s="43"/>
      <c r="G681" s="43"/>
      <c r="H681" s="43"/>
      <c r="I681" s="43"/>
      <c r="J681" s="43"/>
      <c r="K681" s="43"/>
      <c r="L681" s="43"/>
      <c r="M681" s="43"/>
      <c r="N681" s="43"/>
      <c r="O681" s="43"/>
      <c r="P681" s="43"/>
      <c r="Q681" s="43"/>
      <c r="R681" s="43"/>
      <c r="S681" s="43"/>
      <c r="T681" s="49"/>
      <c r="U681" s="49"/>
      <c r="V681" s="49"/>
      <c r="W681" s="49"/>
      <c r="X681" s="49"/>
      <c r="Y681" s="49"/>
      <c r="Z681" s="49"/>
      <c r="AA681" s="49"/>
      <c r="AB681" s="49"/>
      <c r="AC681" s="49"/>
      <c r="AD681" s="49"/>
      <c r="AE681" s="49"/>
    </row>
    <row r="682" spans="1:31">
      <c r="A682" s="43"/>
      <c r="B682" s="43"/>
      <c r="C682" s="43"/>
      <c r="D682" s="43"/>
      <c r="E682" s="43"/>
      <c r="F682" s="43"/>
      <c r="G682" s="43"/>
      <c r="H682" s="43"/>
      <c r="I682" s="43"/>
      <c r="J682" s="43"/>
      <c r="K682" s="43"/>
      <c r="L682" s="43"/>
      <c r="M682" s="43"/>
      <c r="N682" s="43"/>
      <c r="O682" s="43"/>
      <c r="P682" s="43"/>
      <c r="Q682" s="43"/>
      <c r="R682" s="43"/>
      <c r="S682" s="43"/>
      <c r="T682" s="49"/>
      <c r="U682" s="49"/>
      <c r="V682" s="49"/>
      <c r="W682" s="49"/>
      <c r="X682" s="49"/>
      <c r="Y682" s="49"/>
      <c r="Z682" s="49"/>
      <c r="AA682" s="49"/>
      <c r="AB682" s="49"/>
      <c r="AC682" s="49"/>
      <c r="AD682" s="49"/>
      <c r="AE682" s="49"/>
    </row>
    <row r="683" spans="1:31">
      <c r="A683" s="43"/>
      <c r="B683" s="43"/>
      <c r="C683" s="43"/>
      <c r="D683" s="43"/>
      <c r="E683" s="43"/>
      <c r="F683" s="43"/>
      <c r="G683" s="43"/>
      <c r="H683" s="43"/>
      <c r="I683" s="43"/>
      <c r="J683" s="43"/>
      <c r="K683" s="43"/>
      <c r="L683" s="43"/>
      <c r="M683" s="43"/>
      <c r="N683" s="43"/>
      <c r="O683" s="43"/>
      <c r="P683" s="43"/>
      <c r="Q683" s="43"/>
      <c r="R683" s="43"/>
      <c r="S683" s="43"/>
      <c r="T683" s="49"/>
      <c r="U683" s="49"/>
      <c r="V683" s="49"/>
      <c r="W683" s="49"/>
      <c r="X683" s="49"/>
      <c r="Y683" s="49"/>
      <c r="Z683" s="49"/>
      <c r="AA683" s="49"/>
      <c r="AB683" s="49"/>
      <c r="AC683" s="49"/>
      <c r="AD683" s="49"/>
      <c r="AE683" s="49"/>
    </row>
    <row r="684" spans="1:31">
      <c r="A684" s="43"/>
      <c r="B684" s="43"/>
      <c r="C684" s="43"/>
      <c r="D684" s="43"/>
      <c r="E684" s="43"/>
      <c r="F684" s="43"/>
      <c r="G684" s="43"/>
      <c r="H684" s="43"/>
      <c r="I684" s="43"/>
      <c r="J684" s="43"/>
      <c r="K684" s="43"/>
      <c r="L684" s="43"/>
      <c r="M684" s="43"/>
      <c r="N684" s="43"/>
      <c r="O684" s="43"/>
      <c r="P684" s="43"/>
      <c r="Q684" s="43"/>
      <c r="R684" s="43"/>
      <c r="S684" s="43"/>
      <c r="T684" s="49"/>
      <c r="U684" s="49"/>
      <c r="V684" s="49"/>
      <c r="W684" s="49"/>
      <c r="X684" s="49"/>
      <c r="Y684" s="49"/>
      <c r="Z684" s="49"/>
      <c r="AA684" s="49"/>
      <c r="AB684" s="49"/>
      <c r="AC684" s="49"/>
      <c r="AD684" s="49"/>
      <c r="AE684" s="49"/>
    </row>
    <row r="685" spans="1:31">
      <c r="A685" s="43"/>
      <c r="B685" s="43"/>
      <c r="C685" s="43"/>
      <c r="D685" s="43"/>
      <c r="E685" s="43"/>
      <c r="F685" s="43"/>
      <c r="G685" s="43"/>
      <c r="H685" s="43"/>
      <c r="I685" s="43"/>
      <c r="J685" s="43"/>
      <c r="K685" s="43"/>
      <c r="L685" s="43"/>
      <c r="M685" s="43"/>
      <c r="N685" s="43"/>
      <c r="O685" s="43"/>
      <c r="P685" s="43"/>
      <c r="Q685" s="43"/>
      <c r="R685" s="43"/>
      <c r="S685" s="43"/>
      <c r="T685" s="49"/>
      <c r="U685" s="49"/>
      <c r="V685" s="49"/>
      <c r="W685" s="49"/>
      <c r="X685" s="49"/>
      <c r="Y685" s="49"/>
      <c r="Z685" s="49"/>
      <c r="AA685" s="49"/>
      <c r="AB685" s="49"/>
      <c r="AC685" s="49"/>
      <c r="AD685" s="49"/>
      <c r="AE685" s="49"/>
    </row>
    <row r="686" spans="1:31">
      <c r="A686" s="43"/>
      <c r="B686" s="43"/>
      <c r="C686" s="43"/>
      <c r="D686" s="43"/>
      <c r="E686" s="43"/>
      <c r="F686" s="43"/>
      <c r="G686" s="43"/>
      <c r="H686" s="43"/>
      <c r="I686" s="43"/>
      <c r="J686" s="43"/>
      <c r="K686" s="43"/>
      <c r="L686" s="43"/>
      <c r="M686" s="43"/>
      <c r="N686" s="43"/>
      <c r="O686" s="43"/>
      <c r="P686" s="43"/>
      <c r="Q686" s="43"/>
      <c r="R686" s="43"/>
      <c r="S686" s="43"/>
      <c r="T686" s="49"/>
      <c r="U686" s="49"/>
      <c r="V686" s="49"/>
      <c r="W686" s="49"/>
      <c r="X686" s="49"/>
      <c r="Y686" s="49"/>
      <c r="Z686" s="49"/>
      <c r="AA686" s="49"/>
      <c r="AB686" s="49"/>
      <c r="AC686" s="49"/>
      <c r="AD686" s="49"/>
      <c r="AE686" s="49"/>
    </row>
    <row r="687" spans="1:31">
      <c r="A687" s="43"/>
      <c r="B687" s="43"/>
      <c r="C687" s="43"/>
      <c r="D687" s="43"/>
      <c r="E687" s="43"/>
      <c r="F687" s="43"/>
      <c r="G687" s="43"/>
      <c r="H687" s="43"/>
      <c r="I687" s="43"/>
      <c r="J687" s="43"/>
      <c r="K687" s="43"/>
      <c r="L687" s="43"/>
      <c r="M687" s="43"/>
      <c r="N687" s="43"/>
      <c r="O687" s="43"/>
      <c r="P687" s="43"/>
      <c r="Q687" s="43"/>
      <c r="R687" s="43"/>
      <c r="S687" s="43"/>
      <c r="T687" s="49"/>
      <c r="U687" s="49"/>
      <c r="V687" s="49"/>
      <c r="W687" s="49"/>
      <c r="X687" s="49"/>
      <c r="Y687" s="49"/>
      <c r="Z687" s="49"/>
      <c r="AA687" s="49"/>
      <c r="AB687" s="49"/>
      <c r="AC687" s="49"/>
      <c r="AD687" s="49"/>
      <c r="AE687" s="49"/>
    </row>
    <row r="688" spans="1:31">
      <c r="A688" s="43"/>
      <c r="B688" s="43"/>
      <c r="C688" s="43"/>
      <c r="D688" s="43"/>
      <c r="E688" s="43"/>
      <c r="F688" s="43"/>
      <c r="G688" s="43"/>
      <c r="H688" s="43"/>
      <c r="I688" s="43"/>
      <c r="J688" s="43"/>
      <c r="K688" s="43"/>
      <c r="L688" s="43"/>
      <c r="M688" s="43"/>
      <c r="N688" s="43"/>
      <c r="O688" s="43"/>
      <c r="P688" s="43"/>
      <c r="Q688" s="43"/>
      <c r="R688" s="43"/>
      <c r="S688" s="43"/>
      <c r="T688" s="49"/>
      <c r="U688" s="49"/>
      <c r="V688" s="49"/>
      <c r="W688" s="49"/>
      <c r="X688" s="49"/>
      <c r="Y688" s="49"/>
      <c r="Z688" s="49"/>
      <c r="AA688" s="49"/>
      <c r="AB688" s="49"/>
      <c r="AC688" s="49"/>
      <c r="AD688" s="49"/>
      <c r="AE688" s="49"/>
    </row>
    <row r="689" spans="1:31">
      <c r="A689" s="43"/>
      <c r="B689" s="43"/>
      <c r="C689" s="43"/>
      <c r="D689" s="43"/>
      <c r="E689" s="43"/>
      <c r="F689" s="43"/>
      <c r="G689" s="43"/>
      <c r="H689" s="43"/>
      <c r="I689" s="43"/>
      <c r="J689" s="43"/>
      <c r="K689" s="43"/>
      <c r="L689" s="43"/>
      <c r="M689" s="43"/>
      <c r="N689" s="43"/>
      <c r="O689" s="43"/>
      <c r="P689" s="43"/>
      <c r="Q689" s="43"/>
      <c r="R689" s="43"/>
      <c r="S689" s="43"/>
      <c r="T689" s="49"/>
      <c r="U689" s="49"/>
      <c r="V689" s="49"/>
      <c r="W689" s="49"/>
      <c r="X689" s="49"/>
      <c r="Y689" s="49"/>
      <c r="Z689" s="49"/>
      <c r="AA689" s="49"/>
      <c r="AB689" s="49"/>
      <c r="AC689" s="49"/>
      <c r="AD689" s="49"/>
      <c r="AE689" s="49"/>
    </row>
    <row r="690" spans="1:31">
      <c r="A690" s="43"/>
      <c r="B690" s="43"/>
      <c r="C690" s="43"/>
      <c r="D690" s="43"/>
      <c r="E690" s="43"/>
      <c r="F690" s="43"/>
      <c r="G690" s="43"/>
      <c r="H690" s="43"/>
      <c r="I690" s="43"/>
      <c r="J690" s="43"/>
      <c r="K690" s="43"/>
      <c r="L690" s="43"/>
      <c r="M690" s="43"/>
      <c r="N690" s="43"/>
      <c r="O690" s="43"/>
      <c r="P690" s="43"/>
      <c r="Q690" s="43"/>
      <c r="R690" s="43"/>
      <c r="S690" s="43"/>
      <c r="T690" s="49"/>
      <c r="U690" s="49"/>
      <c r="V690" s="49"/>
      <c r="W690" s="49"/>
      <c r="X690" s="49"/>
      <c r="Y690" s="49"/>
      <c r="Z690" s="49"/>
      <c r="AA690" s="49"/>
      <c r="AB690" s="49"/>
      <c r="AC690" s="49"/>
      <c r="AD690" s="49"/>
      <c r="AE690" s="49"/>
    </row>
    <row r="691" spans="1:31">
      <c r="A691" s="43"/>
      <c r="B691" s="43"/>
      <c r="C691" s="43"/>
      <c r="D691" s="43"/>
      <c r="E691" s="43"/>
      <c r="F691" s="43"/>
      <c r="G691" s="43"/>
      <c r="H691" s="43"/>
      <c r="I691" s="43"/>
      <c r="J691" s="43"/>
      <c r="K691" s="43"/>
      <c r="L691" s="43"/>
      <c r="M691" s="43"/>
      <c r="N691" s="43"/>
      <c r="O691" s="43"/>
      <c r="P691" s="43"/>
      <c r="Q691" s="43"/>
      <c r="R691" s="43"/>
      <c r="S691" s="43"/>
      <c r="T691" s="49"/>
      <c r="U691" s="49"/>
      <c r="V691" s="49"/>
      <c r="W691" s="49"/>
      <c r="X691" s="49"/>
      <c r="Y691" s="49"/>
      <c r="Z691" s="49"/>
      <c r="AA691" s="49"/>
      <c r="AB691" s="49"/>
      <c r="AC691" s="49"/>
      <c r="AD691" s="49"/>
      <c r="AE691" s="49"/>
    </row>
    <row r="692" spans="1:31">
      <c r="A692" s="43"/>
      <c r="B692" s="43"/>
      <c r="C692" s="43"/>
      <c r="D692" s="43"/>
      <c r="E692" s="43"/>
      <c r="F692" s="43"/>
      <c r="G692" s="43"/>
      <c r="H692" s="43"/>
      <c r="I692" s="43"/>
      <c r="J692" s="43"/>
      <c r="K692" s="43"/>
      <c r="L692" s="43"/>
      <c r="M692" s="43"/>
      <c r="N692" s="43"/>
      <c r="O692" s="43"/>
      <c r="P692" s="43"/>
      <c r="Q692" s="43"/>
      <c r="R692" s="43"/>
      <c r="S692" s="43"/>
      <c r="T692" s="49"/>
      <c r="U692" s="49"/>
      <c r="V692" s="49"/>
      <c r="W692" s="49"/>
      <c r="X692" s="49"/>
      <c r="Y692" s="49"/>
      <c r="Z692" s="49"/>
      <c r="AA692" s="49"/>
      <c r="AB692" s="49"/>
      <c r="AC692" s="49"/>
      <c r="AD692" s="49"/>
      <c r="AE692" s="49"/>
    </row>
    <row r="693" spans="1:31">
      <c r="A693" s="43"/>
      <c r="B693" s="43"/>
      <c r="C693" s="43"/>
      <c r="D693" s="43"/>
      <c r="E693" s="43"/>
      <c r="F693" s="43"/>
      <c r="G693" s="43"/>
      <c r="H693" s="43"/>
      <c r="I693" s="43"/>
      <c r="J693" s="43"/>
      <c r="K693" s="43"/>
      <c r="L693" s="43"/>
      <c r="M693" s="43"/>
      <c r="N693" s="43"/>
      <c r="O693" s="43"/>
      <c r="P693" s="43"/>
      <c r="Q693" s="43"/>
      <c r="R693" s="43"/>
      <c r="S693" s="43"/>
      <c r="T693" s="49"/>
      <c r="U693" s="49"/>
      <c r="V693" s="49"/>
      <c r="W693" s="49"/>
      <c r="X693" s="49"/>
      <c r="Y693" s="49"/>
      <c r="Z693" s="49"/>
      <c r="AA693" s="49"/>
      <c r="AB693" s="49"/>
      <c r="AC693" s="49"/>
      <c r="AD693" s="49"/>
      <c r="AE693" s="49"/>
    </row>
    <row r="694" spans="1:31">
      <c r="A694" s="43"/>
      <c r="B694" s="43"/>
      <c r="C694" s="43"/>
      <c r="D694" s="43"/>
      <c r="E694" s="43"/>
      <c r="F694" s="43"/>
      <c r="G694" s="43"/>
      <c r="H694" s="43"/>
      <c r="I694" s="43"/>
      <c r="J694" s="43"/>
      <c r="K694" s="43"/>
      <c r="L694" s="43"/>
      <c r="M694" s="43"/>
      <c r="N694" s="43"/>
      <c r="O694" s="43"/>
      <c r="P694" s="43"/>
      <c r="Q694" s="43"/>
      <c r="R694" s="43"/>
      <c r="S694" s="43"/>
      <c r="T694" s="49"/>
      <c r="U694" s="49"/>
      <c r="V694" s="49"/>
      <c r="W694" s="49"/>
      <c r="X694" s="49"/>
      <c r="Y694" s="49"/>
      <c r="Z694" s="49"/>
      <c r="AA694" s="49"/>
      <c r="AB694" s="49"/>
      <c r="AC694" s="49"/>
      <c r="AD694" s="49"/>
      <c r="AE694" s="49"/>
    </row>
    <row r="695" spans="1:31">
      <c r="A695" s="43"/>
      <c r="B695" s="43"/>
      <c r="C695" s="43"/>
      <c r="D695" s="43"/>
      <c r="E695" s="43"/>
      <c r="F695" s="43"/>
      <c r="G695" s="43"/>
      <c r="H695" s="43"/>
      <c r="I695" s="43"/>
      <c r="J695" s="43"/>
      <c r="K695" s="43"/>
      <c r="L695" s="43"/>
      <c r="M695" s="43"/>
      <c r="N695" s="43"/>
      <c r="O695" s="43"/>
      <c r="P695" s="43"/>
      <c r="Q695" s="43"/>
      <c r="R695" s="43"/>
      <c r="S695" s="43"/>
      <c r="T695" s="49"/>
      <c r="U695" s="49"/>
      <c r="V695" s="49"/>
      <c r="W695" s="49"/>
      <c r="X695" s="49"/>
      <c r="Y695" s="49"/>
      <c r="Z695" s="49"/>
      <c r="AA695" s="49"/>
      <c r="AB695" s="49"/>
      <c r="AC695" s="49"/>
      <c r="AD695" s="49"/>
      <c r="AE695" s="49"/>
    </row>
    <row r="696" spans="1:31">
      <c r="A696" s="43"/>
      <c r="B696" s="43"/>
      <c r="C696" s="43"/>
      <c r="D696" s="43"/>
      <c r="E696" s="43"/>
      <c r="F696" s="43"/>
      <c r="G696" s="43"/>
      <c r="H696" s="43"/>
      <c r="I696" s="43"/>
      <c r="J696" s="43"/>
      <c r="K696" s="43"/>
      <c r="L696" s="43"/>
      <c r="M696" s="43"/>
      <c r="N696" s="43"/>
      <c r="O696" s="43"/>
      <c r="P696" s="43"/>
      <c r="Q696" s="43"/>
      <c r="R696" s="43"/>
      <c r="S696" s="43"/>
      <c r="T696" s="49"/>
      <c r="U696" s="49"/>
      <c r="V696" s="49"/>
      <c r="W696" s="49"/>
      <c r="X696" s="49"/>
      <c r="Y696" s="49"/>
      <c r="Z696" s="49"/>
      <c r="AA696" s="49"/>
      <c r="AB696" s="49"/>
      <c r="AC696" s="49"/>
      <c r="AD696" s="49"/>
      <c r="AE696" s="49"/>
    </row>
    <row r="697" spans="1:31">
      <c r="A697" s="43"/>
      <c r="B697" s="43"/>
      <c r="C697" s="43"/>
      <c r="D697" s="43"/>
      <c r="E697" s="43"/>
      <c r="F697" s="43"/>
      <c r="G697" s="43"/>
      <c r="H697" s="43"/>
      <c r="I697" s="43"/>
      <c r="J697" s="43"/>
      <c r="K697" s="43"/>
      <c r="L697" s="43"/>
      <c r="M697" s="43"/>
      <c r="N697" s="43"/>
      <c r="O697" s="43"/>
      <c r="P697" s="43"/>
      <c r="Q697" s="43"/>
      <c r="R697" s="43"/>
      <c r="S697" s="43"/>
      <c r="T697" s="49"/>
      <c r="U697" s="49"/>
      <c r="V697" s="49"/>
      <c r="W697" s="49"/>
      <c r="X697" s="49"/>
      <c r="Y697" s="49"/>
      <c r="Z697" s="49"/>
      <c r="AA697" s="49"/>
      <c r="AB697" s="49"/>
      <c r="AC697" s="49"/>
      <c r="AD697" s="49"/>
      <c r="AE697" s="49"/>
    </row>
    <row r="698" spans="1:31">
      <c r="A698" s="43"/>
      <c r="B698" s="43"/>
      <c r="C698" s="43"/>
      <c r="D698" s="43"/>
      <c r="E698" s="43"/>
      <c r="F698" s="43"/>
      <c r="G698" s="43"/>
      <c r="H698" s="43"/>
      <c r="I698" s="43"/>
      <c r="J698" s="43"/>
      <c r="K698" s="43"/>
      <c r="L698" s="43"/>
      <c r="M698" s="43"/>
      <c r="N698" s="43"/>
      <c r="O698" s="43"/>
      <c r="P698" s="43"/>
      <c r="Q698" s="43"/>
      <c r="R698" s="43"/>
      <c r="S698" s="43"/>
      <c r="T698" s="49"/>
      <c r="U698" s="49"/>
      <c r="V698" s="49"/>
      <c r="W698" s="49"/>
      <c r="X698" s="49"/>
      <c r="Y698" s="49"/>
      <c r="Z698" s="49"/>
      <c r="AA698" s="49"/>
      <c r="AB698" s="49"/>
      <c r="AC698" s="49"/>
      <c r="AD698" s="49"/>
      <c r="AE698" s="49"/>
    </row>
    <row r="699" spans="1:31">
      <c r="A699" s="43"/>
      <c r="B699" s="43"/>
      <c r="C699" s="43"/>
      <c r="D699" s="43"/>
      <c r="E699" s="43"/>
      <c r="F699" s="43"/>
      <c r="G699" s="43"/>
      <c r="H699" s="43"/>
      <c r="I699" s="43"/>
      <c r="J699" s="43"/>
      <c r="K699" s="43"/>
      <c r="L699" s="43"/>
      <c r="M699" s="43"/>
      <c r="N699" s="43"/>
      <c r="O699" s="43"/>
      <c r="P699" s="43"/>
      <c r="Q699" s="43"/>
      <c r="R699" s="43"/>
      <c r="S699" s="43"/>
      <c r="T699" s="49"/>
      <c r="U699" s="49"/>
      <c r="V699" s="49"/>
      <c r="W699" s="49"/>
      <c r="X699" s="49"/>
      <c r="Y699" s="49"/>
      <c r="Z699" s="49"/>
      <c r="AA699" s="49"/>
      <c r="AB699" s="49"/>
      <c r="AC699" s="49"/>
      <c r="AD699" s="49"/>
      <c r="AE699" s="49"/>
    </row>
    <row r="700" spans="1:31">
      <c r="A700" s="43"/>
      <c r="B700" s="43"/>
      <c r="C700" s="43"/>
      <c r="D700" s="43"/>
      <c r="E700" s="43"/>
      <c r="F700" s="43"/>
      <c r="G700" s="43"/>
      <c r="H700" s="43"/>
      <c r="I700" s="43"/>
      <c r="J700" s="43"/>
      <c r="K700" s="43"/>
      <c r="L700" s="43"/>
      <c r="M700" s="43"/>
      <c r="N700" s="43"/>
      <c r="O700" s="43"/>
      <c r="P700" s="43"/>
      <c r="Q700" s="43"/>
      <c r="R700" s="43"/>
      <c r="S700" s="43"/>
      <c r="T700" s="49"/>
      <c r="U700" s="49"/>
      <c r="V700" s="49"/>
      <c r="W700" s="49"/>
      <c r="X700" s="49"/>
      <c r="Y700" s="49"/>
      <c r="Z700" s="49"/>
      <c r="AA700" s="49"/>
      <c r="AB700" s="49"/>
      <c r="AC700" s="49"/>
      <c r="AD700" s="49"/>
      <c r="AE700" s="49"/>
    </row>
    <row r="701" spans="1:31">
      <c r="A701" s="43"/>
      <c r="B701" s="43"/>
      <c r="C701" s="43"/>
      <c r="D701" s="43"/>
      <c r="E701" s="43"/>
      <c r="F701" s="43"/>
      <c r="G701" s="43"/>
      <c r="H701" s="43"/>
      <c r="I701" s="43"/>
      <c r="J701" s="43"/>
      <c r="K701" s="43"/>
      <c r="L701" s="43"/>
      <c r="M701" s="43"/>
      <c r="N701" s="43"/>
      <c r="O701" s="43"/>
      <c r="P701" s="43"/>
      <c r="Q701" s="43"/>
      <c r="R701" s="43"/>
      <c r="S701" s="43"/>
      <c r="T701" s="49"/>
      <c r="U701" s="49"/>
      <c r="V701" s="49"/>
      <c r="W701" s="49"/>
      <c r="X701" s="49"/>
      <c r="Y701" s="49"/>
      <c r="Z701" s="49"/>
      <c r="AA701" s="49"/>
      <c r="AB701" s="49"/>
      <c r="AC701" s="49"/>
      <c r="AD701" s="49"/>
      <c r="AE701" s="49"/>
    </row>
    <row r="702" spans="1:31">
      <c r="A702" s="43"/>
      <c r="B702" s="43"/>
      <c r="C702" s="43"/>
      <c r="D702" s="43"/>
      <c r="E702" s="43"/>
      <c r="F702" s="43"/>
      <c r="G702" s="43"/>
      <c r="H702" s="43"/>
      <c r="I702" s="43"/>
      <c r="J702" s="43"/>
      <c r="K702" s="43"/>
      <c r="L702" s="43"/>
      <c r="M702" s="43"/>
      <c r="N702" s="43"/>
      <c r="O702" s="43"/>
      <c r="P702" s="43"/>
      <c r="Q702" s="43"/>
      <c r="R702" s="43"/>
      <c r="S702" s="43"/>
      <c r="T702" s="49"/>
      <c r="U702" s="49"/>
      <c r="V702" s="49"/>
      <c r="W702" s="49"/>
      <c r="X702" s="49"/>
      <c r="Y702" s="49"/>
      <c r="Z702" s="49"/>
      <c r="AA702" s="49"/>
      <c r="AB702" s="49"/>
      <c r="AC702" s="49"/>
      <c r="AD702" s="49"/>
      <c r="AE702" s="49"/>
    </row>
    <row r="703" spans="1:31">
      <c r="A703" s="43"/>
      <c r="B703" s="43"/>
      <c r="C703" s="43"/>
      <c r="D703" s="43"/>
      <c r="E703" s="43"/>
      <c r="F703" s="43"/>
      <c r="G703" s="43"/>
      <c r="H703" s="43"/>
      <c r="I703" s="43"/>
      <c r="J703" s="43"/>
      <c r="K703" s="43"/>
      <c r="L703" s="43"/>
      <c r="M703" s="43"/>
      <c r="N703" s="43"/>
      <c r="O703" s="43"/>
      <c r="P703" s="43"/>
      <c r="Q703" s="43"/>
      <c r="R703" s="43"/>
      <c r="S703" s="43"/>
      <c r="T703" s="49"/>
      <c r="U703" s="49"/>
      <c r="V703" s="49"/>
      <c r="W703" s="49"/>
      <c r="X703" s="49"/>
      <c r="Y703" s="49"/>
      <c r="Z703" s="49"/>
      <c r="AA703" s="49"/>
      <c r="AB703" s="49"/>
      <c r="AC703" s="49"/>
      <c r="AD703" s="49"/>
      <c r="AE703" s="49"/>
    </row>
    <row r="704" spans="1:31">
      <c r="A704" s="43"/>
      <c r="B704" s="43"/>
      <c r="C704" s="43"/>
      <c r="D704" s="43"/>
      <c r="E704" s="43"/>
      <c r="F704" s="43"/>
      <c r="G704" s="43"/>
      <c r="H704" s="43"/>
      <c r="I704" s="43"/>
      <c r="J704" s="43"/>
      <c r="K704" s="43"/>
      <c r="L704" s="43"/>
      <c r="M704" s="43"/>
      <c r="N704" s="43"/>
      <c r="O704" s="43"/>
      <c r="P704" s="43"/>
      <c r="Q704" s="43"/>
      <c r="R704" s="43"/>
      <c r="S704" s="43"/>
      <c r="T704" s="49"/>
      <c r="U704" s="49"/>
      <c r="V704" s="49"/>
      <c r="W704" s="49"/>
      <c r="X704" s="49"/>
      <c r="Y704" s="49"/>
      <c r="Z704" s="49"/>
      <c r="AA704" s="49"/>
      <c r="AB704" s="49"/>
      <c r="AC704" s="49"/>
      <c r="AD704" s="49"/>
      <c r="AE704" s="49"/>
    </row>
    <row r="705" spans="1:31">
      <c r="A705" s="43"/>
      <c r="B705" s="43"/>
      <c r="C705" s="43"/>
      <c r="D705" s="43"/>
      <c r="E705" s="43"/>
      <c r="F705" s="43"/>
      <c r="G705" s="43"/>
      <c r="H705" s="43"/>
      <c r="I705" s="43"/>
      <c r="J705" s="43"/>
      <c r="K705" s="43"/>
      <c r="L705" s="43"/>
      <c r="M705" s="43"/>
      <c r="N705" s="43"/>
      <c r="O705" s="43"/>
      <c r="P705" s="43"/>
      <c r="Q705" s="43"/>
      <c r="R705" s="43"/>
      <c r="S705" s="43"/>
      <c r="T705" s="49"/>
      <c r="U705" s="49"/>
      <c r="V705" s="49"/>
      <c r="W705" s="49"/>
      <c r="X705" s="49"/>
      <c r="Y705" s="49"/>
      <c r="Z705" s="49"/>
      <c r="AA705" s="49"/>
      <c r="AB705" s="49"/>
      <c r="AC705" s="49"/>
      <c r="AD705" s="49"/>
      <c r="AE705" s="49"/>
    </row>
    <row r="706" spans="1:31">
      <c r="A706" s="43"/>
      <c r="B706" s="43"/>
      <c r="C706" s="43"/>
      <c r="D706" s="43"/>
      <c r="E706" s="43"/>
      <c r="F706" s="43"/>
      <c r="G706" s="43"/>
      <c r="H706" s="43"/>
      <c r="I706" s="43"/>
      <c r="J706" s="43"/>
      <c r="K706" s="43"/>
      <c r="L706" s="43"/>
      <c r="M706" s="43"/>
      <c r="N706" s="43"/>
      <c r="O706" s="43"/>
      <c r="P706" s="43"/>
      <c r="Q706" s="43"/>
      <c r="R706" s="43"/>
      <c r="S706" s="43"/>
      <c r="T706" s="49"/>
      <c r="U706" s="49"/>
      <c r="V706" s="49"/>
      <c r="W706" s="49"/>
      <c r="X706" s="49"/>
      <c r="Y706" s="49"/>
      <c r="Z706" s="49"/>
      <c r="AA706" s="49"/>
      <c r="AB706" s="49"/>
      <c r="AC706" s="49"/>
      <c r="AD706" s="49"/>
      <c r="AE706" s="49"/>
    </row>
    <row r="707" spans="1:31">
      <c r="A707" s="43"/>
      <c r="B707" s="43"/>
      <c r="C707" s="43"/>
      <c r="D707" s="43"/>
      <c r="E707" s="43"/>
      <c r="F707" s="43"/>
      <c r="G707" s="43"/>
      <c r="H707" s="43"/>
      <c r="I707" s="43"/>
      <c r="J707" s="43"/>
      <c r="K707" s="43"/>
      <c r="L707" s="43"/>
      <c r="M707" s="43"/>
      <c r="N707" s="43"/>
      <c r="O707" s="43"/>
      <c r="P707" s="43"/>
      <c r="Q707" s="43"/>
      <c r="R707" s="43"/>
      <c r="S707" s="43"/>
      <c r="T707" s="49"/>
      <c r="U707" s="49"/>
      <c r="V707" s="49"/>
      <c r="W707" s="49"/>
      <c r="X707" s="49"/>
      <c r="Y707" s="49"/>
      <c r="Z707" s="49"/>
      <c r="AA707" s="49"/>
      <c r="AB707" s="49"/>
      <c r="AC707" s="49"/>
      <c r="AD707" s="49"/>
      <c r="AE707" s="49"/>
    </row>
    <row r="708" spans="1:31">
      <c r="A708" s="43"/>
      <c r="B708" s="43"/>
      <c r="C708" s="43"/>
      <c r="D708" s="43"/>
      <c r="E708" s="43"/>
      <c r="F708" s="43"/>
      <c r="G708" s="43"/>
      <c r="H708" s="43"/>
      <c r="I708" s="43"/>
      <c r="J708" s="43"/>
      <c r="K708" s="43"/>
      <c r="L708" s="43"/>
      <c r="M708" s="43"/>
      <c r="N708" s="43"/>
      <c r="O708" s="43"/>
      <c r="P708" s="43"/>
      <c r="Q708" s="43"/>
      <c r="R708" s="43"/>
      <c r="S708" s="43"/>
      <c r="T708" s="49"/>
      <c r="U708" s="49"/>
      <c r="V708" s="49"/>
      <c r="W708" s="49"/>
      <c r="X708" s="49"/>
      <c r="Y708" s="49"/>
      <c r="Z708" s="49"/>
      <c r="AA708" s="49"/>
      <c r="AB708" s="49"/>
      <c r="AC708" s="49"/>
      <c r="AD708" s="49"/>
      <c r="AE708" s="49"/>
    </row>
    <row r="709" spans="1:31">
      <c r="A709" s="43"/>
      <c r="B709" s="43"/>
      <c r="C709" s="43"/>
      <c r="D709" s="43"/>
      <c r="E709" s="43"/>
      <c r="F709" s="43"/>
      <c r="G709" s="43"/>
      <c r="H709" s="43"/>
      <c r="I709" s="43"/>
      <c r="J709" s="43"/>
      <c r="K709" s="43"/>
      <c r="L709" s="43"/>
      <c r="M709" s="43"/>
      <c r="N709" s="43"/>
      <c r="O709" s="43"/>
      <c r="P709" s="43"/>
      <c r="Q709" s="43"/>
      <c r="R709" s="43"/>
      <c r="S709" s="43"/>
      <c r="T709" s="49"/>
      <c r="U709" s="49"/>
      <c r="V709" s="49"/>
      <c r="W709" s="49"/>
      <c r="X709" s="49"/>
      <c r="Y709" s="49"/>
      <c r="Z709" s="49"/>
      <c r="AA709" s="49"/>
      <c r="AB709" s="49"/>
      <c r="AC709" s="49"/>
      <c r="AD709" s="49"/>
      <c r="AE709" s="49"/>
    </row>
    <row r="710" spans="1:31">
      <c r="A710" s="43"/>
      <c r="B710" s="43"/>
      <c r="C710" s="43"/>
      <c r="D710" s="43"/>
      <c r="E710" s="43"/>
      <c r="F710" s="43"/>
      <c r="G710" s="43"/>
      <c r="H710" s="43"/>
      <c r="I710" s="43"/>
      <c r="J710" s="43"/>
      <c r="K710" s="43"/>
      <c r="L710" s="43"/>
      <c r="M710" s="43"/>
      <c r="N710" s="43"/>
      <c r="O710" s="43"/>
      <c r="P710" s="43"/>
      <c r="Q710" s="43"/>
      <c r="R710" s="43"/>
      <c r="S710" s="43"/>
      <c r="T710" s="49"/>
      <c r="U710" s="49"/>
      <c r="V710" s="49"/>
      <c r="W710" s="49"/>
      <c r="X710" s="49"/>
      <c r="Y710" s="49"/>
      <c r="Z710" s="49"/>
      <c r="AA710" s="49"/>
      <c r="AB710" s="49"/>
      <c r="AC710" s="49"/>
      <c r="AD710" s="49"/>
      <c r="AE710" s="49"/>
    </row>
    <row r="711" spans="1:31">
      <c r="A711" s="43"/>
      <c r="B711" s="43"/>
      <c r="C711" s="43"/>
      <c r="D711" s="43"/>
      <c r="E711" s="43"/>
      <c r="F711" s="43"/>
      <c r="G711" s="43"/>
      <c r="H711" s="43"/>
      <c r="I711" s="43"/>
      <c r="J711" s="43"/>
      <c r="K711" s="43"/>
      <c r="L711" s="43"/>
      <c r="M711" s="43"/>
      <c r="N711" s="43"/>
      <c r="O711" s="43"/>
      <c r="P711" s="43"/>
      <c r="Q711" s="43"/>
      <c r="R711" s="43"/>
      <c r="S711" s="43"/>
      <c r="T711" s="49"/>
      <c r="U711" s="49"/>
      <c r="V711" s="49"/>
      <c r="W711" s="49"/>
      <c r="X711" s="49"/>
      <c r="Y711" s="49"/>
      <c r="Z711" s="49"/>
      <c r="AA711" s="49"/>
      <c r="AB711" s="49"/>
      <c r="AC711" s="49"/>
      <c r="AD711" s="49"/>
      <c r="AE711" s="49"/>
    </row>
    <row r="712" spans="1:31">
      <c r="A712" s="43"/>
      <c r="B712" s="43"/>
      <c r="C712" s="43"/>
      <c r="D712" s="43"/>
      <c r="E712" s="43"/>
      <c r="F712" s="43"/>
      <c r="G712" s="43"/>
      <c r="H712" s="43"/>
      <c r="I712" s="43"/>
      <c r="J712" s="43"/>
      <c r="K712" s="43"/>
      <c r="L712" s="43"/>
      <c r="M712" s="43"/>
      <c r="N712" s="43"/>
      <c r="O712" s="43"/>
      <c r="P712" s="43"/>
      <c r="Q712" s="43"/>
      <c r="R712" s="43"/>
      <c r="S712" s="43"/>
      <c r="T712" s="49"/>
      <c r="U712" s="49"/>
      <c r="V712" s="49"/>
      <c r="W712" s="49"/>
      <c r="X712" s="49"/>
      <c r="Y712" s="49"/>
      <c r="Z712" s="49"/>
      <c r="AA712" s="49"/>
      <c r="AB712" s="49"/>
      <c r="AC712" s="49"/>
      <c r="AD712" s="49"/>
      <c r="AE712" s="49"/>
    </row>
    <row r="713" spans="1:31">
      <c r="A713" s="43"/>
      <c r="B713" s="43"/>
      <c r="C713" s="43"/>
      <c r="D713" s="43"/>
      <c r="E713" s="43"/>
      <c r="F713" s="43"/>
      <c r="G713" s="43"/>
      <c r="H713" s="43"/>
      <c r="I713" s="43"/>
      <c r="J713" s="43"/>
      <c r="K713" s="43"/>
      <c r="L713" s="43"/>
      <c r="M713" s="43"/>
      <c r="N713" s="43"/>
      <c r="O713" s="43"/>
      <c r="P713" s="43"/>
      <c r="Q713" s="43"/>
      <c r="R713" s="43"/>
      <c r="S713" s="43"/>
      <c r="T713" s="49"/>
      <c r="U713" s="49"/>
      <c r="V713" s="49"/>
      <c r="W713" s="49"/>
      <c r="X713" s="49"/>
      <c r="Y713" s="49"/>
      <c r="Z713" s="49"/>
      <c r="AA713" s="49"/>
      <c r="AB713" s="49"/>
      <c r="AC713" s="49"/>
      <c r="AD713" s="49"/>
      <c r="AE713" s="49"/>
    </row>
    <row r="714" spans="1:31">
      <c r="A714" s="43"/>
      <c r="B714" s="43"/>
      <c r="C714" s="43"/>
      <c r="D714" s="43"/>
      <c r="E714" s="43"/>
      <c r="F714" s="43"/>
      <c r="G714" s="43"/>
      <c r="H714" s="43"/>
      <c r="I714" s="43"/>
      <c r="J714" s="43"/>
      <c r="K714" s="43"/>
      <c r="L714" s="43"/>
      <c r="M714" s="43"/>
      <c r="N714" s="43"/>
      <c r="O714" s="43"/>
      <c r="P714" s="43"/>
      <c r="Q714" s="43"/>
      <c r="R714" s="43"/>
      <c r="S714" s="43"/>
      <c r="T714" s="49"/>
      <c r="U714" s="49"/>
      <c r="V714" s="49"/>
      <c r="W714" s="49"/>
      <c r="X714" s="49"/>
      <c r="Y714" s="49"/>
      <c r="Z714" s="49"/>
      <c r="AA714" s="49"/>
      <c r="AB714" s="49"/>
      <c r="AC714" s="49"/>
      <c r="AD714" s="49"/>
      <c r="AE714" s="49"/>
    </row>
    <row r="715" spans="1:31">
      <c r="A715" s="43"/>
      <c r="B715" s="43"/>
      <c r="C715" s="43"/>
      <c r="D715" s="43"/>
      <c r="E715" s="43"/>
      <c r="F715" s="43"/>
      <c r="G715" s="43"/>
      <c r="H715" s="43"/>
      <c r="I715" s="43"/>
      <c r="J715" s="43"/>
      <c r="K715" s="43"/>
      <c r="L715" s="43"/>
      <c r="M715" s="43"/>
      <c r="N715" s="43"/>
      <c r="O715" s="43"/>
      <c r="P715" s="43"/>
      <c r="Q715" s="43"/>
      <c r="R715" s="43"/>
      <c r="S715" s="43"/>
      <c r="T715" s="49"/>
      <c r="U715" s="49"/>
      <c r="V715" s="49"/>
      <c r="W715" s="49"/>
      <c r="X715" s="49"/>
      <c r="Y715" s="49"/>
      <c r="Z715" s="49"/>
      <c r="AA715" s="49"/>
      <c r="AB715" s="49"/>
      <c r="AC715" s="49"/>
      <c r="AD715" s="49"/>
      <c r="AE715" s="49"/>
    </row>
    <row r="716" spans="1:31">
      <c r="A716" s="43"/>
      <c r="B716" s="43"/>
      <c r="C716" s="43"/>
      <c r="D716" s="43"/>
      <c r="E716" s="43"/>
      <c r="F716" s="43"/>
      <c r="G716" s="43"/>
      <c r="H716" s="43"/>
      <c r="I716" s="43"/>
      <c r="J716" s="43"/>
      <c r="K716" s="43"/>
      <c r="L716" s="43"/>
      <c r="M716" s="43"/>
      <c r="N716" s="43"/>
      <c r="O716" s="43"/>
      <c r="P716" s="43"/>
      <c r="Q716" s="43"/>
      <c r="R716" s="43"/>
      <c r="S716" s="43"/>
      <c r="T716" s="49"/>
      <c r="U716" s="49"/>
      <c r="V716" s="49"/>
      <c r="W716" s="49"/>
      <c r="X716" s="49"/>
      <c r="Y716" s="49"/>
      <c r="Z716" s="49"/>
      <c r="AA716" s="49"/>
      <c r="AB716" s="49"/>
      <c r="AC716" s="49"/>
      <c r="AD716" s="49"/>
      <c r="AE716" s="49"/>
    </row>
    <row r="717" spans="1:31">
      <c r="A717" s="43"/>
      <c r="B717" s="43"/>
      <c r="C717" s="43"/>
      <c r="D717" s="43"/>
      <c r="E717" s="43"/>
      <c r="F717" s="43"/>
      <c r="G717" s="43"/>
      <c r="H717" s="43"/>
      <c r="I717" s="43"/>
      <c r="J717" s="43"/>
      <c r="K717" s="43"/>
      <c r="L717" s="43"/>
      <c r="M717" s="43"/>
      <c r="N717" s="43"/>
      <c r="O717" s="43"/>
      <c r="P717" s="43"/>
      <c r="Q717" s="43"/>
      <c r="R717" s="43"/>
      <c r="S717" s="43"/>
      <c r="T717" s="49"/>
      <c r="U717" s="49"/>
      <c r="V717" s="49"/>
      <c r="W717" s="49"/>
      <c r="X717" s="49"/>
      <c r="Y717" s="49"/>
      <c r="Z717" s="49"/>
      <c r="AA717" s="49"/>
      <c r="AB717" s="49"/>
      <c r="AC717" s="49"/>
      <c r="AD717" s="49"/>
      <c r="AE717" s="49"/>
    </row>
    <row r="718" spans="1:31">
      <c r="A718" s="43"/>
      <c r="B718" s="43"/>
      <c r="C718" s="43"/>
      <c r="D718" s="43"/>
      <c r="E718" s="43"/>
      <c r="F718" s="43"/>
      <c r="G718" s="43"/>
      <c r="H718" s="43"/>
      <c r="I718" s="43"/>
      <c r="J718" s="43"/>
      <c r="K718" s="43"/>
      <c r="L718" s="43"/>
      <c r="M718" s="43"/>
      <c r="N718" s="43"/>
      <c r="O718" s="43"/>
      <c r="P718" s="43"/>
      <c r="Q718" s="43"/>
      <c r="R718" s="43"/>
      <c r="S718" s="43"/>
      <c r="T718" s="49"/>
      <c r="U718" s="49"/>
      <c r="V718" s="49"/>
      <c r="W718" s="49"/>
      <c r="X718" s="49"/>
      <c r="Y718" s="49"/>
      <c r="Z718" s="49"/>
      <c r="AA718" s="49"/>
      <c r="AB718" s="49"/>
      <c r="AC718" s="49"/>
      <c r="AD718" s="49"/>
      <c r="AE718" s="49"/>
    </row>
    <row r="719" spans="1:31">
      <c r="A719" s="43"/>
      <c r="B719" s="43"/>
      <c r="C719" s="43"/>
      <c r="D719" s="43"/>
      <c r="E719" s="43"/>
      <c r="F719" s="43"/>
      <c r="G719" s="43"/>
      <c r="H719" s="43"/>
      <c r="I719" s="43"/>
      <c r="J719" s="43"/>
      <c r="K719" s="43"/>
      <c r="L719" s="43"/>
      <c r="M719" s="43"/>
      <c r="N719" s="43"/>
      <c r="O719" s="43"/>
      <c r="P719" s="43"/>
      <c r="Q719" s="43"/>
      <c r="R719" s="43"/>
      <c r="S719" s="43"/>
      <c r="T719" s="49"/>
      <c r="U719" s="49"/>
      <c r="V719" s="49"/>
      <c r="W719" s="49"/>
      <c r="X719" s="49"/>
      <c r="Y719" s="49"/>
      <c r="Z719" s="49"/>
      <c r="AA719" s="49"/>
      <c r="AB719" s="49"/>
      <c r="AC719" s="49"/>
      <c r="AD719" s="49"/>
      <c r="AE719" s="49"/>
    </row>
    <row r="720" spans="1:31">
      <c r="A720" s="43"/>
      <c r="B720" s="43"/>
      <c r="C720" s="43"/>
      <c r="D720" s="43"/>
      <c r="E720" s="43"/>
      <c r="F720" s="43"/>
      <c r="G720" s="43"/>
      <c r="H720" s="43"/>
      <c r="I720" s="43"/>
      <c r="J720" s="43"/>
      <c r="K720" s="43"/>
      <c r="L720" s="43"/>
      <c r="M720" s="43"/>
      <c r="N720" s="43"/>
      <c r="O720" s="43"/>
      <c r="P720" s="43"/>
      <c r="Q720" s="43"/>
      <c r="R720" s="43"/>
      <c r="S720" s="43"/>
      <c r="T720" s="49"/>
      <c r="U720" s="49"/>
      <c r="V720" s="49"/>
      <c r="W720" s="49"/>
      <c r="X720" s="49"/>
      <c r="Y720" s="49"/>
      <c r="Z720" s="49"/>
      <c r="AA720" s="49"/>
      <c r="AB720" s="49"/>
      <c r="AC720" s="49"/>
      <c r="AD720" s="49"/>
      <c r="AE720" s="49"/>
    </row>
    <row r="721" spans="1:31">
      <c r="A721" s="43"/>
      <c r="B721" s="43"/>
      <c r="C721" s="43"/>
      <c r="D721" s="43"/>
      <c r="E721" s="43"/>
      <c r="F721" s="43"/>
      <c r="G721" s="43"/>
      <c r="H721" s="43"/>
      <c r="I721" s="43"/>
      <c r="J721" s="43"/>
      <c r="K721" s="43"/>
      <c r="L721" s="43"/>
      <c r="M721" s="43"/>
      <c r="N721" s="43"/>
      <c r="O721" s="43"/>
      <c r="P721" s="43"/>
      <c r="Q721" s="43"/>
      <c r="R721" s="43"/>
      <c r="S721" s="43"/>
      <c r="T721" s="49"/>
      <c r="U721" s="49"/>
      <c r="V721" s="49"/>
      <c r="W721" s="49"/>
      <c r="X721" s="49"/>
      <c r="Y721" s="49"/>
      <c r="Z721" s="49"/>
      <c r="AA721" s="49"/>
      <c r="AB721" s="49"/>
      <c r="AC721" s="49"/>
      <c r="AD721" s="49"/>
      <c r="AE721" s="49"/>
    </row>
    <row r="722" spans="1:31">
      <c r="A722" s="43"/>
      <c r="B722" s="43"/>
      <c r="C722" s="43"/>
      <c r="D722" s="43"/>
      <c r="E722" s="43"/>
      <c r="F722" s="43"/>
      <c r="G722" s="43"/>
      <c r="H722" s="43"/>
      <c r="I722" s="43"/>
      <c r="J722" s="43"/>
      <c r="K722" s="43"/>
      <c r="L722" s="43"/>
      <c r="M722" s="43"/>
      <c r="N722" s="43"/>
      <c r="O722" s="43"/>
      <c r="P722" s="43"/>
      <c r="Q722" s="43"/>
      <c r="R722" s="43"/>
      <c r="S722" s="43"/>
      <c r="T722" s="49"/>
      <c r="U722" s="49"/>
      <c r="V722" s="49"/>
      <c r="W722" s="49"/>
      <c r="X722" s="49"/>
      <c r="Y722" s="49"/>
      <c r="Z722" s="49"/>
      <c r="AA722" s="49"/>
      <c r="AB722" s="49"/>
      <c r="AC722" s="49"/>
      <c r="AD722" s="49"/>
      <c r="AE722" s="49"/>
    </row>
    <row r="723" spans="1:31">
      <c r="A723" s="43"/>
      <c r="B723" s="43"/>
      <c r="C723" s="43"/>
      <c r="D723" s="43"/>
      <c r="E723" s="43"/>
      <c r="F723" s="43"/>
      <c r="G723" s="43"/>
      <c r="H723" s="43"/>
      <c r="I723" s="43"/>
      <c r="J723" s="43"/>
      <c r="K723" s="43"/>
      <c r="L723" s="43"/>
      <c r="M723" s="43"/>
      <c r="N723" s="43"/>
      <c r="O723" s="43"/>
      <c r="P723" s="43"/>
      <c r="Q723" s="43"/>
      <c r="R723" s="43"/>
      <c r="S723" s="43"/>
      <c r="T723" s="49"/>
      <c r="U723" s="49"/>
      <c r="V723" s="49"/>
      <c r="W723" s="49"/>
      <c r="X723" s="49"/>
      <c r="Y723" s="49"/>
      <c r="Z723" s="49"/>
      <c r="AA723" s="49"/>
      <c r="AB723" s="49"/>
      <c r="AC723" s="49"/>
      <c r="AD723" s="49"/>
      <c r="AE723" s="49"/>
    </row>
    <row r="724" spans="1:31">
      <c r="A724" s="43"/>
      <c r="B724" s="43"/>
      <c r="C724" s="43"/>
      <c r="D724" s="43"/>
      <c r="E724" s="43"/>
      <c r="F724" s="43"/>
      <c r="G724" s="43"/>
      <c r="H724" s="43"/>
      <c r="I724" s="43"/>
      <c r="J724" s="43"/>
      <c r="K724" s="43"/>
      <c r="L724" s="43"/>
      <c r="M724" s="43"/>
      <c r="N724" s="43"/>
      <c r="O724" s="43"/>
      <c r="P724" s="43"/>
      <c r="Q724" s="43"/>
      <c r="R724" s="43"/>
      <c r="S724" s="43"/>
      <c r="T724" s="49"/>
      <c r="U724" s="49"/>
      <c r="V724" s="49"/>
      <c r="W724" s="49"/>
      <c r="X724" s="49"/>
      <c r="Y724" s="49"/>
      <c r="Z724" s="49"/>
      <c r="AA724" s="49"/>
      <c r="AB724" s="49"/>
      <c r="AC724" s="49"/>
      <c r="AD724" s="49"/>
      <c r="AE724" s="49"/>
    </row>
    <row r="725" spans="1:31">
      <c r="A725" s="43"/>
      <c r="B725" s="43"/>
      <c r="C725" s="43"/>
      <c r="D725" s="43"/>
      <c r="E725" s="43"/>
      <c r="F725" s="43"/>
      <c r="G725" s="43"/>
      <c r="H725" s="43"/>
      <c r="I725" s="43"/>
      <c r="J725" s="43"/>
      <c r="K725" s="43"/>
      <c r="L725" s="43"/>
      <c r="M725" s="43"/>
      <c r="N725" s="43"/>
      <c r="O725" s="43"/>
      <c r="P725" s="43"/>
      <c r="Q725" s="43"/>
      <c r="R725" s="43"/>
      <c r="S725" s="43"/>
      <c r="T725" s="49"/>
      <c r="U725" s="49"/>
      <c r="V725" s="49"/>
      <c r="W725" s="49"/>
      <c r="X725" s="49"/>
      <c r="Y725" s="49"/>
      <c r="Z725" s="49"/>
      <c r="AA725" s="49"/>
      <c r="AB725" s="49"/>
      <c r="AC725" s="49"/>
      <c r="AD725" s="49"/>
      <c r="AE725" s="49"/>
    </row>
    <row r="726" spans="1:31">
      <c r="A726" s="43"/>
      <c r="B726" s="43"/>
      <c r="C726" s="43"/>
      <c r="D726" s="43"/>
      <c r="E726" s="43"/>
      <c r="F726" s="43"/>
      <c r="G726" s="43"/>
      <c r="H726" s="43"/>
      <c r="I726" s="43"/>
      <c r="J726" s="43"/>
      <c r="K726" s="43"/>
      <c r="L726" s="43"/>
      <c r="M726" s="43"/>
      <c r="N726" s="43"/>
      <c r="O726" s="43"/>
      <c r="P726" s="43"/>
      <c r="Q726" s="43"/>
      <c r="R726" s="43"/>
      <c r="S726" s="43"/>
      <c r="T726" s="49"/>
      <c r="U726" s="49"/>
      <c r="V726" s="49"/>
      <c r="W726" s="49"/>
      <c r="X726" s="49"/>
      <c r="Y726" s="49"/>
      <c r="Z726" s="49"/>
      <c r="AA726" s="49"/>
      <c r="AB726" s="49"/>
      <c r="AC726" s="49"/>
      <c r="AD726" s="49"/>
      <c r="AE726" s="49"/>
    </row>
    <row r="727" spans="1:31">
      <c r="A727" s="43"/>
      <c r="B727" s="43"/>
      <c r="C727" s="43"/>
      <c r="D727" s="43"/>
      <c r="E727" s="43"/>
      <c r="F727" s="43"/>
      <c r="G727" s="43"/>
      <c r="H727" s="43"/>
      <c r="I727" s="43"/>
      <c r="J727" s="43"/>
      <c r="K727" s="43"/>
      <c r="L727" s="43"/>
      <c r="M727" s="43"/>
      <c r="N727" s="43"/>
      <c r="O727" s="43"/>
      <c r="P727" s="43"/>
      <c r="Q727" s="43"/>
      <c r="R727" s="43"/>
      <c r="S727" s="43"/>
      <c r="T727" s="49"/>
      <c r="U727" s="49"/>
      <c r="V727" s="49"/>
      <c r="W727" s="49"/>
      <c r="X727" s="49"/>
      <c r="Y727" s="49"/>
      <c r="Z727" s="49"/>
      <c r="AA727" s="49"/>
      <c r="AB727" s="49"/>
      <c r="AC727" s="49"/>
      <c r="AD727" s="49"/>
      <c r="AE727" s="49"/>
    </row>
    <row r="728" spans="1:31">
      <c r="A728" s="43"/>
      <c r="B728" s="43"/>
      <c r="C728" s="43"/>
      <c r="D728" s="43"/>
      <c r="E728" s="43"/>
      <c r="F728" s="43"/>
      <c r="G728" s="43"/>
      <c r="H728" s="43"/>
      <c r="I728" s="43"/>
      <c r="J728" s="43"/>
      <c r="K728" s="43"/>
      <c r="L728" s="43"/>
      <c r="M728" s="43"/>
      <c r="N728" s="43"/>
      <c r="O728" s="43"/>
      <c r="P728" s="43"/>
      <c r="Q728" s="43"/>
      <c r="R728" s="43"/>
      <c r="S728" s="43"/>
      <c r="T728" s="49"/>
      <c r="U728" s="49"/>
      <c r="V728" s="49"/>
      <c r="W728" s="49"/>
      <c r="X728" s="49"/>
      <c r="Y728" s="49"/>
      <c r="Z728" s="49"/>
      <c r="AA728" s="49"/>
      <c r="AB728" s="49"/>
      <c r="AC728" s="49"/>
      <c r="AD728" s="49"/>
      <c r="AE728" s="49"/>
    </row>
    <row r="729" spans="1:31">
      <c r="A729" s="43"/>
      <c r="B729" s="43"/>
      <c r="C729" s="43"/>
      <c r="D729" s="43"/>
      <c r="E729" s="43"/>
      <c r="F729" s="43"/>
      <c r="G729" s="43"/>
      <c r="H729" s="43"/>
      <c r="I729" s="43"/>
      <c r="J729" s="43"/>
      <c r="K729" s="43"/>
      <c r="L729" s="43"/>
      <c r="M729" s="43"/>
      <c r="N729" s="43"/>
      <c r="O729" s="43"/>
      <c r="P729" s="43"/>
      <c r="Q729" s="43"/>
      <c r="R729" s="43"/>
      <c r="S729" s="43"/>
      <c r="T729" s="49"/>
      <c r="U729" s="49"/>
      <c r="V729" s="49"/>
      <c r="W729" s="49"/>
      <c r="X729" s="49"/>
      <c r="Y729" s="49"/>
      <c r="Z729" s="49"/>
      <c r="AA729" s="49"/>
      <c r="AB729" s="49"/>
      <c r="AC729" s="49"/>
      <c r="AD729" s="49"/>
      <c r="AE729" s="49"/>
    </row>
    <row r="730" spans="1:31">
      <c r="A730" s="43"/>
      <c r="B730" s="43"/>
      <c r="C730" s="43"/>
      <c r="D730" s="43"/>
      <c r="E730" s="43"/>
      <c r="F730" s="43"/>
      <c r="G730" s="43"/>
      <c r="H730" s="43"/>
      <c r="I730" s="43"/>
      <c r="J730" s="43"/>
      <c r="K730" s="43"/>
      <c r="L730" s="43"/>
      <c r="M730" s="43"/>
      <c r="N730" s="43"/>
      <c r="O730" s="43"/>
      <c r="P730" s="43"/>
      <c r="Q730" s="43"/>
      <c r="R730" s="43"/>
      <c r="S730" s="43"/>
      <c r="T730" s="49"/>
      <c r="U730" s="49"/>
      <c r="V730" s="49"/>
      <c r="W730" s="49"/>
      <c r="X730" s="49"/>
      <c r="Y730" s="49"/>
      <c r="Z730" s="49"/>
      <c r="AA730" s="49"/>
      <c r="AB730" s="49"/>
      <c r="AC730" s="49"/>
      <c r="AD730" s="49"/>
      <c r="AE730" s="49"/>
    </row>
    <row r="731" spans="1:31">
      <c r="A731" s="43"/>
      <c r="B731" s="43"/>
      <c r="C731" s="43"/>
      <c r="D731" s="43"/>
      <c r="E731" s="43"/>
      <c r="F731" s="43"/>
      <c r="G731" s="43"/>
      <c r="H731" s="43"/>
      <c r="I731" s="43"/>
      <c r="J731" s="43"/>
      <c r="K731" s="43"/>
      <c r="L731" s="43"/>
      <c r="M731" s="43"/>
      <c r="N731" s="43"/>
      <c r="O731" s="43"/>
      <c r="P731" s="43"/>
      <c r="Q731" s="43"/>
      <c r="R731" s="43"/>
      <c r="S731" s="43"/>
      <c r="T731" s="49"/>
      <c r="U731" s="49"/>
      <c r="V731" s="49"/>
      <c r="W731" s="49"/>
      <c r="X731" s="49"/>
      <c r="Y731" s="49"/>
      <c r="Z731" s="49"/>
      <c r="AA731" s="49"/>
      <c r="AB731" s="49"/>
      <c r="AC731" s="49"/>
      <c r="AD731" s="49"/>
      <c r="AE731" s="49"/>
    </row>
    <row r="732" spans="1:31">
      <c r="A732" s="43"/>
      <c r="B732" s="43"/>
      <c r="C732" s="43"/>
      <c r="D732" s="43"/>
      <c r="E732" s="43"/>
      <c r="F732" s="43"/>
      <c r="G732" s="43"/>
      <c r="H732" s="43"/>
      <c r="I732" s="43"/>
      <c r="J732" s="43"/>
      <c r="K732" s="43"/>
      <c r="L732" s="43"/>
      <c r="M732" s="43"/>
      <c r="N732" s="43"/>
      <c r="O732" s="43"/>
      <c r="P732" s="43"/>
      <c r="Q732" s="43"/>
      <c r="R732" s="43"/>
      <c r="S732" s="43"/>
      <c r="T732" s="49"/>
      <c r="U732" s="49"/>
      <c r="V732" s="49"/>
      <c r="W732" s="49"/>
      <c r="X732" s="49"/>
      <c r="Y732" s="49"/>
      <c r="Z732" s="49"/>
      <c r="AA732" s="49"/>
      <c r="AB732" s="49"/>
      <c r="AC732" s="49"/>
      <c r="AD732" s="49"/>
      <c r="AE732" s="49"/>
    </row>
    <row r="733" spans="1:31">
      <c r="A733" s="43"/>
      <c r="B733" s="43"/>
      <c r="C733" s="43"/>
      <c r="D733" s="43"/>
      <c r="E733" s="43"/>
      <c r="F733" s="43"/>
      <c r="G733" s="43"/>
      <c r="H733" s="43"/>
      <c r="I733" s="43"/>
      <c r="J733" s="43"/>
      <c r="K733" s="43"/>
      <c r="L733" s="43"/>
      <c r="M733" s="43"/>
      <c r="N733" s="43"/>
      <c r="O733" s="43"/>
      <c r="P733" s="43"/>
      <c r="Q733" s="43"/>
      <c r="R733" s="43"/>
      <c r="S733" s="43"/>
      <c r="T733" s="49"/>
      <c r="U733" s="49"/>
      <c r="V733" s="49"/>
      <c r="W733" s="49"/>
      <c r="X733" s="49"/>
      <c r="Y733" s="49"/>
      <c r="Z733" s="49"/>
      <c r="AA733" s="49"/>
      <c r="AB733" s="49"/>
      <c r="AC733" s="49"/>
      <c r="AD733" s="49"/>
      <c r="AE733" s="49"/>
    </row>
    <row r="734" spans="1:31">
      <c r="A734" s="43"/>
      <c r="B734" s="43"/>
      <c r="C734" s="43"/>
      <c r="D734" s="43"/>
      <c r="E734" s="43"/>
      <c r="F734" s="43"/>
      <c r="G734" s="43"/>
      <c r="H734" s="43"/>
      <c r="I734" s="43"/>
      <c r="J734" s="43"/>
      <c r="K734" s="43"/>
      <c r="L734" s="43"/>
      <c r="M734" s="43"/>
      <c r="N734" s="43"/>
      <c r="O734" s="43"/>
      <c r="P734" s="43"/>
      <c r="Q734" s="43"/>
      <c r="R734" s="43"/>
      <c r="S734" s="43"/>
      <c r="T734" s="49"/>
      <c r="U734" s="49"/>
      <c r="V734" s="49"/>
      <c r="W734" s="49"/>
      <c r="X734" s="49"/>
      <c r="Y734" s="49"/>
      <c r="Z734" s="49"/>
      <c r="AA734" s="49"/>
      <c r="AB734" s="49"/>
      <c r="AC734" s="49"/>
      <c r="AD734" s="49"/>
      <c r="AE734" s="49"/>
    </row>
    <row r="735" spans="1:31">
      <c r="A735" s="43"/>
      <c r="B735" s="43"/>
      <c r="C735" s="43"/>
      <c r="D735" s="43"/>
      <c r="E735" s="43"/>
      <c r="F735" s="43"/>
      <c r="G735" s="43"/>
      <c r="H735" s="43"/>
      <c r="I735" s="43"/>
      <c r="J735" s="43"/>
      <c r="K735" s="43"/>
      <c r="L735" s="43"/>
      <c r="M735" s="43"/>
      <c r="N735" s="43"/>
      <c r="O735" s="43"/>
      <c r="P735" s="43"/>
      <c r="Q735" s="43"/>
      <c r="R735" s="43"/>
      <c r="S735" s="43"/>
      <c r="T735" s="49"/>
      <c r="U735" s="49"/>
      <c r="V735" s="49"/>
      <c r="W735" s="49"/>
      <c r="X735" s="49"/>
      <c r="Y735" s="49"/>
      <c r="Z735" s="49"/>
      <c r="AA735" s="49"/>
      <c r="AB735" s="49"/>
      <c r="AC735" s="49"/>
      <c r="AD735" s="49"/>
      <c r="AE735" s="49"/>
    </row>
    <row r="736" spans="1:31">
      <c r="A736" s="43"/>
      <c r="B736" s="43"/>
      <c r="C736" s="43"/>
      <c r="D736" s="43"/>
      <c r="E736" s="43"/>
      <c r="F736" s="43"/>
      <c r="G736" s="43"/>
      <c r="H736" s="43"/>
      <c r="I736" s="43"/>
      <c r="J736" s="43"/>
      <c r="K736" s="43"/>
      <c r="L736" s="43"/>
      <c r="M736" s="43"/>
      <c r="N736" s="43"/>
      <c r="O736" s="43"/>
      <c r="P736" s="43"/>
      <c r="Q736" s="43"/>
      <c r="R736" s="43"/>
      <c r="S736" s="43"/>
      <c r="T736" s="49"/>
      <c r="U736" s="49"/>
      <c r="V736" s="49"/>
      <c r="W736" s="49"/>
      <c r="X736" s="49"/>
      <c r="Y736" s="49"/>
      <c r="Z736" s="49"/>
      <c r="AA736" s="49"/>
      <c r="AB736" s="49"/>
      <c r="AC736" s="49"/>
      <c r="AD736" s="49"/>
      <c r="AE736" s="49"/>
    </row>
    <row r="737" spans="1:31">
      <c r="A737" s="43"/>
      <c r="B737" s="43"/>
      <c r="C737" s="43"/>
      <c r="D737" s="43"/>
      <c r="E737" s="43"/>
      <c r="F737" s="43"/>
      <c r="G737" s="43"/>
      <c r="H737" s="43"/>
      <c r="I737" s="43"/>
      <c r="J737" s="43"/>
      <c r="K737" s="43"/>
      <c r="L737" s="43"/>
      <c r="M737" s="43"/>
      <c r="N737" s="43"/>
      <c r="O737" s="43"/>
      <c r="P737" s="43"/>
      <c r="Q737" s="43"/>
      <c r="R737" s="43"/>
      <c r="S737" s="43"/>
      <c r="T737" s="49"/>
      <c r="U737" s="49"/>
      <c r="V737" s="49"/>
      <c r="W737" s="49"/>
      <c r="X737" s="49"/>
      <c r="Y737" s="49"/>
      <c r="Z737" s="49"/>
      <c r="AA737" s="49"/>
      <c r="AB737" s="49"/>
      <c r="AC737" s="49"/>
      <c r="AD737" s="49"/>
      <c r="AE737" s="49"/>
    </row>
    <row r="738" spans="1:31">
      <c r="A738" s="43"/>
      <c r="B738" s="43"/>
      <c r="C738" s="43"/>
      <c r="D738" s="43"/>
      <c r="E738" s="43"/>
      <c r="F738" s="43"/>
      <c r="G738" s="43"/>
      <c r="H738" s="43"/>
      <c r="I738" s="43"/>
      <c r="J738" s="43"/>
      <c r="K738" s="43"/>
      <c r="L738" s="43"/>
      <c r="M738" s="43"/>
      <c r="N738" s="43"/>
      <c r="O738" s="43"/>
      <c r="P738" s="43"/>
      <c r="Q738" s="43"/>
      <c r="R738" s="43"/>
      <c r="S738" s="43"/>
      <c r="T738" s="49"/>
      <c r="U738" s="49"/>
      <c r="V738" s="49"/>
      <c r="W738" s="49"/>
      <c r="X738" s="49"/>
      <c r="Y738" s="49"/>
      <c r="Z738" s="49"/>
      <c r="AA738" s="49"/>
      <c r="AB738" s="49"/>
      <c r="AC738" s="49"/>
      <c r="AD738" s="49"/>
      <c r="AE738" s="49"/>
    </row>
    <row r="739" spans="1:31">
      <c r="A739" s="43"/>
      <c r="B739" s="43"/>
      <c r="C739" s="43"/>
      <c r="D739" s="43"/>
      <c r="E739" s="43"/>
      <c r="F739" s="43"/>
      <c r="G739" s="43"/>
      <c r="H739" s="43"/>
      <c r="I739" s="43"/>
      <c r="J739" s="43"/>
      <c r="K739" s="43"/>
      <c r="L739" s="43"/>
      <c r="M739" s="43"/>
      <c r="N739" s="43"/>
      <c r="O739" s="43"/>
      <c r="P739" s="43"/>
      <c r="Q739" s="43"/>
      <c r="R739" s="43"/>
      <c r="S739" s="43"/>
      <c r="T739" s="49"/>
      <c r="U739" s="49"/>
      <c r="V739" s="49"/>
      <c r="W739" s="49"/>
      <c r="X739" s="49"/>
      <c r="Y739" s="49"/>
      <c r="Z739" s="49"/>
      <c r="AA739" s="49"/>
      <c r="AB739" s="49"/>
      <c r="AC739" s="49"/>
      <c r="AD739" s="49"/>
      <c r="AE739" s="49"/>
    </row>
    <row r="740" spans="1:31">
      <c r="A740" s="43"/>
      <c r="B740" s="43"/>
      <c r="C740" s="43"/>
      <c r="D740" s="43"/>
      <c r="E740" s="43"/>
      <c r="F740" s="43"/>
      <c r="G740" s="43"/>
      <c r="H740" s="43"/>
      <c r="I740" s="43"/>
      <c r="J740" s="43"/>
      <c r="K740" s="43"/>
      <c r="L740" s="43"/>
      <c r="M740" s="43"/>
      <c r="N740" s="43"/>
      <c r="O740" s="43"/>
      <c r="P740" s="43"/>
      <c r="Q740" s="43"/>
      <c r="R740" s="43"/>
      <c r="S740" s="43"/>
      <c r="T740" s="49"/>
      <c r="U740" s="49"/>
      <c r="V740" s="49"/>
      <c r="W740" s="49"/>
      <c r="X740" s="49"/>
      <c r="Y740" s="49"/>
      <c r="Z740" s="49"/>
      <c r="AA740" s="49"/>
      <c r="AB740" s="49"/>
      <c r="AC740" s="49"/>
      <c r="AD740" s="49"/>
      <c r="AE740" s="49"/>
    </row>
    <row r="741" spans="1:31">
      <c r="A741" s="43"/>
      <c r="B741" s="43"/>
      <c r="C741" s="43"/>
      <c r="D741" s="43"/>
      <c r="E741" s="43"/>
      <c r="F741" s="43"/>
      <c r="G741" s="43"/>
      <c r="H741" s="43"/>
      <c r="I741" s="43"/>
      <c r="J741" s="43"/>
      <c r="K741" s="43"/>
      <c r="L741" s="43"/>
      <c r="M741" s="43"/>
      <c r="N741" s="43"/>
      <c r="O741" s="43"/>
      <c r="P741" s="43"/>
      <c r="Q741" s="43"/>
      <c r="R741" s="43"/>
      <c r="S741" s="43"/>
      <c r="T741" s="49"/>
      <c r="U741" s="49"/>
      <c r="V741" s="49"/>
      <c r="W741" s="49"/>
      <c r="X741" s="49"/>
      <c r="Y741" s="49"/>
      <c r="Z741" s="49"/>
      <c r="AA741" s="49"/>
      <c r="AB741" s="49"/>
      <c r="AC741" s="49"/>
      <c r="AD741" s="49"/>
      <c r="AE741" s="49"/>
    </row>
    <row r="742" spans="1:31">
      <c r="A742" s="43"/>
      <c r="B742" s="43"/>
      <c r="C742" s="43"/>
      <c r="D742" s="43"/>
      <c r="E742" s="43"/>
      <c r="F742" s="43"/>
      <c r="G742" s="43"/>
      <c r="H742" s="43"/>
      <c r="I742" s="43"/>
      <c r="J742" s="43"/>
      <c r="K742" s="43"/>
      <c r="L742" s="43"/>
      <c r="M742" s="43"/>
      <c r="N742" s="43"/>
      <c r="O742" s="43"/>
      <c r="P742" s="43"/>
      <c r="Q742" s="43"/>
      <c r="R742" s="43"/>
      <c r="S742" s="43"/>
      <c r="T742" s="49"/>
      <c r="U742" s="49"/>
      <c r="V742" s="49"/>
      <c r="W742" s="49"/>
      <c r="X742" s="49"/>
      <c r="Y742" s="49"/>
      <c r="Z742" s="49"/>
      <c r="AA742" s="49"/>
      <c r="AB742" s="49"/>
      <c r="AC742" s="49"/>
      <c r="AD742" s="49"/>
      <c r="AE742" s="49"/>
    </row>
    <row r="743" spans="1:31">
      <c r="A743" s="43"/>
      <c r="B743" s="43"/>
      <c r="C743" s="43"/>
      <c r="D743" s="43"/>
      <c r="E743" s="43"/>
      <c r="F743" s="43"/>
      <c r="G743" s="43"/>
      <c r="H743" s="43"/>
      <c r="I743" s="43"/>
      <c r="J743" s="43"/>
      <c r="K743" s="43"/>
      <c r="L743" s="43"/>
      <c r="M743" s="43"/>
      <c r="N743" s="43"/>
      <c r="O743" s="43"/>
      <c r="P743" s="43"/>
      <c r="Q743" s="43"/>
      <c r="R743" s="43"/>
      <c r="S743" s="43"/>
      <c r="T743" s="49"/>
      <c r="U743" s="49"/>
      <c r="V743" s="49"/>
      <c r="W743" s="49"/>
      <c r="X743" s="49"/>
      <c r="Y743" s="49"/>
      <c r="Z743" s="49"/>
      <c r="AA743" s="49"/>
      <c r="AB743" s="49"/>
      <c r="AC743" s="49"/>
      <c r="AD743" s="49"/>
      <c r="AE743" s="49"/>
    </row>
    <row r="744" spans="1:31">
      <c r="A744" s="43"/>
      <c r="B744" s="43"/>
      <c r="C744" s="43"/>
      <c r="D744" s="43"/>
      <c r="E744" s="43"/>
      <c r="F744" s="43"/>
      <c r="G744" s="43"/>
      <c r="H744" s="43"/>
      <c r="I744" s="43"/>
      <c r="J744" s="43"/>
      <c r="K744" s="43"/>
      <c r="L744" s="43"/>
      <c r="M744" s="43"/>
      <c r="N744" s="43"/>
      <c r="O744" s="43"/>
      <c r="P744" s="43"/>
      <c r="Q744" s="43"/>
      <c r="R744" s="43"/>
      <c r="S744" s="43"/>
      <c r="T744" s="49"/>
      <c r="U744" s="49"/>
      <c r="V744" s="49"/>
      <c r="W744" s="49"/>
      <c r="X744" s="49"/>
      <c r="Y744" s="49"/>
      <c r="Z744" s="49"/>
      <c r="AA744" s="49"/>
      <c r="AB744" s="49"/>
      <c r="AC744" s="49"/>
      <c r="AD744" s="49"/>
      <c r="AE744" s="49"/>
    </row>
    <row r="745" spans="1:31">
      <c r="A745" s="43"/>
      <c r="B745" s="43"/>
      <c r="C745" s="43"/>
      <c r="D745" s="43"/>
      <c r="E745" s="43"/>
      <c r="F745" s="43"/>
      <c r="G745" s="43"/>
      <c r="H745" s="43"/>
      <c r="I745" s="43"/>
      <c r="J745" s="43"/>
      <c r="K745" s="43"/>
      <c r="L745" s="43"/>
      <c r="M745" s="43"/>
      <c r="N745" s="43"/>
      <c r="O745" s="43"/>
      <c r="P745" s="43"/>
      <c r="Q745" s="43"/>
      <c r="R745" s="43"/>
      <c r="S745" s="43"/>
      <c r="T745" s="49"/>
      <c r="U745" s="49"/>
      <c r="V745" s="49"/>
      <c r="W745" s="49"/>
      <c r="X745" s="49"/>
      <c r="Y745" s="49"/>
      <c r="Z745" s="49"/>
      <c r="AA745" s="49"/>
      <c r="AB745" s="49"/>
      <c r="AC745" s="49"/>
      <c r="AD745" s="49"/>
      <c r="AE745" s="49"/>
    </row>
    <row r="746" spans="1:31">
      <c r="A746" s="43"/>
      <c r="B746" s="43"/>
      <c r="C746" s="43"/>
      <c r="D746" s="43"/>
      <c r="E746" s="43"/>
      <c r="F746" s="43"/>
      <c r="G746" s="43"/>
      <c r="H746" s="43"/>
      <c r="I746" s="43"/>
      <c r="J746" s="43"/>
      <c r="K746" s="43"/>
      <c r="L746" s="43"/>
      <c r="M746" s="43"/>
      <c r="N746" s="43"/>
      <c r="O746" s="43"/>
      <c r="P746" s="43"/>
      <c r="Q746" s="43"/>
      <c r="R746" s="43"/>
      <c r="S746" s="43"/>
      <c r="T746" s="49"/>
      <c r="U746" s="49"/>
      <c r="V746" s="49"/>
      <c r="W746" s="49"/>
      <c r="X746" s="49"/>
      <c r="Y746" s="49"/>
      <c r="Z746" s="49"/>
      <c r="AA746" s="49"/>
      <c r="AB746" s="49"/>
      <c r="AC746" s="49"/>
      <c r="AD746" s="49"/>
      <c r="AE746" s="49"/>
    </row>
    <row r="747" spans="1:31">
      <c r="A747" s="43"/>
      <c r="B747" s="43"/>
      <c r="C747" s="43"/>
      <c r="D747" s="43"/>
      <c r="E747" s="43"/>
      <c r="F747" s="43"/>
      <c r="G747" s="43"/>
      <c r="H747" s="43"/>
      <c r="I747" s="43"/>
      <c r="J747" s="43"/>
      <c r="K747" s="43"/>
      <c r="L747" s="43"/>
      <c r="M747" s="43"/>
      <c r="N747" s="43"/>
      <c r="O747" s="43"/>
      <c r="P747" s="43"/>
      <c r="Q747" s="43"/>
      <c r="R747" s="43"/>
      <c r="S747" s="43"/>
      <c r="T747" s="49"/>
      <c r="U747" s="49"/>
      <c r="V747" s="49"/>
      <c r="W747" s="49"/>
      <c r="X747" s="49"/>
      <c r="Y747" s="49"/>
      <c r="Z747" s="49"/>
      <c r="AA747" s="49"/>
      <c r="AB747" s="49"/>
      <c r="AC747" s="49"/>
      <c r="AD747" s="49"/>
      <c r="AE747" s="49"/>
    </row>
    <row r="748" spans="1:31">
      <c r="A748" s="43"/>
      <c r="B748" s="43"/>
      <c r="C748" s="43"/>
      <c r="D748" s="43"/>
      <c r="E748" s="43"/>
      <c r="F748" s="43"/>
      <c r="G748" s="43"/>
      <c r="H748" s="43"/>
      <c r="I748" s="43"/>
      <c r="J748" s="43"/>
      <c r="K748" s="43"/>
      <c r="L748" s="43"/>
      <c r="M748" s="43"/>
      <c r="N748" s="43"/>
      <c r="O748" s="43"/>
      <c r="P748" s="43"/>
      <c r="Q748" s="43"/>
      <c r="R748" s="43"/>
      <c r="S748" s="43"/>
      <c r="T748" s="49"/>
      <c r="U748" s="49"/>
      <c r="V748" s="49"/>
      <c r="W748" s="49"/>
      <c r="X748" s="49"/>
      <c r="Y748" s="49"/>
      <c r="Z748" s="49"/>
      <c r="AA748" s="49"/>
      <c r="AB748" s="49"/>
      <c r="AC748" s="49"/>
      <c r="AD748" s="49"/>
      <c r="AE748" s="49"/>
    </row>
    <row r="749" spans="1:31">
      <c r="A749" s="43"/>
      <c r="B749" s="43"/>
      <c r="C749" s="43"/>
      <c r="D749" s="43"/>
      <c r="E749" s="43"/>
      <c r="F749" s="43"/>
      <c r="G749" s="43"/>
      <c r="H749" s="43"/>
      <c r="I749" s="43"/>
      <c r="J749" s="43"/>
      <c r="K749" s="43"/>
      <c r="L749" s="43"/>
      <c r="M749" s="43"/>
      <c r="N749" s="43"/>
      <c r="O749" s="43"/>
      <c r="P749" s="43"/>
      <c r="Q749" s="43"/>
      <c r="R749" s="43"/>
      <c r="S749" s="43"/>
      <c r="T749" s="49"/>
      <c r="U749" s="49"/>
      <c r="V749" s="49"/>
      <c r="W749" s="49"/>
      <c r="X749" s="49"/>
      <c r="Y749" s="49"/>
      <c r="Z749" s="49"/>
      <c r="AA749" s="49"/>
      <c r="AB749" s="49"/>
      <c r="AC749" s="49"/>
      <c r="AD749" s="49"/>
      <c r="AE749" s="49"/>
    </row>
    <row r="750" spans="1:31">
      <c r="A750" s="43"/>
      <c r="B750" s="43"/>
      <c r="C750" s="43"/>
      <c r="D750" s="43"/>
      <c r="E750" s="43"/>
      <c r="F750" s="43"/>
      <c r="G750" s="43"/>
      <c r="H750" s="43"/>
      <c r="I750" s="43"/>
      <c r="J750" s="43"/>
      <c r="K750" s="43"/>
      <c r="L750" s="43"/>
      <c r="M750" s="43"/>
      <c r="N750" s="43"/>
      <c r="O750" s="43"/>
      <c r="P750" s="43"/>
      <c r="Q750" s="43"/>
      <c r="R750" s="43"/>
      <c r="S750" s="43"/>
      <c r="T750" s="49"/>
      <c r="U750" s="49"/>
      <c r="V750" s="49"/>
      <c r="W750" s="49"/>
      <c r="X750" s="49"/>
      <c r="Y750" s="49"/>
      <c r="Z750" s="49"/>
      <c r="AA750" s="49"/>
      <c r="AB750" s="49"/>
      <c r="AC750" s="49"/>
      <c r="AD750" s="49"/>
      <c r="AE750" s="49"/>
    </row>
    <row r="751" spans="1:31">
      <c r="A751" s="43"/>
      <c r="B751" s="43"/>
      <c r="C751" s="43"/>
      <c r="D751" s="43"/>
      <c r="E751" s="43"/>
      <c r="F751" s="43"/>
      <c r="G751" s="43"/>
      <c r="H751" s="43"/>
      <c r="I751" s="43"/>
      <c r="J751" s="43"/>
      <c r="K751" s="43"/>
      <c r="L751" s="43"/>
      <c r="M751" s="43"/>
      <c r="N751" s="43"/>
      <c r="O751" s="43"/>
      <c r="P751" s="43"/>
      <c r="Q751" s="43"/>
      <c r="R751" s="43"/>
      <c r="S751" s="43"/>
      <c r="T751" s="49"/>
      <c r="U751" s="49"/>
      <c r="V751" s="49"/>
      <c r="W751" s="49"/>
      <c r="X751" s="49"/>
      <c r="Y751" s="49"/>
      <c r="Z751" s="49"/>
      <c r="AA751" s="49"/>
      <c r="AB751" s="49"/>
      <c r="AC751" s="49"/>
      <c r="AD751" s="49"/>
      <c r="AE751" s="49"/>
    </row>
    <row r="752" spans="1:31">
      <c r="A752" s="43"/>
      <c r="B752" s="43"/>
      <c r="C752" s="43"/>
      <c r="D752" s="43"/>
      <c r="E752" s="43"/>
      <c r="F752" s="43"/>
      <c r="G752" s="43"/>
      <c r="H752" s="43"/>
      <c r="I752" s="43"/>
      <c r="J752" s="43"/>
      <c r="K752" s="43"/>
      <c r="L752" s="43"/>
      <c r="M752" s="43"/>
      <c r="N752" s="43"/>
      <c r="O752" s="43"/>
      <c r="P752" s="43"/>
      <c r="Q752" s="43"/>
      <c r="R752" s="43"/>
      <c r="S752" s="43"/>
      <c r="T752" s="49"/>
      <c r="U752" s="49"/>
      <c r="V752" s="49"/>
      <c r="W752" s="49"/>
      <c r="X752" s="49"/>
      <c r="Y752" s="49"/>
      <c r="Z752" s="49"/>
      <c r="AA752" s="49"/>
      <c r="AB752" s="49"/>
      <c r="AC752" s="49"/>
      <c r="AD752" s="49"/>
      <c r="AE752" s="49"/>
    </row>
    <row r="753" spans="1:31">
      <c r="A753" s="43"/>
      <c r="B753" s="43"/>
      <c r="C753" s="43"/>
      <c r="D753" s="43"/>
      <c r="E753" s="43"/>
      <c r="F753" s="43"/>
      <c r="G753" s="43"/>
      <c r="H753" s="43"/>
      <c r="I753" s="43"/>
      <c r="J753" s="43"/>
      <c r="K753" s="43"/>
      <c r="L753" s="43"/>
      <c r="M753" s="43"/>
      <c r="N753" s="43"/>
      <c r="O753" s="43"/>
      <c r="P753" s="43"/>
      <c r="Q753" s="43"/>
      <c r="R753" s="43"/>
      <c r="S753" s="43"/>
      <c r="T753" s="49"/>
      <c r="U753" s="49"/>
      <c r="V753" s="49"/>
      <c r="W753" s="49"/>
      <c r="X753" s="49"/>
      <c r="Y753" s="49"/>
      <c r="Z753" s="49"/>
      <c r="AA753" s="49"/>
      <c r="AB753" s="49"/>
      <c r="AC753" s="49"/>
      <c r="AD753" s="49"/>
      <c r="AE753" s="49"/>
    </row>
    <row r="754" spans="1:31">
      <c r="A754" s="43"/>
      <c r="B754" s="43"/>
      <c r="C754" s="43"/>
      <c r="D754" s="43"/>
      <c r="E754" s="43"/>
      <c r="F754" s="43"/>
      <c r="G754" s="43"/>
      <c r="H754" s="43"/>
      <c r="I754" s="43"/>
      <c r="J754" s="43"/>
      <c r="K754" s="43"/>
      <c r="L754" s="43"/>
      <c r="M754" s="43"/>
      <c r="N754" s="43"/>
      <c r="O754" s="43"/>
      <c r="P754" s="43"/>
      <c r="Q754" s="43"/>
      <c r="R754" s="43"/>
      <c r="S754" s="43"/>
      <c r="T754" s="49"/>
      <c r="U754" s="49"/>
      <c r="V754" s="49"/>
      <c r="W754" s="49"/>
      <c r="X754" s="49"/>
      <c r="Y754" s="49"/>
      <c r="Z754" s="49"/>
      <c r="AA754" s="49"/>
      <c r="AB754" s="49"/>
      <c r="AC754" s="49"/>
      <c r="AD754" s="49"/>
      <c r="AE754" s="49"/>
    </row>
    <row r="755" spans="1:31">
      <c r="A755" s="43"/>
      <c r="B755" s="43"/>
      <c r="C755" s="43"/>
      <c r="D755" s="43"/>
      <c r="E755" s="43"/>
      <c r="F755" s="43"/>
      <c r="G755" s="43"/>
      <c r="H755" s="43"/>
      <c r="I755" s="43"/>
      <c r="J755" s="43"/>
      <c r="K755" s="43"/>
      <c r="L755" s="43"/>
      <c r="M755" s="43"/>
      <c r="N755" s="43"/>
      <c r="O755" s="43"/>
      <c r="P755" s="43"/>
      <c r="Q755" s="43"/>
      <c r="R755" s="43"/>
      <c r="S755" s="43"/>
      <c r="T755" s="49"/>
      <c r="U755" s="49"/>
      <c r="V755" s="49"/>
      <c r="W755" s="49"/>
      <c r="X755" s="49"/>
      <c r="Y755" s="49"/>
      <c r="Z755" s="49"/>
      <c r="AA755" s="49"/>
      <c r="AB755" s="49"/>
      <c r="AC755" s="49"/>
      <c r="AD755" s="49"/>
      <c r="AE755" s="49"/>
    </row>
    <row r="756" spans="1:31">
      <c r="A756" s="43"/>
      <c r="B756" s="43"/>
      <c r="C756" s="43"/>
      <c r="D756" s="43"/>
      <c r="E756" s="43"/>
      <c r="F756" s="43"/>
      <c r="G756" s="43"/>
      <c r="H756" s="43"/>
      <c r="I756" s="43"/>
      <c r="J756" s="43"/>
      <c r="K756" s="43"/>
      <c r="L756" s="43"/>
      <c r="M756" s="43"/>
      <c r="N756" s="43"/>
      <c r="O756" s="43"/>
      <c r="P756" s="43"/>
      <c r="Q756" s="43"/>
      <c r="R756" s="43"/>
      <c r="S756" s="43"/>
      <c r="T756" s="49"/>
      <c r="U756" s="49"/>
      <c r="V756" s="49"/>
      <c r="W756" s="49"/>
      <c r="X756" s="49"/>
      <c r="Y756" s="49"/>
      <c r="Z756" s="49"/>
      <c r="AA756" s="49"/>
      <c r="AB756" s="49"/>
      <c r="AC756" s="49"/>
      <c r="AD756" s="49"/>
      <c r="AE756" s="49"/>
    </row>
    <row r="757" spans="1:31">
      <c r="A757" s="43"/>
      <c r="B757" s="43"/>
      <c r="C757" s="43"/>
      <c r="D757" s="43"/>
      <c r="E757" s="43"/>
      <c r="F757" s="43"/>
      <c r="G757" s="43"/>
      <c r="H757" s="43"/>
      <c r="I757" s="43"/>
      <c r="J757" s="43"/>
      <c r="K757" s="43"/>
      <c r="L757" s="43"/>
      <c r="M757" s="43"/>
      <c r="N757" s="43"/>
      <c r="O757" s="43"/>
      <c r="P757" s="43"/>
      <c r="Q757" s="43"/>
      <c r="R757" s="43"/>
      <c r="S757" s="43"/>
      <c r="T757" s="49"/>
      <c r="U757" s="49"/>
      <c r="V757" s="49"/>
      <c r="W757" s="49"/>
      <c r="X757" s="49"/>
      <c r="Y757" s="49"/>
      <c r="Z757" s="49"/>
      <c r="AA757" s="49"/>
      <c r="AB757" s="49"/>
      <c r="AC757" s="49"/>
      <c r="AD757" s="49"/>
      <c r="AE757" s="49"/>
    </row>
    <row r="758" spans="1:31">
      <c r="A758" s="43"/>
      <c r="B758" s="43"/>
      <c r="C758" s="43"/>
      <c r="D758" s="43"/>
      <c r="E758" s="43"/>
      <c r="F758" s="43"/>
      <c r="G758" s="43"/>
      <c r="H758" s="43"/>
      <c r="I758" s="43"/>
      <c r="J758" s="43"/>
      <c r="K758" s="43"/>
      <c r="L758" s="43"/>
      <c r="M758" s="43"/>
      <c r="N758" s="43"/>
      <c r="O758" s="43"/>
      <c r="P758" s="43"/>
      <c r="Q758" s="43"/>
      <c r="R758" s="43"/>
      <c r="S758" s="43"/>
      <c r="T758" s="49"/>
      <c r="U758" s="49"/>
      <c r="V758" s="49"/>
      <c r="W758" s="49"/>
      <c r="X758" s="49"/>
      <c r="Y758" s="49"/>
      <c r="Z758" s="49"/>
      <c r="AA758" s="49"/>
      <c r="AB758" s="49"/>
      <c r="AC758" s="49"/>
      <c r="AD758" s="49"/>
      <c r="AE758" s="49"/>
    </row>
    <row r="759" spans="1:31">
      <c r="A759" s="43"/>
      <c r="B759" s="43"/>
      <c r="C759" s="43"/>
      <c r="D759" s="43"/>
      <c r="E759" s="43"/>
      <c r="F759" s="43"/>
      <c r="G759" s="43"/>
      <c r="H759" s="43"/>
      <c r="I759" s="43"/>
      <c r="J759" s="43"/>
      <c r="K759" s="43"/>
      <c r="L759" s="43"/>
      <c r="M759" s="43"/>
      <c r="N759" s="43"/>
      <c r="O759" s="43"/>
      <c r="P759" s="43"/>
      <c r="Q759" s="43"/>
      <c r="R759" s="43"/>
      <c r="S759" s="43"/>
      <c r="T759" s="49"/>
      <c r="U759" s="49"/>
      <c r="V759" s="49"/>
      <c r="W759" s="49"/>
      <c r="X759" s="49"/>
      <c r="Y759" s="49"/>
      <c r="Z759" s="49"/>
      <c r="AA759" s="49"/>
      <c r="AB759" s="49"/>
      <c r="AC759" s="49"/>
      <c r="AD759" s="49"/>
      <c r="AE759" s="49"/>
    </row>
    <row r="760" spans="1:31">
      <c r="A760" s="43"/>
      <c r="B760" s="43"/>
      <c r="C760" s="43"/>
      <c r="D760" s="43"/>
      <c r="E760" s="43"/>
      <c r="F760" s="43"/>
      <c r="G760" s="43"/>
      <c r="H760" s="43"/>
      <c r="I760" s="43"/>
      <c r="J760" s="43"/>
      <c r="K760" s="43"/>
      <c r="L760" s="43"/>
      <c r="M760" s="43"/>
      <c r="N760" s="43"/>
      <c r="O760" s="43"/>
      <c r="P760" s="43"/>
      <c r="Q760" s="43"/>
      <c r="R760" s="43"/>
      <c r="S760" s="43"/>
      <c r="T760" s="49"/>
      <c r="U760" s="49"/>
      <c r="V760" s="49"/>
      <c r="W760" s="49"/>
      <c r="X760" s="49"/>
      <c r="Y760" s="49"/>
      <c r="Z760" s="49"/>
      <c r="AA760" s="49"/>
      <c r="AB760" s="49"/>
      <c r="AC760" s="49"/>
      <c r="AD760" s="49"/>
      <c r="AE760" s="49"/>
    </row>
    <row r="761" spans="1:31">
      <c r="A761" s="43"/>
      <c r="B761" s="43"/>
      <c r="C761" s="43"/>
      <c r="D761" s="43"/>
      <c r="E761" s="43"/>
      <c r="F761" s="43"/>
      <c r="G761" s="43"/>
      <c r="H761" s="43"/>
      <c r="I761" s="43"/>
      <c r="J761" s="43"/>
      <c r="K761" s="43"/>
      <c r="L761" s="43"/>
      <c r="M761" s="43"/>
      <c r="N761" s="43"/>
      <c r="O761" s="43"/>
      <c r="P761" s="43"/>
      <c r="Q761" s="43"/>
      <c r="R761" s="43"/>
      <c r="S761" s="43"/>
      <c r="T761" s="49"/>
      <c r="U761" s="49"/>
      <c r="V761" s="49"/>
      <c r="W761" s="49"/>
      <c r="X761" s="49"/>
      <c r="Y761" s="49"/>
      <c r="Z761" s="49"/>
      <c r="AA761" s="49"/>
      <c r="AB761" s="49"/>
      <c r="AC761" s="49"/>
      <c r="AD761" s="49"/>
      <c r="AE761" s="49"/>
    </row>
    <row r="762" spans="1:31">
      <c r="A762" s="43"/>
      <c r="B762" s="43"/>
      <c r="C762" s="43"/>
      <c r="D762" s="43"/>
      <c r="E762" s="43"/>
      <c r="F762" s="43"/>
      <c r="G762" s="43"/>
      <c r="H762" s="43"/>
      <c r="I762" s="43"/>
      <c r="J762" s="43"/>
      <c r="K762" s="43"/>
      <c r="L762" s="43"/>
      <c r="M762" s="43"/>
      <c r="N762" s="43"/>
      <c r="O762" s="43"/>
      <c r="P762" s="43"/>
      <c r="Q762" s="43"/>
      <c r="R762" s="43"/>
      <c r="S762" s="43"/>
      <c r="T762" s="49"/>
      <c r="U762" s="49"/>
      <c r="V762" s="49"/>
      <c r="W762" s="49"/>
      <c r="X762" s="49"/>
      <c r="Y762" s="49"/>
      <c r="Z762" s="49"/>
      <c r="AA762" s="49"/>
      <c r="AB762" s="49"/>
      <c r="AC762" s="49"/>
      <c r="AD762" s="49"/>
      <c r="AE762" s="49"/>
    </row>
    <row r="763" spans="1:31">
      <c r="A763" s="43"/>
      <c r="B763" s="43"/>
      <c r="C763" s="43"/>
      <c r="D763" s="43"/>
      <c r="E763" s="43"/>
      <c r="F763" s="43"/>
      <c r="G763" s="43"/>
      <c r="H763" s="43"/>
      <c r="I763" s="43"/>
      <c r="J763" s="43"/>
      <c r="K763" s="43"/>
      <c r="L763" s="43"/>
      <c r="M763" s="43"/>
      <c r="N763" s="43"/>
      <c r="O763" s="43"/>
      <c r="P763" s="43"/>
      <c r="Q763" s="43"/>
      <c r="R763" s="43"/>
      <c r="S763" s="43"/>
      <c r="T763" s="49"/>
      <c r="U763" s="49"/>
      <c r="V763" s="49"/>
      <c r="W763" s="49"/>
      <c r="X763" s="49"/>
      <c r="Y763" s="49"/>
      <c r="Z763" s="49"/>
      <c r="AA763" s="49"/>
      <c r="AB763" s="49"/>
      <c r="AC763" s="49"/>
      <c r="AD763" s="49"/>
      <c r="AE763" s="49"/>
    </row>
    <row r="764" spans="1:31">
      <c r="A764" s="43"/>
      <c r="B764" s="43"/>
      <c r="C764" s="43"/>
      <c r="D764" s="43"/>
      <c r="E764" s="43"/>
      <c r="F764" s="43"/>
      <c r="G764" s="43"/>
      <c r="H764" s="43"/>
      <c r="I764" s="43"/>
      <c r="J764" s="43"/>
      <c r="K764" s="43"/>
      <c r="L764" s="43"/>
      <c r="M764" s="43"/>
      <c r="N764" s="43"/>
      <c r="O764" s="43"/>
      <c r="P764" s="43"/>
      <c r="Q764" s="43"/>
      <c r="R764" s="43"/>
      <c r="S764" s="43"/>
      <c r="T764" s="49"/>
      <c r="U764" s="49"/>
      <c r="V764" s="49"/>
      <c r="W764" s="49"/>
      <c r="X764" s="49"/>
      <c r="Y764" s="49"/>
      <c r="Z764" s="49"/>
      <c r="AA764" s="49"/>
      <c r="AB764" s="49"/>
      <c r="AC764" s="49"/>
      <c r="AD764" s="49"/>
      <c r="AE764" s="49"/>
    </row>
    <row r="765" spans="1:31">
      <c r="A765" s="43"/>
      <c r="B765" s="43"/>
      <c r="C765" s="43"/>
      <c r="D765" s="43"/>
      <c r="E765" s="43"/>
      <c r="F765" s="43"/>
      <c r="G765" s="43"/>
      <c r="H765" s="43"/>
      <c r="I765" s="43"/>
      <c r="J765" s="43"/>
      <c r="K765" s="43"/>
      <c r="L765" s="43"/>
      <c r="M765" s="43"/>
      <c r="N765" s="43"/>
      <c r="O765" s="43"/>
      <c r="P765" s="43"/>
      <c r="Q765" s="43"/>
      <c r="R765" s="43"/>
      <c r="S765" s="43"/>
      <c r="T765" s="49"/>
      <c r="U765" s="49"/>
      <c r="V765" s="49"/>
      <c r="W765" s="49"/>
      <c r="X765" s="49"/>
      <c r="Y765" s="49"/>
      <c r="Z765" s="49"/>
      <c r="AA765" s="49"/>
      <c r="AB765" s="49"/>
      <c r="AC765" s="49"/>
      <c r="AD765" s="49"/>
      <c r="AE765" s="49"/>
    </row>
    <row r="766" spans="1:31">
      <c r="A766" s="43"/>
      <c r="B766" s="43"/>
      <c r="C766" s="43"/>
      <c r="D766" s="43"/>
      <c r="E766" s="43"/>
      <c r="F766" s="43"/>
      <c r="G766" s="43"/>
      <c r="H766" s="43"/>
      <c r="I766" s="43"/>
      <c r="J766" s="43"/>
      <c r="K766" s="43"/>
      <c r="L766" s="43"/>
      <c r="M766" s="43"/>
      <c r="N766" s="43"/>
      <c r="O766" s="43"/>
      <c r="P766" s="43"/>
      <c r="Q766" s="43"/>
      <c r="R766" s="43"/>
      <c r="S766" s="43"/>
      <c r="T766" s="49"/>
      <c r="U766" s="49"/>
      <c r="V766" s="49"/>
      <c r="W766" s="49"/>
      <c r="X766" s="49"/>
      <c r="Y766" s="49"/>
      <c r="Z766" s="49"/>
      <c r="AA766" s="49"/>
      <c r="AB766" s="49"/>
      <c r="AC766" s="49"/>
      <c r="AD766" s="49"/>
      <c r="AE766" s="49"/>
    </row>
    <row r="767" spans="1:31">
      <c r="A767" s="43"/>
      <c r="B767" s="43"/>
      <c r="C767" s="43"/>
      <c r="D767" s="43"/>
      <c r="E767" s="43"/>
      <c r="F767" s="43"/>
      <c r="G767" s="43"/>
      <c r="H767" s="43"/>
      <c r="I767" s="43"/>
      <c r="J767" s="43"/>
      <c r="K767" s="43"/>
      <c r="L767" s="43"/>
      <c r="M767" s="43"/>
      <c r="N767" s="43"/>
      <c r="O767" s="43"/>
      <c r="P767" s="43"/>
      <c r="Q767" s="43"/>
      <c r="R767" s="43"/>
      <c r="S767" s="43"/>
      <c r="T767" s="49"/>
      <c r="U767" s="49"/>
      <c r="V767" s="49"/>
      <c r="W767" s="49"/>
      <c r="X767" s="49"/>
      <c r="Y767" s="49"/>
      <c r="Z767" s="49"/>
      <c r="AA767" s="49"/>
      <c r="AB767" s="49"/>
      <c r="AC767" s="49"/>
      <c r="AD767" s="49"/>
      <c r="AE767" s="49"/>
    </row>
    <row r="768" spans="1:31">
      <c r="A768" s="43"/>
      <c r="B768" s="43"/>
      <c r="C768" s="43"/>
      <c r="D768" s="43"/>
      <c r="E768" s="43"/>
      <c r="F768" s="43"/>
      <c r="G768" s="43"/>
      <c r="H768" s="43"/>
      <c r="I768" s="43"/>
      <c r="J768" s="43"/>
      <c r="K768" s="43"/>
      <c r="L768" s="43"/>
      <c r="M768" s="43"/>
      <c r="N768" s="43"/>
      <c r="O768" s="43"/>
      <c r="P768" s="43"/>
      <c r="Q768" s="43"/>
      <c r="R768" s="43"/>
      <c r="S768" s="43"/>
      <c r="T768" s="49"/>
      <c r="U768" s="49"/>
      <c r="V768" s="49"/>
      <c r="W768" s="49"/>
      <c r="X768" s="49"/>
      <c r="Y768" s="49"/>
      <c r="Z768" s="49"/>
      <c r="AA768" s="49"/>
      <c r="AB768" s="49"/>
      <c r="AC768" s="49"/>
      <c r="AD768" s="49"/>
      <c r="AE768" s="49"/>
    </row>
    <row r="769" spans="1:31">
      <c r="A769" s="43"/>
      <c r="B769" s="43"/>
      <c r="C769" s="43"/>
      <c r="D769" s="43"/>
      <c r="E769" s="43"/>
      <c r="F769" s="43"/>
      <c r="G769" s="43"/>
      <c r="H769" s="43"/>
      <c r="I769" s="43"/>
      <c r="J769" s="43"/>
      <c r="K769" s="43"/>
      <c r="L769" s="43"/>
      <c r="M769" s="43"/>
      <c r="N769" s="43"/>
      <c r="O769" s="43"/>
      <c r="P769" s="43"/>
      <c r="Q769" s="43"/>
      <c r="R769" s="43"/>
      <c r="S769" s="43"/>
      <c r="T769" s="49"/>
      <c r="U769" s="49"/>
      <c r="V769" s="49"/>
      <c r="W769" s="49"/>
      <c r="X769" s="49"/>
      <c r="Y769" s="49"/>
      <c r="Z769" s="49"/>
      <c r="AA769" s="49"/>
      <c r="AB769" s="49"/>
      <c r="AC769" s="49"/>
      <c r="AD769" s="49"/>
      <c r="AE769" s="49"/>
    </row>
    <row r="770" spans="1:31">
      <c r="A770" s="43"/>
      <c r="B770" s="43"/>
      <c r="C770" s="43"/>
      <c r="D770" s="43"/>
      <c r="E770" s="43"/>
      <c r="F770" s="43"/>
      <c r="G770" s="43"/>
      <c r="H770" s="43"/>
      <c r="I770" s="43"/>
      <c r="J770" s="43"/>
      <c r="K770" s="43"/>
      <c r="L770" s="43"/>
      <c r="M770" s="43"/>
      <c r="N770" s="43"/>
      <c r="O770" s="43"/>
      <c r="P770" s="43"/>
      <c r="Q770" s="43"/>
      <c r="R770" s="43"/>
      <c r="S770" s="43"/>
      <c r="T770" s="49"/>
      <c r="U770" s="49"/>
      <c r="V770" s="49"/>
      <c r="W770" s="49"/>
      <c r="X770" s="49"/>
      <c r="Y770" s="49"/>
      <c r="Z770" s="49"/>
      <c r="AA770" s="49"/>
      <c r="AB770" s="49"/>
      <c r="AC770" s="49"/>
      <c r="AD770" s="49"/>
      <c r="AE770" s="49"/>
    </row>
    <row r="771" spans="1:31">
      <c r="A771" s="43"/>
      <c r="B771" s="43"/>
      <c r="C771" s="43"/>
      <c r="D771" s="43"/>
      <c r="E771" s="43"/>
      <c r="F771" s="43"/>
      <c r="G771" s="43"/>
      <c r="H771" s="43"/>
      <c r="I771" s="43"/>
      <c r="J771" s="43"/>
      <c r="K771" s="43"/>
      <c r="L771" s="43"/>
      <c r="M771" s="43"/>
      <c r="N771" s="43"/>
      <c r="O771" s="43"/>
      <c r="P771" s="43"/>
      <c r="Q771" s="43"/>
      <c r="R771" s="43"/>
      <c r="S771" s="43"/>
      <c r="T771" s="49"/>
      <c r="U771" s="49"/>
      <c r="V771" s="49"/>
      <c r="W771" s="49"/>
      <c r="X771" s="49"/>
      <c r="Y771" s="49"/>
      <c r="Z771" s="49"/>
      <c r="AA771" s="49"/>
      <c r="AB771" s="49"/>
      <c r="AC771" s="49"/>
      <c r="AD771" s="49"/>
      <c r="AE771" s="49"/>
    </row>
    <row r="772" spans="1:31">
      <c r="A772" s="43"/>
      <c r="B772" s="43"/>
      <c r="C772" s="43"/>
      <c r="D772" s="43"/>
      <c r="E772" s="43"/>
      <c r="F772" s="43"/>
      <c r="G772" s="43"/>
      <c r="H772" s="43"/>
      <c r="I772" s="43"/>
      <c r="J772" s="43"/>
      <c r="K772" s="43"/>
      <c r="L772" s="43"/>
      <c r="M772" s="43"/>
      <c r="N772" s="43"/>
      <c r="O772" s="43"/>
      <c r="P772" s="43"/>
      <c r="Q772" s="43"/>
      <c r="R772" s="43"/>
      <c r="S772" s="43"/>
      <c r="T772" s="49"/>
      <c r="U772" s="49"/>
      <c r="V772" s="49"/>
      <c r="W772" s="49"/>
      <c r="X772" s="49"/>
      <c r="Y772" s="49"/>
      <c r="Z772" s="49"/>
      <c r="AA772" s="49"/>
      <c r="AB772" s="49"/>
      <c r="AC772" s="49"/>
      <c r="AD772" s="49"/>
      <c r="AE772" s="49"/>
    </row>
    <row r="773" spans="1:31">
      <c r="A773" s="43"/>
      <c r="B773" s="43"/>
      <c r="C773" s="43"/>
      <c r="D773" s="43"/>
      <c r="E773" s="43"/>
      <c r="F773" s="43"/>
      <c r="G773" s="43"/>
      <c r="H773" s="43"/>
      <c r="I773" s="43"/>
      <c r="J773" s="43"/>
      <c r="K773" s="43"/>
      <c r="L773" s="43"/>
      <c r="M773" s="43"/>
      <c r="N773" s="43"/>
      <c r="O773" s="43"/>
      <c r="P773" s="43"/>
      <c r="Q773" s="43"/>
      <c r="R773" s="43"/>
      <c r="S773" s="43"/>
      <c r="T773" s="49"/>
      <c r="U773" s="49"/>
      <c r="V773" s="49"/>
      <c r="W773" s="49"/>
      <c r="X773" s="49"/>
      <c r="Y773" s="49"/>
      <c r="Z773" s="49"/>
      <c r="AA773" s="49"/>
      <c r="AB773" s="49"/>
      <c r="AC773" s="49"/>
      <c r="AD773" s="49"/>
      <c r="AE773" s="49"/>
    </row>
    <row r="774" spans="1:31">
      <c r="A774" s="43"/>
      <c r="B774" s="43"/>
      <c r="C774" s="43"/>
      <c r="D774" s="43"/>
      <c r="E774" s="43"/>
      <c r="F774" s="43"/>
      <c r="G774" s="43"/>
      <c r="H774" s="43"/>
      <c r="I774" s="43"/>
      <c r="J774" s="43"/>
      <c r="K774" s="43"/>
      <c r="L774" s="43"/>
      <c r="M774" s="43"/>
      <c r="N774" s="43"/>
      <c r="O774" s="43"/>
      <c r="P774" s="43"/>
      <c r="Q774" s="43"/>
      <c r="R774" s="43"/>
      <c r="S774" s="43"/>
      <c r="T774" s="49"/>
      <c r="U774" s="49"/>
      <c r="V774" s="49"/>
      <c r="W774" s="49"/>
      <c r="X774" s="49"/>
      <c r="Y774" s="49"/>
      <c r="Z774" s="49"/>
      <c r="AA774" s="49"/>
      <c r="AB774" s="49"/>
      <c r="AC774" s="49"/>
      <c r="AD774" s="49"/>
      <c r="AE774" s="49"/>
    </row>
    <row r="775" spans="1:31">
      <c r="A775" s="43"/>
      <c r="B775" s="43"/>
      <c r="C775" s="43"/>
      <c r="D775" s="43"/>
      <c r="E775" s="43"/>
      <c r="F775" s="43"/>
      <c r="G775" s="43"/>
      <c r="H775" s="43"/>
      <c r="I775" s="43"/>
      <c r="J775" s="43"/>
      <c r="K775" s="43"/>
      <c r="L775" s="43"/>
      <c r="M775" s="43"/>
      <c r="N775" s="43"/>
      <c r="O775" s="43"/>
      <c r="P775" s="43"/>
      <c r="Q775" s="43"/>
      <c r="R775" s="43"/>
      <c r="S775" s="43"/>
      <c r="T775" s="49"/>
      <c r="U775" s="49"/>
      <c r="V775" s="49"/>
      <c r="W775" s="49"/>
      <c r="X775" s="49"/>
      <c r="Y775" s="49"/>
      <c r="Z775" s="49"/>
      <c r="AA775" s="49"/>
      <c r="AB775" s="49"/>
      <c r="AC775" s="49"/>
      <c r="AD775" s="49"/>
      <c r="AE775" s="49"/>
    </row>
    <row r="776" spans="1:31">
      <c r="A776" s="43"/>
      <c r="B776" s="43"/>
      <c r="C776" s="43"/>
      <c r="D776" s="43"/>
      <c r="E776" s="43"/>
      <c r="F776" s="43"/>
      <c r="G776" s="43"/>
      <c r="H776" s="43"/>
      <c r="I776" s="43"/>
      <c r="J776" s="43"/>
      <c r="K776" s="43"/>
      <c r="L776" s="43"/>
      <c r="M776" s="43"/>
      <c r="N776" s="43"/>
      <c r="O776" s="43"/>
      <c r="P776" s="43"/>
      <c r="Q776" s="43"/>
      <c r="R776" s="43"/>
      <c r="S776" s="43"/>
      <c r="T776" s="49"/>
      <c r="U776" s="49"/>
      <c r="V776" s="49"/>
      <c r="W776" s="49"/>
      <c r="X776" s="49"/>
      <c r="Y776" s="49"/>
      <c r="Z776" s="49"/>
      <c r="AA776" s="49"/>
      <c r="AB776" s="49"/>
      <c r="AC776" s="49"/>
      <c r="AD776" s="49"/>
      <c r="AE776" s="49"/>
    </row>
    <row r="777" spans="1:31">
      <c r="A777" s="43"/>
      <c r="B777" s="43"/>
      <c r="C777" s="43"/>
      <c r="D777" s="43"/>
      <c r="E777" s="43"/>
      <c r="F777" s="43"/>
      <c r="G777" s="43"/>
      <c r="H777" s="43"/>
      <c r="I777" s="43"/>
      <c r="J777" s="43"/>
      <c r="K777" s="43"/>
      <c r="L777" s="43"/>
      <c r="M777" s="43"/>
      <c r="N777" s="43"/>
      <c r="O777" s="43"/>
      <c r="P777" s="43"/>
      <c r="Q777" s="43"/>
      <c r="R777" s="43"/>
      <c r="S777" s="43"/>
      <c r="T777" s="49"/>
      <c r="U777" s="49"/>
      <c r="V777" s="49"/>
      <c r="W777" s="49"/>
      <c r="X777" s="49"/>
      <c r="Y777" s="49"/>
      <c r="Z777" s="49"/>
      <c r="AA777" s="49"/>
      <c r="AB777" s="49"/>
      <c r="AC777" s="49"/>
      <c r="AD777" s="49"/>
      <c r="AE777" s="49"/>
    </row>
    <row r="778" spans="1:31">
      <c r="A778" s="43"/>
      <c r="B778" s="43"/>
      <c r="C778" s="43"/>
      <c r="D778" s="43"/>
      <c r="E778" s="43"/>
      <c r="F778" s="43"/>
      <c r="G778" s="43"/>
      <c r="H778" s="43"/>
      <c r="I778" s="43"/>
      <c r="J778" s="43"/>
      <c r="K778" s="43"/>
      <c r="L778" s="43"/>
      <c r="M778" s="43"/>
      <c r="N778" s="43"/>
      <c r="O778" s="43"/>
      <c r="P778" s="43"/>
      <c r="Q778" s="43"/>
      <c r="R778" s="43"/>
      <c r="S778" s="43"/>
      <c r="T778" s="49"/>
      <c r="U778" s="49"/>
      <c r="V778" s="49"/>
      <c r="W778" s="49"/>
      <c r="X778" s="49"/>
      <c r="Y778" s="49"/>
      <c r="Z778" s="49"/>
      <c r="AA778" s="49"/>
      <c r="AB778" s="49"/>
      <c r="AC778" s="49"/>
      <c r="AD778" s="49"/>
      <c r="AE778" s="49"/>
    </row>
    <row r="779" spans="1:31">
      <c r="A779" s="43"/>
      <c r="B779" s="43"/>
      <c r="C779" s="43"/>
      <c r="D779" s="43"/>
      <c r="E779" s="43"/>
      <c r="F779" s="43"/>
      <c r="G779" s="43"/>
      <c r="H779" s="43"/>
      <c r="I779" s="43"/>
      <c r="J779" s="43"/>
      <c r="K779" s="43"/>
      <c r="L779" s="43"/>
      <c r="M779" s="43"/>
      <c r="N779" s="43"/>
      <c r="O779" s="43"/>
      <c r="P779" s="43"/>
      <c r="Q779" s="43"/>
      <c r="R779" s="43"/>
      <c r="S779" s="43"/>
      <c r="T779" s="49"/>
      <c r="U779" s="49"/>
      <c r="V779" s="49"/>
      <c r="W779" s="49"/>
      <c r="X779" s="49"/>
      <c r="Y779" s="49"/>
      <c r="Z779" s="49"/>
      <c r="AA779" s="49"/>
      <c r="AB779" s="49"/>
      <c r="AC779" s="49"/>
      <c r="AD779" s="49"/>
      <c r="AE779" s="49"/>
    </row>
    <row r="780" spans="1:31">
      <c r="A780" s="43"/>
      <c r="B780" s="43"/>
      <c r="C780" s="43"/>
      <c r="D780" s="43"/>
      <c r="E780" s="43"/>
      <c r="F780" s="43"/>
      <c r="G780" s="43"/>
      <c r="H780" s="43"/>
      <c r="I780" s="43"/>
      <c r="J780" s="43"/>
      <c r="K780" s="43"/>
      <c r="L780" s="43"/>
      <c r="M780" s="43"/>
      <c r="N780" s="43"/>
      <c r="O780" s="43"/>
      <c r="P780" s="43"/>
      <c r="Q780" s="43"/>
      <c r="R780" s="43"/>
      <c r="S780" s="43"/>
      <c r="T780" s="49"/>
      <c r="U780" s="49"/>
      <c r="V780" s="49"/>
      <c r="W780" s="49"/>
      <c r="X780" s="49"/>
      <c r="Y780" s="49"/>
      <c r="Z780" s="49"/>
      <c r="AA780" s="49"/>
      <c r="AB780" s="49"/>
      <c r="AC780" s="49"/>
      <c r="AD780" s="49"/>
      <c r="AE780" s="49"/>
    </row>
    <row r="781" spans="1:31">
      <c r="A781" s="43"/>
      <c r="B781" s="43"/>
      <c r="C781" s="43"/>
      <c r="D781" s="43"/>
      <c r="E781" s="43"/>
      <c r="F781" s="43"/>
      <c r="G781" s="43"/>
      <c r="H781" s="43"/>
      <c r="I781" s="43"/>
      <c r="J781" s="43"/>
      <c r="K781" s="43"/>
      <c r="L781" s="43"/>
      <c r="M781" s="43"/>
      <c r="N781" s="43"/>
      <c r="O781" s="43"/>
      <c r="P781" s="43"/>
      <c r="Q781" s="43"/>
      <c r="R781" s="43"/>
      <c r="S781" s="43"/>
      <c r="T781" s="49"/>
      <c r="U781" s="49"/>
      <c r="V781" s="49"/>
      <c r="W781" s="49"/>
      <c r="X781" s="49"/>
      <c r="Y781" s="49"/>
      <c r="Z781" s="49"/>
      <c r="AA781" s="49"/>
      <c r="AB781" s="49"/>
      <c r="AC781" s="49"/>
      <c r="AD781" s="49"/>
      <c r="AE781" s="49"/>
    </row>
    <row r="782" spans="1:31">
      <c r="A782" s="43"/>
      <c r="B782" s="43"/>
      <c r="C782" s="43"/>
      <c r="D782" s="43"/>
      <c r="E782" s="43"/>
      <c r="F782" s="43"/>
      <c r="G782" s="43"/>
      <c r="H782" s="43"/>
      <c r="I782" s="43"/>
      <c r="J782" s="43"/>
      <c r="K782" s="43"/>
      <c r="L782" s="43"/>
      <c r="M782" s="43"/>
      <c r="N782" s="43"/>
      <c r="O782" s="43"/>
      <c r="P782" s="43"/>
      <c r="Q782" s="43"/>
      <c r="R782" s="43"/>
      <c r="S782" s="43"/>
      <c r="T782" s="49"/>
      <c r="U782" s="49"/>
      <c r="V782" s="49"/>
      <c r="W782" s="49"/>
      <c r="X782" s="49"/>
      <c r="Y782" s="49"/>
      <c r="Z782" s="49"/>
      <c r="AA782" s="49"/>
      <c r="AB782" s="49"/>
      <c r="AC782" s="49"/>
      <c r="AD782" s="49"/>
      <c r="AE782" s="49"/>
    </row>
    <row r="783" spans="1:31">
      <c r="A783" s="43"/>
      <c r="B783" s="43"/>
      <c r="C783" s="43"/>
      <c r="D783" s="43"/>
      <c r="E783" s="43"/>
      <c r="F783" s="43"/>
      <c r="G783" s="43"/>
      <c r="H783" s="43"/>
      <c r="I783" s="43"/>
      <c r="J783" s="43"/>
      <c r="K783" s="43"/>
      <c r="L783" s="43"/>
      <c r="M783" s="43"/>
      <c r="N783" s="43"/>
      <c r="O783" s="43"/>
      <c r="P783" s="43"/>
      <c r="Q783" s="43"/>
      <c r="R783" s="43"/>
      <c r="S783" s="43"/>
      <c r="T783" s="49"/>
      <c r="U783" s="49"/>
      <c r="V783" s="49"/>
      <c r="W783" s="49"/>
      <c r="X783" s="49"/>
      <c r="Y783" s="49"/>
      <c r="Z783" s="49"/>
      <c r="AA783" s="49"/>
      <c r="AB783" s="49"/>
      <c r="AC783" s="49"/>
      <c r="AD783" s="49"/>
      <c r="AE783" s="49"/>
    </row>
    <row r="784" spans="1:31">
      <c r="A784" s="43"/>
      <c r="B784" s="43"/>
      <c r="C784" s="43"/>
      <c r="D784" s="43"/>
      <c r="E784" s="43"/>
      <c r="F784" s="43"/>
      <c r="G784" s="43"/>
      <c r="H784" s="43"/>
      <c r="I784" s="43"/>
      <c r="J784" s="43"/>
      <c r="K784" s="43"/>
      <c r="L784" s="43"/>
      <c r="M784" s="43"/>
      <c r="N784" s="43"/>
      <c r="O784" s="43"/>
      <c r="P784" s="43"/>
      <c r="Q784" s="43"/>
      <c r="R784" s="43"/>
      <c r="S784" s="43"/>
      <c r="T784" s="49"/>
      <c r="U784" s="49"/>
      <c r="V784" s="49"/>
      <c r="W784" s="49"/>
      <c r="X784" s="49"/>
      <c r="Y784" s="49"/>
      <c r="Z784" s="49"/>
      <c r="AA784" s="49"/>
      <c r="AB784" s="49"/>
      <c r="AC784" s="49"/>
      <c r="AD784" s="49"/>
      <c r="AE784" s="49"/>
    </row>
    <row r="785" spans="1:31">
      <c r="A785" s="43"/>
      <c r="B785" s="43"/>
      <c r="C785" s="43"/>
      <c r="D785" s="43"/>
      <c r="E785" s="43"/>
      <c r="F785" s="43"/>
      <c r="G785" s="43"/>
      <c r="H785" s="43"/>
      <c r="I785" s="43"/>
      <c r="J785" s="43"/>
      <c r="K785" s="43"/>
      <c r="L785" s="43"/>
      <c r="M785" s="43"/>
      <c r="N785" s="43"/>
      <c r="O785" s="43"/>
      <c r="P785" s="43"/>
      <c r="Q785" s="43"/>
      <c r="R785" s="43"/>
      <c r="S785" s="43"/>
      <c r="T785" s="49"/>
      <c r="U785" s="49"/>
      <c r="V785" s="49"/>
      <c r="W785" s="49"/>
      <c r="X785" s="49"/>
      <c r="Y785" s="49"/>
      <c r="Z785" s="49"/>
      <c r="AA785" s="49"/>
      <c r="AB785" s="49"/>
      <c r="AC785" s="49"/>
      <c r="AD785" s="49"/>
      <c r="AE785" s="49"/>
    </row>
    <row r="786" spans="1:31">
      <c r="A786" s="43"/>
      <c r="B786" s="43"/>
      <c r="C786" s="43"/>
      <c r="D786" s="43"/>
      <c r="E786" s="43"/>
      <c r="F786" s="43"/>
      <c r="G786" s="43"/>
      <c r="H786" s="43"/>
      <c r="I786" s="43"/>
      <c r="J786" s="43"/>
      <c r="K786" s="43"/>
      <c r="L786" s="43"/>
      <c r="M786" s="43"/>
      <c r="N786" s="43"/>
      <c r="O786" s="43"/>
      <c r="P786" s="43"/>
      <c r="Q786" s="43"/>
      <c r="R786" s="43"/>
      <c r="S786" s="43"/>
      <c r="T786" s="49"/>
      <c r="U786" s="49"/>
      <c r="V786" s="49"/>
      <c r="W786" s="49"/>
      <c r="X786" s="49"/>
      <c r="Y786" s="49"/>
      <c r="Z786" s="49"/>
      <c r="AA786" s="49"/>
      <c r="AB786" s="49"/>
      <c r="AC786" s="49"/>
      <c r="AD786" s="49"/>
      <c r="AE786" s="49"/>
    </row>
    <row r="787" spans="1:31">
      <c r="A787" s="43"/>
      <c r="B787" s="43"/>
      <c r="C787" s="43"/>
      <c r="D787" s="43"/>
      <c r="E787" s="43"/>
      <c r="F787" s="43"/>
      <c r="G787" s="43"/>
      <c r="H787" s="43"/>
      <c r="I787" s="43"/>
      <c r="J787" s="43"/>
      <c r="K787" s="43"/>
      <c r="L787" s="43"/>
      <c r="M787" s="43"/>
      <c r="N787" s="43"/>
      <c r="O787" s="43"/>
      <c r="P787" s="43"/>
      <c r="Q787" s="43"/>
      <c r="R787" s="43"/>
      <c r="S787" s="43"/>
      <c r="T787" s="49"/>
      <c r="U787" s="49"/>
      <c r="V787" s="49"/>
      <c r="W787" s="49"/>
      <c r="X787" s="49"/>
      <c r="Y787" s="49"/>
      <c r="Z787" s="49"/>
      <c r="AA787" s="49"/>
      <c r="AB787" s="49"/>
      <c r="AC787" s="49"/>
      <c r="AD787" s="49"/>
      <c r="AE787" s="49"/>
    </row>
    <row r="788" spans="1:31">
      <c r="A788" s="43"/>
      <c r="B788" s="43"/>
      <c r="C788" s="43"/>
      <c r="D788" s="43"/>
      <c r="E788" s="43"/>
      <c r="F788" s="43"/>
      <c r="G788" s="43"/>
      <c r="H788" s="43"/>
      <c r="I788" s="43"/>
      <c r="J788" s="43"/>
      <c r="K788" s="43"/>
      <c r="L788" s="43"/>
      <c r="M788" s="43"/>
      <c r="N788" s="43"/>
      <c r="O788" s="43"/>
      <c r="P788" s="43"/>
      <c r="Q788" s="43"/>
      <c r="R788" s="43"/>
      <c r="S788" s="43"/>
      <c r="T788" s="49"/>
      <c r="U788" s="49"/>
      <c r="V788" s="49"/>
      <c r="W788" s="49"/>
      <c r="X788" s="49"/>
      <c r="Y788" s="49"/>
      <c r="Z788" s="49"/>
      <c r="AA788" s="49"/>
      <c r="AB788" s="49"/>
      <c r="AC788" s="49"/>
      <c r="AD788" s="49"/>
      <c r="AE788" s="49"/>
    </row>
    <row r="789" spans="1:31">
      <c r="A789" s="43"/>
      <c r="B789" s="43"/>
      <c r="C789" s="43"/>
      <c r="D789" s="43"/>
      <c r="E789" s="43"/>
      <c r="F789" s="43"/>
      <c r="G789" s="43"/>
      <c r="H789" s="43"/>
      <c r="I789" s="43"/>
      <c r="J789" s="43"/>
      <c r="K789" s="43"/>
      <c r="L789" s="43"/>
      <c r="M789" s="43"/>
      <c r="N789" s="43"/>
      <c r="O789" s="43"/>
      <c r="P789" s="43"/>
      <c r="Q789" s="43"/>
      <c r="R789" s="43"/>
      <c r="S789" s="43"/>
      <c r="T789" s="49"/>
      <c r="U789" s="49"/>
      <c r="V789" s="49"/>
      <c r="W789" s="49"/>
      <c r="X789" s="49"/>
      <c r="Y789" s="49"/>
      <c r="Z789" s="49"/>
      <c r="AA789" s="49"/>
      <c r="AB789" s="49"/>
      <c r="AC789" s="49"/>
      <c r="AD789" s="49"/>
      <c r="AE789" s="49"/>
    </row>
    <row r="790" spans="1:31">
      <c r="A790" s="43"/>
      <c r="B790" s="43"/>
      <c r="C790" s="43"/>
      <c r="D790" s="43"/>
      <c r="E790" s="43"/>
      <c r="F790" s="43"/>
      <c r="G790" s="43"/>
      <c r="H790" s="43"/>
      <c r="I790" s="43"/>
      <c r="J790" s="43"/>
      <c r="K790" s="43"/>
      <c r="L790" s="43"/>
      <c r="M790" s="43"/>
      <c r="N790" s="43"/>
      <c r="O790" s="43"/>
      <c r="P790" s="43"/>
      <c r="Q790" s="43"/>
      <c r="R790" s="43"/>
      <c r="S790" s="43"/>
      <c r="T790" s="49"/>
      <c r="U790" s="49"/>
      <c r="V790" s="49"/>
      <c r="W790" s="49"/>
      <c r="X790" s="49"/>
      <c r="Y790" s="49"/>
      <c r="Z790" s="49"/>
      <c r="AA790" s="49"/>
      <c r="AB790" s="49"/>
      <c r="AC790" s="49"/>
      <c r="AD790" s="49"/>
      <c r="AE790" s="49"/>
    </row>
    <row r="791" spans="1:31">
      <c r="A791" s="43"/>
      <c r="B791" s="43"/>
      <c r="C791" s="43"/>
      <c r="D791" s="43"/>
      <c r="E791" s="43"/>
      <c r="F791" s="43"/>
      <c r="G791" s="43"/>
      <c r="H791" s="43"/>
      <c r="I791" s="43"/>
      <c r="J791" s="43"/>
      <c r="K791" s="43"/>
      <c r="L791" s="43"/>
      <c r="M791" s="43"/>
      <c r="N791" s="43"/>
      <c r="O791" s="43"/>
      <c r="P791" s="43"/>
      <c r="Q791" s="43"/>
      <c r="R791" s="43"/>
      <c r="S791" s="43"/>
      <c r="T791" s="49"/>
      <c r="U791" s="49"/>
      <c r="V791" s="49"/>
      <c r="W791" s="49"/>
      <c r="X791" s="49"/>
      <c r="Y791" s="49"/>
      <c r="Z791" s="49"/>
      <c r="AA791" s="49"/>
      <c r="AB791" s="49"/>
      <c r="AC791" s="49"/>
      <c r="AD791" s="49"/>
      <c r="AE791" s="49"/>
    </row>
    <row r="792" spans="1:31">
      <c r="A792" s="43"/>
      <c r="B792" s="43"/>
      <c r="C792" s="43"/>
      <c r="D792" s="43"/>
      <c r="E792" s="43"/>
      <c r="F792" s="43"/>
      <c r="G792" s="43"/>
      <c r="H792" s="43"/>
      <c r="I792" s="43"/>
      <c r="J792" s="43"/>
      <c r="K792" s="43"/>
      <c r="L792" s="43"/>
      <c r="M792" s="43"/>
      <c r="N792" s="43"/>
      <c r="O792" s="43"/>
      <c r="P792" s="43"/>
      <c r="Q792" s="43"/>
      <c r="R792" s="43"/>
      <c r="S792" s="43"/>
      <c r="T792" s="49"/>
      <c r="U792" s="49"/>
      <c r="V792" s="49"/>
      <c r="W792" s="49"/>
      <c r="X792" s="49"/>
      <c r="Y792" s="49"/>
      <c r="Z792" s="49"/>
      <c r="AA792" s="49"/>
      <c r="AB792" s="49"/>
      <c r="AC792" s="49"/>
      <c r="AD792" s="49"/>
      <c r="AE792" s="49"/>
    </row>
    <row r="793" spans="1:31">
      <c r="A793" s="43"/>
      <c r="B793" s="43"/>
      <c r="C793" s="43"/>
      <c r="D793" s="43"/>
      <c r="E793" s="43"/>
      <c r="F793" s="43"/>
      <c r="G793" s="43"/>
      <c r="H793" s="43"/>
      <c r="I793" s="43"/>
      <c r="J793" s="43"/>
      <c r="K793" s="43"/>
      <c r="L793" s="43"/>
      <c r="M793" s="43"/>
      <c r="N793" s="43"/>
      <c r="O793" s="43"/>
      <c r="P793" s="43"/>
      <c r="Q793" s="43"/>
      <c r="R793" s="43"/>
      <c r="S793" s="43"/>
      <c r="T793" s="49"/>
      <c r="U793" s="49"/>
      <c r="V793" s="49"/>
      <c r="W793" s="49"/>
      <c r="X793" s="49"/>
      <c r="Y793" s="49"/>
      <c r="Z793" s="49"/>
      <c r="AA793" s="49"/>
      <c r="AB793" s="49"/>
      <c r="AC793" s="49"/>
      <c r="AD793" s="49"/>
      <c r="AE793" s="49"/>
    </row>
    <row r="794" spans="1:31">
      <c r="A794" s="43"/>
      <c r="B794" s="43"/>
      <c r="C794" s="43"/>
      <c r="D794" s="43"/>
      <c r="E794" s="43"/>
      <c r="F794" s="43"/>
      <c r="G794" s="43"/>
      <c r="H794" s="43"/>
      <c r="I794" s="43"/>
      <c r="J794" s="43"/>
      <c r="K794" s="43"/>
      <c r="L794" s="43"/>
      <c r="M794" s="43"/>
      <c r="N794" s="43"/>
      <c r="O794" s="43"/>
      <c r="P794" s="43"/>
      <c r="Q794" s="43"/>
      <c r="R794" s="43"/>
      <c r="S794" s="43"/>
      <c r="T794" s="49"/>
      <c r="U794" s="49"/>
      <c r="V794" s="49"/>
      <c r="W794" s="49"/>
      <c r="X794" s="49"/>
      <c r="Y794" s="49"/>
      <c r="Z794" s="49"/>
      <c r="AA794" s="49"/>
      <c r="AB794" s="49"/>
      <c r="AC794" s="49"/>
      <c r="AD794" s="49"/>
      <c r="AE794" s="49"/>
    </row>
    <row r="795" spans="1:31">
      <c r="A795" s="43"/>
      <c r="B795" s="43"/>
      <c r="C795" s="43"/>
      <c r="D795" s="43"/>
      <c r="E795" s="43"/>
      <c r="F795" s="43"/>
      <c r="G795" s="43"/>
      <c r="H795" s="43"/>
      <c r="I795" s="43"/>
      <c r="J795" s="43"/>
      <c r="K795" s="43"/>
      <c r="L795" s="43"/>
      <c r="M795" s="43"/>
      <c r="N795" s="43"/>
      <c r="O795" s="43"/>
      <c r="P795" s="43"/>
      <c r="Q795" s="43"/>
      <c r="R795" s="43"/>
      <c r="S795" s="43"/>
      <c r="T795" s="49"/>
      <c r="U795" s="49"/>
      <c r="V795" s="49"/>
      <c r="W795" s="49"/>
      <c r="X795" s="49"/>
      <c r="Y795" s="49"/>
      <c r="Z795" s="49"/>
      <c r="AA795" s="49"/>
      <c r="AB795" s="49"/>
      <c r="AC795" s="49"/>
      <c r="AD795" s="49"/>
      <c r="AE795" s="49"/>
    </row>
    <row r="796" spans="1:31">
      <c r="A796" s="43"/>
      <c r="B796" s="43"/>
      <c r="C796" s="43"/>
      <c r="D796" s="43"/>
      <c r="E796" s="43"/>
      <c r="F796" s="43"/>
      <c r="G796" s="43"/>
      <c r="H796" s="43"/>
      <c r="I796" s="43"/>
      <c r="J796" s="43"/>
      <c r="K796" s="43"/>
      <c r="L796" s="43"/>
      <c r="M796" s="43"/>
      <c r="N796" s="43"/>
      <c r="O796" s="43"/>
      <c r="P796" s="43"/>
      <c r="Q796" s="43"/>
      <c r="R796" s="43"/>
      <c r="S796" s="43"/>
      <c r="T796" s="49"/>
      <c r="U796" s="49"/>
      <c r="V796" s="49"/>
      <c r="W796" s="49"/>
      <c r="X796" s="49"/>
      <c r="Y796" s="49"/>
      <c r="Z796" s="49"/>
      <c r="AA796" s="49"/>
      <c r="AB796" s="49"/>
      <c r="AC796" s="49"/>
      <c r="AD796" s="49"/>
      <c r="AE796" s="49"/>
    </row>
    <row r="797" spans="1:31">
      <c r="A797" s="43"/>
      <c r="B797" s="43"/>
      <c r="C797" s="43"/>
      <c r="D797" s="43"/>
      <c r="E797" s="43"/>
      <c r="F797" s="43"/>
      <c r="G797" s="43"/>
      <c r="H797" s="43"/>
      <c r="I797" s="43"/>
      <c r="J797" s="43"/>
      <c r="K797" s="43"/>
      <c r="L797" s="43"/>
      <c r="M797" s="43"/>
      <c r="N797" s="43"/>
      <c r="O797" s="43"/>
      <c r="P797" s="43"/>
      <c r="Q797" s="43"/>
      <c r="R797" s="43"/>
      <c r="S797" s="43"/>
      <c r="T797" s="49"/>
      <c r="U797" s="49"/>
      <c r="V797" s="49"/>
      <c r="W797" s="49"/>
      <c r="X797" s="49"/>
      <c r="Y797" s="49"/>
      <c r="Z797" s="49"/>
      <c r="AA797" s="49"/>
      <c r="AB797" s="49"/>
      <c r="AC797" s="49"/>
      <c r="AD797" s="49"/>
      <c r="AE797" s="49"/>
    </row>
    <row r="798" spans="1:31">
      <c r="A798" s="43"/>
      <c r="B798" s="43"/>
      <c r="C798" s="43"/>
      <c r="D798" s="43"/>
      <c r="E798" s="43"/>
      <c r="F798" s="43"/>
      <c r="G798" s="43"/>
      <c r="H798" s="43"/>
      <c r="I798" s="43"/>
      <c r="J798" s="43"/>
      <c r="K798" s="43"/>
      <c r="L798" s="43"/>
      <c r="M798" s="43"/>
      <c r="N798" s="43"/>
      <c r="O798" s="43"/>
      <c r="P798" s="43"/>
      <c r="Q798" s="43"/>
      <c r="R798" s="43"/>
      <c r="S798" s="43"/>
      <c r="T798" s="49"/>
      <c r="U798" s="49"/>
      <c r="V798" s="49"/>
      <c r="W798" s="49"/>
      <c r="X798" s="49"/>
      <c r="Y798" s="49"/>
      <c r="Z798" s="49"/>
      <c r="AA798" s="49"/>
      <c r="AB798" s="49"/>
      <c r="AC798" s="49"/>
      <c r="AD798" s="49"/>
      <c r="AE798" s="49"/>
    </row>
    <row r="799" spans="1:31">
      <c r="A799" s="43"/>
      <c r="B799" s="43"/>
      <c r="C799" s="43"/>
      <c r="D799" s="43"/>
      <c r="E799" s="43"/>
      <c r="F799" s="43"/>
      <c r="G799" s="43"/>
      <c r="H799" s="43"/>
      <c r="I799" s="43"/>
      <c r="J799" s="43"/>
      <c r="K799" s="43"/>
      <c r="L799" s="43"/>
      <c r="M799" s="43"/>
      <c r="N799" s="43"/>
      <c r="O799" s="43"/>
      <c r="P799" s="43"/>
      <c r="Q799" s="43"/>
      <c r="R799" s="43"/>
      <c r="S799" s="43"/>
      <c r="T799" s="49"/>
      <c r="U799" s="49"/>
      <c r="V799" s="49"/>
      <c r="W799" s="49"/>
      <c r="X799" s="49"/>
      <c r="Y799" s="49"/>
      <c r="Z799" s="49"/>
      <c r="AA799" s="49"/>
      <c r="AB799" s="49"/>
      <c r="AC799" s="49"/>
      <c r="AD799" s="49"/>
      <c r="AE799" s="49"/>
    </row>
    <row r="800" spans="1:31">
      <c r="A800" s="43"/>
      <c r="B800" s="43"/>
      <c r="C800" s="43"/>
      <c r="D800" s="43"/>
      <c r="E800" s="43"/>
      <c r="F800" s="43"/>
      <c r="G800" s="43"/>
      <c r="H800" s="43"/>
      <c r="I800" s="43"/>
      <c r="J800" s="43"/>
      <c r="K800" s="43"/>
      <c r="L800" s="43"/>
      <c r="M800" s="43"/>
      <c r="N800" s="43"/>
      <c r="O800" s="43"/>
      <c r="P800" s="43"/>
      <c r="Q800" s="43"/>
      <c r="R800" s="43"/>
      <c r="S800" s="43"/>
      <c r="T800" s="49"/>
      <c r="U800" s="49"/>
      <c r="V800" s="49"/>
      <c r="W800" s="49"/>
      <c r="X800" s="49"/>
      <c r="Y800" s="49"/>
      <c r="Z800" s="49"/>
      <c r="AA800" s="49"/>
      <c r="AB800" s="49"/>
      <c r="AC800" s="49"/>
      <c r="AD800" s="49"/>
      <c r="AE800" s="49"/>
    </row>
    <row r="801" spans="1:31">
      <c r="A801" s="43"/>
      <c r="B801" s="43"/>
      <c r="C801" s="43"/>
      <c r="D801" s="43"/>
      <c r="E801" s="43"/>
      <c r="F801" s="43"/>
      <c r="G801" s="43"/>
      <c r="H801" s="43"/>
      <c r="I801" s="43"/>
      <c r="J801" s="43"/>
      <c r="K801" s="43"/>
      <c r="L801" s="43"/>
      <c r="M801" s="43"/>
      <c r="N801" s="43"/>
      <c r="O801" s="43"/>
      <c r="P801" s="43"/>
      <c r="Q801" s="43"/>
      <c r="R801" s="43"/>
      <c r="S801" s="43"/>
      <c r="T801" s="49"/>
      <c r="U801" s="49"/>
      <c r="V801" s="49"/>
      <c r="W801" s="49"/>
      <c r="X801" s="49"/>
      <c r="Y801" s="49"/>
      <c r="Z801" s="49"/>
      <c r="AA801" s="49"/>
      <c r="AB801" s="49"/>
      <c r="AC801" s="49"/>
      <c r="AD801" s="49"/>
      <c r="AE801" s="49"/>
    </row>
    <row r="802" spans="1:31">
      <c r="A802" s="43"/>
      <c r="B802" s="43"/>
      <c r="C802" s="43"/>
      <c r="D802" s="43"/>
      <c r="E802" s="43"/>
      <c r="F802" s="43"/>
      <c r="G802" s="43"/>
      <c r="H802" s="43"/>
      <c r="I802" s="43"/>
      <c r="J802" s="43"/>
      <c r="K802" s="43"/>
      <c r="L802" s="43"/>
      <c r="M802" s="43"/>
      <c r="N802" s="43"/>
      <c r="O802" s="43"/>
      <c r="P802" s="43"/>
      <c r="Q802" s="43"/>
      <c r="R802" s="43"/>
      <c r="S802" s="43"/>
      <c r="T802" s="49"/>
      <c r="U802" s="49"/>
      <c r="V802" s="49"/>
      <c r="W802" s="49"/>
      <c r="X802" s="49"/>
      <c r="Y802" s="49"/>
      <c r="Z802" s="49"/>
      <c r="AA802" s="49"/>
      <c r="AB802" s="49"/>
      <c r="AC802" s="49"/>
      <c r="AD802" s="49"/>
      <c r="AE802" s="49"/>
    </row>
    <row r="803" spans="1:31">
      <c r="A803" s="43"/>
      <c r="B803" s="43"/>
      <c r="C803" s="43"/>
      <c r="D803" s="43"/>
      <c r="E803" s="43"/>
      <c r="F803" s="43"/>
      <c r="G803" s="43"/>
      <c r="H803" s="43"/>
      <c r="I803" s="43"/>
      <c r="J803" s="43"/>
      <c r="K803" s="43"/>
      <c r="L803" s="43"/>
      <c r="M803" s="43"/>
      <c r="N803" s="43"/>
      <c r="O803" s="43"/>
      <c r="P803" s="43"/>
      <c r="Q803" s="43"/>
      <c r="R803" s="43"/>
      <c r="S803" s="43"/>
      <c r="T803" s="49"/>
      <c r="U803" s="49"/>
      <c r="V803" s="49"/>
      <c r="W803" s="49"/>
      <c r="X803" s="49"/>
      <c r="Y803" s="49"/>
      <c r="Z803" s="49"/>
      <c r="AA803" s="49"/>
      <c r="AB803" s="49"/>
      <c r="AC803" s="49"/>
      <c r="AD803" s="49"/>
      <c r="AE803" s="49"/>
    </row>
    <row r="804" spans="1:31">
      <c r="A804" s="43"/>
      <c r="B804" s="43"/>
      <c r="C804" s="43"/>
      <c r="D804" s="43"/>
      <c r="E804" s="43"/>
      <c r="F804" s="43"/>
      <c r="G804" s="43"/>
      <c r="H804" s="43"/>
      <c r="I804" s="43"/>
      <c r="J804" s="43"/>
      <c r="K804" s="43"/>
      <c r="L804" s="43"/>
      <c r="M804" s="43"/>
      <c r="N804" s="43"/>
      <c r="O804" s="43"/>
      <c r="P804" s="43"/>
      <c r="Q804" s="43"/>
      <c r="R804" s="43"/>
      <c r="S804" s="43"/>
      <c r="T804" s="49"/>
      <c r="U804" s="49"/>
      <c r="V804" s="49"/>
      <c r="W804" s="49"/>
      <c r="X804" s="49"/>
      <c r="Y804" s="49"/>
      <c r="Z804" s="49"/>
      <c r="AA804" s="49"/>
      <c r="AB804" s="49"/>
      <c r="AC804" s="49"/>
      <c r="AD804" s="49"/>
      <c r="AE804" s="49"/>
    </row>
    <row r="805" spans="1:31">
      <c r="A805" s="43"/>
      <c r="B805" s="43"/>
      <c r="C805" s="43"/>
      <c r="D805" s="43"/>
      <c r="E805" s="43"/>
      <c r="F805" s="43"/>
      <c r="G805" s="43"/>
      <c r="H805" s="43"/>
      <c r="I805" s="43"/>
      <c r="J805" s="43"/>
      <c r="K805" s="43"/>
      <c r="L805" s="43"/>
      <c r="M805" s="43"/>
      <c r="N805" s="43"/>
      <c r="O805" s="43"/>
      <c r="P805" s="43"/>
      <c r="Q805" s="43"/>
      <c r="R805" s="43"/>
      <c r="S805" s="43"/>
      <c r="T805" s="49"/>
      <c r="U805" s="49"/>
      <c r="V805" s="49"/>
      <c r="W805" s="49"/>
      <c r="X805" s="49"/>
      <c r="Y805" s="49"/>
      <c r="Z805" s="49"/>
      <c r="AA805" s="49"/>
      <c r="AB805" s="49"/>
      <c r="AC805" s="49"/>
      <c r="AD805" s="49"/>
      <c r="AE805" s="49"/>
    </row>
    <row r="806" spans="1:31">
      <c r="A806" s="43"/>
      <c r="B806" s="43"/>
      <c r="C806" s="43"/>
      <c r="D806" s="43"/>
      <c r="E806" s="43"/>
      <c r="F806" s="43"/>
      <c r="G806" s="43"/>
      <c r="H806" s="43"/>
      <c r="I806" s="43"/>
      <c r="J806" s="43"/>
      <c r="K806" s="43"/>
      <c r="L806" s="43"/>
      <c r="M806" s="43"/>
      <c r="N806" s="43"/>
      <c r="O806" s="43"/>
      <c r="P806" s="43"/>
      <c r="Q806" s="43"/>
      <c r="R806" s="43"/>
      <c r="S806" s="43"/>
      <c r="T806" s="49"/>
      <c r="U806" s="49"/>
      <c r="V806" s="49"/>
      <c r="W806" s="49"/>
      <c r="X806" s="49"/>
      <c r="Y806" s="49"/>
      <c r="Z806" s="49"/>
      <c r="AA806" s="49"/>
      <c r="AB806" s="49"/>
      <c r="AC806" s="49"/>
      <c r="AD806" s="49"/>
      <c r="AE806" s="49"/>
    </row>
    <row r="807" spans="1:31">
      <c r="A807" s="43"/>
      <c r="B807" s="43"/>
      <c r="C807" s="43"/>
      <c r="D807" s="43"/>
      <c r="E807" s="43"/>
      <c r="F807" s="43"/>
      <c r="G807" s="43"/>
      <c r="H807" s="43"/>
      <c r="I807" s="43"/>
      <c r="J807" s="43"/>
      <c r="K807" s="43"/>
      <c r="L807" s="43"/>
      <c r="M807" s="43"/>
      <c r="N807" s="43"/>
      <c r="O807" s="43"/>
      <c r="P807" s="43"/>
      <c r="Q807" s="43"/>
      <c r="R807" s="43"/>
      <c r="S807" s="43"/>
      <c r="T807" s="49"/>
      <c r="U807" s="49"/>
      <c r="V807" s="49"/>
      <c r="W807" s="49"/>
      <c r="X807" s="49"/>
      <c r="Y807" s="49"/>
      <c r="Z807" s="49"/>
      <c r="AA807" s="49"/>
      <c r="AB807" s="49"/>
      <c r="AC807" s="49"/>
      <c r="AD807" s="49"/>
      <c r="AE807" s="49"/>
    </row>
    <row r="808" spans="1:31">
      <c r="A808" s="43"/>
      <c r="B808" s="43"/>
      <c r="C808" s="43"/>
      <c r="D808" s="43"/>
      <c r="E808" s="43"/>
      <c r="F808" s="43"/>
      <c r="G808" s="43"/>
      <c r="H808" s="43"/>
      <c r="I808" s="43"/>
      <c r="J808" s="43"/>
      <c r="K808" s="43"/>
      <c r="L808" s="43"/>
      <c r="M808" s="43"/>
      <c r="N808" s="43"/>
      <c r="O808" s="43"/>
      <c r="P808" s="43"/>
      <c r="Q808" s="43"/>
      <c r="R808" s="43"/>
      <c r="S808" s="43"/>
      <c r="T808" s="49"/>
      <c r="U808" s="49"/>
      <c r="V808" s="49"/>
      <c r="W808" s="49"/>
      <c r="X808" s="49"/>
      <c r="Y808" s="49"/>
      <c r="Z808" s="49"/>
      <c r="AA808" s="49"/>
      <c r="AB808" s="49"/>
      <c r="AC808" s="49"/>
      <c r="AD808" s="49"/>
      <c r="AE808" s="49"/>
    </row>
    <row r="809" spans="1:31">
      <c r="A809" s="43"/>
      <c r="B809" s="43"/>
      <c r="C809" s="43"/>
      <c r="D809" s="43"/>
      <c r="E809" s="43"/>
      <c r="F809" s="43"/>
      <c r="G809" s="43"/>
      <c r="H809" s="43"/>
      <c r="I809" s="43"/>
      <c r="J809" s="43"/>
      <c r="K809" s="43"/>
      <c r="L809" s="43"/>
      <c r="M809" s="43"/>
      <c r="N809" s="43"/>
      <c r="O809" s="43"/>
      <c r="P809" s="43"/>
      <c r="Q809" s="43"/>
      <c r="R809" s="43"/>
      <c r="S809" s="43"/>
      <c r="T809" s="49"/>
      <c r="U809" s="49"/>
      <c r="V809" s="49"/>
      <c r="W809" s="49"/>
      <c r="X809" s="49"/>
      <c r="Y809" s="49"/>
      <c r="Z809" s="49"/>
      <c r="AA809" s="49"/>
      <c r="AB809" s="49"/>
      <c r="AC809" s="49"/>
      <c r="AD809" s="49"/>
      <c r="AE809" s="49"/>
    </row>
    <row r="810" spans="1:31">
      <c r="A810" s="43"/>
      <c r="B810" s="43"/>
      <c r="C810" s="43"/>
      <c r="D810" s="43"/>
      <c r="E810" s="43"/>
      <c r="F810" s="43"/>
      <c r="G810" s="43"/>
      <c r="H810" s="43"/>
      <c r="I810" s="43"/>
      <c r="J810" s="43"/>
      <c r="K810" s="43"/>
      <c r="L810" s="43"/>
      <c r="M810" s="43"/>
      <c r="N810" s="43"/>
      <c r="O810" s="43"/>
      <c r="P810" s="43"/>
      <c r="Q810" s="43"/>
      <c r="R810" s="43"/>
      <c r="S810" s="43"/>
      <c r="T810" s="49"/>
      <c r="U810" s="49"/>
      <c r="V810" s="49"/>
      <c r="W810" s="49"/>
      <c r="X810" s="49"/>
      <c r="Y810" s="49"/>
      <c r="Z810" s="49"/>
      <c r="AA810" s="49"/>
      <c r="AB810" s="49"/>
      <c r="AC810" s="49"/>
      <c r="AD810" s="49"/>
      <c r="AE810" s="49"/>
    </row>
    <row r="811" spans="1:31">
      <c r="A811" s="43"/>
      <c r="B811" s="43"/>
      <c r="C811" s="43"/>
      <c r="D811" s="43"/>
      <c r="E811" s="43"/>
      <c r="F811" s="43"/>
      <c r="G811" s="43"/>
      <c r="H811" s="43"/>
      <c r="I811" s="43"/>
      <c r="J811" s="43"/>
      <c r="K811" s="43"/>
      <c r="L811" s="43"/>
      <c r="M811" s="43"/>
      <c r="N811" s="43"/>
      <c r="O811" s="43"/>
      <c r="P811" s="43"/>
      <c r="Q811" s="43"/>
      <c r="R811" s="43"/>
      <c r="S811" s="43"/>
      <c r="T811" s="49"/>
      <c r="U811" s="49"/>
      <c r="V811" s="49"/>
      <c r="W811" s="49"/>
      <c r="X811" s="49"/>
      <c r="Y811" s="49"/>
      <c r="Z811" s="49"/>
      <c r="AA811" s="49"/>
      <c r="AB811" s="49"/>
      <c r="AC811" s="49"/>
      <c r="AD811" s="49"/>
      <c r="AE811" s="49"/>
    </row>
    <row r="812" spans="1:31">
      <c r="A812" s="43"/>
      <c r="B812" s="43"/>
      <c r="C812" s="43"/>
      <c r="D812" s="43"/>
      <c r="E812" s="43"/>
      <c r="F812" s="43"/>
      <c r="G812" s="43"/>
      <c r="H812" s="43"/>
      <c r="I812" s="43"/>
      <c r="J812" s="43"/>
      <c r="K812" s="43"/>
      <c r="L812" s="43"/>
      <c r="M812" s="43"/>
      <c r="N812" s="43"/>
      <c r="O812" s="43"/>
      <c r="P812" s="43"/>
      <c r="Q812" s="43"/>
      <c r="R812" s="43"/>
      <c r="S812" s="43"/>
      <c r="T812" s="49"/>
      <c r="U812" s="49"/>
      <c r="V812" s="49"/>
      <c r="W812" s="49"/>
      <c r="X812" s="49"/>
      <c r="Y812" s="49"/>
      <c r="Z812" s="49"/>
      <c r="AA812" s="49"/>
      <c r="AB812" s="49"/>
      <c r="AC812" s="49"/>
      <c r="AD812" s="49"/>
      <c r="AE812" s="49"/>
    </row>
    <row r="813" spans="1:31">
      <c r="A813" s="43"/>
      <c r="B813" s="43"/>
      <c r="C813" s="43"/>
      <c r="D813" s="43"/>
      <c r="E813" s="43"/>
      <c r="F813" s="43"/>
      <c r="G813" s="43"/>
      <c r="H813" s="43"/>
      <c r="I813" s="43"/>
      <c r="J813" s="43"/>
      <c r="K813" s="43"/>
      <c r="L813" s="43"/>
      <c r="M813" s="43"/>
      <c r="N813" s="43"/>
      <c r="O813" s="43"/>
      <c r="P813" s="43"/>
      <c r="Q813" s="43"/>
      <c r="R813" s="43"/>
      <c r="S813" s="43"/>
      <c r="T813" s="49"/>
      <c r="U813" s="49"/>
      <c r="V813" s="49"/>
      <c r="W813" s="49"/>
      <c r="X813" s="49"/>
      <c r="Y813" s="49"/>
      <c r="Z813" s="49"/>
      <c r="AA813" s="49"/>
      <c r="AB813" s="49"/>
      <c r="AC813" s="49"/>
      <c r="AD813" s="49"/>
      <c r="AE813" s="49"/>
    </row>
    <row r="814" spans="1:31">
      <c r="A814" s="43"/>
      <c r="B814" s="43"/>
      <c r="C814" s="43"/>
      <c r="D814" s="43"/>
      <c r="E814" s="43"/>
      <c r="F814" s="43"/>
      <c r="G814" s="43"/>
      <c r="H814" s="43"/>
      <c r="I814" s="43"/>
      <c r="J814" s="43"/>
      <c r="K814" s="43"/>
      <c r="L814" s="43"/>
      <c r="M814" s="43"/>
      <c r="N814" s="43"/>
      <c r="O814" s="43"/>
      <c r="P814" s="43"/>
      <c r="Q814" s="43"/>
      <c r="R814" s="43"/>
      <c r="S814" s="43"/>
      <c r="T814" s="49"/>
      <c r="U814" s="49"/>
      <c r="V814" s="49"/>
      <c r="W814" s="49"/>
      <c r="X814" s="49"/>
      <c r="Y814" s="49"/>
      <c r="Z814" s="49"/>
      <c r="AA814" s="49"/>
      <c r="AB814" s="49"/>
      <c r="AC814" s="49"/>
      <c r="AD814" s="49"/>
      <c r="AE814" s="49"/>
    </row>
    <row r="815" spans="1:31">
      <c r="A815" s="43"/>
      <c r="B815" s="43"/>
      <c r="C815" s="43"/>
      <c r="D815" s="43"/>
      <c r="E815" s="43"/>
      <c r="F815" s="43"/>
      <c r="G815" s="43"/>
      <c r="H815" s="43"/>
      <c r="I815" s="43"/>
      <c r="J815" s="43"/>
      <c r="K815" s="43"/>
      <c r="L815" s="43"/>
      <c r="M815" s="43"/>
      <c r="N815" s="43"/>
      <c r="O815" s="43"/>
      <c r="P815" s="43"/>
      <c r="Q815" s="43"/>
      <c r="R815" s="43"/>
      <c r="S815" s="43"/>
      <c r="T815" s="49"/>
      <c r="U815" s="49"/>
      <c r="V815" s="49"/>
      <c r="W815" s="49"/>
      <c r="X815" s="49"/>
      <c r="Y815" s="49"/>
      <c r="Z815" s="49"/>
      <c r="AA815" s="49"/>
      <c r="AB815" s="49"/>
      <c r="AC815" s="49"/>
      <c r="AD815" s="49"/>
      <c r="AE815" s="49"/>
    </row>
    <row r="816" spans="1:31">
      <c r="A816" s="43"/>
      <c r="B816" s="43"/>
      <c r="C816" s="43"/>
      <c r="D816" s="43"/>
      <c r="E816" s="43"/>
      <c r="F816" s="43"/>
      <c r="G816" s="43"/>
      <c r="H816" s="43"/>
      <c r="I816" s="43"/>
      <c r="J816" s="43"/>
      <c r="K816" s="43"/>
      <c r="L816" s="43"/>
      <c r="M816" s="43"/>
      <c r="N816" s="43"/>
      <c r="O816" s="43"/>
      <c r="P816" s="43"/>
      <c r="Q816" s="43"/>
      <c r="R816" s="43"/>
      <c r="S816" s="43"/>
      <c r="T816" s="49"/>
      <c r="U816" s="49"/>
      <c r="V816" s="49"/>
      <c r="W816" s="49"/>
      <c r="X816" s="49"/>
      <c r="Y816" s="49"/>
      <c r="Z816" s="49"/>
      <c r="AA816" s="49"/>
      <c r="AB816" s="49"/>
      <c r="AC816" s="49"/>
      <c r="AD816" s="49"/>
      <c r="AE816" s="49"/>
    </row>
    <row r="817" spans="1:31">
      <c r="A817" s="43"/>
      <c r="B817" s="43"/>
      <c r="C817" s="43"/>
      <c r="D817" s="43"/>
      <c r="E817" s="43"/>
      <c r="F817" s="43"/>
      <c r="G817" s="43"/>
      <c r="H817" s="43"/>
      <c r="I817" s="43"/>
      <c r="J817" s="43"/>
      <c r="K817" s="43"/>
      <c r="L817" s="43"/>
      <c r="M817" s="43"/>
      <c r="N817" s="43"/>
      <c r="O817" s="43"/>
      <c r="P817" s="43"/>
      <c r="Q817" s="43"/>
      <c r="R817" s="43"/>
      <c r="S817" s="43"/>
      <c r="T817" s="49"/>
      <c r="U817" s="49"/>
      <c r="V817" s="49"/>
      <c r="W817" s="49"/>
      <c r="X817" s="49"/>
      <c r="Y817" s="49"/>
      <c r="Z817" s="49"/>
      <c r="AA817" s="49"/>
      <c r="AB817" s="49"/>
      <c r="AC817" s="49"/>
      <c r="AD817" s="49"/>
      <c r="AE817" s="49"/>
    </row>
    <row r="818" spans="1:31">
      <c r="A818" s="43"/>
      <c r="B818" s="43"/>
      <c r="C818" s="43"/>
      <c r="D818" s="43"/>
      <c r="E818" s="43"/>
      <c r="F818" s="43"/>
      <c r="G818" s="43"/>
      <c r="H818" s="43"/>
      <c r="I818" s="43"/>
      <c r="J818" s="43"/>
      <c r="K818" s="43"/>
      <c r="L818" s="43"/>
      <c r="M818" s="43"/>
      <c r="N818" s="43"/>
      <c r="O818" s="43"/>
      <c r="P818" s="43"/>
      <c r="Q818" s="43"/>
      <c r="R818" s="43"/>
      <c r="S818" s="43"/>
      <c r="T818" s="49"/>
      <c r="U818" s="49"/>
      <c r="V818" s="49"/>
      <c r="W818" s="49"/>
      <c r="X818" s="49"/>
      <c r="Y818" s="49"/>
      <c r="Z818" s="49"/>
      <c r="AA818" s="49"/>
      <c r="AB818" s="49"/>
      <c r="AC818" s="49"/>
      <c r="AD818" s="49"/>
      <c r="AE818" s="49"/>
    </row>
    <row r="819" spans="1:31">
      <c r="A819" s="43"/>
      <c r="B819" s="43"/>
      <c r="C819" s="43"/>
      <c r="D819" s="43"/>
      <c r="E819" s="43"/>
      <c r="F819" s="43"/>
      <c r="G819" s="43"/>
      <c r="H819" s="43"/>
      <c r="I819" s="43"/>
      <c r="J819" s="43"/>
      <c r="K819" s="43"/>
      <c r="L819" s="43"/>
      <c r="M819" s="43"/>
      <c r="N819" s="43"/>
      <c r="O819" s="43"/>
      <c r="P819" s="43"/>
      <c r="Q819" s="43"/>
      <c r="R819" s="43"/>
      <c r="S819" s="43"/>
      <c r="T819" s="49"/>
      <c r="U819" s="49"/>
      <c r="V819" s="49"/>
      <c r="W819" s="49"/>
      <c r="X819" s="49"/>
      <c r="Y819" s="49"/>
      <c r="Z819" s="49"/>
      <c r="AA819" s="49"/>
      <c r="AB819" s="49"/>
      <c r="AC819" s="49"/>
      <c r="AD819" s="49"/>
      <c r="AE819" s="49"/>
    </row>
    <row r="820" spans="1:31">
      <c r="A820" s="43"/>
      <c r="B820" s="43"/>
      <c r="C820" s="43"/>
      <c r="D820" s="43"/>
      <c r="E820" s="43"/>
      <c r="F820" s="43"/>
      <c r="G820" s="43"/>
      <c r="H820" s="43"/>
      <c r="I820" s="43"/>
      <c r="J820" s="43"/>
      <c r="K820" s="43"/>
      <c r="L820" s="43"/>
      <c r="M820" s="43"/>
      <c r="N820" s="43"/>
      <c r="O820" s="43"/>
      <c r="P820" s="43"/>
      <c r="Q820" s="43"/>
      <c r="R820" s="43"/>
      <c r="S820" s="43"/>
      <c r="T820" s="49"/>
      <c r="U820" s="49"/>
      <c r="V820" s="49"/>
      <c r="W820" s="49"/>
      <c r="X820" s="49"/>
      <c r="Y820" s="49"/>
      <c r="Z820" s="49"/>
      <c r="AA820" s="49"/>
      <c r="AB820" s="49"/>
      <c r="AC820" s="49"/>
      <c r="AD820" s="49"/>
      <c r="AE820" s="49"/>
    </row>
    <row r="821" spans="1:31">
      <c r="A821" s="43"/>
      <c r="B821" s="43"/>
      <c r="C821" s="43"/>
      <c r="D821" s="43"/>
      <c r="E821" s="43"/>
      <c r="F821" s="43"/>
      <c r="G821" s="43"/>
      <c r="H821" s="43"/>
      <c r="I821" s="43"/>
      <c r="J821" s="43"/>
      <c r="K821" s="43"/>
      <c r="L821" s="43"/>
      <c r="M821" s="43"/>
      <c r="N821" s="43"/>
      <c r="O821" s="43"/>
      <c r="P821" s="43"/>
      <c r="Q821" s="43"/>
      <c r="R821" s="43"/>
      <c r="S821" s="43"/>
      <c r="T821" s="49"/>
      <c r="U821" s="49"/>
      <c r="V821" s="49"/>
      <c r="W821" s="49"/>
      <c r="X821" s="49"/>
      <c r="Y821" s="49"/>
      <c r="Z821" s="49"/>
      <c r="AA821" s="49"/>
      <c r="AB821" s="49"/>
      <c r="AC821" s="49"/>
      <c r="AD821" s="49"/>
      <c r="AE821" s="49"/>
    </row>
    <row r="822" spans="1:31">
      <c r="A822" s="43"/>
      <c r="B822" s="43"/>
      <c r="C822" s="43"/>
      <c r="D822" s="43"/>
      <c r="E822" s="43"/>
      <c r="F822" s="43"/>
      <c r="G822" s="43"/>
      <c r="H822" s="43"/>
      <c r="I822" s="43"/>
      <c r="J822" s="43"/>
      <c r="K822" s="43"/>
      <c r="L822" s="43"/>
      <c r="M822" s="43"/>
      <c r="N822" s="43"/>
      <c r="O822" s="43"/>
      <c r="P822" s="43"/>
      <c r="Q822" s="43"/>
      <c r="R822" s="43"/>
      <c r="S822" s="43"/>
      <c r="T822" s="49"/>
      <c r="U822" s="49"/>
      <c r="V822" s="49"/>
      <c r="W822" s="49"/>
      <c r="X822" s="49"/>
      <c r="Y822" s="49"/>
      <c r="Z822" s="49"/>
      <c r="AA822" s="49"/>
      <c r="AB822" s="49"/>
      <c r="AC822" s="49"/>
      <c r="AD822" s="49"/>
      <c r="AE822" s="49"/>
    </row>
    <row r="823" spans="1:31">
      <c r="A823" s="43"/>
      <c r="B823" s="43"/>
      <c r="C823" s="43"/>
      <c r="D823" s="43"/>
      <c r="E823" s="43"/>
      <c r="F823" s="43"/>
      <c r="G823" s="43"/>
      <c r="H823" s="43"/>
      <c r="I823" s="43"/>
      <c r="J823" s="43"/>
      <c r="K823" s="43"/>
      <c r="L823" s="43"/>
      <c r="M823" s="43"/>
      <c r="N823" s="43"/>
      <c r="O823" s="43"/>
      <c r="P823" s="43"/>
      <c r="Q823" s="43"/>
      <c r="R823" s="43"/>
      <c r="S823" s="43"/>
      <c r="T823" s="49"/>
      <c r="U823" s="49"/>
      <c r="V823" s="49"/>
      <c r="W823" s="49"/>
      <c r="X823" s="49"/>
      <c r="Y823" s="49"/>
      <c r="Z823" s="49"/>
      <c r="AA823" s="49"/>
      <c r="AB823" s="49"/>
      <c r="AC823" s="49"/>
      <c r="AD823" s="49"/>
      <c r="AE823" s="49"/>
    </row>
    <row r="824" spans="1:31">
      <c r="A824" s="43"/>
      <c r="B824" s="43"/>
      <c r="C824" s="43"/>
      <c r="D824" s="43"/>
      <c r="E824" s="43"/>
      <c r="F824" s="43"/>
      <c r="G824" s="43"/>
      <c r="H824" s="43"/>
      <c r="I824" s="43"/>
      <c r="J824" s="43"/>
      <c r="K824" s="43"/>
      <c r="L824" s="43"/>
      <c r="M824" s="43"/>
      <c r="N824" s="43"/>
      <c r="O824" s="43"/>
      <c r="P824" s="43"/>
      <c r="Q824" s="43"/>
      <c r="R824" s="43"/>
      <c r="S824" s="43"/>
      <c r="T824" s="49"/>
      <c r="U824" s="49"/>
      <c r="V824" s="49"/>
      <c r="W824" s="49"/>
      <c r="X824" s="49"/>
      <c r="Y824" s="49"/>
      <c r="Z824" s="49"/>
      <c r="AA824" s="49"/>
      <c r="AB824" s="49"/>
      <c r="AC824" s="49"/>
      <c r="AD824" s="49"/>
      <c r="AE824" s="49"/>
    </row>
    <row r="825" spans="1:31">
      <c r="A825" s="43"/>
      <c r="B825" s="43"/>
      <c r="C825" s="43"/>
      <c r="D825" s="43"/>
      <c r="E825" s="43"/>
      <c r="F825" s="43"/>
      <c r="G825" s="43"/>
      <c r="H825" s="43"/>
      <c r="I825" s="43"/>
      <c r="J825" s="43"/>
      <c r="K825" s="43"/>
      <c r="L825" s="43"/>
      <c r="M825" s="43"/>
      <c r="N825" s="43"/>
      <c r="O825" s="43"/>
      <c r="P825" s="43"/>
      <c r="Q825" s="43"/>
      <c r="R825" s="43"/>
      <c r="S825" s="43"/>
      <c r="T825" s="49"/>
      <c r="U825" s="49"/>
      <c r="V825" s="49"/>
      <c r="W825" s="49"/>
      <c r="X825" s="49"/>
      <c r="Y825" s="49"/>
      <c r="Z825" s="49"/>
      <c r="AA825" s="49"/>
      <c r="AB825" s="49"/>
      <c r="AC825" s="49"/>
      <c r="AD825" s="49"/>
      <c r="AE825" s="49"/>
    </row>
    <row r="826" spans="1:31">
      <c r="A826" s="43"/>
      <c r="B826" s="43"/>
      <c r="C826" s="43"/>
      <c r="D826" s="43"/>
      <c r="E826" s="43"/>
      <c r="F826" s="43"/>
      <c r="G826" s="43"/>
      <c r="H826" s="43"/>
      <c r="I826" s="43"/>
      <c r="J826" s="43"/>
      <c r="K826" s="43"/>
      <c r="L826" s="43"/>
      <c r="M826" s="43"/>
      <c r="N826" s="43"/>
      <c r="O826" s="43"/>
      <c r="P826" s="43"/>
      <c r="Q826" s="43"/>
      <c r="R826" s="43"/>
      <c r="S826" s="43"/>
      <c r="T826" s="49"/>
      <c r="U826" s="49"/>
      <c r="V826" s="49"/>
      <c r="W826" s="49"/>
      <c r="X826" s="49"/>
      <c r="Y826" s="49"/>
      <c r="Z826" s="49"/>
      <c r="AA826" s="49"/>
      <c r="AB826" s="49"/>
      <c r="AC826" s="49"/>
      <c r="AD826" s="49"/>
      <c r="AE826" s="49"/>
    </row>
    <row r="827" spans="1:31">
      <c r="A827" s="43"/>
      <c r="B827" s="43"/>
      <c r="C827" s="43"/>
      <c r="D827" s="43"/>
      <c r="E827" s="43"/>
      <c r="F827" s="43"/>
      <c r="G827" s="43"/>
      <c r="H827" s="43"/>
      <c r="I827" s="43"/>
      <c r="J827" s="43"/>
      <c r="K827" s="43"/>
      <c r="L827" s="43"/>
      <c r="M827" s="43"/>
      <c r="N827" s="43"/>
      <c r="O827" s="43"/>
      <c r="P827" s="43"/>
      <c r="Q827" s="43"/>
      <c r="R827" s="43"/>
      <c r="S827" s="43"/>
      <c r="T827" s="49"/>
      <c r="U827" s="49"/>
      <c r="V827" s="49"/>
      <c r="W827" s="49"/>
      <c r="X827" s="49"/>
      <c r="Y827" s="49"/>
      <c r="Z827" s="49"/>
      <c r="AA827" s="49"/>
      <c r="AB827" s="49"/>
      <c r="AC827" s="49"/>
      <c r="AD827" s="49"/>
      <c r="AE827" s="49"/>
    </row>
    <row r="828" spans="1:31">
      <c r="A828" s="43"/>
      <c r="B828" s="43"/>
      <c r="C828" s="43"/>
      <c r="D828" s="43"/>
      <c r="E828" s="43"/>
      <c r="F828" s="43"/>
      <c r="G828" s="43"/>
      <c r="H828" s="43"/>
      <c r="I828" s="43"/>
      <c r="J828" s="43"/>
      <c r="K828" s="43"/>
      <c r="L828" s="43"/>
      <c r="M828" s="43"/>
      <c r="N828" s="43"/>
      <c r="O828" s="43"/>
      <c r="P828" s="43"/>
      <c r="Q828" s="43"/>
      <c r="R828" s="43"/>
      <c r="S828" s="43"/>
      <c r="T828" s="49"/>
      <c r="U828" s="49"/>
      <c r="V828" s="49"/>
      <c r="W828" s="49"/>
      <c r="X828" s="49"/>
      <c r="Y828" s="49"/>
      <c r="Z828" s="49"/>
      <c r="AA828" s="49"/>
      <c r="AB828" s="49"/>
      <c r="AC828" s="49"/>
      <c r="AD828" s="49"/>
      <c r="AE828" s="49"/>
    </row>
    <row r="829" spans="1:31">
      <c r="A829" s="43"/>
      <c r="B829" s="43"/>
      <c r="C829" s="43"/>
      <c r="D829" s="43"/>
      <c r="E829" s="43"/>
      <c r="F829" s="43"/>
      <c r="G829" s="43"/>
      <c r="H829" s="43"/>
      <c r="I829" s="43"/>
      <c r="J829" s="43"/>
      <c r="K829" s="43"/>
      <c r="L829" s="43"/>
      <c r="M829" s="43"/>
      <c r="N829" s="43"/>
      <c r="O829" s="43"/>
      <c r="P829" s="43"/>
      <c r="Q829" s="43"/>
      <c r="R829" s="43"/>
      <c r="S829" s="43"/>
      <c r="T829" s="49"/>
      <c r="U829" s="49"/>
      <c r="V829" s="49"/>
      <c r="W829" s="49"/>
      <c r="X829" s="49"/>
      <c r="Y829" s="49"/>
      <c r="Z829" s="49"/>
      <c r="AA829" s="49"/>
      <c r="AB829" s="49"/>
      <c r="AC829" s="49"/>
      <c r="AD829" s="49"/>
      <c r="AE829" s="49"/>
    </row>
    <row r="830" spans="1:31">
      <c r="A830" s="43"/>
      <c r="B830" s="43"/>
      <c r="C830" s="43"/>
      <c r="D830" s="43"/>
      <c r="E830" s="43"/>
      <c r="F830" s="43"/>
      <c r="G830" s="43"/>
      <c r="H830" s="43"/>
      <c r="I830" s="43"/>
      <c r="J830" s="43"/>
      <c r="K830" s="43"/>
      <c r="L830" s="43"/>
      <c r="M830" s="43"/>
      <c r="N830" s="43"/>
      <c r="O830" s="43"/>
      <c r="P830" s="43"/>
      <c r="Q830" s="43"/>
      <c r="R830" s="43"/>
      <c r="S830" s="43"/>
      <c r="T830" s="49"/>
      <c r="U830" s="49"/>
      <c r="V830" s="49"/>
      <c r="W830" s="49"/>
      <c r="X830" s="49"/>
      <c r="Y830" s="49"/>
      <c r="Z830" s="49"/>
      <c r="AA830" s="49"/>
      <c r="AB830" s="49"/>
      <c r="AC830" s="49"/>
      <c r="AD830" s="49"/>
      <c r="AE830" s="49"/>
    </row>
    <row r="831" spans="1:31">
      <c r="A831" s="43"/>
      <c r="B831" s="43"/>
      <c r="C831" s="43"/>
      <c r="D831" s="43"/>
      <c r="E831" s="43"/>
      <c r="F831" s="43"/>
      <c r="G831" s="43"/>
      <c r="H831" s="43"/>
      <c r="I831" s="43"/>
      <c r="J831" s="43"/>
      <c r="K831" s="43"/>
      <c r="L831" s="43"/>
      <c r="M831" s="43"/>
      <c r="N831" s="43"/>
      <c r="O831" s="43"/>
      <c r="P831" s="43"/>
      <c r="Q831" s="43"/>
      <c r="R831" s="43"/>
      <c r="S831" s="43"/>
      <c r="T831" s="49"/>
      <c r="U831" s="49"/>
      <c r="V831" s="49"/>
      <c r="W831" s="49"/>
      <c r="X831" s="49"/>
      <c r="Y831" s="49"/>
      <c r="Z831" s="49"/>
      <c r="AA831" s="49"/>
      <c r="AB831" s="49"/>
      <c r="AC831" s="49"/>
      <c r="AD831" s="49"/>
      <c r="AE831" s="49"/>
    </row>
    <row r="832" spans="1:31">
      <c r="A832" s="43"/>
      <c r="B832" s="43"/>
      <c r="C832" s="43"/>
      <c r="D832" s="43"/>
      <c r="E832" s="43"/>
      <c r="F832" s="43"/>
      <c r="G832" s="43"/>
      <c r="H832" s="43"/>
      <c r="I832" s="43"/>
      <c r="J832" s="43"/>
      <c r="K832" s="43"/>
      <c r="L832" s="43"/>
      <c r="M832" s="43"/>
      <c r="N832" s="43"/>
      <c r="O832" s="43"/>
      <c r="P832" s="43"/>
      <c r="Q832" s="43"/>
      <c r="R832" s="43"/>
      <c r="S832" s="43"/>
      <c r="T832" s="49"/>
      <c r="U832" s="49"/>
      <c r="V832" s="49"/>
      <c r="W832" s="49"/>
      <c r="X832" s="49"/>
      <c r="Y832" s="49"/>
      <c r="Z832" s="49"/>
      <c r="AA832" s="49"/>
      <c r="AB832" s="49"/>
      <c r="AC832" s="49"/>
      <c r="AD832" s="49"/>
      <c r="AE832" s="49"/>
    </row>
    <row r="833" spans="1:31">
      <c r="A833" s="43"/>
      <c r="B833" s="43"/>
      <c r="C833" s="43"/>
      <c r="D833" s="43"/>
      <c r="E833" s="43"/>
      <c r="F833" s="43"/>
      <c r="G833" s="43"/>
      <c r="H833" s="43"/>
      <c r="I833" s="43"/>
      <c r="J833" s="43"/>
      <c r="K833" s="43"/>
      <c r="L833" s="43"/>
      <c r="M833" s="43"/>
      <c r="N833" s="43"/>
      <c r="O833" s="43"/>
      <c r="P833" s="43"/>
      <c r="Q833" s="43"/>
      <c r="R833" s="43"/>
      <c r="S833" s="43"/>
      <c r="T833" s="49"/>
      <c r="U833" s="49"/>
      <c r="V833" s="49"/>
      <c r="W833" s="49"/>
      <c r="X833" s="49"/>
      <c r="Y833" s="49"/>
      <c r="Z833" s="49"/>
      <c r="AA833" s="49"/>
      <c r="AB833" s="49"/>
      <c r="AC833" s="49"/>
      <c r="AD833" s="49"/>
      <c r="AE833" s="49"/>
    </row>
    <row r="834" spans="1:31">
      <c r="A834" s="43"/>
      <c r="B834" s="43"/>
      <c r="C834" s="43"/>
      <c r="D834" s="43"/>
      <c r="E834" s="43"/>
      <c r="F834" s="43"/>
      <c r="G834" s="43"/>
      <c r="H834" s="43"/>
      <c r="I834" s="43"/>
      <c r="J834" s="43"/>
      <c r="K834" s="43"/>
      <c r="L834" s="43"/>
      <c r="M834" s="43"/>
      <c r="N834" s="43"/>
      <c r="O834" s="43"/>
      <c r="P834" s="43"/>
      <c r="Q834" s="43"/>
      <c r="R834" s="43"/>
      <c r="S834" s="43"/>
      <c r="T834" s="49"/>
      <c r="U834" s="49"/>
      <c r="V834" s="49"/>
      <c r="W834" s="49"/>
      <c r="X834" s="49"/>
      <c r="Y834" s="49"/>
      <c r="Z834" s="49"/>
      <c r="AA834" s="49"/>
      <c r="AB834" s="49"/>
      <c r="AC834" s="49"/>
      <c r="AD834" s="49"/>
      <c r="AE834" s="49"/>
    </row>
    <row r="835" spans="1:31">
      <c r="A835" s="43"/>
      <c r="B835" s="43"/>
      <c r="C835" s="43"/>
      <c r="D835" s="43"/>
      <c r="E835" s="43"/>
      <c r="F835" s="43"/>
      <c r="G835" s="43"/>
      <c r="H835" s="43"/>
      <c r="I835" s="43"/>
      <c r="J835" s="43"/>
      <c r="K835" s="43"/>
      <c r="L835" s="43"/>
      <c r="M835" s="43"/>
      <c r="N835" s="43"/>
      <c r="O835" s="43"/>
      <c r="P835" s="43"/>
      <c r="Q835" s="43"/>
      <c r="R835" s="43"/>
      <c r="S835" s="43"/>
      <c r="T835" s="49"/>
      <c r="U835" s="49"/>
      <c r="V835" s="49"/>
      <c r="W835" s="49"/>
      <c r="X835" s="49"/>
      <c r="Y835" s="49"/>
      <c r="Z835" s="49"/>
      <c r="AA835" s="49"/>
      <c r="AB835" s="49"/>
      <c r="AC835" s="49"/>
      <c r="AD835" s="49"/>
      <c r="AE835" s="49"/>
    </row>
    <row r="836" spans="1:31">
      <c r="A836" s="43"/>
      <c r="B836" s="43"/>
      <c r="C836" s="43"/>
      <c r="D836" s="43"/>
      <c r="E836" s="43"/>
      <c r="F836" s="43"/>
      <c r="G836" s="43"/>
      <c r="H836" s="43"/>
      <c r="I836" s="43"/>
      <c r="J836" s="43"/>
      <c r="K836" s="43"/>
      <c r="L836" s="43"/>
      <c r="M836" s="43"/>
      <c r="N836" s="43"/>
      <c r="O836" s="43"/>
      <c r="P836" s="43"/>
      <c r="Q836" s="43"/>
      <c r="R836" s="43"/>
      <c r="S836" s="43"/>
      <c r="T836" s="49"/>
      <c r="U836" s="49"/>
      <c r="V836" s="49"/>
      <c r="W836" s="49"/>
      <c r="X836" s="49"/>
      <c r="Y836" s="49"/>
      <c r="Z836" s="49"/>
      <c r="AA836" s="49"/>
      <c r="AB836" s="49"/>
      <c r="AC836" s="49"/>
      <c r="AD836" s="49"/>
      <c r="AE836" s="49"/>
    </row>
    <row r="837" spans="1:31">
      <c r="A837" s="43"/>
      <c r="B837" s="43"/>
      <c r="C837" s="43"/>
      <c r="D837" s="43"/>
      <c r="E837" s="43"/>
      <c r="F837" s="43"/>
      <c r="G837" s="43"/>
      <c r="H837" s="43"/>
      <c r="I837" s="43"/>
      <c r="J837" s="43"/>
      <c r="K837" s="43"/>
      <c r="L837" s="43"/>
      <c r="M837" s="43"/>
      <c r="N837" s="43"/>
      <c r="O837" s="43"/>
      <c r="P837" s="43"/>
      <c r="Q837" s="43"/>
      <c r="R837" s="43"/>
      <c r="S837" s="43"/>
      <c r="T837" s="49"/>
      <c r="U837" s="49"/>
      <c r="V837" s="49"/>
      <c r="W837" s="49"/>
      <c r="X837" s="49"/>
      <c r="Y837" s="49"/>
      <c r="Z837" s="49"/>
      <c r="AA837" s="49"/>
      <c r="AB837" s="49"/>
      <c r="AC837" s="49"/>
      <c r="AD837" s="49"/>
      <c r="AE837" s="49"/>
    </row>
    <row r="838" spans="1:31">
      <c r="A838" s="43"/>
      <c r="B838" s="43"/>
      <c r="C838" s="43"/>
      <c r="D838" s="43"/>
      <c r="E838" s="43"/>
      <c r="F838" s="43"/>
      <c r="G838" s="43"/>
      <c r="H838" s="43"/>
      <c r="I838" s="43"/>
      <c r="J838" s="43"/>
      <c r="K838" s="43"/>
      <c r="L838" s="43"/>
      <c r="M838" s="43"/>
      <c r="N838" s="43"/>
      <c r="O838" s="43"/>
      <c r="P838" s="43"/>
      <c r="Q838" s="43"/>
      <c r="R838" s="43"/>
      <c r="S838" s="43"/>
      <c r="T838" s="49"/>
      <c r="U838" s="49"/>
      <c r="V838" s="49"/>
      <c r="W838" s="49"/>
      <c r="X838" s="49"/>
      <c r="Y838" s="49"/>
      <c r="Z838" s="49"/>
      <c r="AA838" s="49"/>
      <c r="AB838" s="49"/>
      <c r="AC838" s="49"/>
      <c r="AD838" s="49"/>
      <c r="AE838" s="49"/>
    </row>
    <row r="839" spans="1:31">
      <c r="A839" s="43"/>
      <c r="B839" s="43"/>
      <c r="C839" s="43"/>
      <c r="D839" s="43"/>
      <c r="E839" s="43"/>
      <c r="F839" s="43"/>
      <c r="G839" s="43"/>
      <c r="H839" s="43"/>
      <c r="I839" s="43"/>
      <c r="J839" s="43"/>
      <c r="K839" s="43"/>
      <c r="L839" s="43"/>
      <c r="M839" s="43"/>
      <c r="N839" s="43"/>
      <c r="O839" s="43"/>
      <c r="P839" s="43"/>
      <c r="Q839" s="43"/>
      <c r="R839" s="43"/>
      <c r="S839" s="43"/>
      <c r="T839" s="49"/>
      <c r="U839" s="49"/>
      <c r="V839" s="49"/>
      <c r="W839" s="49"/>
      <c r="X839" s="49"/>
      <c r="Y839" s="49"/>
      <c r="Z839" s="49"/>
      <c r="AA839" s="49"/>
      <c r="AB839" s="49"/>
      <c r="AC839" s="49"/>
      <c r="AD839" s="49"/>
      <c r="AE839" s="49"/>
    </row>
    <row r="840" spans="1:31">
      <c r="A840" s="43"/>
      <c r="B840" s="43"/>
      <c r="C840" s="43"/>
      <c r="D840" s="43"/>
      <c r="E840" s="43"/>
      <c r="F840" s="43"/>
      <c r="G840" s="43"/>
      <c r="H840" s="43"/>
      <c r="I840" s="43"/>
      <c r="J840" s="43"/>
      <c r="K840" s="43"/>
      <c r="L840" s="43"/>
      <c r="M840" s="43"/>
      <c r="N840" s="43"/>
      <c r="O840" s="43"/>
      <c r="P840" s="43"/>
      <c r="Q840" s="43"/>
      <c r="R840" s="43"/>
      <c r="S840" s="43"/>
      <c r="T840" s="49"/>
      <c r="U840" s="49"/>
      <c r="V840" s="49"/>
      <c r="W840" s="49"/>
      <c r="X840" s="49"/>
      <c r="Y840" s="49"/>
      <c r="Z840" s="49"/>
      <c r="AA840" s="49"/>
      <c r="AB840" s="49"/>
      <c r="AC840" s="49"/>
      <c r="AD840" s="49"/>
      <c r="AE840" s="49"/>
    </row>
    <row r="841" spans="1:31">
      <c r="A841" s="43"/>
      <c r="B841" s="43"/>
      <c r="C841" s="43"/>
      <c r="D841" s="43"/>
      <c r="E841" s="43"/>
      <c r="F841" s="43"/>
      <c r="G841" s="43"/>
      <c r="H841" s="43"/>
      <c r="I841" s="43"/>
      <c r="J841" s="43"/>
      <c r="K841" s="43"/>
      <c r="L841" s="43"/>
      <c r="M841" s="43"/>
      <c r="N841" s="43"/>
      <c r="O841" s="43"/>
      <c r="P841" s="43"/>
      <c r="Q841" s="43"/>
      <c r="R841" s="43"/>
      <c r="S841" s="43"/>
      <c r="T841" s="49"/>
      <c r="U841" s="49"/>
      <c r="V841" s="49"/>
      <c r="W841" s="49"/>
      <c r="X841" s="49"/>
      <c r="Y841" s="49"/>
      <c r="Z841" s="49"/>
      <c r="AA841" s="49"/>
      <c r="AB841" s="49"/>
      <c r="AC841" s="49"/>
      <c r="AD841" s="49"/>
      <c r="AE841" s="49"/>
    </row>
    <row r="842" spans="1:31">
      <c r="A842" s="43"/>
      <c r="B842" s="43"/>
      <c r="C842" s="43"/>
      <c r="D842" s="43"/>
      <c r="E842" s="43"/>
      <c r="F842" s="43"/>
      <c r="G842" s="43"/>
      <c r="H842" s="43"/>
      <c r="I842" s="43"/>
      <c r="J842" s="43"/>
      <c r="K842" s="43"/>
      <c r="L842" s="43"/>
      <c r="M842" s="43"/>
      <c r="N842" s="43"/>
      <c r="O842" s="43"/>
      <c r="P842" s="43"/>
      <c r="Q842" s="43"/>
      <c r="R842" s="43"/>
      <c r="S842" s="43"/>
      <c r="T842" s="49"/>
      <c r="U842" s="49"/>
      <c r="V842" s="49"/>
      <c r="W842" s="49"/>
      <c r="X842" s="49"/>
      <c r="Y842" s="49"/>
      <c r="Z842" s="49"/>
      <c r="AA842" s="49"/>
      <c r="AB842" s="49"/>
      <c r="AC842" s="49"/>
      <c r="AD842" s="49"/>
      <c r="AE842" s="49"/>
    </row>
    <row r="843" spans="1:31">
      <c r="A843" s="43"/>
      <c r="B843" s="43"/>
      <c r="C843" s="43"/>
      <c r="D843" s="43"/>
      <c r="E843" s="43"/>
      <c r="F843" s="43"/>
      <c r="G843" s="43"/>
      <c r="H843" s="43"/>
      <c r="I843" s="43"/>
      <c r="J843" s="43"/>
      <c r="K843" s="43"/>
      <c r="L843" s="43"/>
      <c r="M843" s="43"/>
      <c r="N843" s="43"/>
      <c r="O843" s="43"/>
      <c r="P843" s="43"/>
      <c r="Q843" s="43"/>
      <c r="R843" s="43"/>
      <c r="S843" s="43"/>
      <c r="T843" s="49"/>
      <c r="U843" s="49"/>
      <c r="V843" s="49"/>
      <c r="W843" s="49"/>
      <c r="X843" s="49"/>
      <c r="Y843" s="49"/>
      <c r="Z843" s="49"/>
      <c r="AA843" s="49"/>
      <c r="AB843" s="49"/>
      <c r="AC843" s="49"/>
      <c r="AD843" s="49"/>
      <c r="AE843" s="49"/>
    </row>
    <row r="844" spans="1:31">
      <c r="A844" s="43"/>
      <c r="B844" s="43"/>
      <c r="C844" s="43"/>
      <c r="D844" s="43"/>
      <c r="E844" s="43"/>
      <c r="F844" s="43"/>
      <c r="G844" s="43"/>
      <c r="H844" s="43"/>
      <c r="I844" s="43"/>
      <c r="J844" s="43"/>
      <c r="K844" s="43"/>
      <c r="L844" s="43"/>
      <c r="M844" s="43"/>
      <c r="N844" s="43"/>
      <c r="O844" s="43"/>
      <c r="P844" s="43"/>
      <c r="Q844" s="43"/>
      <c r="R844" s="43"/>
      <c r="S844" s="43"/>
      <c r="T844" s="49"/>
      <c r="U844" s="49"/>
      <c r="V844" s="49"/>
      <c r="W844" s="49"/>
      <c r="X844" s="49"/>
      <c r="Y844" s="49"/>
      <c r="Z844" s="49"/>
      <c r="AA844" s="49"/>
      <c r="AB844" s="49"/>
      <c r="AC844" s="49"/>
      <c r="AD844" s="49"/>
      <c r="AE844" s="49"/>
    </row>
    <row r="845" spans="1:31">
      <c r="A845" s="43"/>
      <c r="B845" s="43"/>
      <c r="C845" s="43"/>
      <c r="D845" s="43"/>
      <c r="E845" s="43"/>
      <c r="F845" s="43"/>
      <c r="G845" s="43"/>
      <c r="H845" s="43"/>
      <c r="I845" s="43"/>
      <c r="J845" s="43"/>
      <c r="K845" s="43"/>
      <c r="L845" s="43"/>
      <c r="M845" s="43"/>
      <c r="N845" s="43"/>
      <c r="O845" s="43"/>
      <c r="P845" s="43"/>
      <c r="Q845" s="43"/>
      <c r="R845" s="43"/>
      <c r="S845" s="43"/>
      <c r="T845" s="49"/>
      <c r="U845" s="49"/>
      <c r="V845" s="49"/>
      <c r="W845" s="49"/>
      <c r="X845" s="49"/>
      <c r="Y845" s="49"/>
      <c r="Z845" s="49"/>
      <c r="AA845" s="49"/>
      <c r="AB845" s="49"/>
      <c r="AC845" s="49"/>
      <c r="AD845" s="49"/>
      <c r="AE845" s="49"/>
    </row>
    <row r="846" spans="1:31">
      <c r="A846" s="43"/>
      <c r="B846" s="43"/>
      <c r="C846" s="43"/>
      <c r="D846" s="43"/>
      <c r="E846" s="43"/>
      <c r="F846" s="43"/>
      <c r="G846" s="43"/>
      <c r="H846" s="43"/>
      <c r="I846" s="43"/>
      <c r="J846" s="43"/>
      <c r="K846" s="43"/>
      <c r="L846" s="43"/>
      <c r="M846" s="43"/>
      <c r="N846" s="43"/>
      <c r="O846" s="43"/>
      <c r="P846" s="43"/>
      <c r="Q846" s="43"/>
      <c r="R846" s="43"/>
      <c r="S846" s="43"/>
      <c r="T846" s="49"/>
      <c r="U846" s="49"/>
      <c r="V846" s="49"/>
      <c r="W846" s="49"/>
      <c r="X846" s="49"/>
      <c r="Y846" s="49"/>
      <c r="Z846" s="49"/>
      <c r="AA846" s="49"/>
      <c r="AB846" s="49"/>
      <c r="AC846" s="49"/>
      <c r="AD846" s="49"/>
      <c r="AE846" s="49"/>
    </row>
    <row r="847" spans="1:31">
      <c r="A847" s="43"/>
      <c r="B847" s="43"/>
      <c r="C847" s="43"/>
      <c r="D847" s="43"/>
      <c r="E847" s="43"/>
      <c r="F847" s="43"/>
      <c r="G847" s="43"/>
      <c r="H847" s="43"/>
      <c r="I847" s="43"/>
      <c r="J847" s="43"/>
      <c r="K847" s="43"/>
      <c r="L847" s="43"/>
      <c r="M847" s="43"/>
      <c r="N847" s="43"/>
      <c r="O847" s="43"/>
      <c r="P847" s="43"/>
      <c r="Q847" s="43"/>
      <c r="R847" s="43"/>
      <c r="S847" s="43"/>
      <c r="T847" s="49"/>
      <c r="U847" s="49"/>
      <c r="V847" s="49"/>
      <c r="W847" s="49"/>
      <c r="X847" s="49"/>
      <c r="Y847" s="49"/>
      <c r="Z847" s="49"/>
      <c r="AA847" s="49"/>
      <c r="AB847" s="49"/>
      <c r="AC847" s="49"/>
      <c r="AD847" s="49"/>
      <c r="AE847" s="49"/>
    </row>
    <row r="848" spans="1:31">
      <c r="A848" s="43"/>
      <c r="B848" s="43"/>
      <c r="C848" s="43"/>
      <c r="D848" s="43"/>
      <c r="E848" s="43"/>
      <c r="F848" s="43"/>
      <c r="G848" s="43"/>
      <c r="H848" s="43"/>
      <c r="I848" s="43"/>
      <c r="J848" s="43"/>
      <c r="K848" s="43"/>
      <c r="L848" s="43"/>
      <c r="M848" s="43"/>
      <c r="N848" s="43"/>
      <c r="O848" s="43"/>
      <c r="P848" s="43"/>
      <c r="Q848" s="43"/>
      <c r="R848" s="43"/>
      <c r="S848" s="43"/>
      <c r="T848" s="49"/>
      <c r="U848" s="49"/>
      <c r="V848" s="49"/>
      <c r="W848" s="49"/>
      <c r="X848" s="49"/>
      <c r="Y848" s="49"/>
      <c r="Z848" s="49"/>
      <c r="AA848" s="49"/>
      <c r="AB848" s="49"/>
      <c r="AC848" s="49"/>
      <c r="AD848" s="49"/>
      <c r="AE848" s="49"/>
    </row>
    <row r="849" spans="1:31">
      <c r="A849" s="43"/>
      <c r="B849" s="43"/>
      <c r="C849" s="43"/>
      <c r="D849" s="43"/>
      <c r="E849" s="43"/>
      <c r="F849" s="43"/>
      <c r="G849" s="43"/>
      <c r="H849" s="43"/>
      <c r="I849" s="43"/>
      <c r="J849" s="43"/>
      <c r="K849" s="43"/>
      <c r="L849" s="43"/>
      <c r="M849" s="43"/>
      <c r="N849" s="43"/>
      <c r="O849" s="43"/>
      <c r="P849" s="43"/>
      <c r="Q849" s="43"/>
      <c r="R849" s="43"/>
      <c r="S849" s="43"/>
      <c r="T849" s="49"/>
      <c r="U849" s="49"/>
      <c r="V849" s="49"/>
      <c r="W849" s="49"/>
      <c r="X849" s="49"/>
      <c r="Y849" s="49"/>
      <c r="Z849" s="49"/>
      <c r="AA849" s="49"/>
      <c r="AB849" s="49"/>
      <c r="AC849" s="49"/>
      <c r="AD849" s="49"/>
      <c r="AE849" s="49"/>
    </row>
    <row r="850" spans="1:31">
      <c r="A850" s="43"/>
      <c r="B850" s="43"/>
      <c r="C850" s="43"/>
      <c r="D850" s="43"/>
      <c r="E850" s="43"/>
      <c r="F850" s="43"/>
      <c r="G850" s="43"/>
      <c r="H850" s="43"/>
      <c r="I850" s="43"/>
      <c r="J850" s="43"/>
      <c r="K850" s="43"/>
      <c r="L850" s="43"/>
      <c r="M850" s="43"/>
      <c r="N850" s="43"/>
      <c r="O850" s="43"/>
      <c r="P850" s="43"/>
      <c r="Q850" s="43"/>
      <c r="R850" s="43"/>
      <c r="S850" s="43"/>
      <c r="T850" s="49"/>
      <c r="U850" s="49"/>
      <c r="V850" s="49"/>
      <c r="W850" s="49"/>
      <c r="X850" s="49"/>
      <c r="Y850" s="49"/>
      <c r="Z850" s="49"/>
      <c r="AA850" s="49"/>
      <c r="AB850" s="49"/>
      <c r="AC850" s="49"/>
      <c r="AD850" s="49"/>
      <c r="AE850" s="49"/>
    </row>
    <row r="851" spans="1:31">
      <c r="A851" s="43"/>
      <c r="B851" s="43"/>
      <c r="C851" s="43"/>
      <c r="D851" s="43"/>
      <c r="E851" s="43"/>
      <c r="F851" s="43"/>
      <c r="G851" s="43"/>
      <c r="H851" s="43"/>
      <c r="I851" s="43"/>
      <c r="J851" s="43"/>
      <c r="K851" s="43"/>
      <c r="L851" s="43"/>
      <c r="M851" s="43"/>
      <c r="N851" s="43"/>
      <c r="O851" s="43"/>
      <c r="P851" s="43"/>
      <c r="Q851" s="43"/>
      <c r="R851" s="43"/>
      <c r="S851" s="43"/>
      <c r="T851" s="49"/>
      <c r="U851" s="49"/>
      <c r="V851" s="49"/>
      <c r="W851" s="49"/>
      <c r="X851" s="49"/>
      <c r="Y851" s="49"/>
      <c r="Z851" s="49"/>
      <c r="AA851" s="49"/>
      <c r="AB851" s="49"/>
      <c r="AC851" s="49"/>
      <c r="AD851" s="49"/>
      <c r="AE851" s="49"/>
    </row>
    <row r="852" spans="1:31">
      <c r="A852" s="43"/>
      <c r="B852" s="43"/>
      <c r="C852" s="43"/>
      <c r="D852" s="43"/>
      <c r="E852" s="43"/>
      <c r="F852" s="43"/>
      <c r="G852" s="43"/>
      <c r="H852" s="43"/>
      <c r="I852" s="43"/>
      <c r="J852" s="43"/>
      <c r="K852" s="43"/>
      <c r="L852" s="43"/>
      <c r="M852" s="43"/>
      <c r="N852" s="43"/>
      <c r="O852" s="43"/>
      <c r="P852" s="43"/>
      <c r="Q852" s="43"/>
      <c r="R852" s="43"/>
      <c r="S852" s="43"/>
      <c r="T852" s="49"/>
      <c r="U852" s="49"/>
      <c r="V852" s="49"/>
      <c r="W852" s="49"/>
      <c r="X852" s="49"/>
      <c r="Y852" s="49"/>
      <c r="Z852" s="49"/>
      <c r="AA852" s="49"/>
      <c r="AB852" s="49"/>
      <c r="AC852" s="49"/>
      <c r="AD852" s="49"/>
      <c r="AE852" s="49"/>
    </row>
    <row r="853" spans="1:31">
      <c r="A853" s="43"/>
      <c r="B853" s="43"/>
      <c r="C853" s="43"/>
      <c r="D853" s="43"/>
      <c r="E853" s="43"/>
      <c r="F853" s="43"/>
      <c r="G853" s="43"/>
      <c r="H853" s="43"/>
      <c r="I853" s="43"/>
      <c r="J853" s="43"/>
      <c r="K853" s="43"/>
      <c r="L853" s="43"/>
      <c r="M853" s="43"/>
      <c r="N853" s="43"/>
      <c r="O853" s="43"/>
      <c r="P853" s="43"/>
      <c r="Q853" s="43"/>
      <c r="R853" s="43"/>
      <c r="S853" s="43"/>
      <c r="T853" s="49"/>
      <c r="U853" s="49"/>
      <c r="V853" s="49"/>
      <c r="W853" s="49"/>
      <c r="X853" s="49"/>
      <c r="Y853" s="49"/>
      <c r="Z853" s="49"/>
      <c r="AA853" s="49"/>
      <c r="AB853" s="49"/>
      <c r="AC853" s="49"/>
      <c r="AD853" s="49"/>
      <c r="AE853" s="49"/>
    </row>
    <row r="854" spans="1:31">
      <c r="A854" s="43"/>
      <c r="B854" s="43"/>
      <c r="C854" s="43"/>
      <c r="D854" s="43"/>
      <c r="E854" s="43"/>
      <c r="F854" s="43"/>
      <c r="G854" s="43"/>
      <c r="H854" s="43"/>
      <c r="I854" s="43"/>
      <c r="J854" s="43"/>
      <c r="K854" s="43"/>
      <c r="L854" s="43"/>
      <c r="M854" s="43"/>
      <c r="N854" s="43"/>
      <c r="O854" s="43"/>
      <c r="P854" s="43"/>
      <c r="Q854" s="43"/>
      <c r="R854" s="43"/>
      <c r="S854" s="43"/>
      <c r="T854" s="49"/>
      <c r="U854" s="49"/>
      <c r="V854" s="49"/>
      <c r="W854" s="49"/>
      <c r="X854" s="49"/>
      <c r="Y854" s="49"/>
      <c r="Z854" s="49"/>
      <c r="AA854" s="49"/>
      <c r="AB854" s="49"/>
      <c r="AC854" s="49"/>
      <c r="AD854" s="49"/>
      <c r="AE854" s="49"/>
    </row>
    <row r="855" spans="1:31">
      <c r="A855" s="43"/>
      <c r="B855" s="43"/>
      <c r="C855" s="43"/>
      <c r="D855" s="43"/>
      <c r="E855" s="43"/>
      <c r="F855" s="43"/>
      <c r="G855" s="43"/>
      <c r="H855" s="43"/>
      <c r="I855" s="43"/>
      <c r="J855" s="43"/>
      <c r="K855" s="43"/>
      <c r="L855" s="43"/>
      <c r="M855" s="43"/>
      <c r="N855" s="43"/>
      <c r="O855" s="43"/>
      <c r="P855" s="43"/>
      <c r="Q855" s="43"/>
      <c r="R855" s="43"/>
      <c r="S855" s="43"/>
      <c r="T855" s="49"/>
      <c r="U855" s="49"/>
      <c r="V855" s="49"/>
      <c r="W855" s="49"/>
      <c r="X855" s="49"/>
      <c r="Y855" s="49"/>
      <c r="Z855" s="49"/>
      <c r="AA855" s="49"/>
      <c r="AB855" s="49"/>
      <c r="AC855" s="49"/>
      <c r="AD855" s="49"/>
      <c r="AE855" s="49"/>
    </row>
    <row r="856" spans="1:31">
      <c r="A856" s="43"/>
      <c r="B856" s="43"/>
      <c r="C856" s="43"/>
      <c r="D856" s="43"/>
      <c r="E856" s="43"/>
      <c r="F856" s="43"/>
      <c r="G856" s="43"/>
      <c r="H856" s="43"/>
      <c r="I856" s="43"/>
      <c r="J856" s="43"/>
      <c r="K856" s="43"/>
      <c r="L856" s="43"/>
      <c r="M856" s="43"/>
      <c r="N856" s="43"/>
      <c r="O856" s="43"/>
      <c r="P856" s="43"/>
      <c r="Q856" s="43"/>
      <c r="R856" s="43"/>
      <c r="S856" s="43"/>
      <c r="T856" s="49"/>
      <c r="U856" s="49"/>
      <c r="V856" s="49"/>
      <c r="W856" s="49"/>
      <c r="X856" s="49"/>
      <c r="Y856" s="49"/>
      <c r="Z856" s="49"/>
      <c r="AA856" s="49"/>
      <c r="AB856" s="49"/>
      <c r="AC856" s="49"/>
      <c r="AD856" s="49"/>
      <c r="AE856" s="49"/>
    </row>
    <row r="857" spans="1:31">
      <c r="A857" s="43"/>
      <c r="B857" s="43"/>
      <c r="C857" s="43"/>
      <c r="D857" s="43"/>
      <c r="E857" s="43"/>
      <c r="F857" s="43"/>
      <c r="G857" s="43"/>
      <c r="H857" s="43"/>
      <c r="I857" s="43"/>
      <c r="J857" s="43"/>
      <c r="K857" s="43"/>
      <c r="L857" s="43"/>
      <c r="M857" s="43"/>
      <c r="N857" s="43"/>
      <c r="O857" s="43"/>
      <c r="P857" s="43"/>
      <c r="Q857" s="43"/>
      <c r="R857" s="43"/>
      <c r="S857" s="43"/>
      <c r="T857" s="49"/>
      <c r="U857" s="49"/>
      <c r="V857" s="49"/>
      <c r="W857" s="49"/>
      <c r="X857" s="49"/>
      <c r="Y857" s="49"/>
      <c r="Z857" s="49"/>
      <c r="AA857" s="49"/>
      <c r="AB857" s="49"/>
      <c r="AC857" s="49"/>
      <c r="AD857" s="49"/>
      <c r="AE857" s="49"/>
    </row>
    <row r="858" spans="1:31">
      <c r="A858" s="43"/>
      <c r="B858" s="43"/>
      <c r="C858" s="43"/>
      <c r="D858" s="43"/>
      <c r="E858" s="43"/>
      <c r="F858" s="43"/>
      <c r="G858" s="43"/>
      <c r="H858" s="43"/>
      <c r="I858" s="43"/>
      <c r="J858" s="43"/>
      <c r="K858" s="43"/>
      <c r="L858" s="43"/>
      <c r="M858" s="43"/>
      <c r="N858" s="43"/>
      <c r="O858" s="43"/>
      <c r="P858" s="43"/>
      <c r="Q858" s="43"/>
      <c r="R858" s="43"/>
      <c r="S858" s="43"/>
      <c r="T858" s="49"/>
      <c r="U858" s="49"/>
      <c r="V858" s="49"/>
      <c r="W858" s="49"/>
      <c r="X858" s="49"/>
      <c r="Y858" s="49"/>
      <c r="Z858" s="49"/>
      <c r="AA858" s="49"/>
      <c r="AB858" s="49"/>
      <c r="AC858" s="49"/>
      <c r="AD858" s="49"/>
      <c r="AE858" s="49"/>
    </row>
    <row r="859" spans="1:31">
      <c r="A859" s="43"/>
      <c r="B859" s="43"/>
      <c r="C859" s="43"/>
      <c r="D859" s="43"/>
      <c r="E859" s="43"/>
      <c r="F859" s="43"/>
      <c r="G859" s="43"/>
      <c r="H859" s="43"/>
      <c r="I859" s="43"/>
      <c r="J859" s="43"/>
      <c r="K859" s="43"/>
      <c r="L859" s="43"/>
      <c r="M859" s="43"/>
      <c r="N859" s="43"/>
      <c r="O859" s="43"/>
      <c r="P859" s="43"/>
      <c r="Q859" s="43"/>
      <c r="R859" s="43"/>
      <c r="S859" s="43"/>
      <c r="T859" s="49"/>
      <c r="U859" s="49"/>
      <c r="V859" s="49"/>
      <c r="W859" s="49"/>
      <c r="X859" s="49"/>
      <c r="Y859" s="49"/>
      <c r="Z859" s="49"/>
      <c r="AA859" s="49"/>
      <c r="AB859" s="49"/>
      <c r="AC859" s="49"/>
      <c r="AD859" s="49"/>
      <c r="AE859" s="49"/>
    </row>
    <row r="860" spans="1:31">
      <c r="A860" s="43"/>
      <c r="B860" s="43"/>
      <c r="C860" s="43"/>
      <c r="D860" s="43"/>
      <c r="E860" s="43"/>
      <c r="F860" s="43"/>
      <c r="G860" s="43"/>
      <c r="H860" s="43"/>
      <c r="I860" s="43"/>
      <c r="J860" s="43"/>
      <c r="K860" s="43"/>
      <c r="L860" s="43"/>
      <c r="M860" s="43"/>
      <c r="N860" s="43"/>
      <c r="O860" s="43"/>
      <c r="P860" s="43"/>
      <c r="Q860" s="43"/>
      <c r="R860" s="43"/>
      <c r="S860" s="43"/>
      <c r="T860" s="49"/>
      <c r="U860" s="49"/>
      <c r="V860" s="49"/>
      <c r="W860" s="49"/>
      <c r="X860" s="49"/>
      <c r="Y860" s="49"/>
      <c r="Z860" s="49"/>
      <c r="AA860" s="49"/>
      <c r="AB860" s="49"/>
      <c r="AC860" s="49"/>
      <c r="AD860" s="49"/>
      <c r="AE860" s="49"/>
    </row>
    <row r="861" spans="1:31">
      <c r="A861" s="43"/>
      <c r="B861" s="43"/>
      <c r="C861" s="43"/>
      <c r="D861" s="43"/>
      <c r="E861" s="43"/>
      <c r="F861" s="43"/>
      <c r="G861" s="43"/>
      <c r="H861" s="43"/>
      <c r="I861" s="43"/>
      <c r="J861" s="43"/>
      <c r="K861" s="43"/>
      <c r="L861" s="43"/>
      <c r="M861" s="43"/>
      <c r="N861" s="43"/>
      <c r="O861" s="43"/>
      <c r="P861" s="43"/>
      <c r="Q861" s="43"/>
      <c r="R861" s="43"/>
      <c r="S861" s="43"/>
      <c r="T861" s="49"/>
      <c r="U861" s="49"/>
      <c r="V861" s="49"/>
      <c r="W861" s="49"/>
      <c r="X861" s="49"/>
      <c r="Y861" s="49"/>
      <c r="Z861" s="49"/>
      <c r="AA861" s="49"/>
      <c r="AB861" s="49"/>
      <c r="AC861" s="49"/>
      <c r="AD861" s="49"/>
      <c r="AE861" s="49"/>
    </row>
    <row r="862" spans="1:31">
      <c r="A862" s="43"/>
      <c r="B862" s="43"/>
      <c r="C862" s="43"/>
      <c r="D862" s="43"/>
      <c r="E862" s="43"/>
      <c r="F862" s="43"/>
      <c r="G862" s="43"/>
      <c r="H862" s="43"/>
      <c r="I862" s="43"/>
      <c r="J862" s="43"/>
      <c r="K862" s="43"/>
      <c r="L862" s="43"/>
      <c r="M862" s="43"/>
      <c r="N862" s="43"/>
      <c r="O862" s="43"/>
      <c r="P862" s="43"/>
      <c r="Q862" s="43"/>
      <c r="R862" s="43"/>
      <c r="S862" s="43"/>
      <c r="T862" s="49"/>
      <c r="U862" s="49"/>
      <c r="V862" s="49"/>
      <c r="W862" s="49"/>
      <c r="X862" s="49"/>
      <c r="Y862" s="49"/>
      <c r="Z862" s="49"/>
      <c r="AA862" s="49"/>
      <c r="AB862" s="49"/>
      <c r="AC862" s="49"/>
      <c r="AD862" s="49"/>
      <c r="AE862" s="49"/>
    </row>
    <row r="863" spans="1:31">
      <c r="A863" s="43"/>
      <c r="B863" s="43"/>
      <c r="C863" s="43"/>
      <c r="D863" s="43"/>
      <c r="E863" s="43"/>
      <c r="F863" s="43"/>
      <c r="G863" s="43"/>
      <c r="H863" s="43"/>
      <c r="I863" s="43"/>
      <c r="J863" s="43"/>
      <c r="K863" s="43"/>
      <c r="L863" s="43"/>
      <c r="M863" s="43"/>
      <c r="N863" s="43"/>
      <c r="O863" s="43"/>
      <c r="P863" s="43"/>
      <c r="Q863" s="43"/>
      <c r="R863" s="43"/>
      <c r="S863" s="43"/>
      <c r="T863" s="49"/>
      <c r="U863" s="49"/>
      <c r="V863" s="49"/>
      <c r="W863" s="49"/>
      <c r="X863" s="49"/>
      <c r="Y863" s="49"/>
      <c r="Z863" s="49"/>
      <c r="AA863" s="49"/>
      <c r="AB863" s="49"/>
      <c r="AC863" s="49"/>
      <c r="AD863" s="49"/>
      <c r="AE863" s="49"/>
    </row>
    <row r="864" spans="1:31">
      <c r="A864" s="43"/>
      <c r="B864" s="43"/>
      <c r="C864" s="43"/>
      <c r="D864" s="43"/>
      <c r="E864" s="43"/>
      <c r="F864" s="43"/>
      <c r="G864" s="43"/>
      <c r="H864" s="43"/>
      <c r="I864" s="43"/>
      <c r="J864" s="43"/>
      <c r="K864" s="43"/>
      <c r="L864" s="43"/>
      <c r="M864" s="43"/>
      <c r="N864" s="43"/>
      <c r="O864" s="43"/>
      <c r="P864" s="43"/>
      <c r="Q864" s="43"/>
      <c r="R864" s="43"/>
      <c r="S864" s="43"/>
      <c r="T864" s="49"/>
      <c r="U864" s="49"/>
      <c r="V864" s="49"/>
      <c r="W864" s="49"/>
      <c r="X864" s="49"/>
      <c r="Y864" s="49"/>
      <c r="Z864" s="49"/>
      <c r="AA864" s="49"/>
      <c r="AB864" s="49"/>
      <c r="AC864" s="49"/>
      <c r="AD864" s="49"/>
      <c r="AE864" s="49"/>
    </row>
    <row r="865" spans="1:31">
      <c r="A865" s="43"/>
      <c r="B865" s="43"/>
      <c r="C865" s="43"/>
      <c r="D865" s="43"/>
      <c r="E865" s="43"/>
      <c r="F865" s="43"/>
      <c r="G865" s="43"/>
      <c r="H865" s="43"/>
      <c r="I865" s="43"/>
      <c r="J865" s="43"/>
      <c r="K865" s="43"/>
      <c r="L865" s="43"/>
      <c r="M865" s="43"/>
      <c r="N865" s="43"/>
      <c r="O865" s="43"/>
      <c r="P865" s="43"/>
      <c r="Q865" s="43"/>
      <c r="R865" s="43"/>
      <c r="S865" s="43"/>
      <c r="T865" s="49"/>
      <c r="U865" s="49"/>
      <c r="V865" s="49"/>
      <c r="W865" s="49"/>
      <c r="X865" s="49"/>
      <c r="Y865" s="49"/>
      <c r="Z865" s="49"/>
      <c r="AA865" s="49"/>
      <c r="AB865" s="49"/>
      <c r="AC865" s="49"/>
      <c r="AD865" s="49"/>
      <c r="AE865" s="49"/>
    </row>
    <row r="866" spans="1:31">
      <c r="A866" s="43"/>
      <c r="B866" s="43"/>
      <c r="C866" s="43"/>
      <c r="D866" s="43"/>
      <c r="E866" s="43"/>
      <c r="F866" s="43"/>
      <c r="G866" s="43"/>
      <c r="H866" s="43"/>
      <c r="I866" s="43"/>
      <c r="J866" s="43"/>
      <c r="K866" s="43"/>
      <c r="L866" s="43"/>
      <c r="M866" s="43"/>
      <c r="N866" s="43"/>
      <c r="O866" s="43"/>
      <c r="P866" s="43"/>
      <c r="Q866" s="43"/>
      <c r="R866" s="43"/>
      <c r="S866" s="43"/>
      <c r="T866" s="49"/>
      <c r="U866" s="49"/>
      <c r="V866" s="49"/>
      <c r="W866" s="49"/>
      <c r="X866" s="49"/>
      <c r="Y866" s="49"/>
      <c r="Z866" s="49"/>
      <c r="AA866" s="49"/>
      <c r="AB866" s="49"/>
      <c r="AC866" s="49"/>
      <c r="AD866" s="49"/>
      <c r="AE866" s="49"/>
    </row>
    <row r="867" spans="1:31">
      <c r="A867" s="43"/>
      <c r="B867" s="43"/>
      <c r="C867" s="43"/>
      <c r="D867" s="43"/>
      <c r="E867" s="43"/>
      <c r="F867" s="43"/>
      <c r="G867" s="43"/>
      <c r="H867" s="43"/>
      <c r="I867" s="43"/>
      <c r="J867" s="43"/>
      <c r="K867" s="43"/>
      <c r="L867" s="43"/>
      <c r="M867" s="43"/>
      <c r="N867" s="43"/>
      <c r="O867" s="43"/>
      <c r="P867" s="43"/>
      <c r="Q867" s="43"/>
      <c r="R867" s="43"/>
      <c r="S867" s="43"/>
      <c r="T867" s="49"/>
      <c r="U867" s="49"/>
      <c r="V867" s="49"/>
      <c r="W867" s="49"/>
      <c r="X867" s="49"/>
      <c r="Y867" s="49"/>
      <c r="Z867" s="49"/>
      <c r="AA867" s="49"/>
      <c r="AB867" s="49"/>
      <c r="AC867" s="49"/>
      <c r="AD867" s="49"/>
      <c r="AE867" s="49"/>
    </row>
    <row r="868" spans="1:31">
      <c r="A868" s="43"/>
      <c r="B868" s="43"/>
      <c r="C868" s="43"/>
      <c r="D868" s="43"/>
      <c r="E868" s="43"/>
      <c r="F868" s="43"/>
      <c r="G868" s="43"/>
      <c r="H868" s="43"/>
      <c r="I868" s="43"/>
      <c r="J868" s="43"/>
      <c r="K868" s="43"/>
      <c r="L868" s="43"/>
      <c r="M868" s="43"/>
      <c r="N868" s="43"/>
      <c r="O868" s="43"/>
      <c r="P868" s="43"/>
      <c r="Q868" s="43"/>
      <c r="R868" s="43"/>
      <c r="S868" s="43"/>
      <c r="T868" s="49"/>
      <c r="U868" s="49"/>
      <c r="V868" s="49"/>
      <c r="W868" s="49"/>
      <c r="X868" s="49"/>
      <c r="Y868" s="49"/>
      <c r="Z868" s="49"/>
      <c r="AA868" s="49"/>
      <c r="AB868" s="49"/>
      <c r="AC868" s="49"/>
      <c r="AD868" s="49"/>
      <c r="AE868" s="49"/>
    </row>
    <row r="869" spans="1:31">
      <c r="A869" s="43"/>
      <c r="B869" s="43"/>
      <c r="C869" s="43"/>
      <c r="D869" s="43"/>
      <c r="E869" s="43"/>
      <c r="F869" s="43"/>
      <c r="G869" s="43"/>
      <c r="H869" s="43"/>
      <c r="I869" s="43"/>
      <c r="J869" s="43"/>
      <c r="K869" s="43"/>
      <c r="L869" s="43"/>
      <c r="M869" s="43"/>
      <c r="N869" s="43"/>
      <c r="O869" s="43"/>
      <c r="P869" s="43"/>
      <c r="Q869" s="43"/>
      <c r="R869" s="43"/>
      <c r="S869" s="43"/>
      <c r="T869" s="49"/>
      <c r="U869" s="49"/>
      <c r="V869" s="49"/>
      <c r="W869" s="49"/>
      <c r="X869" s="49"/>
      <c r="Y869" s="49"/>
      <c r="Z869" s="49"/>
      <c r="AA869" s="49"/>
      <c r="AB869" s="49"/>
      <c r="AC869" s="49"/>
      <c r="AD869" s="49"/>
      <c r="AE869" s="49"/>
    </row>
    <row r="870" spans="1:31">
      <c r="A870" s="43"/>
      <c r="B870" s="43"/>
      <c r="C870" s="43"/>
      <c r="D870" s="43"/>
      <c r="E870" s="43"/>
      <c r="F870" s="43"/>
      <c r="G870" s="43"/>
      <c r="H870" s="43"/>
      <c r="I870" s="43"/>
      <c r="J870" s="43"/>
      <c r="K870" s="43"/>
      <c r="L870" s="43"/>
      <c r="M870" s="43"/>
      <c r="N870" s="43"/>
      <c r="O870" s="43"/>
      <c r="P870" s="43"/>
      <c r="Q870" s="43"/>
      <c r="R870" s="43"/>
      <c r="S870" s="43"/>
      <c r="T870" s="49"/>
      <c r="U870" s="49"/>
      <c r="V870" s="49"/>
      <c r="W870" s="49"/>
      <c r="X870" s="49"/>
      <c r="Y870" s="49"/>
      <c r="Z870" s="49"/>
      <c r="AA870" s="49"/>
      <c r="AB870" s="49"/>
      <c r="AC870" s="49"/>
      <c r="AD870" s="49"/>
      <c r="AE870" s="49"/>
    </row>
    <row r="871" spans="1:31">
      <c r="A871" s="43"/>
      <c r="B871" s="43"/>
      <c r="C871" s="43"/>
      <c r="D871" s="43"/>
      <c r="E871" s="43"/>
      <c r="F871" s="43"/>
      <c r="G871" s="43"/>
      <c r="H871" s="43"/>
      <c r="I871" s="43"/>
      <c r="J871" s="43"/>
      <c r="K871" s="43"/>
      <c r="L871" s="43"/>
      <c r="M871" s="43"/>
      <c r="N871" s="43"/>
      <c r="O871" s="43"/>
      <c r="P871" s="43"/>
      <c r="Q871" s="43"/>
      <c r="R871" s="43"/>
      <c r="S871" s="43"/>
      <c r="T871" s="49"/>
      <c r="U871" s="49"/>
      <c r="V871" s="49"/>
      <c r="W871" s="49"/>
      <c r="X871" s="49"/>
      <c r="Y871" s="49"/>
      <c r="Z871" s="49"/>
      <c r="AA871" s="49"/>
      <c r="AB871" s="49"/>
      <c r="AC871" s="49"/>
      <c r="AD871" s="49"/>
      <c r="AE871" s="49"/>
    </row>
    <row r="872" spans="1:31">
      <c r="A872" s="43"/>
      <c r="B872" s="43"/>
      <c r="C872" s="43"/>
      <c r="D872" s="43"/>
      <c r="E872" s="43"/>
      <c r="F872" s="43"/>
      <c r="G872" s="43"/>
      <c r="H872" s="43"/>
      <c r="I872" s="43"/>
      <c r="J872" s="43"/>
      <c r="K872" s="43"/>
      <c r="L872" s="43"/>
      <c r="M872" s="43"/>
      <c r="N872" s="43"/>
      <c r="O872" s="43"/>
      <c r="P872" s="43"/>
      <c r="Q872" s="43"/>
      <c r="R872" s="43"/>
      <c r="S872" s="43"/>
      <c r="T872" s="49"/>
      <c r="U872" s="49"/>
      <c r="V872" s="49"/>
      <c r="W872" s="49"/>
      <c r="X872" s="49"/>
      <c r="Y872" s="49"/>
      <c r="Z872" s="49"/>
      <c r="AA872" s="49"/>
      <c r="AB872" s="49"/>
      <c r="AC872" s="49"/>
      <c r="AD872" s="49"/>
      <c r="AE872" s="49"/>
    </row>
    <row r="873" spans="1:31">
      <c r="A873" s="43"/>
      <c r="B873" s="43"/>
      <c r="C873" s="43"/>
      <c r="D873" s="43"/>
      <c r="E873" s="43"/>
      <c r="F873" s="43"/>
      <c r="G873" s="43"/>
      <c r="H873" s="43"/>
      <c r="I873" s="43"/>
      <c r="J873" s="43"/>
      <c r="K873" s="43"/>
      <c r="L873" s="43"/>
      <c r="M873" s="43"/>
      <c r="N873" s="43"/>
      <c r="O873" s="43"/>
      <c r="P873" s="43"/>
      <c r="Q873" s="43"/>
      <c r="R873" s="43"/>
      <c r="S873" s="43"/>
      <c r="T873" s="49"/>
      <c r="U873" s="49"/>
      <c r="V873" s="49"/>
      <c r="W873" s="49"/>
      <c r="X873" s="49"/>
      <c r="Y873" s="49"/>
      <c r="Z873" s="49"/>
      <c r="AA873" s="49"/>
      <c r="AB873" s="49"/>
      <c r="AC873" s="49"/>
      <c r="AD873" s="49"/>
      <c r="AE873" s="49"/>
    </row>
    <row r="874" spans="1:31">
      <c r="A874" s="43"/>
      <c r="B874" s="43"/>
      <c r="C874" s="43"/>
      <c r="D874" s="43"/>
      <c r="E874" s="43"/>
      <c r="F874" s="43"/>
      <c r="G874" s="43"/>
      <c r="H874" s="43"/>
      <c r="I874" s="43"/>
      <c r="J874" s="43"/>
      <c r="K874" s="43"/>
      <c r="L874" s="43"/>
      <c r="M874" s="43"/>
      <c r="N874" s="43"/>
      <c r="O874" s="43"/>
      <c r="P874" s="43"/>
      <c r="Q874" s="43"/>
      <c r="R874" s="43"/>
      <c r="S874" s="43"/>
      <c r="T874" s="49"/>
      <c r="U874" s="49"/>
      <c r="V874" s="49"/>
      <c r="W874" s="49"/>
      <c r="X874" s="49"/>
      <c r="Y874" s="49"/>
      <c r="Z874" s="49"/>
      <c r="AA874" s="49"/>
      <c r="AB874" s="49"/>
      <c r="AC874" s="49"/>
      <c r="AD874" s="49"/>
      <c r="AE874" s="49"/>
    </row>
    <row r="875" spans="1:31">
      <c r="A875" s="43"/>
      <c r="B875" s="43"/>
      <c r="C875" s="43"/>
      <c r="D875" s="43"/>
      <c r="E875" s="43"/>
      <c r="F875" s="43"/>
      <c r="G875" s="43"/>
      <c r="H875" s="43"/>
      <c r="I875" s="43"/>
      <c r="J875" s="43"/>
      <c r="K875" s="43"/>
      <c r="L875" s="43"/>
      <c r="M875" s="43"/>
      <c r="N875" s="43"/>
      <c r="O875" s="43"/>
      <c r="P875" s="43"/>
      <c r="Q875" s="43"/>
      <c r="R875" s="43"/>
      <c r="S875" s="43"/>
      <c r="T875" s="49"/>
      <c r="U875" s="49"/>
      <c r="V875" s="49"/>
      <c r="W875" s="49"/>
      <c r="X875" s="49"/>
      <c r="Y875" s="49"/>
      <c r="Z875" s="49"/>
      <c r="AA875" s="49"/>
      <c r="AB875" s="49"/>
      <c r="AC875" s="49"/>
      <c r="AD875" s="49"/>
      <c r="AE875" s="49"/>
    </row>
    <row r="876" spans="1:31">
      <c r="A876" s="43"/>
      <c r="B876" s="43"/>
      <c r="C876" s="43"/>
      <c r="D876" s="43"/>
      <c r="E876" s="43"/>
      <c r="F876" s="43"/>
      <c r="G876" s="43"/>
      <c r="H876" s="43"/>
      <c r="I876" s="43"/>
      <c r="J876" s="43"/>
      <c r="K876" s="43"/>
      <c r="L876" s="43"/>
      <c r="M876" s="43"/>
      <c r="N876" s="43"/>
      <c r="O876" s="43"/>
      <c r="P876" s="43"/>
      <c r="Q876" s="43"/>
      <c r="R876" s="43"/>
      <c r="S876" s="43"/>
      <c r="T876" s="49"/>
      <c r="U876" s="49"/>
      <c r="V876" s="49"/>
      <c r="W876" s="49"/>
      <c r="X876" s="49"/>
      <c r="Y876" s="49"/>
      <c r="Z876" s="49"/>
      <c r="AA876" s="49"/>
      <c r="AB876" s="49"/>
      <c r="AC876" s="49"/>
      <c r="AD876" s="49"/>
      <c r="AE876" s="49"/>
    </row>
    <row r="877" spans="1:31">
      <c r="A877" s="43"/>
      <c r="B877" s="43"/>
      <c r="C877" s="43"/>
      <c r="D877" s="43"/>
      <c r="E877" s="43"/>
      <c r="F877" s="43"/>
      <c r="G877" s="43"/>
      <c r="H877" s="43"/>
      <c r="I877" s="43"/>
      <c r="J877" s="43"/>
      <c r="K877" s="43"/>
      <c r="L877" s="43"/>
      <c r="M877" s="43"/>
      <c r="N877" s="43"/>
      <c r="O877" s="43"/>
      <c r="P877" s="43"/>
      <c r="Q877" s="43"/>
      <c r="R877" s="43"/>
      <c r="S877" s="43"/>
      <c r="T877" s="49"/>
      <c r="U877" s="49"/>
      <c r="V877" s="49"/>
      <c r="W877" s="49"/>
      <c r="X877" s="49"/>
      <c r="Y877" s="49"/>
      <c r="Z877" s="49"/>
      <c r="AA877" s="49"/>
      <c r="AB877" s="49"/>
      <c r="AC877" s="49"/>
      <c r="AD877" s="49"/>
      <c r="AE877" s="49"/>
    </row>
    <row r="878" spans="1:31">
      <c r="A878" s="43"/>
      <c r="B878" s="43"/>
      <c r="C878" s="43"/>
      <c r="D878" s="43"/>
      <c r="E878" s="43"/>
      <c r="F878" s="43"/>
      <c r="G878" s="43"/>
      <c r="H878" s="43"/>
      <c r="I878" s="43"/>
      <c r="J878" s="43"/>
      <c r="K878" s="43"/>
      <c r="L878" s="43"/>
      <c r="M878" s="43"/>
      <c r="N878" s="43"/>
      <c r="O878" s="43"/>
      <c r="P878" s="43"/>
      <c r="Q878" s="43"/>
      <c r="R878" s="43"/>
      <c r="S878" s="43"/>
      <c r="T878" s="49"/>
      <c r="U878" s="49"/>
      <c r="V878" s="49"/>
      <c r="W878" s="49"/>
      <c r="X878" s="49"/>
      <c r="Y878" s="49"/>
      <c r="Z878" s="49"/>
      <c r="AA878" s="49"/>
      <c r="AB878" s="49"/>
      <c r="AC878" s="49"/>
      <c r="AD878" s="49"/>
      <c r="AE878" s="49"/>
    </row>
    <row r="879" spans="1:31">
      <c r="A879" s="43"/>
      <c r="B879" s="43"/>
      <c r="C879" s="43"/>
      <c r="D879" s="43"/>
      <c r="E879" s="43"/>
      <c r="F879" s="43"/>
      <c r="G879" s="43"/>
      <c r="H879" s="43"/>
      <c r="I879" s="43"/>
      <c r="J879" s="43"/>
      <c r="K879" s="43"/>
      <c r="L879" s="43"/>
      <c r="M879" s="43"/>
      <c r="N879" s="43"/>
      <c r="O879" s="43"/>
      <c r="P879" s="43"/>
      <c r="Q879" s="43"/>
      <c r="R879" s="43"/>
      <c r="S879" s="43"/>
      <c r="T879" s="49"/>
      <c r="U879" s="49"/>
      <c r="V879" s="49"/>
      <c r="W879" s="49"/>
      <c r="X879" s="49"/>
      <c r="Y879" s="49"/>
      <c r="Z879" s="49"/>
      <c r="AA879" s="49"/>
      <c r="AB879" s="49"/>
      <c r="AC879" s="49"/>
      <c r="AD879" s="49"/>
      <c r="AE879" s="49"/>
    </row>
    <row r="880" spans="1:31">
      <c r="A880" s="43"/>
      <c r="B880" s="43"/>
      <c r="C880" s="43"/>
      <c r="D880" s="43"/>
      <c r="E880" s="43"/>
      <c r="F880" s="43"/>
      <c r="G880" s="43"/>
      <c r="H880" s="43"/>
      <c r="I880" s="43"/>
      <c r="J880" s="43"/>
      <c r="K880" s="43"/>
      <c r="L880" s="43"/>
      <c r="M880" s="43"/>
      <c r="N880" s="43"/>
      <c r="O880" s="43"/>
      <c r="P880" s="43"/>
      <c r="Q880" s="43"/>
      <c r="R880" s="43"/>
      <c r="S880" s="43"/>
      <c r="T880" s="49"/>
      <c r="U880" s="49"/>
      <c r="V880" s="49"/>
      <c r="W880" s="49"/>
      <c r="X880" s="49"/>
      <c r="Y880" s="49"/>
      <c r="Z880" s="49"/>
      <c r="AA880" s="49"/>
      <c r="AB880" s="49"/>
      <c r="AC880" s="49"/>
      <c r="AD880" s="49"/>
      <c r="AE880" s="49"/>
    </row>
    <row r="881" spans="1:31">
      <c r="A881" s="43"/>
      <c r="B881" s="43"/>
      <c r="C881" s="43"/>
      <c r="D881" s="43"/>
      <c r="E881" s="43"/>
      <c r="F881" s="43"/>
      <c r="G881" s="43"/>
      <c r="H881" s="43"/>
      <c r="I881" s="43"/>
      <c r="J881" s="43"/>
      <c r="K881" s="43"/>
      <c r="L881" s="43"/>
      <c r="M881" s="43"/>
      <c r="N881" s="43"/>
      <c r="O881" s="43"/>
      <c r="P881" s="43"/>
      <c r="Q881" s="43"/>
      <c r="R881" s="43"/>
      <c r="S881" s="43"/>
      <c r="T881" s="49"/>
      <c r="U881" s="49"/>
      <c r="V881" s="49"/>
      <c r="W881" s="49"/>
      <c r="X881" s="49"/>
      <c r="Y881" s="49"/>
      <c r="Z881" s="49"/>
      <c r="AA881" s="49"/>
      <c r="AB881" s="49"/>
      <c r="AC881" s="49"/>
      <c r="AD881" s="49"/>
      <c r="AE881" s="49"/>
    </row>
    <row r="882" spans="1:31">
      <c r="A882" s="43"/>
      <c r="B882" s="43"/>
      <c r="C882" s="43"/>
      <c r="D882" s="43"/>
      <c r="E882" s="43"/>
      <c r="F882" s="43"/>
      <c r="G882" s="43"/>
      <c r="H882" s="43"/>
      <c r="I882" s="43"/>
      <c r="J882" s="43"/>
      <c r="K882" s="43"/>
      <c r="L882" s="43"/>
      <c r="M882" s="43"/>
      <c r="N882" s="43"/>
      <c r="O882" s="43"/>
      <c r="P882" s="43"/>
      <c r="Q882" s="43"/>
      <c r="R882" s="43"/>
      <c r="S882" s="43"/>
      <c r="T882" s="49"/>
      <c r="U882" s="49"/>
      <c r="V882" s="49"/>
      <c r="W882" s="49"/>
      <c r="X882" s="49"/>
      <c r="Y882" s="49"/>
      <c r="Z882" s="49"/>
      <c r="AA882" s="49"/>
      <c r="AB882" s="49"/>
      <c r="AC882" s="49"/>
      <c r="AD882" s="49"/>
      <c r="AE882" s="49"/>
    </row>
    <row r="883" spans="1:31">
      <c r="A883" s="43"/>
      <c r="B883" s="43"/>
      <c r="C883" s="43"/>
      <c r="D883" s="43"/>
      <c r="E883" s="43"/>
      <c r="F883" s="43"/>
      <c r="G883" s="43"/>
      <c r="H883" s="43"/>
      <c r="I883" s="43"/>
      <c r="J883" s="43"/>
      <c r="K883" s="43"/>
      <c r="L883" s="43"/>
      <c r="M883" s="43"/>
      <c r="N883" s="43"/>
      <c r="O883" s="43"/>
      <c r="P883" s="43"/>
      <c r="Q883" s="43"/>
      <c r="R883" s="43"/>
      <c r="S883" s="43"/>
      <c r="T883" s="49"/>
      <c r="U883" s="49"/>
      <c r="V883" s="49"/>
      <c r="W883" s="49"/>
      <c r="X883" s="49"/>
      <c r="Y883" s="49"/>
      <c r="Z883" s="49"/>
      <c r="AA883" s="49"/>
      <c r="AB883" s="49"/>
      <c r="AC883" s="49"/>
      <c r="AD883" s="49"/>
      <c r="AE883" s="49"/>
    </row>
    <row r="884" spans="1:31">
      <c r="A884" s="43"/>
      <c r="B884" s="43"/>
      <c r="C884" s="43"/>
      <c r="D884" s="43"/>
      <c r="E884" s="43"/>
      <c r="F884" s="43"/>
      <c r="G884" s="43"/>
      <c r="H884" s="43"/>
      <c r="I884" s="43"/>
      <c r="J884" s="43"/>
      <c r="K884" s="43"/>
      <c r="L884" s="43"/>
      <c r="M884" s="43"/>
      <c r="N884" s="43"/>
      <c r="O884" s="43"/>
      <c r="P884" s="43"/>
      <c r="Q884" s="43"/>
      <c r="R884" s="43"/>
      <c r="S884" s="43"/>
      <c r="T884" s="49"/>
      <c r="U884" s="49"/>
      <c r="V884" s="49"/>
      <c r="W884" s="49"/>
      <c r="X884" s="49"/>
      <c r="Y884" s="49"/>
      <c r="Z884" s="49"/>
      <c r="AA884" s="49"/>
      <c r="AB884" s="49"/>
      <c r="AC884" s="49"/>
      <c r="AD884" s="49"/>
      <c r="AE884" s="49"/>
    </row>
    <row r="885" spans="1:31">
      <c r="A885" s="43"/>
      <c r="B885" s="43"/>
      <c r="C885" s="43"/>
      <c r="D885" s="43"/>
      <c r="E885" s="43"/>
      <c r="F885" s="43"/>
      <c r="G885" s="43"/>
      <c r="H885" s="43"/>
      <c r="I885" s="43"/>
      <c r="J885" s="43"/>
      <c r="K885" s="43"/>
      <c r="L885" s="43"/>
      <c r="M885" s="43"/>
      <c r="N885" s="43"/>
      <c r="O885" s="43"/>
      <c r="P885" s="43"/>
      <c r="Q885" s="43"/>
      <c r="R885" s="43"/>
      <c r="S885" s="43"/>
      <c r="T885" s="49"/>
      <c r="U885" s="49"/>
      <c r="V885" s="49"/>
      <c r="W885" s="49"/>
      <c r="X885" s="49"/>
      <c r="Y885" s="49"/>
      <c r="Z885" s="49"/>
      <c r="AA885" s="49"/>
      <c r="AB885" s="49"/>
      <c r="AC885" s="49"/>
      <c r="AD885" s="49"/>
      <c r="AE885" s="49"/>
    </row>
    <row r="886" spans="1:31">
      <c r="A886" s="43"/>
      <c r="B886" s="43"/>
      <c r="C886" s="43"/>
      <c r="D886" s="43"/>
      <c r="E886" s="43"/>
      <c r="F886" s="43"/>
      <c r="G886" s="43"/>
      <c r="H886" s="43"/>
      <c r="I886" s="43"/>
      <c r="J886" s="43"/>
      <c r="K886" s="43"/>
      <c r="L886" s="43"/>
      <c r="M886" s="43"/>
      <c r="N886" s="43"/>
      <c r="O886" s="43"/>
      <c r="P886" s="43"/>
      <c r="Q886" s="43"/>
      <c r="R886" s="43"/>
      <c r="S886" s="43"/>
      <c r="T886" s="49"/>
      <c r="U886" s="49"/>
      <c r="V886" s="49"/>
      <c r="W886" s="49"/>
      <c r="X886" s="49"/>
      <c r="Y886" s="49"/>
      <c r="Z886" s="49"/>
      <c r="AA886" s="49"/>
      <c r="AB886" s="49"/>
      <c r="AC886" s="49"/>
      <c r="AD886" s="49"/>
      <c r="AE886" s="49"/>
    </row>
    <row r="887" spans="1:31">
      <c r="A887" s="43"/>
      <c r="B887" s="43"/>
      <c r="C887" s="43"/>
      <c r="D887" s="43"/>
      <c r="E887" s="43"/>
      <c r="F887" s="43"/>
      <c r="G887" s="43"/>
      <c r="H887" s="43"/>
      <c r="I887" s="43"/>
      <c r="J887" s="43"/>
      <c r="K887" s="43"/>
      <c r="L887" s="43"/>
      <c r="M887" s="43"/>
      <c r="N887" s="43"/>
      <c r="O887" s="43"/>
      <c r="P887" s="43"/>
      <c r="Q887" s="43"/>
      <c r="R887" s="43"/>
      <c r="S887" s="43"/>
      <c r="T887" s="49"/>
      <c r="U887" s="49"/>
      <c r="V887" s="49"/>
      <c r="W887" s="49"/>
      <c r="X887" s="49"/>
      <c r="Y887" s="49"/>
      <c r="Z887" s="49"/>
      <c r="AA887" s="49"/>
      <c r="AB887" s="49"/>
      <c r="AC887" s="49"/>
      <c r="AD887" s="49"/>
      <c r="AE887" s="49"/>
    </row>
    <row r="888" spans="1:31">
      <c r="A888" s="43"/>
      <c r="B888" s="43"/>
      <c r="C888" s="43"/>
      <c r="D888" s="43"/>
      <c r="E888" s="43"/>
      <c r="F888" s="43"/>
      <c r="G888" s="43"/>
      <c r="H888" s="43"/>
      <c r="I888" s="43"/>
      <c r="J888" s="43"/>
      <c r="K888" s="43"/>
      <c r="L888" s="43"/>
      <c r="M888" s="43"/>
      <c r="N888" s="43"/>
      <c r="O888" s="43"/>
      <c r="P888" s="43"/>
      <c r="Q888" s="43"/>
      <c r="R888" s="43"/>
      <c r="S888" s="43"/>
      <c r="T888" s="49"/>
      <c r="U888" s="49"/>
      <c r="V888" s="49"/>
      <c r="W888" s="49"/>
      <c r="X888" s="49"/>
      <c r="Y888" s="49"/>
      <c r="Z888" s="49"/>
      <c r="AA888" s="49"/>
      <c r="AB888" s="49"/>
      <c r="AC888" s="49"/>
      <c r="AD888" s="49"/>
      <c r="AE888" s="49"/>
    </row>
    <row r="889" spans="1:31">
      <c r="A889" s="43"/>
      <c r="B889" s="43"/>
      <c r="C889" s="43"/>
      <c r="D889" s="43"/>
      <c r="E889" s="43"/>
      <c r="F889" s="43"/>
      <c r="G889" s="43"/>
      <c r="H889" s="43"/>
      <c r="I889" s="43"/>
      <c r="J889" s="43"/>
      <c r="K889" s="43"/>
      <c r="L889" s="43"/>
      <c r="M889" s="43"/>
      <c r="N889" s="43"/>
      <c r="O889" s="43"/>
      <c r="P889" s="43"/>
      <c r="Q889" s="43"/>
      <c r="R889" s="43"/>
      <c r="S889" s="43"/>
      <c r="T889" s="49"/>
      <c r="U889" s="49"/>
      <c r="V889" s="49"/>
      <c r="W889" s="49"/>
      <c r="X889" s="49"/>
      <c r="Y889" s="49"/>
      <c r="Z889" s="49"/>
      <c r="AA889" s="49"/>
      <c r="AB889" s="49"/>
      <c r="AC889" s="49"/>
      <c r="AD889" s="49"/>
      <c r="AE889" s="49"/>
    </row>
    <row r="890" spans="1:31">
      <c r="A890" s="43"/>
      <c r="B890" s="43"/>
      <c r="C890" s="43"/>
      <c r="D890" s="43"/>
      <c r="E890" s="43"/>
      <c r="F890" s="43"/>
      <c r="G890" s="43"/>
      <c r="H890" s="43"/>
      <c r="I890" s="43"/>
      <c r="J890" s="43"/>
      <c r="K890" s="43"/>
      <c r="L890" s="43"/>
      <c r="M890" s="43"/>
      <c r="N890" s="43"/>
      <c r="O890" s="43"/>
      <c r="P890" s="43"/>
      <c r="Q890" s="43"/>
      <c r="R890" s="43"/>
      <c r="S890" s="43"/>
      <c r="T890" s="49"/>
      <c r="U890" s="49"/>
      <c r="V890" s="49"/>
      <c r="W890" s="49"/>
      <c r="X890" s="49"/>
      <c r="Y890" s="49"/>
      <c r="Z890" s="49"/>
      <c r="AA890" s="49"/>
      <c r="AB890" s="49"/>
      <c r="AC890" s="49"/>
      <c r="AD890" s="49"/>
      <c r="AE890" s="49"/>
    </row>
    <row r="891" spans="1:31">
      <c r="A891" s="43"/>
      <c r="B891" s="43"/>
      <c r="C891" s="43"/>
      <c r="D891" s="43"/>
      <c r="E891" s="43"/>
      <c r="F891" s="43"/>
      <c r="G891" s="43"/>
      <c r="H891" s="43"/>
      <c r="I891" s="43"/>
      <c r="J891" s="43"/>
      <c r="K891" s="43"/>
      <c r="L891" s="43"/>
      <c r="M891" s="43"/>
      <c r="N891" s="43"/>
      <c r="O891" s="43"/>
      <c r="P891" s="43"/>
      <c r="Q891" s="43"/>
      <c r="R891" s="43"/>
      <c r="S891" s="43"/>
      <c r="T891" s="49"/>
      <c r="U891" s="49"/>
      <c r="V891" s="49"/>
      <c r="W891" s="49"/>
      <c r="X891" s="49"/>
      <c r="Y891" s="49"/>
      <c r="Z891" s="49"/>
      <c r="AA891" s="49"/>
      <c r="AB891" s="49"/>
      <c r="AC891" s="49"/>
      <c r="AD891" s="49"/>
      <c r="AE891" s="49"/>
    </row>
    <row r="892" spans="1:31">
      <c r="A892" s="43"/>
      <c r="B892" s="43"/>
      <c r="C892" s="43"/>
      <c r="D892" s="43"/>
      <c r="E892" s="43"/>
      <c r="F892" s="43"/>
      <c r="G892" s="43"/>
      <c r="H892" s="43"/>
      <c r="I892" s="43"/>
      <c r="J892" s="43"/>
      <c r="K892" s="43"/>
      <c r="L892" s="43"/>
      <c r="M892" s="43"/>
      <c r="N892" s="43"/>
      <c r="O892" s="43"/>
      <c r="P892" s="43"/>
      <c r="Q892" s="43"/>
      <c r="R892" s="43"/>
      <c r="S892" s="43"/>
      <c r="T892" s="49"/>
      <c r="U892" s="49"/>
      <c r="V892" s="49"/>
      <c r="W892" s="49"/>
      <c r="X892" s="49"/>
      <c r="Y892" s="49"/>
      <c r="Z892" s="49"/>
      <c r="AA892" s="49"/>
      <c r="AB892" s="49"/>
      <c r="AC892" s="49"/>
      <c r="AD892" s="49"/>
      <c r="AE892" s="49"/>
    </row>
    <row r="893" spans="1:31">
      <c r="A893" s="43"/>
      <c r="B893" s="43"/>
      <c r="C893" s="43"/>
      <c r="D893" s="43"/>
      <c r="E893" s="43"/>
      <c r="F893" s="43"/>
      <c r="G893" s="43"/>
      <c r="H893" s="43"/>
      <c r="I893" s="43"/>
      <c r="J893" s="43"/>
      <c r="K893" s="43"/>
      <c r="L893" s="43"/>
      <c r="M893" s="43"/>
      <c r="N893" s="43"/>
      <c r="O893" s="43"/>
      <c r="P893" s="43"/>
      <c r="Q893" s="43"/>
      <c r="R893" s="43"/>
      <c r="S893" s="43"/>
      <c r="T893" s="49"/>
      <c r="U893" s="49"/>
      <c r="V893" s="49"/>
      <c r="W893" s="49"/>
      <c r="X893" s="49"/>
      <c r="Y893" s="49"/>
      <c r="Z893" s="49"/>
      <c r="AA893" s="49"/>
      <c r="AB893" s="49"/>
      <c r="AC893" s="49"/>
      <c r="AD893" s="49"/>
      <c r="AE893" s="49"/>
    </row>
    <row r="894" spans="1:31">
      <c r="A894" s="43"/>
      <c r="B894" s="43"/>
      <c r="C894" s="43"/>
      <c r="D894" s="43"/>
      <c r="E894" s="43"/>
      <c r="F894" s="43"/>
      <c r="G894" s="43"/>
      <c r="H894" s="43"/>
      <c r="I894" s="43"/>
      <c r="J894" s="43"/>
      <c r="K894" s="43"/>
      <c r="L894" s="43"/>
      <c r="M894" s="43"/>
      <c r="N894" s="43"/>
      <c r="O894" s="43"/>
      <c r="P894" s="43"/>
      <c r="Q894" s="43"/>
      <c r="R894" s="43"/>
      <c r="S894" s="43"/>
      <c r="T894" s="49"/>
      <c r="U894" s="49"/>
      <c r="V894" s="49"/>
      <c r="W894" s="49"/>
      <c r="X894" s="49"/>
      <c r="Y894" s="49"/>
      <c r="Z894" s="49"/>
      <c r="AA894" s="49"/>
      <c r="AB894" s="49"/>
      <c r="AC894" s="49"/>
      <c r="AD894" s="49"/>
      <c r="AE894" s="49"/>
    </row>
    <row r="895" spans="1:31">
      <c r="A895" s="43"/>
      <c r="B895" s="43"/>
      <c r="C895" s="43"/>
      <c r="D895" s="43"/>
      <c r="E895" s="43"/>
      <c r="F895" s="43"/>
      <c r="G895" s="43"/>
      <c r="H895" s="43"/>
      <c r="I895" s="43"/>
      <c r="J895" s="43"/>
      <c r="K895" s="43"/>
      <c r="L895" s="43"/>
      <c r="M895" s="43"/>
      <c r="N895" s="43"/>
      <c r="O895" s="43"/>
      <c r="P895" s="43"/>
      <c r="Q895" s="43"/>
      <c r="R895" s="43"/>
      <c r="S895" s="43"/>
      <c r="T895" s="49"/>
      <c r="U895" s="49"/>
      <c r="V895" s="49"/>
      <c r="W895" s="49"/>
      <c r="X895" s="49"/>
      <c r="Y895" s="49"/>
      <c r="Z895" s="49"/>
      <c r="AA895" s="49"/>
      <c r="AB895" s="49"/>
      <c r="AC895" s="49"/>
      <c r="AD895" s="49"/>
      <c r="AE895" s="49"/>
    </row>
    <row r="896" spans="1:31">
      <c r="A896" s="43"/>
      <c r="B896" s="43"/>
      <c r="C896" s="43"/>
      <c r="D896" s="43"/>
      <c r="E896" s="43"/>
      <c r="F896" s="43"/>
      <c r="G896" s="43"/>
      <c r="H896" s="43"/>
      <c r="I896" s="43"/>
      <c r="J896" s="43"/>
      <c r="K896" s="43"/>
      <c r="L896" s="43"/>
      <c r="M896" s="43"/>
      <c r="N896" s="43"/>
      <c r="O896" s="43"/>
      <c r="P896" s="43"/>
      <c r="Q896" s="43"/>
      <c r="R896" s="43"/>
      <c r="S896" s="43"/>
      <c r="T896" s="49"/>
      <c r="U896" s="49"/>
      <c r="V896" s="49"/>
      <c r="W896" s="49"/>
      <c r="X896" s="49"/>
      <c r="Y896" s="49"/>
      <c r="Z896" s="49"/>
      <c r="AA896" s="49"/>
      <c r="AB896" s="49"/>
      <c r="AC896" s="49"/>
      <c r="AD896" s="49"/>
      <c r="AE896" s="49"/>
    </row>
    <row r="897" spans="1:31">
      <c r="A897" s="43"/>
      <c r="B897" s="43"/>
      <c r="C897" s="43"/>
      <c r="D897" s="43"/>
      <c r="E897" s="43"/>
      <c r="F897" s="43"/>
      <c r="G897" s="43"/>
      <c r="H897" s="43"/>
      <c r="I897" s="43"/>
      <c r="J897" s="43"/>
      <c r="K897" s="43"/>
      <c r="L897" s="43"/>
      <c r="M897" s="43"/>
      <c r="N897" s="43"/>
      <c r="O897" s="43"/>
      <c r="P897" s="43"/>
      <c r="Q897" s="43"/>
      <c r="R897" s="43"/>
      <c r="S897" s="43"/>
      <c r="T897" s="49"/>
      <c r="U897" s="49"/>
      <c r="V897" s="49"/>
      <c r="W897" s="49"/>
      <c r="X897" s="49"/>
      <c r="Y897" s="49"/>
      <c r="Z897" s="49"/>
      <c r="AA897" s="49"/>
      <c r="AB897" s="49"/>
      <c r="AC897" s="49"/>
      <c r="AD897" s="49"/>
      <c r="AE897" s="49"/>
    </row>
    <row r="898" spans="1:31">
      <c r="A898" s="43"/>
      <c r="B898" s="43"/>
      <c r="C898" s="43"/>
      <c r="D898" s="43"/>
      <c r="E898" s="43"/>
      <c r="F898" s="43"/>
      <c r="G898" s="43"/>
      <c r="H898" s="43"/>
      <c r="I898" s="43"/>
      <c r="J898" s="43"/>
      <c r="K898" s="43"/>
      <c r="L898" s="43"/>
      <c r="M898" s="43"/>
      <c r="N898" s="43"/>
      <c r="O898" s="43"/>
      <c r="P898" s="43"/>
      <c r="Q898" s="43"/>
      <c r="R898" s="43"/>
      <c r="S898" s="43"/>
      <c r="T898" s="49"/>
      <c r="U898" s="49"/>
      <c r="V898" s="49"/>
      <c r="W898" s="49"/>
      <c r="X898" s="49"/>
      <c r="Y898" s="49"/>
      <c r="Z898" s="49"/>
      <c r="AA898" s="49"/>
      <c r="AB898" s="49"/>
      <c r="AC898" s="49"/>
      <c r="AD898" s="49"/>
      <c r="AE898" s="49"/>
    </row>
    <row r="899" spans="1:31">
      <c r="A899" s="43"/>
      <c r="B899" s="43"/>
      <c r="C899" s="43"/>
      <c r="D899" s="43"/>
      <c r="E899" s="43"/>
      <c r="F899" s="43"/>
      <c r="G899" s="43"/>
      <c r="H899" s="43"/>
      <c r="I899" s="43"/>
      <c r="J899" s="43"/>
      <c r="K899" s="43"/>
      <c r="L899" s="43"/>
      <c r="M899" s="43"/>
      <c r="N899" s="43"/>
      <c r="O899" s="43"/>
      <c r="P899" s="43"/>
      <c r="Q899" s="43"/>
      <c r="R899" s="43"/>
      <c r="S899" s="43"/>
      <c r="T899" s="49"/>
      <c r="U899" s="49"/>
      <c r="V899" s="49"/>
      <c r="W899" s="49"/>
      <c r="X899" s="49"/>
      <c r="Y899" s="49"/>
      <c r="Z899" s="49"/>
      <c r="AA899" s="49"/>
      <c r="AB899" s="49"/>
      <c r="AC899" s="49"/>
      <c r="AD899" s="49"/>
      <c r="AE899" s="49"/>
    </row>
    <row r="900" spans="1:31">
      <c r="A900" s="43"/>
      <c r="B900" s="43"/>
      <c r="C900" s="43"/>
      <c r="D900" s="43"/>
      <c r="E900" s="43"/>
      <c r="F900" s="43"/>
      <c r="G900" s="43"/>
      <c r="H900" s="43"/>
      <c r="I900" s="43"/>
      <c r="J900" s="43"/>
      <c r="K900" s="43"/>
      <c r="L900" s="43"/>
      <c r="M900" s="43"/>
      <c r="N900" s="43"/>
      <c r="O900" s="43"/>
      <c r="P900" s="43"/>
      <c r="Q900" s="43"/>
      <c r="R900" s="43"/>
      <c r="S900" s="43"/>
      <c r="T900" s="49"/>
      <c r="U900" s="49"/>
      <c r="V900" s="49"/>
      <c r="W900" s="49"/>
      <c r="X900" s="49"/>
      <c r="Y900" s="49"/>
      <c r="Z900" s="49"/>
      <c r="AA900" s="49"/>
      <c r="AB900" s="49"/>
      <c r="AC900" s="49"/>
      <c r="AD900" s="49"/>
      <c r="AE900" s="49"/>
    </row>
    <row r="901" spans="1:31">
      <c r="A901" s="43"/>
      <c r="B901" s="43"/>
      <c r="C901" s="43"/>
      <c r="D901" s="43"/>
      <c r="E901" s="43"/>
      <c r="F901" s="43"/>
      <c r="G901" s="43"/>
      <c r="H901" s="43"/>
      <c r="I901" s="43"/>
      <c r="J901" s="43"/>
      <c r="K901" s="43"/>
      <c r="L901" s="43"/>
      <c r="M901" s="43"/>
      <c r="N901" s="43"/>
      <c r="O901" s="43"/>
      <c r="P901" s="43"/>
      <c r="Q901" s="43"/>
      <c r="R901" s="43"/>
      <c r="S901" s="43"/>
      <c r="T901" s="49"/>
      <c r="U901" s="49"/>
      <c r="V901" s="49"/>
      <c r="W901" s="49"/>
      <c r="X901" s="49"/>
      <c r="Y901" s="49"/>
      <c r="Z901" s="49"/>
      <c r="AA901" s="49"/>
      <c r="AB901" s="49"/>
      <c r="AC901" s="49"/>
      <c r="AD901" s="49"/>
      <c r="AE901" s="49"/>
    </row>
    <row r="902" spans="1:31">
      <c r="A902" s="43"/>
      <c r="B902" s="43"/>
      <c r="C902" s="43"/>
      <c r="D902" s="43"/>
      <c r="E902" s="43"/>
      <c r="F902" s="43"/>
      <c r="G902" s="43"/>
      <c r="H902" s="43"/>
      <c r="I902" s="43"/>
      <c r="J902" s="43"/>
      <c r="K902" s="43"/>
      <c r="L902" s="43"/>
      <c r="M902" s="43"/>
      <c r="N902" s="43"/>
      <c r="O902" s="43"/>
      <c r="P902" s="43"/>
      <c r="Q902" s="43"/>
      <c r="R902" s="43"/>
      <c r="S902" s="43"/>
      <c r="T902" s="49"/>
      <c r="U902" s="49"/>
      <c r="V902" s="49"/>
      <c r="W902" s="49"/>
      <c r="X902" s="49"/>
      <c r="Y902" s="49"/>
      <c r="Z902" s="49"/>
      <c r="AA902" s="49"/>
      <c r="AB902" s="49"/>
      <c r="AC902" s="49"/>
      <c r="AD902" s="49"/>
      <c r="AE902" s="49"/>
    </row>
    <row r="903" spans="1:31">
      <c r="A903" s="43"/>
      <c r="B903" s="43"/>
      <c r="C903" s="43"/>
      <c r="D903" s="43"/>
      <c r="E903" s="43"/>
      <c r="F903" s="43"/>
      <c r="G903" s="43"/>
      <c r="H903" s="43"/>
      <c r="I903" s="43"/>
      <c r="J903" s="43"/>
      <c r="K903" s="43"/>
      <c r="L903" s="43"/>
      <c r="M903" s="43"/>
      <c r="N903" s="43"/>
      <c r="O903" s="43"/>
      <c r="P903" s="43"/>
      <c r="Q903" s="43"/>
      <c r="R903" s="43"/>
      <c r="S903" s="43"/>
      <c r="T903" s="49"/>
      <c r="U903" s="49"/>
      <c r="V903" s="49"/>
      <c r="W903" s="49"/>
      <c r="X903" s="49"/>
      <c r="Y903" s="49"/>
      <c r="Z903" s="49"/>
      <c r="AA903" s="49"/>
      <c r="AB903" s="49"/>
      <c r="AC903" s="49"/>
      <c r="AD903" s="49"/>
      <c r="AE903" s="49"/>
    </row>
    <row r="904" spans="1:31">
      <c r="A904" s="43"/>
      <c r="B904" s="43"/>
      <c r="C904" s="43"/>
      <c r="D904" s="43"/>
      <c r="E904" s="43"/>
      <c r="F904" s="43"/>
      <c r="G904" s="43"/>
      <c r="H904" s="43"/>
      <c r="I904" s="43"/>
      <c r="J904" s="43"/>
      <c r="K904" s="43"/>
      <c r="L904" s="43"/>
      <c r="M904" s="43"/>
      <c r="N904" s="43"/>
      <c r="O904" s="43"/>
      <c r="P904" s="43"/>
      <c r="Q904" s="43"/>
      <c r="R904" s="43"/>
      <c r="S904" s="43"/>
      <c r="T904" s="49"/>
      <c r="U904" s="49"/>
      <c r="V904" s="49"/>
      <c r="W904" s="49"/>
      <c r="X904" s="49"/>
      <c r="Y904" s="49"/>
      <c r="Z904" s="49"/>
      <c r="AA904" s="49"/>
      <c r="AB904" s="49"/>
      <c r="AC904" s="49"/>
      <c r="AD904" s="49"/>
      <c r="AE904" s="49"/>
    </row>
    <row r="905" spans="1:31">
      <c r="A905" s="43"/>
      <c r="B905" s="43"/>
      <c r="C905" s="43"/>
      <c r="D905" s="43"/>
      <c r="E905" s="43"/>
      <c r="F905" s="43"/>
      <c r="G905" s="43"/>
      <c r="H905" s="43"/>
      <c r="I905" s="43"/>
      <c r="J905" s="43"/>
      <c r="K905" s="43"/>
      <c r="L905" s="43"/>
      <c r="M905" s="43"/>
      <c r="N905" s="43"/>
      <c r="O905" s="43"/>
      <c r="P905" s="43"/>
      <c r="Q905" s="43"/>
      <c r="R905" s="43"/>
      <c r="S905" s="43"/>
      <c r="T905" s="49"/>
      <c r="U905" s="49"/>
      <c r="V905" s="49"/>
      <c r="W905" s="49"/>
      <c r="X905" s="49"/>
      <c r="Y905" s="49"/>
      <c r="Z905" s="49"/>
      <c r="AA905" s="49"/>
      <c r="AB905" s="49"/>
      <c r="AC905" s="49"/>
      <c r="AD905" s="49"/>
      <c r="AE905" s="49"/>
    </row>
    <row r="906" spans="1:31">
      <c r="A906" s="43"/>
      <c r="B906" s="43"/>
      <c r="C906" s="43"/>
      <c r="D906" s="43"/>
      <c r="E906" s="43"/>
      <c r="F906" s="43"/>
      <c r="G906" s="43"/>
      <c r="H906" s="43"/>
      <c r="I906" s="43"/>
      <c r="J906" s="43"/>
      <c r="K906" s="43"/>
      <c r="L906" s="43"/>
      <c r="M906" s="43"/>
      <c r="N906" s="43"/>
      <c r="O906" s="43"/>
      <c r="P906" s="43"/>
      <c r="Q906" s="43"/>
      <c r="R906" s="43"/>
      <c r="S906" s="43"/>
      <c r="T906" s="49"/>
      <c r="U906" s="49"/>
      <c r="V906" s="49"/>
      <c r="W906" s="49"/>
      <c r="X906" s="49"/>
      <c r="Y906" s="49"/>
      <c r="Z906" s="49"/>
      <c r="AA906" s="49"/>
      <c r="AB906" s="49"/>
      <c r="AC906" s="49"/>
      <c r="AD906" s="49"/>
      <c r="AE906" s="49"/>
    </row>
    <row r="907" spans="1:31">
      <c r="A907" s="43"/>
      <c r="B907" s="43"/>
      <c r="C907" s="43"/>
      <c r="D907" s="43"/>
      <c r="E907" s="43"/>
      <c r="F907" s="43"/>
      <c r="G907" s="43"/>
      <c r="H907" s="43"/>
      <c r="I907" s="43"/>
      <c r="J907" s="43"/>
      <c r="K907" s="43"/>
      <c r="L907" s="43"/>
      <c r="M907" s="43"/>
      <c r="N907" s="43"/>
      <c r="O907" s="43"/>
      <c r="P907" s="43"/>
      <c r="Q907" s="43"/>
      <c r="R907" s="43"/>
      <c r="S907" s="43"/>
      <c r="T907" s="49"/>
      <c r="U907" s="49"/>
      <c r="V907" s="49"/>
      <c r="W907" s="49"/>
      <c r="X907" s="49"/>
      <c r="Y907" s="49"/>
      <c r="Z907" s="49"/>
      <c r="AA907" s="49"/>
      <c r="AB907" s="49"/>
      <c r="AC907" s="49"/>
      <c r="AD907" s="49"/>
      <c r="AE907" s="49"/>
    </row>
    <row r="908" spans="1:31">
      <c r="A908" s="43"/>
      <c r="B908" s="43"/>
      <c r="C908" s="43"/>
      <c r="D908" s="43"/>
      <c r="E908" s="43"/>
      <c r="F908" s="43"/>
      <c r="G908" s="43"/>
      <c r="H908" s="43"/>
      <c r="I908" s="43"/>
      <c r="J908" s="43"/>
      <c r="K908" s="43"/>
      <c r="L908" s="43"/>
      <c r="M908" s="43"/>
      <c r="N908" s="43"/>
      <c r="O908" s="43"/>
      <c r="P908" s="43"/>
      <c r="Q908" s="43"/>
      <c r="R908" s="43"/>
      <c r="S908" s="43"/>
      <c r="T908" s="49"/>
      <c r="U908" s="49"/>
      <c r="V908" s="49"/>
      <c r="W908" s="49"/>
      <c r="X908" s="49"/>
      <c r="Y908" s="49"/>
      <c r="Z908" s="49"/>
      <c r="AA908" s="49"/>
      <c r="AB908" s="49"/>
      <c r="AC908" s="49"/>
      <c r="AD908" s="49"/>
      <c r="AE908" s="49"/>
    </row>
    <row r="909" spans="1:31">
      <c r="A909" s="43"/>
      <c r="B909" s="43"/>
      <c r="C909" s="43"/>
      <c r="D909" s="43"/>
      <c r="E909" s="43"/>
      <c r="F909" s="43"/>
      <c r="G909" s="43"/>
      <c r="H909" s="43"/>
      <c r="I909" s="43"/>
      <c r="J909" s="43"/>
      <c r="K909" s="43"/>
      <c r="L909" s="43"/>
      <c r="M909" s="43"/>
      <c r="N909" s="43"/>
      <c r="O909" s="43"/>
      <c r="P909" s="43"/>
      <c r="Q909" s="43"/>
      <c r="R909" s="43"/>
      <c r="S909" s="43"/>
      <c r="T909" s="49"/>
      <c r="U909" s="49"/>
      <c r="V909" s="49"/>
      <c r="W909" s="49"/>
      <c r="X909" s="49"/>
      <c r="Y909" s="49"/>
      <c r="Z909" s="49"/>
      <c r="AA909" s="49"/>
      <c r="AB909" s="49"/>
      <c r="AC909" s="49"/>
      <c r="AD909" s="49"/>
      <c r="AE909" s="49"/>
    </row>
    <row r="910" spans="1:31">
      <c r="A910" s="43"/>
      <c r="B910" s="43"/>
      <c r="C910" s="43"/>
      <c r="D910" s="43"/>
      <c r="E910" s="43"/>
      <c r="F910" s="43"/>
      <c r="G910" s="43"/>
      <c r="H910" s="43"/>
      <c r="I910" s="43"/>
      <c r="J910" s="43"/>
      <c r="K910" s="43"/>
      <c r="L910" s="43"/>
      <c r="M910" s="43"/>
      <c r="N910" s="43"/>
      <c r="O910" s="43"/>
      <c r="P910" s="43"/>
      <c r="Q910" s="43"/>
      <c r="R910" s="43"/>
      <c r="S910" s="43"/>
      <c r="T910" s="49"/>
      <c r="U910" s="49"/>
      <c r="V910" s="49"/>
      <c r="W910" s="49"/>
      <c r="X910" s="49"/>
      <c r="Y910" s="49"/>
      <c r="Z910" s="49"/>
      <c r="AA910" s="49"/>
      <c r="AB910" s="49"/>
      <c r="AC910" s="49"/>
      <c r="AD910" s="49"/>
      <c r="AE910" s="49"/>
    </row>
    <row r="911" spans="1:31">
      <c r="A911" s="43"/>
      <c r="B911" s="43"/>
      <c r="C911" s="43"/>
      <c r="D911" s="43"/>
      <c r="E911" s="43"/>
      <c r="F911" s="43"/>
      <c r="G911" s="43"/>
      <c r="H911" s="43"/>
      <c r="I911" s="43"/>
      <c r="J911" s="43"/>
      <c r="K911" s="43"/>
      <c r="L911" s="43"/>
      <c r="M911" s="43"/>
      <c r="N911" s="43"/>
      <c r="O911" s="43"/>
      <c r="P911" s="43"/>
      <c r="Q911" s="43"/>
      <c r="R911" s="43"/>
      <c r="S911" s="43"/>
      <c r="T911" s="49"/>
      <c r="U911" s="49"/>
      <c r="V911" s="49"/>
      <c r="W911" s="49"/>
      <c r="X911" s="49"/>
      <c r="Y911" s="49"/>
      <c r="Z911" s="49"/>
      <c r="AA911" s="49"/>
      <c r="AB911" s="49"/>
      <c r="AC911" s="49"/>
      <c r="AD911" s="49"/>
      <c r="AE911" s="49"/>
    </row>
    <row r="912" spans="1:31">
      <c r="A912" s="43"/>
      <c r="B912" s="43"/>
      <c r="C912" s="43"/>
      <c r="D912" s="43"/>
      <c r="E912" s="43"/>
      <c r="F912" s="43"/>
      <c r="G912" s="43"/>
      <c r="H912" s="43"/>
      <c r="I912" s="43"/>
      <c r="J912" s="43"/>
      <c r="K912" s="43"/>
      <c r="L912" s="43"/>
      <c r="M912" s="43"/>
      <c r="N912" s="43"/>
      <c r="O912" s="43"/>
      <c r="P912" s="43"/>
      <c r="Q912" s="43"/>
      <c r="R912" s="43"/>
      <c r="S912" s="43"/>
      <c r="T912" s="49"/>
      <c r="U912" s="49"/>
      <c r="V912" s="49"/>
      <c r="W912" s="49"/>
      <c r="X912" s="49"/>
      <c r="Y912" s="49"/>
      <c r="Z912" s="49"/>
      <c r="AA912" s="49"/>
      <c r="AB912" s="49"/>
      <c r="AC912" s="49"/>
      <c r="AD912" s="49"/>
      <c r="AE912" s="49"/>
    </row>
    <row r="913" spans="1:31">
      <c r="A913" s="43"/>
      <c r="B913" s="43"/>
      <c r="C913" s="43"/>
      <c r="D913" s="43"/>
      <c r="E913" s="43"/>
      <c r="F913" s="43"/>
      <c r="G913" s="43"/>
      <c r="H913" s="43"/>
      <c r="I913" s="43"/>
      <c r="J913" s="43"/>
      <c r="K913" s="43"/>
      <c r="L913" s="43"/>
      <c r="M913" s="43"/>
      <c r="N913" s="43"/>
      <c r="O913" s="43"/>
      <c r="P913" s="43"/>
      <c r="Q913" s="43"/>
      <c r="R913" s="43"/>
      <c r="S913" s="43"/>
      <c r="T913" s="49"/>
      <c r="U913" s="49"/>
      <c r="V913" s="49"/>
      <c r="W913" s="49"/>
      <c r="X913" s="49"/>
      <c r="Y913" s="49"/>
      <c r="Z913" s="49"/>
      <c r="AA913" s="49"/>
      <c r="AB913" s="49"/>
      <c r="AC913" s="49"/>
      <c r="AD913" s="49"/>
      <c r="AE913" s="49"/>
    </row>
    <row r="914" spans="1:31">
      <c r="A914" s="43"/>
      <c r="B914" s="43"/>
      <c r="C914" s="43"/>
      <c r="D914" s="43"/>
      <c r="E914" s="43"/>
      <c r="F914" s="43"/>
      <c r="G914" s="43"/>
      <c r="H914" s="43"/>
      <c r="I914" s="43"/>
      <c r="J914" s="43"/>
      <c r="K914" s="43"/>
      <c r="L914" s="43"/>
      <c r="M914" s="43"/>
      <c r="N914" s="43"/>
      <c r="O914" s="43"/>
      <c r="P914" s="43"/>
      <c r="Q914" s="43"/>
      <c r="R914" s="43"/>
      <c r="S914" s="43"/>
      <c r="T914" s="49"/>
      <c r="U914" s="49"/>
      <c r="V914" s="49"/>
      <c r="W914" s="49"/>
      <c r="X914" s="49"/>
      <c r="Y914" s="49"/>
      <c r="Z914" s="49"/>
      <c r="AA914" s="49"/>
      <c r="AB914" s="49"/>
      <c r="AC914" s="49"/>
      <c r="AD914" s="49"/>
      <c r="AE914" s="49"/>
    </row>
    <row r="915" spans="1:31">
      <c r="A915" s="43"/>
      <c r="B915" s="43"/>
      <c r="C915" s="43"/>
      <c r="D915" s="43"/>
      <c r="E915" s="43"/>
      <c r="F915" s="43"/>
      <c r="G915" s="43"/>
      <c r="H915" s="43"/>
      <c r="I915" s="43"/>
      <c r="J915" s="43"/>
      <c r="K915" s="43"/>
      <c r="L915" s="43"/>
      <c r="M915" s="43"/>
      <c r="N915" s="43"/>
      <c r="O915" s="43"/>
      <c r="P915" s="43"/>
      <c r="Q915" s="43"/>
      <c r="R915" s="43"/>
      <c r="S915" s="43"/>
      <c r="T915" s="49"/>
      <c r="U915" s="49"/>
      <c r="V915" s="49"/>
      <c r="W915" s="49"/>
      <c r="X915" s="49"/>
      <c r="Y915" s="49"/>
      <c r="Z915" s="49"/>
      <c r="AA915" s="49"/>
      <c r="AB915" s="49"/>
      <c r="AC915" s="49"/>
      <c r="AD915" s="49"/>
      <c r="AE915" s="49"/>
    </row>
    <row r="916" spans="1:31">
      <c r="A916" s="43"/>
      <c r="B916" s="43"/>
      <c r="C916" s="43"/>
      <c r="D916" s="43"/>
      <c r="E916" s="43"/>
      <c r="F916" s="43"/>
      <c r="G916" s="43"/>
      <c r="H916" s="43"/>
      <c r="I916" s="43"/>
      <c r="J916" s="43"/>
      <c r="K916" s="43"/>
      <c r="L916" s="43"/>
      <c r="M916" s="43"/>
      <c r="N916" s="43"/>
      <c r="O916" s="43"/>
      <c r="P916" s="43"/>
      <c r="Q916" s="43"/>
      <c r="R916" s="43"/>
      <c r="S916" s="43"/>
      <c r="T916" s="49"/>
      <c r="U916" s="49"/>
      <c r="V916" s="49"/>
      <c r="W916" s="49"/>
      <c r="X916" s="49"/>
      <c r="Y916" s="49"/>
      <c r="Z916" s="49"/>
      <c r="AA916" s="49"/>
      <c r="AB916" s="49"/>
      <c r="AC916" s="49"/>
      <c r="AD916" s="49"/>
      <c r="AE916" s="49"/>
    </row>
    <row r="917" spans="1:31">
      <c r="A917" s="43"/>
      <c r="B917" s="43"/>
      <c r="C917" s="43"/>
      <c r="D917" s="43"/>
      <c r="E917" s="43"/>
      <c r="F917" s="43"/>
      <c r="G917" s="43"/>
      <c r="H917" s="43"/>
      <c r="I917" s="43"/>
      <c r="J917" s="43"/>
      <c r="K917" s="43"/>
      <c r="L917" s="43"/>
      <c r="M917" s="43"/>
      <c r="N917" s="43"/>
      <c r="O917" s="43"/>
      <c r="P917" s="43"/>
      <c r="Q917" s="43"/>
      <c r="R917" s="43"/>
      <c r="S917" s="43"/>
      <c r="T917" s="49"/>
      <c r="U917" s="49"/>
      <c r="V917" s="49"/>
      <c r="W917" s="49"/>
      <c r="X917" s="49"/>
      <c r="Y917" s="49"/>
      <c r="Z917" s="49"/>
      <c r="AA917" s="49"/>
      <c r="AB917" s="49"/>
      <c r="AC917" s="49"/>
      <c r="AD917" s="49"/>
      <c r="AE917" s="49"/>
    </row>
    <row r="918" spans="1:31">
      <c r="A918" s="43"/>
      <c r="B918" s="43"/>
      <c r="C918" s="43"/>
      <c r="D918" s="43"/>
      <c r="E918" s="43"/>
      <c r="F918" s="43"/>
      <c r="G918" s="43"/>
      <c r="H918" s="43"/>
      <c r="I918" s="43"/>
      <c r="J918" s="43"/>
      <c r="K918" s="43"/>
      <c r="L918" s="43"/>
      <c r="M918" s="43"/>
      <c r="N918" s="43"/>
      <c r="O918" s="43"/>
      <c r="P918" s="43"/>
      <c r="Q918" s="43"/>
      <c r="R918" s="43"/>
      <c r="S918" s="43"/>
      <c r="T918" s="49"/>
      <c r="U918" s="49"/>
      <c r="V918" s="49"/>
      <c r="W918" s="49"/>
      <c r="X918" s="49"/>
      <c r="Y918" s="49"/>
      <c r="Z918" s="49"/>
      <c r="AA918" s="49"/>
      <c r="AB918" s="49"/>
      <c r="AC918" s="49"/>
      <c r="AD918" s="49"/>
      <c r="AE918" s="49"/>
    </row>
    <row r="919" spans="1:31">
      <c r="A919" s="43"/>
      <c r="B919" s="43"/>
      <c r="C919" s="43"/>
      <c r="D919" s="43"/>
      <c r="E919" s="43"/>
      <c r="F919" s="43"/>
      <c r="G919" s="43"/>
      <c r="H919" s="43"/>
      <c r="I919" s="43"/>
      <c r="J919" s="43"/>
      <c r="K919" s="43"/>
      <c r="L919" s="43"/>
      <c r="M919" s="43"/>
      <c r="N919" s="43"/>
      <c r="O919" s="43"/>
      <c r="P919" s="43"/>
      <c r="Q919" s="43"/>
      <c r="R919" s="43"/>
      <c r="S919" s="43"/>
      <c r="T919" s="49"/>
      <c r="U919" s="49"/>
      <c r="V919" s="49"/>
      <c r="W919" s="49"/>
      <c r="X919" s="49"/>
      <c r="Y919" s="49"/>
      <c r="Z919" s="49"/>
      <c r="AA919" s="49"/>
      <c r="AB919" s="49"/>
      <c r="AC919" s="49"/>
      <c r="AD919" s="49"/>
      <c r="AE919" s="49"/>
    </row>
    <row r="920" spans="1:31">
      <c r="A920" s="43"/>
      <c r="B920" s="43"/>
      <c r="C920" s="43"/>
      <c r="D920" s="43"/>
      <c r="E920" s="43"/>
      <c r="F920" s="43"/>
      <c r="G920" s="43"/>
      <c r="H920" s="43"/>
      <c r="I920" s="43"/>
      <c r="J920" s="43"/>
      <c r="K920" s="43"/>
      <c r="L920" s="43"/>
      <c r="M920" s="43"/>
      <c r="N920" s="43"/>
      <c r="O920" s="43"/>
      <c r="P920" s="43"/>
      <c r="Q920" s="43"/>
      <c r="R920" s="43"/>
      <c r="S920" s="43"/>
      <c r="T920" s="49"/>
      <c r="U920" s="49"/>
      <c r="V920" s="49"/>
      <c r="W920" s="49"/>
      <c r="X920" s="49"/>
      <c r="Y920" s="49"/>
      <c r="Z920" s="49"/>
      <c r="AA920" s="49"/>
      <c r="AB920" s="49"/>
      <c r="AC920" s="49"/>
      <c r="AD920" s="49"/>
      <c r="AE920" s="49"/>
    </row>
    <row r="921" spans="1:31">
      <c r="A921" s="43"/>
      <c r="B921" s="43"/>
      <c r="C921" s="43"/>
      <c r="D921" s="43"/>
      <c r="E921" s="43"/>
      <c r="F921" s="43"/>
      <c r="G921" s="43"/>
      <c r="H921" s="43"/>
      <c r="I921" s="43"/>
      <c r="J921" s="43"/>
      <c r="K921" s="43"/>
      <c r="L921" s="43"/>
      <c r="M921" s="43"/>
      <c r="N921" s="43"/>
      <c r="O921" s="43"/>
      <c r="P921" s="43"/>
      <c r="Q921" s="43"/>
      <c r="R921" s="43"/>
      <c r="S921" s="43"/>
      <c r="T921" s="49"/>
      <c r="U921" s="49"/>
      <c r="V921" s="49"/>
      <c r="W921" s="49"/>
      <c r="X921" s="49"/>
      <c r="Y921" s="49"/>
      <c r="Z921" s="49"/>
      <c r="AA921" s="49"/>
      <c r="AB921" s="49"/>
      <c r="AC921" s="49"/>
      <c r="AD921" s="49"/>
      <c r="AE921" s="49"/>
    </row>
    <row r="922" spans="1:31">
      <c r="A922" s="43"/>
      <c r="B922" s="43"/>
      <c r="C922" s="43"/>
      <c r="D922" s="43"/>
      <c r="E922" s="43"/>
      <c r="F922" s="43"/>
      <c r="G922" s="43"/>
      <c r="H922" s="43"/>
      <c r="I922" s="43"/>
      <c r="J922" s="43"/>
      <c r="K922" s="43"/>
      <c r="L922" s="43"/>
      <c r="M922" s="43"/>
      <c r="N922" s="43"/>
      <c r="O922" s="43"/>
      <c r="P922" s="43"/>
      <c r="Q922" s="43"/>
      <c r="R922" s="43"/>
      <c r="S922" s="43"/>
      <c r="T922" s="49"/>
      <c r="U922" s="49"/>
      <c r="V922" s="49"/>
      <c r="W922" s="49"/>
      <c r="X922" s="49"/>
      <c r="Y922" s="49"/>
      <c r="Z922" s="49"/>
      <c r="AA922" s="49"/>
      <c r="AB922" s="49"/>
      <c r="AC922" s="49"/>
      <c r="AD922" s="49"/>
      <c r="AE922" s="49"/>
    </row>
    <row r="923" spans="1:31">
      <c r="A923" s="43"/>
      <c r="B923" s="43"/>
      <c r="C923" s="43"/>
      <c r="D923" s="43"/>
      <c r="E923" s="43"/>
      <c r="F923" s="43"/>
      <c r="G923" s="43"/>
      <c r="H923" s="43"/>
      <c r="I923" s="43"/>
      <c r="J923" s="43"/>
      <c r="K923" s="43"/>
      <c r="L923" s="43"/>
      <c r="M923" s="43"/>
      <c r="N923" s="43"/>
      <c r="O923" s="43"/>
      <c r="P923" s="43"/>
      <c r="Q923" s="43"/>
      <c r="R923" s="43"/>
      <c r="S923" s="43"/>
      <c r="T923" s="49"/>
      <c r="U923" s="49"/>
      <c r="V923" s="49"/>
      <c r="W923" s="49"/>
      <c r="X923" s="49"/>
      <c r="Y923" s="49"/>
      <c r="Z923" s="49"/>
      <c r="AA923" s="49"/>
      <c r="AB923" s="49"/>
      <c r="AC923" s="49"/>
      <c r="AD923" s="49"/>
      <c r="AE923" s="49"/>
    </row>
    <row r="924" spans="1:31">
      <c r="A924" s="43"/>
      <c r="B924" s="43"/>
      <c r="C924" s="43"/>
      <c r="D924" s="43"/>
      <c r="E924" s="43"/>
      <c r="F924" s="43"/>
      <c r="G924" s="43"/>
      <c r="H924" s="43"/>
      <c r="I924" s="43"/>
      <c r="J924" s="43"/>
      <c r="K924" s="43"/>
      <c r="L924" s="43"/>
      <c r="M924" s="43"/>
      <c r="N924" s="43"/>
      <c r="O924" s="43"/>
      <c r="P924" s="43"/>
      <c r="Q924" s="43"/>
      <c r="R924" s="43"/>
      <c r="S924" s="43"/>
      <c r="T924" s="49"/>
      <c r="U924" s="49"/>
      <c r="V924" s="49"/>
      <c r="W924" s="49"/>
      <c r="X924" s="49"/>
      <c r="Y924" s="49"/>
      <c r="Z924" s="49"/>
      <c r="AA924" s="49"/>
      <c r="AB924" s="49"/>
      <c r="AC924" s="49"/>
      <c r="AD924" s="49"/>
      <c r="AE924" s="49"/>
    </row>
    <row r="925" spans="1:31">
      <c r="A925" s="43"/>
      <c r="B925" s="43"/>
      <c r="C925" s="43"/>
      <c r="D925" s="43"/>
      <c r="E925" s="43"/>
      <c r="F925" s="43"/>
      <c r="G925" s="43"/>
      <c r="H925" s="43"/>
      <c r="I925" s="43"/>
      <c r="J925" s="43"/>
      <c r="K925" s="43"/>
      <c r="L925" s="43"/>
      <c r="M925" s="43"/>
      <c r="N925" s="43"/>
      <c r="O925" s="43"/>
      <c r="P925" s="43"/>
      <c r="Q925" s="43"/>
      <c r="R925" s="43"/>
      <c r="S925" s="43"/>
      <c r="T925" s="49"/>
      <c r="U925" s="49"/>
      <c r="V925" s="49"/>
      <c r="W925" s="49"/>
      <c r="X925" s="49"/>
      <c r="Y925" s="49"/>
      <c r="Z925" s="49"/>
      <c r="AA925" s="49"/>
      <c r="AB925" s="49"/>
      <c r="AC925" s="49"/>
      <c r="AD925" s="49"/>
      <c r="AE925" s="49"/>
    </row>
    <row r="926" spans="1:31">
      <c r="A926" s="43"/>
      <c r="B926" s="43"/>
      <c r="C926" s="43"/>
      <c r="D926" s="43"/>
      <c r="E926" s="43"/>
      <c r="F926" s="43"/>
      <c r="G926" s="43"/>
      <c r="H926" s="43"/>
      <c r="I926" s="43"/>
      <c r="J926" s="43"/>
      <c r="K926" s="43"/>
      <c r="L926" s="43"/>
      <c r="M926" s="43"/>
      <c r="N926" s="43"/>
      <c r="O926" s="43"/>
      <c r="P926" s="43"/>
      <c r="Q926" s="43"/>
      <c r="R926" s="43"/>
      <c r="S926" s="43"/>
      <c r="T926" s="49"/>
      <c r="U926" s="49"/>
      <c r="V926" s="49"/>
      <c r="W926" s="49"/>
      <c r="X926" s="49"/>
      <c r="Y926" s="49"/>
      <c r="Z926" s="49"/>
      <c r="AA926" s="49"/>
      <c r="AB926" s="49"/>
      <c r="AC926" s="49"/>
      <c r="AD926" s="49"/>
      <c r="AE926" s="49"/>
    </row>
    <row r="927" spans="1:31">
      <c r="A927" s="43"/>
      <c r="B927" s="43"/>
      <c r="C927" s="43"/>
      <c r="D927" s="43"/>
      <c r="E927" s="43"/>
      <c r="F927" s="43"/>
      <c r="G927" s="43"/>
      <c r="H927" s="43"/>
      <c r="I927" s="43"/>
      <c r="J927" s="43"/>
      <c r="K927" s="43"/>
      <c r="L927" s="43"/>
      <c r="M927" s="43"/>
      <c r="N927" s="43"/>
      <c r="O927" s="43"/>
      <c r="P927" s="43"/>
      <c r="Q927" s="43"/>
      <c r="R927" s="43"/>
      <c r="S927" s="43"/>
      <c r="T927" s="49"/>
      <c r="U927" s="49"/>
      <c r="V927" s="49"/>
      <c r="W927" s="49"/>
      <c r="X927" s="49"/>
      <c r="Y927" s="49"/>
      <c r="Z927" s="49"/>
      <c r="AA927" s="49"/>
      <c r="AB927" s="49"/>
      <c r="AC927" s="49"/>
      <c r="AD927" s="49"/>
      <c r="AE927" s="49"/>
    </row>
    <row r="928" spans="1:31">
      <c r="A928" s="43"/>
      <c r="B928" s="43"/>
      <c r="C928" s="43"/>
      <c r="D928" s="43"/>
      <c r="E928" s="43"/>
      <c r="F928" s="43"/>
      <c r="G928" s="43"/>
      <c r="H928" s="43"/>
      <c r="I928" s="43"/>
      <c r="J928" s="43"/>
      <c r="K928" s="43"/>
      <c r="L928" s="43"/>
      <c r="M928" s="43"/>
      <c r="N928" s="43"/>
      <c r="O928" s="43"/>
      <c r="P928" s="43"/>
      <c r="Q928" s="43"/>
      <c r="R928" s="43"/>
      <c r="S928" s="43"/>
      <c r="T928" s="49"/>
      <c r="U928" s="49"/>
      <c r="V928" s="49"/>
      <c r="W928" s="49"/>
      <c r="X928" s="49"/>
      <c r="Y928" s="49"/>
      <c r="Z928" s="49"/>
      <c r="AA928" s="49"/>
      <c r="AB928" s="49"/>
      <c r="AC928" s="49"/>
      <c r="AD928" s="49"/>
      <c r="AE928" s="49"/>
    </row>
    <row r="929" spans="1:31">
      <c r="A929" s="43"/>
      <c r="B929" s="43"/>
      <c r="C929" s="43"/>
      <c r="D929" s="43"/>
      <c r="E929" s="43"/>
      <c r="F929" s="43"/>
      <c r="G929" s="43"/>
      <c r="H929" s="43"/>
      <c r="I929" s="43"/>
      <c r="J929" s="43"/>
      <c r="K929" s="43"/>
      <c r="L929" s="43"/>
      <c r="M929" s="43"/>
      <c r="N929" s="43"/>
      <c r="O929" s="43"/>
      <c r="P929" s="43"/>
      <c r="Q929" s="43"/>
      <c r="R929" s="43"/>
      <c r="S929" s="43"/>
      <c r="T929" s="49"/>
      <c r="U929" s="49"/>
      <c r="V929" s="49"/>
      <c r="W929" s="49"/>
      <c r="X929" s="49"/>
      <c r="Y929" s="49"/>
      <c r="Z929" s="49"/>
      <c r="AA929" s="49"/>
      <c r="AB929" s="49"/>
      <c r="AC929" s="49"/>
      <c r="AD929" s="49"/>
      <c r="AE929" s="49"/>
    </row>
    <row r="930" spans="1:31">
      <c r="A930" s="43"/>
      <c r="B930" s="43"/>
      <c r="C930" s="43"/>
      <c r="D930" s="43"/>
      <c r="E930" s="43"/>
      <c r="F930" s="43"/>
      <c r="G930" s="43"/>
      <c r="H930" s="43"/>
      <c r="I930" s="43"/>
      <c r="J930" s="43"/>
      <c r="K930" s="43"/>
      <c r="L930" s="43"/>
      <c r="M930" s="43"/>
      <c r="N930" s="43"/>
      <c r="O930" s="43"/>
      <c r="P930" s="43"/>
      <c r="Q930" s="43"/>
      <c r="R930" s="43"/>
      <c r="S930" s="43"/>
      <c r="T930" s="49"/>
      <c r="U930" s="49"/>
      <c r="V930" s="49"/>
      <c r="W930" s="49"/>
      <c r="X930" s="49"/>
      <c r="Y930" s="49"/>
      <c r="Z930" s="49"/>
      <c r="AA930" s="49"/>
      <c r="AB930" s="49"/>
      <c r="AC930" s="49"/>
      <c r="AD930" s="49"/>
      <c r="AE930" s="49"/>
    </row>
    <row r="931" spans="1:31">
      <c r="A931" s="43"/>
      <c r="B931" s="43"/>
      <c r="C931" s="43"/>
      <c r="D931" s="43"/>
      <c r="E931" s="43"/>
      <c r="F931" s="43"/>
      <c r="G931" s="43"/>
      <c r="H931" s="43"/>
      <c r="I931" s="43"/>
      <c r="J931" s="43"/>
      <c r="K931" s="43"/>
      <c r="L931" s="43"/>
      <c r="M931" s="43"/>
      <c r="N931" s="43"/>
      <c r="O931" s="43"/>
      <c r="P931" s="43"/>
      <c r="Q931" s="43"/>
      <c r="R931" s="43"/>
      <c r="S931" s="43"/>
      <c r="T931" s="49"/>
      <c r="U931" s="49"/>
      <c r="V931" s="49"/>
      <c r="W931" s="49"/>
      <c r="X931" s="49"/>
      <c r="Y931" s="49"/>
      <c r="Z931" s="49"/>
      <c r="AA931" s="49"/>
      <c r="AB931" s="49"/>
      <c r="AC931" s="49"/>
      <c r="AD931" s="49"/>
      <c r="AE931" s="49"/>
    </row>
    <row r="932" spans="1:31">
      <c r="A932" s="43"/>
      <c r="B932" s="43"/>
      <c r="C932" s="43"/>
      <c r="D932" s="43"/>
      <c r="E932" s="43"/>
      <c r="F932" s="43"/>
      <c r="G932" s="43"/>
      <c r="H932" s="43"/>
      <c r="I932" s="43"/>
      <c r="J932" s="43"/>
      <c r="K932" s="43"/>
      <c r="L932" s="43"/>
      <c r="M932" s="43"/>
      <c r="N932" s="43"/>
      <c r="O932" s="43"/>
      <c r="P932" s="43"/>
      <c r="Q932" s="43"/>
      <c r="R932" s="43"/>
      <c r="S932" s="43"/>
      <c r="T932" s="49"/>
      <c r="U932" s="49"/>
      <c r="V932" s="49"/>
      <c r="W932" s="49"/>
      <c r="X932" s="49"/>
      <c r="Y932" s="49"/>
      <c r="Z932" s="49"/>
      <c r="AA932" s="49"/>
      <c r="AB932" s="49"/>
      <c r="AC932" s="49"/>
      <c r="AD932" s="49"/>
      <c r="AE932" s="49"/>
    </row>
    <row r="933" spans="1:31">
      <c r="A933" s="43"/>
      <c r="B933" s="43"/>
      <c r="C933" s="43"/>
      <c r="D933" s="43"/>
      <c r="E933" s="43"/>
      <c r="F933" s="43"/>
      <c r="G933" s="43"/>
      <c r="H933" s="43"/>
      <c r="I933" s="43"/>
      <c r="J933" s="43"/>
      <c r="K933" s="43"/>
      <c r="L933" s="43"/>
      <c r="M933" s="43"/>
      <c r="N933" s="43"/>
      <c r="O933" s="43"/>
      <c r="P933" s="43"/>
      <c r="Q933" s="43"/>
      <c r="R933" s="43"/>
      <c r="S933" s="43"/>
      <c r="T933" s="49"/>
      <c r="U933" s="49"/>
      <c r="V933" s="49"/>
      <c r="W933" s="49"/>
      <c r="X933" s="49"/>
      <c r="Y933" s="49"/>
      <c r="Z933" s="49"/>
      <c r="AA933" s="49"/>
      <c r="AB933" s="49"/>
      <c r="AC933" s="49"/>
      <c r="AD933" s="49"/>
      <c r="AE933" s="49"/>
    </row>
    <row r="934" spans="1:31">
      <c r="A934" s="43"/>
      <c r="B934" s="43"/>
      <c r="C934" s="43"/>
      <c r="D934" s="43"/>
      <c r="E934" s="43"/>
      <c r="F934" s="43"/>
      <c r="G934" s="43"/>
      <c r="H934" s="43"/>
      <c r="I934" s="43"/>
      <c r="J934" s="43"/>
      <c r="K934" s="43"/>
      <c r="L934" s="43"/>
      <c r="M934" s="43"/>
      <c r="N934" s="43"/>
      <c r="O934" s="43"/>
      <c r="P934" s="43"/>
      <c r="Q934" s="43"/>
      <c r="R934" s="43"/>
      <c r="S934" s="43"/>
      <c r="T934" s="49"/>
      <c r="U934" s="49"/>
      <c r="V934" s="49"/>
      <c r="W934" s="49"/>
      <c r="X934" s="49"/>
      <c r="Y934" s="49"/>
      <c r="Z934" s="49"/>
      <c r="AA934" s="49"/>
      <c r="AB934" s="49"/>
      <c r="AC934" s="49"/>
      <c r="AD934" s="49"/>
      <c r="AE934" s="49"/>
    </row>
    <row r="935" spans="1:31">
      <c r="A935" s="43"/>
      <c r="B935" s="43"/>
      <c r="C935" s="43"/>
      <c r="D935" s="43"/>
      <c r="E935" s="43"/>
      <c r="F935" s="43"/>
      <c r="G935" s="43"/>
      <c r="H935" s="43"/>
      <c r="I935" s="43"/>
      <c r="J935" s="43"/>
      <c r="K935" s="43"/>
      <c r="L935" s="43"/>
      <c r="M935" s="43"/>
      <c r="N935" s="43"/>
      <c r="O935" s="43"/>
      <c r="P935" s="43"/>
      <c r="Q935" s="43"/>
      <c r="R935" s="43"/>
      <c r="S935" s="43"/>
      <c r="T935" s="49"/>
      <c r="U935" s="49"/>
      <c r="V935" s="49"/>
      <c r="W935" s="49"/>
      <c r="X935" s="49"/>
      <c r="Y935" s="49"/>
      <c r="Z935" s="49"/>
      <c r="AA935" s="49"/>
      <c r="AB935" s="49"/>
      <c r="AC935" s="49"/>
      <c r="AD935" s="49"/>
      <c r="AE935" s="49"/>
    </row>
    <row r="936" spans="1:31">
      <c r="A936" s="43"/>
      <c r="B936" s="43"/>
      <c r="C936" s="43"/>
      <c r="D936" s="43"/>
      <c r="E936" s="43"/>
      <c r="F936" s="43"/>
      <c r="G936" s="43"/>
      <c r="H936" s="43"/>
      <c r="I936" s="43"/>
      <c r="J936" s="43"/>
      <c r="K936" s="43"/>
      <c r="L936" s="43"/>
      <c r="M936" s="43"/>
      <c r="N936" s="43"/>
      <c r="O936" s="43"/>
      <c r="P936" s="43"/>
      <c r="Q936" s="43"/>
      <c r="R936" s="43"/>
      <c r="S936" s="43"/>
      <c r="T936" s="49"/>
      <c r="U936" s="49"/>
      <c r="V936" s="49"/>
      <c r="W936" s="49"/>
      <c r="X936" s="49"/>
      <c r="Y936" s="49"/>
      <c r="Z936" s="49"/>
      <c r="AA936" s="49"/>
      <c r="AB936" s="49"/>
      <c r="AC936" s="49"/>
      <c r="AD936" s="49"/>
      <c r="AE936" s="49"/>
    </row>
    <row r="937" spans="1:31">
      <c r="A937" s="43"/>
      <c r="B937" s="43"/>
      <c r="C937" s="43"/>
      <c r="D937" s="43"/>
      <c r="E937" s="43"/>
      <c r="F937" s="43"/>
      <c r="G937" s="43"/>
      <c r="H937" s="43"/>
      <c r="I937" s="43"/>
      <c r="J937" s="43"/>
      <c r="K937" s="43"/>
      <c r="L937" s="43"/>
      <c r="M937" s="43"/>
      <c r="N937" s="43"/>
      <c r="O937" s="43"/>
      <c r="P937" s="43"/>
      <c r="Q937" s="43"/>
      <c r="R937" s="43"/>
      <c r="S937" s="43"/>
      <c r="T937" s="49"/>
      <c r="U937" s="49"/>
      <c r="V937" s="49"/>
      <c r="W937" s="49"/>
      <c r="X937" s="49"/>
      <c r="Y937" s="49"/>
      <c r="Z937" s="49"/>
      <c r="AA937" s="49"/>
      <c r="AB937" s="49"/>
      <c r="AC937" s="49"/>
      <c r="AD937" s="49"/>
      <c r="AE937" s="49"/>
    </row>
    <row r="938" spans="1:31">
      <c r="A938" s="43"/>
      <c r="B938" s="43"/>
      <c r="C938" s="43"/>
      <c r="D938" s="43"/>
      <c r="E938" s="43"/>
      <c r="F938" s="43"/>
      <c r="G938" s="43"/>
      <c r="H938" s="43"/>
      <c r="I938" s="43"/>
      <c r="J938" s="43"/>
      <c r="K938" s="43"/>
      <c r="L938" s="43"/>
      <c r="M938" s="43"/>
      <c r="N938" s="43"/>
      <c r="O938" s="43"/>
      <c r="P938" s="43"/>
      <c r="Q938" s="43"/>
      <c r="R938" s="43"/>
      <c r="S938" s="43"/>
      <c r="T938" s="49"/>
      <c r="U938" s="49"/>
      <c r="V938" s="49"/>
      <c r="W938" s="49"/>
      <c r="X938" s="49"/>
      <c r="Y938" s="49"/>
      <c r="Z938" s="49"/>
      <c r="AA938" s="49"/>
      <c r="AB938" s="49"/>
      <c r="AC938" s="49"/>
      <c r="AD938" s="49"/>
      <c r="AE938" s="49"/>
    </row>
    <row r="939" spans="1:31">
      <c r="A939" s="43"/>
      <c r="B939" s="43"/>
      <c r="C939" s="43"/>
      <c r="D939" s="43"/>
      <c r="E939" s="43"/>
      <c r="F939" s="43"/>
      <c r="G939" s="43"/>
      <c r="H939" s="43"/>
      <c r="I939" s="43"/>
      <c r="J939" s="43"/>
      <c r="K939" s="43"/>
      <c r="L939" s="43"/>
      <c r="M939" s="43"/>
      <c r="N939" s="43"/>
      <c r="O939" s="43"/>
      <c r="P939" s="43"/>
      <c r="Q939" s="43"/>
      <c r="R939" s="43"/>
      <c r="S939" s="43"/>
      <c r="T939" s="49"/>
      <c r="U939" s="49"/>
      <c r="V939" s="49"/>
      <c r="W939" s="49"/>
      <c r="X939" s="49"/>
      <c r="Y939" s="49"/>
      <c r="Z939" s="49"/>
      <c r="AA939" s="49"/>
      <c r="AB939" s="49"/>
      <c r="AC939" s="49"/>
      <c r="AD939" s="49"/>
      <c r="AE939" s="49"/>
    </row>
    <row r="940" spans="1:31">
      <c r="A940" s="43"/>
      <c r="B940" s="43"/>
      <c r="C940" s="43"/>
      <c r="D940" s="43"/>
      <c r="E940" s="43"/>
      <c r="F940" s="43"/>
      <c r="G940" s="43"/>
      <c r="H940" s="43"/>
      <c r="I940" s="43"/>
      <c r="J940" s="43"/>
      <c r="K940" s="43"/>
      <c r="L940" s="43"/>
      <c r="M940" s="43"/>
      <c r="N940" s="43"/>
      <c r="O940" s="43"/>
      <c r="P940" s="43"/>
      <c r="Q940" s="43"/>
      <c r="R940" s="43"/>
      <c r="S940" s="43"/>
      <c r="T940" s="49"/>
      <c r="U940" s="49"/>
      <c r="V940" s="49"/>
      <c r="W940" s="49"/>
      <c r="X940" s="49"/>
      <c r="Y940" s="49"/>
      <c r="Z940" s="49"/>
      <c r="AA940" s="49"/>
      <c r="AB940" s="49"/>
      <c r="AC940" s="49"/>
      <c r="AD940" s="49"/>
      <c r="AE940" s="49"/>
    </row>
    <row r="941" spans="1:31">
      <c r="A941" s="43"/>
      <c r="B941" s="43"/>
      <c r="C941" s="43"/>
      <c r="D941" s="43"/>
      <c r="E941" s="43"/>
      <c r="F941" s="43"/>
      <c r="G941" s="43"/>
      <c r="H941" s="43"/>
      <c r="I941" s="43"/>
      <c r="J941" s="43"/>
      <c r="K941" s="43"/>
      <c r="L941" s="43"/>
      <c r="M941" s="43"/>
      <c r="N941" s="43"/>
      <c r="O941" s="43"/>
      <c r="P941" s="43"/>
      <c r="Q941" s="43"/>
      <c r="R941" s="43"/>
      <c r="S941" s="43"/>
      <c r="T941" s="49"/>
      <c r="U941" s="49"/>
      <c r="V941" s="49"/>
      <c r="W941" s="49"/>
      <c r="X941" s="49"/>
      <c r="Y941" s="49"/>
      <c r="Z941" s="49"/>
      <c r="AA941" s="49"/>
      <c r="AB941" s="49"/>
      <c r="AC941" s="49"/>
      <c r="AD941" s="49"/>
      <c r="AE941" s="49"/>
    </row>
    <row r="942" spans="1:31">
      <c r="A942" s="43"/>
      <c r="B942" s="43"/>
      <c r="C942" s="43"/>
      <c r="D942" s="43"/>
      <c r="E942" s="43"/>
      <c r="F942" s="43"/>
      <c r="G942" s="43"/>
      <c r="H942" s="43"/>
      <c r="I942" s="43"/>
      <c r="J942" s="43"/>
      <c r="K942" s="43"/>
      <c r="L942" s="43"/>
      <c r="M942" s="43"/>
      <c r="N942" s="43"/>
      <c r="O942" s="43"/>
      <c r="P942" s="43"/>
      <c r="Q942" s="43"/>
      <c r="R942" s="43"/>
      <c r="S942" s="43"/>
      <c r="T942" s="49"/>
      <c r="U942" s="49"/>
      <c r="V942" s="49"/>
      <c r="W942" s="49"/>
      <c r="X942" s="49"/>
      <c r="Y942" s="49"/>
      <c r="Z942" s="49"/>
      <c r="AA942" s="49"/>
      <c r="AB942" s="49"/>
      <c r="AC942" s="49"/>
      <c r="AD942" s="49"/>
      <c r="AE942" s="49"/>
    </row>
    <row r="943" spans="1:31">
      <c r="A943" s="43"/>
      <c r="B943" s="43"/>
      <c r="C943" s="43"/>
      <c r="D943" s="43"/>
      <c r="E943" s="43"/>
      <c r="F943" s="43"/>
      <c r="G943" s="43"/>
      <c r="H943" s="43"/>
      <c r="I943" s="43"/>
      <c r="J943" s="43"/>
      <c r="K943" s="43"/>
      <c r="L943" s="43"/>
      <c r="M943" s="43"/>
      <c r="N943" s="43"/>
      <c r="O943" s="43"/>
      <c r="P943" s="43"/>
      <c r="Q943" s="43"/>
      <c r="R943" s="43"/>
      <c r="S943" s="43"/>
      <c r="T943" s="49"/>
      <c r="U943" s="49"/>
      <c r="V943" s="49"/>
      <c r="W943" s="49"/>
      <c r="X943" s="49"/>
      <c r="Y943" s="49"/>
      <c r="Z943" s="49"/>
      <c r="AA943" s="49"/>
      <c r="AB943" s="49"/>
      <c r="AC943" s="49"/>
      <c r="AD943" s="49"/>
      <c r="AE943" s="49"/>
    </row>
    <row r="944" spans="1:31">
      <c r="A944" s="43"/>
      <c r="B944" s="43"/>
      <c r="C944" s="43"/>
      <c r="D944" s="43"/>
      <c r="E944" s="43"/>
      <c r="F944" s="43"/>
      <c r="G944" s="43"/>
      <c r="H944" s="43"/>
      <c r="I944" s="43"/>
      <c r="J944" s="43"/>
      <c r="K944" s="43"/>
      <c r="L944" s="43"/>
      <c r="M944" s="43"/>
      <c r="N944" s="43"/>
      <c r="O944" s="43"/>
      <c r="P944" s="43"/>
      <c r="Q944" s="43"/>
      <c r="R944" s="43"/>
      <c r="S944" s="43"/>
      <c r="T944" s="49"/>
      <c r="U944" s="49"/>
      <c r="V944" s="49"/>
      <c r="W944" s="49"/>
      <c r="X944" s="49"/>
      <c r="Y944" s="49"/>
      <c r="Z944" s="49"/>
      <c r="AA944" s="49"/>
      <c r="AB944" s="49"/>
      <c r="AC944" s="49"/>
      <c r="AD944" s="49"/>
      <c r="AE944" s="49"/>
    </row>
    <row r="945" spans="1:31">
      <c r="A945" s="43"/>
      <c r="B945" s="43"/>
      <c r="C945" s="43"/>
      <c r="D945" s="43"/>
      <c r="E945" s="43"/>
      <c r="F945" s="43"/>
      <c r="G945" s="43"/>
      <c r="H945" s="43"/>
      <c r="I945" s="43"/>
      <c r="J945" s="43"/>
      <c r="K945" s="43"/>
      <c r="L945" s="43"/>
      <c r="M945" s="43"/>
      <c r="N945" s="43"/>
      <c r="O945" s="43"/>
      <c r="P945" s="43"/>
      <c r="Q945" s="43"/>
      <c r="R945" s="43"/>
      <c r="S945" s="43"/>
      <c r="T945" s="49"/>
      <c r="U945" s="49"/>
      <c r="V945" s="49"/>
      <c r="W945" s="49"/>
      <c r="X945" s="49"/>
      <c r="Y945" s="49"/>
      <c r="Z945" s="49"/>
      <c r="AA945" s="49"/>
      <c r="AB945" s="49"/>
      <c r="AC945" s="49"/>
      <c r="AD945" s="49"/>
      <c r="AE945" s="49"/>
    </row>
    <row r="946" spans="1:31">
      <c r="A946" s="43"/>
      <c r="B946" s="43"/>
      <c r="C946" s="43"/>
      <c r="D946" s="43"/>
      <c r="E946" s="43"/>
      <c r="F946" s="43"/>
      <c r="G946" s="43"/>
      <c r="H946" s="43"/>
      <c r="I946" s="43"/>
      <c r="J946" s="43"/>
      <c r="K946" s="43"/>
      <c r="L946" s="43"/>
      <c r="M946" s="43"/>
      <c r="N946" s="43"/>
      <c r="O946" s="43"/>
      <c r="P946" s="43"/>
      <c r="Q946" s="43"/>
      <c r="R946" s="43"/>
      <c r="S946" s="43"/>
      <c r="T946" s="49"/>
      <c r="U946" s="49"/>
      <c r="V946" s="49"/>
      <c r="W946" s="49"/>
      <c r="X946" s="49"/>
      <c r="Y946" s="49"/>
      <c r="Z946" s="49"/>
      <c r="AA946" s="49"/>
      <c r="AB946" s="49"/>
      <c r="AC946" s="49"/>
      <c r="AD946" s="49"/>
      <c r="AE946" s="49"/>
    </row>
    <row r="947" spans="1:31">
      <c r="A947" s="43"/>
      <c r="B947" s="43"/>
      <c r="C947" s="43"/>
      <c r="D947" s="43"/>
      <c r="E947" s="43"/>
      <c r="F947" s="43"/>
      <c r="G947" s="43"/>
      <c r="H947" s="43"/>
      <c r="I947" s="43"/>
      <c r="J947" s="43"/>
      <c r="K947" s="43"/>
      <c r="L947" s="43"/>
      <c r="M947" s="43"/>
      <c r="N947" s="43"/>
      <c r="O947" s="43"/>
      <c r="P947" s="43"/>
      <c r="Q947" s="43"/>
      <c r="R947" s="43"/>
      <c r="S947" s="43"/>
      <c r="T947" s="49"/>
      <c r="U947" s="49"/>
      <c r="V947" s="49"/>
      <c r="W947" s="49"/>
      <c r="X947" s="49"/>
      <c r="Y947" s="49"/>
      <c r="Z947" s="49"/>
      <c r="AA947" s="49"/>
      <c r="AB947" s="49"/>
      <c r="AC947" s="49"/>
      <c r="AD947" s="49"/>
      <c r="AE947" s="49"/>
    </row>
    <row r="948" spans="1:31">
      <c r="A948" s="43"/>
      <c r="B948" s="43"/>
      <c r="C948" s="43"/>
      <c r="D948" s="43"/>
      <c r="E948" s="43"/>
      <c r="F948" s="43"/>
      <c r="G948" s="43"/>
      <c r="H948" s="43"/>
      <c r="I948" s="43"/>
      <c r="J948" s="43"/>
      <c r="K948" s="43"/>
      <c r="L948" s="43"/>
      <c r="M948" s="43"/>
      <c r="N948" s="43"/>
      <c r="O948" s="43"/>
      <c r="P948" s="43"/>
      <c r="Q948" s="43"/>
      <c r="R948" s="43"/>
      <c r="S948" s="43"/>
      <c r="T948" s="49"/>
      <c r="U948" s="49"/>
      <c r="V948" s="49"/>
      <c r="W948" s="49"/>
      <c r="X948" s="49"/>
      <c r="Y948" s="49"/>
      <c r="Z948" s="49"/>
      <c r="AA948" s="49"/>
      <c r="AB948" s="49"/>
      <c r="AC948" s="49"/>
      <c r="AD948" s="49"/>
      <c r="AE948" s="49"/>
    </row>
    <row r="949" spans="1:31">
      <c r="A949" s="43"/>
      <c r="B949" s="43"/>
      <c r="C949" s="43"/>
      <c r="D949" s="43"/>
      <c r="E949" s="43"/>
      <c r="F949" s="43"/>
      <c r="G949" s="43"/>
      <c r="H949" s="43"/>
      <c r="I949" s="43"/>
      <c r="J949" s="43"/>
      <c r="K949" s="43"/>
      <c r="L949" s="43"/>
      <c r="M949" s="43"/>
      <c r="N949" s="43"/>
      <c r="O949" s="43"/>
      <c r="P949" s="43"/>
      <c r="Q949" s="43"/>
      <c r="R949" s="43"/>
      <c r="S949" s="43"/>
      <c r="T949" s="49"/>
      <c r="U949" s="49"/>
      <c r="V949" s="49"/>
      <c r="W949" s="49"/>
      <c r="X949" s="49"/>
      <c r="Y949" s="49"/>
      <c r="Z949" s="49"/>
      <c r="AA949" s="49"/>
      <c r="AB949" s="49"/>
      <c r="AC949" s="49"/>
      <c r="AD949" s="49"/>
      <c r="AE949" s="49"/>
    </row>
    <row r="950" spans="1:31">
      <c r="A950" s="43"/>
      <c r="B950" s="43"/>
      <c r="C950" s="43"/>
      <c r="D950" s="43"/>
      <c r="E950" s="43"/>
      <c r="F950" s="43"/>
      <c r="G950" s="43"/>
      <c r="H950" s="43"/>
      <c r="I950" s="43"/>
      <c r="J950" s="43"/>
      <c r="K950" s="43"/>
      <c r="L950" s="43"/>
      <c r="M950" s="43"/>
      <c r="N950" s="43"/>
      <c r="O950" s="43"/>
      <c r="P950" s="43"/>
      <c r="Q950" s="43"/>
      <c r="R950" s="43"/>
      <c r="S950" s="43"/>
      <c r="T950" s="49"/>
      <c r="U950" s="49"/>
      <c r="V950" s="49"/>
      <c r="W950" s="49"/>
      <c r="X950" s="49"/>
      <c r="Y950" s="49"/>
      <c r="Z950" s="49"/>
      <c r="AA950" s="49"/>
      <c r="AB950" s="49"/>
      <c r="AC950" s="49"/>
      <c r="AD950" s="49"/>
      <c r="AE950" s="49"/>
    </row>
    <row r="951" spans="1:31">
      <c r="A951" s="43"/>
      <c r="B951" s="43"/>
      <c r="C951" s="43"/>
      <c r="D951" s="43"/>
      <c r="E951" s="43"/>
      <c r="F951" s="43"/>
      <c r="G951" s="43"/>
      <c r="H951" s="43"/>
      <c r="I951" s="43"/>
      <c r="J951" s="43"/>
      <c r="K951" s="43"/>
      <c r="L951" s="43"/>
      <c r="M951" s="43"/>
      <c r="N951" s="43"/>
      <c r="O951" s="43"/>
      <c r="P951" s="43"/>
      <c r="Q951" s="43"/>
      <c r="R951" s="43"/>
      <c r="S951" s="43"/>
      <c r="T951" s="49"/>
      <c r="U951" s="49"/>
      <c r="V951" s="49"/>
      <c r="W951" s="49"/>
      <c r="X951" s="49"/>
      <c r="Y951" s="49"/>
      <c r="Z951" s="49"/>
      <c r="AA951" s="49"/>
      <c r="AB951" s="49"/>
      <c r="AC951" s="49"/>
      <c r="AD951" s="49"/>
      <c r="AE951" s="49"/>
    </row>
    <row r="952" spans="1:31">
      <c r="A952" s="43"/>
      <c r="B952" s="43"/>
      <c r="C952" s="43"/>
      <c r="D952" s="43"/>
      <c r="E952" s="43"/>
      <c r="F952" s="43"/>
      <c r="G952" s="43"/>
      <c r="H952" s="43"/>
      <c r="I952" s="43"/>
      <c r="J952" s="43"/>
      <c r="K952" s="43"/>
      <c r="L952" s="43"/>
      <c r="M952" s="43"/>
      <c r="N952" s="43"/>
      <c r="O952" s="43"/>
      <c r="P952" s="43"/>
      <c r="Q952" s="43"/>
      <c r="R952" s="43"/>
      <c r="S952" s="43"/>
      <c r="T952" s="49"/>
      <c r="U952" s="49"/>
      <c r="V952" s="49"/>
      <c r="W952" s="49"/>
      <c r="X952" s="49"/>
      <c r="Y952" s="49"/>
      <c r="Z952" s="49"/>
      <c r="AA952" s="49"/>
      <c r="AB952" s="49"/>
      <c r="AC952" s="49"/>
      <c r="AD952" s="49"/>
      <c r="AE952" s="49"/>
    </row>
    <row r="953" spans="1:31">
      <c r="A953" s="43"/>
      <c r="B953" s="43"/>
      <c r="C953" s="43"/>
      <c r="D953" s="43"/>
      <c r="E953" s="43"/>
      <c r="F953" s="43"/>
      <c r="G953" s="43"/>
      <c r="H953" s="43"/>
      <c r="I953" s="43"/>
      <c r="J953" s="43"/>
      <c r="K953" s="43"/>
      <c r="L953" s="43"/>
      <c r="M953" s="43"/>
      <c r="N953" s="43"/>
      <c r="O953" s="43"/>
      <c r="P953" s="43"/>
      <c r="Q953" s="43"/>
      <c r="R953" s="43"/>
      <c r="S953" s="43"/>
      <c r="T953" s="49"/>
      <c r="U953" s="49"/>
      <c r="V953" s="49"/>
      <c r="W953" s="49"/>
      <c r="X953" s="49"/>
      <c r="Y953" s="49"/>
      <c r="Z953" s="49"/>
      <c r="AA953" s="49"/>
      <c r="AB953" s="49"/>
      <c r="AC953" s="49"/>
      <c r="AD953" s="49"/>
      <c r="AE953" s="49"/>
    </row>
    <row r="954" spans="1:31">
      <c r="A954" s="43"/>
      <c r="B954" s="43"/>
      <c r="C954" s="43"/>
      <c r="D954" s="43"/>
      <c r="E954" s="43"/>
      <c r="F954" s="43"/>
      <c r="G954" s="43"/>
      <c r="H954" s="43"/>
      <c r="I954" s="43"/>
      <c r="J954" s="43"/>
      <c r="K954" s="43"/>
      <c r="L954" s="43"/>
      <c r="M954" s="43"/>
      <c r="N954" s="43"/>
      <c r="O954" s="43"/>
      <c r="P954" s="43"/>
      <c r="Q954" s="43"/>
      <c r="R954" s="43"/>
      <c r="S954" s="43"/>
      <c r="T954" s="49"/>
      <c r="U954" s="49"/>
      <c r="V954" s="49"/>
      <c r="W954" s="49"/>
      <c r="X954" s="49"/>
      <c r="Y954" s="49"/>
      <c r="Z954" s="49"/>
      <c r="AA954" s="49"/>
      <c r="AB954" s="49"/>
      <c r="AC954" s="49"/>
      <c r="AD954" s="49"/>
      <c r="AE954" s="49"/>
    </row>
    <row r="955" spans="1:31">
      <c r="A955" s="43"/>
      <c r="B955" s="43"/>
      <c r="C955" s="43"/>
      <c r="D955" s="43"/>
      <c r="E955" s="43"/>
      <c r="F955" s="43"/>
      <c r="G955" s="43"/>
      <c r="H955" s="43"/>
      <c r="I955" s="43"/>
      <c r="J955" s="43"/>
      <c r="K955" s="43"/>
      <c r="L955" s="43"/>
      <c r="M955" s="43"/>
      <c r="N955" s="43"/>
      <c r="O955" s="43"/>
      <c r="P955" s="43"/>
      <c r="Q955" s="43"/>
      <c r="R955" s="43"/>
      <c r="S955" s="43"/>
      <c r="T955" s="49"/>
      <c r="U955" s="49"/>
      <c r="V955" s="49"/>
      <c r="W955" s="49"/>
      <c r="X955" s="49"/>
      <c r="Y955" s="49"/>
      <c r="Z955" s="49"/>
      <c r="AA955" s="49"/>
      <c r="AB955" s="49"/>
      <c r="AC955" s="49"/>
      <c r="AD955" s="49"/>
      <c r="AE955" s="49"/>
    </row>
    <row r="956" spans="1:31">
      <c r="A956" s="43"/>
      <c r="B956" s="43"/>
      <c r="C956" s="43"/>
      <c r="D956" s="43"/>
      <c r="E956" s="43"/>
      <c r="F956" s="43"/>
      <c r="G956" s="43"/>
      <c r="H956" s="43"/>
      <c r="I956" s="43"/>
      <c r="J956" s="43"/>
      <c r="K956" s="43"/>
      <c r="L956" s="43"/>
      <c r="M956" s="43"/>
      <c r="N956" s="43"/>
      <c r="O956" s="43"/>
      <c r="P956" s="43"/>
      <c r="Q956" s="43"/>
      <c r="R956" s="43"/>
      <c r="S956" s="43"/>
      <c r="T956" s="49"/>
      <c r="U956" s="49"/>
      <c r="V956" s="49"/>
      <c r="W956" s="49"/>
      <c r="X956" s="49"/>
      <c r="Y956" s="49"/>
      <c r="Z956" s="49"/>
      <c r="AA956" s="49"/>
      <c r="AB956" s="49"/>
      <c r="AC956" s="49"/>
      <c r="AD956" s="49"/>
      <c r="AE956" s="49"/>
    </row>
    <row r="957" spans="1:31">
      <c r="A957" s="43"/>
      <c r="B957" s="43"/>
      <c r="C957" s="43"/>
      <c r="D957" s="43"/>
      <c r="E957" s="43"/>
      <c r="F957" s="43"/>
      <c r="G957" s="43"/>
      <c r="H957" s="43"/>
      <c r="I957" s="43"/>
      <c r="J957" s="43"/>
      <c r="K957" s="43"/>
      <c r="L957" s="43"/>
      <c r="M957" s="43"/>
      <c r="N957" s="43"/>
      <c r="O957" s="43"/>
      <c r="P957" s="43"/>
      <c r="Q957" s="43"/>
      <c r="R957" s="43"/>
      <c r="S957" s="43"/>
      <c r="T957" s="49"/>
      <c r="U957" s="49"/>
      <c r="V957" s="49"/>
      <c r="W957" s="49"/>
      <c r="X957" s="49"/>
      <c r="Y957" s="49"/>
      <c r="Z957" s="49"/>
      <c r="AA957" s="49"/>
      <c r="AB957" s="49"/>
      <c r="AC957" s="49"/>
      <c r="AD957" s="49"/>
      <c r="AE957" s="49"/>
    </row>
    <row r="958" spans="1:31">
      <c r="A958" s="43"/>
      <c r="B958" s="43"/>
      <c r="C958" s="43"/>
      <c r="D958" s="43"/>
      <c r="E958" s="43"/>
      <c r="F958" s="43"/>
      <c r="G958" s="43"/>
      <c r="H958" s="43"/>
      <c r="I958" s="43"/>
      <c r="J958" s="43"/>
      <c r="K958" s="43"/>
      <c r="L958" s="43"/>
      <c r="M958" s="43"/>
      <c r="N958" s="43"/>
      <c r="O958" s="43"/>
      <c r="P958" s="43"/>
      <c r="Q958" s="43"/>
      <c r="R958" s="43"/>
      <c r="S958" s="43"/>
      <c r="T958" s="49"/>
      <c r="U958" s="49"/>
      <c r="V958" s="49"/>
      <c r="W958" s="49"/>
      <c r="X958" s="49"/>
      <c r="Y958" s="49"/>
      <c r="Z958" s="49"/>
      <c r="AA958" s="49"/>
      <c r="AB958" s="49"/>
      <c r="AC958" s="49"/>
      <c r="AD958" s="49"/>
      <c r="AE958" s="49"/>
    </row>
    <row r="959" spans="1:31">
      <c r="A959" s="43"/>
      <c r="B959" s="43"/>
      <c r="C959" s="43"/>
      <c r="D959" s="43"/>
      <c r="E959" s="43"/>
      <c r="F959" s="43"/>
      <c r="G959" s="43"/>
      <c r="H959" s="43"/>
      <c r="I959" s="43"/>
      <c r="J959" s="43"/>
      <c r="K959" s="43"/>
      <c r="L959" s="43"/>
      <c r="M959" s="43"/>
      <c r="N959" s="43"/>
      <c r="O959" s="43"/>
      <c r="P959" s="43"/>
      <c r="Q959" s="43"/>
      <c r="R959" s="43"/>
      <c r="S959" s="43"/>
      <c r="T959" s="49"/>
      <c r="U959" s="49"/>
      <c r="V959" s="49"/>
      <c r="W959" s="49"/>
      <c r="X959" s="49"/>
      <c r="Y959" s="49"/>
      <c r="Z959" s="49"/>
      <c r="AA959" s="49"/>
      <c r="AB959" s="49"/>
      <c r="AC959" s="49"/>
      <c r="AD959" s="49"/>
      <c r="AE959" s="49"/>
    </row>
    <row r="960" spans="1:31">
      <c r="A960" s="43"/>
      <c r="B960" s="43"/>
      <c r="C960" s="43"/>
      <c r="D960" s="43"/>
      <c r="E960" s="43"/>
      <c r="F960" s="43"/>
      <c r="G960" s="43"/>
      <c r="H960" s="43"/>
      <c r="I960" s="43"/>
      <c r="J960" s="43"/>
      <c r="K960" s="43"/>
      <c r="L960" s="43"/>
      <c r="M960" s="43"/>
      <c r="N960" s="43"/>
      <c r="O960" s="43"/>
      <c r="P960" s="43"/>
      <c r="Q960" s="43"/>
      <c r="R960" s="43"/>
      <c r="S960" s="43"/>
      <c r="T960" s="49"/>
      <c r="U960" s="49"/>
      <c r="V960" s="49"/>
      <c r="W960" s="49"/>
      <c r="X960" s="49"/>
      <c r="Y960" s="49"/>
      <c r="Z960" s="49"/>
      <c r="AA960" s="49"/>
      <c r="AB960" s="49"/>
      <c r="AC960" s="49"/>
      <c r="AD960" s="49"/>
      <c r="AE960" s="49"/>
    </row>
    <row r="961" spans="1:31">
      <c r="A961" s="43"/>
      <c r="B961" s="43"/>
      <c r="C961" s="43"/>
      <c r="D961" s="43"/>
      <c r="E961" s="43"/>
      <c r="F961" s="43"/>
      <c r="G961" s="43"/>
      <c r="H961" s="43"/>
      <c r="I961" s="43"/>
      <c r="J961" s="43"/>
      <c r="K961" s="43"/>
      <c r="L961" s="43"/>
      <c r="M961" s="43"/>
      <c r="N961" s="43"/>
      <c r="O961" s="43"/>
      <c r="P961" s="43"/>
      <c r="Q961" s="43"/>
      <c r="R961" s="43"/>
      <c r="S961" s="43"/>
      <c r="T961" s="49"/>
      <c r="U961" s="49"/>
      <c r="V961" s="49"/>
      <c r="W961" s="49"/>
      <c r="X961" s="49"/>
      <c r="Y961" s="49"/>
      <c r="Z961" s="49"/>
      <c r="AA961" s="49"/>
      <c r="AB961" s="49"/>
      <c r="AC961" s="49"/>
      <c r="AD961" s="49"/>
      <c r="AE961" s="49"/>
    </row>
    <row r="962" spans="1:31">
      <c r="A962" s="43"/>
      <c r="B962" s="43"/>
      <c r="C962" s="43"/>
      <c r="D962" s="43"/>
      <c r="E962" s="43"/>
      <c r="F962" s="43"/>
      <c r="G962" s="43"/>
      <c r="H962" s="43"/>
      <c r="I962" s="43"/>
      <c r="J962" s="43"/>
      <c r="K962" s="43"/>
      <c r="L962" s="43"/>
      <c r="M962" s="43"/>
      <c r="N962" s="43"/>
      <c r="O962" s="43"/>
      <c r="P962" s="43"/>
      <c r="Q962" s="43"/>
      <c r="R962" s="43"/>
      <c r="S962" s="43"/>
      <c r="T962" s="49"/>
      <c r="U962" s="49"/>
      <c r="V962" s="49"/>
      <c r="W962" s="49"/>
      <c r="X962" s="49"/>
      <c r="Y962" s="49"/>
      <c r="Z962" s="49"/>
      <c r="AA962" s="49"/>
      <c r="AB962" s="49"/>
      <c r="AC962" s="49"/>
      <c r="AD962" s="49"/>
      <c r="AE962" s="49"/>
    </row>
    <row r="963" spans="1:31">
      <c r="A963" s="43"/>
      <c r="B963" s="43"/>
      <c r="C963" s="43"/>
      <c r="D963" s="43"/>
      <c r="E963" s="43"/>
      <c r="F963" s="43"/>
      <c r="G963" s="43"/>
      <c r="H963" s="43"/>
      <c r="I963" s="43"/>
      <c r="J963" s="43"/>
      <c r="K963" s="43"/>
      <c r="L963" s="43"/>
      <c r="M963" s="43"/>
      <c r="N963" s="43"/>
      <c r="O963" s="43"/>
      <c r="P963" s="43"/>
      <c r="Q963" s="43"/>
      <c r="R963" s="43"/>
      <c r="S963" s="43"/>
      <c r="T963" s="49"/>
      <c r="U963" s="49"/>
      <c r="V963" s="49"/>
      <c r="W963" s="49"/>
      <c r="X963" s="49"/>
      <c r="Y963" s="49"/>
      <c r="Z963" s="49"/>
      <c r="AA963" s="49"/>
      <c r="AB963" s="49"/>
      <c r="AC963" s="49"/>
      <c r="AD963" s="49"/>
      <c r="AE963" s="49"/>
    </row>
    <row r="964" spans="1:31">
      <c r="A964" s="43"/>
      <c r="B964" s="43"/>
      <c r="C964" s="43"/>
      <c r="D964" s="43"/>
      <c r="E964" s="43"/>
      <c r="F964" s="43"/>
      <c r="G964" s="43"/>
      <c r="H964" s="43"/>
      <c r="I964" s="43"/>
      <c r="J964" s="43"/>
      <c r="K964" s="43"/>
      <c r="L964" s="43"/>
      <c r="M964" s="43"/>
      <c r="N964" s="43"/>
      <c r="O964" s="43"/>
      <c r="P964" s="43"/>
      <c r="Q964" s="43"/>
      <c r="R964" s="43"/>
      <c r="S964" s="43"/>
      <c r="T964" s="49"/>
      <c r="U964" s="49"/>
      <c r="V964" s="49"/>
      <c r="W964" s="49"/>
      <c r="X964" s="49"/>
      <c r="Y964" s="49"/>
      <c r="Z964" s="49"/>
      <c r="AA964" s="49"/>
      <c r="AB964" s="49"/>
      <c r="AC964" s="49"/>
      <c r="AD964" s="49"/>
      <c r="AE964" s="49"/>
    </row>
    <row r="965" spans="1:31">
      <c r="A965" s="43"/>
      <c r="B965" s="43"/>
      <c r="C965" s="43"/>
      <c r="D965" s="43"/>
      <c r="E965" s="43"/>
      <c r="F965" s="43"/>
      <c r="G965" s="43"/>
      <c r="H965" s="43"/>
      <c r="I965" s="43"/>
      <c r="J965" s="43"/>
      <c r="K965" s="43"/>
      <c r="L965" s="43"/>
      <c r="M965" s="43"/>
      <c r="N965" s="43"/>
      <c r="O965" s="43"/>
      <c r="P965" s="43"/>
      <c r="Q965" s="43"/>
      <c r="R965" s="43"/>
      <c r="S965" s="43"/>
      <c r="T965" s="49"/>
      <c r="U965" s="49"/>
      <c r="V965" s="49"/>
      <c r="W965" s="49"/>
      <c r="X965" s="49"/>
      <c r="Y965" s="49"/>
      <c r="Z965" s="49"/>
      <c r="AA965" s="49"/>
      <c r="AB965" s="49"/>
      <c r="AC965" s="49"/>
      <c r="AD965" s="49"/>
      <c r="AE965" s="49"/>
    </row>
    <row r="966" spans="1:31">
      <c r="A966" s="43"/>
      <c r="B966" s="43"/>
      <c r="C966" s="43"/>
      <c r="D966" s="43"/>
      <c r="E966" s="43"/>
      <c r="F966" s="43"/>
      <c r="G966" s="43"/>
      <c r="H966" s="43"/>
      <c r="I966" s="43"/>
      <c r="J966" s="43"/>
      <c r="K966" s="43"/>
      <c r="L966" s="43"/>
      <c r="M966" s="43"/>
      <c r="N966" s="43"/>
      <c r="O966" s="43"/>
      <c r="P966" s="43"/>
      <c r="Q966" s="43"/>
      <c r="R966" s="43"/>
      <c r="S966" s="43"/>
      <c r="T966" s="49"/>
      <c r="U966" s="49"/>
      <c r="V966" s="49"/>
      <c r="W966" s="49"/>
      <c r="X966" s="49"/>
      <c r="Y966" s="49"/>
      <c r="Z966" s="49"/>
      <c r="AA966" s="49"/>
      <c r="AB966" s="49"/>
      <c r="AC966" s="49"/>
      <c r="AD966" s="49"/>
      <c r="AE966" s="49"/>
    </row>
    <row r="967" spans="1:31">
      <c r="A967" s="43"/>
      <c r="B967" s="43"/>
      <c r="C967" s="43"/>
      <c r="D967" s="43"/>
      <c r="E967" s="43"/>
      <c r="F967" s="43"/>
      <c r="G967" s="43"/>
      <c r="H967" s="43"/>
      <c r="I967" s="43"/>
      <c r="J967" s="43"/>
      <c r="K967" s="43"/>
      <c r="L967" s="43"/>
      <c r="M967" s="43"/>
      <c r="N967" s="43"/>
      <c r="O967" s="43"/>
      <c r="P967" s="43"/>
      <c r="Q967" s="43"/>
      <c r="R967" s="43"/>
      <c r="S967" s="43"/>
      <c r="T967" s="49"/>
      <c r="U967" s="49"/>
      <c r="V967" s="49"/>
      <c r="W967" s="49"/>
      <c r="X967" s="49"/>
      <c r="Y967" s="49"/>
      <c r="Z967" s="49"/>
      <c r="AA967" s="49"/>
      <c r="AB967" s="49"/>
      <c r="AC967" s="49"/>
      <c r="AD967" s="49"/>
      <c r="AE967" s="49"/>
    </row>
    <row r="968" spans="1:31">
      <c r="A968" s="43"/>
      <c r="B968" s="43"/>
      <c r="C968" s="43"/>
      <c r="D968" s="43"/>
      <c r="E968" s="43"/>
      <c r="F968" s="43"/>
      <c r="G968" s="43"/>
      <c r="H968" s="43"/>
      <c r="I968" s="43"/>
      <c r="J968" s="43"/>
      <c r="K968" s="43"/>
      <c r="L968" s="43"/>
      <c r="M968" s="43"/>
      <c r="N968" s="43"/>
      <c r="O968" s="43"/>
      <c r="P968" s="43"/>
      <c r="Q968" s="43"/>
      <c r="R968" s="43"/>
      <c r="S968" s="43"/>
      <c r="T968" s="49"/>
      <c r="U968" s="49"/>
      <c r="V968" s="49"/>
      <c r="W968" s="49"/>
      <c r="X968" s="49"/>
      <c r="Y968" s="49"/>
      <c r="Z968" s="49"/>
      <c r="AA968" s="49"/>
      <c r="AB968" s="49"/>
      <c r="AC968" s="49"/>
      <c r="AD968" s="49"/>
      <c r="AE968" s="49"/>
    </row>
    <row r="969" spans="1:31">
      <c r="A969" s="43"/>
      <c r="B969" s="43"/>
      <c r="C969" s="43"/>
      <c r="D969" s="43"/>
      <c r="E969" s="43"/>
      <c r="F969" s="43"/>
      <c r="G969" s="43"/>
      <c r="H969" s="43"/>
      <c r="I969" s="43"/>
      <c r="J969" s="43"/>
      <c r="K969" s="43"/>
      <c r="L969" s="43"/>
      <c r="M969" s="43"/>
      <c r="N969" s="43"/>
      <c r="O969" s="43"/>
      <c r="P969" s="43"/>
      <c r="Q969" s="43"/>
      <c r="R969" s="43"/>
      <c r="S969" s="43"/>
      <c r="T969" s="49"/>
      <c r="U969" s="49"/>
      <c r="V969" s="49"/>
      <c r="W969" s="49"/>
      <c r="X969" s="49"/>
      <c r="Y969" s="49"/>
      <c r="Z969" s="49"/>
      <c r="AA969" s="49"/>
      <c r="AB969" s="49"/>
      <c r="AC969" s="49"/>
      <c r="AD969" s="49"/>
      <c r="AE969" s="49"/>
    </row>
    <row r="970" spans="1:31">
      <c r="A970" s="43"/>
      <c r="B970" s="43"/>
      <c r="C970" s="43"/>
      <c r="D970" s="43"/>
      <c r="E970" s="43"/>
      <c r="F970" s="43"/>
      <c r="G970" s="43"/>
      <c r="H970" s="43"/>
      <c r="I970" s="43"/>
      <c r="J970" s="43"/>
      <c r="K970" s="43"/>
      <c r="L970" s="43"/>
      <c r="M970" s="43"/>
      <c r="N970" s="43"/>
      <c r="O970" s="43"/>
      <c r="P970" s="43"/>
      <c r="Q970" s="43"/>
      <c r="R970" s="43"/>
      <c r="S970" s="43"/>
      <c r="T970" s="49"/>
      <c r="U970" s="49"/>
      <c r="V970" s="49"/>
      <c r="W970" s="49"/>
      <c r="X970" s="49"/>
      <c r="Y970" s="49"/>
      <c r="Z970" s="49"/>
      <c r="AA970" s="49"/>
      <c r="AB970" s="49"/>
      <c r="AC970" s="49"/>
      <c r="AD970" s="49"/>
      <c r="AE970" s="49"/>
    </row>
    <row r="971" spans="1:31">
      <c r="A971" s="43"/>
      <c r="B971" s="43"/>
      <c r="C971" s="43"/>
      <c r="D971" s="43"/>
      <c r="E971" s="43"/>
      <c r="F971" s="43"/>
      <c r="G971" s="43"/>
      <c r="H971" s="43"/>
      <c r="I971" s="43"/>
      <c r="J971" s="43"/>
      <c r="K971" s="43"/>
      <c r="L971" s="43"/>
      <c r="M971" s="43"/>
      <c r="N971" s="43"/>
      <c r="O971" s="43"/>
      <c r="P971" s="43"/>
      <c r="Q971" s="43"/>
      <c r="R971" s="43"/>
      <c r="S971" s="43"/>
      <c r="T971" s="49"/>
      <c r="U971" s="49"/>
      <c r="V971" s="49"/>
      <c r="W971" s="49"/>
      <c r="X971" s="49"/>
      <c r="Y971" s="49"/>
      <c r="Z971" s="49"/>
      <c r="AA971" s="49"/>
      <c r="AB971" s="49"/>
      <c r="AC971" s="49"/>
      <c r="AD971" s="49"/>
      <c r="AE971" s="49"/>
    </row>
    <row r="972" spans="1:31">
      <c r="A972" s="43"/>
      <c r="B972" s="43"/>
      <c r="C972" s="43"/>
      <c r="D972" s="43"/>
      <c r="E972" s="43"/>
      <c r="F972" s="43"/>
      <c r="G972" s="43"/>
      <c r="H972" s="43"/>
      <c r="I972" s="43"/>
      <c r="J972" s="43"/>
      <c r="K972" s="43"/>
      <c r="L972" s="43"/>
      <c r="M972" s="43"/>
      <c r="N972" s="43"/>
      <c r="O972" s="43"/>
      <c r="P972" s="43"/>
      <c r="Q972" s="43"/>
      <c r="R972" s="43"/>
      <c r="S972" s="43"/>
      <c r="T972" s="49"/>
      <c r="U972" s="49"/>
      <c r="V972" s="49"/>
      <c r="W972" s="49"/>
      <c r="X972" s="49"/>
      <c r="Y972" s="49"/>
      <c r="Z972" s="49"/>
      <c r="AA972" s="49"/>
      <c r="AB972" s="49"/>
      <c r="AC972" s="49"/>
      <c r="AD972" s="49"/>
      <c r="AE972" s="49"/>
    </row>
    <row r="973" spans="1:31">
      <c r="A973" s="43"/>
      <c r="B973" s="43"/>
      <c r="C973" s="43"/>
      <c r="D973" s="43"/>
      <c r="E973" s="43"/>
      <c r="F973" s="43"/>
      <c r="G973" s="43"/>
      <c r="H973" s="43"/>
      <c r="I973" s="43"/>
      <c r="J973" s="43"/>
      <c r="K973" s="43"/>
      <c r="L973" s="43"/>
      <c r="M973" s="43"/>
      <c r="N973" s="43"/>
      <c r="O973" s="43"/>
      <c r="P973" s="43"/>
      <c r="Q973" s="43"/>
      <c r="R973" s="43"/>
      <c r="S973" s="43"/>
      <c r="T973" s="49"/>
      <c r="U973" s="49"/>
      <c r="V973" s="49"/>
      <c r="W973" s="49"/>
      <c r="X973" s="49"/>
      <c r="Y973" s="49"/>
      <c r="Z973" s="49"/>
      <c r="AA973" s="49"/>
      <c r="AB973" s="49"/>
      <c r="AC973" s="49"/>
      <c r="AD973" s="49"/>
      <c r="AE973" s="49"/>
    </row>
    <row r="974" spans="1:31">
      <c r="A974" s="43"/>
      <c r="B974" s="43"/>
      <c r="C974" s="43"/>
      <c r="D974" s="43"/>
      <c r="E974" s="43"/>
      <c r="F974" s="43"/>
      <c r="G974" s="43"/>
      <c r="H974" s="43"/>
      <c r="I974" s="43"/>
      <c r="J974" s="43"/>
      <c r="K974" s="43"/>
      <c r="L974" s="43"/>
      <c r="M974" s="43"/>
      <c r="N974" s="43"/>
      <c r="O974" s="43"/>
      <c r="P974" s="43"/>
      <c r="Q974" s="43"/>
      <c r="R974" s="43"/>
      <c r="S974" s="43"/>
      <c r="T974" s="49"/>
      <c r="U974" s="49"/>
      <c r="V974" s="49"/>
      <c r="W974" s="49"/>
      <c r="X974" s="49"/>
      <c r="Y974" s="49"/>
      <c r="Z974" s="49"/>
      <c r="AA974" s="49"/>
      <c r="AB974" s="49"/>
      <c r="AC974" s="49"/>
      <c r="AD974" s="49"/>
      <c r="AE974" s="49"/>
    </row>
    <row r="975" spans="1:31">
      <c r="A975" s="43"/>
      <c r="B975" s="43"/>
      <c r="C975" s="43"/>
      <c r="D975" s="43"/>
      <c r="E975" s="43"/>
      <c r="F975" s="43"/>
      <c r="G975" s="43"/>
      <c r="H975" s="43"/>
      <c r="I975" s="43"/>
      <c r="J975" s="43"/>
      <c r="K975" s="43"/>
      <c r="L975" s="43"/>
      <c r="M975" s="43"/>
      <c r="N975" s="43"/>
      <c r="O975" s="43"/>
      <c r="P975" s="43"/>
      <c r="Q975" s="43"/>
      <c r="R975" s="43"/>
      <c r="S975" s="43"/>
      <c r="T975" s="49"/>
      <c r="U975" s="49"/>
      <c r="V975" s="49"/>
      <c r="W975" s="49"/>
      <c r="X975" s="49"/>
      <c r="Y975" s="49"/>
      <c r="Z975" s="49"/>
      <c r="AA975" s="49"/>
      <c r="AB975" s="49"/>
      <c r="AC975" s="49"/>
      <c r="AD975" s="49"/>
      <c r="AE975" s="49"/>
    </row>
    <row r="976" spans="1:31">
      <c r="A976" s="43"/>
      <c r="B976" s="43"/>
      <c r="C976" s="43"/>
      <c r="D976" s="43"/>
      <c r="E976" s="43"/>
      <c r="F976" s="43"/>
      <c r="G976" s="43"/>
      <c r="H976" s="43"/>
      <c r="I976" s="43"/>
      <c r="J976" s="43"/>
      <c r="K976" s="43"/>
      <c r="L976" s="43"/>
      <c r="M976" s="43"/>
      <c r="N976" s="43"/>
      <c r="O976" s="43"/>
      <c r="P976" s="43"/>
      <c r="Q976" s="43"/>
      <c r="R976" s="43"/>
      <c r="S976" s="43"/>
      <c r="T976" s="49"/>
      <c r="U976" s="49"/>
      <c r="V976" s="49"/>
      <c r="W976" s="49"/>
      <c r="X976" s="49"/>
      <c r="Y976" s="49"/>
      <c r="Z976" s="49"/>
      <c r="AA976" s="49"/>
      <c r="AB976" s="49"/>
      <c r="AC976" s="49"/>
      <c r="AD976" s="49"/>
      <c r="AE976" s="49"/>
    </row>
    <row r="977" spans="1:31">
      <c r="A977" s="43"/>
      <c r="B977" s="43"/>
      <c r="C977" s="43"/>
      <c r="D977" s="43"/>
      <c r="E977" s="43"/>
      <c r="F977" s="43"/>
      <c r="G977" s="43"/>
      <c r="H977" s="43"/>
      <c r="I977" s="43"/>
      <c r="J977" s="43"/>
      <c r="K977" s="43"/>
      <c r="L977" s="43"/>
      <c r="M977" s="43"/>
      <c r="N977" s="43"/>
      <c r="O977" s="43"/>
      <c r="P977" s="43"/>
      <c r="Q977" s="43"/>
      <c r="R977" s="43"/>
      <c r="S977" s="43"/>
      <c r="T977" s="49"/>
      <c r="U977" s="49"/>
      <c r="V977" s="49"/>
      <c r="W977" s="49"/>
      <c r="X977" s="49"/>
      <c r="Y977" s="49"/>
      <c r="Z977" s="49"/>
      <c r="AA977" s="49"/>
      <c r="AB977" s="49"/>
      <c r="AC977" s="49"/>
      <c r="AD977" s="49"/>
      <c r="AE977" s="49"/>
    </row>
    <row r="978" spans="1:31">
      <c r="A978" s="43"/>
      <c r="B978" s="43"/>
      <c r="C978" s="43"/>
      <c r="D978" s="43"/>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row>
    <row r="979" spans="1:31">
      <c r="A979" s="43"/>
      <c r="B979" s="43"/>
      <c r="C979" s="43"/>
      <c r="D979" s="43"/>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row>
    <row r="980" spans="1:31">
      <c r="A980" s="43"/>
      <c r="B980" s="43"/>
      <c r="C980" s="43"/>
      <c r="D980" s="43"/>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row>
    <row r="981" spans="1:31">
      <c r="A981" s="43"/>
      <c r="B981" s="43"/>
      <c r="C981" s="43"/>
      <c r="D981" s="43"/>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row>
    <row r="982" spans="1:31">
      <c r="A982" s="43"/>
      <c r="B982" s="43"/>
      <c r="C982" s="43"/>
      <c r="D982" s="43"/>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row>
    <row r="983" spans="1:31">
      <c r="A983" s="43"/>
      <c r="B983" s="43"/>
      <c r="C983" s="43"/>
      <c r="D983" s="43"/>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row>
    <row r="984" spans="1:31">
      <c r="A984" s="43"/>
      <c r="B984" s="43"/>
      <c r="C984" s="43"/>
      <c r="D984" s="43"/>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row>
    <row r="985" spans="1:31">
      <c r="A985" s="43"/>
      <c r="B985" s="43"/>
      <c r="C985" s="43"/>
      <c r="D985" s="43"/>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row>
    <row r="986" spans="1:31">
      <c r="A986" s="43"/>
      <c r="B986" s="43"/>
      <c r="C986" s="43"/>
      <c r="D986" s="43"/>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row>
    <row r="987" spans="1:31">
      <c r="A987" s="43"/>
      <c r="B987" s="43"/>
      <c r="C987" s="43"/>
      <c r="D987" s="43"/>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row>
    <row r="988" spans="1:31">
      <c r="A988" s="43"/>
      <c r="B988" s="43"/>
      <c r="C988" s="43"/>
      <c r="D988" s="43"/>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row>
    <row r="989" spans="1:31">
      <c r="A989" s="43"/>
      <c r="B989" s="43"/>
      <c r="C989" s="43"/>
      <c r="D989" s="43"/>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row>
    <row r="990" spans="1:31">
      <c r="A990" s="43"/>
      <c r="B990" s="43"/>
      <c r="C990" s="43"/>
      <c r="D990" s="43"/>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row>
    <row r="991" spans="1:31">
      <c r="A991" s="43"/>
      <c r="B991" s="43"/>
      <c r="C991" s="43"/>
      <c r="D991" s="43"/>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row>
    <row r="992" spans="1:31">
      <c r="A992" s="43"/>
      <c r="B992" s="43"/>
      <c r="C992" s="43"/>
      <c r="D992" s="43"/>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row>
    <row r="993" spans="1:31">
      <c r="A993" s="43"/>
      <c r="B993" s="43"/>
      <c r="C993" s="43"/>
      <c r="D993" s="43"/>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row>
    <row r="994" spans="1:31">
      <c r="A994" s="43"/>
      <c r="B994" s="43"/>
      <c r="C994" s="43"/>
      <c r="D994" s="43"/>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row>
    <row r="995" spans="1:31">
      <c r="A995" s="43"/>
      <c r="B995" s="43"/>
      <c r="C995" s="43"/>
      <c r="D995" s="43"/>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row>
    <row r="996" spans="1:31">
      <c r="A996" s="43"/>
      <c r="B996" s="43"/>
      <c r="C996" s="43"/>
      <c r="D996" s="43"/>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row>
    <row r="997" spans="1:31">
      <c r="A997" s="43"/>
      <c r="B997" s="43"/>
      <c r="C997" s="43"/>
      <c r="D997" s="43"/>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row>
    <row r="998" spans="1:31">
      <c r="A998" s="43"/>
      <c r="B998" s="43"/>
      <c r="C998" s="43"/>
      <c r="D998" s="43"/>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row>
    <row r="999" spans="1:31">
      <c r="A999" s="43"/>
      <c r="B999" s="49"/>
      <c r="C999" s="49"/>
      <c r="D999" s="43"/>
      <c r="E999" s="49"/>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row>
    <row r="1000" spans="1:31">
      <c r="A1000" s="43"/>
      <c r="B1000" s="49"/>
      <c r="C1000" s="49"/>
      <c r="D1000" s="43"/>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row>
    <row r="1001" spans="1:31">
      <c r="A1001" s="43"/>
      <c r="B1001" s="49"/>
      <c r="C1001" s="49"/>
      <c r="D1001" s="43"/>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c r="AD1001" s="49"/>
      <c r="AE1001" s="49"/>
    </row>
    <row r="1002" spans="1:31">
      <c r="A1002" s="43"/>
      <c r="B1002" s="49"/>
      <c r="C1002" s="49"/>
      <c r="D1002" s="43"/>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c r="AA1002" s="49"/>
      <c r="AB1002" s="49"/>
      <c r="AC1002" s="49"/>
      <c r="AD1002" s="49"/>
      <c r="AE1002" s="49"/>
    </row>
    <row r="1003" spans="1:31">
      <c r="A1003" s="43"/>
      <c r="B1003" s="49"/>
      <c r="C1003" s="49"/>
      <c r="D1003" s="43"/>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c r="AA1003" s="49"/>
      <c r="AB1003" s="49"/>
      <c r="AC1003" s="49"/>
      <c r="AD1003" s="49"/>
      <c r="AE1003" s="49"/>
    </row>
    <row r="1004" spans="1:31">
      <c r="A1004" s="49"/>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c r="AA1004" s="49"/>
      <c r="AB1004" s="49"/>
      <c r="AC1004" s="49"/>
      <c r="AD1004" s="49"/>
      <c r="AE1004" s="49"/>
    </row>
    <row r="1005" spans="1:31">
      <c r="A1005" s="49"/>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c r="AA1005" s="49"/>
      <c r="AB1005" s="49"/>
      <c r="AC1005" s="49"/>
      <c r="AD1005" s="49"/>
      <c r="AE1005" s="49"/>
    </row>
    <row r="1006" spans="1:31">
      <c r="A1006" s="49"/>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c r="AA1006" s="49"/>
      <c r="AB1006" s="49"/>
      <c r="AC1006" s="49"/>
      <c r="AD1006" s="49"/>
      <c r="AE1006" s="49"/>
    </row>
    <row r="1007" spans="1:31">
      <c r="A1007" s="49"/>
      <c r="B1007" s="49"/>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c r="AA1007" s="49"/>
      <c r="AB1007" s="49"/>
      <c r="AC1007" s="49"/>
      <c r="AD1007" s="49"/>
      <c r="AE1007" s="49"/>
    </row>
  </sheetData>
  <mergeCells count="19">
    <mergeCell ref="B1:C1"/>
    <mergeCell ref="F1:S1"/>
    <mergeCell ref="F3:G3"/>
    <mergeCell ref="B12:C12"/>
    <mergeCell ref="F13:G13"/>
    <mergeCell ref="F40:G40"/>
    <mergeCell ref="F43:J43"/>
    <mergeCell ref="B13:C14"/>
    <mergeCell ref="B22:C22"/>
    <mergeCell ref="F31:G31"/>
    <mergeCell ref="F32:G32"/>
    <mergeCell ref="F33:G33"/>
    <mergeCell ref="F34:G34"/>
    <mergeCell ref="F35:G35"/>
    <mergeCell ref="F14:F17"/>
    <mergeCell ref="E18:E23"/>
    <mergeCell ref="F36:G36"/>
    <mergeCell ref="F37:G37"/>
    <mergeCell ref="F38:G38"/>
  </mergeCells>
  <pageMargins left="0.511811024" right="0.511811024" top="0.78740157499999996" bottom="0.78740157499999996"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outlinePr summaryBelow="0" summaryRight="0"/>
  </sheetPr>
  <dimension ref="A1:AV938"/>
  <sheetViews>
    <sheetView showGridLines="0" workbookViewId="0">
      <selection activeCell="M12" sqref="M12"/>
    </sheetView>
  </sheetViews>
  <sheetFormatPr defaultColWidth="14.42578125" defaultRowHeight="15" customHeight="1"/>
  <cols>
    <col min="1" max="1" width="2.85546875" customWidth="1"/>
    <col min="2" max="2" width="30.5703125" customWidth="1"/>
    <col min="3" max="3" width="17" customWidth="1"/>
    <col min="4" max="4" width="5" customWidth="1"/>
    <col min="6" max="6" width="14.5703125" customWidth="1"/>
    <col min="7" max="7" width="11.5703125" customWidth="1"/>
    <col min="8" max="12" width="12.7109375" customWidth="1"/>
    <col min="13" max="22" width="14.5703125" bestFit="1" customWidth="1"/>
    <col min="23" max="48" width="14.7109375" bestFit="1" customWidth="1"/>
  </cols>
  <sheetData>
    <row r="1" spans="1:48" ht="39" customHeight="1">
      <c r="A1" s="42"/>
      <c r="B1" s="640" t="s">
        <v>27</v>
      </c>
      <c r="C1" s="638"/>
      <c r="D1" s="42"/>
      <c r="E1" s="42"/>
      <c r="F1" s="646" t="s">
        <v>29</v>
      </c>
      <c r="G1" s="647"/>
      <c r="H1" s="647"/>
      <c r="I1" s="647"/>
      <c r="J1" s="647"/>
      <c r="K1" s="647"/>
      <c r="L1" s="648"/>
      <c r="M1" s="644" t="s">
        <v>30</v>
      </c>
      <c r="N1" s="635"/>
      <c r="O1" s="635"/>
      <c r="P1" s="635"/>
      <c r="Q1" s="635"/>
      <c r="R1" s="635"/>
      <c r="S1" s="635"/>
      <c r="T1" s="635"/>
      <c r="U1" s="635"/>
      <c r="V1" s="635"/>
      <c r="W1" s="635"/>
      <c r="X1" s="636"/>
      <c r="Y1" s="645" t="s">
        <v>31</v>
      </c>
      <c r="Z1" s="635"/>
      <c r="AA1" s="635"/>
      <c r="AB1" s="635"/>
      <c r="AC1" s="635"/>
      <c r="AD1" s="635"/>
      <c r="AE1" s="635"/>
      <c r="AF1" s="635"/>
      <c r="AG1" s="635"/>
      <c r="AH1" s="635"/>
      <c r="AI1" s="635"/>
      <c r="AJ1" s="636"/>
      <c r="AK1" s="634" t="s">
        <v>32</v>
      </c>
      <c r="AL1" s="635"/>
      <c r="AM1" s="635"/>
      <c r="AN1" s="635"/>
      <c r="AO1" s="635"/>
      <c r="AP1" s="635"/>
      <c r="AQ1" s="635"/>
      <c r="AR1" s="635"/>
      <c r="AS1" s="635"/>
      <c r="AT1" s="635"/>
      <c r="AU1" s="635"/>
      <c r="AV1" s="636"/>
    </row>
    <row r="2" spans="1:48">
      <c r="A2" s="43"/>
      <c r="B2" s="43"/>
      <c r="C2" s="43"/>
      <c r="D2" s="43"/>
      <c r="E2" s="43"/>
      <c r="F2" s="43"/>
      <c r="G2" s="43"/>
      <c r="H2" s="459" t="s">
        <v>44</v>
      </c>
      <c r="I2" s="45" t="s">
        <v>33</v>
      </c>
      <c r="J2" s="45" t="s">
        <v>34</v>
      </c>
      <c r="K2" s="45" t="s">
        <v>35</v>
      </c>
      <c r="L2" s="47" t="s">
        <v>36</v>
      </c>
      <c r="M2" s="44" t="s">
        <v>37</v>
      </c>
      <c r="N2" s="45" t="s">
        <v>38</v>
      </c>
      <c r="O2" s="45" t="s">
        <v>39</v>
      </c>
      <c r="P2" s="45" t="s">
        <v>40</v>
      </c>
      <c r="Q2" s="45" t="s">
        <v>41</v>
      </c>
      <c r="R2" s="45" t="s">
        <v>42</v>
      </c>
      <c r="S2" s="45" t="s">
        <v>43</v>
      </c>
      <c r="T2" s="45" t="s">
        <v>44</v>
      </c>
      <c r="U2" s="45" t="s">
        <v>33</v>
      </c>
      <c r="V2" s="45" t="s">
        <v>34</v>
      </c>
      <c r="W2" s="45" t="s">
        <v>35</v>
      </c>
      <c r="X2" s="47" t="s">
        <v>36</v>
      </c>
      <c r="Y2" s="44" t="s">
        <v>37</v>
      </c>
      <c r="Z2" s="45" t="s">
        <v>38</v>
      </c>
      <c r="AA2" s="45" t="s">
        <v>39</v>
      </c>
      <c r="AB2" s="45" t="s">
        <v>40</v>
      </c>
      <c r="AC2" s="45" t="s">
        <v>41</v>
      </c>
      <c r="AD2" s="45" t="s">
        <v>42</v>
      </c>
      <c r="AE2" s="45" t="s">
        <v>43</v>
      </c>
      <c r="AF2" s="45" t="s">
        <v>44</v>
      </c>
      <c r="AG2" s="45" t="s">
        <v>33</v>
      </c>
      <c r="AH2" s="45" t="s">
        <v>34</v>
      </c>
      <c r="AI2" s="45" t="s">
        <v>35</v>
      </c>
      <c r="AJ2" s="47" t="s">
        <v>36</v>
      </c>
      <c r="AK2" s="44" t="s">
        <v>37</v>
      </c>
      <c r="AL2" s="45" t="s">
        <v>38</v>
      </c>
      <c r="AM2" s="45" t="s">
        <v>39</v>
      </c>
      <c r="AN2" s="45" t="s">
        <v>40</v>
      </c>
      <c r="AO2" s="45" t="s">
        <v>41</v>
      </c>
      <c r="AP2" s="45" t="s">
        <v>42</v>
      </c>
      <c r="AQ2" s="45" t="s">
        <v>43</v>
      </c>
      <c r="AR2" s="45" t="s">
        <v>44</v>
      </c>
      <c r="AS2" s="45" t="s">
        <v>33</v>
      </c>
      <c r="AT2" s="45" t="s">
        <v>34</v>
      </c>
      <c r="AU2" s="45" t="s">
        <v>35</v>
      </c>
      <c r="AV2" s="47" t="s">
        <v>36</v>
      </c>
    </row>
    <row r="3" spans="1:48">
      <c r="A3" s="43"/>
      <c r="B3" s="452"/>
      <c r="C3" s="453"/>
      <c r="D3" s="43"/>
      <c r="E3" s="48"/>
      <c r="F3" s="637"/>
      <c r="G3" s="638"/>
    </row>
    <row r="4" spans="1:48">
      <c r="A4" s="43"/>
      <c r="B4" s="454"/>
      <c r="C4" s="455"/>
      <c r="D4" s="51"/>
      <c r="E4" s="48"/>
      <c r="F4" s="52" t="s">
        <v>45</v>
      </c>
      <c r="G4" s="53"/>
      <c r="H4" s="54">
        <f>SUM(H6,H9:H10)+H5</f>
        <v>10631.6</v>
      </c>
      <c r="I4" s="54">
        <f>SUM(I6,I9:I10)+I5</f>
        <v>29133.98</v>
      </c>
      <c r="J4" s="54">
        <f>SUM(J6,J9:J10)+J5</f>
        <v>46076.380599999997</v>
      </c>
      <c r="K4" s="54">
        <f>SUM(K6,K9:K10)+K5</f>
        <v>76016.037182</v>
      </c>
      <c r="L4" s="54">
        <f t="shared" ref="L4:AV4" si="0">SUM(L6,L9:L10)+L5</f>
        <v>110805.36006654</v>
      </c>
      <c r="M4" s="54">
        <f t="shared" si="0"/>
        <v>150298.8592645438</v>
      </c>
      <c r="N4" s="54">
        <f t="shared" si="0"/>
        <v>210302.80948660753</v>
      </c>
      <c r="O4" s="54">
        <f t="shared" si="0"/>
        <v>283881.18920200929</v>
      </c>
      <c r="P4" s="54">
        <f t="shared" si="0"/>
        <v>372063.72952594905</v>
      </c>
      <c r="Q4" s="54">
        <f t="shared" si="0"/>
        <v>475849.26964017056</v>
      </c>
      <c r="R4" s="54">
        <f t="shared" si="0"/>
        <v>601522.48355096544</v>
      </c>
      <c r="S4" s="54">
        <f t="shared" si="0"/>
        <v>745984.86904443649</v>
      </c>
      <c r="T4" s="54">
        <f t="shared" si="0"/>
        <v>910109.71497310337</v>
      </c>
      <c r="U4" s="54">
        <f t="shared" si="0"/>
        <v>1094744.1115239102</v>
      </c>
      <c r="V4" s="54">
        <f t="shared" si="0"/>
        <v>1295393.936178193</v>
      </c>
      <c r="W4" s="54">
        <f t="shared" si="0"/>
        <v>1479683.9260928473</v>
      </c>
      <c r="X4" s="54">
        <f t="shared" si="0"/>
        <v>1655430.4923100618</v>
      </c>
      <c r="Y4" s="54">
        <f t="shared" si="0"/>
        <v>1818579.0455407598</v>
      </c>
      <c r="Z4" s="54">
        <f t="shared" si="0"/>
        <v>1965196.6341745369</v>
      </c>
      <c r="AA4" s="54">
        <f t="shared" si="0"/>
        <v>2107415.6951493006</v>
      </c>
      <c r="AB4" s="54">
        <f t="shared" si="0"/>
        <v>2245368.1842948217</v>
      </c>
      <c r="AC4" s="54">
        <f t="shared" si="0"/>
        <v>2379182.0987659772</v>
      </c>
      <c r="AD4" s="54">
        <f t="shared" si="0"/>
        <v>2508981.5958029977</v>
      </c>
      <c r="AE4" s="54">
        <f t="shared" si="0"/>
        <v>2634887.107928908</v>
      </c>
      <c r="AF4" s="54">
        <f t="shared" si="0"/>
        <v>2757015.4546910403</v>
      </c>
      <c r="AG4" s="54">
        <f t="shared" si="0"/>
        <v>2875479.9510503095</v>
      </c>
      <c r="AH4" s="54">
        <f t="shared" si="0"/>
        <v>2990390.5125187999</v>
      </c>
      <c r="AI4" s="54">
        <f t="shared" si="0"/>
        <v>3101853.7571432362</v>
      </c>
      <c r="AJ4" s="54">
        <f t="shared" si="0"/>
        <v>3209973.1044289391</v>
      </c>
      <c r="AK4" s="54">
        <f t="shared" si="0"/>
        <v>3314848.871296071</v>
      </c>
      <c r="AL4" s="54">
        <f t="shared" si="0"/>
        <v>3416578.3651571888</v>
      </c>
      <c r="AM4" s="54">
        <f t="shared" si="0"/>
        <v>3515255.9742024736</v>
      </c>
      <c r="AN4" s="54">
        <f t="shared" si="0"/>
        <v>3610973.2549763992</v>
      </c>
      <c r="AO4" s="54">
        <f t="shared" si="0"/>
        <v>3703819.0173271075</v>
      </c>
      <c r="AP4" s="54">
        <f t="shared" si="0"/>
        <v>3793879.4068072946</v>
      </c>
      <c r="AQ4" s="54">
        <f t="shared" si="0"/>
        <v>3881237.9846030758</v>
      </c>
      <c r="AR4" s="54">
        <f t="shared" si="0"/>
        <v>3965975.8050649832</v>
      </c>
      <c r="AS4" s="54">
        <f t="shared" si="0"/>
        <v>4048171.490913034</v>
      </c>
      <c r="AT4" s="54">
        <f t="shared" si="0"/>
        <v>4127901.3061856427</v>
      </c>
      <c r="AU4" s="54">
        <f t="shared" si="0"/>
        <v>4205239.2270000735</v>
      </c>
      <c r="AV4" s="54">
        <f t="shared" si="0"/>
        <v>4280257.0101900715</v>
      </c>
    </row>
    <row r="5" spans="1:48">
      <c r="A5" s="43"/>
      <c r="B5" s="454"/>
      <c r="C5" s="455"/>
      <c r="D5" s="43"/>
      <c r="E5" s="622"/>
      <c r="F5" s="621" t="s">
        <v>2469</v>
      </c>
      <c r="G5" s="618"/>
      <c r="H5" s="619">
        <f>H12*$C$9*$C$8</f>
        <v>240</v>
      </c>
      <c r="I5" s="619">
        <f t="shared" ref="I5:AV5" si="1">I12*$C$9*$C$8</f>
        <v>832.80000000000007</v>
      </c>
      <c r="J5" s="619">
        <f t="shared" si="1"/>
        <v>1647.816</v>
      </c>
      <c r="K5" s="619">
        <f t="shared" si="1"/>
        <v>2918.3815199999999</v>
      </c>
      <c r="L5" s="619">
        <f t="shared" si="1"/>
        <v>4630.8300744000007</v>
      </c>
      <c r="M5" s="619">
        <f t="shared" si="1"/>
        <v>6771.9051721680007</v>
      </c>
      <c r="N5" s="619">
        <f t="shared" si="1"/>
        <v>9688.7480170029612</v>
      </c>
      <c r="O5" s="619">
        <f t="shared" si="1"/>
        <v>13478.085576492873</v>
      </c>
      <c r="P5" s="619">
        <f t="shared" si="1"/>
        <v>18233.74300919809</v>
      </c>
      <c r="Q5" s="619">
        <f t="shared" si="1"/>
        <v>24046.730718922143</v>
      </c>
      <c r="R5" s="619">
        <f t="shared" si="1"/>
        <v>31125.328797354487</v>
      </c>
      <c r="S5" s="619">
        <f t="shared" si="1"/>
        <v>39551.568933433846</v>
      </c>
      <c r="T5" s="619">
        <f t="shared" si="1"/>
        <v>49405.021865430826</v>
      </c>
      <c r="U5" s="619">
        <f t="shared" si="1"/>
        <v>60762.871209467907</v>
      </c>
      <c r="V5" s="619">
        <f t="shared" si="1"/>
        <v>73579.985073183867</v>
      </c>
      <c r="W5" s="619">
        <f t="shared" si="1"/>
        <v>87092.585520988359</v>
      </c>
      <c r="X5" s="619">
        <f t="shared" si="1"/>
        <v>100919.8079553587</v>
      </c>
      <c r="Y5" s="619">
        <f t="shared" si="1"/>
        <v>114692.21371669794</v>
      </c>
      <c r="Z5" s="619">
        <f t="shared" si="1"/>
        <v>128051.447305197</v>
      </c>
      <c r="AA5" s="619">
        <f t="shared" si="1"/>
        <v>141009.90388604108</v>
      </c>
      <c r="AB5" s="619">
        <f t="shared" si="1"/>
        <v>153579.60676945985</v>
      </c>
      <c r="AC5" s="619">
        <f t="shared" si="1"/>
        <v>165772.21856637605</v>
      </c>
      <c r="AD5" s="619">
        <f t="shared" si="1"/>
        <v>177599.05200938476</v>
      </c>
      <c r="AE5" s="619">
        <f t="shared" si="1"/>
        <v>189071.0804491032</v>
      </c>
      <c r="AF5" s="619">
        <f t="shared" si="1"/>
        <v>200198.94803563014</v>
      </c>
      <c r="AG5" s="619">
        <f t="shared" si="1"/>
        <v>210992.97959456121</v>
      </c>
      <c r="AH5" s="619">
        <f t="shared" si="1"/>
        <v>221463.19020672439</v>
      </c>
      <c r="AI5" s="619">
        <f t="shared" si="1"/>
        <v>231619.29450052266</v>
      </c>
      <c r="AJ5" s="619">
        <f t="shared" si="1"/>
        <v>241470.71566550696</v>
      </c>
      <c r="AK5" s="619">
        <f t="shared" si="1"/>
        <v>251026.59419554178</v>
      </c>
      <c r="AL5" s="619">
        <f t="shared" si="1"/>
        <v>260295.79636967549</v>
      </c>
      <c r="AM5" s="619">
        <f t="shared" si="1"/>
        <v>269286.92247858533</v>
      </c>
      <c r="AN5" s="619">
        <f t="shared" si="1"/>
        <v>278008.31480422779</v>
      </c>
      <c r="AO5" s="619">
        <f t="shared" si="1"/>
        <v>286468.06536010094</v>
      </c>
      <c r="AP5" s="619">
        <f t="shared" si="1"/>
        <v>294674.0233992979</v>
      </c>
      <c r="AQ5" s="619">
        <f t="shared" si="1"/>
        <v>302633.80269731896</v>
      </c>
      <c r="AR5" s="619">
        <f t="shared" si="1"/>
        <v>310354.7886163994</v>
      </c>
      <c r="AS5" s="619">
        <f t="shared" si="1"/>
        <v>317844.14495790744</v>
      </c>
      <c r="AT5" s="619">
        <f t="shared" si="1"/>
        <v>325108.82060917019</v>
      </c>
      <c r="AU5" s="619">
        <f t="shared" si="1"/>
        <v>332155.55599089514</v>
      </c>
      <c r="AV5" s="619">
        <f t="shared" si="1"/>
        <v>338990.88931116828</v>
      </c>
    </row>
    <row r="6" spans="1:48">
      <c r="A6" s="43"/>
      <c r="B6" s="456"/>
      <c r="C6" s="457"/>
      <c r="D6" s="43"/>
      <c r="E6" s="623"/>
      <c r="F6" s="55" t="s">
        <v>46</v>
      </c>
      <c r="G6" s="56"/>
      <c r="H6" s="57">
        <f>SUM(H8)</f>
        <v>2394</v>
      </c>
      <c r="I6" s="57">
        <f>H6+H7+I8</f>
        <v>8307.18</v>
      </c>
      <c r="J6" s="57">
        <f>I6+I7+J8</f>
        <v>16436.964599999999</v>
      </c>
      <c r="K6" s="57">
        <f t="shared" ref="K6:AV6" si="2">J6+J7+K8</f>
        <v>29110.855662000002</v>
      </c>
      <c r="L6" s="57">
        <f t="shared" si="2"/>
        <v>46192.52999214</v>
      </c>
      <c r="M6" s="57">
        <f t="shared" si="2"/>
        <v>67549.754092375806</v>
      </c>
      <c r="N6" s="57">
        <f t="shared" si="2"/>
        <v>96645.261469604535</v>
      </c>
      <c r="O6" s="57">
        <f t="shared" si="2"/>
        <v>134443.9036255164</v>
      </c>
      <c r="P6" s="57">
        <f t="shared" si="2"/>
        <v>181881.58651675092</v>
      </c>
      <c r="Q6" s="57">
        <f t="shared" si="2"/>
        <v>239866.13892124838</v>
      </c>
      <c r="R6" s="57">
        <f t="shared" si="2"/>
        <v>310475.15475361096</v>
      </c>
      <c r="S6" s="57">
        <f t="shared" si="2"/>
        <v>394526.90011100261</v>
      </c>
      <c r="T6" s="57">
        <f t="shared" si="2"/>
        <v>492815.09310767252</v>
      </c>
      <c r="U6" s="57">
        <f t="shared" si="2"/>
        <v>606109.64031444234</v>
      </c>
      <c r="V6" s="57">
        <f t="shared" si="2"/>
        <v>733960.35110500909</v>
      </c>
      <c r="W6" s="57">
        <f t="shared" si="2"/>
        <v>868748.54057185887</v>
      </c>
      <c r="X6" s="57">
        <f t="shared" si="2"/>
        <v>1006675.0843547031</v>
      </c>
      <c r="Y6" s="57">
        <f t="shared" si="2"/>
        <v>1144054.8318240619</v>
      </c>
      <c r="Z6" s="57">
        <f t="shared" si="2"/>
        <v>1277313.18686934</v>
      </c>
      <c r="AA6" s="57">
        <f t="shared" si="2"/>
        <v>1406573.7912632597</v>
      </c>
      <c r="AB6" s="57">
        <f t="shared" si="2"/>
        <v>1531956.5775253619</v>
      </c>
      <c r="AC6" s="57">
        <f t="shared" si="2"/>
        <v>1653577.8801996009</v>
      </c>
      <c r="AD6" s="57">
        <f t="shared" si="2"/>
        <v>1771550.5437936129</v>
      </c>
      <c r="AE6" s="57">
        <f t="shared" si="2"/>
        <v>1885984.0274798046</v>
      </c>
      <c r="AF6" s="57">
        <f t="shared" si="2"/>
        <v>1996984.5066554104</v>
      </c>
      <c r="AG6" s="57">
        <f t="shared" si="2"/>
        <v>2104654.9714557482</v>
      </c>
      <c r="AH6" s="57">
        <f t="shared" si="2"/>
        <v>2209095.3223120756</v>
      </c>
      <c r="AI6" s="57">
        <f t="shared" si="2"/>
        <v>2310402.4626427134</v>
      </c>
      <c r="AJ6" s="57">
        <f t="shared" si="2"/>
        <v>2408670.3887634319</v>
      </c>
      <c r="AK6" s="57">
        <f t="shared" si="2"/>
        <v>2503990.2771005291</v>
      </c>
      <c r="AL6" s="57">
        <f t="shared" si="2"/>
        <v>2596450.5687875133</v>
      </c>
      <c r="AM6" s="57">
        <f t="shared" si="2"/>
        <v>2686137.0517238881</v>
      </c>
      <c r="AN6" s="57">
        <f t="shared" si="2"/>
        <v>2773132.9401721717</v>
      </c>
      <c r="AO6" s="57">
        <f t="shared" si="2"/>
        <v>2857518.9519670065</v>
      </c>
      <c r="AP6" s="57">
        <f t="shared" si="2"/>
        <v>2939373.3834079965</v>
      </c>
      <c r="AQ6" s="57">
        <f t="shared" si="2"/>
        <v>3018772.1819057567</v>
      </c>
      <c r="AR6" s="57">
        <f t="shared" si="2"/>
        <v>3095789.0164485839</v>
      </c>
      <c r="AS6" s="57">
        <f t="shared" si="2"/>
        <v>3170495.3459551265</v>
      </c>
      <c r="AT6" s="57">
        <f t="shared" si="2"/>
        <v>3242960.4855764727</v>
      </c>
      <c r="AU6" s="57">
        <f t="shared" si="2"/>
        <v>3313251.6710091787</v>
      </c>
      <c r="AV6" s="57">
        <f t="shared" si="2"/>
        <v>3381434.1208789032</v>
      </c>
    </row>
    <row r="7" spans="1:48" ht="15.75" thickBot="1">
      <c r="A7" s="43"/>
      <c r="B7" s="451"/>
      <c r="C7" s="469"/>
      <c r="D7" s="43"/>
      <c r="E7" s="48"/>
      <c r="F7" s="58" t="s">
        <v>47</v>
      </c>
      <c r="G7" s="56"/>
      <c r="H7" s="59">
        <f t="shared" ref="H7:AV7" si="3">-H6*$C$17</f>
        <v>-71.819999999999993</v>
      </c>
      <c r="I7" s="59">
        <f t="shared" si="3"/>
        <v>-249.21539999999999</v>
      </c>
      <c r="J7" s="59">
        <f t="shared" si="3"/>
        <v>-493.10893799999997</v>
      </c>
      <c r="K7" s="59">
        <f t="shared" si="3"/>
        <v>-873.32566986000006</v>
      </c>
      <c r="L7" s="60">
        <f t="shared" si="3"/>
        <v>-1385.7758997641999</v>
      </c>
      <c r="M7" s="59">
        <f t="shared" si="3"/>
        <v>-2026.492622771274</v>
      </c>
      <c r="N7" s="59">
        <f t="shared" si="3"/>
        <v>-2899.3578440881361</v>
      </c>
      <c r="O7" s="59">
        <f t="shared" si="3"/>
        <v>-4033.3171087654919</v>
      </c>
      <c r="P7" s="59">
        <f t="shared" si="3"/>
        <v>-5456.4475955025273</v>
      </c>
      <c r="Q7" s="59">
        <f t="shared" si="3"/>
        <v>-7195.9841676374508</v>
      </c>
      <c r="R7" s="59">
        <f t="shared" si="3"/>
        <v>-9314.2546426083281</v>
      </c>
      <c r="S7" s="59">
        <f t="shared" si="3"/>
        <v>-11835.807003330077</v>
      </c>
      <c r="T7" s="59">
        <f t="shared" si="3"/>
        <v>-14784.452793230175</v>
      </c>
      <c r="U7" s="59">
        <f t="shared" si="3"/>
        <v>-18183.289209433271</v>
      </c>
      <c r="V7" s="59">
        <f t="shared" si="3"/>
        <v>-22018.81053315027</v>
      </c>
      <c r="W7" s="59">
        <f t="shared" si="3"/>
        <v>-26062.456217155766</v>
      </c>
      <c r="X7" s="60">
        <f t="shared" si="3"/>
        <v>-30200.25253064109</v>
      </c>
      <c r="Y7" s="59">
        <f t="shared" si="3"/>
        <v>-34321.644954721858</v>
      </c>
      <c r="Z7" s="59">
        <f t="shared" si="3"/>
        <v>-38319.395606080201</v>
      </c>
      <c r="AA7" s="59">
        <f t="shared" si="3"/>
        <v>-42197.213737897793</v>
      </c>
      <c r="AB7" s="59">
        <f t="shared" si="3"/>
        <v>-45958.697325760855</v>
      </c>
      <c r="AC7" s="59">
        <f t="shared" si="3"/>
        <v>-49607.336405988026</v>
      </c>
      <c r="AD7" s="59">
        <f t="shared" si="3"/>
        <v>-53146.516313808381</v>
      </c>
      <c r="AE7" s="59">
        <f t="shared" si="3"/>
        <v>-56579.520824394138</v>
      </c>
      <c r="AF7" s="59">
        <f t="shared" si="3"/>
        <v>-59909.535199662307</v>
      </c>
      <c r="AG7" s="59">
        <f t="shared" si="3"/>
        <v>-63139.649143672446</v>
      </c>
      <c r="AH7" s="59">
        <f t="shared" si="3"/>
        <v>-66272.859669362268</v>
      </c>
      <c r="AI7" s="59">
        <f t="shared" si="3"/>
        <v>-69312.073879281408</v>
      </c>
      <c r="AJ7" s="60">
        <f t="shared" si="3"/>
        <v>-72260.111662902957</v>
      </c>
      <c r="AK7" s="59">
        <f t="shared" si="3"/>
        <v>-75119.708313015872</v>
      </c>
      <c r="AL7" s="59">
        <f t="shared" si="3"/>
        <v>-77893.51706362539</v>
      </c>
      <c r="AM7" s="59">
        <f t="shared" si="3"/>
        <v>-80584.111551716647</v>
      </c>
      <c r="AN7" s="59">
        <f t="shared" si="3"/>
        <v>-83193.988205165151</v>
      </c>
      <c r="AO7" s="59">
        <f t="shared" si="3"/>
        <v>-85725.568559010193</v>
      </c>
      <c r="AP7" s="59">
        <f t="shared" si="3"/>
        <v>-88181.201502239885</v>
      </c>
      <c r="AQ7" s="59">
        <f t="shared" si="3"/>
        <v>-90563.165457172698</v>
      </c>
      <c r="AR7" s="59">
        <f t="shared" si="3"/>
        <v>-92873.67049345751</v>
      </c>
      <c r="AS7" s="59">
        <f t="shared" si="3"/>
        <v>-95114.860378653786</v>
      </c>
      <c r="AT7" s="59">
        <f t="shared" si="3"/>
        <v>-97288.814567294176</v>
      </c>
      <c r="AU7" s="59">
        <f t="shared" si="3"/>
        <v>-99397.550130275355</v>
      </c>
      <c r="AV7" s="60">
        <f t="shared" si="3"/>
        <v>-101443.0236263671</v>
      </c>
    </row>
    <row r="8" spans="1:48" ht="15.75" thickBot="1">
      <c r="A8" s="43"/>
      <c r="B8" s="617" t="s">
        <v>2467</v>
      </c>
      <c r="C8" s="616">
        <v>8.0000000000000002E-3</v>
      </c>
      <c r="D8" s="43"/>
      <c r="E8" s="61"/>
      <c r="F8" s="652" t="s">
        <v>66</v>
      </c>
      <c r="G8" s="653"/>
      <c r="H8" s="62">
        <f>SUM(H13*$C$10)</f>
        <v>2394</v>
      </c>
      <c r="I8" s="62">
        <f t="shared" ref="I8:AV8" si="4">SUM(I13*$C$10)</f>
        <v>5985</v>
      </c>
      <c r="J8" s="62">
        <f t="shared" si="4"/>
        <v>8379</v>
      </c>
      <c r="K8" s="62">
        <f t="shared" si="4"/>
        <v>13167</v>
      </c>
      <c r="L8" s="62">
        <f t="shared" si="4"/>
        <v>17955</v>
      </c>
      <c r="M8" s="62">
        <f t="shared" si="4"/>
        <v>22743</v>
      </c>
      <c r="N8" s="62">
        <f t="shared" si="4"/>
        <v>31122</v>
      </c>
      <c r="O8" s="62">
        <f t="shared" si="4"/>
        <v>40698</v>
      </c>
      <c r="P8" s="62">
        <f t="shared" si="4"/>
        <v>51471</v>
      </c>
      <c r="Q8" s="62">
        <f t="shared" si="4"/>
        <v>63441</v>
      </c>
      <c r="R8" s="62">
        <f t="shared" si="4"/>
        <v>77805</v>
      </c>
      <c r="S8" s="62">
        <f t="shared" si="4"/>
        <v>93366</v>
      </c>
      <c r="T8" s="62">
        <f t="shared" si="4"/>
        <v>110124</v>
      </c>
      <c r="U8" s="62">
        <f t="shared" si="4"/>
        <v>128079</v>
      </c>
      <c r="V8" s="62">
        <f t="shared" si="4"/>
        <v>146034</v>
      </c>
      <c r="W8" s="62">
        <f t="shared" si="4"/>
        <v>156807</v>
      </c>
      <c r="X8" s="62">
        <f t="shared" si="4"/>
        <v>163989</v>
      </c>
      <c r="Y8" s="62">
        <f t="shared" si="4"/>
        <v>167580</v>
      </c>
      <c r="Z8" s="62">
        <f t="shared" si="4"/>
        <v>167580</v>
      </c>
      <c r="AA8" s="62">
        <f t="shared" si="4"/>
        <v>167580</v>
      </c>
      <c r="AB8" s="62">
        <f t="shared" si="4"/>
        <v>167580</v>
      </c>
      <c r="AC8" s="62">
        <f t="shared" si="4"/>
        <v>167580</v>
      </c>
      <c r="AD8" s="62">
        <f t="shared" si="4"/>
        <v>167580</v>
      </c>
      <c r="AE8" s="62">
        <f t="shared" si="4"/>
        <v>167580</v>
      </c>
      <c r="AF8" s="62">
        <f t="shared" si="4"/>
        <v>167580</v>
      </c>
      <c r="AG8" s="62">
        <f t="shared" si="4"/>
        <v>167580</v>
      </c>
      <c r="AH8" s="62">
        <f t="shared" si="4"/>
        <v>167580</v>
      </c>
      <c r="AI8" s="62">
        <f t="shared" si="4"/>
        <v>167580</v>
      </c>
      <c r="AJ8" s="62">
        <f t="shared" si="4"/>
        <v>167580</v>
      </c>
      <c r="AK8" s="62">
        <f t="shared" si="4"/>
        <v>167580</v>
      </c>
      <c r="AL8" s="62">
        <f t="shared" si="4"/>
        <v>167580</v>
      </c>
      <c r="AM8" s="62">
        <f t="shared" si="4"/>
        <v>167580</v>
      </c>
      <c r="AN8" s="62">
        <f t="shared" si="4"/>
        <v>167580</v>
      </c>
      <c r="AO8" s="62">
        <f t="shared" si="4"/>
        <v>167580</v>
      </c>
      <c r="AP8" s="62">
        <f t="shared" si="4"/>
        <v>167580</v>
      </c>
      <c r="AQ8" s="62">
        <f t="shared" si="4"/>
        <v>167580</v>
      </c>
      <c r="AR8" s="62">
        <f t="shared" si="4"/>
        <v>167580</v>
      </c>
      <c r="AS8" s="62">
        <f t="shared" si="4"/>
        <v>167580</v>
      </c>
      <c r="AT8" s="62">
        <f t="shared" si="4"/>
        <v>167580</v>
      </c>
      <c r="AU8" s="62">
        <f t="shared" si="4"/>
        <v>167580</v>
      </c>
      <c r="AV8" s="62">
        <f t="shared" si="4"/>
        <v>167580</v>
      </c>
    </row>
    <row r="9" spans="1:48" ht="15.75" thickBot="1">
      <c r="A9" s="43"/>
      <c r="B9" s="617" t="s">
        <v>2468</v>
      </c>
      <c r="C9" s="620">
        <v>15000</v>
      </c>
      <c r="D9" s="448"/>
      <c r="E9" s="48"/>
      <c r="F9" s="654" t="s">
        <v>49</v>
      </c>
      <c r="G9" s="655"/>
      <c r="H9" s="63">
        <f t="shared" ref="H9:AV9" si="5">SUM(H13*$C$11)</f>
        <v>3998</v>
      </c>
      <c r="I9" s="63">
        <f t="shared" si="5"/>
        <v>9995</v>
      </c>
      <c r="J9" s="63">
        <f t="shared" si="5"/>
        <v>13993</v>
      </c>
      <c r="K9" s="63">
        <f t="shared" si="5"/>
        <v>21989</v>
      </c>
      <c r="L9" s="63">
        <f t="shared" si="5"/>
        <v>29985</v>
      </c>
      <c r="M9" s="63">
        <f t="shared" si="5"/>
        <v>37981</v>
      </c>
      <c r="N9" s="63">
        <f t="shared" si="5"/>
        <v>51974</v>
      </c>
      <c r="O9" s="63">
        <f t="shared" si="5"/>
        <v>67966</v>
      </c>
      <c r="P9" s="63">
        <f t="shared" si="5"/>
        <v>85957</v>
      </c>
      <c r="Q9" s="63">
        <f t="shared" si="5"/>
        <v>105947</v>
      </c>
      <c r="R9" s="63">
        <f t="shared" si="5"/>
        <v>129935</v>
      </c>
      <c r="S9" s="63">
        <f t="shared" si="5"/>
        <v>155922</v>
      </c>
      <c r="T9" s="63">
        <f t="shared" si="5"/>
        <v>183908</v>
      </c>
      <c r="U9" s="63">
        <f t="shared" si="5"/>
        <v>213893</v>
      </c>
      <c r="V9" s="63">
        <f t="shared" si="5"/>
        <v>243878</v>
      </c>
      <c r="W9" s="63">
        <f t="shared" si="5"/>
        <v>261869</v>
      </c>
      <c r="X9" s="63">
        <f t="shared" si="5"/>
        <v>273863</v>
      </c>
      <c r="Y9" s="63">
        <f t="shared" si="5"/>
        <v>279860</v>
      </c>
      <c r="Z9" s="63">
        <f t="shared" si="5"/>
        <v>279860</v>
      </c>
      <c r="AA9" s="63">
        <f t="shared" si="5"/>
        <v>279860</v>
      </c>
      <c r="AB9" s="63">
        <f t="shared" si="5"/>
        <v>279860</v>
      </c>
      <c r="AC9" s="63">
        <f t="shared" si="5"/>
        <v>279860</v>
      </c>
      <c r="AD9" s="63">
        <f t="shared" si="5"/>
        <v>279860</v>
      </c>
      <c r="AE9" s="63">
        <f t="shared" si="5"/>
        <v>279860</v>
      </c>
      <c r="AF9" s="63">
        <f t="shared" si="5"/>
        <v>279860</v>
      </c>
      <c r="AG9" s="63">
        <f t="shared" si="5"/>
        <v>279860</v>
      </c>
      <c r="AH9" s="63">
        <f t="shared" si="5"/>
        <v>279860</v>
      </c>
      <c r="AI9" s="63">
        <f t="shared" si="5"/>
        <v>279860</v>
      </c>
      <c r="AJ9" s="63">
        <f t="shared" si="5"/>
        <v>279860</v>
      </c>
      <c r="AK9" s="63">
        <f t="shared" si="5"/>
        <v>279860</v>
      </c>
      <c r="AL9" s="63">
        <f t="shared" si="5"/>
        <v>279860</v>
      </c>
      <c r="AM9" s="63">
        <f t="shared" si="5"/>
        <v>279860</v>
      </c>
      <c r="AN9" s="63">
        <f t="shared" si="5"/>
        <v>279860</v>
      </c>
      <c r="AO9" s="63">
        <f t="shared" si="5"/>
        <v>279860</v>
      </c>
      <c r="AP9" s="63">
        <f t="shared" si="5"/>
        <v>279860</v>
      </c>
      <c r="AQ9" s="63">
        <f t="shared" si="5"/>
        <v>279860</v>
      </c>
      <c r="AR9" s="63">
        <f t="shared" si="5"/>
        <v>279860</v>
      </c>
      <c r="AS9" s="63">
        <f t="shared" si="5"/>
        <v>279860</v>
      </c>
      <c r="AT9" s="63">
        <f t="shared" si="5"/>
        <v>279860</v>
      </c>
      <c r="AU9" s="63">
        <f t="shared" si="5"/>
        <v>279860</v>
      </c>
      <c r="AV9" s="63">
        <f t="shared" si="5"/>
        <v>279860</v>
      </c>
    </row>
    <row r="10" spans="1:48" ht="15.75" thickBot="1">
      <c r="A10" s="43"/>
      <c r="B10" s="69" t="s">
        <v>52</v>
      </c>
      <c r="C10" s="476">
        <v>1197</v>
      </c>
      <c r="D10" s="448"/>
      <c r="E10" s="48"/>
      <c r="F10" s="460" t="s">
        <v>2405</v>
      </c>
      <c r="G10" s="477">
        <v>0.2</v>
      </c>
      <c r="H10" s="67">
        <f t="shared" ref="H10:AV10" si="6">H13*$C$12*$G$10</f>
        <v>3999.6000000000004</v>
      </c>
      <c r="I10" s="67">
        <f t="shared" si="6"/>
        <v>9999</v>
      </c>
      <c r="J10" s="67">
        <f t="shared" si="6"/>
        <v>13998.6</v>
      </c>
      <c r="K10" s="67">
        <f t="shared" si="6"/>
        <v>21997.800000000003</v>
      </c>
      <c r="L10" s="67">
        <f t="shared" si="6"/>
        <v>29997</v>
      </c>
      <c r="M10" s="67">
        <f t="shared" si="6"/>
        <v>37996.200000000004</v>
      </c>
      <c r="N10" s="67">
        <f t="shared" si="6"/>
        <v>51994.8</v>
      </c>
      <c r="O10" s="67">
        <f t="shared" si="6"/>
        <v>67993.2</v>
      </c>
      <c r="P10" s="67">
        <f t="shared" si="6"/>
        <v>85991.400000000009</v>
      </c>
      <c r="Q10" s="67">
        <f t="shared" si="6"/>
        <v>105989.40000000001</v>
      </c>
      <c r="R10" s="67">
        <f t="shared" si="6"/>
        <v>129987</v>
      </c>
      <c r="S10" s="67">
        <f t="shared" si="6"/>
        <v>155984.4</v>
      </c>
      <c r="T10" s="67">
        <f t="shared" si="6"/>
        <v>183981.6</v>
      </c>
      <c r="U10" s="67">
        <f t="shared" si="6"/>
        <v>213978.6</v>
      </c>
      <c r="V10" s="67">
        <f t="shared" si="6"/>
        <v>243975.6</v>
      </c>
      <c r="W10" s="67">
        <f t="shared" si="6"/>
        <v>261973.80000000002</v>
      </c>
      <c r="X10" s="67">
        <f t="shared" si="6"/>
        <v>273972.60000000003</v>
      </c>
      <c r="Y10" s="67">
        <f t="shared" si="6"/>
        <v>279972</v>
      </c>
      <c r="Z10" s="67">
        <f t="shared" si="6"/>
        <v>279972</v>
      </c>
      <c r="AA10" s="67">
        <f t="shared" si="6"/>
        <v>279972</v>
      </c>
      <c r="AB10" s="67">
        <f t="shared" si="6"/>
        <v>279972</v>
      </c>
      <c r="AC10" s="67">
        <f t="shared" si="6"/>
        <v>279972</v>
      </c>
      <c r="AD10" s="67">
        <f t="shared" si="6"/>
        <v>279972</v>
      </c>
      <c r="AE10" s="67">
        <f t="shared" si="6"/>
        <v>279972</v>
      </c>
      <c r="AF10" s="67">
        <f t="shared" si="6"/>
        <v>279972</v>
      </c>
      <c r="AG10" s="67">
        <f t="shared" si="6"/>
        <v>279972</v>
      </c>
      <c r="AH10" s="67">
        <f t="shared" si="6"/>
        <v>279972</v>
      </c>
      <c r="AI10" s="67">
        <f t="shared" si="6"/>
        <v>279972</v>
      </c>
      <c r="AJ10" s="67">
        <f t="shared" si="6"/>
        <v>279972</v>
      </c>
      <c r="AK10" s="67">
        <f t="shared" si="6"/>
        <v>279972</v>
      </c>
      <c r="AL10" s="67">
        <f t="shared" si="6"/>
        <v>279972</v>
      </c>
      <c r="AM10" s="67">
        <f t="shared" si="6"/>
        <v>279972</v>
      </c>
      <c r="AN10" s="67">
        <f t="shared" si="6"/>
        <v>279972</v>
      </c>
      <c r="AO10" s="67">
        <f t="shared" si="6"/>
        <v>279972</v>
      </c>
      <c r="AP10" s="67">
        <f t="shared" si="6"/>
        <v>279972</v>
      </c>
      <c r="AQ10" s="67">
        <f t="shared" si="6"/>
        <v>279972</v>
      </c>
      <c r="AR10" s="67">
        <f t="shared" si="6"/>
        <v>279972</v>
      </c>
      <c r="AS10" s="67">
        <f t="shared" si="6"/>
        <v>279972</v>
      </c>
      <c r="AT10" s="67">
        <f t="shared" si="6"/>
        <v>279972</v>
      </c>
      <c r="AU10" s="67">
        <f t="shared" si="6"/>
        <v>279972</v>
      </c>
      <c r="AV10" s="67">
        <f t="shared" si="6"/>
        <v>279972</v>
      </c>
    </row>
    <row r="11" spans="1:48" ht="15.75" thickBot="1">
      <c r="A11" s="43"/>
      <c r="B11" s="69" t="s">
        <v>53</v>
      </c>
      <c r="C11" s="476">
        <v>1999</v>
      </c>
      <c r="D11" s="470"/>
      <c r="E11" s="461"/>
      <c r="F11" s="462"/>
      <c r="G11" s="463"/>
      <c r="H11" s="464"/>
      <c r="I11" s="464"/>
      <c r="J11" s="464"/>
      <c r="K11" s="464"/>
      <c r="L11" s="464"/>
      <c r="M11" s="464"/>
      <c r="N11" s="464"/>
      <c r="O11" s="464"/>
      <c r="P11" s="464"/>
      <c r="Q11" s="464"/>
      <c r="R11" s="464"/>
      <c r="S11" s="464"/>
      <c r="T11" s="464"/>
      <c r="U11" s="464"/>
      <c r="V11" s="464"/>
      <c r="W11" s="464"/>
      <c r="X11" s="464"/>
      <c r="Y11" s="464"/>
      <c r="Z11" s="464"/>
      <c r="AA11" s="464"/>
      <c r="AB11" s="464"/>
      <c r="AC11" s="464"/>
      <c r="AD11" s="464"/>
      <c r="AE11" s="464"/>
      <c r="AF11" s="464"/>
      <c r="AG11" s="464"/>
      <c r="AH11" s="464"/>
      <c r="AI11" s="464"/>
      <c r="AJ11" s="464"/>
      <c r="AK11" s="464"/>
      <c r="AL11" s="464"/>
      <c r="AM11" s="464"/>
      <c r="AN11" s="464"/>
      <c r="AO11" s="464"/>
      <c r="AP11" s="464"/>
      <c r="AQ11" s="464"/>
      <c r="AR11" s="464"/>
      <c r="AS11" s="464"/>
      <c r="AT11" s="464"/>
      <c r="AU11" s="464"/>
      <c r="AV11" s="464"/>
    </row>
    <row r="12" spans="1:48" ht="15.75" thickBot="1">
      <c r="A12" s="43"/>
      <c r="B12" s="458" t="s">
        <v>2404</v>
      </c>
      <c r="C12" s="476">
        <v>9999</v>
      </c>
      <c r="D12" s="470"/>
      <c r="E12" s="43"/>
      <c r="F12" s="649" t="s">
        <v>2406</v>
      </c>
      <c r="G12" s="650"/>
      <c r="H12" s="480">
        <f>H6/$C$10</f>
        <v>2</v>
      </c>
      <c r="I12" s="480">
        <f t="shared" ref="I12:AV12" si="7">I6/$C$10</f>
        <v>6.94</v>
      </c>
      <c r="J12" s="480">
        <f t="shared" si="7"/>
        <v>13.7318</v>
      </c>
      <c r="K12" s="480">
        <f t="shared" si="7"/>
        <v>24.319846000000002</v>
      </c>
      <c r="L12" s="480">
        <f t="shared" si="7"/>
        <v>38.590250619999999</v>
      </c>
      <c r="M12" s="480">
        <f t="shared" si="7"/>
        <v>56.432543101400007</v>
      </c>
      <c r="N12" s="480">
        <f t="shared" si="7"/>
        <v>80.739566808358006</v>
      </c>
      <c r="O12" s="480">
        <f t="shared" si="7"/>
        <v>112.31737980410726</v>
      </c>
      <c r="P12" s="480">
        <f t="shared" si="7"/>
        <v>151.94785840998406</v>
      </c>
      <c r="Q12" s="480">
        <f t="shared" si="7"/>
        <v>200.38942265768452</v>
      </c>
      <c r="R12" s="480">
        <f t="shared" si="7"/>
        <v>259.37773997795404</v>
      </c>
      <c r="S12" s="480">
        <f t="shared" si="7"/>
        <v>329.5964077786154</v>
      </c>
      <c r="T12" s="480">
        <f t="shared" si="7"/>
        <v>411.70851554525689</v>
      </c>
      <c r="U12" s="480">
        <f t="shared" si="7"/>
        <v>506.35726007889917</v>
      </c>
      <c r="V12" s="480">
        <f t="shared" si="7"/>
        <v>613.16654227653225</v>
      </c>
      <c r="W12" s="480">
        <f t="shared" si="7"/>
        <v>725.77154600823633</v>
      </c>
      <c r="X12" s="480">
        <f t="shared" si="7"/>
        <v>840.99839962798922</v>
      </c>
      <c r="Y12" s="480">
        <f t="shared" si="7"/>
        <v>955.76844763914949</v>
      </c>
      <c r="Z12" s="480">
        <f t="shared" si="7"/>
        <v>1067.095394209975</v>
      </c>
      <c r="AA12" s="480">
        <f t="shared" si="7"/>
        <v>1175.0825323836757</v>
      </c>
      <c r="AB12" s="480">
        <f t="shared" si="7"/>
        <v>1279.8300564121653</v>
      </c>
      <c r="AC12" s="480">
        <f t="shared" si="7"/>
        <v>1381.4351547198003</v>
      </c>
      <c r="AD12" s="480">
        <f t="shared" si="7"/>
        <v>1479.9921000782062</v>
      </c>
      <c r="AE12" s="480">
        <f t="shared" si="7"/>
        <v>1575.5923370758601</v>
      </c>
      <c r="AF12" s="480">
        <f t="shared" si="7"/>
        <v>1668.3245669635844</v>
      </c>
      <c r="AG12" s="480">
        <f t="shared" si="7"/>
        <v>1758.2748299546768</v>
      </c>
      <c r="AH12" s="480">
        <f t="shared" si="7"/>
        <v>1845.5265850560365</v>
      </c>
      <c r="AI12" s="480">
        <f t="shared" si="7"/>
        <v>1930.1607875043555</v>
      </c>
      <c r="AJ12" s="480">
        <f t="shared" si="7"/>
        <v>2012.2559638792247</v>
      </c>
      <c r="AK12" s="480">
        <f t="shared" si="7"/>
        <v>2091.888284962848</v>
      </c>
      <c r="AL12" s="480">
        <f t="shared" si="7"/>
        <v>2169.1316364139625</v>
      </c>
      <c r="AM12" s="480">
        <f t="shared" si="7"/>
        <v>2244.0576873215441</v>
      </c>
      <c r="AN12" s="480">
        <f t="shared" si="7"/>
        <v>2316.735956701898</v>
      </c>
      <c r="AO12" s="480">
        <f t="shared" si="7"/>
        <v>2387.2338780008408</v>
      </c>
      <c r="AP12" s="480">
        <f t="shared" si="7"/>
        <v>2455.6168616608156</v>
      </c>
      <c r="AQ12" s="480">
        <f t="shared" si="7"/>
        <v>2521.9483558109914</v>
      </c>
      <c r="AR12" s="480">
        <f t="shared" si="7"/>
        <v>2586.2899051366617</v>
      </c>
      <c r="AS12" s="480">
        <f t="shared" si="7"/>
        <v>2648.7012079825618</v>
      </c>
      <c r="AT12" s="480">
        <f t="shared" si="7"/>
        <v>2709.2401717430848</v>
      </c>
      <c r="AU12" s="480">
        <f t="shared" si="7"/>
        <v>2767.9629665907928</v>
      </c>
      <c r="AV12" s="480">
        <f t="shared" si="7"/>
        <v>2824.9240775930689</v>
      </c>
    </row>
    <row r="13" spans="1:48" ht="15.75" thickBot="1">
      <c r="A13" s="43"/>
      <c r="B13" s="71" t="s">
        <v>56</v>
      </c>
      <c r="C13" s="475">
        <v>2</v>
      </c>
      <c r="D13" s="470"/>
      <c r="E13" s="51"/>
      <c r="F13" s="639" t="s">
        <v>2407</v>
      </c>
      <c r="G13" s="638"/>
      <c r="H13" s="479">
        <f t="shared" ref="H13:AV13" si="8">SUM($G$17*H15+$G$18*H16+$G$3*H17+$G$20*H18+$G$21*H19+$G$22*H20+$G$23*H21+$G$24*H22+$G$25*H23+$G$26*H24+$G$27*H25+$G$28*H26+$G$29*H27+$G$30*H28+$G$31*H29+H30*$G$32+H31*$G$33)</f>
        <v>2</v>
      </c>
      <c r="I13" s="479">
        <f t="shared" si="8"/>
        <v>5</v>
      </c>
      <c r="J13" s="479">
        <f t="shared" si="8"/>
        <v>7</v>
      </c>
      <c r="K13" s="479">
        <f t="shared" si="8"/>
        <v>11</v>
      </c>
      <c r="L13" s="479">
        <f t="shared" si="8"/>
        <v>15</v>
      </c>
      <c r="M13" s="479">
        <f t="shared" si="8"/>
        <v>19</v>
      </c>
      <c r="N13" s="479">
        <f t="shared" si="8"/>
        <v>26</v>
      </c>
      <c r="O13" s="479">
        <f t="shared" si="8"/>
        <v>34</v>
      </c>
      <c r="P13" s="479">
        <f t="shared" si="8"/>
        <v>43</v>
      </c>
      <c r="Q13" s="479">
        <f t="shared" si="8"/>
        <v>53</v>
      </c>
      <c r="R13" s="479">
        <f t="shared" si="8"/>
        <v>65</v>
      </c>
      <c r="S13" s="479">
        <f t="shared" si="8"/>
        <v>78</v>
      </c>
      <c r="T13" s="479">
        <f t="shared" si="8"/>
        <v>92</v>
      </c>
      <c r="U13" s="479">
        <f t="shared" si="8"/>
        <v>107</v>
      </c>
      <c r="V13" s="479">
        <f t="shared" si="8"/>
        <v>122</v>
      </c>
      <c r="W13" s="479">
        <f t="shared" si="8"/>
        <v>131</v>
      </c>
      <c r="X13" s="479">
        <f t="shared" si="8"/>
        <v>137</v>
      </c>
      <c r="Y13" s="479">
        <f t="shared" si="8"/>
        <v>140</v>
      </c>
      <c r="Z13" s="479">
        <f t="shared" si="8"/>
        <v>140</v>
      </c>
      <c r="AA13" s="479">
        <f t="shared" si="8"/>
        <v>140</v>
      </c>
      <c r="AB13" s="479">
        <f t="shared" si="8"/>
        <v>140</v>
      </c>
      <c r="AC13" s="479">
        <f t="shared" si="8"/>
        <v>140</v>
      </c>
      <c r="AD13" s="479">
        <f t="shared" si="8"/>
        <v>140</v>
      </c>
      <c r="AE13" s="479">
        <f t="shared" si="8"/>
        <v>140</v>
      </c>
      <c r="AF13" s="479">
        <f t="shared" si="8"/>
        <v>140</v>
      </c>
      <c r="AG13" s="479">
        <f t="shared" si="8"/>
        <v>140</v>
      </c>
      <c r="AH13" s="479">
        <f t="shared" si="8"/>
        <v>140</v>
      </c>
      <c r="AI13" s="479">
        <f t="shared" si="8"/>
        <v>140</v>
      </c>
      <c r="AJ13" s="479">
        <f t="shared" si="8"/>
        <v>140</v>
      </c>
      <c r="AK13" s="479">
        <f t="shared" si="8"/>
        <v>140</v>
      </c>
      <c r="AL13" s="479">
        <f t="shared" si="8"/>
        <v>140</v>
      </c>
      <c r="AM13" s="479">
        <f t="shared" si="8"/>
        <v>140</v>
      </c>
      <c r="AN13" s="479">
        <f t="shared" si="8"/>
        <v>140</v>
      </c>
      <c r="AO13" s="479">
        <f t="shared" si="8"/>
        <v>140</v>
      </c>
      <c r="AP13" s="479">
        <f t="shared" si="8"/>
        <v>140</v>
      </c>
      <c r="AQ13" s="479">
        <f t="shared" si="8"/>
        <v>140</v>
      </c>
      <c r="AR13" s="479">
        <f t="shared" si="8"/>
        <v>140</v>
      </c>
      <c r="AS13" s="479">
        <f t="shared" si="8"/>
        <v>140</v>
      </c>
      <c r="AT13" s="479">
        <f t="shared" si="8"/>
        <v>140</v>
      </c>
      <c r="AU13" s="479">
        <f t="shared" si="8"/>
        <v>140</v>
      </c>
      <c r="AV13" s="479">
        <f t="shared" si="8"/>
        <v>140</v>
      </c>
    </row>
    <row r="14" spans="1:48" ht="15.75" thickBot="1">
      <c r="A14" s="43"/>
      <c r="B14" s="71" t="s">
        <v>58</v>
      </c>
      <c r="C14" s="475">
        <v>3</v>
      </c>
      <c r="D14" s="470"/>
      <c r="E14" s="51"/>
      <c r="F14" s="12"/>
      <c r="G14" s="12"/>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row>
    <row r="15" spans="1:48" ht="15" customHeight="1" thickBot="1">
      <c r="A15" s="43"/>
      <c r="B15" s="71" t="s">
        <v>59</v>
      </c>
      <c r="C15" s="475">
        <v>4</v>
      </c>
      <c r="D15" s="470"/>
      <c r="E15" s="651">
        <v>2026</v>
      </c>
      <c r="F15" s="467" t="s">
        <v>44</v>
      </c>
      <c r="G15" s="472">
        <v>1</v>
      </c>
      <c r="H15" s="47">
        <f>SUM($C$13)</f>
        <v>2</v>
      </c>
      <c r="I15" s="74">
        <f>SUM($C$14)</f>
        <v>3</v>
      </c>
      <c r="J15" s="74">
        <f>SUM($C$15)</f>
        <v>4</v>
      </c>
      <c r="K15" s="74">
        <f t="shared" ref="K15:AV15" si="9">SUM($C$16)</f>
        <v>5</v>
      </c>
      <c r="L15" s="74">
        <f t="shared" si="9"/>
        <v>5</v>
      </c>
      <c r="M15" s="74">
        <f t="shared" si="9"/>
        <v>5</v>
      </c>
      <c r="N15" s="74">
        <f t="shared" si="9"/>
        <v>5</v>
      </c>
      <c r="O15" s="74">
        <f t="shared" si="9"/>
        <v>5</v>
      </c>
      <c r="P15" s="74">
        <f t="shared" si="9"/>
        <v>5</v>
      </c>
      <c r="Q15" s="74">
        <f t="shared" si="9"/>
        <v>5</v>
      </c>
      <c r="R15" s="74">
        <f t="shared" si="9"/>
        <v>5</v>
      </c>
      <c r="S15" s="74">
        <f t="shared" si="9"/>
        <v>5</v>
      </c>
      <c r="T15" s="74">
        <f t="shared" si="9"/>
        <v>5</v>
      </c>
      <c r="U15" s="74">
        <f t="shared" si="9"/>
        <v>5</v>
      </c>
      <c r="V15" s="74">
        <f t="shared" si="9"/>
        <v>5</v>
      </c>
      <c r="W15" s="74">
        <f t="shared" si="9"/>
        <v>5</v>
      </c>
      <c r="X15" s="74">
        <f t="shared" si="9"/>
        <v>5</v>
      </c>
      <c r="Y15" s="74">
        <f t="shared" si="9"/>
        <v>5</v>
      </c>
      <c r="Z15" s="74">
        <f t="shared" si="9"/>
        <v>5</v>
      </c>
      <c r="AA15" s="74">
        <f t="shared" si="9"/>
        <v>5</v>
      </c>
      <c r="AB15" s="74">
        <f t="shared" si="9"/>
        <v>5</v>
      </c>
      <c r="AC15" s="74">
        <f t="shared" si="9"/>
        <v>5</v>
      </c>
      <c r="AD15" s="74">
        <f t="shared" si="9"/>
        <v>5</v>
      </c>
      <c r="AE15" s="74">
        <f t="shared" si="9"/>
        <v>5</v>
      </c>
      <c r="AF15" s="74">
        <f t="shared" si="9"/>
        <v>5</v>
      </c>
      <c r="AG15" s="74">
        <f t="shared" si="9"/>
        <v>5</v>
      </c>
      <c r="AH15" s="74">
        <f t="shared" si="9"/>
        <v>5</v>
      </c>
      <c r="AI15" s="74">
        <f t="shared" si="9"/>
        <v>5</v>
      </c>
      <c r="AJ15" s="74">
        <f t="shared" si="9"/>
        <v>5</v>
      </c>
      <c r="AK15" s="74">
        <f t="shared" si="9"/>
        <v>5</v>
      </c>
      <c r="AL15" s="74">
        <f t="shared" si="9"/>
        <v>5</v>
      </c>
      <c r="AM15" s="74">
        <f t="shared" si="9"/>
        <v>5</v>
      </c>
      <c r="AN15" s="74">
        <f t="shared" si="9"/>
        <v>5</v>
      </c>
      <c r="AO15" s="74">
        <f t="shared" si="9"/>
        <v>5</v>
      </c>
      <c r="AP15" s="74">
        <f t="shared" si="9"/>
        <v>5</v>
      </c>
      <c r="AQ15" s="74">
        <f t="shared" si="9"/>
        <v>5</v>
      </c>
      <c r="AR15" s="74">
        <f t="shared" si="9"/>
        <v>5</v>
      </c>
      <c r="AS15" s="74">
        <f t="shared" si="9"/>
        <v>5</v>
      </c>
      <c r="AT15" s="74">
        <f t="shared" si="9"/>
        <v>5</v>
      </c>
      <c r="AU15" s="74">
        <f t="shared" si="9"/>
        <v>5</v>
      </c>
      <c r="AV15" s="74">
        <f t="shared" si="9"/>
        <v>5</v>
      </c>
    </row>
    <row r="16" spans="1:48" ht="15" customHeight="1" thickBot="1">
      <c r="A16" s="43"/>
      <c r="B16" s="75" t="s">
        <v>60</v>
      </c>
      <c r="C16" s="475">
        <v>5</v>
      </c>
      <c r="D16" s="471"/>
      <c r="E16" s="651"/>
      <c r="F16" s="467" t="s">
        <v>33</v>
      </c>
      <c r="G16" s="473">
        <v>0</v>
      </c>
      <c r="H16" s="469"/>
      <c r="I16" s="74">
        <f>SUM($C$13)</f>
        <v>2</v>
      </c>
      <c r="J16" s="74">
        <f>SUM($C$14)</f>
        <v>3</v>
      </c>
      <c r="K16" s="74">
        <f>SUM($C$15)</f>
        <v>4</v>
      </c>
      <c r="L16" s="74">
        <f t="shared" ref="L16:AV16" si="10">SUM($C$16)</f>
        <v>5</v>
      </c>
      <c r="M16" s="74">
        <f t="shared" si="10"/>
        <v>5</v>
      </c>
      <c r="N16" s="74">
        <f t="shared" si="10"/>
        <v>5</v>
      </c>
      <c r="O16" s="74">
        <f t="shared" si="10"/>
        <v>5</v>
      </c>
      <c r="P16" s="74">
        <f t="shared" si="10"/>
        <v>5</v>
      </c>
      <c r="Q16" s="74">
        <f t="shared" si="10"/>
        <v>5</v>
      </c>
      <c r="R16" s="74">
        <f t="shared" si="10"/>
        <v>5</v>
      </c>
      <c r="S16" s="74">
        <f t="shared" si="10"/>
        <v>5</v>
      </c>
      <c r="T16" s="74">
        <f t="shared" si="10"/>
        <v>5</v>
      </c>
      <c r="U16" s="74">
        <f t="shared" si="10"/>
        <v>5</v>
      </c>
      <c r="V16" s="74">
        <f t="shared" si="10"/>
        <v>5</v>
      </c>
      <c r="W16" s="74">
        <f t="shared" si="10"/>
        <v>5</v>
      </c>
      <c r="X16" s="74">
        <f t="shared" si="10"/>
        <v>5</v>
      </c>
      <c r="Y16" s="74">
        <f t="shared" si="10"/>
        <v>5</v>
      </c>
      <c r="Z16" s="74">
        <f t="shared" si="10"/>
        <v>5</v>
      </c>
      <c r="AA16" s="74">
        <f t="shared" si="10"/>
        <v>5</v>
      </c>
      <c r="AB16" s="74">
        <f t="shared" si="10"/>
        <v>5</v>
      </c>
      <c r="AC16" s="74">
        <f t="shared" si="10"/>
        <v>5</v>
      </c>
      <c r="AD16" s="74">
        <f t="shared" si="10"/>
        <v>5</v>
      </c>
      <c r="AE16" s="74">
        <f t="shared" si="10"/>
        <v>5</v>
      </c>
      <c r="AF16" s="74">
        <f t="shared" si="10"/>
        <v>5</v>
      </c>
      <c r="AG16" s="74">
        <f t="shared" si="10"/>
        <v>5</v>
      </c>
      <c r="AH16" s="74">
        <f t="shared" si="10"/>
        <v>5</v>
      </c>
      <c r="AI16" s="74">
        <f t="shared" si="10"/>
        <v>5</v>
      </c>
      <c r="AJ16" s="74">
        <f t="shared" si="10"/>
        <v>5</v>
      </c>
      <c r="AK16" s="74">
        <f t="shared" si="10"/>
        <v>5</v>
      </c>
      <c r="AL16" s="74">
        <f t="shared" si="10"/>
        <v>5</v>
      </c>
      <c r="AM16" s="74">
        <f t="shared" si="10"/>
        <v>5</v>
      </c>
      <c r="AN16" s="74">
        <f t="shared" si="10"/>
        <v>5</v>
      </c>
      <c r="AO16" s="74">
        <f t="shared" si="10"/>
        <v>5</v>
      </c>
      <c r="AP16" s="74">
        <f t="shared" si="10"/>
        <v>5</v>
      </c>
      <c r="AQ16" s="74">
        <f t="shared" si="10"/>
        <v>5</v>
      </c>
      <c r="AR16" s="74">
        <f t="shared" si="10"/>
        <v>5</v>
      </c>
      <c r="AS16" s="74">
        <f t="shared" si="10"/>
        <v>5</v>
      </c>
      <c r="AT16" s="74">
        <f t="shared" si="10"/>
        <v>5</v>
      </c>
      <c r="AU16" s="74">
        <f t="shared" si="10"/>
        <v>5</v>
      </c>
      <c r="AV16" s="74">
        <f t="shared" si="10"/>
        <v>5</v>
      </c>
    </row>
    <row r="17" spans="1:48" ht="15" customHeight="1" thickBot="1">
      <c r="A17" s="43"/>
      <c r="B17" s="78" t="s">
        <v>47</v>
      </c>
      <c r="C17" s="478">
        <v>0.03</v>
      </c>
      <c r="D17" s="76"/>
      <c r="E17" s="651"/>
      <c r="F17" s="467" t="s">
        <v>34</v>
      </c>
      <c r="G17" s="473">
        <v>1</v>
      </c>
      <c r="H17" s="469"/>
      <c r="J17" s="74">
        <f>SUM($C$13)</f>
        <v>2</v>
      </c>
      <c r="K17" s="74">
        <f>SUM($C$14)</f>
        <v>3</v>
      </c>
      <c r="L17" s="74">
        <f>SUM($C$15)</f>
        <v>4</v>
      </c>
      <c r="M17" s="74">
        <f t="shared" ref="M17:AV17" si="11">SUM($C$16)</f>
        <v>5</v>
      </c>
      <c r="N17" s="74">
        <f t="shared" si="11"/>
        <v>5</v>
      </c>
      <c r="O17" s="74">
        <f t="shared" si="11"/>
        <v>5</v>
      </c>
      <c r="P17" s="74">
        <f t="shared" si="11"/>
        <v>5</v>
      </c>
      <c r="Q17" s="74">
        <f t="shared" si="11"/>
        <v>5</v>
      </c>
      <c r="R17" s="74">
        <f t="shared" si="11"/>
        <v>5</v>
      </c>
      <c r="S17" s="74">
        <f t="shared" si="11"/>
        <v>5</v>
      </c>
      <c r="T17" s="74">
        <f t="shared" si="11"/>
        <v>5</v>
      </c>
      <c r="U17" s="74">
        <f t="shared" si="11"/>
        <v>5</v>
      </c>
      <c r="V17" s="74">
        <f t="shared" si="11"/>
        <v>5</v>
      </c>
      <c r="W17" s="74">
        <f t="shared" si="11"/>
        <v>5</v>
      </c>
      <c r="X17" s="74">
        <f t="shared" si="11"/>
        <v>5</v>
      </c>
      <c r="Y17" s="74">
        <f t="shared" si="11"/>
        <v>5</v>
      </c>
      <c r="Z17" s="74">
        <f t="shared" si="11"/>
        <v>5</v>
      </c>
      <c r="AA17" s="74">
        <f t="shared" si="11"/>
        <v>5</v>
      </c>
      <c r="AB17" s="74">
        <f t="shared" si="11"/>
        <v>5</v>
      </c>
      <c r="AC17" s="74">
        <f t="shared" si="11"/>
        <v>5</v>
      </c>
      <c r="AD17" s="74">
        <f t="shared" si="11"/>
        <v>5</v>
      </c>
      <c r="AE17" s="74">
        <f t="shared" si="11"/>
        <v>5</v>
      </c>
      <c r="AF17" s="74">
        <f t="shared" si="11"/>
        <v>5</v>
      </c>
      <c r="AG17" s="74">
        <f t="shared" si="11"/>
        <v>5</v>
      </c>
      <c r="AH17" s="74">
        <f t="shared" si="11"/>
        <v>5</v>
      </c>
      <c r="AI17" s="74">
        <f t="shared" si="11"/>
        <v>5</v>
      </c>
      <c r="AJ17" s="74">
        <f t="shared" si="11"/>
        <v>5</v>
      </c>
      <c r="AK17" s="74">
        <f t="shared" si="11"/>
        <v>5</v>
      </c>
      <c r="AL17" s="74">
        <f t="shared" si="11"/>
        <v>5</v>
      </c>
      <c r="AM17" s="74">
        <f t="shared" si="11"/>
        <v>5</v>
      </c>
      <c r="AN17" s="74">
        <f t="shared" si="11"/>
        <v>5</v>
      </c>
      <c r="AO17" s="74">
        <f t="shared" si="11"/>
        <v>5</v>
      </c>
      <c r="AP17" s="74">
        <f t="shared" si="11"/>
        <v>5</v>
      </c>
      <c r="AQ17" s="74">
        <f t="shared" si="11"/>
        <v>5</v>
      </c>
      <c r="AR17" s="74">
        <f t="shared" si="11"/>
        <v>5</v>
      </c>
      <c r="AS17" s="74">
        <f t="shared" si="11"/>
        <v>5</v>
      </c>
      <c r="AT17" s="74">
        <f t="shared" si="11"/>
        <v>5</v>
      </c>
      <c r="AU17" s="74">
        <f t="shared" si="11"/>
        <v>5</v>
      </c>
      <c r="AV17" s="74">
        <f t="shared" si="11"/>
        <v>5</v>
      </c>
    </row>
    <row r="18" spans="1:48" ht="15.75" thickBot="1">
      <c r="A18" s="43"/>
      <c r="B18" s="81"/>
      <c r="C18" s="81"/>
      <c r="D18" s="76"/>
      <c r="E18" s="651"/>
      <c r="F18" s="467" t="s">
        <v>35</v>
      </c>
      <c r="G18" s="473">
        <v>1</v>
      </c>
      <c r="H18" s="469"/>
      <c r="K18" s="74">
        <f>SUM($C$13)</f>
        <v>2</v>
      </c>
      <c r="L18" s="74">
        <f>SUM($C$14)</f>
        <v>3</v>
      </c>
      <c r="M18" s="74">
        <f>SUM($C$15)</f>
        <v>4</v>
      </c>
      <c r="N18" s="74">
        <f t="shared" ref="N18:AV18" si="12">SUM($C$16)</f>
        <v>5</v>
      </c>
      <c r="O18" s="74">
        <f t="shared" si="12"/>
        <v>5</v>
      </c>
      <c r="P18" s="74">
        <f t="shared" si="12"/>
        <v>5</v>
      </c>
      <c r="Q18" s="74">
        <f t="shared" si="12"/>
        <v>5</v>
      </c>
      <c r="R18" s="74">
        <f t="shared" si="12"/>
        <v>5</v>
      </c>
      <c r="S18" s="74">
        <f t="shared" si="12"/>
        <v>5</v>
      </c>
      <c r="T18" s="74">
        <f t="shared" si="12"/>
        <v>5</v>
      </c>
      <c r="U18" s="74">
        <f t="shared" si="12"/>
        <v>5</v>
      </c>
      <c r="V18" s="74">
        <f t="shared" si="12"/>
        <v>5</v>
      </c>
      <c r="W18" s="74">
        <f t="shared" si="12"/>
        <v>5</v>
      </c>
      <c r="X18" s="74">
        <f t="shared" si="12"/>
        <v>5</v>
      </c>
      <c r="Y18" s="74">
        <f t="shared" si="12"/>
        <v>5</v>
      </c>
      <c r="Z18" s="74">
        <f t="shared" si="12"/>
        <v>5</v>
      </c>
      <c r="AA18" s="74">
        <f t="shared" si="12"/>
        <v>5</v>
      </c>
      <c r="AB18" s="74">
        <f t="shared" si="12"/>
        <v>5</v>
      </c>
      <c r="AC18" s="74">
        <f t="shared" si="12"/>
        <v>5</v>
      </c>
      <c r="AD18" s="74">
        <f t="shared" si="12"/>
        <v>5</v>
      </c>
      <c r="AE18" s="74">
        <f t="shared" si="12"/>
        <v>5</v>
      </c>
      <c r="AF18" s="74">
        <f t="shared" si="12"/>
        <v>5</v>
      </c>
      <c r="AG18" s="74">
        <f t="shared" si="12"/>
        <v>5</v>
      </c>
      <c r="AH18" s="74">
        <f t="shared" si="12"/>
        <v>5</v>
      </c>
      <c r="AI18" s="74">
        <f t="shared" si="12"/>
        <v>5</v>
      </c>
      <c r="AJ18" s="74">
        <f t="shared" si="12"/>
        <v>5</v>
      </c>
      <c r="AK18" s="74">
        <f t="shared" si="12"/>
        <v>5</v>
      </c>
      <c r="AL18" s="74">
        <f t="shared" si="12"/>
        <v>5</v>
      </c>
      <c r="AM18" s="74">
        <f t="shared" si="12"/>
        <v>5</v>
      </c>
      <c r="AN18" s="74">
        <f t="shared" si="12"/>
        <v>5</v>
      </c>
      <c r="AO18" s="74">
        <f t="shared" si="12"/>
        <v>5</v>
      </c>
      <c r="AP18" s="74">
        <f t="shared" si="12"/>
        <v>5</v>
      </c>
      <c r="AQ18" s="74">
        <f t="shared" si="12"/>
        <v>5</v>
      </c>
      <c r="AR18" s="74">
        <f t="shared" si="12"/>
        <v>5</v>
      </c>
      <c r="AS18" s="74">
        <f t="shared" si="12"/>
        <v>5</v>
      </c>
      <c r="AT18" s="74">
        <f t="shared" si="12"/>
        <v>5</v>
      </c>
      <c r="AU18" s="74">
        <f t="shared" si="12"/>
        <v>5</v>
      </c>
      <c r="AV18" s="74">
        <f t="shared" si="12"/>
        <v>5</v>
      </c>
    </row>
    <row r="19" spans="1:48" ht="15.75" customHeight="1" thickBot="1">
      <c r="A19" s="77"/>
      <c r="B19" s="83" t="s">
        <v>61</v>
      </c>
      <c r="C19" s="486">
        <f>SUM(L6)</f>
        <v>46192.52999214</v>
      </c>
      <c r="D19" s="43"/>
      <c r="E19" s="651"/>
      <c r="F19" s="467" t="s">
        <v>36</v>
      </c>
      <c r="G19" s="473">
        <v>1</v>
      </c>
      <c r="H19" s="469"/>
      <c r="L19" s="74">
        <f>SUM($C$13)</f>
        <v>2</v>
      </c>
      <c r="M19" s="74">
        <f>SUM($C$14)</f>
        <v>3</v>
      </c>
      <c r="N19" s="74">
        <f>SUM($C$15)</f>
        <v>4</v>
      </c>
      <c r="O19" s="74">
        <f t="shared" ref="O19:AV19" si="13">SUM($C$16)</f>
        <v>5</v>
      </c>
      <c r="P19" s="74">
        <f t="shared" si="13"/>
        <v>5</v>
      </c>
      <c r="Q19" s="74">
        <f t="shared" si="13"/>
        <v>5</v>
      </c>
      <c r="R19" s="74">
        <f t="shared" si="13"/>
        <v>5</v>
      </c>
      <c r="S19" s="74">
        <f t="shared" si="13"/>
        <v>5</v>
      </c>
      <c r="T19" s="74">
        <f t="shared" si="13"/>
        <v>5</v>
      </c>
      <c r="U19" s="74">
        <f t="shared" si="13"/>
        <v>5</v>
      </c>
      <c r="V19" s="74">
        <f t="shared" si="13"/>
        <v>5</v>
      </c>
      <c r="W19" s="74">
        <f t="shared" si="13"/>
        <v>5</v>
      </c>
      <c r="X19" s="74">
        <f t="shared" si="13"/>
        <v>5</v>
      </c>
      <c r="Y19" s="74">
        <f t="shared" si="13"/>
        <v>5</v>
      </c>
      <c r="Z19" s="74">
        <f t="shared" si="13"/>
        <v>5</v>
      </c>
      <c r="AA19" s="74">
        <f t="shared" si="13"/>
        <v>5</v>
      </c>
      <c r="AB19" s="74">
        <f t="shared" si="13"/>
        <v>5</v>
      </c>
      <c r="AC19" s="74">
        <f t="shared" si="13"/>
        <v>5</v>
      </c>
      <c r="AD19" s="74">
        <f t="shared" si="13"/>
        <v>5</v>
      </c>
      <c r="AE19" s="74">
        <f t="shared" si="13"/>
        <v>5</v>
      </c>
      <c r="AF19" s="74">
        <f t="shared" si="13"/>
        <v>5</v>
      </c>
      <c r="AG19" s="74">
        <f t="shared" si="13"/>
        <v>5</v>
      </c>
      <c r="AH19" s="74">
        <f t="shared" si="13"/>
        <v>5</v>
      </c>
      <c r="AI19" s="74">
        <f t="shared" si="13"/>
        <v>5</v>
      </c>
      <c r="AJ19" s="74">
        <f t="shared" si="13"/>
        <v>5</v>
      </c>
      <c r="AK19" s="74">
        <f t="shared" si="13"/>
        <v>5</v>
      </c>
      <c r="AL19" s="74">
        <f t="shared" si="13"/>
        <v>5</v>
      </c>
      <c r="AM19" s="74">
        <f t="shared" si="13"/>
        <v>5</v>
      </c>
      <c r="AN19" s="74">
        <f t="shared" si="13"/>
        <v>5</v>
      </c>
      <c r="AO19" s="74">
        <f t="shared" si="13"/>
        <v>5</v>
      </c>
      <c r="AP19" s="74">
        <f t="shared" si="13"/>
        <v>5</v>
      </c>
      <c r="AQ19" s="74">
        <f t="shared" si="13"/>
        <v>5</v>
      </c>
      <c r="AR19" s="74">
        <f t="shared" si="13"/>
        <v>5</v>
      </c>
      <c r="AS19" s="74">
        <f t="shared" si="13"/>
        <v>5</v>
      </c>
      <c r="AT19" s="74">
        <f t="shared" si="13"/>
        <v>5</v>
      </c>
      <c r="AU19" s="74">
        <f t="shared" si="13"/>
        <v>5</v>
      </c>
      <c r="AV19" s="74">
        <f t="shared" si="13"/>
        <v>5</v>
      </c>
    </row>
    <row r="20" spans="1:48" ht="15.75" thickBot="1">
      <c r="A20" s="43"/>
      <c r="B20" s="485" t="s">
        <v>2413</v>
      </c>
      <c r="C20" s="82">
        <f>SUM(L6/C10)</f>
        <v>38.590250619999999</v>
      </c>
      <c r="D20" s="76"/>
      <c r="E20" s="641">
        <v>2027</v>
      </c>
      <c r="F20" s="44" t="s">
        <v>37</v>
      </c>
      <c r="G20" s="473">
        <v>1</v>
      </c>
      <c r="H20" s="469"/>
      <c r="M20" s="74">
        <f>SUM($C$13)</f>
        <v>2</v>
      </c>
      <c r="N20" s="74">
        <f>SUM($C$14)</f>
        <v>3</v>
      </c>
      <c r="O20" s="74">
        <f>SUM($C$15)</f>
        <v>4</v>
      </c>
      <c r="P20" s="74">
        <f t="shared" ref="P20:AV20" si="14">SUM($C$16)</f>
        <v>5</v>
      </c>
      <c r="Q20" s="74">
        <f t="shared" si="14"/>
        <v>5</v>
      </c>
      <c r="R20" s="74">
        <f t="shared" si="14"/>
        <v>5</v>
      </c>
      <c r="S20" s="74">
        <f t="shared" si="14"/>
        <v>5</v>
      </c>
      <c r="T20" s="74">
        <f t="shared" si="14"/>
        <v>5</v>
      </c>
      <c r="U20" s="74">
        <f t="shared" si="14"/>
        <v>5</v>
      </c>
      <c r="V20" s="74">
        <f t="shared" si="14"/>
        <v>5</v>
      </c>
      <c r="W20" s="74">
        <f t="shared" si="14"/>
        <v>5</v>
      </c>
      <c r="X20" s="74">
        <f t="shared" si="14"/>
        <v>5</v>
      </c>
      <c r="Y20" s="74">
        <f t="shared" si="14"/>
        <v>5</v>
      </c>
      <c r="Z20" s="74">
        <f t="shared" si="14"/>
        <v>5</v>
      </c>
      <c r="AA20" s="74">
        <f t="shared" si="14"/>
        <v>5</v>
      </c>
      <c r="AB20" s="74">
        <f t="shared" si="14"/>
        <v>5</v>
      </c>
      <c r="AC20" s="74">
        <f t="shared" si="14"/>
        <v>5</v>
      </c>
      <c r="AD20" s="74">
        <f t="shared" si="14"/>
        <v>5</v>
      </c>
      <c r="AE20" s="74">
        <f t="shared" si="14"/>
        <v>5</v>
      </c>
      <c r="AF20" s="74">
        <f t="shared" si="14"/>
        <v>5</v>
      </c>
      <c r="AG20" s="74">
        <f t="shared" si="14"/>
        <v>5</v>
      </c>
      <c r="AH20" s="74">
        <f t="shared" si="14"/>
        <v>5</v>
      </c>
      <c r="AI20" s="74">
        <f t="shared" si="14"/>
        <v>5</v>
      </c>
      <c r="AJ20" s="74">
        <f t="shared" si="14"/>
        <v>5</v>
      </c>
      <c r="AK20" s="74">
        <f t="shared" si="14"/>
        <v>5</v>
      </c>
      <c r="AL20" s="74">
        <f t="shared" si="14"/>
        <v>5</v>
      </c>
      <c r="AM20" s="74">
        <f t="shared" si="14"/>
        <v>5</v>
      </c>
      <c r="AN20" s="74">
        <f t="shared" si="14"/>
        <v>5</v>
      </c>
      <c r="AO20" s="74">
        <f t="shared" si="14"/>
        <v>5</v>
      </c>
      <c r="AP20" s="74">
        <f t="shared" si="14"/>
        <v>5</v>
      </c>
      <c r="AQ20" s="74">
        <f t="shared" si="14"/>
        <v>5</v>
      </c>
      <c r="AR20" s="74">
        <f t="shared" si="14"/>
        <v>5</v>
      </c>
      <c r="AS20" s="74">
        <f t="shared" si="14"/>
        <v>5</v>
      </c>
      <c r="AT20" s="74">
        <f t="shared" si="14"/>
        <v>5</v>
      </c>
      <c r="AU20" s="74">
        <f t="shared" si="14"/>
        <v>5</v>
      </c>
      <c r="AV20" s="74">
        <f t="shared" si="14"/>
        <v>5</v>
      </c>
    </row>
    <row r="21" spans="1:48" ht="15.75" thickBot="1">
      <c r="A21" s="77"/>
      <c r="B21" s="485" t="s">
        <v>2417</v>
      </c>
      <c r="C21" s="74">
        <f>SUM(G15:G19)</f>
        <v>4</v>
      </c>
      <c r="D21" s="76"/>
      <c r="E21" s="642"/>
      <c r="F21" s="44" t="s">
        <v>38</v>
      </c>
      <c r="G21" s="473">
        <v>1</v>
      </c>
      <c r="H21" s="469"/>
      <c r="N21" s="74">
        <f>SUM($C$13)</f>
        <v>2</v>
      </c>
      <c r="O21" s="74">
        <f>SUM($C$14)</f>
        <v>3</v>
      </c>
      <c r="P21" s="74">
        <f>SUM($C$15)</f>
        <v>4</v>
      </c>
      <c r="Q21" s="74">
        <f t="shared" ref="Q21:AV21" si="15">SUM($C$16)</f>
        <v>5</v>
      </c>
      <c r="R21" s="74">
        <f t="shared" si="15"/>
        <v>5</v>
      </c>
      <c r="S21" s="74">
        <f t="shared" si="15"/>
        <v>5</v>
      </c>
      <c r="T21" s="74">
        <f t="shared" si="15"/>
        <v>5</v>
      </c>
      <c r="U21" s="74">
        <f t="shared" si="15"/>
        <v>5</v>
      </c>
      <c r="V21" s="74">
        <f t="shared" si="15"/>
        <v>5</v>
      </c>
      <c r="W21" s="74">
        <f t="shared" si="15"/>
        <v>5</v>
      </c>
      <c r="X21" s="74">
        <f t="shared" si="15"/>
        <v>5</v>
      </c>
      <c r="Y21" s="74">
        <f t="shared" si="15"/>
        <v>5</v>
      </c>
      <c r="Z21" s="74">
        <f t="shared" si="15"/>
        <v>5</v>
      </c>
      <c r="AA21" s="74">
        <f t="shared" si="15"/>
        <v>5</v>
      </c>
      <c r="AB21" s="74">
        <f t="shared" si="15"/>
        <v>5</v>
      </c>
      <c r="AC21" s="74">
        <f t="shared" si="15"/>
        <v>5</v>
      </c>
      <c r="AD21" s="74">
        <f t="shared" si="15"/>
        <v>5</v>
      </c>
      <c r="AE21" s="74">
        <f t="shared" si="15"/>
        <v>5</v>
      </c>
      <c r="AF21" s="74">
        <f t="shared" si="15"/>
        <v>5</v>
      </c>
      <c r="AG21" s="74">
        <f t="shared" si="15"/>
        <v>5</v>
      </c>
      <c r="AH21" s="74">
        <f t="shared" si="15"/>
        <v>5</v>
      </c>
      <c r="AI21" s="74">
        <f t="shared" si="15"/>
        <v>5</v>
      </c>
      <c r="AJ21" s="74">
        <f t="shared" si="15"/>
        <v>5</v>
      </c>
      <c r="AK21" s="74">
        <f t="shared" si="15"/>
        <v>5</v>
      </c>
      <c r="AL21" s="74">
        <f t="shared" si="15"/>
        <v>5</v>
      </c>
      <c r="AM21" s="74">
        <f t="shared" si="15"/>
        <v>5</v>
      </c>
      <c r="AN21" s="74">
        <f t="shared" si="15"/>
        <v>5</v>
      </c>
      <c r="AO21" s="74">
        <f t="shared" si="15"/>
        <v>5</v>
      </c>
      <c r="AP21" s="74">
        <f t="shared" si="15"/>
        <v>5</v>
      </c>
      <c r="AQ21" s="74">
        <f t="shared" si="15"/>
        <v>5</v>
      </c>
      <c r="AR21" s="74">
        <f t="shared" si="15"/>
        <v>5</v>
      </c>
      <c r="AS21" s="74">
        <f t="shared" si="15"/>
        <v>5</v>
      </c>
      <c r="AT21" s="74">
        <f t="shared" si="15"/>
        <v>5</v>
      </c>
      <c r="AU21" s="74">
        <f t="shared" si="15"/>
        <v>5</v>
      </c>
      <c r="AV21" s="74">
        <f t="shared" si="15"/>
        <v>5</v>
      </c>
    </row>
    <row r="22" spans="1:48" ht="15.75" thickBot="1">
      <c r="A22" s="77"/>
      <c r="B22" s="43"/>
      <c r="C22" s="43"/>
      <c r="D22" s="80"/>
      <c r="E22" s="642"/>
      <c r="F22" s="44" t="s">
        <v>39</v>
      </c>
      <c r="G22" s="473">
        <v>1</v>
      </c>
      <c r="H22" s="469"/>
      <c r="O22" s="74">
        <f>SUM($C$13)</f>
        <v>2</v>
      </c>
      <c r="P22" s="74">
        <f>SUM($C$14)</f>
        <v>3</v>
      </c>
      <c r="Q22" s="74">
        <f>SUM($C$15)</f>
        <v>4</v>
      </c>
      <c r="R22" s="74">
        <f t="shared" ref="R22:AV22" si="16">SUM($C$16)</f>
        <v>5</v>
      </c>
      <c r="S22" s="74">
        <f t="shared" si="16"/>
        <v>5</v>
      </c>
      <c r="T22" s="74">
        <f t="shared" si="16"/>
        <v>5</v>
      </c>
      <c r="U22" s="74">
        <f t="shared" si="16"/>
        <v>5</v>
      </c>
      <c r="V22" s="74">
        <f t="shared" si="16"/>
        <v>5</v>
      </c>
      <c r="W22" s="74">
        <f t="shared" si="16"/>
        <v>5</v>
      </c>
      <c r="X22" s="74">
        <f t="shared" si="16"/>
        <v>5</v>
      </c>
      <c r="Y22" s="74">
        <f t="shared" si="16"/>
        <v>5</v>
      </c>
      <c r="Z22" s="74">
        <f t="shared" si="16"/>
        <v>5</v>
      </c>
      <c r="AA22" s="74">
        <f t="shared" si="16"/>
        <v>5</v>
      </c>
      <c r="AB22" s="74">
        <f t="shared" si="16"/>
        <v>5</v>
      </c>
      <c r="AC22" s="74">
        <f t="shared" si="16"/>
        <v>5</v>
      </c>
      <c r="AD22" s="74">
        <f t="shared" si="16"/>
        <v>5</v>
      </c>
      <c r="AE22" s="74">
        <f t="shared" si="16"/>
        <v>5</v>
      </c>
      <c r="AF22" s="74">
        <f t="shared" si="16"/>
        <v>5</v>
      </c>
      <c r="AG22" s="74">
        <f t="shared" si="16"/>
        <v>5</v>
      </c>
      <c r="AH22" s="74">
        <f t="shared" si="16"/>
        <v>5</v>
      </c>
      <c r="AI22" s="74">
        <f t="shared" si="16"/>
        <v>5</v>
      </c>
      <c r="AJ22" s="74">
        <f t="shared" si="16"/>
        <v>5</v>
      </c>
      <c r="AK22" s="74">
        <f t="shared" si="16"/>
        <v>5</v>
      </c>
      <c r="AL22" s="74">
        <f t="shared" si="16"/>
        <v>5</v>
      </c>
      <c r="AM22" s="74">
        <f t="shared" si="16"/>
        <v>5</v>
      </c>
      <c r="AN22" s="74">
        <f t="shared" si="16"/>
        <v>5</v>
      </c>
      <c r="AO22" s="74">
        <f t="shared" si="16"/>
        <v>5</v>
      </c>
      <c r="AP22" s="74">
        <f t="shared" si="16"/>
        <v>5</v>
      </c>
      <c r="AQ22" s="74">
        <f t="shared" si="16"/>
        <v>5</v>
      </c>
      <c r="AR22" s="74">
        <f t="shared" si="16"/>
        <v>5</v>
      </c>
      <c r="AS22" s="74">
        <f t="shared" si="16"/>
        <v>5</v>
      </c>
      <c r="AT22" s="74">
        <f t="shared" si="16"/>
        <v>5</v>
      </c>
      <c r="AU22" s="74">
        <f t="shared" si="16"/>
        <v>5</v>
      </c>
      <c r="AV22" s="74">
        <f t="shared" si="16"/>
        <v>5</v>
      </c>
    </row>
    <row r="23" spans="1:48" ht="15.75" thickBot="1">
      <c r="A23" s="79"/>
      <c r="B23" s="87" t="s">
        <v>63</v>
      </c>
      <c r="C23" s="486">
        <f>SUM(X6)</f>
        <v>1006675.0843547031</v>
      </c>
      <c r="D23" s="43"/>
      <c r="E23" s="642"/>
      <c r="F23" s="44" t="s">
        <v>40</v>
      </c>
      <c r="G23" s="473">
        <v>2</v>
      </c>
      <c r="H23" s="469"/>
      <c r="P23" s="74">
        <f>SUM($C$13)</f>
        <v>2</v>
      </c>
      <c r="Q23" s="74">
        <f>SUM($C$14)</f>
        <v>3</v>
      </c>
      <c r="R23" s="74">
        <f>SUM($C$15)</f>
        <v>4</v>
      </c>
      <c r="S23" s="74">
        <f t="shared" ref="S23:AV23" si="17">SUM($C$16)</f>
        <v>5</v>
      </c>
      <c r="T23" s="74">
        <f t="shared" si="17"/>
        <v>5</v>
      </c>
      <c r="U23" s="74">
        <f t="shared" si="17"/>
        <v>5</v>
      </c>
      <c r="V23" s="74">
        <f t="shared" si="17"/>
        <v>5</v>
      </c>
      <c r="W23" s="74">
        <f t="shared" si="17"/>
        <v>5</v>
      </c>
      <c r="X23" s="74">
        <f t="shared" si="17"/>
        <v>5</v>
      </c>
      <c r="Y23" s="74">
        <f t="shared" si="17"/>
        <v>5</v>
      </c>
      <c r="Z23" s="74">
        <f t="shared" si="17"/>
        <v>5</v>
      </c>
      <c r="AA23" s="74">
        <f t="shared" si="17"/>
        <v>5</v>
      </c>
      <c r="AB23" s="74">
        <f t="shared" si="17"/>
        <v>5</v>
      </c>
      <c r="AC23" s="74">
        <f t="shared" si="17"/>
        <v>5</v>
      </c>
      <c r="AD23" s="74">
        <f t="shared" si="17"/>
        <v>5</v>
      </c>
      <c r="AE23" s="74">
        <f t="shared" si="17"/>
        <v>5</v>
      </c>
      <c r="AF23" s="74">
        <f t="shared" si="17"/>
        <v>5</v>
      </c>
      <c r="AG23" s="74">
        <f t="shared" si="17"/>
        <v>5</v>
      </c>
      <c r="AH23" s="74">
        <f t="shared" si="17"/>
        <v>5</v>
      </c>
      <c r="AI23" s="74">
        <f t="shared" si="17"/>
        <v>5</v>
      </c>
      <c r="AJ23" s="74">
        <f t="shared" si="17"/>
        <v>5</v>
      </c>
      <c r="AK23" s="74">
        <f t="shared" si="17"/>
        <v>5</v>
      </c>
      <c r="AL23" s="74">
        <f t="shared" si="17"/>
        <v>5</v>
      </c>
      <c r="AM23" s="74">
        <f t="shared" si="17"/>
        <v>5</v>
      </c>
      <c r="AN23" s="74">
        <f t="shared" si="17"/>
        <v>5</v>
      </c>
      <c r="AO23" s="74">
        <f t="shared" si="17"/>
        <v>5</v>
      </c>
      <c r="AP23" s="74">
        <f t="shared" si="17"/>
        <v>5</v>
      </c>
      <c r="AQ23" s="74">
        <f t="shared" si="17"/>
        <v>5</v>
      </c>
      <c r="AR23" s="74">
        <f t="shared" si="17"/>
        <v>5</v>
      </c>
      <c r="AS23" s="74">
        <f t="shared" si="17"/>
        <v>5</v>
      </c>
      <c r="AT23" s="74">
        <f t="shared" si="17"/>
        <v>5</v>
      </c>
      <c r="AU23" s="74">
        <f t="shared" si="17"/>
        <v>5</v>
      </c>
      <c r="AV23" s="74">
        <f t="shared" si="17"/>
        <v>5</v>
      </c>
    </row>
    <row r="24" spans="1:48" ht="15.75" thickBot="1">
      <c r="A24" s="43"/>
      <c r="B24" s="485" t="s">
        <v>2414</v>
      </c>
      <c r="C24" s="82">
        <f>C23/C10</f>
        <v>840.99839962798922</v>
      </c>
      <c r="D24" s="43"/>
      <c r="E24" s="642"/>
      <c r="F24" s="44" t="s">
        <v>41</v>
      </c>
      <c r="G24" s="473">
        <v>2</v>
      </c>
      <c r="H24" s="469"/>
      <c r="Q24" s="74">
        <f>SUM($C$13)</f>
        <v>2</v>
      </c>
      <c r="R24" s="74">
        <f>SUM($C$14)</f>
        <v>3</v>
      </c>
      <c r="S24" s="74">
        <f>SUM($C$15)</f>
        <v>4</v>
      </c>
      <c r="T24" s="74">
        <f t="shared" ref="T24:AV24" si="18">SUM($C$16)</f>
        <v>5</v>
      </c>
      <c r="U24" s="74">
        <f t="shared" si="18"/>
        <v>5</v>
      </c>
      <c r="V24" s="74">
        <f t="shared" si="18"/>
        <v>5</v>
      </c>
      <c r="W24" s="74">
        <f t="shared" si="18"/>
        <v>5</v>
      </c>
      <c r="X24" s="74">
        <f t="shared" si="18"/>
        <v>5</v>
      </c>
      <c r="Y24" s="74">
        <f t="shared" si="18"/>
        <v>5</v>
      </c>
      <c r="Z24" s="74">
        <f t="shared" si="18"/>
        <v>5</v>
      </c>
      <c r="AA24" s="74">
        <f t="shared" si="18"/>
        <v>5</v>
      </c>
      <c r="AB24" s="74">
        <f t="shared" si="18"/>
        <v>5</v>
      </c>
      <c r="AC24" s="74">
        <f t="shared" si="18"/>
        <v>5</v>
      </c>
      <c r="AD24" s="74">
        <f t="shared" si="18"/>
        <v>5</v>
      </c>
      <c r="AE24" s="74">
        <f t="shared" si="18"/>
        <v>5</v>
      </c>
      <c r="AF24" s="74">
        <f t="shared" si="18"/>
        <v>5</v>
      </c>
      <c r="AG24" s="74">
        <f t="shared" si="18"/>
        <v>5</v>
      </c>
      <c r="AH24" s="74">
        <f t="shared" si="18"/>
        <v>5</v>
      </c>
      <c r="AI24" s="74">
        <f t="shared" si="18"/>
        <v>5</v>
      </c>
      <c r="AJ24" s="74">
        <f t="shared" si="18"/>
        <v>5</v>
      </c>
      <c r="AK24" s="74">
        <f t="shared" si="18"/>
        <v>5</v>
      </c>
      <c r="AL24" s="74">
        <f t="shared" si="18"/>
        <v>5</v>
      </c>
      <c r="AM24" s="74">
        <f t="shared" si="18"/>
        <v>5</v>
      </c>
      <c r="AN24" s="74">
        <f t="shared" si="18"/>
        <v>5</v>
      </c>
      <c r="AO24" s="74">
        <f t="shared" si="18"/>
        <v>5</v>
      </c>
      <c r="AP24" s="74">
        <f t="shared" si="18"/>
        <v>5</v>
      </c>
      <c r="AQ24" s="74">
        <f t="shared" si="18"/>
        <v>5</v>
      </c>
      <c r="AR24" s="74">
        <f t="shared" si="18"/>
        <v>5</v>
      </c>
      <c r="AS24" s="74">
        <f t="shared" si="18"/>
        <v>5</v>
      </c>
      <c r="AT24" s="74">
        <f t="shared" si="18"/>
        <v>5</v>
      </c>
      <c r="AU24" s="74">
        <f t="shared" si="18"/>
        <v>5</v>
      </c>
      <c r="AV24" s="74">
        <f t="shared" si="18"/>
        <v>5</v>
      </c>
    </row>
    <row r="25" spans="1:48" ht="15.75" thickBot="1">
      <c r="A25" s="43"/>
      <c r="B25" s="485" t="s">
        <v>2417</v>
      </c>
      <c r="C25" s="74">
        <f>SUM(G15:G31)</f>
        <v>30</v>
      </c>
      <c r="D25" s="43"/>
      <c r="E25" s="642"/>
      <c r="F25" s="44" t="s">
        <v>42</v>
      </c>
      <c r="G25" s="473">
        <v>2</v>
      </c>
      <c r="H25" s="469"/>
      <c r="R25" s="74">
        <f>SUM($C$13)</f>
        <v>2</v>
      </c>
      <c r="S25" s="74">
        <f>SUM($C$14)</f>
        <v>3</v>
      </c>
      <c r="T25" s="74">
        <f>SUM($C$15)</f>
        <v>4</v>
      </c>
      <c r="U25" s="74">
        <f t="shared" ref="U25:AV25" si="19">SUM($C$16)</f>
        <v>5</v>
      </c>
      <c r="V25" s="74">
        <f t="shared" si="19"/>
        <v>5</v>
      </c>
      <c r="W25" s="74">
        <f t="shared" si="19"/>
        <v>5</v>
      </c>
      <c r="X25" s="74">
        <f t="shared" si="19"/>
        <v>5</v>
      </c>
      <c r="Y25" s="74">
        <f t="shared" si="19"/>
        <v>5</v>
      </c>
      <c r="Z25" s="74">
        <f t="shared" si="19"/>
        <v>5</v>
      </c>
      <c r="AA25" s="74">
        <f t="shared" si="19"/>
        <v>5</v>
      </c>
      <c r="AB25" s="74">
        <f t="shared" si="19"/>
        <v>5</v>
      </c>
      <c r="AC25" s="74">
        <f t="shared" si="19"/>
        <v>5</v>
      </c>
      <c r="AD25" s="74">
        <f t="shared" si="19"/>
        <v>5</v>
      </c>
      <c r="AE25" s="74">
        <f t="shared" si="19"/>
        <v>5</v>
      </c>
      <c r="AF25" s="74">
        <f t="shared" si="19"/>
        <v>5</v>
      </c>
      <c r="AG25" s="74">
        <f t="shared" si="19"/>
        <v>5</v>
      </c>
      <c r="AH25" s="74">
        <f t="shared" si="19"/>
        <v>5</v>
      </c>
      <c r="AI25" s="74">
        <f t="shared" si="19"/>
        <v>5</v>
      </c>
      <c r="AJ25" s="74">
        <f t="shared" si="19"/>
        <v>5</v>
      </c>
      <c r="AK25" s="74">
        <f t="shared" si="19"/>
        <v>5</v>
      </c>
      <c r="AL25" s="74">
        <f t="shared" si="19"/>
        <v>5</v>
      </c>
      <c r="AM25" s="74">
        <f t="shared" si="19"/>
        <v>5</v>
      </c>
      <c r="AN25" s="74">
        <f t="shared" si="19"/>
        <v>5</v>
      </c>
      <c r="AO25" s="74">
        <f t="shared" si="19"/>
        <v>5</v>
      </c>
      <c r="AP25" s="74">
        <f t="shared" si="19"/>
        <v>5</v>
      </c>
      <c r="AQ25" s="74">
        <f t="shared" si="19"/>
        <v>5</v>
      </c>
      <c r="AR25" s="74">
        <f t="shared" si="19"/>
        <v>5</v>
      </c>
      <c r="AS25" s="74">
        <f t="shared" si="19"/>
        <v>5</v>
      </c>
      <c r="AT25" s="74">
        <f t="shared" si="19"/>
        <v>5</v>
      </c>
      <c r="AU25" s="74">
        <f t="shared" si="19"/>
        <v>5</v>
      </c>
      <c r="AV25" s="74">
        <f t="shared" si="19"/>
        <v>5</v>
      </c>
    </row>
    <row r="26" spans="1:48" ht="15.75" thickBot="1">
      <c r="A26" s="43"/>
      <c r="B26" s="43"/>
      <c r="C26" s="43"/>
      <c r="D26" s="76"/>
      <c r="E26" s="642"/>
      <c r="F26" s="44" t="s">
        <v>43</v>
      </c>
      <c r="G26" s="473">
        <v>2</v>
      </c>
      <c r="H26" s="469"/>
      <c r="S26" s="74">
        <f>SUM($C$13)</f>
        <v>2</v>
      </c>
      <c r="T26" s="74">
        <f>SUM($C$14)</f>
        <v>3</v>
      </c>
      <c r="U26" s="74">
        <f>SUM($C$15)</f>
        <v>4</v>
      </c>
      <c r="V26" s="74">
        <f t="shared" ref="V26:AV26" si="20">SUM($C$16)</f>
        <v>5</v>
      </c>
      <c r="W26" s="74">
        <f t="shared" si="20"/>
        <v>5</v>
      </c>
      <c r="X26" s="74">
        <f t="shared" si="20"/>
        <v>5</v>
      </c>
      <c r="Y26" s="74">
        <f t="shared" si="20"/>
        <v>5</v>
      </c>
      <c r="Z26" s="74">
        <f t="shared" si="20"/>
        <v>5</v>
      </c>
      <c r="AA26" s="74">
        <f t="shared" si="20"/>
        <v>5</v>
      </c>
      <c r="AB26" s="74">
        <f t="shared" si="20"/>
        <v>5</v>
      </c>
      <c r="AC26" s="74">
        <f t="shared" si="20"/>
        <v>5</v>
      </c>
      <c r="AD26" s="74">
        <f t="shared" si="20"/>
        <v>5</v>
      </c>
      <c r="AE26" s="74">
        <f t="shared" si="20"/>
        <v>5</v>
      </c>
      <c r="AF26" s="74">
        <f t="shared" si="20"/>
        <v>5</v>
      </c>
      <c r="AG26" s="74">
        <f t="shared" si="20"/>
        <v>5</v>
      </c>
      <c r="AH26" s="74">
        <f t="shared" si="20"/>
        <v>5</v>
      </c>
      <c r="AI26" s="74">
        <f t="shared" si="20"/>
        <v>5</v>
      </c>
      <c r="AJ26" s="74">
        <f t="shared" si="20"/>
        <v>5</v>
      </c>
      <c r="AK26" s="74">
        <f t="shared" si="20"/>
        <v>5</v>
      </c>
      <c r="AL26" s="74">
        <f t="shared" si="20"/>
        <v>5</v>
      </c>
      <c r="AM26" s="74">
        <f t="shared" si="20"/>
        <v>5</v>
      </c>
      <c r="AN26" s="74">
        <f t="shared" si="20"/>
        <v>5</v>
      </c>
      <c r="AO26" s="74">
        <f t="shared" si="20"/>
        <v>5</v>
      </c>
      <c r="AP26" s="74">
        <f t="shared" si="20"/>
        <v>5</v>
      </c>
      <c r="AQ26" s="74">
        <f t="shared" si="20"/>
        <v>5</v>
      </c>
      <c r="AR26" s="74">
        <f t="shared" si="20"/>
        <v>5</v>
      </c>
      <c r="AS26" s="74">
        <f t="shared" si="20"/>
        <v>5</v>
      </c>
      <c r="AT26" s="74">
        <f t="shared" si="20"/>
        <v>5</v>
      </c>
      <c r="AU26" s="74">
        <f t="shared" si="20"/>
        <v>5</v>
      </c>
      <c r="AV26" s="74">
        <f t="shared" si="20"/>
        <v>5</v>
      </c>
    </row>
    <row r="27" spans="1:48" ht="15.75" thickBot="1">
      <c r="A27" s="77"/>
      <c r="B27" s="90" t="s">
        <v>64</v>
      </c>
      <c r="C27" s="486">
        <f>SUM(AJ6)</f>
        <v>2408670.3887634319</v>
      </c>
      <c r="D27" s="76"/>
      <c r="E27" s="642"/>
      <c r="F27" s="44" t="s">
        <v>44</v>
      </c>
      <c r="G27" s="473">
        <v>3</v>
      </c>
      <c r="H27" s="469"/>
      <c r="T27" s="74">
        <f>SUM($C$13)</f>
        <v>2</v>
      </c>
      <c r="U27" s="74">
        <f>SUM($C$14)</f>
        <v>3</v>
      </c>
      <c r="V27" s="74">
        <f>SUM($C$15)</f>
        <v>4</v>
      </c>
      <c r="W27" s="74">
        <f t="shared" ref="W27:AV27" si="21">SUM($C$16)</f>
        <v>5</v>
      </c>
      <c r="X27" s="74">
        <f t="shared" si="21"/>
        <v>5</v>
      </c>
      <c r="Y27" s="74">
        <f t="shared" si="21"/>
        <v>5</v>
      </c>
      <c r="Z27" s="74">
        <f t="shared" si="21"/>
        <v>5</v>
      </c>
      <c r="AA27" s="74">
        <f t="shared" si="21"/>
        <v>5</v>
      </c>
      <c r="AB27" s="74">
        <f t="shared" si="21"/>
        <v>5</v>
      </c>
      <c r="AC27" s="74">
        <f t="shared" si="21"/>
        <v>5</v>
      </c>
      <c r="AD27" s="74">
        <f t="shared" si="21"/>
        <v>5</v>
      </c>
      <c r="AE27" s="74">
        <f t="shared" si="21"/>
        <v>5</v>
      </c>
      <c r="AF27" s="74">
        <f t="shared" si="21"/>
        <v>5</v>
      </c>
      <c r="AG27" s="74">
        <f t="shared" si="21"/>
        <v>5</v>
      </c>
      <c r="AH27" s="74">
        <f t="shared" si="21"/>
        <v>5</v>
      </c>
      <c r="AI27" s="74">
        <f t="shared" si="21"/>
        <v>5</v>
      </c>
      <c r="AJ27" s="74">
        <f t="shared" si="21"/>
        <v>5</v>
      </c>
      <c r="AK27" s="74">
        <f t="shared" si="21"/>
        <v>5</v>
      </c>
      <c r="AL27" s="74">
        <f t="shared" si="21"/>
        <v>5</v>
      </c>
      <c r="AM27" s="74">
        <f t="shared" si="21"/>
        <v>5</v>
      </c>
      <c r="AN27" s="74">
        <f t="shared" si="21"/>
        <v>5</v>
      </c>
      <c r="AO27" s="74">
        <f t="shared" si="21"/>
        <v>5</v>
      </c>
      <c r="AP27" s="74">
        <f t="shared" si="21"/>
        <v>5</v>
      </c>
      <c r="AQ27" s="74">
        <f t="shared" si="21"/>
        <v>5</v>
      </c>
      <c r="AR27" s="74">
        <f t="shared" si="21"/>
        <v>5</v>
      </c>
      <c r="AS27" s="74">
        <f t="shared" si="21"/>
        <v>5</v>
      </c>
      <c r="AT27" s="74">
        <f t="shared" si="21"/>
        <v>5</v>
      </c>
      <c r="AU27" s="74">
        <f t="shared" si="21"/>
        <v>5</v>
      </c>
      <c r="AV27" s="74">
        <f t="shared" si="21"/>
        <v>5</v>
      </c>
    </row>
    <row r="28" spans="1:48" ht="15.75" thickBot="1">
      <c r="A28" s="77"/>
      <c r="B28" s="485" t="s">
        <v>2416</v>
      </c>
      <c r="C28" s="82">
        <f>C27/C10</f>
        <v>2012.2559638792247</v>
      </c>
      <c r="D28" s="76"/>
      <c r="E28" s="642"/>
      <c r="F28" s="44" t="s">
        <v>33</v>
      </c>
      <c r="G28" s="473">
        <v>3</v>
      </c>
      <c r="H28" s="469"/>
      <c r="U28" s="74">
        <f>SUM($C$13)</f>
        <v>2</v>
      </c>
      <c r="V28" s="74">
        <f>SUM($C$14)</f>
        <v>3</v>
      </c>
      <c r="W28" s="74">
        <f>SUM($C$15)</f>
        <v>4</v>
      </c>
      <c r="X28" s="74">
        <f t="shared" ref="X28:AV28" si="22">SUM($C$16)</f>
        <v>5</v>
      </c>
      <c r="Y28" s="74">
        <f t="shared" si="22"/>
        <v>5</v>
      </c>
      <c r="Z28" s="74">
        <f t="shared" si="22"/>
        <v>5</v>
      </c>
      <c r="AA28" s="74">
        <f t="shared" si="22"/>
        <v>5</v>
      </c>
      <c r="AB28" s="74">
        <f t="shared" si="22"/>
        <v>5</v>
      </c>
      <c r="AC28" s="74">
        <f t="shared" si="22"/>
        <v>5</v>
      </c>
      <c r="AD28" s="74">
        <f t="shared" si="22"/>
        <v>5</v>
      </c>
      <c r="AE28" s="74">
        <f t="shared" si="22"/>
        <v>5</v>
      </c>
      <c r="AF28" s="74">
        <f t="shared" si="22"/>
        <v>5</v>
      </c>
      <c r="AG28" s="74">
        <f t="shared" si="22"/>
        <v>5</v>
      </c>
      <c r="AH28" s="74">
        <f t="shared" si="22"/>
        <v>5</v>
      </c>
      <c r="AI28" s="74">
        <f t="shared" si="22"/>
        <v>5</v>
      </c>
      <c r="AJ28" s="74">
        <f t="shared" si="22"/>
        <v>5</v>
      </c>
      <c r="AK28" s="74">
        <f t="shared" si="22"/>
        <v>5</v>
      </c>
      <c r="AL28" s="74">
        <f t="shared" si="22"/>
        <v>5</v>
      </c>
      <c r="AM28" s="74">
        <f t="shared" si="22"/>
        <v>5</v>
      </c>
      <c r="AN28" s="74">
        <f t="shared" si="22"/>
        <v>5</v>
      </c>
      <c r="AO28" s="74">
        <f t="shared" si="22"/>
        <v>5</v>
      </c>
      <c r="AP28" s="74">
        <f t="shared" si="22"/>
        <v>5</v>
      </c>
      <c r="AQ28" s="74">
        <f t="shared" si="22"/>
        <v>5</v>
      </c>
      <c r="AR28" s="74">
        <f t="shared" si="22"/>
        <v>5</v>
      </c>
      <c r="AS28" s="74">
        <f t="shared" si="22"/>
        <v>5</v>
      </c>
      <c r="AT28" s="74">
        <f t="shared" si="22"/>
        <v>5</v>
      </c>
      <c r="AU28" s="74">
        <f t="shared" si="22"/>
        <v>5</v>
      </c>
      <c r="AV28" s="74">
        <f t="shared" si="22"/>
        <v>5</v>
      </c>
    </row>
    <row r="29" spans="1:48" ht="15.75" thickBot="1">
      <c r="A29" s="77"/>
      <c r="B29" s="485" t="s">
        <v>2417</v>
      </c>
      <c r="C29" s="74">
        <f>C25</f>
        <v>30</v>
      </c>
      <c r="D29" s="43"/>
      <c r="E29" s="642"/>
      <c r="F29" s="44" t="s">
        <v>34</v>
      </c>
      <c r="G29" s="473">
        <v>3</v>
      </c>
      <c r="H29" s="469"/>
      <c r="V29" s="74">
        <f>SUM($C$13)</f>
        <v>2</v>
      </c>
      <c r="W29" s="74">
        <f>SUM($C$14)</f>
        <v>3</v>
      </c>
      <c r="X29" s="74">
        <f>SUM($C$15)</f>
        <v>4</v>
      </c>
      <c r="Y29" s="74">
        <f t="shared" ref="Y29:AV29" si="23">SUM($C$16)</f>
        <v>5</v>
      </c>
      <c r="Z29" s="74">
        <f t="shared" si="23"/>
        <v>5</v>
      </c>
      <c r="AA29" s="74">
        <f t="shared" si="23"/>
        <v>5</v>
      </c>
      <c r="AB29" s="74">
        <f t="shared" si="23"/>
        <v>5</v>
      </c>
      <c r="AC29" s="74">
        <f t="shared" si="23"/>
        <v>5</v>
      </c>
      <c r="AD29" s="74">
        <f t="shared" si="23"/>
        <v>5</v>
      </c>
      <c r="AE29" s="74">
        <f t="shared" si="23"/>
        <v>5</v>
      </c>
      <c r="AF29" s="74">
        <f t="shared" si="23"/>
        <v>5</v>
      </c>
      <c r="AG29" s="74">
        <f t="shared" si="23"/>
        <v>5</v>
      </c>
      <c r="AH29" s="74">
        <f t="shared" si="23"/>
        <v>5</v>
      </c>
      <c r="AI29" s="74">
        <f t="shared" si="23"/>
        <v>5</v>
      </c>
      <c r="AJ29" s="74">
        <f t="shared" si="23"/>
        <v>5</v>
      </c>
      <c r="AK29" s="74">
        <f t="shared" si="23"/>
        <v>5</v>
      </c>
      <c r="AL29" s="74">
        <f t="shared" si="23"/>
        <v>5</v>
      </c>
      <c r="AM29" s="74">
        <f t="shared" si="23"/>
        <v>5</v>
      </c>
      <c r="AN29" s="74">
        <f t="shared" si="23"/>
        <v>5</v>
      </c>
      <c r="AO29" s="74">
        <f t="shared" si="23"/>
        <v>5</v>
      </c>
      <c r="AP29" s="74">
        <f t="shared" si="23"/>
        <v>5</v>
      </c>
      <c r="AQ29" s="74">
        <f t="shared" si="23"/>
        <v>5</v>
      </c>
      <c r="AR29" s="74">
        <f t="shared" si="23"/>
        <v>5</v>
      </c>
      <c r="AS29" s="74">
        <f t="shared" si="23"/>
        <v>5</v>
      </c>
      <c r="AT29" s="74">
        <f t="shared" si="23"/>
        <v>5</v>
      </c>
      <c r="AU29" s="74">
        <f t="shared" si="23"/>
        <v>5</v>
      </c>
      <c r="AV29" s="74">
        <f t="shared" si="23"/>
        <v>5</v>
      </c>
    </row>
    <row r="30" spans="1:48" ht="15.75" thickBot="1">
      <c r="A30" s="43"/>
      <c r="B30" s="43"/>
      <c r="C30" s="43"/>
      <c r="D30" s="76"/>
      <c r="E30" s="642"/>
      <c r="F30" s="44" t="s">
        <v>35</v>
      </c>
      <c r="G30" s="473">
        <v>3</v>
      </c>
      <c r="H30" s="469"/>
      <c r="W30" s="74">
        <f>SUM($C$13)</f>
        <v>2</v>
      </c>
      <c r="X30" s="74">
        <f>SUM($C$14)</f>
        <v>3</v>
      </c>
      <c r="Y30" s="74">
        <f>SUM($C$15)</f>
        <v>4</v>
      </c>
      <c r="Z30" s="74">
        <f t="shared" ref="Z30:AV30" si="24">SUM($C$16)</f>
        <v>5</v>
      </c>
      <c r="AA30" s="74">
        <f t="shared" si="24"/>
        <v>5</v>
      </c>
      <c r="AB30" s="74">
        <f t="shared" si="24"/>
        <v>5</v>
      </c>
      <c r="AC30" s="74">
        <f t="shared" si="24"/>
        <v>5</v>
      </c>
      <c r="AD30" s="74">
        <f t="shared" si="24"/>
        <v>5</v>
      </c>
      <c r="AE30" s="74">
        <f t="shared" si="24"/>
        <v>5</v>
      </c>
      <c r="AF30" s="74">
        <f t="shared" si="24"/>
        <v>5</v>
      </c>
      <c r="AG30" s="74">
        <f t="shared" si="24"/>
        <v>5</v>
      </c>
      <c r="AH30" s="74">
        <f t="shared" si="24"/>
        <v>5</v>
      </c>
      <c r="AI30" s="74">
        <f t="shared" si="24"/>
        <v>5</v>
      </c>
      <c r="AJ30" s="74">
        <f t="shared" si="24"/>
        <v>5</v>
      </c>
      <c r="AK30" s="74">
        <f t="shared" si="24"/>
        <v>5</v>
      </c>
      <c r="AL30" s="74">
        <f t="shared" si="24"/>
        <v>5</v>
      </c>
      <c r="AM30" s="74">
        <f t="shared" si="24"/>
        <v>5</v>
      </c>
      <c r="AN30" s="74">
        <f t="shared" si="24"/>
        <v>5</v>
      </c>
      <c r="AO30" s="74">
        <f t="shared" si="24"/>
        <v>5</v>
      </c>
      <c r="AP30" s="74">
        <f t="shared" si="24"/>
        <v>5</v>
      </c>
      <c r="AQ30" s="74">
        <f t="shared" si="24"/>
        <v>5</v>
      </c>
      <c r="AR30" s="74">
        <f t="shared" si="24"/>
        <v>5</v>
      </c>
      <c r="AS30" s="74">
        <f t="shared" si="24"/>
        <v>5</v>
      </c>
      <c r="AT30" s="74">
        <f t="shared" si="24"/>
        <v>5</v>
      </c>
      <c r="AU30" s="74">
        <f t="shared" si="24"/>
        <v>5</v>
      </c>
      <c r="AV30" s="74">
        <f t="shared" si="24"/>
        <v>5</v>
      </c>
    </row>
    <row r="31" spans="1:48" ht="15.75" thickBot="1">
      <c r="A31" s="77"/>
      <c r="B31" s="91" t="s">
        <v>65</v>
      </c>
      <c r="C31" s="486">
        <f>SUM(AV6)</f>
        <v>3381434.1208789032</v>
      </c>
      <c r="D31" s="76"/>
      <c r="E31" s="643"/>
      <c r="F31" s="44" t="s">
        <v>36</v>
      </c>
      <c r="G31" s="474">
        <v>3</v>
      </c>
      <c r="H31" s="469"/>
      <c r="X31" s="74">
        <f>SUM($C$13)</f>
        <v>2</v>
      </c>
      <c r="Y31" s="74">
        <f>SUM($C$14)</f>
        <v>3</v>
      </c>
      <c r="Z31" s="74">
        <f>SUM($C$15)</f>
        <v>4</v>
      </c>
      <c r="AA31" s="74">
        <f t="shared" ref="AA31:AV31" si="25">SUM($C$16)</f>
        <v>5</v>
      </c>
      <c r="AB31" s="74">
        <f t="shared" si="25"/>
        <v>5</v>
      </c>
      <c r="AC31" s="74">
        <f t="shared" si="25"/>
        <v>5</v>
      </c>
      <c r="AD31" s="74">
        <f t="shared" si="25"/>
        <v>5</v>
      </c>
      <c r="AE31" s="74">
        <f t="shared" si="25"/>
        <v>5</v>
      </c>
      <c r="AF31" s="74">
        <f t="shared" si="25"/>
        <v>5</v>
      </c>
      <c r="AG31" s="74">
        <f t="shared" si="25"/>
        <v>5</v>
      </c>
      <c r="AH31" s="74">
        <f t="shared" si="25"/>
        <v>5</v>
      </c>
      <c r="AI31" s="74">
        <f t="shared" si="25"/>
        <v>5</v>
      </c>
      <c r="AJ31" s="74">
        <f t="shared" si="25"/>
        <v>5</v>
      </c>
      <c r="AK31" s="74">
        <f t="shared" si="25"/>
        <v>5</v>
      </c>
      <c r="AL31" s="74">
        <f t="shared" si="25"/>
        <v>5</v>
      </c>
      <c r="AM31" s="74">
        <f t="shared" si="25"/>
        <v>5</v>
      </c>
      <c r="AN31" s="74">
        <f t="shared" si="25"/>
        <v>5</v>
      </c>
      <c r="AO31" s="74">
        <f t="shared" si="25"/>
        <v>5</v>
      </c>
      <c r="AP31" s="74">
        <f t="shared" si="25"/>
        <v>5</v>
      </c>
      <c r="AQ31" s="74">
        <f t="shared" si="25"/>
        <v>5</v>
      </c>
      <c r="AR31" s="74">
        <f t="shared" si="25"/>
        <v>5</v>
      </c>
      <c r="AS31" s="74">
        <f t="shared" si="25"/>
        <v>5</v>
      </c>
      <c r="AT31" s="74">
        <f t="shared" si="25"/>
        <v>5</v>
      </c>
      <c r="AU31" s="74">
        <f t="shared" si="25"/>
        <v>5</v>
      </c>
      <c r="AV31" s="74">
        <f t="shared" si="25"/>
        <v>5</v>
      </c>
    </row>
    <row r="32" spans="1:48" ht="15" customHeight="1">
      <c r="A32" s="77"/>
      <c r="B32" s="485" t="s">
        <v>2415</v>
      </c>
      <c r="C32" s="82">
        <f>C31/C10</f>
        <v>2824.9240775930689</v>
      </c>
      <c r="D32" s="76"/>
      <c r="E32" s="43"/>
      <c r="F32" s="43"/>
      <c r="G32" s="43"/>
    </row>
    <row r="33" spans="1:7" ht="15" customHeight="1">
      <c r="A33" s="43"/>
      <c r="B33" s="485" t="s">
        <v>2417</v>
      </c>
      <c r="C33" s="74">
        <f>C29</f>
        <v>30</v>
      </c>
      <c r="D33" s="76"/>
      <c r="E33" s="43"/>
      <c r="F33" s="43"/>
      <c r="G33" s="43"/>
    </row>
    <row r="34" spans="1:7" ht="15" customHeight="1">
      <c r="A34" s="77"/>
      <c r="B34" s="43"/>
      <c r="C34" s="43"/>
      <c r="D34" s="76"/>
      <c r="E34" s="43"/>
      <c r="F34" s="43"/>
      <c r="G34" s="43"/>
    </row>
    <row r="35" spans="1:7" ht="15" customHeight="1">
      <c r="A35" s="77"/>
      <c r="B35" s="43"/>
      <c r="C35" s="43"/>
      <c r="D35" s="43"/>
      <c r="E35" s="43"/>
      <c r="F35" s="43"/>
      <c r="G35" s="43"/>
    </row>
    <row r="36" spans="1:7" ht="15" customHeight="1">
      <c r="A36" s="43"/>
      <c r="B36" s="43"/>
      <c r="C36" s="43"/>
      <c r="D36" s="43"/>
      <c r="E36" s="43"/>
      <c r="F36" s="43"/>
      <c r="G36" s="43"/>
    </row>
    <row r="37" spans="1:7" ht="15" customHeight="1">
      <c r="A37" s="43"/>
      <c r="B37" s="43"/>
      <c r="C37" s="43"/>
      <c r="D37" s="43"/>
      <c r="E37" s="43"/>
      <c r="F37" s="43"/>
      <c r="G37" s="43"/>
    </row>
    <row r="38" spans="1:7" ht="15" customHeight="1">
      <c r="A38" s="43"/>
      <c r="B38" s="43"/>
      <c r="C38" s="43"/>
      <c r="D38" s="43"/>
      <c r="E38" s="43"/>
      <c r="F38" s="43"/>
      <c r="G38" s="43"/>
    </row>
    <row r="39" spans="1:7" ht="15" customHeight="1">
      <c r="A39" s="43"/>
      <c r="B39" s="43"/>
      <c r="C39" s="43"/>
      <c r="D39" s="43"/>
      <c r="E39" s="43"/>
      <c r="F39" s="43"/>
      <c r="G39" s="43"/>
    </row>
    <row r="40" spans="1:7" ht="15" customHeight="1">
      <c r="A40" s="43"/>
      <c r="B40" s="43"/>
      <c r="C40" s="43"/>
      <c r="D40" s="43"/>
      <c r="E40" s="43"/>
      <c r="F40" s="43"/>
      <c r="G40" s="43"/>
    </row>
    <row r="41" spans="1:7" ht="15" customHeight="1">
      <c r="A41" s="43"/>
      <c r="B41" s="43"/>
      <c r="C41" s="43"/>
      <c r="D41" s="43"/>
      <c r="E41" s="43"/>
      <c r="F41" s="43"/>
      <c r="G41" s="43"/>
    </row>
    <row r="42" spans="1:7" ht="14.25" customHeight="1">
      <c r="A42" s="43"/>
      <c r="B42" s="43"/>
      <c r="C42" s="43"/>
      <c r="D42" s="43"/>
      <c r="E42" s="43"/>
      <c r="F42" s="43"/>
      <c r="G42" s="43"/>
    </row>
    <row r="43" spans="1:7" ht="14.25" customHeight="1">
      <c r="A43" s="43"/>
      <c r="B43" s="43"/>
      <c r="C43" s="43"/>
      <c r="D43" s="43"/>
      <c r="E43" s="43"/>
      <c r="F43" s="43"/>
      <c r="G43" s="43"/>
    </row>
    <row r="44" spans="1:7" ht="14.25" customHeight="1">
      <c r="A44" s="43"/>
      <c r="B44" s="43"/>
      <c r="C44" s="43"/>
      <c r="D44" s="43"/>
      <c r="E44" s="43"/>
      <c r="F44" s="43"/>
      <c r="G44" s="43"/>
    </row>
    <row r="45" spans="1:7" ht="14.25" customHeight="1">
      <c r="A45" s="43"/>
      <c r="B45" s="43"/>
      <c r="C45" s="43"/>
      <c r="D45" s="43"/>
      <c r="E45" s="43"/>
      <c r="F45" s="43"/>
      <c r="G45" s="43"/>
    </row>
    <row r="46" spans="1:7" ht="14.25" customHeight="1">
      <c r="A46" s="43"/>
      <c r="B46" s="43"/>
      <c r="C46" s="43"/>
      <c r="D46" s="43"/>
      <c r="E46" s="43"/>
      <c r="F46" s="43"/>
      <c r="G46" s="43"/>
    </row>
    <row r="47" spans="1:7">
      <c r="A47" s="43"/>
      <c r="B47" s="43"/>
      <c r="C47" s="43"/>
      <c r="D47" s="43"/>
      <c r="E47" s="43"/>
      <c r="F47" s="43"/>
      <c r="G47" s="43"/>
    </row>
    <row r="48" spans="1:7">
      <c r="A48" s="43"/>
      <c r="B48" s="43"/>
      <c r="C48" s="43"/>
      <c r="D48" s="43"/>
      <c r="E48" s="43"/>
      <c r="F48" s="43"/>
      <c r="G48" s="43"/>
    </row>
    <row r="49" spans="1:7">
      <c r="A49" s="43"/>
      <c r="B49" s="43"/>
      <c r="C49" s="43"/>
      <c r="D49" s="43"/>
      <c r="E49" s="43"/>
      <c r="F49" s="43"/>
      <c r="G49" s="43"/>
    </row>
    <row r="50" spans="1:7">
      <c r="A50" s="43"/>
      <c r="B50" s="43"/>
      <c r="C50" s="43"/>
      <c r="D50" s="43"/>
      <c r="E50" s="43"/>
      <c r="F50" s="43"/>
      <c r="G50" s="43"/>
    </row>
    <row r="51" spans="1:7">
      <c r="A51" s="43"/>
      <c r="B51" s="43"/>
      <c r="C51" s="43"/>
      <c r="D51" s="43"/>
      <c r="E51" s="43"/>
      <c r="F51" s="43"/>
      <c r="G51" s="43"/>
    </row>
    <row r="52" spans="1:7">
      <c r="A52" s="43"/>
      <c r="B52" s="43"/>
      <c r="C52" s="43"/>
      <c r="D52" s="43"/>
      <c r="E52" s="43"/>
      <c r="F52" s="43"/>
      <c r="G52" s="43"/>
    </row>
    <row r="53" spans="1:7">
      <c r="A53" s="43"/>
      <c r="B53" s="43"/>
      <c r="C53" s="43"/>
      <c r="D53" s="43"/>
      <c r="E53" s="43"/>
      <c r="F53" s="43"/>
      <c r="G53" s="43"/>
    </row>
    <row r="54" spans="1:7">
      <c r="A54" s="43"/>
      <c r="B54" s="43"/>
      <c r="C54" s="43"/>
      <c r="D54" s="43"/>
      <c r="E54" s="43"/>
      <c r="F54" s="43"/>
      <c r="G54" s="43"/>
    </row>
    <row r="55" spans="1:7">
      <c r="A55" s="43"/>
      <c r="B55" s="43"/>
      <c r="C55" s="43"/>
      <c r="D55" s="43"/>
      <c r="E55" s="43"/>
      <c r="F55" s="43"/>
      <c r="G55" s="43"/>
    </row>
    <row r="56" spans="1:7">
      <c r="A56" s="43"/>
      <c r="B56" s="43"/>
      <c r="C56" s="43"/>
      <c r="D56" s="43"/>
      <c r="E56" s="43"/>
      <c r="F56" s="43"/>
      <c r="G56" s="43"/>
    </row>
    <row r="57" spans="1:7">
      <c r="A57" s="43"/>
      <c r="B57" s="43"/>
      <c r="C57" s="43"/>
      <c r="D57" s="43"/>
      <c r="E57" s="43"/>
      <c r="F57" s="43"/>
      <c r="G57" s="43"/>
    </row>
    <row r="58" spans="1:7">
      <c r="A58" s="43"/>
      <c r="B58" s="43"/>
      <c r="C58" s="43"/>
      <c r="D58" s="43"/>
      <c r="E58" s="43"/>
      <c r="F58" s="43"/>
      <c r="G58" s="43"/>
    </row>
    <row r="59" spans="1:7">
      <c r="A59" s="43"/>
      <c r="B59" s="43"/>
      <c r="C59" s="43"/>
      <c r="D59" s="43"/>
      <c r="E59" s="43"/>
      <c r="F59" s="43"/>
      <c r="G59" s="43"/>
    </row>
    <row r="60" spans="1:7">
      <c r="A60" s="43"/>
      <c r="B60" s="43"/>
      <c r="C60" s="43"/>
      <c r="D60" s="43"/>
      <c r="E60" s="43"/>
      <c r="F60" s="43"/>
      <c r="G60" s="43"/>
    </row>
    <row r="61" spans="1:7">
      <c r="A61" s="43"/>
      <c r="B61" s="43"/>
      <c r="C61" s="43"/>
      <c r="D61" s="43"/>
      <c r="E61" s="43"/>
      <c r="F61" s="43"/>
      <c r="G61" s="43"/>
    </row>
    <row r="62" spans="1:7">
      <c r="A62" s="43"/>
      <c r="B62" s="43"/>
      <c r="C62" s="43"/>
      <c r="D62" s="43"/>
      <c r="E62" s="43"/>
      <c r="F62" s="43"/>
      <c r="G62" s="43"/>
    </row>
    <row r="63" spans="1:7">
      <c r="A63" s="43"/>
      <c r="B63" s="43"/>
      <c r="C63" s="43"/>
      <c r="D63" s="43"/>
      <c r="E63" s="43"/>
      <c r="F63" s="43"/>
      <c r="G63" s="43"/>
    </row>
    <row r="64" spans="1:7">
      <c r="A64" s="43"/>
      <c r="B64" s="43"/>
      <c r="C64" s="43"/>
      <c r="D64" s="43"/>
      <c r="E64" s="43"/>
      <c r="F64" s="43"/>
      <c r="G64" s="43"/>
    </row>
    <row r="65" spans="1:7">
      <c r="A65" s="43"/>
      <c r="B65" s="43"/>
      <c r="C65" s="43"/>
      <c r="D65" s="43"/>
      <c r="E65" s="43"/>
      <c r="F65" s="43"/>
      <c r="G65" s="43"/>
    </row>
    <row r="66" spans="1:7">
      <c r="A66" s="43"/>
      <c r="B66" s="43"/>
      <c r="C66" s="43"/>
      <c r="D66" s="43"/>
      <c r="E66" s="43"/>
      <c r="F66" s="43"/>
      <c r="G66" s="43"/>
    </row>
    <row r="67" spans="1:7">
      <c r="A67" s="43"/>
      <c r="B67" s="43"/>
      <c r="C67" s="43"/>
      <c r="D67" s="43"/>
      <c r="E67" s="43"/>
      <c r="F67" s="43"/>
      <c r="G67" s="43"/>
    </row>
    <row r="68" spans="1:7">
      <c r="A68" s="43"/>
      <c r="B68" s="43"/>
      <c r="C68" s="43"/>
      <c r="D68" s="43"/>
      <c r="E68" s="43"/>
      <c r="F68" s="43"/>
      <c r="G68" s="43"/>
    </row>
    <row r="69" spans="1:7">
      <c r="A69" s="43"/>
      <c r="B69" s="43"/>
      <c r="C69" s="43"/>
      <c r="D69" s="43"/>
      <c r="E69" s="43"/>
      <c r="F69" s="43"/>
      <c r="G69" s="43"/>
    </row>
    <row r="70" spans="1:7">
      <c r="A70" s="43"/>
      <c r="B70" s="43"/>
      <c r="C70" s="43"/>
      <c r="D70" s="43"/>
      <c r="E70" s="43"/>
      <c r="F70" s="43"/>
      <c r="G70" s="43"/>
    </row>
    <row r="71" spans="1:7">
      <c r="A71" s="43"/>
      <c r="B71" s="43"/>
      <c r="C71" s="43"/>
      <c r="D71" s="43"/>
      <c r="E71" s="43"/>
      <c r="F71" s="43"/>
      <c r="G71" s="43"/>
    </row>
    <row r="72" spans="1:7">
      <c r="A72" s="43"/>
      <c r="B72" s="43"/>
      <c r="C72" s="43"/>
      <c r="D72" s="43"/>
      <c r="E72" s="43"/>
      <c r="F72" s="43"/>
      <c r="G72" s="43"/>
    </row>
    <row r="73" spans="1:7">
      <c r="A73" s="43"/>
      <c r="B73" s="43"/>
      <c r="C73" s="43"/>
      <c r="D73" s="43"/>
      <c r="E73" s="43"/>
      <c r="F73" s="43"/>
      <c r="G73" s="43"/>
    </row>
    <row r="74" spans="1:7">
      <c r="A74" s="43"/>
      <c r="B74" s="43"/>
      <c r="C74" s="43"/>
      <c r="D74" s="43"/>
      <c r="E74" s="43"/>
      <c r="F74" s="43"/>
      <c r="G74" s="43"/>
    </row>
    <row r="75" spans="1:7">
      <c r="A75" s="43"/>
      <c r="B75" s="43"/>
      <c r="C75" s="43"/>
      <c r="D75" s="43"/>
      <c r="E75" s="43"/>
      <c r="F75" s="43"/>
      <c r="G75" s="43"/>
    </row>
    <row r="76" spans="1:7">
      <c r="A76" s="43"/>
      <c r="B76" s="43"/>
      <c r="C76" s="43"/>
      <c r="D76" s="43"/>
      <c r="E76" s="43"/>
      <c r="F76" s="43"/>
      <c r="G76" s="43"/>
    </row>
    <row r="77" spans="1:7">
      <c r="A77" s="43"/>
      <c r="B77" s="43"/>
      <c r="C77" s="43"/>
      <c r="D77" s="43"/>
      <c r="E77" s="43"/>
      <c r="F77" s="43"/>
      <c r="G77" s="43"/>
    </row>
    <row r="78" spans="1:7">
      <c r="A78" s="43"/>
      <c r="B78" s="43"/>
      <c r="C78" s="43"/>
      <c r="D78" s="43"/>
      <c r="E78" s="43"/>
      <c r="F78" s="43"/>
      <c r="G78" s="43"/>
    </row>
    <row r="79" spans="1:7">
      <c r="A79" s="43"/>
      <c r="B79" s="43"/>
      <c r="C79" s="43"/>
      <c r="D79" s="43"/>
      <c r="E79" s="43"/>
      <c r="F79" s="43"/>
      <c r="G79" s="43"/>
    </row>
    <row r="80" spans="1:7">
      <c r="A80" s="43"/>
      <c r="B80" s="43"/>
      <c r="C80" s="43"/>
      <c r="D80" s="43"/>
      <c r="E80" s="43"/>
      <c r="F80" s="43"/>
      <c r="G80" s="43"/>
    </row>
    <row r="81" spans="1:7">
      <c r="A81" s="43"/>
      <c r="B81" s="43"/>
      <c r="C81" s="43"/>
      <c r="D81" s="43"/>
      <c r="E81" s="43"/>
      <c r="F81" s="43"/>
      <c r="G81" s="43"/>
    </row>
    <row r="82" spans="1:7">
      <c r="A82" s="43"/>
      <c r="B82" s="43"/>
      <c r="C82" s="43"/>
      <c r="D82" s="43"/>
      <c r="E82" s="43"/>
      <c r="F82" s="43"/>
      <c r="G82" s="43"/>
    </row>
    <row r="83" spans="1:7">
      <c r="A83" s="43"/>
      <c r="B83" s="43"/>
      <c r="C83" s="43"/>
      <c r="D83" s="43"/>
      <c r="E83" s="43"/>
      <c r="F83" s="43"/>
      <c r="G83" s="43"/>
    </row>
    <row r="84" spans="1:7">
      <c r="A84" s="43"/>
      <c r="B84" s="43"/>
      <c r="C84" s="43"/>
      <c r="D84" s="43"/>
      <c r="E84" s="43"/>
      <c r="F84" s="43"/>
      <c r="G84" s="43"/>
    </row>
    <row r="85" spans="1:7">
      <c r="A85" s="43"/>
      <c r="B85" s="43"/>
      <c r="C85" s="43"/>
      <c r="D85" s="43"/>
      <c r="E85" s="43"/>
      <c r="F85" s="43"/>
      <c r="G85" s="43"/>
    </row>
    <row r="86" spans="1:7">
      <c r="A86" s="43"/>
      <c r="B86" s="43"/>
      <c r="C86" s="43"/>
      <c r="D86" s="43"/>
      <c r="E86" s="43"/>
      <c r="F86" s="43"/>
      <c r="G86" s="43"/>
    </row>
    <row r="87" spans="1:7">
      <c r="A87" s="43"/>
      <c r="B87" s="43"/>
      <c r="C87" s="43"/>
      <c r="D87" s="43"/>
      <c r="E87" s="43"/>
      <c r="F87" s="43"/>
      <c r="G87" s="43"/>
    </row>
    <row r="88" spans="1:7">
      <c r="A88" s="43"/>
      <c r="B88" s="43"/>
      <c r="C88" s="43"/>
      <c r="D88" s="43"/>
      <c r="E88" s="43"/>
      <c r="F88" s="43"/>
      <c r="G88" s="43"/>
    </row>
    <row r="89" spans="1:7">
      <c r="A89" s="43"/>
      <c r="B89" s="43"/>
      <c r="C89" s="43"/>
      <c r="D89" s="43"/>
      <c r="E89" s="43"/>
      <c r="F89" s="43"/>
      <c r="G89" s="43"/>
    </row>
    <row r="90" spans="1:7">
      <c r="A90" s="43"/>
      <c r="B90" s="43"/>
      <c r="C90" s="43"/>
      <c r="D90" s="43"/>
      <c r="E90" s="43"/>
      <c r="F90" s="43"/>
      <c r="G90" s="43"/>
    </row>
    <row r="91" spans="1:7">
      <c r="A91" s="43"/>
      <c r="B91" s="43"/>
      <c r="C91" s="43"/>
      <c r="D91" s="43"/>
      <c r="E91" s="43"/>
      <c r="F91" s="43"/>
      <c r="G91" s="43"/>
    </row>
    <row r="92" spans="1:7">
      <c r="A92" s="43"/>
      <c r="B92" s="43"/>
      <c r="C92" s="43"/>
      <c r="D92" s="43"/>
      <c r="E92" s="43"/>
      <c r="F92" s="43"/>
      <c r="G92" s="43"/>
    </row>
    <row r="93" spans="1:7">
      <c r="A93" s="43"/>
      <c r="B93" s="43"/>
      <c r="C93" s="43"/>
      <c r="D93" s="43"/>
      <c r="E93" s="43"/>
      <c r="F93" s="43"/>
      <c r="G93" s="43"/>
    </row>
    <row r="94" spans="1:7">
      <c r="A94" s="43"/>
      <c r="B94" s="43"/>
      <c r="C94" s="43"/>
      <c r="D94" s="43"/>
      <c r="E94" s="43"/>
      <c r="F94" s="43"/>
      <c r="G94" s="43"/>
    </row>
    <row r="95" spans="1:7">
      <c r="A95" s="43"/>
      <c r="B95" s="43"/>
      <c r="C95" s="43"/>
      <c r="D95" s="43"/>
      <c r="E95" s="43"/>
      <c r="F95" s="43"/>
      <c r="G95" s="43"/>
    </row>
    <row r="96" spans="1:7">
      <c r="A96" s="43"/>
      <c r="B96" s="43"/>
      <c r="C96" s="43"/>
      <c r="D96" s="43"/>
      <c r="E96" s="43"/>
      <c r="F96" s="43"/>
      <c r="G96" s="43"/>
    </row>
    <row r="97" spans="1:7">
      <c r="A97" s="43"/>
      <c r="B97" s="43"/>
      <c r="C97" s="43"/>
      <c r="D97" s="43"/>
      <c r="E97" s="43"/>
      <c r="F97" s="43"/>
      <c r="G97" s="43"/>
    </row>
    <row r="98" spans="1:7">
      <c r="A98" s="43"/>
      <c r="B98" s="43"/>
      <c r="C98" s="43"/>
      <c r="D98" s="43"/>
      <c r="E98" s="43"/>
      <c r="F98" s="43"/>
      <c r="G98" s="43"/>
    </row>
    <row r="99" spans="1:7">
      <c r="A99" s="43"/>
      <c r="B99" s="43"/>
      <c r="C99" s="43"/>
      <c r="D99" s="43"/>
      <c r="E99" s="43"/>
      <c r="F99" s="43"/>
      <c r="G99" s="43"/>
    </row>
    <row r="100" spans="1:7">
      <c r="A100" s="43"/>
      <c r="B100" s="43"/>
      <c r="C100" s="43"/>
      <c r="D100" s="43"/>
      <c r="E100" s="43"/>
      <c r="F100" s="43"/>
      <c r="G100" s="43"/>
    </row>
    <row r="101" spans="1:7">
      <c r="A101" s="43"/>
      <c r="B101" s="43"/>
      <c r="C101" s="43"/>
      <c r="D101" s="43"/>
      <c r="E101" s="43"/>
      <c r="F101" s="43"/>
      <c r="G101" s="43"/>
    </row>
    <row r="102" spans="1:7">
      <c r="A102" s="43"/>
      <c r="B102" s="43"/>
      <c r="C102" s="43"/>
      <c r="D102" s="43"/>
      <c r="E102" s="43"/>
      <c r="F102" s="43"/>
      <c r="G102" s="43"/>
    </row>
    <row r="103" spans="1:7">
      <c r="A103" s="43"/>
      <c r="B103" s="43"/>
      <c r="C103" s="43"/>
      <c r="D103" s="43"/>
      <c r="E103" s="43"/>
      <c r="F103" s="43"/>
      <c r="G103" s="43"/>
    </row>
    <row r="104" spans="1:7">
      <c r="A104" s="43"/>
      <c r="B104" s="43"/>
      <c r="C104" s="43"/>
      <c r="D104" s="43"/>
      <c r="E104" s="43"/>
      <c r="F104" s="43"/>
      <c r="G104" s="43"/>
    </row>
    <row r="105" spans="1:7">
      <c r="A105" s="43"/>
      <c r="B105" s="43"/>
      <c r="C105" s="43"/>
      <c r="D105" s="43"/>
      <c r="E105" s="43"/>
      <c r="F105" s="43"/>
      <c r="G105" s="43"/>
    </row>
    <row r="106" spans="1:7">
      <c r="A106" s="43"/>
      <c r="B106" s="43"/>
      <c r="C106" s="43"/>
      <c r="D106" s="43"/>
      <c r="E106" s="43"/>
      <c r="F106" s="43"/>
      <c r="G106" s="43"/>
    </row>
    <row r="107" spans="1:7">
      <c r="A107" s="43"/>
      <c r="B107" s="43"/>
      <c r="C107" s="43"/>
      <c r="D107" s="43"/>
      <c r="E107" s="43"/>
      <c r="F107" s="43"/>
      <c r="G107" s="43"/>
    </row>
    <row r="108" spans="1:7">
      <c r="A108" s="43"/>
      <c r="B108" s="43"/>
      <c r="C108" s="43"/>
      <c r="D108" s="43"/>
      <c r="E108" s="43"/>
      <c r="F108" s="43"/>
      <c r="G108" s="43"/>
    </row>
    <row r="109" spans="1:7">
      <c r="A109" s="43"/>
      <c r="B109" s="43"/>
      <c r="C109" s="43"/>
      <c r="D109" s="43"/>
      <c r="E109" s="43"/>
      <c r="F109" s="43"/>
      <c r="G109" s="43"/>
    </row>
    <row r="110" spans="1:7">
      <c r="A110" s="43"/>
      <c r="B110" s="43"/>
      <c r="C110" s="43"/>
      <c r="D110" s="43"/>
      <c r="E110" s="43"/>
      <c r="F110" s="43"/>
      <c r="G110" s="43"/>
    </row>
    <row r="111" spans="1:7">
      <c r="A111" s="43"/>
      <c r="B111" s="43"/>
      <c r="C111" s="43"/>
      <c r="D111" s="43"/>
      <c r="E111" s="43"/>
      <c r="F111" s="43"/>
      <c r="G111" s="43"/>
    </row>
    <row r="112" spans="1:7">
      <c r="A112" s="43"/>
      <c r="B112" s="43"/>
      <c r="C112" s="43"/>
      <c r="D112" s="43"/>
      <c r="E112" s="43"/>
      <c r="F112" s="43"/>
      <c r="G112" s="43"/>
    </row>
    <row r="113" spans="1:7">
      <c r="A113" s="43"/>
      <c r="B113" s="43"/>
      <c r="C113" s="43"/>
      <c r="D113" s="43"/>
      <c r="E113" s="43"/>
      <c r="F113" s="43"/>
      <c r="G113" s="43"/>
    </row>
    <row r="114" spans="1:7">
      <c r="A114" s="43"/>
      <c r="B114" s="43"/>
      <c r="C114" s="43"/>
      <c r="D114" s="43"/>
      <c r="E114" s="43"/>
      <c r="F114" s="43"/>
      <c r="G114" s="43"/>
    </row>
    <row r="115" spans="1:7">
      <c r="A115" s="43"/>
      <c r="B115" s="43"/>
      <c r="C115" s="43"/>
      <c r="D115" s="43"/>
      <c r="E115" s="43"/>
      <c r="F115" s="43"/>
      <c r="G115" s="43"/>
    </row>
    <row r="116" spans="1:7">
      <c r="A116" s="43"/>
      <c r="B116" s="43"/>
      <c r="C116" s="43"/>
      <c r="D116" s="43"/>
      <c r="E116" s="43"/>
      <c r="F116" s="43"/>
      <c r="G116" s="43"/>
    </row>
    <row r="117" spans="1:7">
      <c r="A117" s="43"/>
      <c r="B117" s="43"/>
      <c r="C117" s="43"/>
      <c r="D117" s="43"/>
      <c r="E117" s="43"/>
      <c r="F117" s="43"/>
      <c r="G117" s="43"/>
    </row>
    <row r="118" spans="1:7">
      <c r="A118" s="43"/>
      <c r="B118" s="43"/>
      <c r="C118" s="43"/>
      <c r="D118" s="43"/>
      <c r="E118" s="43"/>
      <c r="F118" s="43"/>
      <c r="G118" s="43"/>
    </row>
    <row r="119" spans="1:7">
      <c r="A119" s="43"/>
      <c r="B119" s="43"/>
      <c r="C119" s="43"/>
      <c r="D119" s="43"/>
      <c r="E119" s="43"/>
      <c r="F119" s="43"/>
      <c r="G119" s="43"/>
    </row>
    <row r="120" spans="1:7">
      <c r="A120" s="43"/>
      <c r="B120" s="43"/>
      <c r="C120" s="43"/>
      <c r="D120" s="43"/>
      <c r="E120" s="43"/>
      <c r="F120" s="43"/>
      <c r="G120" s="43"/>
    </row>
    <row r="121" spans="1:7">
      <c r="A121" s="43"/>
      <c r="B121" s="43"/>
      <c r="C121" s="43"/>
      <c r="D121" s="43"/>
      <c r="E121" s="43"/>
      <c r="F121" s="43"/>
      <c r="G121" s="43"/>
    </row>
    <row r="122" spans="1:7">
      <c r="A122" s="43"/>
      <c r="B122" s="43"/>
      <c r="C122" s="43"/>
      <c r="D122" s="43"/>
      <c r="E122" s="43"/>
      <c r="F122" s="43"/>
      <c r="G122" s="43"/>
    </row>
    <row r="123" spans="1:7">
      <c r="A123" s="43"/>
      <c r="B123" s="43"/>
      <c r="C123" s="43"/>
      <c r="D123" s="43"/>
      <c r="E123" s="43"/>
      <c r="F123" s="43"/>
      <c r="G123" s="43"/>
    </row>
    <row r="124" spans="1:7">
      <c r="A124" s="43"/>
      <c r="B124" s="43"/>
      <c r="C124" s="43"/>
      <c r="D124" s="43"/>
      <c r="E124" s="43"/>
      <c r="F124" s="43"/>
      <c r="G124" s="43"/>
    </row>
    <row r="125" spans="1:7">
      <c r="A125" s="43"/>
      <c r="B125" s="43"/>
      <c r="C125" s="43"/>
      <c r="D125" s="43"/>
      <c r="E125" s="43"/>
      <c r="F125" s="43"/>
      <c r="G125" s="43"/>
    </row>
    <row r="126" spans="1:7">
      <c r="A126" s="43"/>
      <c r="B126" s="43"/>
      <c r="C126" s="43"/>
      <c r="D126" s="43"/>
      <c r="E126" s="43"/>
      <c r="F126" s="43"/>
      <c r="G126" s="43"/>
    </row>
    <row r="127" spans="1:7">
      <c r="A127" s="43"/>
      <c r="B127" s="43"/>
      <c r="C127" s="43"/>
      <c r="D127" s="43"/>
      <c r="E127" s="43"/>
      <c r="F127" s="43"/>
      <c r="G127" s="43"/>
    </row>
    <row r="128" spans="1:7">
      <c r="A128" s="43"/>
      <c r="B128" s="43"/>
      <c r="C128" s="43"/>
      <c r="D128" s="43"/>
      <c r="E128" s="43"/>
      <c r="F128" s="43"/>
      <c r="G128" s="43"/>
    </row>
    <row r="129" spans="1:7">
      <c r="A129" s="43"/>
      <c r="B129" s="43"/>
      <c r="C129" s="43"/>
      <c r="D129" s="43"/>
      <c r="E129" s="43"/>
      <c r="F129" s="43"/>
      <c r="G129" s="43"/>
    </row>
    <row r="130" spans="1:7">
      <c r="A130" s="43"/>
      <c r="B130" s="43"/>
      <c r="C130" s="43"/>
      <c r="D130" s="43"/>
      <c r="E130" s="43"/>
      <c r="F130" s="43"/>
      <c r="G130" s="43"/>
    </row>
    <row r="131" spans="1:7">
      <c r="A131" s="43"/>
      <c r="B131" s="43"/>
      <c r="C131" s="43"/>
      <c r="D131" s="43"/>
      <c r="E131" s="43"/>
      <c r="F131" s="43"/>
      <c r="G131" s="43"/>
    </row>
    <row r="132" spans="1:7">
      <c r="A132" s="43"/>
      <c r="B132" s="43"/>
      <c r="C132" s="43"/>
      <c r="D132" s="43"/>
      <c r="E132" s="43"/>
      <c r="F132" s="43"/>
      <c r="G132" s="43"/>
    </row>
    <row r="133" spans="1:7">
      <c r="A133" s="43"/>
      <c r="B133" s="43"/>
      <c r="C133" s="43"/>
      <c r="D133" s="43"/>
      <c r="E133" s="43"/>
      <c r="F133" s="43"/>
      <c r="G133" s="43"/>
    </row>
    <row r="134" spans="1:7">
      <c r="A134" s="43"/>
      <c r="B134" s="43"/>
      <c r="C134" s="43"/>
      <c r="D134" s="43"/>
      <c r="E134" s="43"/>
      <c r="F134" s="43"/>
      <c r="G134" s="43"/>
    </row>
    <row r="135" spans="1:7">
      <c r="A135" s="43"/>
      <c r="B135" s="43"/>
      <c r="C135" s="43"/>
      <c r="D135" s="43"/>
      <c r="E135" s="43"/>
      <c r="F135" s="43"/>
      <c r="G135" s="43"/>
    </row>
    <row r="136" spans="1:7">
      <c r="A136" s="43"/>
      <c r="B136" s="43"/>
      <c r="C136" s="43"/>
      <c r="D136" s="43"/>
      <c r="E136" s="43"/>
      <c r="F136" s="43"/>
      <c r="G136" s="43"/>
    </row>
    <row r="137" spans="1:7">
      <c r="A137" s="43"/>
      <c r="B137" s="43"/>
      <c r="C137" s="43"/>
      <c r="D137" s="43"/>
      <c r="E137" s="43"/>
      <c r="F137" s="43"/>
      <c r="G137" s="43"/>
    </row>
    <row r="138" spans="1:7">
      <c r="A138" s="43"/>
      <c r="B138" s="43"/>
      <c r="C138" s="43"/>
      <c r="D138" s="43"/>
      <c r="E138" s="43"/>
      <c r="F138" s="43"/>
      <c r="G138" s="43"/>
    </row>
    <row r="139" spans="1:7">
      <c r="A139" s="43"/>
      <c r="B139" s="43"/>
      <c r="C139" s="43"/>
      <c r="D139" s="43"/>
      <c r="E139" s="43"/>
      <c r="F139" s="43"/>
      <c r="G139" s="43"/>
    </row>
    <row r="140" spans="1:7">
      <c r="A140" s="43"/>
      <c r="B140" s="43"/>
      <c r="C140" s="43"/>
      <c r="D140" s="43"/>
      <c r="E140" s="43"/>
      <c r="F140" s="43"/>
      <c r="G140" s="43"/>
    </row>
    <row r="141" spans="1:7">
      <c r="A141" s="43"/>
      <c r="B141" s="43"/>
      <c r="C141" s="43"/>
      <c r="D141" s="43"/>
      <c r="E141" s="43"/>
      <c r="F141" s="43"/>
      <c r="G141" s="43"/>
    </row>
    <row r="142" spans="1:7">
      <c r="A142" s="43"/>
      <c r="B142" s="43"/>
      <c r="C142" s="43"/>
      <c r="D142" s="43"/>
      <c r="E142" s="43"/>
      <c r="F142" s="43"/>
      <c r="G142" s="43"/>
    </row>
    <row r="143" spans="1:7">
      <c r="A143" s="43"/>
      <c r="B143" s="43"/>
      <c r="C143" s="43"/>
      <c r="D143" s="43"/>
      <c r="E143" s="43"/>
      <c r="F143" s="43"/>
      <c r="G143" s="43"/>
    </row>
    <row r="144" spans="1:7">
      <c r="A144" s="43"/>
      <c r="B144" s="43"/>
      <c r="C144" s="43"/>
      <c r="D144" s="43"/>
      <c r="E144" s="43"/>
      <c r="F144" s="43"/>
      <c r="G144" s="43"/>
    </row>
    <row r="145" spans="1:7">
      <c r="A145" s="43"/>
      <c r="B145" s="43"/>
      <c r="C145" s="43"/>
      <c r="D145" s="43"/>
      <c r="E145" s="43"/>
      <c r="F145" s="43"/>
      <c r="G145" s="43"/>
    </row>
    <row r="146" spans="1:7">
      <c r="A146" s="43"/>
      <c r="B146" s="43"/>
      <c r="C146" s="43"/>
      <c r="D146" s="43"/>
      <c r="E146" s="43"/>
      <c r="F146" s="43"/>
      <c r="G146" s="43"/>
    </row>
    <row r="147" spans="1:7">
      <c r="A147" s="43"/>
      <c r="B147" s="43"/>
      <c r="C147" s="43"/>
      <c r="D147" s="43"/>
      <c r="E147" s="43"/>
      <c r="F147" s="43"/>
      <c r="G147" s="43"/>
    </row>
    <row r="148" spans="1:7">
      <c r="A148" s="43"/>
      <c r="B148" s="43"/>
      <c r="C148" s="43"/>
      <c r="D148" s="43"/>
      <c r="E148" s="43"/>
      <c r="F148" s="43"/>
      <c r="G148" s="43"/>
    </row>
    <row r="149" spans="1:7">
      <c r="A149" s="43"/>
      <c r="B149" s="43"/>
      <c r="C149" s="43"/>
      <c r="D149" s="43"/>
      <c r="E149" s="43"/>
      <c r="F149" s="43"/>
      <c r="G149" s="43"/>
    </row>
    <row r="150" spans="1:7">
      <c r="A150" s="43"/>
      <c r="B150" s="43"/>
      <c r="C150" s="43"/>
      <c r="D150" s="43"/>
      <c r="E150" s="43"/>
      <c r="F150" s="43"/>
      <c r="G150" s="43"/>
    </row>
    <row r="151" spans="1:7">
      <c r="A151" s="43"/>
      <c r="B151" s="43"/>
      <c r="C151" s="43"/>
      <c r="D151" s="43"/>
      <c r="E151" s="43"/>
      <c r="F151" s="43"/>
      <c r="G151" s="43"/>
    </row>
    <row r="152" spans="1:7">
      <c r="A152" s="43"/>
      <c r="B152" s="43"/>
      <c r="C152" s="43"/>
      <c r="D152" s="43"/>
      <c r="E152" s="43"/>
      <c r="F152" s="43"/>
      <c r="G152" s="43"/>
    </row>
    <row r="153" spans="1:7">
      <c r="A153" s="43"/>
      <c r="B153" s="43"/>
      <c r="C153" s="43"/>
      <c r="D153" s="43"/>
      <c r="E153" s="43"/>
      <c r="F153" s="43"/>
      <c r="G153" s="43"/>
    </row>
    <row r="154" spans="1:7">
      <c r="A154" s="43"/>
      <c r="B154" s="43"/>
      <c r="C154" s="43"/>
      <c r="D154" s="43"/>
      <c r="E154" s="43"/>
      <c r="F154" s="43"/>
      <c r="G154" s="43"/>
    </row>
    <row r="155" spans="1:7">
      <c r="A155" s="43"/>
      <c r="B155" s="43"/>
      <c r="C155" s="43"/>
      <c r="D155" s="43"/>
      <c r="E155" s="43"/>
      <c r="F155" s="43"/>
      <c r="G155" s="43"/>
    </row>
    <row r="156" spans="1:7">
      <c r="A156" s="43"/>
      <c r="B156" s="43"/>
      <c r="C156" s="43"/>
      <c r="D156" s="43"/>
      <c r="E156" s="43"/>
      <c r="F156" s="43"/>
      <c r="G156" s="43"/>
    </row>
    <row r="157" spans="1:7">
      <c r="A157" s="43"/>
      <c r="B157" s="43"/>
      <c r="C157" s="43"/>
      <c r="D157" s="43"/>
      <c r="E157" s="43"/>
      <c r="F157" s="43"/>
      <c r="G157" s="43"/>
    </row>
    <row r="158" spans="1:7">
      <c r="A158" s="43"/>
      <c r="B158" s="43"/>
      <c r="C158" s="43"/>
      <c r="D158" s="43"/>
      <c r="E158" s="43"/>
      <c r="F158" s="43"/>
      <c r="G158" s="43"/>
    </row>
    <row r="159" spans="1:7">
      <c r="A159" s="43"/>
      <c r="B159" s="43"/>
      <c r="C159" s="43"/>
      <c r="D159" s="43"/>
      <c r="E159" s="43"/>
      <c r="F159" s="43"/>
      <c r="G159" s="43"/>
    </row>
    <row r="160" spans="1:7">
      <c r="A160" s="43"/>
      <c r="B160" s="43"/>
      <c r="C160" s="43"/>
      <c r="D160" s="43"/>
      <c r="E160" s="43"/>
      <c r="F160" s="43"/>
      <c r="G160" s="43"/>
    </row>
    <row r="161" spans="1:7">
      <c r="A161" s="43"/>
      <c r="B161" s="43"/>
      <c r="C161" s="43"/>
      <c r="D161" s="43"/>
      <c r="E161" s="43"/>
      <c r="F161" s="43"/>
      <c r="G161" s="43"/>
    </row>
    <row r="162" spans="1:7">
      <c r="A162" s="43"/>
      <c r="B162" s="43"/>
      <c r="C162" s="43"/>
      <c r="D162" s="43"/>
      <c r="E162" s="43"/>
      <c r="F162" s="43"/>
      <c r="G162" s="43"/>
    </row>
    <row r="163" spans="1:7">
      <c r="A163" s="43"/>
      <c r="B163" s="43"/>
      <c r="C163" s="43"/>
      <c r="D163" s="43"/>
      <c r="E163" s="43"/>
      <c r="F163" s="43"/>
      <c r="G163" s="43"/>
    </row>
    <row r="164" spans="1:7">
      <c r="A164" s="43"/>
      <c r="B164" s="43"/>
      <c r="C164" s="43"/>
      <c r="D164" s="43"/>
      <c r="E164" s="43"/>
      <c r="F164" s="43"/>
      <c r="G164" s="43"/>
    </row>
    <row r="165" spans="1:7">
      <c r="A165" s="43"/>
      <c r="B165" s="43"/>
      <c r="C165" s="43"/>
      <c r="D165" s="43"/>
      <c r="E165" s="43"/>
      <c r="F165" s="43"/>
      <c r="G165" s="43"/>
    </row>
    <row r="166" spans="1:7">
      <c r="A166" s="43"/>
      <c r="B166" s="43"/>
      <c r="C166" s="43"/>
      <c r="D166" s="43"/>
      <c r="E166" s="43"/>
      <c r="F166" s="43"/>
      <c r="G166" s="43"/>
    </row>
    <row r="167" spans="1:7">
      <c r="A167" s="43"/>
      <c r="B167" s="43"/>
      <c r="C167" s="43"/>
      <c r="D167" s="43"/>
      <c r="E167" s="43"/>
      <c r="F167" s="43"/>
      <c r="G167" s="43"/>
    </row>
    <row r="168" spans="1:7">
      <c r="A168" s="43"/>
      <c r="B168" s="43"/>
      <c r="C168" s="43"/>
      <c r="D168" s="43"/>
      <c r="E168" s="43"/>
      <c r="F168" s="43"/>
      <c r="G168" s="43"/>
    </row>
    <row r="169" spans="1:7">
      <c r="A169" s="43"/>
      <c r="B169" s="43"/>
      <c r="C169" s="43"/>
      <c r="D169" s="43"/>
      <c r="E169" s="43"/>
      <c r="F169" s="43"/>
      <c r="G169" s="43"/>
    </row>
    <row r="170" spans="1:7">
      <c r="A170" s="43"/>
      <c r="B170" s="43"/>
      <c r="C170" s="43"/>
      <c r="D170" s="43"/>
      <c r="E170" s="43"/>
      <c r="F170" s="43"/>
      <c r="G170" s="43"/>
    </row>
    <row r="171" spans="1:7">
      <c r="A171" s="43"/>
      <c r="B171" s="43"/>
      <c r="C171" s="43"/>
      <c r="D171" s="43"/>
      <c r="E171" s="43"/>
      <c r="F171" s="43"/>
      <c r="G171" s="43"/>
    </row>
    <row r="172" spans="1:7">
      <c r="A172" s="43"/>
      <c r="B172" s="43"/>
      <c r="C172" s="43"/>
      <c r="D172" s="43"/>
      <c r="E172" s="43"/>
      <c r="F172" s="43"/>
      <c r="G172" s="43"/>
    </row>
    <row r="173" spans="1:7">
      <c r="A173" s="43"/>
      <c r="B173" s="43"/>
      <c r="C173" s="43"/>
      <c r="D173" s="43"/>
      <c r="E173" s="43"/>
      <c r="F173" s="43"/>
      <c r="G173" s="43"/>
    </row>
    <row r="174" spans="1:7">
      <c r="A174" s="43"/>
      <c r="B174" s="43"/>
      <c r="C174" s="43"/>
      <c r="D174" s="43"/>
      <c r="E174" s="43"/>
      <c r="F174" s="43"/>
      <c r="G174" s="43"/>
    </row>
    <row r="175" spans="1:7">
      <c r="A175" s="43"/>
      <c r="B175" s="43"/>
      <c r="C175" s="43"/>
      <c r="D175" s="43"/>
      <c r="E175" s="43"/>
      <c r="F175" s="43"/>
      <c r="G175" s="43"/>
    </row>
    <row r="176" spans="1:7">
      <c r="A176" s="43"/>
      <c r="B176" s="43"/>
      <c r="C176" s="43"/>
      <c r="D176" s="43"/>
      <c r="E176" s="43"/>
      <c r="F176" s="43"/>
      <c r="G176" s="43"/>
    </row>
    <row r="177" spans="1:7">
      <c r="A177" s="43"/>
      <c r="B177" s="43"/>
      <c r="C177" s="43"/>
      <c r="D177" s="43"/>
      <c r="E177" s="43"/>
      <c r="F177" s="43"/>
      <c r="G177" s="43"/>
    </row>
    <row r="178" spans="1:7">
      <c r="A178" s="43"/>
      <c r="B178" s="43"/>
      <c r="C178" s="43"/>
      <c r="D178" s="43"/>
      <c r="E178" s="43"/>
      <c r="F178" s="43"/>
      <c r="G178" s="43"/>
    </row>
    <row r="179" spans="1:7">
      <c r="A179" s="43"/>
      <c r="B179" s="43"/>
      <c r="C179" s="43"/>
      <c r="D179" s="43"/>
      <c r="E179" s="43"/>
      <c r="F179" s="43"/>
      <c r="G179" s="43"/>
    </row>
    <row r="180" spans="1:7">
      <c r="A180" s="43"/>
      <c r="B180" s="43"/>
      <c r="C180" s="43"/>
      <c r="D180" s="43"/>
      <c r="E180" s="43"/>
      <c r="F180" s="43"/>
      <c r="G180" s="43"/>
    </row>
    <row r="181" spans="1:7">
      <c r="A181" s="43"/>
      <c r="B181" s="43"/>
      <c r="C181" s="43"/>
      <c r="D181" s="43"/>
      <c r="E181" s="43"/>
      <c r="F181" s="43"/>
      <c r="G181" s="43"/>
    </row>
    <row r="182" spans="1:7">
      <c r="A182" s="43"/>
      <c r="B182" s="43"/>
      <c r="C182" s="43"/>
      <c r="D182" s="43"/>
      <c r="E182" s="43"/>
      <c r="F182" s="43"/>
      <c r="G182" s="43"/>
    </row>
    <row r="183" spans="1:7">
      <c r="A183" s="43"/>
      <c r="B183" s="43"/>
      <c r="C183" s="43"/>
      <c r="D183" s="43"/>
      <c r="E183" s="43"/>
      <c r="F183" s="43"/>
      <c r="G183" s="43"/>
    </row>
    <row r="184" spans="1:7">
      <c r="A184" s="43"/>
      <c r="B184" s="43"/>
      <c r="C184" s="43"/>
      <c r="D184" s="43"/>
      <c r="E184" s="43"/>
      <c r="F184" s="43"/>
      <c r="G184" s="43"/>
    </row>
    <row r="185" spans="1:7">
      <c r="A185" s="43"/>
      <c r="B185" s="43"/>
      <c r="C185" s="43"/>
      <c r="D185" s="43"/>
      <c r="E185" s="43"/>
      <c r="F185" s="43"/>
      <c r="G185" s="43"/>
    </row>
    <row r="186" spans="1:7">
      <c r="A186" s="43"/>
      <c r="B186" s="43"/>
      <c r="C186" s="43"/>
      <c r="D186" s="43"/>
      <c r="E186" s="43"/>
      <c r="F186" s="43"/>
      <c r="G186" s="43"/>
    </row>
    <row r="187" spans="1:7">
      <c r="A187" s="43"/>
      <c r="B187" s="43"/>
      <c r="C187" s="43"/>
      <c r="D187" s="43"/>
      <c r="E187" s="43"/>
      <c r="F187" s="43"/>
      <c r="G187" s="43"/>
    </row>
    <row r="188" spans="1:7">
      <c r="A188" s="43"/>
      <c r="B188" s="43"/>
      <c r="C188" s="43"/>
      <c r="D188" s="43"/>
      <c r="E188" s="43"/>
      <c r="F188" s="43"/>
      <c r="G188" s="43"/>
    </row>
    <row r="189" spans="1:7">
      <c r="A189" s="43"/>
      <c r="B189" s="43"/>
      <c r="C189" s="43"/>
      <c r="D189" s="43"/>
      <c r="E189" s="43"/>
      <c r="F189" s="43"/>
      <c r="G189" s="43"/>
    </row>
    <row r="190" spans="1:7">
      <c r="A190" s="43"/>
      <c r="B190" s="43"/>
      <c r="C190" s="43"/>
      <c r="D190" s="43"/>
      <c r="E190" s="43"/>
      <c r="F190" s="43"/>
      <c r="G190" s="43"/>
    </row>
    <row r="191" spans="1:7">
      <c r="A191" s="43"/>
      <c r="B191" s="43"/>
      <c r="C191" s="43"/>
      <c r="D191" s="43"/>
      <c r="E191" s="43"/>
      <c r="F191" s="43"/>
      <c r="G191" s="43"/>
    </row>
    <row r="192" spans="1:7">
      <c r="A192" s="43"/>
      <c r="B192" s="43"/>
      <c r="C192" s="43"/>
      <c r="D192" s="43"/>
      <c r="E192" s="43"/>
      <c r="F192" s="43"/>
      <c r="G192" s="43"/>
    </row>
    <row r="193" spans="1:7">
      <c r="A193" s="43"/>
      <c r="B193" s="43"/>
      <c r="C193" s="43"/>
      <c r="D193" s="43"/>
      <c r="E193" s="43"/>
      <c r="F193" s="43"/>
      <c r="G193" s="43"/>
    </row>
    <row r="194" spans="1:7">
      <c r="A194" s="43"/>
      <c r="B194" s="43"/>
      <c r="C194" s="43"/>
      <c r="D194" s="43"/>
      <c r="E194" s="43"/>
      <c r="F194" s="43"/>
      <c r="G194" s="43"/>
    </row>
    <row r="195" spans="1:7">
      <c r="A195" s="43"/>
      <c r="B195" s="43"/>
      <c r="C195" s="43"/>
      <c r="D195" s="43"/>
      <c r="E195" s="43"/>
      <c r="F195" s="43"/>
      <c r="G195" s="43"/>
    </row>
    <row r="196" spans="1:7">
      <c r="A196" s="43"/>
      <c r="B196" s="43"/>
      <c r="C196" s="43"/>
      <c r="D196" s="43"/>
      <c r="E196" s="43"/>
      <c r="F196" s="43"/>
      <c r="G196" s="43"/>
    </row>
    <row r="197" spans="1:7">
      <c r="A197" s="43"/>
      <c r="B197" s="43"/>
      <c r="C197" s="43"/>
      <c r="D197" s="43"/>
      <c r="E197" s="43"/>
      <c r="F197" s="43"/>
      <c r="G197" s="43"/>
    </row>
    <row r="198" spans="1:7">
      <c r="A198" s="43"/>
      <c r="B198" s="43"/>
      <c r="C198" s="43"/>
      <c r="D198" s="43"/>
      <c r="E198" s="43"/>
      <c r="F198" s="43"/>
      <c r="G198" s="43"/>
    </row>
    <row r="199" spans="1:7">
      <c r="A199" s="43"/>
      <c r="B199" s="43"/>
      <c r="C199" s="43"/>
      <c r="D199" s="43"/>
      <c r="E199" s="43"/>
      <c r="F199" s="43"/>
      <c r="G199" s="43"/>
    </row>
    <row r="200" spans="1:7">
      <c r="A200" s="43"/>
      <c r="B200" s="43"/>
      <c r="C200" s="43"/>
      <c r="D200" s="43"/>
      <c r="E200" s="43"/>
      <c r="F200" s="43"/>
      <c r="G200" s="43"/>
    </row>
    <row r="201" spans="1:7">
      <c r="A201" s="43"/>
      <c r="B201" s="43"/>
      <c r="C201" s="43"/>
      <c r="D201" s="43"/>
      <c r="E201" s="43"/>
      <c r="F201" s="43"/>
      <c r="G201" s="43"/>
    </row>
    <row r="202" spans="1:7">
      <c r="A202" s="43"/>
      <c r="B202" s="43"/>
      <c r="C202" s="43"/>
      <c r="D202" s="43"/>
      <c r="E202" s="43"/>
      <c r="F202" s="43"/>
      <c r="G202" s="43"/>
    </row>
    <row r="203" spans="1:7">
      <c r="A203" s="43"/>
      <c r="B203" s="43"/>
      <c r="C203" s="43"/>
      <c r="D203" s="43"/>
      <c r="E203" s="43"/>
      <c r="F203" s="43"/>
      <c r="G203" s="43"/>
    </row>
    <row r="204" spans="1:7">
      <c r="A204" s="43"/>
      <c r="B204" s="43"/>
      <c r="C204" s="43"/>
      <c r="D204" s="43"/>
      <c r="E204" s="43"/>
      <c r="F204" s="43"/>
      <c r="G204" s="43"/>
    </row>
    <row r="205" spans="1:7">
      <c r="A205" s="43"/>
      <c r="B205" s="43"/>
      <c r="C205" s="43"/>
      <c r="D205" s="43"/>
      <c r="E205" s="43"/>
      <c r="F205" s="43"/>
      <c r="G205" s="43"/>
    </row>
    <row r="206" spans="1:7">
      <c r="A206" s="43"/>
      <c r="B206" s="43"/>
      <c r="C206" s="43"/>
      <c r="D206" s="43"/>
      <c r="E206" s="43"/>
      <c r="F206" s="43"/>
      <c r="G206" s="43"/>
    </row>
    <row r="207" spans="1:7">
      <c r="A207" s="43"/>
      <c r="B207" s="43"/>
      <c r="C207" s="43"/>
      <c r="D207" s="43"/>
      <c r="E207" s="43"/>
      <c r="F207" s="43"/>
      <c r="G207" s="43"/>
    </row>
    <row r="208" spans="1:7">
      <c r="A208" s="43"/>
      <c r="B208" s="43"/>
      <c r="C208" s="43"/>
      <c r="D208" s="43"/>
      <c r="E208" s="43"/>
      <c r="F208" s="43"/>
      <c r="G208" s="43"/>
    </row>
    <row r="209" spans="1:7">
      <c r="A209" s="43"/>
      <c r="B209" s="43"/>
      <c r="C209" s="43"/>
      <c r="D209" s="43"/>
      <c r="E209" s="43"/>
      <c r="F209" s="43"/>
      <c r="G209" s="43"/>
    </row>
    <row r="210" spans="1:7">
      <c r="A210" s="43"/>
      <c r="B210" s="43"/>
      <c r="C210" s="43"/>
      <c r="D210" s="43"/>
      <c r="E210" s="43"/>
      <c r="F210" s="43"/>
      <c r="G210" s="43"/>
    </row>
    <row r="211" spans="1:7">
      <c r="A211" s="43"/>
      <c r="B211" s="43"/>
      <c r="C211" s="43"/>
      <c r="D211" s="43"/>
      <c r="E211" s="43"/>
      <c r="F211" s="43"/>
      <c r="G211" s="43"/>
    </row>
    <row r="212" spans="1:7">
      <c r="A212" s="43"/>
      <c r="B212" s="43"/>
      <c r="C212" s="43"/>
      <c r="D212" s="43"/>
      <c r="E212" s="43"/>
      <c r="F212" s="43"/>
      <c r="G212" s="43"/>
    </row>
    <row r="213" spans="1:7">
      <c r="A213" s="43"/>
      <c r="B213" s="43"/>
      <c r="C213" s="43"/>
      <c r="D213" s="43"/>
      <c r="E213" s="43"/>
      <c r="F213" s="43"/>
      <c r="G213" s="43"/>
    </row>
    <row r="214" spans="1:7">
      <c r="A214" s="43"/>
      <c r="B214" s="43"/>
      <c r="C214" s="43"/>
      <c r="D214" s="43"/>
      <c r="E214" s="43"/>
      <c r="F214" s="43"/>
      <c r="G214" s="43"/>
    </row>
    <row r="215" spans="1:7">
      <c r="A215" s="43"/>
      <c r="B215" s="43"/>
      <c r="C215" s="43"/>
      <c r="D215" s="43"/>
      <c r="E215" s="43"/>
      <c r="F215" s="43"/>
      <c r="G215" s="43"/>
    </row>
    <row r="216" spans="1:7">
      <c r="A216" s="43"/>
      <c r="B216" s="43"/>
      <c r="C216" s="43"/>
      <c r="D216" s="43"/>
      <c r="E216" s="43"/>
      <c r="F216" s="43"/>
      <c r="G216" s="43"/>
    </row>
    <row r="217" spans="1:7">
      <c r="A217" s="43"/>
      <c r="B217" s="43"/>
      <c r="C217" s="43"/>
      <c r="D217" s="43"/>
      <c r="E217" s="43"/>
      <c r="F217" s="43"/>
      <c r="G217" s="43"/>
    </row>
    <row r="218" spans="1:7">
      <c r="A218" s="43"/>
      <c r="B218" s="43"/>
      <c r="C218" s="43"/>
      <c r="D218" s="43"/>
      <c r="E218" s="43"/>
      <c r="F218" s="43"/>
      <c r="G218" s="43"/>
    </row>
    <row r="219" spans="1:7">
      <c r="A219" s="43"/>
      <c r="B219" s="43"/>
      <c r="C219" s="43"/>
      <c r="D219" s="43"/>
      <c r="E219" s="43"/>
      <c r="F219" s="43"/>
      <c r="G219" s="43"/>
    </row>
    <row r="220" spans="1:7">
      <c r="A220" s="43"/>
      <c r="B220" s="43"/>
      <c r="C220" s="43"/>
      <c r="D220" s="43"/>
      <c r="E220" s="43"/>
      <c r="F220" s="43"/>
      <c r="G220" s="43"/>
    </row>
    <row r="221" spans="1:7">
      <c r="A221" s="43"/>
      <c r="B221" s="43"/>
      <c r="C221" s="43"/>
      <c r="D221" s="43"/>
      <c r="E221" s="43"/>
      <c r="F221" s="43"/>
      <c r="G221" s="43"/>
    </row>
    <row r="222" spans="1:7">
      <c r="A222" s="43"/>
      <c r="B222" s="43"/>
      <c r="C222" s="43"/>
      <c r="D222" s="43"/>
      <c r="E222" s="43"/>
      <c r="F222" s="43"/>
      <c r="G222" s="43"/>
    </row>
    <row r="223" spans="1:7">
      <c r="A223" s="43"/>
      <c r="B223" s="43"/>
      <c r="C223" s="43"/>
      <c r="D223" s="43"/>
      <c r="E223" s="43"/>
      <c r="F223" s="43"/>
      <c r="G223" s="43"/>
    </row>
    <row r="224" spans="1:7">
      <c r="A224" s="43"/>
      <c r="B224" s="43"/>
      <c r="C224" s="43"/>
      <c r="D224" s="43"/>
      <c r="E224" s="43"/>
      <c r="F224" s="43"/>
      <c r="G224" s="43"/>
    </row>
    <row r="225" spans="1:7">
      <c r="A225" s="43"/>
      <c r="B225" s="43"/>
      <c r="C225" s="43"/>
      <c r="D225" s="43"/>
      <c r="E225" s="43"/>
      <c r="F225" s="43"/>
      <c r="G225" s="43"/>
    </row>
    <row r="226" spans="1:7">
      <c r="A226" s="43"/>
      <c r="B226" s="43"/>
      <c r="C226" s="43"/>
      <c r="D226" s="43"/>
      <c r="E226" s="43"/>
      <c r="F226" s="43"/>
      <c r="G226" s="43"/>
    </row>
    <row r="227" spans="1:7">
      <c r="A227" s="43"/>
      <c r="B227" s="43"/>
      <c r="C227" s="43"/>
      <c r="D227" s="43"/>
      <c r="E227" s="43"/>
      <c r="F227" s="43"/>
      <c r="G227" s="43"/>
    </row>
    <row r="228" spans="1:7">
      <c r="A228" s="43"/>
      <c r="B228" s="43"/>
      <c r="C228" s="43"/>
      <c r="D228" s="43"/>
      <c r="E228" s="43"/>
      <c r="F228" s="43"/>
      <c r="G228" s="43"/>
    </row>
    <row r="229" spans="1:7">
      <c r="A229" s="43"/>
      <c r="B229" s="43"/>
      <c r="C229" s="43"/>
      <c r="D229" s="43"/>
      <c r="E229" s="43"/>
      <c r="F229" s="43"/>
      <c r="G229" s="43"/>
    </row>
    <row r="230" spans="1:7">
      <c r="A230" s="43"/>
      <c r="B230" s="43"/>
      <c r="C230" s="43"/>
      <c r="D230" s="43"/>
      <c r="E230" s="43"/>
      <c r="F230" s="43"/>
      <c r="G230" s="43"/>
    </row>
    <row r="231" spans="1:7">
      <c r="A231" s="43"/>
      <c r="B231" s="43"/>
      <c r="C231" s="43"/>
      <c r="D231" s="43"/>
      <c r="E231" s="43"/>
      <c r="F231" s="43"/>
      <c r="G231" s="43"/>
    </row>
    <row r="232" spans="1:7">
      <c r="A232" s="43"/>
      <c r="B232" s="43"/>
      <c r="C232" s="43"/>
      <c r="D232" s="43"/>
      <c r="E232" s="43"/>
      <c r="F232" s="43"/>
      <c r="G232" s="43"/>
    </row>
    <row r="233" spans="1:7">
      <c r="A233" s="43"/>
      <c r="B233" s="43"/>
      <c r="C233" s="43"/>
      <c r="D233" s="43"/>
      <c r="E233" s="43"/>
      <c r="F233" s="43"/>
      <c r="G233" s="43"/>
    </row>
    <row r="234" spans="1:7">
      <c r="A234" s="43"/>
      <c r="B234" s="43"/>
      <c r="C234" s="43"/>
      <c r="D234" s="43"/>
      <c r="E234" s="43"/>
      <c r="F234" s="43"/>
      <c r="G234" s="43"/>
    </row>
    <row r="235" spans="1:7">
      <c r="A235" s="43"/>
      <c r="B235" s="43"/>
      <c r="C235" s="43"/>
      <c r="D235" s="43"/>
      <c r="E235" s="43"/>
      <c r="F235" s="43"/>
      <c r="G235" s="43"/>
    </row>
    <row r="236" spans="1:7">
      <c r="A236" s="43"/>
      <c r="B236" s="43"/>
      <c r="C236" s="43"/>
      <c r="D236" s="43"/>
      <c r="E236" s="43"/>
      <c r="F236" s="43"/>
      <c r="G236" s="43"/>
    </row>
    <row r="237" spans="1:7">
      <c r="A237" s="43"/>
      <c r="B237" s="43"/>
      <c r="C237" s="43"/>
      <c r="D237" s="43"/>
      <c r="E237" s="43"/>
      <c r="F237" s="43"/>
      <c r="G237" s="43"/>
    </row>
    <row r="238" spans="1:7">
      <c r="A238" s="43"/>
      <c r="B238" s="43"/>
      <c r="C238" s="43"/>
      <c r="D238" s="43"/>
      <c r="E238" s="43"/>
      <c r="F238" s="43"/>
      <c r="G238" s="43"/>
    </row>
    <row r="239" spans="1:7">
      <c r="A239" s="43"/>
      <c r="B239" s="43"/>
      <c r="C239" s="43"/>
      <c r="D239" s="43"/>
      <c r="E239" s="43"/>
      <c r="F239" s="43"/>
      <c r="G239" s="43"/>
    </row>
    <row r="240" spans="1:7">
      <c r="A240" s="43"/>
      <c r="B240" s="43"/>
      <c r="C240" s="43"/>
      <c r="D240" s="43"/>
      <c r="E240" s="43"/>
      <c r="F240" s="43"/>
      <c r="G240" s="43"/>
    </row>
    <row r="241" spans="1:7">
      <c r="A241" s="43"/>
      <c r="B241" s="43"/>
      <c r="C241" s="43"/>
      <c r="D241" s="43"/>
      <c r="E241" s="43"/>
      <c r="F241" s="43"/>
      <c r="G241" s="43"/>
    </row>
    <row r="242" spans="1:7">
      <c r="A242" s="43"/>
      <c r="B242" s="43"/>
      <c r="C242" s="43"/>
      <c r="D242" s="43"/>
      <c r="E242" s="43"/>
      <c r="F242" s="43"/>
      <c r="G242" s="43"/>
    </row>
    <row r="243" spans="1:7">
      <c r="A243" s="43"/>
      <c r="B243" s="43"/>
      <c r="C243" s="43"/>
      <c r="D243" s="43"/>
      <c r="E243" s="43"/>
      <c r="F243" s="43"/>
      <c r="G243" s="43"/>
    </row>
    <row r="244" spans="1:7">
      <c r="A244" s="43"/>
      <c r="B244" s="43"/>
      <c r="C244" s="43"/>
      <c r="D244" s="43"/>
      <c r="E244" s="43"/>
      <c r="F244" s="43"/>
      <c r="G244" s="43"/>
    </row>
    <row r="245" spans="1:7">
      <c r="A245" s="43"/>
      <c r="B245" s="43"/>
      <c r="C245" s="43"/>
      <c r="D245" s="43"/>
      <c r="E245" s="43"/>
      <c r="F245" s="43"/>
      <c r="G245" s="43"/>
    </row>
    <row r="246" spans="1:7">
      <c r="A246" s="43"/>
      <c r="B246" s="43"/>
      <c r="C246" s="43"/>
      <c r="D246" s="43"/>
      <c r="E246" s="43"/>
      <c r="F246" s="43"/>
      <c r="G246" s="43"/>
    </row>
    <row r="247" spans="1:7">
      <c r="A247" s="43"/>
      <c r="B247" s="43"/>
      <c r="C247" s="43"/>
      <c r="D247" s="43"/>
      <c r="E247" s="43"/>
      <c r="F247" s="43"/>
      <c r="G247" s="43"/>
    </row>
    <row r="248" spans="1:7">
      <c r="A248" s="43"/>
      <c r="B248" s="43"/>
      <c r="C248" s="43"/>
      <c r="D248" s="43"/>
      <c r="E248" s="43"/>
      <c r="F248" s="43"/>
      <c r="G248" s="43"/>
    </row>
    <row r="249" spans="1:7">
      <c r="A249" s="43"/>
      <c r="B249" s="43"/>
      <c r="C249" s="43"/>
      <c r="D249" s="43"/>
      <c r="E249" s="43"/>
      <c r="F249" s="43"/>
      <c r="G249" s="43"/>
    </row>
    <row r="250" spans="1:7">
      <c r="A250" s="43"/>
      <c r="B250" s="43"/>
      <c r="C250" s="43"/>
      <c r="D250" s="43"/>
      <c r="E250" s="43"/>
      <c r="F250" s="43"/>
      <c r="G250" s="43"/>
    </row>
    <row r="251" spans="1:7">
      <c r="A251" s="43"/>
      <c r="B251" s="43"/>
      <c r="C251" s="43"/>
      <c r="D251" s="43"/>
      <c r="E251" s="43"/>
      <c r="F251" s="43"/>
      <c r="G251" s="43"/>
    </row>
    <row r="252" spans="1:7">
      <c r="A252" s="43"/>
      <c r="B252" s="43"/>
      <c r="C252" s="43"/>
      <c r="D252" s="43"/>
      <c r="E252" s="43"/>
      <c r="F252" s="43"/>
      <c r="G252" s="43"/>
    </row>
    <row r="253" spans="1:7">
      <c r="A253" s="43"/>
      <c r="B253" s="43"/>
      <c r="C253" s="43"/>
      <c r="D253" s="43"/>
      <c r="E253" s="43"/>
      <c r="F253" s="43"/>
      <c r="G253" s="43"/>
    </row>
    <row r="254" spans="1:7">
      <c r="A254" s="43"/>
      <c r="B254" s="43"/>
      <c r="C254" s="43"/>
      <c r="D254" s="43"/>
      <c r="E254" s="43"/>
      <c r="F254" s="43"/>
      <c r="G254" s="43"/>
    </row>
    <row r="255" spans="1:7">
      <c r="A255" s="43"/>
      <c r="B255" s="43"/>
      <c r="C255" s="43"/>
      <c r="D255" s="43"/>
      <c r="E255" s="43"/>
      <c r="F255" s="43"/>
      <c r="G255" s="43"/>
    </row>
    <row r="256" spans="1:7">
      <c r="A256" s="43"/>
      <c r="B256" s="43"/>
      <c r="C256" s="43"/>
      <c r="D256" s="43"/>
      <c r="E256" s="43"/>
      <c r="F256" s="43"/>
      <c r="G256" s="43"/>
    </row>
    <row r="257" spans="1:7">
      <c r="A257" s="43"/>
      <c r="B257" s="43"/>
      <c r="C257" s="43"/>
      <c r="D257" s="43"/>
      <c r="E257" s="43"/>
      <c r="F257" s="43"/>
      <c r="G257" s="43"/>
    </row>
    <row r="258" spans="1:7">
      <c r="A258" s="43"/>
      <c r="B258" s="43"/>
      <c r="C258" s="43"/>
      <c r="D258" s="43"/>
      <c r="E258" s="43"/>
      <c r="F258" s="43"/>
      <c r="G258" s="43"/>
    </row>
    <row r="259" spans="1:7">
      <c r="A259" s="43"/>
      <c r="B259" s="43"/>
      <c r="C259" s="43"/>
      <c r="D259" s="43"/>
      <c r="E259" s="43"/>
      <c r="F259" s="43"/>
      <c r="G259" s="43"/>
    </row>
    <row r="260" spans="1:7">
      <c r="A260" s="43"/>
      <c r="B260" s="43"/>
      <c r="C260" s="43"/>
      <c r="D260" s="43"/>
      <c r="E260" s="43"/>
      <c r="F260" s="43"/>
      <c r="G260" s="43"/>
    </row>
    <row r="261" spans="1:7">
      <c r="A261" s="43"/>
      <c r="B261" s="43"/>
      <c r="C261" s="43"/>
      <c r="D261" s="43"/>
      <c r="E261" s="43"/>
      <c r="F261" s="43"/>
      <c r="G261" s="43"/>
    </row>
    <row r="262" spans="1:7">
      <c r="A262" s="43"/>
      <c r="B262" s="43"/>
      <c r="C262" s="43"/>
      <c r="D262" s="43"/>
      <c r="E262" s="43"/>
      <c r="F262" s="43"/>
      <c r="G262" s="43"/>
    </row>
    <row r="263" spans="1:7">
      <c r="A263" s="43"/>
      <c r="B263" s="43"/>
      <c r="C263" s="43"/>
      <c r="D263" s="43"/>
      <c r="E263" s="43"/>
      <c r="F263" s="43"/>
      <c r="G263" s="43"/>
    </row>
    <row r="264" spans="1:7">
      <c r="A264" s="43"/>
      <c r="B264" s="43"/>
      <c r="C264" s="43"/>
      <c r="D264" s="43"/>
      <c r="E264" s="43"/>
      <c r="F264" s="43"/>
      <c r="G264" s="43"/>
    </row>
    <row r="265" spans="1:7">
      <c r="A265" s="43"/>
      <c r="B265" s="43"/>
      <c r="C265" s="43"/>
      <c r="D265" s="43"/>
      <c r="E265" s="43"/>
      <c r="F265" s="43"/>
      <c r="G265" s="43"/>
    </row>
    <row r="266" spans="1:7">
      <c r="A266" s="43"/>
      <c r="B266" s="43"/>
      <c r="C266" s="43"/>
      <c r="D266" s="43"/>
      <c r="E266" s="43"/>
      <c r="F266" s="43"/>
      <c r="G266" s="43"/>
    </row>
    <row r="267" spans="1:7">
      <c r="A267" s="43"/>
      <c r="B267" s="43"/>
      <c r="C267" s="43"/>
      <c r="D267" s="43"/>
      <c r="E267" s="43"/>
      <c r="F267" s="43"/>
      <c r="G267" s="43"/>
    </row>
    <row r="268" spans="1:7">
      <c r="A268" s="43"/>
      <c r="B268" s="43"/>
      <c r="C268" s="43"/>
      <c r="D268" s="43"/>
      <c r="E268" s="43"/>
      <c r="F268" s="43"/>
      <c r="G268" s="43"/>
    </row>
    <row r="269" spans="1:7">
      <c r="A269" s="43"/>
      <c r="B269" s="43"/>
      <c r="C269" s="43"/>
      <c r="D269" s="43"/>
      <c r="E269" s="43"/>
      <c r="F269" s="43"/>
      <c r="G269" s="43"/>
    </row>
    <row r="270" spans="1:7">
      <c r="A270" s="43"/>
      <c r="B270" s="43"/>
      <c r="C270" s="43"/>
      <c r="D270" s="43"/>
      <c r="E270" s="43"/>
      <c r="F270" s="43"/>
      <c r="G270" s="43"/>
    </row>
    <row r="271" spans="1:7">
      <c r="A271" s="43"/>
      <c r="B271" s="43"/>
      <c r="C271" s="43"/>
      <c r="D271" s="43"/>
      <c r="E271" s="43"/>
      <c r="F271" s="43"/>
      <c r="G271" s="43"/>
    </row>
    <row r="272" spans="1:7">
      <c r="A272" s="43"/>
      <c r="B272" s="43"/>
      <c r="C272" s="43"/>
      <c r="D272" s="43"/>
      <c r="E272" s="43"/>
      <c r="F272" s="43"/>
      <c r="G272" s="43"/>
    </row>
    <row r="273" spans="1:7">
      <c r="A273" s="43"/>
      <c r="B273" s="43"/>
      <c r="C273" s="43"/>
      <c r="D273" s="43"/>
      <c r="E273" s="43"/>
      <c r="F273" s="43"/>
      <c r="G273" s="43"/>
    </row>
    <row r="274" spans="1:7">
      <c r="A274" s="43"/>
      <c r="B274" s="43"/>
      <c r="C274" s="43"/>
      <c r="D274" s="43"/>
      <c r="E274" s="43"/>
      <c r="F274" s="43"/>
      <c r="G274" s="43"/>
    </row>
    <row r="275" spans="1:7">
      <c r="A275" s="43"/>
      <c r="B275" s="43"/>
      <c r="C275" s="43"/>
      <c r="D275" s="43"/>
      <c r="E275" s="43"/>
      <c r="F275" s="43"/>
      <c r="G275" s="43"/>
    </row>
    <row r="276" spans="1:7">
      <c r="A276" s="43"/>
      <c r="B276" s="43"/>
      <c r="C276" s="43"/>
      <c r="D276" s="43"/>
      <c r="E276" s="43"/>
      <c r="F276" s="43"/>
      <c r="G276" s="43"/>
    </row>
    <row r="277" spans="1:7">
      <c r="A277" s="43"/>
      <c r="B277" s="43"/>
      <c r="C277" s="43"/>
      <c r="D277" s="43"/>
      <c r="E277" s="43"/>
      <c r="F277" s="43"/>
      <c r="G277" s="43"/>
    </row>
    <row r="278" spans="1:7">
      <c r="A278" s="43"/>
      <c r="B278" s="43"/>
      <c r="C278" s="43"/>
      <c r="D278" s="43"/>
      <c r="E278" s="43"/>
      <c r="F278" s="43"/>
      <c r="G278" s="43"/>
    </row>
    <row r="279" spans="1:7">
      <c r="A279" s="43"/>
      <c r="B279" s="43"/>
      <c r="C279" s="43"/>
      <c r="D279" s="43"/>
      <c r="E279" s="43"/>
      <c r="F279" s="43"/>
      <c r="G279" s="43"/>
    </row>
    <row r="280" spans="1:7">
      <c r="A280" s="43"/>
      <c r="B280" s="43"/>
      <c r="C280" s="43"/>
      <c r="D280" s="43"/>
      <c r="E280" s="43"/>
      <c r="F280" s="43"/>
      <c r="G280" s="43"/>
    </row>
    <row r="281" spans="1:7">
      <c r="A281" s="43"/>
      <c r="B281" s="43"/>
      <c r="C281" s="43"/>
      <c r="D281" s="43"/>
      <c r="E281" s="43"/>
      <c r="F281" s="43"/>
      <c r="G281" s="43"/>
    </row>
    <row r="282" spans="1:7">
      <c r="A282" s="43"/>
      <c r="B282" s="43"/>
      <c r="C282" s="43"/>
      <c r="D282" s="43"/>
      <c r="E282" s="43"/>
      <c r="F282" s="43"/>
      <c r="G282" s="43"/>
    </row>
    <row r="283" spans="1:7">
      <c r="A283" s="43"/>
      <c r="B283" s="43"/>
      <c r="C283" s="43"/>
      <c r="D283" s="43"/>
      <c r="E283" s="43"/>
      <c r="F283" s="43"/>
      <c r="G283" s="43"/>
    </row>
    <row r="284" spans="1:7">
      <c r="A284" s="43"/>
      <c r="B284" s="43"/>
      <c r="C284" s="43"/>
      <c r="D284" s="43"/>
      <c r="E284" s="43"/>
      <c r="F284" s="43"/>
      <c r="G284" s="43"/>
    </row>
    <row r="285" spans="1:7">
      <c r="A285" s="43"/>
      <c r="B285" s="43"/>
      <c r="C285" s="43"/>
      <c r="D285" s="43"/>
      <c r="E285" s="43"/>
      <c r="F285" s="43"/>
      <c r="G285" s="43"/>
    </row>
    <row r="286" spans="1:7">
      <c r="A286" s="43"/>
      <c r="B286" s="43"/>
      <c r="C286" s="43"/>
      <c r="D286" s="43"/>
      <c r="E286" s="43"/>
      <c r="F286" s="43"/>
      <c r="G286" s="43"/>
    </row>
    <row r="287" spans="1:7">
      <c r="A287" s="43"/>
      <c r="B287" s="43"/>
      <c r="C287" s="43"/>
      <c r="D287" s="43"/>
      <c r="E287" s="43"/>
      <c r="F287" s="43"/>
      <c r="G287" s="43"/>
    </row>
    <row r="288" spans="1:7">
      <c r="A288" s="43"/>
      <c r="B288" s="43"/>
      <c r="C288" s="43"/>
      <c r="D288" s="43"/>
      <c r="E288" s="43"/>
      <c r="F288" s="43"/>
      <c r="G288" s="43"/>
    </row>
    <row r="289" spans="1:7">
      <c r="A289" s="43"/>
      <c r="B289" s="43"/>
      <c r="C289" s="43"/>
      <c r="D289" s="43"/>
      <c r="E289" s="43"/>
      <c r="F289" s="43"/>
      <c r="G289" s="43"/>
    </row>
    <row r="290" spans="1:7">
      <c r="A290" s="43"/>
      <c r="B290" s="43"/>
      <c r="C290" s="43"/>
      <c r="D290" s="43"/>
      <c r="E290" s="43"/>
      <c r="F290" s="43"/>
      <c r="G290" s="43"/>
    </row>
    <row r="291" spans="1:7">
      <c r="A291" s="43"/>
      <c r="B291" s="43"/>
      <c r="C291" s="43"/>
      <c r="D291" s="43"/>
      <c r="E291" s="43"/>
      <c r="F291" s="43"/>
      <c r="G291" s="43"/>
    </row>
    <row r="292" spans="1:7">
      <c r="A292" s="43"/>
      <c r="B292" s="43"/>
      <c r="C292" s="43"/>
      <c r="D292" s="43"/>
      <c r="E292" s="43"/>
      <c r="F292" s="43"/>
      <c r="G292" s="43"/>
    </row>
    <row r="293" spans="1:7">
      <c r="A293" s="43"/>
      <c r="B293" s="43"/>
      <c r="C293" s="43"/>
      <c r="D293" s="43"/>
      <c r="E293" s="43"/>
      <c r="F293" s="43"/>
      <c r="G293" s="43"/>
    </row>
    <row r="294" spans="1:7">
      <c r="A294" s="43"/>
      <c r="B294" s="43"/>
      <c r="C294" s="43"/>
      <c r="D294" s="43"/>
      <c r="E294" s="43"/>
      <c r="F294" s="43"/>
      <c r="G294" s="43"/>
    </row>
    <row r="295" spans="1:7">
      <c r="A295" s="43"/>
      <c r="B295" s="43"/>
      <c r="C295" s="43"/>
      <c r="D295" s="43"/>
      <c r="E295" s="43"/>
      <c r="F295" s="43"/>
      <c r="G295" s="43"/>
    </row>
    <row r="296" spans="1:7">
      <c r="A296" s="43"/>
      <c r="B296" s="43"/>
      <c r="C296" s="43"/>
      <c r="D296" s="43"/>
      <c r="E296" s="43"/>
      <c r="F296" s="43"/>
      <c r="G296" s="43"/>
    </row>
    <row r="297" spans="1:7">
      <c r="A297" s="43"/>
      <c r="B297" s="43"/>
      <c r="C297" s="43"/>
      <c r="D297" s="43"/>
      <c r="E297" s="43"/>
      <c r="F297" s="43"/>
      <c r="G297" s="43"/>
    </row>
    <row r="298" spans="1:7">
      <c r="A298" s="43"/>
      <c r="B298" s="43"/>
      <c r="C298" s="43"/>
      <c r="D298" s="43"/>
      <c r="E298" s="43"/>
      <c r="F298" s="43"/>
      <c r="G298" s="43"/>
    </row>
    <row r="299" spans="1:7">
      <c r="A299" s="43"/>
      <c r="B299" s="43"/>
      <c r="C299" s="43"/>
      <c r="D299" s="43"/>
      <c r="E299" s="43"/>
      <c r="F299" s="43"/>
      <c r="G299" s="43"/>
    </row>
    <row r="300" spans="1:7">
      <c r="A300" s="43"/>
      <c r="B300" s="43"/>
      <c r="C300" s="43"/>
      <c r="D300" s="43"/>
      <c r="E300" s="43"/>
      <c r="F300" s="43"/>
      <c r="G300" s="43"/>
    </row>
    <row r="301" spans="1:7">
      <c r="A301" s="43"/>
      <c r="B301" s="43"/>
      <c r="C301" s="43"/>
      <c r="D301" s="43"/>
      <c r="E301" s="43"/>
      <c r="F301" s="43"/>
      <c r="G301" s="43"/>
    </row>
    <row r="302" spans="1:7">
      <c r="A302" s="43"/>
      <c r="B302" s="43"/>
      <c r="C302" s="43"/>
      <c r="D302" s="43"/>
      <c r="E302" s="43"/>
      <c r="F302" s="43"/>
      <c r="G302" s="43"/>
    </row>
    <row r="303" spans="1:7">
      <c r="A303" s="43"/>
      <c r="B303" s="43"/>
      <c r="C303" s="43"/>
      <c r="D303" s="43"/>
      <c r="E303" s="43"/>
      <c r="F303" s="43"/>
      <c r="G303" s="43"/>
    </row>
    <row r="304" spans="1:7">
      <c r="A304" s="43"/>
      <c r="B304" s="43"/>
      <c r="C304" s="43"/>
      <c r="D304" s="43"/>
      <c r="E304" s="43"/>
      <c r="F304" s="43"/>
      <c r="G304" s="43"/>
    </row>
    <row r="305" spans="1:7">
      <c r="A305" s="43"/>
      <c r="B305" s="43"/>
      <c r="C305" s="43"/>
      <c r="D305" s="43"/>
      <c r="E305" s="43"/>
      <c r="F305" s="43"/>
      <c r="G305" s="43"/>
    </row>
    <row r="306" spans="1:7">
      <c r="A306" s="43"/>
      <c r="B306" s="43"/>
      <c r="C306" s="43"/>
      <c r="D306" s="43"/>
      <c r="E306" s="43"/>
      <c r="F306" s="43"/>
      <c r="G306" s="43"/>
    </row>
    <row r="307" spans="1:7">
      <c r="A307" s="43"/>
      <c r="B307" s="43"/>
      <c r="C307" s="43"/>
      <c r="D307" s="43"/>
      <c r="E307" s="43"/>
      <c r="F307" s="43"/>
      <c r="G307" s="43"/>
    </row>
    <row r="308" spans="1:7">
      <c r="A308" s="43"/>
      <c r="B308" s="43"/>
      <c r="C308" s="43"/>
      <c r="D308" s="43"/>
      <c r="E308" s="43"/>
      <c r="F308" s="43"/>
      <c r="G308" s="43"/>
    </row>
    <row r="309" spans="1:7">
      <c r="A309" s="43"/>
      <c r="B309" s="43"/>
      <c r="C309" s="43"/>
      <c r="D309" s="43"/>
      <c r="E309" s="43"/>
      <c r="F309" s="43"/>
      <c r="G309" s="43"/>
    </row>
    <row r="310" spans="1:7">
      <c r="A310" s="43"/>
      <c r="B310" s="43"/>
      <c r="C310" s="43"/>
      <c r="D310" s="43"/>
      <c r="E310" s="43"/>
      <c r="F310" s="43"/>
      <c r="G310" s="43"/>
    </row>
    <row r="311" spans="1:7">
      <c r="A311" s="43"/>
      <c r="B311" s="43"/>
      <c r="C311" s="43"/>
      <c r="D311" s="43"/>
      <c r="E311" s="43"/>
      <c r="F311" s="43"/>
      <c r="G311" s="43"/>
    </row>
    <row r="312" spans="1:7">
      <c r="A312" s="43"/>
      <c r="B312" s="43"/>
      <c r="C312" s="43"/>
      <c r="D312" s="43"/>
      <c r="E312" s="43"/>
      <c r="F312" s="43"/>
      <c r="G312" s="43"/>
    </row>
    <row r="313" spans="1:7">
      <c r="A313" s="43"/>
      <c r="B313" s="43"/>
      <c r="C313" s="43"/>
      <c r="D313" s="43"/>
      <c r="E313" s="43"/>
      <c r="F313" s="43"/>
      <c r="G313" s="43"/>
    </row>
    <row r="314" spans="1:7">
      <c r="A314" s="43"/>
      <c r="B314" s="43"/>
      <c r="C314" s="43"/>
      <c r="D314" s="43"/>
      <c r="E314" s="43"/>
      <c r="F314" s="43"/>
      <c r="G314" s="43"/>
    </row>
    <row r="315" spans="1:7">
      <c r="A315" s="43"/>
      <c r="B315" s="43"/>
      <c r="C315" s="43"/>
      <c r="D315" s="43"/>
      <c r="E315" s="43"/>
      <c r="F315" s="43"/>
      <c r="G315" s="43"/>
    </row>
    <row r="316" spans="1:7">
      <c r="A316" s="43"/>
      <c r="B316" s="43"/>
      <c r="C316" s="43"/>
      <c r="D316" s="43"/>
      <c r="E316" s="43"/>
      <c r="F316" s="43"/>
      <c r="G316" s="43"/>
    </row>
    <row r="317" spans="1:7">
      <c r="A317" s="43"/>
      <c r="B317" s="43"/>
      <c r="C317" s="43"/>
      <c r="D317" s="43"/>
      <c r="E317" s="43"/>
      <c r="F317" s="43"/>
      <c r="G317" s="43"/>
    </row>
    <row r="318" spans="1:7">
      <c r="A318" s="43"/>
      <c r="B318" s="43"/>
      <c r="C318" s="43"/>
      <c r="D318" s="43"/>
      <c r="E318" s="43"/>
      <c r="F318" s="43"/>
      <c r="G318" s="43"/>
    </row>
    <row r="319" spans="1:7">
      <c r="A319" s="43"/>
      <c r="B319" s="43"/>
      <c r="C319" s="43"/>
      <c r="D319" s="43"/>
      <c r="E319" s="43"/>
      <c r="F319" s="43"/>
      <c r="G319" s="43"/>
    </row>
    <row r="320" spans="1:7">
      <c r="A320" s="43"/>
      <c r="B320" s="43"/>
      <c r="C320" s="43"/>
      <c r="D320" s="43"/>
      <c r="E320" s="43"/>
      <c r="F320" s="43"/>
      <c r="G320" s="43"/>
    </row>
    <row r="321" spans="1:7">
      <c r="A321" s="43"/>
      <c r="B321" s="43"/>
      <c r="C321" s="43"/>
      <c r="D321" s="43"/>
      <c r="E321" s="43"/>
      <c r="F321" s="43"/>
      <c r="G321" s="43"/>
    </row>
    <row r="322" spans="1:7">
      <c r="A322" s="43"/>
      <c r="B322" s="43"/>
      <c r="C322" s="43"/>
      <c r="D322" s="43"/>
      <c r="E322" s="43"/>
      <c r="F322" s="43"/>
      <c r="G322" s="43"/>
    </row>
    <row r="323" spans="1:7">
      <c r="A323" s="43"/>
      <c r="B323" s="43"/>
      <c r="C323" s="43"/>
      <c r="D323" s="43"/>
      <c r="E323" s="43"/>
      <c r="F323" s="43"/>
      <c r="G323" s="43"/>
    </row>
    <row r="324" spans="1:7">
      <c r="A324" s="43"/>
      <c r="B324" s="43"/>
      <c r="C324" s="43"/>
      <c r="D324" s="43"/>
      <c r="E324" s="43"/>
      <c r="F324" s="43"/>
      <c r="G324" s="43"/>
    </row>
    <row r="325" spans="1:7">
      <c r="A325" s="43"/>
      <c r="B325" s="43"/>
      <c r="C325" s="43"/>
      <c r="D325" s="43"/>
      <c r="E325" s="43"/>
      <c r="F325" s="43"/>
      <c r="G325" s="43"/>
    </row>
    <row r="326" spans="1:7">
      <c r="A326" s="43"/>
      <c r="B326" s="43"/>
      <c r="C326" s="43"/>
      <c r="D326" s="43"/>
      <c r="E326" s="43"/>
      <c r="F326" s="43"/>
      <c r="G326" s="43"/>
    </row>
    <row r="327" spans="1:7">
      <c r="A327" s="43"/>
      <c r="B327" s="43"/>
      <c r="C327" s="43"/>
      <c r="D327" s="43"/>
      <c r="E327" s="43"/>
      <c r="F327" s="43"/>
      <c r="G327" s="43"/>
    </row>
    <row r="328" spans="1:7">
      <c r="A328" s="43"/>
      <c r="B328" s="43"/>
      <c r="C328" s="43"/>
      <c r="D328" s="43"/>
      <c r="E328" s="43"/>
      <c r="F328" s="43"/>
      <c r="G328" s="43"/>
    </row>
    <row r="329" spans="1:7">
      <c r="A329" s="43"/>
      <c r="B329" s="43"/>
      <c r="C329" s="43"/>
      <c r="D329" s="43"/>
      <c r="E329" s="43"/>
      <c r="F329" s="43"/>
      <c r="G329" s="43"/>
    </row>
    <row r="330" spans="1:7">
      <c r="A330" s="43"/>
      <c r="B330" s="43"/>
      <c r="C330" s="43"/>
      <c r="D330" s="43"/>
      <c r="E330" s="43"/>
      <c r="F330" s="43"/>
      <c r="G330" s="43"/>
    </row>
    <row r="331" spans="1:7">
      <c r="A331" s="43"/>
      <c r="B331" s="43"/>
      <c r="C331" s="43"/>
      <c r="D331" s="43"/>
      <c r="E331" s="43"/>
      <c r="F331" s="43"/>
      <c r="G331" s="43"/>
    </row>
    <row r="332" spans="1:7">
      <c r="A332" s="43"/>
      <c r="B332" s="43"/>
      <c r="C332" s="43"/>
      <c r="D332" s="43"/>
      <c r="E332" s="43"/>
      <c r="F332" s="43"/>
      <c r="G332" s="43"/>
    </row>
    <row r="333" spans="1:7">
      <c r="A333" s="43"/>
      <c r="B333" s="43"/>
      <c r="C333" s="43"/>
      <c r="D333" s="43"/>
      <c r="E333" s="43"/>
      <c r="F333" s="43"/>
      <c r="G333" s="43"/>
    </row>
    <row r="334" spans="1:7">
      <c r="A334" s="43"/>
      <c r="B334" s="43"/>
      <c r="C334" s="43"/>
      <c r="D334" s="43"/>
      <c r="E334" s="43"/>
      <c r="F334" s="43"/>
      <c r="G334" s="43"/>
    </row>
    <row r="335" spans="1:7">
      <c r="A335" s="43"/>
      <c r="B335" s="43"/>
      <c r="C335" s="43"/>
      <c r="D335" s="43"/>
      <c r="E335" s="43"/>
      <c r="F335" s="43"/>
      <c r="G335" s="43"/>
    </row>
    <row r="336" spans="1:7">
      <c r="A336" s="43"/>
      <c r="B336" s="43"/>
      <c r="C336" s="43"/>
      <c r="D336" s="43"/>
      <c r="E336" s="43"/>
      <c r="F336" s="43"/>
      <c r="G336" s="43"/>
    </row>
    <row r="337" spans="1:7">
      <c r="A337" s="43"/>
      <c r="B337" s="43"/>
      <c r="C337" s="43"/>
      <c r="D337" s="43"/>
      <c r="E337" s="43"/>
      <c r="F337" s="43"/>
      <c r="G337" s="43"/>
    </row>
    <row r="338" spans="1:7">
      <c r="A338" s="43"/>
      <c r="B338" s="43"/>
      <c r="C338" s="43"/>
      <c r="D338" s="43"/>
      <c r="E338" s="43"/>
      <c r="F338" s="43"/>
      <c r="G338" s="43"/>
    </row>
    <row r="339" spans="1:7">
      <c r="A339" s="43"/>
      <c r="B339" s="43"/>
      <c r="C339" s="43"/>
      <c r="D339" s="43"/>
      <c r="E339" s="43"/>
      <c r="F339" s="43"/>
      <c r="G339" s="43"/>
    </row>
    <row r="340" spans="1:7">
      <c r="A340" s="43"/>
      <c r="B340" s="43"/>
      <c r="C340" s="43"/>
      <c r="D340" s="43"/>
      <c r="E340" s="43"/>
      <c r="F340" s="43"/>
      <c r="G340" s="43"/>
    </row>
    <row r="341" spans="1:7">
      <c r="A341" s="43"/>
      <c r="B341" s="43"/>
      <c r="C341" s="43"/>
      <c r="D341" s="43"/>
      <c r="E341" s="43"/>
      <c r="F341" s="43"/>
      <c r="G341" s="43"/>
    </row>
    <row r="342" spans="1:7">
      <c r="A342" s="43"/>
      <c r="B342" s="43"/>
      <c r="C342" s="43"/>
      <c r="D342" s="43"/>
      <c r="E342" s="43"/>
      <c r="F342" s="43"/>
      <c r="G342" s="43"/>
    </row>
    <row r="343" spans="1:7">
      <c r="A343" s="43"/>
      <c r="B343" s="43"/>
      <c r="C343" s="43"/>
      <c r="D343" s="43"/>
      <c r="E343" s="43"/>
      <c r="F343" s="43"/>
      <c r="G343" s="43"/>
    </row>
    <row r="344" spans="1:7">
      <c r="A344" s="43"/>
      <c r="B344" s="43"/>
      <c r="C344" s="43"/>
      <c r="D344" s="43"/>
      <c r="E344" s="43"/>
      <c r="F344" s="43"/>
      <c r="G344" s="43"/>
    </row>
    <row r="345" spans="1:7">
      <c r="A345" s="43"/>
      <c r="B345" s="43"/>
      <c r="C345" s="43"/>
      <c r="D345" s="43"/>
      <c r="E345" s="43"/>
      <c r="F345" s="43"/>
      <c r="G345" s="43"/>
    </row>
    <row r="346" spans="1:7">
      <c r="A346" s="43"/>
      <c r="B346" s="43"/>
      <c r="C346" s="43"/>
      <c r="D346" s="43"/>
      <c r="E346" s="43"/>
      <c r="F346" s="43"/>
      <c r="G346" s="43"/>
    </row>
    <row r="347" spans="1:7">
      <c r="A347" s="43"/>
      <c r="B347" s="43"/>
      <c r="C347" s="43"/>
      <c r="D347" s="43"/>
      <c r="E347" s="43"/>
      <c r="F347" s="43"/>
      <c r="G347" s="43"/>
    </row>
    <row r="348" spans="1:7">
      <c r="A348" s="43"/>
      <c r="B348" s="43"/>
      <c r="C348" s="43"/>
      <c r="D348" s="43"/>
      <c r="E348" s="43"/>
      <c r="F348" s="43"/>
      <c r="G348" s="43"/>
    </row>
    <row r="349" spans="1:7">
      <c r="A349" s="43"/>
      <c r="B349" s="43"/>
      <c r="C349" s="43"/>
      <c r="D349" s="43"/>
      <c r="E349" s="43"/>
      <c r="F349" s="43"/>
      <c r="G349" s="43"/>
    </row>
    <row r="350" spans="1:7">
      <c r="A350" s="43"/>
      <c r="B350" s="43"/>
      <c r="C350" s="43"/>
      <c r="D350" s="43"/>
      <c r="E350" s="43"/>
      <c r="F350" s="43"/>
      <c r="G350" s="43"/>
    </row>
    <row r="351" spans="1:7">
      <c r="A351" s="43"/>
      <c r="B351" s="43"/>
      <c r="C351" s="43"/>
      <c r="D351" s="43"/>
      <c r="E351" s="43"/>
      <c r="F351" s="43"/>
      <c r="G351" s="43"/>
    </row>
    <row r="352" spans="1:7">
      <c r="A352" s="43"/>
      <c r="B352" s="43"/>
      <c r="C352" s="43"/>
      <c r="D352" s="43"/>
      <c r="E352" s="43"/>
      <c r="F352" s="43"/>
      <c r="G352" s="43"/>
    </row>
    <row r="353" spans="1:7">
      <c r="A353" s="43"/>
      <c r="B353" s="43"/>
      <c r="C353" s="43"/>
      <c r="D353" s="43"/>
      <c r="E353" s="43"/>
      <c r="F353" s="43"/>
      <c r="G353" s="43"/>
    </row>
    <row r="354" spans="1:7">
      <c r="A354" s="43"/>
      <c r="B354" s="43"/>
      <c r="C354" s="43"/>
      <c r="D354" s="43"/>
      <c r="E354" s="43"/>
      <c r="F354" s="43"/>
      <c r="G354" s="43"/>
    </row>
    <row r="355" spans="1:7">
      <c r="A355" s="43"/>
      <c r="B355" s="43"/>
      <c r="C355" s="43"/>
      <c r="D355" s="43"/>
      <c r="E355" s="43"/>
      <c r="F355" s="43"/>
      <c r="G355" s="43"/>
    </row>
    <row r="356" spans="1:7">
      <c r="A356" s="43"/>
      <c r="B356" s="43"/>
      <c r="C356" s="43"/>
      <c r="D356" s="43"/>
      <c r="E356" s="43"/>
      <c r="F356" s="43"/>
      <c r="G356" s="43"/>
    </row>
    <row r="357" spans="1:7">
      <c r="A357" s="43"/>
      <c r="B357" s="43"/>
      <c r="C357" s="43"/>
      <c r="D357" s="43"/>
      <c r="E357" s="43"/>
      <c r="F357" s="43"/>
      <c r="G357" s="43"/>
    </row>
    <row r="358" spans="1:7">
      <c r="A358" s="43"/>
      <c r="B358" s="43"/>
      <c r="C358" s="43"/>
      <c r="D358" s="43"/>
      <c r="E358" s="43"/>
      <c r="F358" s="43"/>
      <c r="G358" s="43"/>
    </row>
    <row r="359" spans="1:7">
      <c r="A359" s="43"/>
      <c r="B359" s="43"/>
      <c r="C359" s="43"/>
      <c r="D359" s="43"/>
      <c r="E359" s="43"/>
      <c r="F359" s="43"/>
      <c r="G359" s="43"/>
    </row>
    <row r="360" spans="1:7">
      <c r="A360" s="43"/>
      <c r="B360" s="43"/>
      <c r="C360" s="43"/>
      <c r="D360" s="43"/>
      <c r="E360" s="43"/>
      <c r="F360" s="43"/>
      <c r="G360" s="43"/>
    </row>
    <row r="361" spans="1:7">
      <c r="A361" s="43"/>
      <c r="B361" s="43"/>
      <c r="C361" s="43"/>
      <c r="D361" s="43"/>
      <c r="E361" s="43"/>
      <c r="F361" s="43"/>
      <c r="G361" s="43"/>
    </row>
    <row r="362" spans="1:7">
      <c r="A362" s="43"/>
      <c r="B362" s="43"/>
      <c r="C362" s="43"/>
      <c r="D362" s="43"/>
      <c r="E362" s="43"/>
      <c r="F362" s="43"/>
      <c r="G362" s="43"/>
    </row>
    <row r="363" spans="1:7">
      <c r="A363" s="43"/>
      <c r="B363" s="43"/>
      <c r="C363" s="43"/>
      <c r="D363" s="43"/>
      <c r="E363" s="43"/>
      <c r="F363" s="43"/>
      <c r="G363" s="43"/>
    </row>
    <row r="364" spans="1:7">
      <c r="A364" s="43"/>
      <c r="B364" s="43"/>
      <c r="C364" s="43"/>
      <c r="D364" s="43"/>
      <c r="E364" s="43"/>
      <c r="F364" s="43"/>
      <c r="G364" s="43"/>
    </row>
    <row r="365" spans="1:7">
      <c r="A365" s="43"/>
      <c r="B365" s="43"/>
      <c r="C365" s="43"/>
      <c r="D365" s="43"/>
      <c r="E365" s="43"/>
      <c r="F365" s="43"/>
      <c r="G365" s="43"/>
    </row>
    <row r="366" spans="1:7">
      <c r="A366" s="43"/>
      <c r="B366" s="43"/>
      <c r="C366" s="43"/>
      <c r="D366" s="43"/>
      <c r="E366" s="43"/>
      <c r="F366" s="43"/>
      <c r="G366" s="43"/>
    </row>
    <row r="367" spans="1:7">
      <c r="A367" s="43"/>
      <c r="B367" s="43"/>
      <c r="C367" s="43"/>
      <c r="D367" s="43"/>
      <c r="E367" s="43"/>
      <c r="F367" s="43"/>
      <c r="G367" s="43"/>
    </row>
    <row r="368" spans="1:7">
      <c r="A368" s="43"/>
      <c r="B368" s="43"/>
      <c r="C368" s="43"/>
      <c r="D368" s="43"/>
      <c r="E368" s="43"/>
      <c r="F368" s="43"/>
      <c r="G368" s="43"/>
    </row>
    <row r="369" spans="1:7">
      <c r="A369" s="43"/>
      <c r="B369" s="43"/>
      <c r="C369" s="43"/>
      <c r="D369" s="43"/>
      <c r="E369" s="43"/>
      <c r="F369" s="43"/>
      <c r="G369" s="43"/>
    </row>
    <row r="370" spans="1:7">
      <c r="A370" s="43"/>
      <c r="B370" s="43"/>
      <c r="C370" s="43"/>
      <c r="D370" s="43"/>
      <c r="E370" s="43"/>
      <c r="F370" s="43"/>
      <c r="G370" s="43"/>
    </row>
    <row r="371" spans="1:7">
      <c r="A371" s="43"/>
      <c r="B371" s="43"/>
      <c r="C371" s="43"/>
      <c r="D371" s="43"/>
      <c r="E371" s="43"/>
      <c r="F371" s="43"/>
      <c r="G371" s="43"/>
    </row>
    <row r="372" spans="1:7">
      <c r="A372" s="43"/>
      <c r="B372" s="43"/>
      <c r="C372" s="43"/>
      <c r="D372" s="43"/>
      <c r="E372" s="43"/>
      <c r="F372" s="43"/>
      <c r="G372" s="43"/>
    </row>
    <row r="373" spans="1:7">
      <c r="A373" s="43"/>
      <c r="B373" s="43"/>
      <c r="C373" s="43"/>
      <c r="D373" s="43"/>
      <c r="E373" s="43"/>
      <c r="F373" s="43"/>
      <c r="G373" s="43"/>
    </row>
    <row r="374" spans="1:7">
      <c r="A374" s="43"/>
      <c r="B374" s="43"/>
      <c r="C374" s="43"/>
      <c r="D374" s="43"/>
      <c r="E374" s="43"/>
      <c r="F374" s="43"/>
      <c r="G374" s="43"/>
    </row>
    <row r="375" spans="1:7">
      <c r="A375" s="43"/>
      <c r="B375" s="43"/>
      <c r="C375" s="43"/>
      <c r="D375" s="43"/>
      <c r="E375" s="43"/>
      <c r="F375" s="43"/>
      <c r="G375" s="43"/>
    </row>
    <row r="376" spans="1:7">
      <c r="A376" s="43"/>
      <c r="B376" s="43"/>
      <c r="C376" s="43"/>
      <c r="D376" s="43"/>
      <c r="E376" s="43"/>
      <c r="F376" s="43"/>
      <c r="G376" s="43"/>
    </row>
    <row r="377" spans="1:7">
      <c r="A377" s="43"/>
      <c r="B377" s="43"/>
      <c r="C377" s="43"/>
      <c r="D377" s="43"/>
      <c r="E377" s="43"/>
      <c r="F377" s="43"/>
      <c r="G377" s="43"/>
    </row>
    <row r="378" spans="1:7">
      <c r="A378" s="43"/>
      <c r="B378" s="43"/>
      <c r="C378" s="43"/>
      <c r="D378" s="43"/>
      <c r="E378" s="43"/>
      <c r="F378" s="43"/>
      <c r="G378" s="43"/>
    </row>
    <row r="379" spans="1:7">
      <c r="A379" s="43"/>
      <c r="B379" s="43"/>
      <c r="C379" s="43"/>
      <c r="D379" s="43"/>
      <c r="E379" s="43"/>
      <c r="F379" s="43"/>
      <c r="G379" s="43"/>
    </row>
    <row r="380" spans="1:7">
      <c r="A380" s="43"/>
      <c r="B380" s="43"/>
      <c r="C380" s="43"/>
      <c r="D380" s="43"/>
      <c r="E380" s="43"/>
      <c r="F380" s="43"/>
      <c r="G380" s="43"/>
    </row>
    <row r="381" spans="1:7">
      <c r="A381" s="43"/>
      <c r="B381" s="43"/>
      <c r="C381" s="43"/>
      <c r="D381" s="43"/>
      <c r="E381" s="43"/>
      <c r="F381" s="43"/>
      <c r="G381" s="43"/>
    </row>
    <row r="382" spans="1:7">
      <c r="A382" s="43"/>
      <c r="B382" s="43"/>
      <c r="C382" s="43"/>
      <c r="D382" s="43"/>
      <c r="E382" s="43"/>
      <c r="F382" s="43"/>
      <c r="G382" s="43"/>
    </row>
    <row r="383" spans="1:7">
      <c r="A383" s="43"/>
      <c r="B383" s="43"/>
      <c r="C383" s="43"/>
      <c r="D383" s="43"/>
      <c r="E383" s="43"/>
      <c r="F383" s="43"/>
      <c r="G383" s="43"/>
    </row>
    <row r="384" spans="1:7">
      <c r="A384" s="43"/>
      <c r="B384" s="43"/>
      <c r="C384" s="43"/>
      <c r="D384" s="43"/>
      <c r="E384" s="43"/>
      <c r="F384" s="43"/>
      <c r="G384" s="43"/>
    </row>
    <row r="385" spans="1:7">
      <c r="A385" s="43"/>
      <c r="B385" s="43"/>
      <c r="C385" s="43"/>
      <c r="D385" s="43"/>
      <c r="E385" s="43"/>
      <c r="F385" s="43"/>
      <c r="G385" s="43"/>
    </row>
    <row r="386" spans="1:7">
      <c r="A386" s="43"/>
      <c r="B386" s="43"/>
      <c r="C386" s="43"/>
      <c r="D386" s="43"/>
      <c r="E386" s="43"/>
      <c r="F386" s="43"/>
      <c r="G386" s="43"/>
    </row>
    <row r="387" spans="1:7">
      <c r="A387" s="43"/>
      <c r="B387" s="43"/>
      <c r="C387" s="43"/>
      <c r="D387" s="43"/>
      <c r="E387" s="43"/>
      <c r="F387" s="43"/>
      <c r="G387" s="43"/>
    </row>
    <row r="388" spans="1:7">
      <c r="A388" s="43"/>
      <c r="B388" s="43"/>
      <c r="C388" s="43"/>
      <c r="D388" s="43"/>
      <c r="E388" s="43"/>
      <c r="F388" s="43"/>
      <c r="G388" s="43"/>
    </row>
    <row r="389" spans="1:7">
      <c r="A389" s="43"/>
      <c r="B389" s="43"/>
      <c r="C389" s="43"/>
      <c r="D389" s="43"/>
      <c r="E389" s="43"/>
      <c r="F389" s="43"/>
      <c r="G389" s="43"/>
    </row>
    <row r="390" spans="1:7">
      <c r="A390" s="43"/>
      <c r="B390" s="43"/>
      <c r="C390" s="43"/>
      <c r="D390" s="43"/>
      <c r="E390" s="43"/>
      <c r="F390" s="43"/>
      <c r="G390" s="43"/>
    </row>
    <row r="391" spans="1:7">
      <c r="A391" s="43"/>
      <c r="B391" s="43"/>
      <c r="C391" s="43"/>
      <c r="D391" s="43"/>
      <c r="E391" s="43"/>
      <c r="F391" s="43"/>
      <c r="G391" s="43"/>
    </row>
    <row r="392" spans="1:7">
      <c r="A392" s="43"/>
      <c r="B392" s="43"/>
      <c r="C392" s="43"/>
      <c r="D392" s="43"/>
      <c r="E392" s="43"/>
      <c r="F392" s="43"/>
      <c r="G392" s="43"/>
    </row>
    <row r="393" spans="1:7">
      <c r="A393" s="43"/>
      <c r="B393" s="43"/>
      <c r="C393" s="43"/>
      <c r="D393" s="43"/>
      <c r="E393" s="43"/>
      <c r="F393" s="43"/>
      <c r="G393" s="43"/>
    </row>
    <row r="394" spans="1:7">
      <c r="A394" s="43"/>
      <c r="B394" s="43"/>
      <c r="C394" s="43"/>
      <c r="D394" s="43"/>
      <c r="E394" s="43"/>
      <c r="F394" s="43"/>
      <c r="G394" s="43"/>
    </row>
    <row r="395" spans="1:7">
      <c r="A395" s="43"/>
      <c r="B395" s="43"/>
      <c r="C395" s="43"/>
      <c r="D395" s="43"/>
      <c r="E395" s="43"/>
      <c r="F395" s="43"/>
      <c r="G395" s="43"/>
    </row>
    <row r="396" spans="1:7">
      <c r="A396" s="43"/>
      <c r="B396" s="43"/>
      <c r="C396" s="43"/>
      <c r="D396" s="43"/>
      <c r="E396" s="43"/>
      <c r="F396" s="43"/>
      <c r="G396" s="43"/>
    </row>
    <row r="397" spans="1:7">
      <c r="A397" s="43"/>
      <c r="B397" s="43"/>
      <c r="C397" s="43"/>
      <c r="D397" s="43"/>
      <c r="E397" s="43"/>
      <c r="F397" s="43"/>
      <c r="G397" s="43"/>
    </row>
    <row r="398" spans="1:7">
      <c r="A398" s="43"/>
      <c r="B398" s="43"/>
      <c r="C398" s="43"/>
      <c r="D398" s="43"/>
      <c r="E398" s="43"/>
      <c r="F398" s="43"/>
      <c r="G398" s="43"/>
    </row>
    <row r="399" spans="1:7">
      <c r="A399" s="43"/>
      <c r="B399" s="43"/>
      <c r="C399" s="43"/>
      <c r="D399" s="43"/>
      <c r="E399" s="43"/>
      <c r="F399" s="43"/>
      <c r="G399" s="43"/>
    </row>
    <row r="400" spans="1:7">
      <c r="A400" s="43"/>
      <c r="B400" s="43"/>
      <c r="C400" s="43"/>
      <c r="D400" s="43"/>
      <c r="E400" s="43"/>
      <c r="F400" s="43"/>
      <c r="G400" s="43"/>
    </row>
    <row r="401" spans="1:7">
      <c r="A401" s="43"/>
      <c r="B401" s="43"/>
      <c r="C401" s="43"/>
      <c r="D401" s="43"/>
      <c r="E401" s="43"/>
      <c r="F401" s="43"/>
      <c r="G401" s="43"/>
    </row>
    <row r="402" spans="1:7">
      <c r="A402" s="43"/>
      <c r="B402" s="43"/>
      <c r="C402" s="43"/>
      <c r="D402" s="43"/>
      <c r="E402" s="43"/>
      <c r="F402" s="43"/>
      <c r="G402" s="43"/>
    </row>
    <row r="403" spans="1:7">
      <c r="A403" s="43"/>
      <c r="B403" s="43"/>
      <c r="C403" s="43"/>
      <c r="D403" s="43"/>
      <c r="E403" s="43"/>
      <c r="F403" s="43"/>
      <c r="G403" s="43"/>
    </row>
    <row r="404" spans="1:7">
      <c r="A404" s="43"/>
      <c r="B404" s="43"/>
      <c r="C404" s="43"/>
      <c r="D404" s="43"/>
      <c r="E404" s="43"/>
      <c r="F404" s="43"/>
      <c r="G404" s="43"/>
    </row>
    <row r="405" spans="1:7">
      <c r="A405" s="43"/>
      <c r="B405" s="43"/>
      <c r="C405" s="43"/>
      <c r="D405" s="43"/>
      <c r="E405" s="43"/>
      <c r="F405" s="43"/>
      <c r="G405" s="43"/>
    </row>
    <row r="406" spans="1:7">
      <c r="A406" s="43"/>
      <c r="B406" s="43"/>
      <c r="C406" s="43"/>
      <c r="D406" s="43"/>
      <c r="E406" s="43"/>
      <c r="F406" s="43"/>
      <c r="G406" s="43"/>
    </row>
    <row r="407" spans="1:7">
      <c r="A407" s="43"/>
      <c r="B407" s="43"/>
      <c r="C407" s="43"/>
      <c r="D407" s="43"/>
      <c r="E407" s="43"/>
      <c r="F407" s="43"/>
      <c r="G407" s="43"/>
    </row>
    <row r="408" spans="1:7">
      <c r="A408" s="43"/>
      <c r="B408" s="43"/>
      <c r="C408" s="43"/>
      <c r="D408" s="43"/>
      <c r="E408" s="43"/>
      <c r="F408" s="43"/>
      <c r="G408" s="43"/>
    </row>
    <row r="409" spans="1:7">
      <c r="A409" s="43"/>
      <c r="B409" s="43"/>
      <c r="C409" s="43"/>
      <c r="D409" s="43"/>
      <c r="E409" s="43"/>
      <c r="F409" s="43"/>
      <c r="G409" s="43"/>
    </row>
    <row r="410" spans="1:7">
      <c r="A410" s="43"/>
      <c r="B410" s="43"/>
      <c r="C410" s="43"/>
      <c r="D410" s="43"/>
      <c r="E410" s="43"/>
      <c r="F410" s="43"/>
      <c r="G410" s="43"/>
    </row>
    <row r="411" spans="1:7">
      <c r="A411" s="43"/>
      <c r="B411" s="43"/>
      <c r="C411" s="43"/>
      <c r="D411" s="43"/>
      <c r="E411" s="43"/>
      <c r="F411" s="43"/>
      <c r="G411" s="43"/>
    </row>
    <row r="412" spans="1:7">
      <c r="A412" s="43"/>
      <c r="B412" s="43"/>
      <c r="C412" s="43"/>
      <c r="D412" s="43"/>
      <c r="E412" s="43"/>
      <c r="F412" s="43"/>
      <c r="G412" s="43"/>
    </row>
    <row r="413" spans="1:7">
      <c r="A413" s="43"/>
      <c r="B413" s="43"/>
      <c r="C413" s="43"/>
      <c r="D413" s="43"/>
      <c r="E413" s="43"/>
      <c r="F413" s="43"/>
      <c r="G413" s="43"/>
    </row>
    <row r="414" spans="1:7">
      <c r="A414" s="43"/>
      <c r="B414" s="43"/>
      <c r="C414" s="43"/>
      <c r="D414" s="43"/>
      <c r="E414" s="43"/>
      <c r="F414" s="43"/>
      <c r="G414" s="43"/>
    </row>
    <row r="415" spans="1:7">
      <c r="A415" s="43"/>
      <c r="B415" s="43"/>
      <c r="C415" s="43"/>
      <c r="D415" s="43"/>
      <c r="E415" s="43"/>
      <c r="F415" s="43"/>
      <c r="G415" s="43"/>
    </row>
    <row r="416" spans="1:7">
      <c r="A416" s="43"/>
      <c r="B416" s="43"/>
      <c r="C416" s="43"/>
      <c r="D416" s="43"/>
      <c r="E416" s="43"/>
      <c r="F416" s="43"/>
      <c r="G416" s="43"/>
    </row>
    <row r="417" spans="1:7">
      <c r="A417" s="43"/>
      <c r="B417" s="43"/>
      <c r="C417" s="43"/>
      <c r="D417" s="43"/>
      <c r="E417" s="43"/>
      <c r="F417" s="43"/>
      <c r="G417" s="43"/>
    </row>
    <row r="418" spans="1:7">
      <c r="A418" s="43"/>
      <c r="B418" s="43"/>
      <c r="C418" s="43"/>
      <c r="D418" s="43"/>
      <c r="E418" s="43"/>
      <c r="F418" s="43"/>
      <c r="G418" s="43"/>
    </row>
    <row r="419" spans="1:7">
      <c r="A419" s="43"/>
      <c r="B419" s="43"/>
      <c r="C419" s="43"/>
      <c r="D419" s="43"/>
      <c r="E419" s="43"/>
      <c r="F419" s="43"/>
      <c r="G419" s="43"/>
    </row>
    <row r="420" spans="1:7">
      <c r="A420" s="43"/>
      <c r="B420" s="43"/>
      <c r="C420" s="43"/>
      <c r="D420" s="43"/>
      <c r="E420" s="43"/>
      <c r="F420" s="43"/>
      <c r="G420" s="43"/>
    </row>
    <row r="421" spans="1:7">
      <c r="A421" s="43"/>
      <c r="B421" s="43"/>
      <c r="C421" s="43"/>
      <c r="D421" s="43"/>
      <c r="E421" s="43"/>
      <c r="F421" s="43"/>
      <c r="G421" s="43"/>
    </row>
    <row r="422" spans="1:7">
      <c r="A422" s="43"/>
      <c r="B422" s="43"/>
      <c r="C422" s="43"/>
      <c r="D422" s="43"/>
      <c r="E422" s="43"/>
      <c r="F422" s="43"/>
      <c r="G422" s="43"/>
    </row>
    <row r="423" spans="1:7">
      <c r="A423" s="43"/>
      <c r="B423" s="43"/>
      <c r="C423" s="43"/>
      <c r="D423" s="43"/>
      <c r="E423" s="43"/>
      <c r="F423" s="43"/>
      <c r="G423" s="43"/>
    </row>
    <row r="424" spans="1:7">
      <c r="A424" s="43"/>
      <c r="B424" s="43"/>
      <c r="C424" s="43"/>
      <c r="D424" s="43"/>
      <c r="E424" s="43"/>
      <c r="F424" s="43"/>
      <c r="G424" s="43"/>
    </row>
    <row r="425" spans="1:7">
      <c r="A425" s="43"/>
      <c r="B425" s="43"/>
      <c r="C425" s="43"/>
      <c r="D425" s="43"/>
      <c r="E425" s="43"/>
      <c r="F425" s="43"/>
      <c r="G425" s="43"/>
    </row>
    <row r="426" spans="1:7">
      <c r="A426" s="43"/>
      <c r="B426" s="43"/>
      <c r="C426" s="43"/>
      <c r="D426" s="43"/>
      <c r="E426" s="43"/>
      <c r="F426" s="43"/>
      <c r="G426" s="43"/>
    </row>
    <row r="427" spans="1:7">
      <c r="A427" s="43"/>
      <c r="B427" s="43"/>
      <c r="C427" s="43"/>
      <c r="D427" s="43"/>
      <c r="E427" s="43"/>
      <c r="F427" s="43"/>
      <c r="G427" s="43"/>
    </row>
    <row r="428" spans="1:7">
      <c r="A428" s="43"/>
      <c r="B428" s="43"/>
      <c r="C428" s="43"/>
      <c r="D428" s="43"/>
      <c r="E428" s="43"/>
      <c r="F428" s="43"/>
      <c r="G428" s="43"/>
    </row>
    <row r="429" spans="1:7">
      <c r="A429" s="43"/>
      <c r="B429" s="43"/>
      <c r="C429" s="43"/>
      <c r="D429" s="43"/>
      <c r="E429" s="43"/>
      <c r="F429" s="43"/>
      <c r="G429" s="43"/>
    </row>
    <row r="430" spans="1:7">
      <c r="A430" s="43"/>
      <c r="B430" s="43"/>
      <c r="C430" s="43"/>
      <c r="D430" s="43"/>
      <c r="E430" s="43"/>
      <c r="F430" s="43"/>
      <c r="G430" s="43"/>
    </row>
    <row r="431" spans="1:7">
      <c r="A431" s="43"/>
      <c r="B431" s="43"/>
      <c r="C431" s="43"/>
      <c r="D431" s="43"/>
      <c r="E431" s="43"/>
      <c r="F431" s="43"/>
      <c r="G431" s="43"/>
    </row>
    <row r="432" spans="1:7">
      <c r="A432" s="43"/>
      <c r="B432" s="43"/>
      <c r="C432" s="43"/>
      <c r="D432" s="43"/>
      <c r="E432" s="43"/>
      <c r="F432" s="43"/>
      <c r="G432" s="43"/>
    </row>
    <row r="433" spans="1:7">
      <c r="A433" s="43"/>
      <c r="B433" s="43"/>
      <c r="C433" s="43"/>
      <c r="D433" s="43"/>
      <c r="E433" s="43"/>
      <c r="F433" s="43"/>
      <c r="G433" s="43"/>
    </row>
    <row r="434" spans="1:7">
      <c r="A434" s="43"/>
      <c r="B434" s="43"/>
      <c r="C434" s="43"/>
      <c r="D434" s="43"/>
      <c r="E434" s="43"/>
      <c r="F434" s="43"/>
      <c r="G434" s="43"/>
    </row>
    <row r="435" spans="1:7">
      <c r="A435" s="43"/>
      <c r="B435" s="43"/>
      <c r="C435" s="43"/>
      <c r="D435" s="43"/>
      <c r="E435" s="43"/>
      <c r="F435" s="43"/>
      <c r="G435" s="43"/>
    </row>
    <row r="436" spans="1:7">
      <c r="A436" s="43"/>
      <c r="B436" s="43"/>
      <c r="C436" s="43"/>
      <c r="D436" s="43"/>
      <c r="E436" s="43"/>
      <c r="F436" s="43"/>
      <c r="G436" s="43"/>
    </row>
    <row r="437" spans="1:7">
      <c r="A437" s="43"/>
      <c r="B437" s="43"/>
      <c r="C437" s="43"/>
      <c r="D437" s="43"/>
      <c r="E437" s="43"/>
      <c r="F437" s="43"/>
      <c r="G437" s="43"/>
    </row>
    <row r="438" spans="1:7">
      <c r="A438" s="43"/>
      <c r="B438" s="43"/>
      <c r="C438" s="43"/>
      <c r="D438" s="43"/>
      <c r="E438" s="43"/>
      <c r="F438" s="43"/>
      <c r="G438" s="43"/>
    </row>
    <row r="439" spans="1:7">
      <c r="A439" s="43"/>
      <c r="B439" s="43"/>
      <c r="C439" s="43"/>
      <c r="D439" s="43"/>
      <c r="E439" s="43"/>
      <c r="F439" s="43"/>
      <c r="G439" s="43"/>
    </row>
    <row r="440" spans="1:7">
      <c r="A440" s="43"/>
      <c r="B440" s="43"/>
      <c r="C440" s="43"/>
      <c r="D440" s="43"/>
      <c r="E440" s="43"/>
      <c r="F440" s="43"/>
      <c r="G440" s="43"/>
    </row>
    <row r="441" spans="1:7">
      <c r="A441" s="43"/>
      <c r="B441" s="43"/>
      <c r="C441" s="43"/>
      <c r="D441" s="43"/>
      <c r="E441" s="43"/>
      <c r="F441" s="43"/>
      <c r="G441" s="43"/>
    </row>
    <row r="442" spans="1:7">
      <c r="A442" s="43"/>
      <c r="B442" s="43"/>
      <c r="C442" s="43"/>
      <c r="D442" s="43"/>
      <c r="E442" s="43"/>
      <c r="F442" s="43"/>
      <c r="G442" s="43"/>
    </row>
    <row r="443" spans="1:7">
      <c r="A443" s="43"/>
      <c r="B443" s="43"/>
      <c r="C443" s="43"/>
      <c r="D443" s="43"/>
      <c r="E443" s="43"/>
      <c r="F443" s="43"/>
      <c r="G443" s="43"/>
    </row>
    <row r="444" spans="1:7">
      <c r="A444" s="43"/>
      <c r="B444" s="43"/>
      <c r="C444" s="43"/>
      <c r="D444" s="43"/>
      <c r="E444" s="43"/>
      <c r="F444" s="43"/>
      <c r="G444" s="43"/>
    </row>
    <row r="445" spans="1:7">
      <c r="A445" s="43"/>
      <c r="B445" s="43"/>
      <c r="C445" s="43"/>
      <c r="D445" s="43"/>
      <c r="E445" s="43"/>
      <c r="F445" s="43"/>
      <c r="G445" s="43"/>
    </row>
    <row r="446" spans="1:7">
      <c r="A446" s="43"/>
      <c r="B446" s="43"/>
      <c r="C446" s="43"/>
      <c r="D446" s="43"/>
      <c r="E446" s="43"/>
      <c r="F446" s="43"/>
      <c r="G446" s="43"/>
    </row>
    <row r="447" spans="1:7">
      <c r="A447" s="43"/>
      <c r="B447" s="43"/>
      <c r="C447" s="43"/>
      <c r="D447" s="43"/>
      <c r="E447" s="43"/>
      <c r="F447" s="43"/>
      <c r="G447" s="43"/>
    </row>
    <row r="448" spans="1:7">
      <c r="A448" s="43"/>
      <c r="B448" s="43"/>
      <c r="C448" s="43"/>
      <c r="D448" s="43"/>
      <c r="E448" s="43"/>
      <c r="F448" s="43"/>
      <c r="G448" s="43"/>
    </row>
    <row r="449" spans="1:7">
      <c r="A449" s="43"/>
      <c r="B449" s="43"/>
      <c r="C449" s="43"/>
      <c r="D449" s="43"/>
      <c r="E449" s="43"/>
      <c r="F449" s="43"/>
      <c r="G449" s="43"/>
    </row>
    <row r="450" spans="1:7">
      <c r="A450" s="43"/>
      <c r="B450" s="43"/>
      <c r="C450" s="43"/>
      <c r="D450" s="43"/>
      <c r="E450" s="43"/>
      <c r="F450" s="43"/>
      <c r="G450" s="43"/>
    </row>
    <row r="451" spans="1:7">
      <c r="A451" s="43"/>
      <c r="B451" s="43"/>
      <c r="C451" s="43"/>
      <c r="D451" s="43"/>
      <c r="E451" s="43"/>
      <c r="F451" s="43"/>
      <c r="G451" s="43"/>
    </row>
    <row r="452" spans="1:7">
      <c r="A452" s="43"/>
      <c r="B452" s="43"/>
      <c r="C452" s="43"/>
      <c r="D452" s="43"/>
      <c r="E452" s="43"/>
      <c r="F452" s="43"/>
      <c r="G452" s="43"/>
    </row>
    <row r="453" spans="1:7">
      <c r="A453" s="43"/>
      <c r="B453" s="43"/>
      <c r="C453" s="43"/>
      <c r="D453" s="43"/>
      <c r="E453" s="43"/>
      <c r="F453" s="43"/>
      <c r="G453" s="43"/>
    </row>
    <row r="454" spans="1:7">
      <c r="A454" s="43"/>
      <c r="B454" s="43"/>
      <c r="C454" s="43"/>
      <c r="D454" s="43"/>
      <c r="E454" s="43"/>
      <c r="F454" s="43"/>
      <c r="G454" s="43"/>
    </row>
    <row r="455" spans="1:7">
      <c r="A455" s="43"/>
      <c r="B455" s="43"/>
      <c r="C455" s="43"/>
      <c r="D455" s="43"/>
      <c r="E455" s="43"/>
      <c r="F455" s="43"/>
      <c r="G455" s="43"/>
    </row>
    <row r="456" spans="1:7">
      <c r="A456" s="43"/>
      <c r="B456" s="43"/>
      <c r="C456" s="43"/>
      <c r="D456" s="43"/>
      <c r="E456" s="43"/>
      <c r="F456" s="43"/>
      <c r="G456" s="43"/>
    </row>
    <row r="457" spans="1:7">
      <c r="A457" s="43"/>
      <c r="B457" s="43"/>
      <c r="C457" s="43"/>
      <c r="D457" s="43"/>
      <c r="E457" s="43"/>
      <c r="F457" s="43"/>
      <c r="G457" s="43"/>
    </row>
    <row r="458" spans="1:7">
      <c r="A458" s="43"/>
      <c r="B458" s="43"/>
      <c r="C458" s="43"/>
      <c r="D458" s="43"/>
      <c r="E458" s="43"/>
      <c r="F458" s="43"/>
      <c r="G458" s="43"/>
    </row>
    <row r="459" spans="1:7">
      <c r="A459" s="43"/>
      <c r="B459" s="43"/>
      <c r="C459" s="43"/>
      <c r="D459" s="43"/>
      <c r="E459" s="43"/>
      <c r="F459" s="43"/>
      <c r="G459" s="43"/>
    </row>
    <row r="460" spans="1:7">
      <c r="A460" s="43"/>
      <c r="B460" s="43"/>
      <c r="C460" s="43"/>
      <c r="D460" s="43"/>
      <c r="E460" s="43"/>
      <c r="F460" s="43"/>
      <c r="G460" s="43"/>
    </row>
    <row r="461" spans="1:7">
      <c r="A461" s="43"/>
      <c r="B461" s="43"/>
      <c r="C461" s="43"/>
      <c r="D461" s="43"/>
      <c r="E461" s="43"/>
      <c r="F461" s="43"/>
      <c r="G461" s="43"/>
    </row>
    <row r="462" spans="1:7">
      <c r="A462" s="43"/>
      <c r="B462" s="43"/>
      <c r="C462" s="43"/>
      <c r="D462" s="43"/>
      <c r="E462" s="43"/>
      <c r="F462" s="43"/>
      <c r="G462" s="43"/>
    </row>
    <row r="463" spans="1:7">
      <c r="A463" s="43"/>
      <c r="B463" s="43"/>
      <c r="C463" s="43"/>
      <c r="D463" s="43"/>
      <c r="E463" s="43"/>
      <c r="F463" s="43"/>
      <c r="G463" s="43"/>
    </row>
    <row r="464" spans="1:7">
      <c r="A464" s="43"/>
      <c r="B464" s="43"/>
      <c r="C464" s="43"/>
      <c r="D464" s="43"/>
      <c r="E464" s="43"/>
      <c r="F464" s="43"/>
      <c r="G464" s="43"/>
    </row>
    <row r="465" spans="1:7">
      <c r="A465" s="43"/>
      <c r="B465" s="43"/>
      <c r="C465" s="43"/>
      <c r="D465" s="43"/>
      <c r="E465" s="43"/>
      <c r="F465" s="43"/>
      <c r="G465" s="43"/>
    </row>
    <row r="466" spans="1:7">
      <c r="A466" s="43"/>
      <c r="B466" s="43"/>
      <c r="C466" s="43"/>
      <c r="D466" s="43"/>
      <c r="E466" s="43"/>
      <c r="F466" s="43"/>
      <c r="G466" s="43"/>
    </row>
    <row r="467" spans="1:7">
      <c r="A467" s="43"/>
      <c r="B467" s="43"/>
      <c r="C467" s="43"/>
      <c r="D467" s="43"/>
      <c r="E467" s="43"/>
      <c r="F467" s="43"/>
      <c r="G467" s="43"/>
    </row>
    <row r="468" spans="1:7">
      <c r="A468" s="43"/>
      <c r="B468" s="43"/>
      <c r="C468" s="43"/>
      <c r="D468" s="43"/>
      <c r="E468" s="43"/>
      <c r="F468" s="43"/>
      <c r="G468" s="43"/>
    </row>
    <row r="469" spans="1:7">
      <c r="A469" s="43"/>
      <c r="B469" s="43"/>
      <c r="C469" s="43"/>
      <c r="D469" s="43"/>
      <c r="E469" s="43"/>
      <c r="F469" s="43"/>
      <c r="G469" s="43"/>
    </row>
    <row r="470" spans="1:7">
      <c r="A470" s="43"/>
      <c r="B470" s="43"/>
      <c r="C470" s="43"/>
      <c r="D470" s="43"/>
      <c r="E470" s="43"/>
      <c r="F470" s="43"/>
      <c r="G470" s="43"/>
    </row>
    <row r="471" spans="1:7">
      <c r="A471" s="43"/>
      <c r="B471" s="43"/>
      <c r="C471" s="43"/>
      <c r="D471" s="43"/>
      <c r="E471" s="43"/>
      <c r="F471" s="43"/>
      <c r="G471" s="43"/>
    </row>
    <row r="472" spans="1:7">
      <c r="A472" s="43"/>
      <c r="B472" s="43"/>
      <c r="C472" s="43"/>
      <c r="D472" s="43"/>
      <c r="E472" s="43"/>
      <c r="F472" s="43"/>
      <c r="G472" s="43"/>
    </row>
    <row r="473" spans="1:7">
      <c r="A473" s="43"/>
      <c r="B473" s="43"/>
      <c r="C473" s="43"/>
      <c r="D473" s="43"/>
      <c r="E473" s="43"/>
      <c r="F473" s="43"/>
      <c r="G473" s="43"/>
    </row>
    <row r="474" spans="1:7">
      <c r="A474" s="43"/>
      <c r="B474" s="43"/>
      <c r="C474" s="43"/>
      <c r="D474" s="43"/>
      <c r="E474" s="43"/>
      <c r="F474" s="43"/>
      <c r="G474" s="43"/>
    </row>
    <row r="475" spans="1:7">
      <c r="A475" s="43"/>
      <c r="B475" s="43"/>
      <c r="C475" s="43"/>
      <c r="D475" s="43"/>
      <c r="E475" s="43"/>
      <c r="F475" s="43"/>
      <c r="G475" s="43"/>
    </row>
    <row r="476" spans="1:7">
      <c r="A476" s="43"/>
      <c r="B476" s="43"/>
      <c r="C476" s="43"/>
      <c r="D476" s="43"/>
      <c r="E476" s="43"/>
      <c r="F476" s="43"/>
      <c r="G476" s="43"/>
    </row>
    <row r="477" spans="1:7">
      <c r="A477" s="43"/>
      <c r="B477" s="43"/>
      <c r="C477" s="43"/>
      <c r="D477" s="43"/>
      <c r="E477" s="43"/>
      <c r="F477" s="43"/>
      <c r="G477" s="43"/>
    </row>
    <row r="478" spans="1:7">
      <c r="A478" s="43"/>
      <c r="B478" s="43"/>
      <c r="C478" s="43"/>
      <c r="D478" s="43"/>
      <c r="E478" s="43"/>
      <c r="F478" s="43"/>
      <c r="G478" s="43"/>
    </row>
    <row r="479" spans="1:7">
      <c r="A479" s="43"/>
      <c r="B479" s="43"/>
      <c r="C479" s="43"/>
      <c r="D479" s="43"/>
      <c r="E479" s="43"/>
      <c r="F479" s="43"/>
      <c r="G479" s="43"/>
    </row>
    <row r="480" spans="1:7">
      <c r="A480" s="43"/>
      <c r="B480" s="43"/>
      <c r="C480" s="43"/>
      <c r="D480" s="43"/>
      <c r="E480" s="43"/>
      <c r="F480" s="43"/>
      <c r="G480" s="43"/>
    </row>
    <row r="481" spans="1:7">
      <c r="A481" s="43"/>
      <c r="B481" s="43"/>
      <c r="C481" s="43"/>
      <c r="D481" s="43"/>
      <c r="E481" s="43"/>
      <c r="F481" s="43"/>
      <c r="G481" s="43"/>
    </row>
    <row r="482" spans="1:7">
      <c r="A482" s="43"/>
      <c r="B482" s="43"/>
      <c r="C482" s="43"/>
      <c r="D482" s="43"/>
      <c r="E482" s="43"/>
      <c r="F482" s="43"/>
      <c r="G482" s="43"/>
    </row>
    <row r="483" spans="1:7">
      <c r="A483" s="43"/>
      <c r="B483" s="43"/>
      <c r="C483" s="43"/>
      <c r="D483" s="43"/>
      <c r="E483" s="43"/>
      <c r="F483" s="43"/>
      <c r="G483" s="43"/>
    </row>
    <row r="484" spans="1:7">
      <c r="A484" s="43"/>
      <c r="B484" s="43"/>
      <c r="C484" s="43"/>
      <c r="D484" s="43"/>
      <c r="E484" s="43"/>
      <c r="F484" s="43"/>
      <c r="G484" s="43"/>
    </row>
    <row r="485" spans="1:7">
      <c r="A485" s="43"/>
      <c r="B485" s="43"/>
      <c r="C485" s="43"/>
      <c r="D485" s="43"/>
      <c r="E485" s="43"/>
      <c r="F485" s="43"/>
      <c r="G485" s="43"/>
    </row>
    <row r="486" spans="1:7">
      <c r="A486" s="43"/>
      <c r="B486" s="43"/>
      <c r="C486" s="43"/>
      <c r="D486" s="43"/>
      <c r="E486" s="43"/>
      <c r="F486" s="43"/>
      <c r="G486" s="43"/>
    </row>
    <row r="487" spans="1:7">
      <c r="A487" s="43"/>
      <c r="B487" s="43"/>
      <c r="C487" s="43"/>
      <c r="D487" s="43"/>
      <c r="E487" s="43"/>
      <c r="F487" s="43"/>
      <c r="G487" s="43"/>
    </row>
    <row r="488" spans="1:7">
      <c r="A488" s="43"/>
      <c r="B488" s="43"/>
      <c r="C488" s="43"/>
      <c r="D488" s="43"/>
      <c r="E488" s="43"/>
      <c r="F488" s="43"/>
      <c r="G488" s="43"/>
    </row>
    <row r="489" spans="1:7">
      <c r="A489" s="43"/>
      <c r="B489" s="43"/>
      <c r="C489" s="43"/>
      <c r="D489" s="43"/>
      <c r="E489" s="43"/>
      <c r="F489" s="43"/>
      <c r="G489" s="43"/>
    </row>
    <row r="490" spans="1:7">
      <c r="A490" s="43"/>
      <c r="B490" s="43"/>
      <c r="C490" s="43"/>
      <c r="D490" s="43"/>
      <c r="E490" s="43"/>
      <c r="F490" s="43"/>
      <c r="G490" s="43"/>
    </row>
    <row r="491" spans="1:7">
      <c r="A491" s="43"/>
      <c r="B491" s="43"/>
      <c r="C491" s="43"/>
      <c r="D491" s="43"/>
      <c r="E491" s="43"/>
      <c r="F491" s="43"/>
      <c r="G491" s="43"/>
    </row>
    <row r="492" spans="1:7">
      <c r="A492" s="43"/>
      <c r="B492" s="43"/>
      <c r="C492" s="43"/>
      <c r="D492" s="43"/>
      <c r="E492" s="43"/>
      <c r="F492" s="43"/>
      <c r="G492" s="43"/>
    </row>
    <row r="493" spans="1:7">
      <c r="A493" s="43"/>
      <c r="B493" s="43"/>
      <c r="C493" s="43"/>
      <c r="D493" s="43"/>
      <c r="E493" s="43"/>
      <c r="F493" s="43"/>
      <c r="G493" s="43"/>
    </row>
    <row r="494" spans="1:7">
      <c r="A494" s="43"/>
      <c r="B494" s="43"/>
      <c r="C494" s="43"/>
      <c r="D494" s="43"/>
      <c r="E494" s="43"/>
      <c r="F494" s="43"/>
      <c r="G494" s="43"/>
    </row>
    <row r="495" spans="1:7">
      <c r="A495" s="43"/>
      <c r="B495" s="43"/>
      <c r="C495" s="43"/>
      <c r="D495" s="43"/>
      <c r="E495" s="43"/>
      <c r="F495" s="43"/>
      <c r="G495" s="43"/>
    </row>
    <row r="496" spans="1:7">
      <c r="A496" s="43"/>
      <c r="B496" s="43"/>
      <c r="C496" s="43"/>
      <c r="D496" s="43"/>
      <c r="E496" s="43"/>
      <c r="F496" s="43"/>
      <c r="G496" s="43"/>
    </row>
    <row r="497" spans="1:7">
      <c r="A497" s="43"/>
      <c r="B497" s="43"/>
      <c r="C497" s="43"/>
      <c r="D497" s="43"/>
      <c r="E497" s="43"/>
      <c r="F497" s="43"/>
      <c r="G497" s="43"/>
    </row>
    <row r="498" spans="1:7">
      <c r="A498" s="43"/>
      <c r="B498" s="43"/>
      <c r="C498" s="43"/>
      <c r="D498" s="43"/>
      <c r="E498" s="43"/>
      <c r="F498" s="43"/>
      <c r="G498" s="43"/>
    </row>
    <row r="499" spans="1:7">
      <c r="A499" s="43"/>
      <c r="B499" s="43"/>
      <c r="C499" s="43"/>
      <c r="D499" s="43"/>
      <c r="E499" s="43"/>
      <c r="F499" s="43"/>
      <c r="G499" s="43"/>
    </row>
    <row r="500" spans="1:7">
      <c r="A500" s="43"/>
      <c r="B500" s="43"/>
      <c r="C500" s="43"/>
      <c r="D500" s="43"/>
      <c r="E500" s="43"/>
      <c r="F500" s="43"/>
      <c r="G500" s="43"/>
    </row>
    <row r="501" spans="1:7">
      <c r="A501" s="43"/>
      <c r="B501" s="43"/>
      <c r="C501" s="43"/>
      <c r="D501" s="43"/>
      <c r="E501" s="43"/>
      <c r="F501" s="43"/>
      <c r="G501" s="43"/>
    </row>
    <row r="502" spans="1:7">
      <c r="A502" s="43"/>
      <c r="B502" s="43"/>
      <c r="C502" s="43"/>
      <c r="D502" s="43"/>
      <c r="E502" s="43"/>
      <c r="F502" s="43"/>
      <c r="G502" s="43"/>
    </row>
    <row r="503" spans="1:7">
      <c r="A503" s="43"/>
      <c r="B503" s="43"/>
      <c r="C503" s="43"/>
      <c r="D503" s="43"/>
      <c r="E503" s="43"/>
      <c r="F503" s="43"/>
      <c r="G503" s="43"/>
    </row>
    <row r="504" spans="1:7">
      <c r="A504" s="43"/>
      <c r="B504" s="43"/>
      <c r="C504" s="43"/>
      <c r="D504" s="43"/>
      <c r="E504" s="43"/>
      <c r="F504" s="43"/>
      <c r="G504" s="43"/>
    </row>
    <row r="505" spans="1:7">
      <c r="A505" s="43"/>
      <c r="B505" s="43"/>
      <c r="C505" s="43"/>
      <c r="D505" s="43"/>
      <c r="E505" s="43"/>
      <c r="F505" s="43"/>
      <c r="G505" s="43"/>
    </row>
    <row r="506" spans="1:7">
      <c r="A506" s="43"/>
      <c r="B506" s="43"/>
      <c r="C506" s="43"/>
      <c r="D506" s="43"/>
      <c r="E506" s="43"/>
      <c r="F506" s="43"/>
      <c r="G506" s="43"/>
    </row>
    <row r="507" spans="1:7">
      <c r="A507" s="43"/>
      <c r="B507" s="43"/>
      <c r="C507" s="43"/>
      <c r="D507" s="43"/>
      <c r="E507" s="43"/>
      <c r="F507" s="43"/>
      <c r="G507" s="43"/>
    </row>
    <row r="508" spans="1:7">
      <c r="A508" s="43"/>
      <c r="B508" s="43"/>
      <c r="C508" s="43"/>
      <c r="D508" s="43"/>
      <c r="E508" s="43"/>
      <c r="F508" s="43"/>
      <c r="G508" s="43"/>
    </row>
    <row r="509" spans="1:7">
      <c r="A509" s="43"/>
      <c r="B509" s="43"/>
      <c r="C509" s="43"/>
      <c r="D509" s="43"/>
      <c r="E509" s="43"/>
      <c r="F509" s="43"/>
      <c r="G509" s="43"/>
    </row>
    <row r="510" spans="1:7">
      <c r="A510" s="43"/>
      <c r="B510" s="43"/>
      <c r="C510" s="43"/>
      <c r="D510" s="43"/>
      <c r="E510" s="43"/>
      <c r="F510" s="43"/>
      <c r="G510" s="43"/>
    </row>
    <row r="511" spans="1:7">
      <c r="A511" s="43"/>
      <c r="B511" s="43"/>
      <c r="C511" s="43"/>
      <c r="D511" s="43"/>
      <c r="E511" s="43"/>
      <c r="F511" s="43"/>
      <c r="G511" s="43"/>
    </row>
    <row r="512" spans="1:7">
      <c r="A512" s="43"/>
      <c r="B512" s="43"/>
      <c r="C512" s="43"/>
      <c r="D512" s="43"/>
      <c r="E512" s="43"/>
      <c r="F512" s="43"/>
      <c r="G512" s="43"/>
    </row>
    <row r="513" spans="1:7">
      <c r="A513" s="43"/>
      <c r="B513" s="43"/>
      <c r="C513" s="43"/>
      <c r="D513" s="43"/>
      <c r="E513" s="43"/>
      <c r="F513" s="43"/>
      <c r="G513" s="43"/>
    </row>
    <row r="514" spans="1:7">
      <c r="A514" s="43"/>
      <c r="B514" s="43"/>
      <c r="C514" s="43"/>
      <c r="D514" s="43"/>
      <c r="E514" s="43"/>
      <c r="F514" s="43"/>
      <c r="G514" s="43"/>
    </row>
    <row r="515" spans="1:7">
      <c r="A515" s="43"/>
      <c r="B515" s="43"/>
      <c r="C515" s="43"/>
      <c r="D515" s="43"/>
      <c r="E515" s="43"/>
      <c r="F515" s="43"/>
      <c r="G515" s="43"/>
    </row>
    <row r="516" spans="1:7">
      <c r="A516" s="43"/>
      <c r="B516" s="43"/>
      <c r="C516" s="43"/>
      <c r="D516" s="43"/>
      <c r="E516" s="43"/>
      <c r="F516" s="43"/>
      <c r="G516" s="43"/>
    </row>
    <row r="517" spans="1:7">
      <c r="A517" s="43"/>
      <c r="B517" s="43"/>
      <c r="C517" s="43"/>
      <c r="D517" s="43"/>
      <c r="E517" s="43"/>
      <c r="F517" s="43"/>
      <c r="G517" s="43"/>
    </row>
    <row r="518" spans="1:7">
      <c r="A518" s="43"/>
      <c r="B518" s="43"/>
      <c r="C518" s="43"/>
      <c r="D518" s="43"/>
      <c r="E518" s="43"/>
      <c r="F518" s="43"/>
      <c r="G518" s="43"/>
    </row>
    <row r="519" spans="1:7">
      <c r="A519" s="43"/>
      <c r="B519" s="43"/>
      <c r="C519" s="43"/>
      <c r="D519" s="43"/>
      <c r="E519" s="43"/>
      <c r="F519" s="43"/>
      <c r="G519" s="43"/>
    </row>
    <row r="520" spans="1:7">
      <c r="A520" s="43"/>
      <c r="B520" s="43"/>
      <c r="C520" s="43"/>
      <c r="D520" s="43"/>
      <c r="E520" s="43"/>
      <c r="F520" s="43"/>
      <c r="G520" s="43"/>
    </row>
    <row r="521" spans="1:7">
      <c r="A521" s="43"/>
      <c r="B521" s="43"/>
      <c r="C521" s="43"/>
      <c r="D521" s="43"/>
      <c r="E521" s="43"/>
      <c r="F521" s="43"/>
      <c r="G521" s="43"/>
    </row>
    <row r="522" spans="1:7">
      <c r="A522" s="43"/>
      <c r="B522" s="43"/>
      <c r="C522" s="43"/>
      <c r="D522" s="43"/>
      <c r="E522" s="43"/>
      <c r="F522" s="43"/>
      <c r="G522" s="43"/>
    </row>
    <row r="523" spans="1:7">
      <c r="A523" s="43"/>
      <c r="B523" s="43"/>
      <c r="C523" s="43"/>
      <c r="D523" s="43"/>
      <c r="E523" s="43"/>
      <c r="F523" s="43"/>
      <c r="G523" s="43"/>
    </row>
    <row r="524" spans="1:7">
      <c r="A524" s="43"/>
      <c r="B524" s="43"/>
      <c r="C524" s="43"/>
      <c r="D524" s="43"/>
      <c r="E524" s="43"/>
      <c r="F524" s="43"/>
      <c r="G524" s="43"/>
    </row>
    <row r="525" spans="1:7">
      <c r="A525" s="43"/>
      <c r="B525" s="43"/>
      <c r="C525" s="43"/>
      <c r="D525" s="43"/>
      <c r="E525" s="43"/>
      <c r="F525" s="43"/>
      <c r="G525" s="43"/>
    </row>
    <row r="526" spans="1:7">
      <c r="A526" s="43"/>
      <c r="B526" s="43"/>
      <c r="C526" s="43"/>
      <c r="D526" s="43"/>
      <c r="E526" s="43"/>
      <c r="F526" s="43"/>
      <c r="G526" s="43"/>
    </row>
    <row r="527" spans="1:7">
      <c r="A527" s="43"/>
      <c r="B527" s="43"/>
      <c r="C527" s="43"/>
      <c r="D527" s="43"/>
      <c r="E527" s="43"/>
      <c r="F527" s="43"/>
      <c r="G527" s="43"/>
    </row>
    <row r="528" spans="1:7">
      <c r="A528" s="43"/>
      <c r="B528" s="43"/>
      <c r="C528" s="43"/>
      <c r="D528" s="43"/>
      <c r="E528" s="43"/>
      <c r="F528" s="43"/>
      <c r="G528" s="43"/>
    </row>
    <row r="529" spans="1:7">
      <c r="A529" s="43"/>
      <c r="B529" s="43"/>
      <c r="C529" s="43"/>
      <c r="D529" s="43"/>
      <c r="E529" s="43"/>
      <c r="F529" s="43"/>
      <c r="G529" s="43"/>
    </row>
    <row r="530" spans="1:7">
      <c r="A530" s="43"/>
      <c r="B530" s="43"/>
      <c r="C530" s="43"/>
      <c r="D530" s="43"/>
      <c r="E530" s="43"/>
      <c r="F530" s="43"/>
      <c r="G530" s="43"/>
    </row>
    <row r="531" spans="1:7">
      <c r="A531" s="43"/>
      <c r="B531" s="43"/>
      <c r="C531" s="43"/>
      <c r="D531" s="43"/>
      <c r="E531" s="43"/>
      <c r="F531" s="43"/>
      <c r="G531" s="43"/>
    </row>
    <row r="532" spans="1:7">
      <c r="A532" s="43"/>
      <c r="B532" s="43"/>
      <c r="C532" s="43"/>
      <c r="D532" s="43"/>
      <c r="E532" s="43"/>
      <c r="F532" s="43"/>
      <c r="G532" s="43"/>
    </row>
    <row r="533" spans="1:7">
      <c r="A533" s="43"/>
      <c r="B533" s="43"/>
      <c r="C533" s="43"/>
      <c r="D533" s="43"/>
      <c r="E533" s="43"/>
      <c r="F533" s="43"/>
      <c r="G533" s="43"/>
    </row>
    <row r="534" spans="1:7">
      <c r="A534" s="43"/>
      <c r="B534" s="43"/>
      <c r="C534" s="43"/>
      <c r="D534" s="43"/>
      <c r="E534" s="43"/>
      <c r="F534" s="43"/>
      <c r="G534" s="43"/>
    </row>
    <row r="535" spans="1:7">
      <c r="A535" s="43"/>
      <c r="B535" s="43"/>
      <c r="C535" s="43"/>
      <c r="D535" s="43"/>
      <c r="E535" s="43"/>
      <c r="F535" s="43"/>
      <c r="G535" s="43"/>
    </row>
    <row r="536" spans="1:7">
      <c r="A536" s="43"/>
      <c r="B536" s="43"/>
      <c r="C536" s="43"/>
      <c r="D536" s="43"/>
      <c r="E536" s="43"/>
      <c r="F536" s="43"/>
      <c r="G536" s="43"/>
    </row>
    <row r="537" spans="1:7">
      <c r="A537" s="43"/>
      <c r="B537" s="43"/>
      <c r="C537" s="43"/>
      <c r="D537" s="43"/>
      <c r="E537" s="43"/>
      <c r="F537" s="43"/>
      <c r="G537" s="43"/>
    </row>
    <row r="538" spans="1:7">
      <c r="A538" s="43"/>
      <c r="B538" s="43"/>
      <c r="C538" s="43"/>
      <c r="D538" s="43"/>
      <c r="E538" s="43"/>
      <c r="F538" s="43"/>
      <c r="G538" s="43"/>
    </row>
    <row r="539" spans="1:7">
      <c r="A539" s="43"/>
      <c r="B539" s="43"/>
      <c r="C539" s="43"/>
      <c r="D539" s="43"/>
      <c r="E539" s="43"/>
      <c r="F539" s="43"/>
      <c r="G539" s="43"/>
    </row>
    <row r="540" spans="1:7">
      <c r="A540" s="43"/>
      <c r="B540" s="43"/>
      <c r="C540" s="43"/>
      <c r="D540" s="43"/>
      <c r="E540" s="43"/>
      <c r="F540" s="43"/>
      <c r="G540" s="43"/>
    </row>
    <row r="541" spans="1:7">
      <c r="A541" s="43"/>
      <c r="B541" s="43"/>
      <c r="C541" s="43"/>
      <c r="D541" s="43"/>
      <c r="E541" s="43"/>
      <c r="F541" s="43"/>
      <c r="G541" s="43"/>
    </row>
    <row r="542" spans="1:7">
      <c r="A542" s="43"/>
      <c r="B542" s="43"/>
      <c r="C542" s="43"/>
      <c r="D542" s="43"/>
      <c r="E542" s="43"/>
      <c r="F542" s="43"/>
      <c r="G542" s="43"/>
    </row>
    <row r="543" spans="1:7">
      <c r="A543" s="43"/>
      <c r="B543" s="43"/>
      <c r="C543" s="43"/>
      <c r="D543" s="43"/>
      <c r="E543" s="43"/>
      <c r="F543" s="43"/>
      <c r="G543" s="43"/>
    </row>
    <row r="544" spans="1:7">
      <c r="A544" s="43"/>
      <c r="B544" s="43"/>
      <c r="C544" s="43"/>
      <c r="D544" s="43"/>
      <c r="E544" s="43"/>
      <c r="F544" s="43"/>
      <c r="G544" s="43"/>
    </row>
    <row r="545" spans="1:7">
      <c r="A545" s="43"/>
      <c r="B545" s="43"/>
      <c r="C545" s="43"/>
      <c r="D545" s="43"/>
      <c r="E545" s="43"/>
      <c r="F545" s="43"/>
      <c r="G545" s="43"/>
    </row>
    <row r="546" spans="1:7">
      <c r="A546" s="43"/>
      <c r="B546" s="43"/>
      <c r="C546" s="43"/>
      <c r="D546" s="43"/>
      <c r="E546" s="43"/>
      <c r="F546" s="43"/>
      <c r="G546" s="43"/>
    </row>
    <row r="547" spans="1:7">
      <c r="A547" s="43"/>
      <c r="B547" s="43"/>
      <c r="C547" s="43"/>
      <c r="D547" s="43"/>
      <c r="E547" s="43"/>
      <c r="F547" s="43"/>
      <c r="G547" s="43"/>
    </row>
    <row r="548" spans="1:7">
      <c r="A548" s="43"/>
      <c r="B548" s="43"/>
      <c r="C548" s="43"/>
      <c r="D548" s="43"/>
      <c r="E548" s="43"/>
      <c r="F548" s="43"/>
      <c r="G548" s="43"/>
    </row>
    <row r="549" spans="1:7">
      <c r="A549" s="43"/>
      <c r="B549" s="43"/>
      <c r="C549" s="43"/>
      <c r="D549" s="43"/>
      <c r="E549" s="43"/>
      <c r="F549" s="43"/>
      <c r="G549" s="43"/>
    </row>
    <row r="550" spans="1:7">
      <c r="A550" s="43"/>
      <c r="B550" s="43"/>
      <c r="C550" s="43"/>
      <c r="D550" s="43"/>
      <c r="E550" s="43"/>
      <c r="F550" s="43"/>
      <c r="G550" s="43"/>
    </row>
    <row r="551" spans="1:7">
      <c r="A551" s="43"/>
      <c r="B551" s="43"/>
      <c r="C551" s="43"/>
      <c r="D551" s="43"/>
      <c r="E551" s="43"/>
      <c r="F551" s="43"/>
      <c r="G551" s="43"/>
    </row>
    <row r="552" spans="1:7">
      <c r="A552" s="43"/>
      <c r="B552" s="43"/>
      <c r="C552" s="43"/>
      <c r="D552" s="43"/>
      <c r="E552" s="43"/>
      <c r="F552" s="43"/>
      <c r="G552" s="43"/>
    </row>
    <row r="553" spans="1:7">
      <c r="A553" s="43"/>
      <c r="B553" s="43"/>
      <c r="C553" s="43"/>
      <c r="D553" s="43"/>
      <c r="E553" s="43"/>
      <c r="F553" s="43"/>
      <c r="G553" s="43"/>
    </row>
    <row r="554" spans="1:7">
      <c r="A554" s="43"/>
      <c r="B554" s="43"/>
      <c r="C554" s="43"/>
      <c r="D554" s="43"/>
      <c r="E554" s="43"/>
      <c r="F554" s="43"/>
      <c r="G554" s="43"/>
    </row>
    <row r="555" spans="1:7">
      <c r="A555" s="43"/>
      <c r="B555" s="43"/>
      <c r="C555" s="43"/>
      <c r="D555" s="43"/>
      <c r="E555" s="43"/>
      <c r="F555" s="43"/>
      <c r="G555" s="43"/>
    </row>
    <row r="556" spans="1:7">
      <c r="A556" s="43"/>
      <c r="B556" s="43"/>
      <c r="C556" s="43"/>
      <c r="D556" s="43"/>
      <c r="E556" s="43"/>
      <c r="F556" s="43"/>
      <c r="G556" s="43"/>
    </row>
    <row r="557" spans="1:7">
      <c r="A557" s="43"/>
      <c r="B557" s="43"/>
      <c r="C557" s="43"/>
      <c r="D557" s="43"/>
      <c r="E557" s="43"/>
      <c r="F557" s="43"/>
      <c r="G557" s="43"/>
    </row>
    <row r="558" spans="1:7">
      <c r="A558" s="43"/>
      <c r="B558" s="43"/>
      <c r="C558" s="43"/>
      <c r="D558" s="43"/>
      <c r="E558" s="43"/>
      <c r="F558" s="43"/>
      <c r="G558" s="43"/>
    </row>
    <row r="559" spans="1:7">
      <c r="A559" s="43"/>
      <c r="B559" s="43"/>
      <c r="C559" s="43"/>
      <c r="D559" s="43"/>
      <c r="E559" s="43"/>
      <c r="F559" s="43"/>
      <c r="G559" s="43"/>
    </row>
    <row r="560" spans="1:7">
      <c r="A560" s="43"/>
      <c r="B560" s="43"/>
      <c r="C560" s="43"/>
      <c r="D560" s="43"/>
      <c r="E560" s="43"/>
      <c r="F560" s="43"/>
      <c r="G560" s="43"/>
    </row>
    <row r="561" spans="1:7">
      <c r="A561" s="43"/>
      <c r="B561" s="43"/>
      <c r="C561" s="43"/>
      <c r="D561" s="43"/>
      <c r="E561" s="43"/>
      <c r="F561" s="43"/>
      <c r="G561" s="43"/>
    </row>
    <row r="562" spans="1:7">
      <c r="A562" s="43"/>
      <c r="B562" s="43"/>
      <c r="C562" s="43"/>
      <c r="D562" s="43"/>
      <c r="E562" s="43"/>
      <c r="F562" s="43"/>
      <c r="G562" s="43"/>
    </row>
    <row r="563" spans="1:7">
      <c r="A563" s="43"/>
      <c r="B563" s="43"/>
      <c r="C563" s="43"/>
      <c r="D563" s="43"/>
      <c r="E563" s="43"/>
      <c r="F563" s="43"/>
      <c r="G563" s="43"/>
    </row>
    <row r="564" spans="1:7">
      <c r="A564" s="43"/>
      <c r="B564" s="43"/>
      <c r="C564" s="43"/>
      <c r="D564" s="43"/>
      <c r="E564" s="43"/>
      <c r="F564" s="43"/>
      <c r="G564" s="43"/>
    </row>
    <row r="565" spans="1:7">
      <c r="A565" s="43"/>
      <c r="B565" s="43"/>
      <c r="C565" s="43"/>
      <c r="D565" s="43"/>
      <c r="E565" s="43"/>
      <c r="F565" s="43"/>
      <c r="G565" s="43"/>
    </row>
    <row r="566" spans="1:7">
      <c r="A566" s="43"/>
      <c r="B566" s="43"/>
      <c r="C566" s="43"/>
      <c r="D566" s="43"/>
      <c r="E566" s="43"/>
      <c r="F566" s="43"/>
      <c r="G566" s="43"/>
    </row>
    <row r="567" spans="1:7">
      <c r="A567" s="43"/>
      <c r="B567" s="43"/>
      <c r="C567" s="43"/>
      <c r="D567" s="43"/>
      <c r="E567" s="43"/>
      <c r="F567" s="43"/>
      <c r="G567" s="43"/>
    </row>
    <row r="568" spans="1:7">
      <c r="A568" s="43"/>
      <c r="B568" s="43"/>
      <c r="C568" s="43"/>
      <c r="D568" s="43"/>
      <c r="E568" s="43"/>
      <c r="F568" s="43"/>
      <c r="G568" s="43"/>
    </row>
    <row r="569" spans="1:7">
      <c r="A569" s="43"/>
      <c r="B569" s="43"/>
      <c r="C569" s="43"/>
      <c r="D569" s="43"/>
      <c r="E569" s="43"/>
      <c r="F569" s="43"/>
      <c r="G569" s="43"/>
    </row>
    <row r="570" spans="1:7">
      <c r="A570" s="43"/>
      <c r="B570" s="43"/>
      <c r="C570" s="43"/>
      <c r="D570" s="43"/>
      <c r="E570" s="43"/>
      <c r="F570" s="43"/>
      <c r="G570" s="43"/>
    </row>
    <row r="571" spans="1:7">
      <c r="A571" s="43"/>
      <c r="B571" s="43"/>
      <c r="C571" s="43"/>
      <c r="D571" s="43"/>
      <c r="E571" s="43"/>
      <c r="F571" s="43"/>
      <c r="G571" s="43"/>
    </row>
    <row r="572" spans="1:7">
      <c r="A572" s="43"/>
      <c r="B572" s="43"/>
      <c r="C572" s="43"/>
      <c r="D572" s="43"/>
      <c r="E572" s="43"/>
      <c r="F572" s="43"/>
      <c r="G572" s="43"/>
    </row>
    <row r="573" spans="1:7">
      <c r="A573" s="43"/>
      <c r="B573" s="43"/>
      <c r="C573" s="43"/>
      <c r="D573" s="43"/>
      <c r="E573" s="43"/>
      <c r="F573" s="43"/>
      <c r="G573" s="43"/>
    </row>
    <row r="574" spans="1:7">
      <c r="A574" s="43"/>
      <c r="B574" s="43"/>
      <c r="C574" s="43"/>
      <c r="D574" s="43"/>
      <c r="E574" s="43"/>
      <c r="F574" s="43"/>
      <c r="G574" s="43"/>
    </row>
    <row r="575" spans="1:7">
      <c r="A575" s="43"/>
      <c r="B575" s="43"/>
      <c r="C575" s="43"/>
      <c r="D575" s="43"/>
      <c r="E575" s="43"/>
      <c r="F575" s="43"/>
      <c r="G575" s="43"/>
    </row>
    <row r="576" spans="1:7">
      <c r="A576" s="43"/>
      <c r="B576" s="43"/>
      <c r="C576" s="43"/>
      <c r="D576" s="43"/>
      <c r="E576" s="43"/>
      <c r="F576" s="43"/>
      <c r="G576" s="43"/>
    </row>
    <row r="577" spans="1:7">
      <c r="A577" s="43"/>
      <c r="B577" s="43"/>
      <c r="C577" s="43"/>
      <c r="D577" s="43"/>
      <c r="E577" s="43"/>
      <c r="F577" s="43"/>
      <c r="G577" s="43"/>
    </row>
    <row r="578" spans="1:7">
      <c r="A578" s="43"/>
      <c r="B578" s="43"/>
      <c r="C578" s="43"/>
      <c r="D578" s="43"/>
      <c r="E578" s="43"/>
      <c r="F578" s="43"/>
      <c r="G578" s="43"/>
    </row>
    <row r="579" spans="1:7">
      <c r="A579" s="43"/>
      <c r="B579" s="43"/>
      <c r="C579" s="43"/>
      <c r="D579" s="43"/>
      <c r="E579" s="43"/>
      <c r="F579" s="43"/>
      <c r="G579" s="43"/>
    </row>
    <row r="580" spans="1:7">
      <c r="A580" s="43"/>
      <c r="B580" s="43"/>
      <c r="C580" s="43"/>
      <c r="D580" s="43"/>
      <c r="E580" s="43"/>
      <c r="F580" s="43"/>
      <c r="G580" s="43"/>
    </row>
    <row r="581" spans="1:7">
      <c r="A581" s="43"/>
      <c r="B581" s="43"/>
      <c r="C581" s="43"/>
      <c r="D581" s="43"/>
      <c r="E581" s="43"/>
      <c r="F581" s="43"/>
      <c r="G581" s="43"/>
    </row>
    <row r="582" spans="1:7">
      <c r="A582" s="43"/>
      <c r="B582" s="43"/>
      <c r="C582" s="43"/>
      <c r="D582" s="43"/>
      <c r="E582" s="43"/>
      <c r="F582" s="43"/>
      <c r="G582" s="43"/>
    </row>
    <row r="583" spans="1:7">
      <c r="A583" s="43"/>
      <c r="B583" s="43"/>
      <c r="C583" s="43"/>
      <c r="D583" s="43"/>
      <c r="E583" s="43"/>
      <c r="F583" s="43"/>
      <c r="G583" s="43"/>
    </row>
    <row r="584" spans="1:7">
      <c r="A584" s="43"/>
      <c r="B584" s="43"/>
      <c r="C584" s="43"/>
      <c r="D584" s="43"/>
      <c r="E584" s="43"/>
      <c r="F584" s="43"/>
      <c r="G584" s="43"/>
    </row>
    <row r="585" spans="1:7">
      <c r="A585" s="43"/>
      <c r="B585" s="43"/>
      <c r="C585" s="43"/>
      <c r="D585" s="43"/>
      <c r="E585" s="43"/>
      <c r="F585" s="43"/>
      <c r="G585" s="43"/>
    </row>
    <row r="586" spans="1:7">
      <c r="A586" s="43"/>
      <c r="B586" s="43"/>
      <c r="C586" s="43"/>
      <c r="D586" s="43"/>
      <c r="E586" s="43"/>
      <c r="F586" s="43"/>
      <c r="G586" s="43"/>
    </row>
    <row r="587" spans="1:7">
      <c r="A587" s="43"/>
      <c r="B587" s="43"/>
      <c r="C587" s="43"/>
      <c r="D587" s="43"/>
      <c r="E587" s="43"/>
      <c r="F587" s="43"/>
      <c r="G587" s="43"/>
    </row>
    <row r="588" spans="1:7">
      <c r="A588" s="43"/>
      <c r="B588" s="43"/>
      <c r="C588" s="43"/>
      <c r="D588" s="43"/>
      <c r="E588" s="43"/>
      <c r="F588" s="43"/>
      <c r="G588" s="43"/>
    </row>
    <row r="589" spans="1:7">
      <c r="A589" s="43"/>
      <c r="B589" s="43"/>
      <c r="C589" s="43"/>
      <c r="D589" s="43"/>
      <c r="E589" s="43"/>
      <c r="F589" s="43"/>
      <c r="G589" s="43"/>
    </row>
    <row r="590" spans="1:7">
      <c r="A590" s="43"/>
      <c r="B590" s="43"/>
      <c r="C590" s="43"/>
      <c r="D590" s="43"/>
      <c r="E590" s="43"/>
      <c r="F590" s="43"/>
      <c r="G590" s="43"/>
    </row>
    <row r="591" spans="1:7">
      <c r="A591" s="43"/>
      <c r="B591" s="43"/>
      <c r="C591" s="43"/>
      <c r="D591" s="43"/>
      <c r="E591" s="43"/>
      <c r="F591" s="43"/>
      <c r="G591" s="43"/>
    </row>
    <row r="592" spans="1:7">
      <c r="A592" s="43"/>
      <c r="B592" s="43"/>
      <c r="C592" s="43"/>
      <c r="D592" s="43"/>
      <c r="E592" s="43"/>
      <c r="F592" s="43"/>
      <c r="G592" s="43"/>
    </row>
    <row r="593" spans="1:7">
      <c r="A593" s="43"/>
      <c r="B593" s="43"/>
      <c r="C593" s="43"/>
      <c r="D593" s="43"/>
      <c r="E593" s="43"/>
      <c r="F593" s="43"/>
      <c r="G593" s="43"/>
    </row>
    <row r="594" spans="1:7">
      <c r="A594" s="43"/>
      <c r="B594" s="43"/>
      <c r="C594" s="43"/>
      <c r="D594" s="43"/>
      <c r="E594" s="43"/>
      <c r="F594" s="43"/>
      <c r="G594" s="43"/>
    </row>
    <row r="595" spans="1:7">
      <c r="A595" s="43"/>
      <c r="B595" s="43"/>
      <c r="C595" s="43"/>
      <c r="D595" s="43"/>
      <c r="E595" s="43"/>
      <c r="F595" s="43"/>
      <c r="G595" s="43"/>
    </row>
    <row r="596" spans="1:7">
      <c r="A596" s="43"/>
      <c r="B596" s="43"/>
      <c r="C596" s="43"/>
      <c r="D596" s="43"/>
      <c r="E596" s="43"/>
      <c r="F596" s="43"/>
      <c r="G596" s="43"/>
    </row>
    <row r="597" spans="1:7">
      <c r="A597" s="43"/>
      <c r="B597" s="43"/>
      <c r="C597" s="43"/>
      <c r="D597" s="43"/>
      <c r="E597" s="43"/>
      <c r="F597" s="43"/>
      <c r="G597" s="43"/>
    </row>
    <row r="598" spans="1:7">
      <c r="A598" s="43"/>
      <c r="B598" s="43"/>
      <c r="C598" s="43"/>
      <c r="D598" s="43"/>
      <c r="E598" s="43"/>
      <c r="F598" s="43"/>
      <c r="G598" s="43"/>
    </row>
    <row r="599" spans="1:7">
      <c r="A599" s="43"/>
      <c r="B599" s="43"/>
      <c r="C599" s="43"/>
      <c r="D599" s="43"/>
      <c r="E599" s="43"/>
      <c r="F599" s="43"/>
      <c r="G599" s="43"/>
    </row>
    <row r="600" spans="1:7">
      <c r="A600" s="43"/>
      <c r="B600" s="43"/>
      <c r="C600" s="43"/>
      <c r="D600" s="43"/>
      <c r="E600" s="43"/>
      <c r="F600" s="43"/>
      <c r="G600" s="43"/>
    </row>
    <row r="601" spans="1:7">
      <c r="A601" s="43"/>
      <c r="B601" s="43"/>
      <c r="C601" s="43"/>
      <c r="D601" s="43"/>
      <c r="E601" s="43"/>
      <c r="F601" s="43"/>
      <c r="G601" s="43"/>
    </row>
    <row r="602" spans="1:7">
      <c r="A602" s="43"/>
      <c r="B602" s="43"/>
      <c r="C602" s="43"/>
      <c r="D602" s="43"/>
      <c r="E602" s="43"/>
      <c r="F602" s="43"/>
      <c r="G602" s="43"/>
    </row>
    <row r="603" spans="1:7">
      <c r="A603" s="43"/>
      <c r="B603" s="43"/>
      <c r="C603" s="43"/>
      <c r="D603" s="43"/>
      <c r="E603" s="43"/>
      <c r="F603" s="43"/>
      <c r="G603" s="43"/>
    </row>
    <row r="604" spans="1:7">
      <c r="A604" s="43"/>
      <c r="B604" s="43"/>
      <c r="C604" s="43"/>
      <c r="D604" s="43"/>
      <c r="E604" s="43"/>
      <c r="F604" s="43"/>
      <c r="G604" s="43"/>
    </row>
    <row r="605" spans="1:7">
      <c r="A605" s="43"/>
      <c r="B605" s="43"/>
      <c r="C605" s="43"/>
      <c r="D605" s="43"/>
      <c r="E605" s="43"/>
      <c r="F605" s="43"/>
      <c r="G605" s="43"/>
    </row>
    <row r="606" spans="1:7">
      <c r="A606" s="43"/>
      <c r="B606" s="43"/>
      <c r="C606" s="43"/>
      <c r="D606" s="43"/>
      <c r="E606" s="43"/>
      <c r="F606" s="43"/>
      <c r="G606" s="43"/>
    </row>
    <row r="607" spans="1:7">
      <c r="A607" s="43"/>
      <c r="B607" s="43"/>
      <c r="C607" s="43"/>
      <c r="D607" s="43"/>
      <c r="E607" s="43"/>
      <c r="F607" s="43"/>
      <c r="G607" s="43"/>
    </row>
    <row r="608" spans="1:7">
      <c r="A608" s="43"/>
      <c r="B608" s="43"/>
      <c r="C608" s="43"/>
      <c r="D608" s="43"/>
      <c r="E608" s="43"/>
      <c r="F608" s="43"/>
      <c r="G608" s="43"/>
    </row>
    <row r="609" spans="1:7">
      <c r="A609" s="43"/>
      <c r="B609" s="43"/>
      <c r="C609" s="43"/>
      <c r="D609" s="43"/>
      <c r="E609" s="43"/>
      <c r="F609" s="43"/>
      <c r="G609" s="43"/>
    </row>
    <row r="610" spans="1:7">
      <c r="A610" s="43"/>
      <c r="B610" s="43"/>
      <c r="C610" s="43"/>
      <c r="D610" s="43"/>
      <c r="E610" s="43"/>
      <c r="F610" s="43"/>
      <c r="G610" s="43"/>
    </row>
    <row r="611" spans="1:7">
      <c r="A611" s="43"/>
      <c r="B611" s="43"/>
      <c r="C611" s="43"/>
      <c r="D611" s="43"/>
      <c r="E611" s="43"/>
      <c r="F611" s="43"/>
      <c r="G611" s="43"/>
    </row>
    <row r="612" spans="1:7">
      <c r="A612" s="43"/>
      <c r="B612" s="43"/>
      <c r="C612" s="43"/>
      <c r="D612" s="43"/>
      <c r="E612" s="43"/>
      <c r="F612" s="43"/>
      <c r="G612" s="43"/>
    </row>
    <row r="613" spans="1:7">
      <c r="A613" s="43"/>
      <c r="B613" s="43"/>
      <c r="C613" s="43"/>
      <c r="D613" s="43"/>
      <c r="E613" s="43"/>
      <c r="F613" s="43"/>
      <c r="G613" s="43"/>
    </row>
    <row r="614" spans="1:7">
      <c r="A614" s="43"/>
      <c r="B614" s="43"/>
      <c r="C614" s="43"/>
      <c r="D614" s="43"/>
      <c r="E614" s="43"/>
      <c r="F614" s="43"/>
      <c r="G614" s="43"/>
    </row>
    <row r="615" spans="1:7">
      <c r="A615" s="43"/>
      <c r="B615" s="43"/>
      <c r="C615" s="43"/>
      <c r="D615" s="43"/>
      <c r="E615" s="43"/>
      <c r="F615" s="43"/>
      <c r="G615" s="43"/>
    </row>
    <row r="616" spans="1:7">
      <c r="A616" s="43"/>
      <c r="B616" s="43"/>
      <c r="C616" s="43"/>
      <c r="D616" s="43"/>
      <c r="E616" s="43"/>
      <c r="F616" s="43"/>
      <c r="G616" s="43"/>
    </row>
    <row r="617" spans="1:7">
      <c r="A617" s="43"/>
      <c r="B617" s="43"/>
      <c r="C617" s="43"/>
      <c r="D617" s="43"/>
      <c r="E617" s="43"/>
      <c r="F617" s="43"/>
      <c r="G617" s="43"/>
    </row>
    <row r="618" spans="1:7">
      <c r="A618" s="43"/>
      <c r="B618" s="43"/>
      <c r="C618" s="43"/>
      <c r="D618" s="43"/>
      <c r="E618" s="43"/>
      <c r="F618" s="43"/>
      <c r="G618" s="43"/>
    </row>
    <row r="619" spans="1:7">
      <c r="A619" s="43"/>
      <c r="B619" s="43"/>
      <c r="C619" s="43"/>
      <c r="D619" s="43"/>
      <c r="E619" s="43"/>
      <c r="F619" s="43"/>
      <c r="G619" s="43"/>
    </row>
    <row r="620" spans="1:7">
      <c r="A620" s="43"/>
      <c r="B620" s="43"/>
      <c r="C620" s="43"/>
      <c r="D620" s="43"/>
      <c r="E620" s="43"/>
      <c r="F620" s="43"/>
      <c r="G620" s="43"/>
    </row>
    <row r="621" spans="1:7">
      <c r="A621" s="43"/>
      <c r="B621" s="43"/>
      <c r="C621" s="43"/>
      <c r="D621" s="43"/>
      <c r="E621" s="43"/>
      <c r="F621" s="43"/>
      <c r="G621" s="43"/>
    </row>
    <row r="622" spans="1:7">
      <c r="A622" s="43"/>
      <c r="B622" s="43"/>
      <c r="C622" s="43"/>
      <c r="D622" s="43"/>
      <c r="E622" s="43"/>
      <c r="F622" s="43"/>
      <c r="G622" s="43"/>
    </row>
    <row r="623" spans="1:7">
      <c r="A623" s="43"/>
      <c r="B623" s="43"/>
      <c r="C623" s="43"/>
      <c r="D623" s="43"/>
      <c r="E623" s="43"/>
      <c r="F623" s="43"/>
      <c r="G623" s="43"/>
    </row>
    <row r="624" spans="1:7">
      <c r="A624" s="43"/>
      <c r="B624" s="43"/>
      <c r="C624" s="43"/>
      <c r="D624" s="43"/>
      <c r="E624" s="43"/>
      <c r="F624" s="43"/>
      <c r="G624" s="43"/>
    </row>
    <row r="625" spans="1:7">
      <c r="A625" s="43"/>
      <c r="B625" s="43"/>
      <c r="C625" s="43"/>
      <c r="D625" s="43"/>
      <c r="E625" s="43"/>
      <c r="F625" s="43"/>
      <c r="G625" s="43"/>
    </row>
    <row r="626" spans="1:7">
      <c r="A626" s="43"/>
      <c r="B626" s="43"/>
      <c r="C626" s="43"/>
      <c r="D626" s="43"/>
      <c r="E626" s="43"/>
      <c r="F626" s="43"/>
      <c r="G626" s="43"/>
    </row>
    <row r="627" spans="1:7">
      <c r="A627" s="43"/>
      <c r="B627" s="43"/>
      <c r="C627" s="43"/>
      <c r="D627" s="43"/>
      <c r="E627" s="43"/>
      <c r="F627" s="43"/>
      <c r="G627" s="43"/>
    </row>
    <row r="628" spans="1:7">
      <c r="A628" s="43"/>
      <c r="B628" s="43"/>
      <c r="C628" s="43"/>
      <c r="D628" s="43"/>
      <c r="E628" s="43"/>
      <c r="F628" s="43"/>
      <c r="G628" s="43"/>
    </row>
    <row r="629" spans="1:7">
      <c r="A629" s="43"/>
      <c r="B629" s="43"/>
      <c r="C629" s="43"/>
      <c r="D629" s="43"/>
      <c r="E629" s="43"/>
      <c r="F629" s="43"/>
      <c r="G629" s="43"/>
    </row>
    <row r="630" spans="1:7">
      <c r="A630" s="43"/>
      <c r="B630" s="43"/>
      <c r="C630" s="43"/>
      <c r="D630" s="43"/>
      <c r="E630" s="43"/>
      <c r="F630" s="43"/>
      <c r="G630" s="43"/>
    </row>
    <row r="631" spans="1:7">
      <c r="A631" s="43"/>
      <c r="B631" s="43"/>
      <c r="C631" s="43"/>
      <c r="D631" s="43"/>
      <c r="E631" s="43"/>
      <c r="F631" s="43"/>
      <c r="G631" s="43"/>
    </row>
    <row r="632" spans="1:7">
      <c r="A632" s="43"/>
      <c r="B632" s="43"/>
      <c r="C632" s="43"/>
      <c r="D632" s="43"/>
      <c r="E632" s="43"/>
      <c r="F632" s="43"/>
      <c r="G632" s="43"/>
    </row>
    <row r="633" spans="1:7">
      <c r="A633" s="43"/>
      <c r="B633" s="43"/>
      <c r="C633" s="43"/>
      <c r="D633" s="43"/>
      <c r="E633" s="43"/>
      <c r="F633" s="43"/>
      <c r="G633" s="43"/>
    </row>
    <row r="634" spans="1:7">
      <c r="A634" s="43"/>
      <c r="B634" s="43"/>
      <c r="C634" s="43"/>
      <c r="D634" s="43"/>
      <c r="E634" s="43"/>
      <c r="F634" s="43"/>
      <c r="G634" s="43"/>
    </row>
    <row r="635" spans="1:7">
      <c r="A635" s="43"/>
      <c r="B635" s="43"/>
      <c r="C635" s="43"/>
      <c r="D635" s="43"/>
      <c r="E635" s="43"/>
      <c r="F635" s="43"/>
      <c r="G635" s="43"/>
    </row>
    <row r="636" spans="1:7">
      <c r="A636" s="43"/>
      <c r="B636" s="43"/>
      <c r="C636" s="43"/>
      <c r="D636" s="43"/>
      <c r="E636" s="43"/>
      <c r="F636" s="43"/>
      <c r="G636" s="43"/>
    </row>
    <row r="637" spans="1:7">
      <c r="A637" s="43"/>
      <c r="B637" s="43"/>
      <c r="C637" s="43"/>
      <c r="D637" s="43"/>
      <c r="E637" s="43"/>
      <c r="F637" s="43"/>
      <c r="G637" s="43"/>
    </row>
    <row r="638" spans="1:7">
      <c r="A638" s="43"/>
      <c r="B638" s="43"/>
      <c r="C638" s="43"/>
      <c r="D638" s="43"/>
      <c r="E638" s="43"/>
      <c r="F638" s="43"/>
      <c r="G638" s="43"/>
    </row>
    <row r="639" spans="1:7">
      <c r="A639" s="43"/>
      <c r="B639" s="43"/>
      <c r="C639" s="43"/>
      <c r="D639" s="43"/>
      <c r="E639" s="43"/>
      <c r="F639" s="43"/>
      <c r="G639" s="43"/>
    </row>
    <row r="640" spans="1:7">
      <c r="A640" s="43"/>
      <c r="B640" s="43"/>
      <c r="C640" s="43"/>
      <c r="D640" s="43"/>
      <c r="E640" s="43"/>
      <c r="F640" s="43"/>
      <c r="G640" s="43"/>
    </row>
    <row r="641" spans="1:7">
      <c r="A641" s="43"/>
      <c r="B641" s="43"/>
      <c r="C641" s="43"/>
      <c r="D641" s="43"/>
      <c r="E641" s="43"/>
      <c r="F641" s="43"/>
      <c r="G641" s="43"/>
    </row>
    <row r="642" spans="1:7">
      <c r="A642" s="43"/>
      <c r="B642" s="43"/>
      <c r="C642" s="43"/>
      <c r="D642" s="43"/>
      <c r="E642" s="43"/>
      <c r="F642" s="43"/>
      <c r="G642" s="43"/>
    </row>
    <row r="643" spans="1:7">
      <c r="A643" s="43"/>
      <c r="B643" s="43"/>
      <c r="C643" s="43"/>
      <c r="D643" s="43"/>
      <c r="E643" s="43"/>
      <c r="F643" s="43"/>
      <c r="G643" s="43"/>
    </row>
    <row r="644" spans="1:7">
      <c r="A644" s="43"/>
      <c r="B644" s="43"/>
      <c r="C644" s="43"/>
      <c r="D644" s="43"/>
      <c r="E644" s="43"/>
      <c r="F644" s="43"/>
      <c r="G644" s="43"/>
    </row>
    <row r="645" spans="1:7">
      <c r="A645" s="43"/>
      <c r="B645" s="43"/>
      <c r="C645" s="43"/>
      <c r="D645" s="43"/>
      <c r="E645" s="43"/>
      <c r="F645" s="43"/>
      <c r="G645" s="43"/>
    </row>
    <row r="646" spans="1:7">
      <c r="A646" s="43"/>
      <c r="B646" s="43"/>
      <c r="C646" s="43"/>
      <c r="D646" s="43"/>
      <c r="E646" s="43"/>
      <c r="F646" s="43"/>
      <c r="G646" s="43"/>
    </row>
    <row r="647" spans="1:7">
      <c r="A647" s="43"/>
      <c r="B647" s="43"/>
      <c r="C647" s="43"/>
      <c r="D647" s="43"/>
      <c r="E647" s="43"/>
      <c r="F647" s="43"/>
      <c r="G647" s="43"/>
    </row>
    <row r="648" spans="1:7">
      <c r="A648" s="43"/>
      <c r="B648" s="43"/>
      <c r="C648" s="43"/>
      <c r="D648" s="43"/>
      <c r="E648" s="43"/>
      <c r="F648" s="43"/>
      <c r="G648" s="43"/>
    </row>
    <row r="649" spans="1:7">
      <c r="A649" s="43"/>
      <c r="B649" s="43"/>
      <c r="C649" s="43"/>
      <c r="D649" s="43"/>
      <c r="E649" s="43"/>
      <c r="F649" s="43"/>
      <c r="G649" s="43"/>
    </row>
    <row r="650" spans="1:7">
      <c r="A650" s="43"/>
      <c r="B650" s="43"/>
      <c r="C650" s="43"/>
      <c r="D650" s="43"/>
      <c r="E650" s="43"/>
      <c r="F650" s="43"/>
      <c r="G650" s="43"/>
    </row>
    <row r="651" spans="1:7">
      <c r="A651" s="43"/>
      <c r="B651" s="43"/>
      <c r="C651" s="43"/>
      <c r="D651" s="43"/>
      <c r="E651" s="43"/>
      <c r="F651" s="43"/>
      <c r="G651" s="43"/>
    </row>
    <row r="652" spans="1:7">
      <c r="A652" s="43"/>
      <c r="B652" s="43"/>
      <c r="C652" s="43"/>
      <c r="D652" s="43"/>
      <c r="E652" s="43"/>
      <c r="F652" s="43"/>
      <c r="G652" s="43"/>
    </row>
    <row r="653" spans="1:7">
      <c r="A653" s="43"/>
      <c r="B653" s="43"/>
      <c r="C653" s="43"/>
      <c r="D653" s="43"/>
      <c r="E653" s="43"/>
      <c r="F653" s="43"/>
      <c r="G653" s="43"/>
    </row>
    <row r="654" spans="1:7">
      <c r="A654" s="43"/>
      <c r="B654" s="43"/>
      <c r="C654" s="43"/>
      <c r="D654" s="43"/>
      <c r="E654" s="43"/>
      <c r="F654" s="43"/>
      <c r="G654" s="43"/>
    </row>
    <row r="655" spans="1:7">
      <c r="A655" s="43"/>
      <c r="B655" s="43"/>
      <c r="C655" s="43"/>
      <c r="D655" s="43"/>
      <c r="E655" s="43"/>
      <c r="F655" s="43"/>
      <c r="G655" s="43"/>
    </row>
    <row r="656" spans="1:7">
      <c r="A656" s="43"/>
      <c r="B656" s="43"/>
      <c r="C656" s="43"/>
      <c r="D656" s="43"/>
      <c r="E656" s="43"/>
      <c r="F656" s="43"/>
      <c r="G656" s="43"/>
    </row>
    <row r="657" spans="1:7">
      <c r="A657" s="43"/>
      <c r="B657" s="43"/>
      <c r="C657" s="43"/>
      <c r="D657" s="43"/>
      <c r="E657" s="43"/>
      <c r="F657" s="43"/>
      <c r="G657" s="43"/>
    </row>
    <row r="658" spans="1:7">
      <c r="A658" s="43"/>
      <c r="B658" s="43"/>
      <c r="C658" s="43"/>
      <c r="D658" s="43"/>
      <c r="E658" s="43"/>
      <c r="F658" s="43"/>
      <c r="G658" s="43"/>
    </row>
    <row r="659" spans="1:7">
      <c r="A659" s="43"/>
      <c r="B659" s="43"/>
      <c r="C659" s="43"/>
      <c r="D659" s="43"/>
      <c r="E659" s="43"/>
      <c r="F659" s="43"/>
      <c r="G659" s="43"/>
    </row>
    <row r="660" spans="1:7">
      <c r="A660" s="43"/>
      <c r="B660" s="43"/>
      <c r="C660" s="43"/>
      <c r="D660" s="43"/>
      <c r="E660" s="43"/>
      <c r="F660" s="43"/>
      <c r="G660" s="43"/>
    </row>
    <row r="661" spans="1:7">
      <c r="A661" s="43"/>
      <c r="B661" s="43"/>
      <c r="C661" s="43"/>
      <c r="D661" s="43"/>
      <c r="E661" s="43"/>
      <c r="F661" s="43"/>
      <c r="G661" s="43"/>
    </row>
    <row r="662" spans="1:7">
      <c r="A662" s="43"/>
      <c r="B662" s="43"/>
      <c r="C662" s="43"/>
      <c r="D662" s="43"/>
      <c r="E662" s="43"/>
      <c r="F662" s="43"/>
      <c r="G662" s="43"/>
    </row>
    <row r="663" spans="1:7">
      <c r="A663" s="43"/>
      <c r="B663" s="43"/>
      <c r="C663" s="43"/>
      <c r="D663" s="43"/>
      <c r="E663" s="43"/>
      <c r="F663" s="43"/>
      <c r="G663" s="43"/>
    </row>
    <row r="664" spans="1:7">
      <c r="A664" s="43"/>
      <c r="B664" s="43"/>
      <c r="C664" s="43"/>
      <c r="D664" s="43"/>
      <c r="E664" s="43"/>
      <c r="F664" s="43"/>
      <c r="G664" s="43"/>
    </row>
    <row r="665" spans="1:7">
      <c r="A665" s="43"/>
      <c r="B665" s="43"/>
      <c r="C665" s="43"/>
      <c r="D665" s="43"/>
      <c r="E665" s="43"/>
      <c r="F665" s="43"/>
      <c r="G665" s="43"/>
    </row>
    <row r="666" spans="1:7">
      <c r="A666" s="43"/>
      <c r="B666" s="43"/>
      <c r="C666" s="43"/>
      <c r="D666" s="43"/>
      <c r="E666" s="43"/>
      <c r="F666" s="43"/>
      <c r="G666" s="43"/>
    </row>
    <row r="667" spans="1:7">
      <c r="A667" s="43"/>
      <c r="B667" s="43"/>
      <c r="C667" s="43"/>
      <c r="D667" s="43"/>
      <c r="E667" s="43"/>
      <c r="F667" s="43"/>
      <c r="G667" s="43"/>
    </row>
    <row r="668" spans="1:7">
      <c r="A668" s="43"/>
      <c r="B668" s="43"/>
      <c r="C668" s="43"/>
      <c r="D668" s="43"/>
      <c r="E668" s="43"/>
      <c r="F668" s="43"/>
      <c r="G668" s="43"/>
    </row>
    <row r="669" spans="1:7">
      <c r="A669" s="43"/>
      <c r="B669" s="43"/>
      <c r="C669" s="43"/>
      <c r="D669" s="43"/>
      <c r="E669" s="43"/>
      <c r="F669" s="43"/>
      <c r="G669" s="43"/>
    </row>
    <row r="670" spans="1:7">
      <c r="A670" s="43"/>
      <c r="B670" s="43"/>
      <c r="C670" s="43"/>
      <c r="D670" s="43"/>
      <c r="E670" s="43"/>
      <c r="F670" s="43"/>
      <c r="G670" s="43"/>
    </row>
    <row r="671" spans="1:7">
      <c r="A671" s="43"/>
      <c r="B671" s="43"/>
      <c r="C671" s="43"/>
      <c r="D671" s="43"/>
      <c r="E671" s="43"/>
      <c r="F671" s="43"/>
      <c r="G671" s="43"/>
    </row>
    <row r="672" spans="1:7">
      <c r="A672" s="43"/>
      <c r="B672" s="43"/>
      <c r="C672" s="43"/>
      <c r="D672" s="43"/>
      <c r="E672" s="43"/>
      <c r="F672" s="43"/>
      <c r="G672" s="43"/>
    </row>
    <row r="673" spans="1:7">
      <c r="A673" s="43"/>
      <c r="B673" s="43"/>
      <c r="C673" s="43"/>
      <c r="D673" s="43"/>
      <c r="E673" s="43"/>
      <c r="F673" s="43"/>
      <c r="G673" s="43"/>
    </row>
    <row r="674" spans="1:7">
      <c r="A674" s="43"/>
      <c r="B674" s="43"/>
      <c r="C674" s="43"/>
      <c r="D674" s="43"/>
      <c r="E674" s="43"/>
      <c r="F674" s="43"/>
      <c r="G674" s="43"/>
    </row>
    <row r="675" spans="1:7">
      <c r="A675" s="43"/>
      <c r="B675" s="43"/>
      <c r="C675" s="43"/>
      <c r="D675" s="43"/>
      <c r="E675" s="43"/>
      <c r="F675" s="43"/>
      <c r="G675" s="43"/>
    </row>
    <row r="676" spans="1:7">
      <c r="A676" s="43"/>
      <c r="B676" s="43"/>
      <c r="C676" s="43"/>
      <c r="D676" s="43"/>
      <c r="E676" s="43"/>
      <c r="F676" s="43"/>
      <c r="G676" s="43"/>
    </row>
    <row r="677" spans="1:7">
      <c r="A677" s="43"/>
      <c r="B677" s="43"/>
      <c r="C677" s="43"/>
      <c r="D677" s="43"/>
      <c r="E677" s="43"/>
      <c r="F677" s="43"/>
      <c r="G677" s="43"/>
    </row>
    <row r="678" spans="1:7">
      <c r="A678" s="43"/>
      <c r="B678" s="43"/>
      <c r="C678" s="43"/>
      <c r="D678" s="43"/>
      <c r="E678" s="43"/>
      <c r="F678" s="43"/>
      <c r="G678" s="43"/>
    </row>
    <row r="679" spans="1:7">
      <c r="A679" s="43"/>
      <c r="B679" s="43"/>
      <c r="C679" s="43"/>
      <c r="D679" s="43"/>
      <c r="E679" s="43"/>
      <c r="F679" s="43"/>
      <c r="G679" s="43"/>
    </row>
    <row r="680" spans="1:7">
      <c r="A680" s="43"/>
      <c r="B680" s="43"/>
      <c r="C680" s="43"/>
      <c r="D680" s="43"/>
      <c r="E680" s="43"/>
      <c r="F680" s="43"/>
      <c r="G680" s="43"/>
    </row>
    <row r="681" spans="1:7">
      <c r="A681" s="43"/>
      <c r="B681" s="43"/>
      <c r="C681" s="43"/>
      <c r="D681" s="43"/>
      <c r="E681" s="43"/>
      <c r="F681" s="43"/>
      <c r="G681" s="43"/>
    </row>
    <row r="682" spans="1:7">
      <c r="A682" s="43"/>
      <c r="B682" s="43"/>
      <c r="C682" s="43"/>
      <c r="D682" s="43"/>
      <c r="E682" s="43"/>
      <c r="F682" s="43"/>
      <c r="G682" s="43"/>
    </row>
    <row r="683" spans="1:7">
      <c r="A683" s="43"/>
      <c r="B683" s="43"/>
      <c r="C683" s="43"/>
      <c r="D683" s="43"/>
      <c r="E683" s="43"/>
      <c r="F683" s="43"/>
      <c r="G683" s="43"/>
    </row>
    <row r="684" spans="1:7">
      <c r="A684" s="43"/>
      <c r="B684" s="43"/>
      <c r="C684" s="43"/>
      <c r="D684" s="43"/>
      <c r="E684" s="43"/>
      <c r="F684" s="43"/>
      <c r="G684" s="43"/>
    </row>
    <row r="685" spans="1:7">
      <c r="A685" s="43"/>
      <c r="B685" s="43"/>
      <c r="C685" s="43"/>
      <c r="D685" s="43"/>
      <c r="E685" s="43"/>
      <c r="F685" s="43"/>
      <c r="G685" s="43"/>
    </row>
    <row r="686" spans="1:7">
      <c r="A686" s="43"/>
      <c r="B686" s="43"/>
      <c r="C686" s="43"/>
      <c r="D686" s="43"/>
      <c r="E686" s="43"/>
      <c r="F686" s="43"/>
      <c r="G686" s="43"/>
    </row>
    <row r="687" spans="1:7">
      <c r="A687" s="43"/>
      <c r="B687" s="43"/>
      <c r="C687" s="43"/>
      <c r="D687" s="43"/>
      <c r="E687" s="43"/>
      <c r="F687" s="43"/>
      <c r="G687" s="43"/>
    </row>
    <row r="688" spans="1:7">
      <c r="A688" s="43"/>
      <c r="B688" s="43"/>
      <c r="C688" s="43"/>
      <c r="D688" s="43"/>
      <c r="E688" s="43"/>
      <c r="F688" s="43"/>
      <c r="G688" s="43"/>
    </row>
    <row r="689" spans="1:7">
      <c r="A689" s="43"/>
      <c r="B689" s="43"/>
      <c r="C689" s="43"/>
      <c r="D689" s="43"/>
      <c r="E689" s="43"/>
      <c r="F689" s="43"/>
      <c r="G689" s="43"/>
    </row>
    <row r="690" spans="1:7">
      <c r="A690" s="43"/>
      <c r="B690" s="43"/>
      <c r="C690" s="43"/>
      <c r="D690" s="43"/>
      <c r="E690" s="43"/>
      <c r="F690" s="43"/>
      <c r="G690" s="43"/>
    </row>
    <row r="691" spans="1:7">
      <c r="A691" s="43"/>
      <c r="B691" s="43"/>
      <c r="C691" s="43"/>
      <c r="D691" s="43"/>
      <c r="E691" s="43"/>
      <c r="F691" s="43"/>
      <c r="G691" s="43"/>
    </row>
    <row r="692" spans="1:7">
      <c r="A692" s="43"/>
      <c r="B692" s="43"/>
      <c r="C692" s="43"/>
      <c r="D692" s="43"/>
      <c r="E692" s="43"/>
      <c r="F692" s="43"/>
      <c r="G692" s="43"/>
    </row>
    <row r="693" spans="1:7">
      <c r="A693" s="43"/>
      <c r="B693" s="43"/>
      <c r="C693" s="43"/>
      <c r="D693" s="43"/>
      <c r="E693" s="43"/>
      <c r="F693" s="43"/>
      <c r="G693" s="43"/>
    </row>
    <row r="694" spans="1:7">
      <c r="A694" s="43"/>
      <c r="B694" s="43"/>
      <c r="C694" s="43"/>
      <c r="D694" s="43"/>
      <c r="E694" s="43"/>
      <c r="F694" s="43"/>
      <c r="G694" s="43"/>
    </row>
    <row r="695" spans="1:7">
      <c r="A695" s="43"/>
      <c r="B695" s="43"/>
      <c r="C695" s="43"/>
      <c r="D695" s="43"/>
      <c r="E695" s="43"/>
      <c r="F695" s="43"/>
      <c r="G695" s="43"/>
    </row>
    <row r="696" spans="1:7">
      <c r="A696" s="43"/>
      <c r="B696" s="43"/>
      <c r="C696" s="43"/>
      <c r="D696" s="43"/>
      <c r="E696" s="43"/>
      <c r="F696" s="43"/>
      <c r="G696" s="43"/>
    </row>
    <row r="697" spans="1:7">
      <c r="A697" s="43"/>
      <c r="B697" s="43"/>
      <c r="C697" s="43"/>
      <c r="D697" s="43"/>
      <c r="E697" s="43"/>
      <c r="F697" s="43"/>
      <c r="G697" s="43"/>
    </row>
    <row r="698" spans="1:7">
      <c r="A698" s="43"/>
      <c r="B698" s="43"/>
      <c r="C698" s="43"/>
      <c r="D698" s="43"/>
      <c r="E698" s="43"/>
      <c r="F698" s="43"/>
      <c r="G698" s="43"/>
    </row>
    <row r="699" spans="1:7">
      <c r="A699" s="43"/>
      <c r="B699" s="43"/>
      <c r="C699" s="43"/>
      <c r="D699" s="43"/>
      <c r="E699" s="43"/>
      <c r="F699" s="43"/>
      <c r="G699" s="43"/>
    </row>
    <row r="700" spans="1:7">
      <c r="A700" s="43"/>
      <c r="B700" s="43"/>
      <c r="C700" s="43"/>
      <c r="D700" s="43"/>
      <c r="E700" s="43"/>
      <c r="F700" s="43"/>
      <c r="G700" s="43"/>
    </row>
    <row r="701" spans="1:7">
      <c r="A701" s="43"/>
      <c r="B701" s="43"/>
      <c r="C701" s="43"/>
      <c r="D701" s="43"/>
      <c r="E701" s="43"/>
      <c r="F701" s="43"/>
      <c r="G701" s="43"/>
    </row>
    <row r="702" spans="1:7">
      <c r="A702" s="43"/>
      <c r="B702" s="43"/>
      <c r="C702" s="43"/>
      <c r="D702" s="43"/>
      <c r="E702" s="43"/>
      <c r="F702" s="43"/>
      <c r="G702" s="43"/>
    </row>
    <row r="703" spans="1:7">
      <c r="A703" s="43"/>
      <c r="B703" s="43"/>
      <c r="C703" s="43"/>
      <c r="D703" s="43"/>
      <c r="E703" s="43"/>
      <c r="F703" s="43"/>
      <c r="G703" s="43"/>
    </row>
    <row r="704" spans="1:7">
      <c r="A704" s="43"/>
      <c r="B704" s="43"/>
      <c r="C704" s="43"/>
      <c r="D704" s="43"/>
      <c r="E704" s="43"/>
      <c r="F704" s="43"/>
      <c r="G704" s="43"/>
    </row>
    <row r="705" spans="1:7">
      <c r="A705" s="43"/>
      <c r="B705" s="43"/>
      <c r="C705" s="43"/>
      <c r="D705" s="43"/>
      <c r="E705" s="43"/>
      <c r="F705" s="43"/>
      <c r="G705" s="43"/>
    </row>
    <row r="706" spans="1:7">
      <c r="A706" s="43"/>
      <c r="B706" s="43"/>
      <c r="C706" s="43"/>
      <c r="D706" s="43"/>
      <c r="E706" s="43"/>
      <c r="F706" s="43"/>
      <c r="G706" s="43"/>
    </row>
    <row r="707" spans="1:7">
      <c r="A707" s="43"/>
      <c r="B707" s="43"/>
      <c r="C707" s="43"/>
      <c r="D707" s="43"/>
      <c r="E707" s="43"/>
      <c r="F707" s="43"/>
      <c r="G707" s="43"/>
    </row>
    <row r="708" spans="1:7">
      <c r="A708" s="43"/>
      <c r="B708" s="43"/>
      <c r="C708" s="43"/>
      <c r="D708" s="43"/>
      <c r="E708" s="43"/>
      <c r="F708" s="43"/>
      <c r="G708" s="43"/>
    </row>
    <row r="709" spans="1:7">
      <c r="A709" s="43"/>
      <c r="B709" s="43"/>
      <c r="C709" s="43"/>
      <c r="D709" s="43"/>
      <c r="E709" s="43"/>
      <c r="F709" s="43"/>
      <c r="G709" s="43"/>
    </row>
    <row r="710" spans="1:7">
      <c r="A710" s="43"/>
      <c r="B710" s="43"/>
      <c r="C710" s="43"/>
      <c r="D710" s="43"/>
      <c r="E710" s="43"/>
      <c r="F710" s="43"/>
      <c r="G710" s="43"/>
    </row>
    <row r="711" spans="1:7">
      <c r="A711" s="43"/>
      <c r="B711" s="43"/>
      <c r="C711" s="43"/>
      <c r="D711" s="43"/>
      <c r="E711" s="43"/>
      <c r="F711" s="43"/>
      <c r="G711" s="43"/>
    </row>
    <row r="712" spans="1:7">
      <c r="A712" s="43"/>
      <c r="B712" s="43"/>
      <c r="C712" s="43"/>
      <c r="D712" s="43"/>
      <c r="E712" s="43"/>
      <c r="F712" s="43"/>
      <c r="G712" s="43"/>
    </row>
    <row r="713" spans="1:7">
      <c r="A713" s="43"/>
      <c r="B713" s="43"/>
      <c r="C713" s="43"/>
      <c r="D713" s="43"/>
      <c r="E713" s="43"/>
      <c r="F713" s="43"/>
      <c r="G713" s="43"/>
    </row>
    <row r="714" spans="1:7">
      <c r="A714" s="43"/>
      <c r="B714" s="43"/>
      <c r="C714" s="43"/>
      <c r="D714" s="43"/>
      <c r="E714" s="43"/>
      <c r="F714" s="43"/>
      <c r="G714" s="43"/>
    </row>
    <row r="715" spans="1:7">
      <c r="A715" s="43"/>
      <c r="B715" s="43"/>
      <c r="C715" s="43"/>
      <c r="D715" s="43"/>
      <c r="E715" s="43"/>
      <c r="F715" s="43"/>
      <c r="G715" s="43"/>
    </row>
    <row r="716" spans="1:7">
      <c r="A716" s="43"/>
      <c r="B716" s="43"/>
      <c r="C716" s="43"/>
      <c r="D716" s="43"/>
      <c r="E716" s="43"/>
      <c r="F716" s="43"/>
      <c r="G716" s="43"/>
    </row>
    <row r="717" spans="1:7">
      <c r="A717" s="43"/>
      <c r="B717" s="43"/>
      <c r="C717" s="43"/>
      <c r="D717" s="43"/>
      <c r="E717" s="43"/>
      <c r="F717" s="43"/>
      <c r="G717" s="43"/>
    </row>
    <row r="718" spans="1:7">
      <c r="A718" s="43"/>
      <c r="B718" s="43"/>
      <c r="C718" s="43"/>
      <c r="D718" s="43"/>
      <c r="E718" s="43"/>
      <c r="F718" s="43"/>
      <c r="G718" s="43"/>
    </row>
    <row r="719" spans="1:7">
      <c r="A719" s="43"/>
      <c r="B719" s="43"/>
      <c r="C719" s="43"/>
      <c r="D719" s="43"/>
      <c r="E719" s="43"/>
      <c r="F719" s="43"/>
      <c r="G719" s="43"/>
    </row>
    <row r="720" spans="1:7">
      <c r="A720" s="43"/>
      <c r="B720" s="43"/>
      <c r="C720" s="43"/>
      <c r="D720" s="43"/>
      <c r="E720" s="43"/>
      <c r="F720" s="43"/>
      <c r="G720" s="43"/>
    </row>
    <row r="721" spans="1:7">
      <c r="A721" s="43"/>
      <c r="B721" s="43"/>
      <c r="C721" s="43"/>
      <c r="D721" s="43"/>
      <c r="E721" s="43"/>
      <c r="F721" s="43"/>
      <c r="G721" s="43"/>
    </row>
    <row r="722" spans="1:7">
      <c r="A722" s="43"/>
      <c r="B722" s="43"/>
      <c r="C722" s="43"/>
      <c r="D722" s="43"/>
      <c r="E722" s="43"/>
      <c r="F722" s="43"/>
      <c r="G722" s="43"/>
    </row>
    <row r="723" spans="1:7">
      <c r="A723" s="43"/>
      <c r="B723" s="43"/>
      <c r="C723" s="43"/>
      <c r="D723" s="43"/>
      <c r="E723" s="43"/>
      <c r="F723" s="43"/>
      <c r="G723" s="43"/>
    </row>
    <row r="724" spans="1:7">
      <c r="A724" s="43"/>
      <c r="B724" s="43"/>
      <c r="C724" s="43"/>
      <c r="D724" s="43"/>
      <c r="E724" s="43"/>
      <c r="F724" s="43"/>
      <c r="G724" s="43"/>
    </row>
    <row r="725" spans="1:7">
      <c r="A725" s="43"/>
      <c r="B725" s="43"/>
      <c r="C725" s="43"/>
      <c r="D725" s="43"/>
      <c r="E725" s="43"/>
      <c r="F725" s="43"/>
      <c r="G725" s="43"/>
    </row>
    <row r="726" spans="1:7">
      <c r="A726" s="43"/>
      <c r="B726" s="43"/>
      <c r="C726" s="43"/>
      <c r="D726" s="43"/>
      <c r="E726" s="43"/>
      <c r="F726" s="43"/>
      <c r="G726" s="43"/>
    </row>
    <row r="727" spans="1:7">
      <c r="A727" s="43"/>
      <c r="B727" s="43"/>
      <c r="C727" s="43"/>
      <c r="D727" s="43"/>
      <c r="E727" s="43"/>
      <c r="F727" s="43"/>
      <c r="G727" s="43"/>
    </row>
    <row r="728" spans="1:7">
      <c r="A728" s="43"/>
      <c r="B728" s="43"/>
      <c r="C728" s="43"/>
      <c r="D728" s="43"/>
      <c r="E728" s="43"/>
      <c r="F728" s="43"/>
      <c r="G728" s="43"/>
    </row>
    <row r="729" spans="1:7">
      <c r="A729" s="43"/>
      <c r="B729" s="43"/>
      <c r="C729" s="43"/>
      <c r="D729" s="43"/>
      <c r="E729" s="43"/>
      <c r="F729" s="43"/>
      <c r="G729" s="43"/>
    </row>
    <row r="730" spans="1:7">
      <c r="A730" s="43"/>
      <c r="B730" s="43"/>
      <c r="C730" s="43"/>
      <c r="D730" s="43"/>
      <c r="E730" s="43"/>
      <c r="F730" s="43"/>
      <c r="G730" s="43"/>
    </row>
    <row r="731" spans="1:7">
      <c r="A731" s="43"/>
      <c r="B731" s="43"/>
      <c r="C731" s="43"/>
      <c r="D731" s="43"/>
      <c r="E731" s="43"/>
      <c r="F731" s="43"/>
      <c r="G731" s="43"/>
    </row>
    <row r="732" spans="1:7">
      <c r="A732" s="43"/>
      <c r="B732" s="43"/>
      <c r="C732" s="43"/>
      <c r="D732" s="43"/>
      <c r="E732" s="43"/>
      <c r="F732" s="43"/>
      <c r="G732" s="43"/>
    </row>
    <row r="733" spans="1:7">
      <c r="A733" s="43"/>
      <c r="B733" s="43"/>
      <c r="C733" s="43"/>
      <c r="D733" s="43"/>
      <c r="E733" s="43"/>
      <c r="F733" s="43"/>
      <c r="G733" s="43"/>
    </row>
    <row r="734" spans="1:7">
      <c r="A734" s="43"/>
      <c r="B734" s="43"/>
      <c r="C734" s="43"/>
      <c r="D734" s="43"/>
      <c r="E734" s="43"/>
      <c r="F734" s="43"/>
      <c r="G734" s="43"/>
    </row>
    <row r="735" spans="1:7">
      <c r="A735" s="43"/>
      <c r="B735" s="43"/>
      <c r="C735" s="43"/>
      <c r="D735" s="43"/>
      <c r="E735" s="43"/>
      <c r="F735" s="43"/>
      <c r="G735" s="43"/>
    </row>
    <row r="736" spans="1:7">
      <c r="A736" s="43"/>
      <c r="B736" s="43"/>
      <c r="C736" s="43"/>
      <c r="D736" s="43"/>
      <c r="E736" s="43"/>
      <c r="F736" s="43"/>
      <c r="G736" s="43"/>
    </row>
    <row r="737" spans="1:7">
      <c r="A737" s="43"/>
      <c r="B737" s="43"/>
      <c r="C737" s="43"/>
      <c r="D737" s="43"/>
      <c r="E737" s="43"/>
      <c r="F737" s="43"/>
      <c r="G737" s="43"/>
    </row>
    <row r="738" spans="1:7">
      <c r="A738" s="43"/>
      <c r="B738" s="43"/>
      <c r="C738" s="43"/>
      <c r="D738" s="43"/>
      <c r="E738" s="43"/>
      <c r="F738" s="43"/>
      <c r="G738" s="43"/>
    </row>
    <row r="739" spans="1:7">
      <c r="A739" s="43"/>
      <c r="B739" s="43"/>
      <c r="C739" s="43"/>
      <c r="D739" s="43"/>
      <c r="E739" s="43"/>
      <c r="F739" s="43"/>
      <c r="G739" s="43"/>
    </row>
    <row r="740" spans="1:7">
      <c r="A740" s="43"/>
      <c r="B740" s="43"/>
      <c r="C740" s="43"/>
      <c r="D740" s="43"/>
      <c r="E740" s="43"/>
      <c r="F740" s="43"/>
      <c r="G740" s="43"/>
    </row>
    <row r="741" spans="1:7">
      <c r="A741" s="43"/>
      <c r="B741" s="43"/>
      <c r="C741" s="43"/>
      <c r="D741" s="43"/>
      <c r="E741" s="43"/>
      <c r="F741" s="43"/>
      <c r="G741" s="43"/>
    </row>
    <row r="742" spans="1:7">
      <c r="A742" s="43"/>
      <c r="B742" s="43"/>
      <c r="C742" s="43"/>
      <c r="D742" s="43"/>
      <c r="E742" s="43"/>
      <c r="F742" s="43"/>
      <c r="G742" s="43"/>
    </row>
    <row r="743" spans="1:7">
      <c r="A743" s="43"/>
      <c r="B743" s="43"/>
      <c r="C743" s="43"/>
      <c r="D743" s="43"/>
      <c r="E743" s="43"/>
      <c r="F743" s="43"/>
      <c r="G743" s="43"/>
    </row>
    <row r="744" spans="1:7">
      <c r="A744" s="43"/>
      <c r="B744" s="43"/>
      <c r="C744" s="43"/>
      <c r="D744" s="43"/>
      <c r="E744" s="43"/>
      <c r="F744" s="43"/>
      <c r="G744" s="43"/>
    </row>
    <row r="745" spans="1:7">
      <c r="A745" s="43"/>
      <c r="B745" s="43"/>
      <c r="C745" s="43"/>
      <c r="D745" s="43"/>
      <c r="E745" s="43"/>
      <c r="F745" s="43"/>
      <c r="G745" s="43"/>
    </row>
    <row r="746" spans="1:7">
      <c r="A746" s="43"/>
      <c r="B746" s="43"/>
      <c r="C746" s="43"/>
      <c r="D746" s="43"/>
      <c r="E746" s="43"/>
      <c r="F746" s="43"/>
      <c r="G746" s="43"/>
    </row>
    <row r="747" spans="1:7">
      <c r="A747" s="43"/>
      <c r="B747" s="43"/>
      <c r="C747" s="43"/>
      <c r="D747" s="43"/>
      <c r="E747" s="43"/>
      <c r="F747" s="43"/>
      <c r="G747" s="43"/>
    </row>
    <row r="748" spans="1:7">
      <c r="A748" s="43"/>
      <c r="B748" s="43"/>
      <c r="C748" s="43"/>
      <c r="D748" s="43"/>
      <c r="E748" s="43"/>
      <c r="F748" s="43"/>
      <c r="G748" s="43"/>
    </row>
    <row r="749" spans="1:7">
      <c r="A749" s="43"/>
      <c r="B749" s="43"/>
      <c r="C749" s="43"/>
      <c r="D749" s="43"/>
      <c r="E749" s="43"/>
      <c r="F749" s="43"/>
      <c r="G749" s="43"/>
    </row>
    <row r="750" spans="1:7">
      <c r="A750" s="43"/>
      <c r="B750" s="43"/>
      <c r="C750" s="43"/>
      <c r="D750" s="43"/>
      <c r="E750" s="43"/>
      <c r="F750" s="43"/>
      <c r="G750" s="43"/>
    </row>
    <row r="751" spans="1:7">
      <c r="A751" s="43"/>
      <c r="B751" s="43"/>
      <c r="C751" s="43"/>
      <c r="D751" s="43"/>
      <c r="E751" s="43"/>
      <c r="F751" s="43"/>
      <c r="G751" s="43"/>
    </row>
    <row r="752" spans="1:7">
      <c r="A752" s="43"/>
      <c r="B752" s="43"/>
      <c r="C752" s="43"/>
      <c r="D752" s="43"/>
      <c r="E752" s="43"/>
      <c r="F752" s="43"/>
      <c r="G752" s="43"/>
    </row>
    <row r="753" spans="1:7">
      <c r="A753" s="43"/>
      <c r="B753" s="43"/>
      <c r="C753" s="43"/>
      <c r="D753" s="43"/>
      <c r="E753" s="43"/>
      <c r="F753" s="43"/>
      <c r="G753" s="43"/>
    </row>
    <row r="754" spans="1:7">
      <c r="A754" s="43"/>
      <c r="B754" s="43"/>
      <c r="C754" s="43"/>
      <c r="D754" s="43"/>
      <c r="E754" s="43"/>
      <c r="F754" s="43"/>
      <c r="G754" s="43"/>
    </row>
    <row r="755" spans="1:7">
      <c r="A755" s="43"/>
      <c r="B755" s="43"/>
      <c r="C755" s="43"/>
      <c r="D755" s="43"/>
      <c r="E755" s="43"/>
      <c r="F755" s="43"/>
      <c r="G755" s="43"/>
    </row>
    <row r="756" spans="1:7">
      <c r="A756" s="43"/>
      <c r="B756" s="43"/>
      <c r="C756" s="43"/>
      <c r="D756" s="43"/>
      <c r="E756" s="43"/>
      <c r="F756" s="43"/>
      <c r="G756" s="43"/>
    </row>
    <row r="757" spans="1:7">
      <c r="A757" s="43"/>
      <c r="B757" s="43"/>
      <c r="C757" s="43"/>
      <c r="D757" s="43"/>
      <c r="E757" s="43"/>
      <c r="F757" s="43"/>
      <c r="G757" s="43"/>
    </row>
    <row r="758" spans="1:7">
      <c r="A758" s="43"/>
      <c r="B758" s="43"/>
      <c r="C758" s="43"/>
      <c r="D758" s="43"/>
      <c r="E758" s="43"/>
      <c r="F758" s="43"/>
      <c r="G758" s="43"/>
    </row>
    <row r="759" spans="1:7">
      <c r="A759" s="43"/>
      <c r="B759" s="43"/>
      <c r="C759" s="43"/>
      <c r="D759" s="43"/>
      <c r="E759" s="43"/>
      <c r="F759" s="43"/>
      <c r="G759" s="43"/>
    </row>
    <row r="760" spans="1:7">
      <c r="A760" s="43"/>
      <c r="B760" s="43"/>
      <c r="C760" s="43"/>
      <c r="D760" s="43"/>
      <c r="E760" s="43"/>
      <c r="F760" s="43"/>
      <c r="G760" s="43"/>
    </row>
    <row r="761" spans="1:7">
      <c r="A761" s="43"/>
      <c r="B761" s="43"/>
      <c r="C761" s="43"/>
      <c r="D761" s="43"/>
      <c r="E761" s="43"/>
      <c r="F761" s="43"/>
      <c r="G761" s="43"/>
    </row>
    <row r="762" spans="1:7">
      <c r="A762" s="43"/>
      <c r="B762" s="43"/>
      <c r="C762" s="43"/>
      <c r="D762" s="43"/>
      <c r="E762" s="43"/>
      <c r="F762" s="43"/>
      <c r="G762" s="43"/>
    </row>
    <row r="763" spans="1:7">
      <c r="A763" s="43"/>
      <c r="B763" s="43"/>
      <c r="C763" s="43"/>
      <c r="D763" s="43"/>
      <c r="E763" s="43"/>
      <c r="F763" s="43"/>
      <c r="G763" s="43"/>
    </row>
    <row r="764" spans="1:7">
      <c r="A764" s="43"/>
      <c r="B764" s="43"/>
      <c r="C764" s="43"/>
      <c r="D764" s="43"/>
      <c r="E764" s="43"/>
      <c r="F764" s="43"/>
      <c r="G764" s="43"/>
    </row>
    <row r="765" spans="1:7">
      <c r="A765" s="43"/>
      <c r="B765" s="43"/>
      <c r="C765" s="43"/>
      <c r="D765" s="43"/>
      <c r="E765" s="43"/>
      <c r="F765" s="43"/>
      <c r="G765" s="43"/>
    </row>
    <row r="766" spans="1:7">
      <c r="A766" s="43"/>
      <c r="B766" s="43"/>
      <c r="C766" s="43"/>
      <c r="D766" s="43"/>
      <c r="E766" s="43"/>
      <c r="F766" s="43"/>
      <c r="G766" s="43"/>
    </row>
    <row r="767" spans="1:7">
      <c r="A767" s="43"/>
      <c r="B767" s="43"/>
      <c r="C767" s="43"/>
      <c r="D767" s="43"/>
      <c r="E767" s="43"/>
      <c r="F767" s="43"/>
      <c r="G767" s="43"/>
    </row>
    <row r="768" spans="1:7">
      <c r="A768" s="43"/>
      <c r="B768" s="43"/>
      <c r="C768" s="43"/>
      <c r="D768" s="43"/>
      <c r="E768" s="43"/>
      <c r="F768" s="43"/>
      <c r="G768" s="43"/>
    </row>
    <row r="769" spans="1:7">
      <c r="A769" s="43"/>
      <c r="B769" s="43"/>
      <c r="C769" s="43"/>
      <c r="D769" s="43"/>
      <c r="E769" s="43"/>
      <c r="F769" s="43"/>
      <c r="G769" s="43"/>
    </row>
    <row r="770" spans="1:7">
      <c r="A770" s="43"/>
      <c r="B770" s="43"/>
      <c r="C770" s="43"/>
      <c r="D770" s="43"/>
      <c r="E770" s="43"/>
      <c r="F770" s="43"/>
      <c r="G770" s="43"/>
    </row>
    <row r="771" spans="1:7">
      <c r="A771" s="43"/>
      <c r="B771" s="43"/>
      <c r="C771" s="43"/>
      <c r="D771" s="43"/>
      <c r="E771" s="43"/>
      <c r="F771" s="43"/>
      <c r="G771" s="43"/>
    </row>
    <row r="772" spans="1:7">
      <c r="A772" s="43"/>
      <c r="B772" s="43"/>
      <c r="C772" s="43"/>
      <c r="D772" s="43"/>
      <c r="E772" s="43"/>
      <c r="F772" s="43"/>
      <c r="G772" s="43"/>
    </row>
    <row r="773" spans="1:7">
      <c r="A773" s="43"/>
      <c r="B773" s="43"/>
      <c r="C773" s="43"/>
      <c r="D773" s="43"/>
      <c r="E773" s="43"/>
      <c r="F773" s="43"/>
      <c r="G773" s="43"/>
    </row>
    <row r="774" spans="1:7">
      <c r="A774" s="43"/>
      <c r="B774" s="43"/>
      <c r="C774" s="43"/>
      <c r="D774" s="43"/>
      <c r="E774" s="43"/>
      <c r="F774" s="43"/>
      <c r="G774" s="43"/>
    </row>
    <row r="775" spans="1:7">
      <c r="A775" s="43"/>
      <c r="B775" s="43"/>
      <c r="C775" s="43"/>
      <c r="D775" s="43"/>
      <c r="E775" s="43"/>
      <c r="F775" s="43"/>
      <c r="G775" s="43"/>
    </row>
    <row r="776" spans="1:7">
      <c r="A776" s="43"/>
      <c r="B776" s="43"/>
      <c r="C776" s="43"/>
      <c r="D776" s="43"/>
      <c r="E776" s="43"/>
      <c r="F776" s="43"/>
      <c r="G776" s="43"/>
    </row>
    <row r="777" spans="1:7">
      <c r="A777" s="43"/>
      <c r="B777" s="43"/>
      <c r="C777" s="43"/>
      <c r="D777" s="43"/>
      <c r="E777" s="43"/>
      <c r="F777" s="43"/>
      <c r="G777" s="43"/>
    </row>
    <row r="778" spans="1:7">
      <c r="A778" s="43"/>
      <c r="B778" s="43"/>
      <c r="C778" s="43"/>
      <c r="D778" s="43"/>
      <c r="E778" s="43"/>
      <c r="F778" s="43"/>
      <c r="G778" s="43"/>
    </row>
    <row r="779" spans="1:7">
      <c r="A779" s="43"/>
      <c r="B779" s="43"/>
      <c r="C779" s="43"/>
      <c r="D779" s="43"/>
      <c r="E779" s="43"/>
      <c r="F779" s="43"/>
      <c r="G779" s="43"/>
    </row>
    <row r="780" spans="1:7">
      <c r="A780" s="43"/>
      <c r="B780" s="43"/>
      <c r="C780" s="43"/>
      <c r="D780" s="43"/>
      <c r="E780" s="43"/>
      <c r="F780" s="43"/>
      <c r="G780" s="43"/>
    </row>
    <row r="781" spans="1:7">
      <c r="A781" s="43"/>
      <c r="B781" s="43"/>
      <c r="C781" s="43"/>
      <c r="D781" s="43"/>
      <c r="E781" s="43"/>
      <c r="F781" s="43"/>
      <c r="G781" s="43"/>
    </row>
    <row r="782" spans="1:7">
      <c r="A782" s="43"/>
      <c r="B782" s="43"/>
      <c r="C782" s="43"/>
      <c r="D782" s="43"/>
      <c r="E782" s="43"/>
      <c r="F782" s="43"/>
      <c r="G782" s="43"/>
    </row>
    <row r="783" spans="1:7">
      <c r="A783" s="43"/>
      <c r="B783" s="43"/>
      <c r="C783" s="43"/>
      <c r="D783" s="43"/>
      <c r="E783" s="43"/>
      <c r="F783" s="43"/>
      <c r="G783" s="43"/>
    </row>
    <row r="784" spans="1:7">
      <c r="A784" s="43"/>
      <c r="B784" s="43"/>
      <c r="C784" s="43"/>
      <c r="D784" s="43"/>
      <c r="E784" s="43"/>
      <c r="F784" s="43"/>
      <c r="G784" s="43"/>
    </row>
    <row r="785" spans="1:7">
      <c r="A785" s="43"/>
      <c r="B785" s="43"/>
      <c r="C785" s="43"/>
      <c r="D785" s="43"/>
      <c r="E785" s="43"/>
      <c r="F785" s="43"/>
      <c r="G785" s="43"/>
    </row>
    <row r="786" spans="1:7">
      <c r="A786" s="43"/>
      <c r="B786" s="43"/>
      <c r="C786" s="43"/>
      <c r="D786" s="43"/>
      <c r="E786" s="43"/>
      <c r="F786" s="43"/>
      <c r="G786" s="43"/>
    </row>
    <row r="787" spans="1:7">
      <c r="A787" s="43"/>
      <c r="B787" s="43"/>
      <c r="C787" s="43"/>
      <c r="D787" s="43"/>
      <c r="E787" s="43"/>
      <c r="F787" s="43"/>
      <c r="G787" s="43"/>
    </row>
    <row r="788" spans="1:7">
      <c r="A788" s="43"/>
      <c r="B788" s="43"/>
      <c r="C788" s="43"/>
      <c r="D788" s="43"/>
      <c r="E788" s="43"/>
      <c r="F788" s="43"/>
      <c r="G788" s="43"/>
    </row>
    <row r="789" spans="1:7">
      <c r="A789" s="43"/>
      <c r="B789" s="43"/>
      <c r="C789" s="43"/>
      <c r="D789" s="43"/>
      <c r="E789" s="43"/>
      <c r="F789" s="43"/>
      <c r="G789" s="43"/>
    </row>
    <row r="790" spans="1:7">
      <c r="A790" s="43"/>
      <c r="B790" s="43"/>
      <c r="C790" s="43"/>
      <c r="D790" s="43"/>
      <c r="E790" s="43"/>
      <c r="F790" s="43"/>
      <c r="G790" s="43"/>
    </row>
    <row r="791" spans="1:7">
      <c r="A791" s="43"/>
      <c r="B791" s="43"/>
      <c r="C791" s="43"/>
      <c r="D791" s="43"/>
      <c r="E791" s="43"/>
      <c r="F791" s="43"/>
      <c r="G791" s="43"/>
    </row>
    <row r="792" spans="1:7">
      <c r="A792" s="43"/>
      <c r="B792" s="43"/>
      <c r="C792" s="43"/>
      <c r="D792" s="43"/>
      <c r="E792" s="43"/>
      <c r="F792" s="43"/>
      <c r="G792" s="43"/>
    </row>
    <row r="793" spans="1:7">
      <c r="A793" s="43"/>
      <c r="B793" s="43"/>
      <c r="C793" s="43"/>
      <c r="D793" s="43"/>
      <c r="E793" s="43"/>
      <c r="F793" s="43"/>
      <c r="G793" s="43"/>
    </row>
    <row r="794" spans="1:7">
      <c r="A794" s="43"/>
      <c r="B794" s="43"/>
      <c r="C794" s="43"/>
      <c r="D794" s="43"/>
      <c r="E794" s="43"/>
      <c r="F794" s="43"/>
      <c r="G794" s="43"/>
    </row>
    <row r="795" spans="1:7">
      <c r="A795" s="43"/>
      <c r="B795" s="43"/>
      <c r="C795" s="43"/>
      <c r="D795" s="43"/>
      <c r="E795" s="43"/>
      <c r="F795" s="43"/>
      <c r="G795" s="43"/>
    </row>
    <row r="796" spans="1:7">
      <c r="A796" s="43"/>
      <c r="B796" s="43"/>
      <c r="C796" s="43"/>
      <c r="D796" s="43"/>
      <c r="E796" s="43"/>
      <c r="F796" s="43"/>
      <c r="G796" s="43"/>
    </row>
    <row r="797" spans="1:7">
      <c r="A797" s="43"/>
      <c r="B797" s="43"/>
      <c r="C797" s="43"/>
      <c r="D797" s="43"/>
      <c r="E797" s="43"/>
      <c r="F797" s="43"/>
      <c r="G797" s="43"/>
    </row>
    <row r="798" spans="1:7">
      <c r="A798" s="43"/>
      <c r="B798" s="43"/>
      <c r="C798" s="43"/>
      <c r="D798" s="43"/>
      <c r="E798" s="43"/>
      <c r="F798" s="43"/>
      <c r="G798" s="43"/>
    </row>
    <row r="799" spans="1:7">
      <c r="A799" s="43"/>
      <c r="B799" s="43"/>
      <c r="C799" s="43"/>
      <c r="D799" s="43"/>
      <c r="E799" s="43"/>
      <c r="F799" s="43"/>
      <c r="G799" s="43"/>
    </row>
    <row r="800" spans="1:7">
      <c r="A800" s="43"/>
      <c r="B800" s="43"/>
      <c r="C800" s="43"/>
      <c r="D800" s="43"/>
      <c r="E800" s="43"/>
      <c r="F800" s="43"/>
      <c r="G800" s="43"/>
    </row>
    <row r="801" spans="1:7">
      <c r="A801" s="43"/>
      <c r="B801" s="43"/>
      <c r="C801" s="43"/>
      <c r="D801" s="43"/>
      <c r="E801" s="43"/>
      <c r="F801" s="43"/>
      <c r="G801" s="43"/>
    </row>
    <row r="802" spans="1:7">
      <c r="A802" s="43"/>
      <c r="B802" s="43"/>
      <c r="C802" s="43"/>
      <c r="D802" s="43"/>
      <c r="E802" s="43"/>
      <c r="F802" s="43"/>
      <c r="G802" s="43"/>
    </row>
    <row r="803" spans="1:7">
      <c r="A803" s="43"/>
      <c r="B803" s="43"/>
      <c r="C803" s="43"/>
      <c r="D803" s="43"/>
      <c r="E803" s="43"/>
      <c r="F803" s="43"/>
      <c r="G803" s="43"/>
    </row>
    <row r="804" spans="1:7">
      <c r="A804" s="43"/>
      <c r="B804" s="43"/>
      <c r="C804" s="43"/>
      <c r="D804" s="43"/>
      <c r="E804" s="43"/>
      <c r="F804" s="43"/>
      <c r="G804" s="43"/>
    </row>
    <row r="805" spans="1:7">
      <c r="A805" s="43"/>
      <c r="B805" s="43"/>
      <c r="C805" s="43"/>
      <c r="D805" s="43"/>
      <c r="E805" s="43"/>
      <c r="F805" s="43"/>
      <c r="G805" s="43"/>
    </row>
    <row r="806" spans="1:7">
      <c r="A806" s="43"/>
      <c r="B806" s="43"/>
      <c r="C806" s="43"/>
      <c r="D806" s="43"/>
      <c r="E806" s="43"/>
      <c r="F806" s="43"/>
      <c r="G806" s="43"/>
    </row>
    <row r="807" spans="1:7">
      <c r="A807" s="43"/>
      <c r="B807" s="43"/>
      <c r="C807" s="43"/>
      <c r="D807" s="43"/>
      <c r="E807" s="43"/>
      <c r="F807" s="43"/>
      <c r="G807" s="43"/>
    </row>
    <row r="808" spans="1:7">
      <c r="A808" s="43"/>
      <c r="B808" s="43"/>
      <c r="C808" s="43"/>
      <c r="D808" s="43"/>
      <c r="E808" s="43"/>
      <c r="F808" s="43"/>
      <c r="G808" s="43"/>
    </row>
    <row r="809" spans="1:7">
      <c r="A809" s="43"/>
      <c r="B809" s="43"/>
      <c r="C809" s="43"/>
      <c r="D809" s="43"/>
      <c r="E809" s="43"/>
      <c r="F809" s="43"/>
      <c r="G809" s="43"/>
    </row>
    <row r="810" spans="1:7">
      <c r="A810" s="43"/>
      <c r="B810" s="43"/>
      <c r="C810" s="43"/>
      <c r="D810" s="43"/>
      <c r="E810" s="43"/>
      <c r="F810" s="43"/>
      <c r="G810" s="43"/>
    </row>
    <row r="811" spans="1:7">
      <c r="A811" s="43"/>
      <c r="B811" s="43"/>
      <c r="C811" s="43"/>
      <c r="D811" s="43"/>
      <c r="E811" s="43"/>
      <c r="F811" s="43"/>
      <c r="G811" s="43"/>
    </row>
    <row r="812" spans="1:7">
      <c r="A812" s="43"/>
      <c r="B812" s="43"/>
      <c r="C812" s="43"/>
      <c r="D812" s="43"/>
      <c r="E812" s="43"/>
      <c r="F812" s="43"/>
      <c r="G812" s="43"/>
    </row>
    <row r="813" spans="1:7">
      <c r="A813" s="43"/>
      <c r="B813" s="43"/>
      <c r="C813" s="43"/>
      <c r="D813" s="43"/>
      <c r="E813" s="43"/>
      <c r="F813" s="43"/>
      <c r="G813" s="43"/>
    </row>
    <row r="814" spans="1:7">
      <c r="A814" s="43"/>
      <c r="B814" s="43"/>
      <c r="C814" s="43"/>
      <c r="D814" s="43"/>
      <c r="E814" s="43"/>
      <c r="F814" s="43"/>
      <c r="G814" s="43"/>
    </row>
    <row r="815" spans="1:7">
      <c r="A815" s="43"/>
      <c r="B815" s="43"/>
      <c r="C815" s="43"/>
      <c r="D815" s="43"/>
      <c r="E815" s="43"/>
      <c r="F815" s="43"/>
      <c r="G815" s="43"/>
    </row>
    <row r="816" spans="1:7">
      <c r="A816" s="43"/>
      <c r="B816" s="43"/>
      <c r="C816" s="43"/>
      <c r="D816" s="43"/>
      <c r="E816" s="43"/>
      <c r="F816" s="43"/>
      <c r="G816" s="43"/>
    </row>
    <row r="817" spans="1:7">
      <c r="A817" s="43"/>
      <c r="B817" s="43"/>
      <c r="C817" s="43"/>
      <c r="D817" s="43"/>
      <c r="E817" s="43"/>
      <c r="F817" s="43"/>
      <c r="G817" s="43"/>
    </row>
    <row r="818" spans="1:7">
      <c r="A818" s="43"/>
      <c r="B818" s="43"/>
      <c r="C818" s="43"/>
      <c r="D818" s="43"/>
      <c r="E818" s="43"/>
      <c r="F818" s="43"/>
      <c r="G818" s="43"/>
    </row>
    <row r="819" spans="1:7">
      <c r="A819" s="43"/>
      <c r="B819" s="43"/>
      <c r="C819" s="43"/>
      <c r="D819" s="43"/>
      <c r="E819" s="43"/>
      <c r="F819" s="43"/>
      <c r="G819" s="43"/>
    </row>
    <row r="820" spans="1:7">
      <c r="A820" s="43"/>
      <c r="B820" s="43"/>
      <c r="C820" s="43"/>
      <c r="D820" s="43"/>
      <c r="E820" s="43"/>
      <c r="F820" s="43"/>
      <c r="G820" s="43"/>
    </row>
    <row r="821" spans="1:7">
      <c r="A821" s="43"/>
      <c r="B821" s="43"/>
      <c r="C821" s="43"/>
      <c r="D821" s="43"/>
      <c r="E821" s="43"/>
      <c r="F821" s="43"/>
      <c r="G821" s="43"/>
    </row>
    <row r="822" spans="1:7">
      <c r="A822" s="43"/>
      <c r="B822" s="43"/>
      <c r="C822" s="43"/>
      <c r="D822" s="43"/>
      <c r="E822" s="43"/>
      <c r="F822" s="43"/>
      <c r="G822" s="43"/>
    </row>
    <row r="823" spans="1:7">
      <c r="A823" s="43"/>
      <c r="B823" s="43"/>
      <c r="C823" s="43"/>
      <c r="D823" s="43"/>
      <c r="E823" s="43"/>
      <c r="F823" s="43"/>
      <c r="G823" s="43"/>
    </row>
    <row r="824" spans="1:7">
      <c r="A824" s="43"/>
      <c r="B824" s="43"/>
      <c r="C824" s="43"/>
      <c r="D824" s="43"/>
      <c r="E824" s="43"/>
      <c r="F824" s="43"/>
      <c r="G824" s="43"/>
    </row>
    <row r="825" spans="1:7">
      <c r="A825" s="43"/>
      <c r="B825" s="43"/>
      <c r="C825" s="43"/>
      <c r="D825" s="43"/>
      <c r="E825" s="43"/>
      <c r="F825" s="43"/>
      <c r="G825" s="43"/>
    </row>
    <row r="826" spans="1:7">
      <c r="A826" s="43"/>
      <c r="B826" s="43"/>
      <c r="C826" s="43"/>
      <c r="D826" s="43"/>
      <c r="E826" s="43"/>
      <c r="F826" s="43"/>
      <c r="G826" s="43"/>
    </row>
    <row r="827" spans="1:7">
      <c r="A827" s="43"/>
      <c r="B827" s="43"/>
      <c r="C827" s="43"/>
      <c r="D827" s="43"/>
      <c r="E827" s="43"/>
      <c r="F827" s="43"/>
      <c r="G827" s="43"/>
    </row>
    <row r="828" spans="1:7">
      <c r="A828" s="43"/>
      <c r="B828" s="43"/>
      <c r="C828" s="43"/>
      <c r="D828" s="43"/>
      <c r="E828" s="43"/>
      <c r="F828" s="43"/>
      <c r="G828" s="43"/>
    </row>
    <row r="829" spans="1:7">
      <c r="A829" s="43"/>
      <c r="B829" s="43"/>
      <c r="C829" s="43"/>
      <c r="D829" s="43"/>
      <c r="E829" s="43"/>
      <c r="F829" s="43"/>
      <c r="G829" s="43"/>
    </row>
    <row r="830" spans="1:7">
      <c r="A830" s="43"/>
      <c r="B830" s="43"/>
      <c r="C830" s="43"/>
      <c r="D830" s="43"/>
      <c r="E830" s="43"/>
      <c r="F830" s="43"/>
      <c r="G830" s="43"/>
    </row>
    <row r="831" spans="1:7">
      <c r="A831" s="43"/>
      <c r="B831" s="43"/>
      <c r="C831" s="43"/>
      <c r="D831" s="43"/>
      <c r="E831" s="43"/>
      <c r="F831" s="43"/>
      <c r="G831" s="43"/>
    </row>
    <row r="832" spans="1:7">
      <c r="A832" s="43"/>
      <c r="B832" s="43"/>
      <c r="C832" s="43"/>
      <c r="D832" s="43"/>
      <c r="E832" s="43"/>
      <c r="F832" s="43"/>
      <c r="G832" s="43"/>
    </row>
    <row r="833" spans="1:7">
      <c r="A833" s="43"/>
      <c r="B833" s="43"/>
      <c r="C833" s="43"/>
      <c r="D833" s="43"/>
      <c r="E833" s="43"/>
      <c r="F833" s="43"/>
      <c r="G833" s="43"/>
    </row>
    <row r="834" spans="1:7">
      <c r="A834" s="43"/>
      <c r="B834" s="43"/>
      <c r="C834" s="43"/>
      <c r="D834" s="43"/>
      <c r="E834" s="43"/>
      <c r="F834" s="43"/>
      <c r="G834" s="43"/>
    </row>
    <row r="835" spans="1:7">
      <c r="A835" s="43"/>
      <c r="B835" s="43"/>
      <c r="C835" s="43"/>
      <c r="D835" s="43"/>
      <c r="E835" s="43"/>
      <c r="F835" s="43"/>
      <c r="G835" s="43"/>
    </row>
    <row r="836" spans="1:7">
      <c r="A836" s="43"/>
      <c r="B836" s="43"/>
      <c r="C836" s="43"/>
      <c r="D836" s="43"/>
      <c r="E836" s="43"/>
      <c r="F836" s="43"/>
      <c r="G836" s="43"/>
    </row>
    <row r="837" spans="1:7">
      <c r="A837" s="43"/>
      <c r="B837" s="43"/>
      <c r="C837" s="43"/>
      <c r="D837" s="43"/>
      <c r="E837" s="43"/>
      <c r="F837" s="43"/>
      <c r="G837" s="43"/>
    </row>
    <row r="838" spans="1:7">
      <c r="A838" s="43"/>
      <c r="B838" s="43"/>
      <c r="C838" s="43"/>
      <c r="D838" s="43"/>
      <c r="E838" s="43"/>
      <c r="F838" s="43"/>
      <c r="G838" s="43"/>
    </row>
    <row r="839" spans="1:7">
      <c r="A839" s="43"/>
      <c r="B839" s="43"/>
      <c r="C839" s="43"/>
      <c r="D839" s="43"/>
      <c r="E839" s="43"/>
      <c r="F839" s="43"/>
      <c r="G839" s="43"/>
    </row>
    <row r="840" spans="1:7">
      <c r="A840" s="43"/>
      <c r="B840" s="43"/>
      <c r="C840" s="43"/>
      <c r="D840" s="43"/>
      <c r="E840" s="43"/>
      <c r="F840" s="43"/>
      <c r="G840" s="43"/>
    </row>
    <row r="841" spans="1:7">
      <c r="A841" s="43"/>
      <c r="B841" s="43"/>
      <c r="C841" s="43"/>
      <c r="D841" s="43"/>
      <c r="E841" s="43"/>
      <c r="F841" s="43"/>
      <c r="G841" s="43"/>
    </row>
    <row r="842" spans="1:7">
      <c r="A842" s="43"/>
      <c r="B842" s="43"/>
      <c r="C842" s="43"/>
      <c r="D842" s="43"/>
      <c r="E842" s="43"/>
      <c r="F842" s="43"/>
      <c r="G842" s="43"/>
    </row>
    <row r="843" spans="1:7">
      <c r="A843" s="43"/>
      <c r="B843" s="43"/>
      <c r="C843" s="43"/>
      <c r="D843" s="43"/>
      <c r="E843" s="43"/>
      <c r="F843" s="43"/>
      <c r="G843" s="43"/>
    </row>
    <row r="844" spans="1:7">
      <c r="A844" s="43"/>
      <c r="B844" s="43"/>
      <c r="C844" s="43"/>
      <c r="D844" s="43"/>
      <c r="E844" s="43"/>
      <c r="F844" s="43"/>
      <c r="G844" s="43"/>
    </row>
    <row r="845" spans="1:7">
      <c r="A845" s="43"/>
      <c r="B845" s="43"/>
      <c r="C845" s="43"/>
      <c r="D845" s="43"/>
      <c r="E845" s="43"/>
      <c r="F845" s="43"/>
      <c r="G845" s="43"/>
    </row>
    <row r="846" spans="1:7">
      <c r="A846" s="43"/>
      <c r="B846" s="43"/>
      <c r="C846" s="43"/>
      <c r="D846" s="43"/>
      <c r="E846" s="43"/>
      <c r="F846" s="43"/>
      <c r="G846" s="43"/>
    </row>
    <row r="847" spans="1:7">
      <c r="A847" s="43"/>
      <c r="B847" s="43"/>
      <c r="C847" s="43"/>
      <c r="D847" s="43"/>
      <c r="E847" s="43"/>
      <c r="F847" s="43"/>
      <c r="G847" s="43"/>
    </row>
    <row r="848" spans="1:7">
      <c r="A848" s="43"/>
      <c r="B848" s="43"/>
      <c r="C848" s="43"/>
      <c r="D848" s="43"/>
      <c r="E848" s="43"/>
      <c r="F848" s="43"/>
      <c r="G848" s="43"/>
    </row>
    <row r="849" spans="1:7">
      <c r="A849" s="43"/>
      <c r="B849" s="43"/>
      <c r="C849" s="43"/>
      <c r="D849" s="43"/>
      <c r="E849" s="43"/>
      <c r="F849" s="43"/>
      <c r="G849" s="43"/>
    </row>
    <row r="850" spans="1:7">
      <c r="A850" s="43"/>
      <c r="B850" s="43"/>
      <c r="C850" s="43"/>
      <c r="D850" s="43"/>
      <c r="E850" s="43"/>
      <c r="F850" s="43"/>
      <c r="G850" s="43"/>
    </row>
    <row r="851" spans="1:7">
      <c r="A851" s="43"/>
      <c r="B851" s="43"/>
      <c r="C851" s="43"/>
      <c r="D851" s="43"/>
      <c r="E851" s="43"/>
      <c r="F851" s="43"/>
      <c r="G851" s="43"/>
    </row>
    <row r="852" spans="1:7">
      <c r="A852" s="43"/>
      <c r="B852" s="43"/>
      <c r="C852" s="43"/>
      <c r="D852" s="43"/>
      <c r="E852" s="43"/>
      <c r="F852" s="43"/>
      <c r="G852" s="43"/>
    </row>
    <row r="853" spans="1:7">
      <c r="A853" s="43"/>
      <c r="B853" s="43"/>
      <c r="C853" s="43"/>
      <c r="D853" s="43"/>
      <c r="E853" s="43"/>
      <c r="F853" s="43"/>
      <c r="G853" s="43"/>
    </row>
    <row r="854" spans="1:7">
      <c r="A854" s="43"/>
      <c r="B854" s="43"/>
      <c r="C854" s="43"/>
      <c r="D854" s="43"/>
      <c r="E854" s="43"/>
      <c r="F854" s="43"/>
      <c r="G854" s="43"/>
    </row>
    <row r="855" spans="1:7">
      <c r="A855" s="43"/>
      <c r="B855" s="43"/>
      <c r="C855" s="43"/>
      <c r="D855" s="43"/>
      <c r="E855" s="43"/>
      <c r="F855" s="43"/>
      <c r="G855" s="43"/>
    </row>
    <row r="856" spans="1:7">
      <c r="A856" s="43"/>
      <c r="B856" s="43"/>
      <c r="C856" s="43"/>
      <c r="D856" s="43"/>
      <c r="E856" s="43"/>
      <c r="F856" s="43"/>
      <c r="G856" s="43"/>
    </row>
    <row r="857" spans="1:7">
      <c r="A857" s="43"/>
      <c r="B857" s="43"/>
      <c r="C857" s="43"/>
      <c r="D857" s="43"/>
      <c r="E857" s="43"/>
      <c r="F857" s="43"/>
      <c r="G857" s="43"/>
    </row>
    <row r="858" spans="1:7">
      <c r="A858" s="43"/>
      <c r="B858" s="43"/>
      <c r="C858" s="43"/>
      <c r="D858" s="43"/>
      <c r="E858" s="43"/>
      <c r="F858" s="43"/>
      <c r="G858" s="43"/>
    </row>
    <row r="859" spans="1:7">
      <c r="A859" s="43"/>
      <c r="B859" s="43"/>
      <c r="C859" s="43"/>
      <c r="D859" s="43"/>
      <c r="E859" s="43"/>
      <c r="F859" s="43"/>
      <c r="G859" s="43"/>
    </row>
    <row r="860" spans="1:7">
      <c r="A860" s="43"/>
      <c r="B860" s="43"/>
      <c r="C860" s="43"/>
      <c r="D860" s="43"/>
      <c r="E860" s="43"/>
      <c r="F860" s="43"/>
      <c r="G860" s="43"/>
    </row>
    <row r="861" spans="1:7">
      <c r="A861" s="43"/>
      <c r="B861" s="43"/>
      <c r="C861" s="43"/>
      <c r="D861" s="43"/>
      <c r="E861" s="43"/>
      <c r="F861" s="43"/>
      <c r="G861" s="43"/>
    </row>
    <row r="862" spans="1:7">
      <c r="A862" s="43"/>
      <c r="B862" s="43"/>
      <c r="C862" s="43"/>
      <c r="D862" s="43"/>
      <c r="E862" s="43"/>
      <c r="F862" s="43"/>
      <c r="G862" s="43"/>
    </row>
    <row r="863" spans="1:7">
      <c r="A863" s="43"/>
      <c r="B863" s="43"/>
      <c r="C863" s="43"/>
      <c r="D863" s="43"/>
      <c r="E863" s="43"/>
      <c r="F863" s="43"/>
      <c r="G863" s="43"/>
    </row>
    <row r="864" spans="1:7">
      <c r="A864" s="43"/>
      <c r="B864" s="43"/>
      <c r="C864" s="43"/>
      <c r="D864" s="43"/>
      <c r="E864" s="43"/>
      <c r="F864" s="43"/>
      <c r="G864" s="43"/>
    </row>
    <row r="865" spans="1:7">
      <c r="A865" s="43"/>
      <c r="B865" s="43"/>
      <c r="C865" s="43"/>
      <c r="D865" s="43"/>
      <c r="E865" s="43"/>
      <c r="F865" s="43"/>
      <c r="G865" s="43"/>
    </row>
    <row r="866" spans="1:7">
      <c r="A866" s="43"/>
      <c r="B866" s="43"/>
      <c r="C866" s="43"/>
      <c r="D866" s="43"/>
      <c r="E866" s="43"/>
      <c r="F866" s="43"/>
      <c r="G866" s="43"/>
    </row>
    <row r="867" spans="1:7">
      <c r="A867" s="43"/>
      <c r="B867" s="43"/>
      <c r="C867" s="43"/>
      <c r="D867" s="43"/>
      <c r="E867" s="43"/>
      <c r="F867" s="43"/>
      <c r="G867" s="43"/>
    </row>
    <row r="868" spans="1:7">
      <c r="A868" s="43"/>
      <c r="B868" s="43"/>
      <c r="C868" s="43"/>
      <c r="D868" s="43"/>
      <c r="E868" s="43"/>
      <c r="F868" s="43"/>
      <c r="G868" s="43"/>
    </row>
    <row r="869" spans="1:7">
      <c r="A869" s="43"/>
      <c r="B869" s="43"/>
      <c r="C869" s="43"/>
      <c r="D869" s="43"/>
      <c r="E869" s="43"/>
      <c r="F869" s="43"/>
      <c r="G869" s="43"/>
    </row>
    <row r="870" spans="1:7">
      <c r="A870" s="43"/>
      <c r="B870" s="43"/>
      <c r="C870" s="43"/>
      <c r="D870" s="43"/>
      <c r="E870" s="43"/>
      <c r="F870" s="43"/>
      <c r="G870" s="43"/>
    </row>
    <row r="871" spans="1:7">
      <c r="A871" s="43"/>
      <c r="B871" s="43"/>
      <c r="C871" s="43"/>
      <c r="D871" s="43"/>
      <c r="E871" s="43"/>
      <c r="F871" s="43"/>
      <c r="G871" s="43"/>
    </row>
    <row r="872" spans="1:7">
      <c r="A872" s="43"/>
      <c r="B872" s="43"/>
      <c r="C872" s="43"/>
      <c r="D872" s="43"/>
      <c r="E872" s="43"/>
      <c r="F872" s="43"/>
      <c r="G872" s="43"/>
    </row>
    <row r="873" spans="1:7">
      <c r="A873" s="43"/>
      <c r="B873" s="43"/>
      <c r="C873" s="43"/>
      <c r="D873" s="43"/>
      <c r="E873" s="43"/>
      <c r="F873" s="43"/>
      <c r="G873" s="43"/>
    </row>
    <row r="874" spans="1:7">
      <c r="A874" s="43"/>
      <c r="B874" s="43"/>
      <c r="C874" s="43"/>
      <c r="D874" s="43"/>
      <c r="E874" s="43"/>
      <c r="F874" s="43"/>
      <c r="G874" s="43"/>
    </row>
    <row r="875" spans="1:7">
      <c r="A875" s="43"/>
      <c r="B875" s="43"/>
      <c r="C875" s="43"/>
      <c r="D875" s="43"/>
      <c r="E875" s="43"/>
      <c r="F875" s="43"/>
      <c r="G875" s="43"/>
    </row>
    <row r="876" spans="1:7">
      <c r="A876" s="43"/>
      <c r="B876" s="43"/>
      <c r="C876" s="43"/>
      <c r="D876" s="43"/>
      <c r="E876" s="43"/>
      <c r="F876" s="43"/>
      <c r="G876" s="43"/>
    </row>
    <row r="877" spans="1:7">
      <c r="A877" s="43"/>
      <c r="B877" s="43"/>
      <c r="C877" s="43"/>
      <c r="D877" s="43"/>
      <c r="E877" s="43"/>
      <c r="F877" s="43"/>
      <c r="G877" s="43"/>
    </row>
    <row r="878" spans="1:7">
      <c r="A878" s="43"/>
      <c r="B878" s="43"/>
      <c r="C878" s="43"/>
      <c r="D878" s="43"/>
      <c r="E878" s="43"/>
      <c r="F878" s="43"/>
      <c r="G878" s="43"/>
    </row>
    <row r="879" spans="1:7">
      <c r="A879" s="43"/>
      <c r="B879" s="43"/>
      <c r="C879" s="43"/>
      <c r="D879" s="43"/>
      <c r="E879" s="43"/>
      <c r="F879" s="43"/>
      <c r="G879" s="43"/>
    </row>
    <row r="880" spans="1:7">
      <c r="A880" s="43"/>
      <c r="B880" s="43"/>
      <c r="C880" s="43"/>
      <c r="D880" s="43"/>
      <c r="E880" s="43"/>
      <c r="F880" s="43"/>
      <c r="G880" s="43"/>
    </row>
    <row r="881" spans="1:7">
      <c r="A881" s="43"/>
      <c r="B881" s="43"/>
      <c r="C881" s="43"/>
      <c r="D881" s="43"/>
      <c r="E881" s="43"/>
      <c r="F881" s="43"/>
      <c r="G881" s="43"/>
    </row>
    <row r="882" spans="1:7">
      <c r="A882" s="43"/>
      <c r="B882" s="43"/>
      <c r="C882" s="43"/>
      <c r="D882" s="43"/>
      <c r="E882" s="43"/>
      <c r="F882" s="43"/>
      <c r="G882" s="43"/>
    </row>
    <row r="883" spans="1:7">
      <c r="A883" s="43"/>
      <c r="B883" s="43"/>
      <c r="C883" s="43"/>
      <c r="D883" s="43"/>
      <c r="E883" s="43"/>
      <c r="F883" s="43"/>
      <c r="G883" s="43"/>
    </row>
    <row r="884" spans="1:7">
      <c r="A884" s="43"/>
      <c r="B884" s="43"/>
      <c r="C884" s="43"/>
      <c r="D884" s="43"/>
      <c r="E884" s="43"/>
      <c r="F884" s="43"/>
      <c r="G884" s="43"/>
    </row>
    <row r="885" spans="1:7">
      <c r="A885" s="43"/>
      <c r="B885" s="43"/>
      <c r="C885" s="43"/>
      <c r="D885" s="43"/>
      <c r="E885" s="43"/>
      <c r="F885" s="43"/>
      <c r="G885" s="43"/>
    </row>
    <row r="886" spans="1:7">
      <c r="A886" s="43"/>
      <c r="B886" s="43"/>
      <c r="C886" s="43"/>
      <c r="D886" s="43"/>
      <c r="E886" s="43"/>
      <c r="F886" s="49"/>
      <c r="G886" s="43"/>
    </row>
    <row r="887" spans="1:7">
      <c r="A887" s="43"/>
      <c r="B887" s="43"/>
      <c r="C887" s="43"/>
      <c r="D887" s="43"/>
      <c r="E887" s="43"/>
      <c r="F887" s="49"/>
      <c r="G887" s="43"/>
    </row>
    <row r="888" spans="1:7">
      <c r="A888" s="43"/>
      <c r="B888" s="43"/>
      <c r="C888" s="43"/>
      <c r="D888" s="43"/>
      <c r="E888" s="49"/>
      <c r="F888" s="49"/>
      <c r="G888" s="49"/>
    </row>
    <row r="889" spans="1:7">
      <c r="A889" s="43"/>
      <c r="B889" s="43"/>
      <c r="C889" s="43"/>
      <c r="D889" s="43"/>
      <c r="E889" s="49"/>
      <c r="F889" s="49"/>
      <c r="G889" s="49"/>
    </row>
    <row r="890" spans="1:7">
      <c r="A890" s="43"/>
      <c r="B890" s="43"/>
      <c r="C890" s="43"/>
      <c r="D890" s="43"/>
      <c r="E890" s="49"/>
      <c r="F890" s="49"/>
      <c r="G890" s="49"/>
    </row>
    <row r="891" spans="1:7">
      <c r="A891" s="43"/>
      <c r="B891" s="43"/>
      <c r="C891" s="43"/>
      <c r="D891" s="43"/>
      <c r="E891" s="49"/>
      <c r="F891" s="49"/>
      <c r="G891" s="49"/>
    </row>
    <row r="892" spans="1:7">
      <c r="A892" s="43"/>
      <c r="B892" s="43"/>
      <c r="C892" s="43"/>
      <c r="D892" s="43"/>
      <c r="E892" s="49"/>
      <c r="F892" s="49"/>
      <c r="G892" s="49"/>
    </row>
    <row r="893" spans="1:7">
      <c r="A893" s="43"/>
      <c r="B893" s="49"/>
      <c r="C893" s="49"/>
      <c r="D893" s="43"/>
      <c r="E893" s="49"/>
      <c r="F893" s="49"/>
      <c r="G893" s="49"/>
    </row>
    <row r="894" spans="1:7">
      <c r="A894" s="43"/>
      <c r="B894" s="49"/>
      <c r="C894" s="49"/>
      <c r="D894" s="43"/>
      <c r="E894" s="49"/>
      <c r="F894" s="49"/>
      <c r="G894" s="49"/>
    </row>
    <row r="895" spans="1:7">
      <c r="A895" s="43"/>
      <c r="B895" s="49"/>
      <c r="C895" s="49"/>
      <c r="D895" s="43"/>
      <c r="E895" s="49"/>
      <c r="F895" s="49"/>
      <c r="G895" s="49"/>
    </row>
    <row r="896" spans="1:7">
      <c r="A896" s="43"/>
      <c r="B896" s="49"/>
      <c r="C896" s="49"/>
      <c r="D896" s="43"/>
      <c r="E896" s="49"/>
      <c r="F896" s="49"/>
      <c r="G896" s="49"/>
    </row>
    <row r="897" spans="1:7">
      <c r="A897" s="43"/>
      <c r="B897" s="49"/>
      <c r="C897" s="49"/>
      <c r="D897" s="43"/>
      <c r="E897" s="49"/>
      <c r="F897" s="49"/>
      <c r="G897" s="49"/>
    </row>
    <row r="898" spans="1:7">
      <c r="A898" s="43"/>
      <c r="B898" s="49"/>
      <c r="C898" s="49"/>
      <c r="D898" s="43"/>
      <c r="E898" s="49"/>
      <c r="F898" s="49"/>
      <c r="G898" s="49"/>
    </row>
    <row r="899" spans="1:7">
      <c r="A899" s="43"/>
      <c r="B899" s="49"/>
      <c r="C899" s="49"/>
      <c r="D899" s="43"/>
      <c r="E899" s="49"/>
      <c r="F899" s="49"/>
      <c r="G899" s="49"/>
    </row>
    <row r="900" spans="1:7">
      <c r="A900" s="43"/>
      <c r="B900" s="49"/>
      <c r="C900" s="49"/>
      <c r="D900" s="43"/>
      <c r="E900" s="49"/>
      <c r="F900" s="49"/>
      <c r="G900" s="49"/>
    </row>
    <row r="901" spans="1:7">
      <c r="A901" s="43"/>
      <c r="B901" s="49"/>
      <c r="C901" s="49"/>
      <c r="D901" s="43"/>
      <c r="E901" s="49"/>
      <c r="F901" s="49"/>
      <c r="G901" s="49"/>
    </row>
    <row r="902" spans="1:7">
      <c r="A902" s="43"/>
      <c r="D902" s="43"/>
      <c r="E902" s="49"/>
      <c r="F902" s="49"/>
      <c r="G902" s="49"/>
    </row>
    <row r="903" spans="1:7">
      <c r="A903" s="43"/>
      <c r="D903" s="43"/>
      <c r="E903" s="49"/>
      <c r="F903" s="49"/>
      <c r="G903" s="49"/>
    </row>
    <row r="904" spans="1:7">
      <c r="A904" s="43"/>
      <c r="D904" s="43"/>
      <c r="E904" s="49"/>
      <c r="F904" s="49"/>
      <c r="G904" s="49"/>
    </row>
    <row r="905" spans="1:7">
      <c r="A905" s="43"/>
      <c r="D905" s="43"/>
      <c r="E905" s="49"/>
      <c r="F905" s="49"/>
      <c r="G905" s="49"/>
    </row>
    <row r="906" spans="1:7">
      <c r="A906" s="43"/>
      <c r="D906" s="43"/>
      <c r="E906" s="49"/>
      <c r="F906" s="49"/>
      <c r="G906" s="49"/>
    </row>
    <row r="907" spans="1:7">
      <c r="A907" s="43"/>
      <c r="D907" s="43"/>
      <c r="E907" s="49"/>
      <c r="F907" s="49"/>
      <c r="G907" s="49"/>
    </row>
    <row r="908" spans="1:7">
      <c r="A908" s="43"/>
      <c r="D908" s="43"/>
      <c r="E908" s="49"/>
      <c r="F908" s="49"/>
      <c r="G908" s="49"/>
    </row>
    <row r="909" spans="1:7">
      <c r="A909" s="43"/>
      <c r="D909" s="43"/>
      <c r="E909" s="49"/>
      <c r="F909" s="49"/>
      <c r="G909" s="49"/>
    </row>
    <row r="910" spans="1:7">
      <c r="A910" s="43"/>
      <c r="D910" s="43"/>
      <c r="E910" s="49"/>
      <c r="F910" s="49"/>
      <c r="G910" s="49"/>
    </row>
    <row r="911" spans="1:7">
      <c r="A911" s="43"/>
      <c r="D911" s="43"/>
      <c r="E911" s="49"/>
      <c r="F911" s="49"/>
      <c r="G911" s="49"/>
    </row>
    <row r="912" spans="1:7">
      <c r="A912" s="43"/>
      <c r="D912" s="43"/>
      <c r="E912" s="49"/>
      <c r="F912" s="49"/>
      <c r="G912" s="49"/>
    </row>
    <row r="913" spans="1:7">
      <c r="A913" s="43"/>
      <c r="D913" s="43"/>
      <c r="E913" s="49"/>
      <c r="F913" s="49"/>
      <c r="G913" s="49"/>
    </row>
    <row r="914" spans="1:7">
      <c r="A914" s="43"/>
      <c r="D914" s="43"/>
      <c r="E914" s="49"/>
      <c r="F914" s="49"/>
      <c r="G914" s="49"/>
    </row>
    <row r="915" spans="1:7">
      <c r="A915" s="43"/>
      <c r="D915" s="43"/>
      <c r="E915" s="49"/>
      <c r="F915" s="49"/>
      <c r="G915" s="49"/>
    </row>
    <row r="916" spans="1:7">
      <c r="A916" s="43"/>
      <c r="D916" s="43"/>
      <c r="E916" s="49"/>
      <c r="G916" s="49"/>
    </row>
    <row r="917" spans="1:7">
      <c r="A917" s="43"/>
      <c r="D917" s="43"/>
      <c r="E917" s="49"/>
      <c r="G917" s="49"/>
    </row>
    <row r="918" spans="1:7">
      <c r="A918" s="43"/>
      <c r="D918" s="43"/>
    </row>
    <row r="919" spans="1:7">
      <c r="A919" s="43"/>
      <c r="D919" s="43"/>
    </row>
    <row r="920" spans="1:7">
      <c r="A920" s="43"/>
      <c r="D920" s="43"/>
    </row>
    <row r="921" spans="1:7">
      <c r="A921" s="43"/>
      <c r="D921" s="43"/>
    </row>
    <row r="922" spans="1:7">
      <c r="A922" s="43"/>
      <c r="D922" s="43"/>
    </row>
    <row r="923" spans="1:7">
      <c r="A923" s="43"/>
      <c r="D923" s="43"/>
    </row>
    <row r="924" spans="1:7">
      <c r="A924" s="43"/>
      <c r="D924" s="43"/>
    </row>
    <row r="925" spans="1:7">
      <c r="A925" s="43"/>
      <c r="D925" s="43"/>
    </row>
    <row r="926" spans="1:7">
      <c r="A926" s="43"/>
      <c r="D926" s="43"/>
    </row>
    <row r="927" spans="1:7">
      <c r="A927" s="43"/>
      <c r="D927" s="43"/>
    </row>
    <row r="928" spans="1:7">
      <c r="A928" s="43"/>
      <c r="D928" s="43"/>
    </row>
    <row r="929" spans="1:4">
      <c r="A929" s="43"/>
      <c r="D929" s="43"/>
    </row>
    <row r="930" spans="1:4">
      <c r="A930" s="43"/>
      <c r="D930" s="43"/>
    </row>
    <row r="931" spans="1:4">
      <c r="A931" s="43"/>
      <c r="D931" s="43"/>
    </row>
    <row r="932" spans="1:4">
      <c r="A932" s="43"/>
      <c r="D932" s="49"/>
    </row>
    <row r="933" spans="1:4">
      <c r="A933" s="43"/>
      <c r="D933" s="49"/>
    </row>
    <row r="934" spans="1:4">
      <c r="A934" s="43"/>
      <c r="D934" s="49"/>
    </row>
    <row r="935" spans="1:4">
      <c r="A935" s="49"/>
      <c r="D935" s="49"/>
    </row>
    <row r="936" spans="1:4">
      <c r="A936" s="49"/>
    </row>
    <row r="937" spans="1:4">
      <c r="A937" s="49"/>
    </row>
    <row r="938" spans="1:4">
      <c r="A938" s="49"/>
    </row>
  </sheetData>
  <mergeCells count="12">
    <mergeCell ref="AK1:AV1"/>
    <mergeCell ref="F3:G3"/>
    <mergeCell ref="F13:G13"/>
    <mergeCell ref="B1:C1"/>
    <mergeCell ref="E20:E31"/>
    <mergeCell ref="M1:X1"/>
    <mergeCell ref="Y1:AJ1"/>
    <mergeCell ref="F1:L1"/>
    <mergeCell ref="F12:G12"/>
    <mergeCell ref="E15:E19"/>
    <mergeCell ref="F8:G8"/>
    <mergeCell ref="F9:G9"/>
  </mergeCells>
  <pageMargins left="0.511811024" right="0.511811024" top="0.78740157499999996" bottom="0.78740157499999996" header="0" footer="0"/>
  <pageSetup orientation="landscape"/>
  <ignoredErrors>
    <ignoredError sqref="C21" formulaRange="1"/>
  </ignoredError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AC1007"/>
  <sheetViews>
    <sheetView workbookViewId="0"/>
  </sheetViews>
  <sheetFormatPr defaultColWidth="14.42578125" defaultRowHeight="15" customHeight="1"/>
  <cols>
    <col min="1" max="1" width="2.85546875" customWidth="1"/>
    <col min="2" max="2" width="26.140625" customWidth="1"/>
    <col min="6" max="6" width="21.5703125" customWidth="1"/>
  </cols>
  <sheetData>
    <row r="1" spans="1:29" ht="15" customHeight="1">
      <c r="A1" s="43"/>
      <c r="B1" s="708" t="s">
        <v>2108</v>
      </c>
      <c r="C1" s="638"/>
      <c r="D1" s="43"/>
      <c r="E1" s="43"/>
      <c r="F1" s="709" t="s">
        <v>28</v>
      </c>
      <c r="G1" s="635"/>
      <c r="H1" s="635"/>
      <c r="I1" s="635"/>
      <c r="J1" s="635"/>
      <c r="K1" s="635"/>
      <c r="L1" s="635"/>
      <c r="M1" s="635"/>
      <c r="N1" s="635"/>
      <c r="O1" s="635"/>
      <c r="P1" s="635"/>
      <c r="Q1" s="636"/>
      <c r="R1" s="49"/>
      <c r="S1" s="49"/>
      <c r="T1" s="49"/>
      <c r="U1" s="49"/>
      <c r="V1" s="49"/>
      <c r="W1" s="49"/>
      <c r="X1" s="49"/>
      <c r="Y1" s="49"/>
      <c r="Z1" s="49"/>
      <c r="AA1" s="49"/>
      <c r="AB1" s="49"/>
      <c r="AC1" s="49"/>
    </row>
    <row r="2" spans="1:29">
      <c r="A2" s="43"/>
      <c r="B2" s="43"/>
      <c r="C2" s="43"/>
      <c r="D2" s="43"/>
      <c r="E2" s="43"/>
      <c r="F2" s="43"/>
      <c r="G2" s="43"/>
      <c r="H2" s="45" t="s">
        <v>39</v>
      </c>
      <c r="I2" s="45" t="s">
        <v>40</v>
      </c>
      <c r="J2" s="45" t="s">
        <v>41</v>
      </c>
      <c r="K2" s="45" t="s">
        <v>42</v>
      </c>
      <c r="L2" s="45" t="s">
        <v>43</v>
      </c>
      <c r="M2" s="45" t="s">
        <v>44</v>
      </c>
      <c r="N2" s="45" t="s">
        <v>33</v>
      </c>
      <c r="O2" s="45" t="s">
        <v>34</v>
      </c>
      <c r="P2" s="46" t="s">
        <v>35</v>
      </c>
      <c r="Q2" s="47" t="s">
        <v>36</v>
      </c>
      <c r="R2" s="49"/>
      <c r="S2" s="49"/>
      <c r="T2" s="49"/>
      <c r="U2" s="49"/>
      <c r="V2" s="49"/>
      <c r="W2" s="49"/>
      <c r="X2" s="49"/>
      <c r="Y2" s="49"/>
      <c r="Z2" s="49"/>
      <c r="AA2" s="49"/>
      <c r="AB2" s="49"/>
      <c r="AC2" s="49"/>
    </row>
    <row r="3" spans="1:29">
      <c r="A3" s="43"/>
      <c r="B3" s="358"/>
      <c r="C3" s="359"/>
      <c r="D3" s="43"/>
      <c r="E3" s="714" t="s">
        <v>2138</v>
      </c>
      <c r="F3" s="703" t="s">
        <v>2109</v>
      </c>
      <c r="G3" s="636"/>
      <c r="H3" s="43"/>
      <c r="I3" s="43"/>
      <c r="J3" s="43"/>
      <c r="K3" s="43"/>
      <c r="L3" s="43"/>
      <c r="M3" s="43"/>
      <c r="N3" s="43"/>
      <c r="O3" s="43"/>
      <c r="P3" s="43"/>
      <c r="Q3" s="43"/>
      <c r="R3" s="49"/>
      <c r="S3" s="49"/>
      <c r="T3" s="49"/>
      <c r="U3" s="49"/>
      <c r="V3" s="49"/>
      <c r="W3" s="49"/>
      <c r="X3" s="49"/>
      <c r="Y3" s="49"/>
      <c r="Z3" s="49"/>
      <c r="AA3" s="49"/>
      <c r="AB3" s="49"/>
      <c r="AC3" s="49"/>
    </row>
    <row r="4" spans="1:29">
      <c r="A4" s="43"/>
      <c r="B4" s="360"/>
      <c r="C4" s="361"/>
      <c r="D4" s="51"/>
      <c r="E4" s="643"/>
      <c r="F4" s="52" t="s">
        <v>81</v>
      </c>
      <c r="G4" s="53"/>
      <c r="H4" s="54">
        <f t="shared" ref="H4:Q4" si="0">SUM(H5:H8)</f>
        <v>614929.16</v>
      </c>
      <c r="I4" s="54">
        <f t="shared" si="0"/>
        <v>669083.76459999999</v>
      </c>
      <c r="J4" s="54">
        <f t="shared" si="0"/>
        <v>621983.31990100001</v>
      </c>
      <c r="K4" s="54">
        <f t="shared" si="0"/>
        <v>722553.754107435</v>
      </c>
      <c r="L4" s="54">
        <f t="shared" si="0"/>
        <v>919862.11009045178</v>
      </c>
      <c r="M4" s="54">
        <f t="shared" si="0"/>
        <v>1329120.4229345724</v>
      </c>
      <c r="N4" s="54">
        <f t="shared" si="0"/>
        <v>1934526.9454438253</v>
      </c>
      <c r="O4" s="54">
        <f t="shared" si="0"/>
        <v>2703082.0439899769</v>
      </c>
      <c r="P4" s="54">
        <f t="shared" si="0"/>
        <v>3583681.0611306285</v>
      </c>
      <c r="Q4" s="54">
        <f t="shared" si="0"/>
        <v>3908891.1421571374</v>
      </c>
      <c r="R4" s="102"/>
      <c r="S4" s="102"/>
      <c r="T4" s="49"/>
      <c r="U4" s="49"/>
      <c r="V4" s="49"/>
      <c r="W4" s="49"/>
      <c r="X4" s="49"/>
      <c r="Y4" s="49"/>
      <c r="Z4" s="49"/>
      <c r="AA4" s="49"/>
      <c r="AB4" s="49"/>
      <c r="AC4" s="49"/>
    </row>
    <row r="5" spans="1:29">
      <c r="A5" s="43"/>
      <c r="B5" s="360"/>
      <c r="C5" s="361"/>
      <c r="D5" s="43"/>
      <c r="E5" s="404">
        <v>154336</v>
      </c>
      <c r="F5" s="55" t="s">
        <v>46</v>
      </c>
      <c r="G5" s="56"/>
      <c r="H5" s="57">
        <f>SUM(E5)</f>
        <v>154336</v>
      </c>
      <c r="I5" s="57">
        <f t="shared" ref="I5:Q5" si="1">SUM(H5:H7)</f>
        <v>194929.16</v>
      </c>
      <c r="J5" s="57">
        <f t="shared" si="1"/>
        <v>249083.76459999999</v>
      </c>
      <c r="K5" s="57">
        <f t="shared" si="1"/>
        <v>321993.31990100001</v>
      </c>
      <c r="L5" s="57">
        <f t="shared" si="1"/>
        <v>422563.754107435</v>
      </c>
      <c r="M5" s="57">
        <f t="shared" si="1"/>
        <v>619872.11009045178</v>
      </c>
      <c r="N5" s="57">
        <f t="shared" si="1"/>
        <v>1029130.4229345724</v>
      </c>
      <c r="O5" s="57">
        <f t="shared" si="1"/>
        <v>1634536.9454438253</v>
      </c>
      <c r="P5" s="57">
        <f t="shared" si="1"/>
        <v>2403092.0439899769</v>
      </c>
      <c r="Q5" s="57">
        <f t="shared" si="1"/>
        <v>3283691.0611306285</v>
      </c>
      <c r="R5" s="102"/>
      <c r="S5" s="102"/>
      <c r="T5" s="49"/>
      <c r="U5" s="49"/>
      <c r="V5" s="49"/>
      <c r="W5" s="49"/>
      <c r="X5" s="49"/>
      <c r="Y5" s="49"/>
      <c r="Z5" s="49"/>
      <c r="AA5" s="49"/>
      <c r="AB5" s="49"/>
      <c r="AC5" s="49"/>
    </row>
    <row r="6" spans="1:29">
      <c r="A6" s="43"/>
      <c r="B6" s="360"/>
      <c r="C6" s="361"/>
      <c r="D6" s="43"/>
      <c r="E6" s="43"/>
      <c r="F6" s="55" t="s">
        <v>47</v>
      </c>
      <c r="G6" s="56"/>
      <c r="H6" s="57">
        <f t="shared" ref="H6:Q6" si="2">-H5*$C$30</f>
        <v>-10031.84</v>
      </c>
      <c r="I6" s="57">
        <f t="shared" si="2"/>
        <v>-12670.395400000001</v>
      </c>
      <c r="J6" s="57">
        <f t="shared" si="2"/>
        <v>-16190.444699</v>
      </c>
      <c r="K6" s="57">
        <f t="shared" si="2"/>
        <v>-20929.565793565002</v>
      </c>
      <c r="L6" s="57">
        <f t="shared" si="2"/>
        <v>-27466.644016983275</v>
      </c>
      <c r="M6" s="57">
        <f t="shared" si="2"/>
        <v>-40291.687155879365</v>
      </c>
      <c r="N6" s="57">
        <f t="shared" si="2"/>
        <v>-66893.477490747217</v>
      </c>
      <c r="O6" s="57">
        <f t="shared" si="2"/>
        <v>-106244.90145384865</v>
      </c>
      <c r="P6" s="57">
        <f t="shared" si="2"/>
        <v>-156200.9828593485</v>
      </c>
      <c r="Q6" s="57">
        <f t="shared" si="2"/>
        <v>-213439.91897349086</v>
      </c>
      <c r="R6" s="102"/>
      <c r="S6" s="102"/>
      <c r="T6" s="49"/>
      <c r="U6" s="49"/>
      <c r="V6" s="49"/>
      <c r="W6" s="49"/>
      <c r="X6" s="49"/>
      <c r="Y6" s="49"/>
      <c r="Z6" s="49"/>
      <c r="AA6" s="49"/>
      <c r="AB6" s="49"/>
      <c r="AC6" s="49"/>
    </row>
    <row r="7" spans="1:29">
      <c r="A7" s="43"/>
      <c r="B7" s="360"/>
      <c r="C7" s="361"/>
      <c r="D7" s="43"/>
      <c r="E7" s="43"/>
      <c r="F7" s="103" t="s">
        <v>48</v>
      </c>
      <c r="G7" s="362"/>
      <c r="H7" s="57">
        <f t="shared" ref="H7:Q7" si="3">SUM(H12*$C$15)</f>
        <v>50625</v>
      </c>
      <c r="I7" s="57">
        <f t="shared" si="3"/>
        <v>66825</v>
      </c>
      <c r="J7" s="57">
        <f t="shared" si="3"/>
        <v>89100</v>
      </c>
      <c r="K7" s="57">
        <f t="shared" si="3"/>
        <v>121500</v>
      </c>
      <c r="L7" s="57">
        <f t="shared" si="3"/>
        <v>224775</v>
      </c>
      <c r="M7" s="57">
        <f t="shared" si="3"/>
        <v>449550</v>
      </c>
      <c r="N7" s="57">
        <f t="shared" si="3"/>
        <v>672300</v>
      </c>
      <c r="O7" s="57">
        <f t="shared" si="3"/>
        <v>874800</v>
      </c>
      <c r="P7" s="57">
        <f t="shared" si="3"/>
        <v>1036800</v>
      </c>
      <c r="Q7" s="57">
        <f t="shared" si="3"/>
        <v>538650</v>
      </c>
      <c r="R7" s="102"/>
      <c r="S7" s="102"/>
      <c r="T7" s="49"/>
      <c r="U7" s="49"/>
      <c r="V7" s="49"/>
      <c r="W7" s="49"/>
      <c r="X7" s="49"/>
      <c r="Y7" s="49"/>
      <c r="Z7" s="49"/>
      <c r="AA7" s="49"/>
      <c r="AB7" s="49"/>
      <c r="AC7" s="49"/>
    </row>
    <row r="8" spans="1:29">
      <c r="A8" s="43"/>
      <c r="B8" s="360"/>
      <c r="C8" s="361"/>
      <c r="D8" s="43"/>
      <c r="E8" s="43"/>
      <c r="F8" s="64" t="s">
        <v>51</v>
      </c>
      <c r="G8" s="65"/>
      <c r="H8" s="66">
        <v>420000</v>
      </c>
      <c r="I8" s="66">
        <f>H8</f>
        <v>420000</v>
      </c>
      <c r="J8" s="66">
        <f>SUM(G19*$C$16)</f>
        <v>299990</v>
      </c>
      <c r="K8" s="66">
        <f>J8</f>
        <v>299990</v>
      </c>
      <c r="L8" s="66">
        <f>SUM(G20*$C$16)</f>
        <v>299990</v>
      </c>
      <c r="M8" s="66">
        <f>L8</f>
        <v>299990</v>
      </c>
      <c r="N8" s="66">
        <f>SUM(G21*$C$16)</f>
        <v>299990</v>
      </c>
      <c r="O8" s="66">
        <f>N8</f>
        <v>299990</v>
      </c>
      <c r="P8" s="66">
        <f>SUM(G22*$C$16)</f>
        <v>299990</v>
      </c>
      <c r="Q8" s="66">
        <f>P8</f>
        <v>299990</v>
      </c>
      <c r="R8" s="102"/>
      <c r="S8" s="102"/>
      <c r="T8" s="49"/>
      <c r="U8" s="49"/>
      <c r="V8" s="49"/>
      <c r="W8" s="49"/>
      <c r="X8" s="49"/>
      <c r="Y8" s="49"/>
      <c r="Z8" s="49"/>
      <c r="AA8" s="49"/>
      <c r="AB8" s="49"/>
      <c r="AC8" s="49"/>
    </row>
    <row r="9" spans="1:29">
      <c r="A9" s="43"/>
      <c r="B9" s="360"/>
      <c r="C9" s="361"/>
      <c r="D9" s="43"/>
      <c r="E9" s="43"/>
      <c r="F9" s="64" t="s">
        <v>2110</v>
      </c>
      <c r="G9" s="65"/>
      <c r="H9" s="66">
        <v>7897.5</v>
      </c>
      <c r="I9" s="363">
        <v>12150</v>
      </c>
      <c r="J9" s="66">
        <v>17212.5</v>
      </c>
      <c r="K9" s="363">
        <v>24300</v>
      </c>
      <c r="L9" s="66">
        <v>32400</v>
      </c>
      <c r="M9" s="363">
        <v>40500</v>
      </c>
      <c r="N9" s="66">
        <v>46575</v>
      </c>
      <c r="O9" s="363">
        <v>50625</v>
      </c>
      <c r="P9" s="66">
        <v>64800</v>
      </c>
      <c r="Q9" s="363">
        <v>46575</v>
      </c>
      <c r="R9" s="102"/>
      <c r="S9" s="102"/>
      <c r="T9" s="49"/>
      <c r="U9" s="49"/>
      <c r="V9" s="49"/>
      <c r="W9" s="49"/>
      <c r="X9" s="49"/>
      <c r="Y9" s="49"/>
      <c r="Z9" s="49"/>
      <c r="AA9" s="49"/>
      <c r="AB9" s="49"/>
      <c r="AC9" s="49"/>
    </row>
    <row r="10" spans="1:29">
      <c r="A10" s="43"/>
      <c r="B10" s="360"/>
      <c r="C10" s="361"/>
      <c r="D10" s="43"/>
      <c r="E10" s="43"/>
      <c r="F10" s="64" t="s">
        <v>2111</v>
      </c>
      <c r="G10" s="65"/>
      <c r="H10" s="66">
        <v>31590</v>
      </c>
      <c r="I10" s="363">
        <v>48600</v>
      </c>
      <c r="J10" s="66">
        <v>68850</v>
      </c>
      <c r="K10" s="363">
        <v>97200</v>
      </c>
      <c r="L10" s="66">
        <v>129600</v>
      </c>
      <c r="M10" s="363">
        <v>162000</v>
      </c>
      <c r="N10" s="66">
        <v>186300</v>
      </c>
      <c r="O10" s="363">
        <v>202500</v>
      </c>
      <c r="P10" s="66">
        <v>259200</v>
      </c>
      <c r="Q10" s="363">
        <v>186300</v>
      </c>
      <c r="R10" s="102"/>
      <c r="S10" s="102"/>
      <c r="T10" s="49"/>
      <c r="U10" s="49"/>
      <c r="V10" s="49"/>
      <c r="W10" s="49"/>
      <c r="X10" s="49"/>
      <c r="Y10" s="49"/>
      <c r="Z10" s="49"/>
      <c r="AA10" s="49"/>
      <c r="AB10" s="49"/>
      <c r="AC10" s="49"/>
    </row>
    <row r="11" spans="1:29">
      <c r="A11" s="43"/>
      <c r="B11" s="364"/>
      <c r="C11" s="365"/>
      <c r="D11" s="43"/>
      <c r="E11" s="43"/>
      <c r="F11" s="43"/>
      <c r="G11" s="43"/>
      <c r="H11" s="68">
        <f t="shared" ref="H11:Q11" si="4">SUM(H9:H10)</f>
        <v>39487.5</v>
      </c>
      <c r="I11" s="68">
        <f t="shared" si="4"/>
        <v>60750</v>
      </c>
      <c r="J11" s="68">
        <f t="shared" si="4"/>
        <v>86062.5</v>
      </c>
      <c r="K11" s="68">
        <f t="shared" si="4"/>
        <v>121500</v>
      </c>
      <c r="L11" s="68">
        <f t="shared" si="4"/>
        <v>162000</v>
      </c>
      <c r="M11" s="68">
        <f t="shared" si="4"/>
        <v>202500</v>
      </c>
      <c r="N11" s="68">
        <f t="shared" si="4"/>
        <v>232875</v>
      </c>
      <c r="O11" s="68">
        <f t="shared" si="4"/>
        <v>253125</v>
      </c>
      <c r="P11" s="68">
        <f t="shared" si="4"/>
        <v>324000</v>
      </c>
      <c r="Q11" s="68">
        <f t="shared" si="4"/>
        <v>232875</v>
      </c>
      <c r="R11" s="49"/>
      <c r="S11" s="49"/>
      <c r="T11" s="49"/>
      <c r="U11" s="49"/>
      <c r="V11" s="49"/>
      <c r="W11" s="49"/>
      <c r="X11" s="49"/>
      <c r="Y11" s="49"/>
      <c r="Z11" s="49"/>
      <c r="AA11" s="49"/>
      <c r="AB11" s="49"/>
      <c r="AC11" s="49"/>
    </row>
    <row r="12" spans="1:29">
      <c r="A12" s="43"/>
      <c r="B12" s="710" t="s">
        <v>50</v>
      </c>
      <c r="C12" s="711"/>
      <c r="D12" s="51"/>
      <c r="E12" s="51"/>
      <c r="F12" s="43"/>
      <c r="G12" s="43"/>
      <c r="H12" s="70">
        <f t="shared" ref="H12:Q12" si="5">H14*$G$14+H15*$G$15+H16*$G$16+H17*$G$17+H18*$G$18+H19*$G$19+H20*$G$20+H21*$G$21+$G$22*H22+$G$23*H23+$G$24*H24+$G$25*H25+$G$26*H26+$G$27*H27</f>
        <v>12.5</v>
      </c>
      <c r="I12" s="70">
        <f t="shared" si="5"/>
        <v>16.5</v>
      </c>
      <c r="J12" s="70">
        <f t="shared" si="5"/>
        <v>22</v>
      </c>
      <c r="K12" s="70">
        <f t="shared" si="5"/>
        <v>30</v>
      </c>
      <c r="L12" s="70">
        <f t="shared" si="5"/>
        <v>55.5</v>
      </c>
      <c r="M12" s="70">
        <f t="shared" si="5"/>
        <v>111</v>
      </c>
      <c r="N12" s="70">
        <f t="shared" si="5"/>
        <v>166</v>
      </c>
      <c r="O12" s="70">
        <f t="shared" si="5"/>
        <v>216</v>
      </c>
      <c r="P12" s="70">
        <f t="shared" si="5"/>
        <v>256</v>
      </c>
      <c r="Q12" s="70">
        <f t="shared" si="5"/>
        <v>133</v>
      </c>
      <c r="R12" s="49"/>
      <c r="S12" s="49"/>
      <c r="T12" s="49"/>
      <c r="U12" s="49"/>
      <c r="V12" s="49"/>
      <c r="W12" s="49"/>
      <c r="X12" s="49"/>
      <c r="Y12" s="49"/>
      <c r="Z12" s="49"/>
      <c r="AA12" s="49"/>
      <c r="AB12" s="49"/>
      <c r="AC12" s="49"/>
    </row>
    <row r="13" spans="1:29">
      <c r="A13" s="43"/>
      <c r="B13" s="698" t="s">
        <v>1975</v>
      </c>
      <c r="C13" s="699"/>
      <c r="D13" s="51"/>
      <c r="E13" s="51"/>
      <c r="F13" s="702" t="s">
        <v>55</v>
      </c>
      <c r="G13" s="636"/>
      <c r="H13" s="70" t="s">
        <v>39</v>
      </c>
      <c r="I13" s="70" t="s">
        <v>40</v>
      </c>
      <c r="J13" s="70" t="s">
        <v>41</v>
      </c>
      <c r="K13" s="70" t="s">
        <v>42</v>
      </c>
      <c r="L13" s="70" t="s">
        <v>43</v>
      </c>
      <c r="M13" s="70" t="s">
        <v>44</v>
      </c>
      <c r="N13" s="70" t="s">
        <v>33</v>
      </c>
      <c r="O13" s="70" t="s">
        <v>34</v>
      </c>
      <c r="P13" s="70" t="s">
        <v>35</v>
      </c>
      <c r="Q13" s="70" t="s">
        <v>36</v>
      </c>
      <c r="R13" s="49"/>
      <c r="S13" s="49"/>
      <c r="T13" s="49"/>
      <c r="U13" s="49"/>
      <c r="V13" s="49"/>
      <c r="W13" s="49"/>
      <c r="X13" s="49"/>
      <c r="Y13" s="49"/>
      <c r="Z13" s="49"/>
      <c r="AA13" s="49"/>
      <c r="AB13" s="49"/>
      <c r="AC13" s="49"/>
    </row>
    <row r="14" spans="1:29" ht="15.75">
      <c r="A14" s="43"/>
      <c r="B14" s="700"/>
      <c r="C14" s="701"/>
      <c r="D14" s="51"/>
      <c r="E14" s="712" t="s">
        <v>2139</v>
      </c>
      <c r="F14" s="405" t="s">
        <v>57</v>
      </c>
      <c r="G14" s="406">
        <v>1</v>
      </c>
      <c r="H14" s="74">
        <v>4</v>
      </c>
      <c r="I14" s="74">
        <v>4</v>
      </c>
      <c r="J14" s="74">
        <v>4</v>
      </c>
      <c r="K14" s="74">
        <v>4</v>
      </c>
      <c r="L14" s="74">
        <v>4</v>
      </c>
      <c r="M14" s="74">
        <v>4</v>
      </c>
      <c r="N14" s="74">
        <v>4</v>
      </c>
      <c r="O14" s="74">
        <v>4</v>
      </c>
      <c r="P14" s="74">
        <v>4</v>
      </c>
      <c r="Q14" s="74">
        <v>2</v>
      </c>
      <c r="R14" s="49"/>
      <c r="S14" s="49"/>
      <c r="T14" s="49"/>
      <c r="U14" s="49"/>
      <c r="V14" s="49"/>
      <c r="W14" s="49"/>
      <c r="X14" s="49"/>
      <c r="Y14" s="49"/>
      <c r="Z14" s="49"/>
      <c r="AA14" s="49"/>
      <c r="AB14" s="49"/>
      <c r="AC14" s="49"/>
    </row>
    <row r="15" spans="1:29" ht="15.75">
      <c r="A15" s="43"/>
      <c r="B15" s="367" t="s">
        <v>52</v>
      </c>
      <c r="C15" s="368">
        <v>4050</v>
      </c>
      <c r="D15" s="51"/>
      <c r="E15" s="642"/>
      <c r="F15" s="405">
        <v>360</v>
      </c>
      <c r="G15" s="407">
        <v>1</v>
      </c>
      <c r="H15" s="74">
        <v>4</v>
      </c>
      <c r="I15" s="74">
        <v>4</v>
      </c>
      <c r="J15" s="74">
        <v>4</v>
      </c>
      <c r="K15" s="74">
        <v>4</v>
      </c>
      <c r="L15" s="74">
        <v>4</v>
      </c>
      <c r="M15" s="74">
        <v>4</v>
      </c>
      <c r="N15" s="74">
        <v>4</v>
      </c>
      <c r="O15" s="74">
        <v>4</v>
      </c>
      <c r="P15" s="74">
        <v>4</v>
      </c>
      <c r="Q15" s="74">
        <v>2</v>
      </c>
      <c r="R15" s="49"/>
      <c r="S15" s="49"/>
      <c r="T15" s="49"/>
      <c r="U15" s="49"/>
      <c r="V15" s="49"/>
      <c r="W15" s="49"/>
      <c r="X15" s="49"/>
      <c r="Y15" s="49"/>
      <c r="Z15" s="49"/>
      <c r="AA15" s="49"/>
      <c r="AB15" s="49"/>
      <c r="AC15" s="49"/>
    </row>
    <row r="16" spans="1:29" ht="15.75">
      <c r="A16" s="43"/>
      <c r="B16" s="367" t="s">
        <v>54</v>
      </c>
      <c r="C16" s="368">
        <v>29999</v>
      </c>
      <c r="D16" s="68"/>
      <c r="E16" s="642"/>
      <c r="F16" s="405" t="s">
        <v>2140</v>
      </c>
      <c r="G16" s="406">
        <v>1</v>
      </c>
      <c r="H16" s="74">
        <v>0.5</v>
      </c>
      <c r="I16" s="73">
        <v>2</v>
      </c>
      <c r="J16" s="74">
        <v>2.5</v>
      </c>
      <c r="K16" s="74">
        <v>3</v>
      </c>
      <c r="L16" s="74">
        <v>3.5</v>
      </c>
      <c r="M16" s="74">
        <v>4</v>
      </c>
      <c r="N16" s="74">
        <v>4</v>
      </c>
      <c r="O16" s="74">
        <v>4</v>
      </c>
      <c r="P16" s="74">
        <v>4</v>
      </c>
      <c r="Q16" s="74">
        <v>2</v>
      </c>
      <c r="R16" s="49"/>
      <c r="S16" s="49"/>
      <c r="T16" s="49"/>
      <c r="U16" s="49"/>
      <c r="V16" s="49"/>
      <c r="W16" s="49"/>
      <c r="X16" s="49"/>
      <c r="Y16" s="49"/>
      <c r="Z16" s="49"/>
      <c r="AA16" s="49"/>
      <c r="AB16" s="49"/>
      <c r="AC16" s="49"/>
    </row>
    <row r="17" spans="1:29" ht="15.75">
      <c r="A17" s="43"/>
      <c r="B17" s="370" t="s">
        <v>56</v>
      </c>
      <c r="C17" s="84">
        <v>1</v>
      </c>
      <c r="D17" s="43"/>
      <c r="E17" s="643"/>
      <c r="F17" s="405" t="s">
        <v>2141</v>
      </c>
      <c r="G17" s="408">
        <v>1</v>
      </c>
      <c r="H17" s="74">
        <v>4</v>
      </c>
      <c r="I17" s="74">
        <v>4</v>
      </c>
      <c r="J17" s="73">
        <v>4</v>
      </c>
      <c r="K17" s="73">
        <v>4</v>
      </c>
      <c r="L17" s="73">
        <v>4</v>
      </c>
      <c r="M17" s="73">
        <v>4</v>
      </c>
      <c r="N17" s="73">
        <v>4</v>
      </c>
      <c r="O17" s="73">
        <v>4</v>
      </c>
      <c r="P17" s="73">
        <v>4</v>
      </c>
      <c r="Q17" s="73">
        <v>2</v>
      </c>
      <c r="R17" s="49"/>
      <c r="S17" s="49"/>
      <c r="T17" s="49"/>
      <c r="U17" s="49"/>
      <c r="V17" s="49"/>
      <c r="W17" s="49"/>
      <c r="X17" s="49"/>
      <c r="Y17" s="49"/>
      <c r="Z17" s="49"/>
      <c r="AA17" s="49"/>
      <c r="AB17" s="49"/>
      <c r="AC17" s="49"/>
    </row>
    <row r="18" spans="1:29">
      <c r="A18" s="43"/>
      <c r="B18" s="370" t="s">
        <v>58</v>
      </c>
      <c r="C18" s="84">
        <v>2</v>
      </c>
      <c r="D18" s="43"/>
      <c r="E18" s="713" t="s">
        <v>2142</v>
      </c>
      <c r="F18" s="44" t="s">
        <v>39</v>
      </c>
      <c r="G18" s="84">
        <v>5</v>
      </c>
      <c r="H18" s="374"/>
      <c r="I18" s="74">
        <v>0.5</v>
      </c>
      <c r="J18" s="372">
        <v>0.5</v>
      </c>
      <c r="K18" s="73">
        <v>1</v>
      </c>
      <c r="L18" s="73">
        <v>2</v>
      </c>
      <c r="M18" s="73">
        <v>3</v>
      </c>
      <c r="N18" s="73">
        <v>4</v>
      </c>
      <c r="O18" s="73">
        <v>4</v>
      </c>
      <c r="P18" s="73">
        <v>4</v>
      </c>
      <c r="Q18" s="73">
        <v>2</v>
      </c>
      <c r="R18" s="49"/>
      <c r="S18" s="49"/>
      <c r="T18" s="49"/>
      <c r="U18" s="49"/>
      <c r="V18" s="49"/>
      <c r="W18" s="49"/>
      <c r="X18" s="49"/>
      <c r="Y18" s="49"/>
      <c r="Z18" s="49"/>
      <c r="AA18" s="49"/>
      <c r="AB18" s="49"/>
      <c r="AC18" s="49"/>
    </row>
    <row r="19" spans="1:29">
      <c r="A19" s="43"/>
      <c r="B19" s="370" t="s">
        <v>59</v>
      </c>
      <c r="C19" s="84">
        <v>3</v>
      </c>
      <c r="D19" s="43"/>
      <c r="E19" s="642"/>
      <c r="F19" s="44" t="s">
        <v>40</v>
      </c>
      <c r="G19" s="84">
        <v>10</v>
      </c>
      <c r="H19" s="374"/>
      <c r="I19" s="374"/>
      <c r="J19" s="74">
        <v>0.5</v>
      </c>
      <c r="K19" s="73">
        <v>0.5</v>
      </c>
      <c r="L19" s="73">
        <v>1</v>
      </c>
      <c r="M19" s="73">
        <v>3</v>
      </c>
      <c r="N19" s="73">
        <v>4</v>
      </c>
      <c r="O19" s="73">
        <v>4</v>
      </c>
      <c r="P19" s="73">
        <v>4</v>
      </c>
      <c r="Q19" s="73">
        <v>2</v>
      </c>
      <c r="R19" s="49"/>
      <c r="S19" s="49"/>
      <c r="T19" s="49"/>
      <c r="U19" s="49"/>
      <c r="V19" s="49"/>
      <c r="W19" s="49"/>
      <c r="X19" s="49"/>
      <c r="Y19" s="49"/>
      <c r="Z19" s="49"/>
      <c r="AA19" s="49"/>
      <c r="AB19" s="49"/>
      <c r="AC19" s="49"/>
    </row>
    <row r="20" spans="1:29">
      <c r="A20" s="43"/>
      <c r="B20" s="370" t="s">
        <v>60</v>
      </c>
      <c r="C20" s="84">
        <v>4</v>
      </c>
      <c r="D20" s="43"/>
      <c r="E20" s="642"/>
      <c r="F20" s="44" t="s">
        <v>41</v>
      </c>
      <c r="G20" s="84">
        <v>10</v>
      </c>
      <c r="H20" s="374"/>
      <c r="I20" s="374"/>
      <c r="J20" s="374"/>
      <c r="K20" s="74">
        <v>0.5</v>
      </c>
      <c r="L20" s="73">
        <v>1</v>
      </c>
      <c r="M20" s="73">
        <v>2</v>
      </c>
      <c r="N20" s="73">
        <v>3</v>
      </c>
      <c r="O20" s="73">
        <v>4</v>
      </c>
      <c r="P20" s="73">
        <v>4</v>
      </c>
      <c r="Q20" s="73">
        <v>2</v>
      </c>
      <c r="R20" s="49"/>
      <c r="S20" s="49"/>
      <c r="T20" s="49"/>
      <c r="U20" s="49"/>
      <c r="V20" s="49"/>
      <c r="W20" s="49"/>
      <c r="X20" s="49"/>
      <c r="Y20" s="49"/>
      <c r="Z20" s="49"/>
      <c r="AA20" s="49"/>
      <c r="AB20" s="49"/>
      <c r="AC20" s="49"/>
    </row>
    <row r="21" spans="1:29">
      <c r="A21" s="43"/>
      <c r="B21" s="43"/>
      <c r="C21" s="43"/>
      <c r="D21" s="43"/>
      <c r="E21" s="642"/>
      <c r="F21" s="44" t="s">
        <v>42</v>
      </c>
      <c r="G21" s="84">
        <v>10</v>
      </c>
      <c r="H21" s="374"/>
      <c r="I21" s="374"/>
      <c r="J21" s="374"/>
      <c r="K21" s="374"/>
      <c r="L21" s="409">
        <v>1</v>
      </c>
      <c r="M21" s="73">
        <v>2</v>
      </c>
      <c r="N21" s="73">
        <v>3</v>
      </c>
      <c r="O21" s="73">
        <v>4</v>
      </c>
      <c r="P21" s="73">
        <v>4</v>
      </c>
      <c r="Q21" s="73">
        <v>2</v>
      </c>
      <c r="R21" s="49"/>
      <c r="S21" s="49"/>
      <c r="T21" s="49"/>
      <c r="U21" s="49"/>
      <c r="V21" s="49"/>
      <c r="W21" s="49"/>
      <c r="X21" s="49"/>
      <c r="Y21" s="49"/>
      <c r="Z21" s="49"/>
      <c r="AA21" s="49"/>
      <c r="AB21" s="49"/>
      <c r="AC21" s="49"/>
    </row>
    <row r="22" spans="1:29">
      <c r="A22" s="43"/>
      <c r="B22" s="702" t="s">
        <v>2112</v>
      </c>
      <c r="C22" s="636"/>
      <c r="D22" s="43"/>
      <c r="E22" s="643"/>
      <c r="F22" s="44" t="s">
        <v>43</v>
      </c>
      <c r="G22" s="84">
        <v>10</v>
      </c>
      <c r="H22" s="377"/>
      <c r="I22" s="377"/>
      <c r="J22" s="377"/>
      <c r="K22" s="377"/>
      <c r="L22" s="377"/>
      <c r="M22" s="410">
        <v>1</v>
      </c>
      <c r="N22" s="411">
        <v>2</v>
      </c>
      <c r="O22" s="412">
        <v>3</v>
      </c>
      <c r="P22" s="412">
        <v>4</v>
      </c>
      <c r="Q22" s="412">
        <v>2</v>
      </c>
      <c r="R22" s="49"/>
      <c r="S22" s="49"/>
      <c r="T22" s="49"/>
      <c r="U22" s="49"/>
      <c r="V22" s="49"/>
      <c r="W22" s="49"/>
      <c r="X22" s="49"/>
      <c r="Y22" s="49"/>
      <c r="Z22" s="49"/>
      <c r="AA22" s="49"/>
      <c r="AB22" s="49"/>
      <c r="AC22" s="49"/>
    </row>
    <row r="23" spans="1:29">
      <c r="A23" s="43"/>
      <c r="B23" s="375" t="s">
        <v>81</v>
      </c>
      <c r="C23" s="376" t="s">
        <v>2087</v>
      </c>
      <c r="D23" s="43"/>
      <c r="E23" s="43"/>
      <c r="F23" s="44" t="s">
        <v>44</v>
      </c>
      <c r="G23" s="84">
        <v>10</v>
      </c>
      <c r="H23" s="377"/>
      <c r="I23" s="377"/>
      <c r="J23" s="377"/>
      <c r="K23" s="377"/>
      <c r="L23" s="377"/>
      <c r="M23" s="413"/>
      <c r="N23" s="410">
        <v>1</v>
      </c>
      <c r="O23" s="411">
        <v>2</v>
      </c>
      <c r="P23" s="412">
        <v>3</v>
      </c>
      <c r="Q23" s="412">
        <v>1.5</v>
      </c>
      <c r="R23" s="49"/>
      <c r="S23" s="49"/>
      <c r="T23" s="49"/>
      <c r="U23" s="49"/>
      <c r="V23" s="49"/>
      <c r="W23" s="49"/>
      <c r="X23" s="49"/>
      <c r="Y23" s="49"/>
      <c r="Z23" s="49"/>
      <c r="AA23" s="49"/>
      <c r="AB23" s="49"/>
      <c r="AC23" s="49"/>
    </row>
    <row r="24" spans="1:29">
      <c r="A24" s="43"/>
      <c r="B24" s="73" t="s">
        <v>2113</v>
      </c>
      <c r="C24" s="379">
        <v>2.5000000000000001E-2</v>
      </c>
      <c r="D24" s="43"/>
      <c r="E24" s="43"/>
      <c r="F24" s="44" t="s">
        <v>33</v>
      </c>
      <c r="G24" s="84">
        <v>10</v>
      </c>
      <c r="H24" s="377"/>
      <c r="I24" s="377"/>
      <c r="J24" s="377"/>
      <c r="K24" s="377"/>
      <c r="L24" s="377"/>
      <c r="M24" s="413"/>
      <c r="N24" s="413"/>
      <c r="O24" s="410">
        <v>1</v>
      </c>
      <c r="P24" s="411">
        <v>2</v>
      </c>
      <c r="Q24" s="412">
        <v>1</v>
      </c>
      <c r="R24" s="49"/>
      <c r="S24" s="49"/>
      <c r="T24" s="49"/>
      <c r="U24" s="49"/>
      <c r="V24" s="49"/>
      <c r="W24" s="49"/>
      <c r="X24" s="49"/>
      <c r="Y24" s="49"/>
      <c r="Z24" s="49"/>
      <c r="AA24" s="49"/>
      <c r="AB24" s="49"/>
      <c r="AC24" s="49"/>
    </row>
    <row r="25" spans="1:29">
      <c r="A25" s="43"/>
      <c r="B25" s="380" t="s">
        <v>2114</v>
      </c>
      <c r="C25" s="381">
        <v>0.02</v>
      </c>
      <c r="D25" s="43"/>
      <c r="E25" s="43"/>
      <c r="F25" s="44" t="s">
        <v>34</v>
      </c>
      <c r="G25" s="84">
        <v>10</v>
      </c>
      <c r="H25" s="377"/>
      <c r="I25" s="377"/>
      <c r="J25" s="377"/>
      <c r="K25" s="377"/>
      <c r="L25" s="377"/>
      <c r="M25" s="413"/>
      <c r="N25" s="413"/>
      <c r="O25" s="413"/>
      <c r="P25" s="410">
        <v>1</v>
      </c>
      <c r="Q25" s="411">
        <v>0.5</v>
      </c>
      <c r="R25" s="49"/>
      <c r="S25" s="49"/>
      <c r="T25" s="49"/>
      <c r="U25" s="49"/>
      <c r="V25" s="49"/>
      <c r="W25" s="49"/>
      <c r="X25" s="49"/>
      <c r="Y25" s="49"/>
      <c r="Z25" s="49"/>
      <c r="AA25" s="49"/>
      <c r="AB25" s="49"/>
      <c r="AC25" s="49"/>
    </row>
    <row r="26" spans="1:29">
      <c r="A26" s="43"/>
      <c r="B26" s="380" t="s">
        <v>2115</v>
      </c>
      <c r="C26" s="381">
        <v>1.4E-2</v>
      </c>
      <c r="D26" s="43"/>
      <c r="E26" s="43"/>
      <c r="F26" s="44" t="s">
        <v>35</v>
      </c>
      <c r="G26" s="84">
        <v>10</v>
      </c>
      <c r="H26" s="377"/>
      <c r="I26" s="377"/>
      <c r="J26" s="377"/>
      <c r="K26" s="377"/>
      <c r="L26" s="377"/>
      <c r="M26" s="413"/>
      <c r="N26" s="413"/>
      <c r="O26" s="413"/>
      <c r="P26" s="413"/>
      <c r="Q26" s="410">
        <v>0.5</v>
      </c>
      <c r="R26" s="49"/>
      <c r="S26" s="49"/>
      <c r="T26" s="49"/>
      <c r="U26" s="49"/>
      <c r="V26" s="49"/>
      <c r="W26" s="49"/>
      <c r="X26" s="49"/>
      <c r="Y26" s="49"/>
      <c r="Z26" s="49"/>
      <c r="AA26" s="49"/>
      <c r="AB26" s="49"/>
      <c r="AC26" s="49"/>
    </row>
    <row r="27" spans="1:29">
      <c r="A27" s="43"/>
      <c r="B27" s="380" t="s">
        <v>2116</v>
      </c>
      <c r="C27" s="381">
        <v>0.01</v>
      </c>
      <c r="D27" s="43"/>
      <c r="E27" s="43"/>
      <c r="F27" s="44" t="s">
        <v>36</v>
      </c>
      <c r="G27" s="84">
        <v>10</v>
      </c>
      <c r="H27" s="377"/>
      <c r="I27" s="377"/>
      <c r="J27" s="377"/>
      <c r="K27" s="377"/>
      <c r="L27" s="377"/>
      <c r="M27" s="377"/>
      <c r="N27" s="377"/>
      <c r="O27" s="377"/>
      <c r="P27" s="377"/>
      <c r="Q27" s="377"/>
      <c r="R27" s="49"/>
      <c r="S27" s="49"/>
      <c r="T27" s="49"/>
      <c r="U27" s="49"/>
      <c r="V27" s="49"/>
      <c r="W27" s="49"/>
      <c r="X27" s="49"/>
      <c r="Y27" s="49"/>
      <c r="Z27" s="49"/>
      <c r="AA27" s="49"/>
      <c r="AB27" s="49"/>
      <c r="AC27" s="49"/>
    </row>
    <row r="28" spans="1:29">
      <c r="A28" s="43"/>
      <c r="B28" s="382" t="s">
        <v>2117</v>
      </c>
      <c r="C28" s="383">
        <v>0</v>
      </c>
      <c r="D28" s="43"/>
      <c r="E28" s="43"/>
      <c r="R28" s="49"/>
      <c r="S28" s="49"/>
      <c r="T28" s="49"/>
      <c r="U28" s="49"/>
      <c r="V28" s="49"/>
      <c r="W28" s="49"/>
      <c r="X28" s="49"/>
      <c r="Y28" s="49"/>
      <c r="Z28" s="49"/>
      <c r="AA28" s="49"/>
      <c r="AB28" s="49"/>
      <c r="AC28" s="49"/>
    </row>
    <row r="29" spans="1:29">
      <c r="A29" s="43"/>
      <c r="B29" s="43"/>
      <c r="C29" s="43"/>
      <c r="D29" s="43"/>
      <c r="E29" s="43"/>
      <c r="R29" s="49"/>
      <c r="S29" s="49"/>
      <c r="T29" s="49"/>
      <c r="U29" s="49"/>
      <c r="V29" s="49"/>
      <c r="W29" s="49"/>
      <c r="X29" s="49"/>
      <c r="Y29" s="49"/>
      <c r="Z29" s="49"/>
      <c r="AA29" s="49"/>
      <c r="AB29" s="49"/>
      <c r="AC29" s="49"/>
    </row>
    <row r="30" spans="1:29">
      <c r="A30" s="43"/>
      <c r="B30" s="43" t="s">
        <v>47</v>
      </c>
      <c r="C30" s="135">
        <v>6.5000000000000002E-2</v>
      </c>
      <c r="D30" s="43"/>
      <c r="E30" s="43"/>
      <c r="F30" s="703" t="s">
        <v>2118</v>
      </c>
      <c r="G30" s="636"/>
      <c r="H30" s="384" t="s">
        <v>39</v>
      </c>
      <c r="I30" s="384" t="s">
        <v>40</v>
      </c>
      <c r="J30" s="385" t="s">
        <v>41</v>
      </c>
      <c r="K30" s="384" t="s">
        <v>42</v>
      </c>
      <c r="L30" s="384" t="s">
        <v>43</v>
      </c>
      <c r="M30" s="384" t="s">
        <v>44</v>
      </c>
      <c r="N30" s="384" t="s">
        <v>33</v>
      </c>
      <c r="O30" s="384" t="s">
        <v>34</v>
      </c>
      <c r="P30" s="384" t="s">
        <v>35</v>
      </c>
      <c r="Q30" s="386" t="s">
        <v>36</v>
      </c>
      <c r="R30" s="49"/>
      <c r="S30" s="49"/>
      <c r="T30" s="49"/>
      <c r="U30" s="49"/>
      <c r="V30" s="49"/>
      <c r="W30" s="49"/>
      <c r="X30" s="49"/>
      <c r="Y30" s="49"/>
      <c r="Z30" s="49"/>
      <c r="AA30" s="49"/>
      <c r="AB30" s="49"/>
      <c r="AC30" s="49"/>
    </row>
    <row r="31" spans="1:29">
      <c r="A31" s="43"/>
      <c r="B31" s="43"/>
      <c r="C31" s="43"/>
      <c r="D31" s="43"/>
      <c r="E31" s="43"/>
      <c r="F31" s="696" t="s">
        <v>2119</v>
      </c>
      <c r="G31" s="636"/>
      <c r="H31" s="387">
        <f t="shared" ref="H31:Q31" si="6">H7*$C$25</f>
        <v>1012.5</v>
      </c>
      <c r="I31" s="387">
        <f t="shared" si="6"/>
        <v>1336.5</v>
      </c>
      <c r="J31" s="387">
        <f t="shared" si="6"/>
        <v>1782</v>
      </c>
      <c r="K31" s="387">
        <f t="shared" si="6"/>
        <v>2430</v>
      </c>
      <c r="L31" s="387">
        <f t="shared" si="6"/>
        <v>4495.5</v>
      </c>
      <c r="M31" s="387">
        <f t="shared" si="6"/>
        <v>8991</v>
      </c>
      <c r="N31" s="387">
        <f t="shared" si="6"/>
        <v>13446</v>
      </c>
      <c r="O31" s="387">
        <f t="shared" si="6"/>
        <v>17496</v>
      </c>
      <c r="P31" s="387">
        <f t="shared" si="6"/>
        <v>20736</v>
      </c>
      <c r="Q31" s="387">
        <f t="shared" si="6"/>
        <v>10773</v>
      </c>
      <c r="R31" s="49"/>
      <c r="S31" s="49"/>
      <c r="T31" s="49"/>
      <c r="U31" s="49"/>
      <c r="V31" s="49"/>
      <c r="W31" s="49"/>
      <c r="X31" s="49"/>
      <c r="Y31" s="49"/>
      <c r="Z31" s="49"/>
      <c r="AA31" s="49"/>
      <c r="AB31" s="49"/>
      <c r="AC31" s="49"/>
    </row>
    <row r="32" spans="1:29">
      <c r="A32" s="43"/>
      <c r="B32" s="43"/>
      <c r="C32" s="43"/>
      <c r="D32" s="43"/>
      <c r="E32" s="43"/>
      <c r="F32" s="696" t="s">
        <v>2120</v>
      </c>
      <c r="G32" s="636"/>
      <c r="H32" s="388" t="s">
        <v>2123</v>
      </c>
      <c r="I32" s="388" t="s">
        <v>2123</v>
      </c>
      <c r="J32" s="388" t="s">
        <v>2123</v>
      </c>
      <c r="K32" s="388" t="s">
        <v>2123</v>
      </c>
      <c r="L32" s="388" t="s">
        <v>2123</v>
      </c>
      <c r="M32" s="388" t="s">
        <v>2123</v>
      </c>
      <c r="N32" s="388" t="s">
        <v>2123</v>
      </c>
      <c r="O32" s="388" t="s">
        <v>2123</v>
      </c>
      <c r="P32" s="388" t="s">
        <v>2123</v>
      </c>
      <c r="Q32" s="388" t="s">
        <v>2123</v>
      </c>
      <c r="R32" s="49"/>
      <c r="S32" s="49"/>
      <c r="T32" s="49"/>
      <c r="U32" s="49"/>
      <c r="V32" s="49"/>
      <c r="W32" s="49"/>
      <c r="X32" s="49"/>
      <c r="Y32" s="49"/>
      <c r="Z32" s="49"/>
      <c r="AA32" s="49"/>
      <c r="AB32" s="49"/>
      <c r="AC32" s="49"/>
    </row>
    <row r="33" spans="1:29">
      <c r="A33" s="43"/>
      <c r="B33" s="43"/>
      <c r="C33" s="43"/>
      <c r="D33" s="43"/>
      <c r="E33" s="43"/>
      <c r="F33" s="696" t="s">
        <v>2124</v>
      </c>
      <c r="G33" s="636"/>
      <c r="H33" s="388">
        <v>1800</v>
      </c>
      <c r="I33" s="388">
        <v>1800</v>
      </c>
      <c r="J33" s="388">
        <v>1800</v>
      </c>
      <c r="K33" s="388">
        <v>1800</v>
      </c>
      <c r="L33" s="388">
        <v>1800</v>
      </c>
      <c r="M33" s="388">
        <v>1800</v>
      </c>
      <c r="N33" s="388">
        <v>1800</v>
      </c>
      <c r="O33" s="388">
        <v>1800</v>
      </c>
      <c r="P33" s="388">
        <v>1800</v>
      </c>
      <c r="Q33" s="388">
        <v>1800</v>
      </c>
      <c r="R33" s="49"/>
      <c r="S33" s="49"/>
      <c r="T33" s="49"/>
      <c r="U33" s="49"/>
      <c r="V33" s="49"/>
      <c r="W33" s="49"/>
      <c r="X33" s="49"/>
      <c r="Y33" s="49"/>
      <c r="Z33" s="49"/>
      <c r="AA33" s="49"/>
      <c r="AB33" s="49"/>
      <c r="AC33" s="49"/>
    </row>
    <row r="34" spans="1:29">
      <c r="A34" s="43"/>
      <c r="B34" s="43"/>
      <c r="C34" s="43"/>
      <c r="D34" s="43"/>
      <c r="E34" s="43"/>
      <c r="F34" s="696" t="s">
        <v>2125</v>
      </c>
      <c r="G34" s="636"/>
      <c r="H34" s="388">
        <f>30*30+H12*200</f>
        <v>3400</v>
      </c>
      <c r="I34" s="388">
        <f t="shared" ref="I34:Q34" si="7">30*35+I12*200</f>
        <v>4350</v>
      </c>
      <c r="J34" s="388">
        <f t="shared" si="7"/>
        <v>5450</v>
      </c>
      <c r="K34" s="388">
        <f t="shared" si="7"/>
        <v>7050</v>
      </c>
      <c r="L34" s="388">
        <f t="shared" si="7"/>
        <v>12150</v>
      </c>
      <c r="M34" s="388">
        <f t="shared" si="7"/>
        <v>23250</v>
      </c>
      <c r="N34" s="388">
        <f t="shared" si="7"/>
        <v>34250</v>
      </c>
      <c r="O34" s="388">
        <f t="shared" si="7"/>
        <v>44250</v>
      </c>
      <c r="P34" s="388">
        <f t="shared" si="7"/>
        <v>52250</v>
      </c>
      <c r="Q34" s="388">
        <f t="shared" si="7"/>
        <v>27650</v>
      </c>
      <c r="R34" s="49"/>
      <c r="S34" s="49"/>
      <c r="T34" s="49"/>
      <c r="U34" s="49"/>
      <c r="V34" s="49"/>
      <c r="W34" s="49"/>
      <c r="X34" s="49"/>
      <c r="Y34" s="49"/>
      <c r="Z34" s="49"/>
      <c r="AA34" s="49"/>
      <c r="AB34" s="49"/>
      <c r="AC34" s="49"/>
    </row>
    <row r="35" spans="1:29">
      <c r="A35" s="43"/>
      <c r="B35" s="43"/>
      <c r="C35" s="43"/>
      <c r="D35" s="43"/>
      <c r="E35" s="43"/>
      <c r="F35" s="696" t="s">
        <v>2126</v>
      </c>
      <c r="G35" s="636"/>
      <c r="H35" s="388">
        <f t="shared" ref="H35:Q35" si="8">H7*0.05</f>
        <v>2531.25</v>
      </c>
      <c r="I35" s="388">
        <f t="shared" si="8"/>
        <v>3341.25</v>
      </c>
      <c r="J35" s="388">
        <f t="shared" si="8"/>
        <v>4455</v>
      </c>
      <c r="K35" s="388">
        <f t="shared" si="8"/>
        <v>6075</v>
      </c>
      <c r="L35" s="388">
        <f t="shared" si="8"/>
        <v>11238.75</v>
      </c>
      <c r="M35" s="388">
        <f t="shared" si="8"/>
        <v>22477.5</v>
      </c>
      <c r="N35" s="388">
        <f t="shared" si="8"/>
        <v>33615</v>
      </c>
      <c r="O35" s="388">
        <f t="shared" si="8"/>
        <v>43740</v>
      </c>
      <c r="P35" s="388">
        <f t="shared" si="8"/>
        <v>51840</v>
      </c>
      <c r="Q35" s="388">
        <f t="shared" si="8"/>
        <v>26932.5</v>
      </c>
      <c r="R35" s="49"/>
      <c r="S35" s="49"/>
      <c r="T35" s="49"/>
      <c r="U35" s="49"/>
      <c r="V35" s="49"/>
      <c r="W35" s="49"/>
      <c r="X35" s="49"/>
      <c r="Y35" s="49"/>
      <c r="Z35" s="49"/>
      <c r="AA35" s="49"/>
      <c r="AB35" s="49"/>
      <c r="AC35" s="49"/>
    </row>
    <row r="36" spans="1:29">
      <c r="A36" s="43"/>
      <c r="B36" s="43"/>
      <c r="C36" s="43"/>
      <c r="D36" s="43"/>
      <c r="E36" s="43"/>
      <c r="F36" s="696" t="s">
        <v>2127</v>
      </c>
      <c r="G36" s="636"/>
      <c r="H36" s="388">
        <f t="shared" ref="H36:Q36" si="9">SUM(H8:H10)*0.04</f>
        <v>18379.5</v>
      </c>
      <c r="I36" s="388">
        <f t="shared" si="9"/>
        <v>19230</v>
      </c>
      <c r="J36" s="388">
        <f t="shared" si="9"/>
        <v>15442.1</v>
      </c>
      <c r="K36" s="388">
        <f t="shared" si="9"/>
        <v>16859.599999999999</v>
      </c>
      <c r="L36" s="388">
        <f t="shared" si="9"/>
        <v>18479.600000000002</v>
      </c>
      <c r="M36" s="388">
        <f t="shared" si="9"/>
        <v>20099.600000000002</v>
      </c>
      <c r="N36" s="388">
        <f t="shared" si="9"/>
        <v>21314.600000000002</v>
      </c>
      <c r="O36" s="388">
        <f t="shared" si="9"/>
        <v>22124.600000000002</v>
      </c>
      <c r="P36" s="388">
        <f t="shared" si="9"/>
        <v>24959.600000000002</v>
      </c>
      <c r="Q36" s="388">
        <f t="shared" si="9"/>
        <v>21314.600000000002</v>
      </c>
      <c r="R36" s="49"/>
      <c r="S36" s="49"/>
      <c r="T36" s="49"/>
      <c r="U36" s="49"/>
      <c r="V36" s="49"/>
      <c r="W36" s="49"/>
      <c r="X36" s="49"/>
      <c r="Y36" s="49"/>
      <c r="Z36" s="49"/>
      <c r="AA36" s="49"/>
      <c r="AB36" s="49"/>
      <c r="AC36" s="49"/>
    </row>
    <row r="37" spans="1:29">
      <c r="A37" s="43"/>
      <c r="B37" s="43"/>
      <c r="C37" s="43"/>
      <c r="D37" s="43"/>
      <c r="E37" s="43"/>
      <c r="F37" s="696" t="s">
        <v>2128</v>
      </c>
      <c r="G37" s="636"/>
      <c r="H37" s="388">
        <f t="shared" ref="H37:Q37" si="10">H8*0.07</f>
        <v>29400.000000000004</v>
      </c>
      <c r="I37" s="388">
        <f t="shared" si="10"/>
        <v>29400.000000000004</v>
      </c>
      <c r="J37" s="388">
        <f t="shared" si="10"/>
        <v>20999.300000000003</v>
      </c>
      <c r="K37" s="388">
        <f t="shared" si="10"/>
        <v>20999.300000000003</v>
      </c>
      <c r="L37" s="388">
        <f t="shared" si="10"/>
        <v>20999.300000000003</v>
      </c>
      <c r="M37" s="388">
        <f t="shared" si="10"/>
        <v>20999.300000000003</v>
      </c>
      <c r="N37" s="388">
        <f t="shared" si="10"/>
        <v>20999.300000000003</v>
      </c>
      <c r="O37" s="388">
        <f t="shared" si="10"/>
        <v>20999.300000000003</v>
      </c>
      <c r="P37" s="388">
        <f t="shared" si="10"/>
        <v>20999.300000000003</v>
      </c>
      <c r="Q37" s="388">
        <f t="shared" si="10"/>
        <v>20999.300000000003</v>
      </c>
      <c r="R37" s="49"/>
      <c r="S37" s="49"/>
      <c r="T37" s="49"/>
      <c r="U37" s="49"/>
      <c r="V37" s="49"/>
      <c r="W37" s="49"/>
      <c r="X37" s="49"/>
      <c r="Y37" s="49"/>
      <c r="Z37" s="49"/>
      <c r="AA37" s="49"/>
      <c r="AB37" s="49"/>
      <c r="AC37" s="49"/>
    </row>
    <row r="38" spans="1:29">
      <c r="A38" s="43"/>
      <c r="B38" s="43"/>
      <c r="C38" s="43"/>
      <c r="D38" s="43"/>
      <c r="E38" s="43"/>
      <c r="G38" s="43"/>
      <c r="H38" s="43"/>
      <c r="I38" s="43"/>
      <c r="J38" s="43"/>
      <c r="K38" s="43"/>
      <c r="L38" s="43"/>
      <c r="M38" s="43"/>
      <c r="N38" s="43"/>
      <c r="O38" s="43"/>
      <c r="P38" s="43"/>
      <c r="Q38" s="43"/>
      <c r="R38" s="49"/>
      <c r="S38" s="49"/>
      <c r="T38" s="49"/>
      <c r="U38" s="49"/>
      <c r="V38" s="49"/>
      <c r="W38" s="49"/>
      <c r="X38" s="49"/>
      <c r="Y38" s="49"/>
      <c r="Z38" s="49"/>
      <c r="AA38" s="49"/>
      <c r="AB38" s="49"/>
      <c r="AC38" s="49"/>
    </row>
    <row r="39" spans="1:29">
      <c r="A39" s="43"/>
      <c r="B39" s="43"/>
      <c r="C39" s="43"/>
      <c r="D39" s="43"/>
      <c r="E39" s="43"/>
      <c r="F39" s="696" t="s">
        <v>2129</v>
      </c>
      <c r="G39" s="636"/>
      <c r="H39" s="389">
        <f t="shared" ref="H39:Q39" si="11">SUM(H31:H37)</f>
        <v>56523.25</v>
      </c>
      <c r="I39" s="389">
        <f t="shared" si="11"/>
        <v>59457.75</v>
      </c>
      <c r="J39" s="389">
        <f t="shared" si="11"/>
        <v>49928.4</v>
      </c>
      <c r="K39" s="389">
        <f t="shared" si="11"/>
        <v>55213.9</v>
      </c>
      <c r="L39" s="389">
        <f t="shared" si="11"/>
        <v>69163.150000000009</v>
      </c>
      <c r="M39" s="389">
        <f t="shared" si="11"/>
        <v>97617.400000000009</v>
      </c>
      <c r="N39" s="389">
        <f t="shared" si="11"/>
        <v>125424.90000000001</v>
      </c>
      <c r="O39" s="389">
        <f t="shared" si="11"/>
        <v>150409.90000000002</v>
      </c>
      <c r="P39" s="389">
        <f t="shared" si="11"/>
        <v>172584.90000000002</v>
      </c>
      <c r="Q39" s="389">
        <f t="shared" si="11"/>
        <v>109469.40000000001</v>
      </c>
      <c r="R39" s="49"/>
      <c r="S39" s="49"/>
      <c r="T39" s="49"/>
      <c r="U39" s="49"/>
      <c r="V39" s="49"/>
      <c r="W39" s="49"/>
      <c r="X39" s="49"/>
      <c r="Y39" s="49"/>
      <c r="Z39" s="49"/>
      <c r="AA39" s="49"/>
      <c r="AB39" s="49"/>
      <c r="AC39" s="49"/>
    </row>
    <row r="40" spans="1:29">
      <c r="A40" s="43"/>
      <c r="B40" s="43"/>
      <c r="C40" s="43"/>
      <c r="D40" s="43"/>
      <c r="E40" s="43"/>
      <c r="F40" s="43" t="s">
        <v>2130</v>
      </c>
      <c r="G40" s="43"/>
      <c r="H40" s="43"/>
      <c r="I40" s="43"/>
      <c r="J40" s="43"/>
      <c r="K40" s="43"/>
      <c r="L40" s="43"/>
      <c r="M40" s="43"/>
      <c r="N40" s="43"/>
      <c r="O40" s="43"/>
      <c r="P40" s="43"/>
      <c r="Q40" s="43"/>
      <c r="R40" s="49"/>
      <c r="S40" s="49"/>
      <c r="T40" s="49"/>
      <c r="U40" s="49"/>
      <c r="V40" s="49"/>
      <c r="W40" s="49"/>
      <c r="X40" s="49"/>
      <c r="Y40" s="49"/>
      <c r="Z40" s="49"/>
      <c r="AA40" s="49"/>
      <c r="AB40" s="49"/>
      <c r="AC40" s="49"/>
    </row>
    <row r="41" spans="1:29">
      <c r="A41" s="43"/>
      <c r="B41" s="43"/>
      <c r="C41" s="43"/>
      <c r="D41" s="43"/>
      <c r="E41" s="43"/>
      <c r="F41" s="43"/>
      <c r="G41" s="43"/>
      <c r="H41" s="43"/>
      <c r="I41" s="43"/>
      <c r="J41" s="43"/>
      <c r="K41" s="43"/>
      <c r="L41" s="43"/>
      <c r="M41" s="43"/>
      <c r="N41" s="43"/>
      <c r="O41" s="43"/>
      <c r="P41" s="43"/>
      <c r="Q41" s="43"/>
      <c r="R41" s="49"/>
      <c r="S41" s="49"/>
      <c r="T41" s="49"/>
      <c r="U41" s="49"/>
      <c r="V41" s="49"/>
      <c r="W41" s="49"/>
      <c r="X41" s="49"/>
      <c r="Y41" s="49"/>
      <c r="Z41" s="49"/>
      <c r="AA41" s="49"/>
      <c r="AB41" s="49"/>
      <c r="AC41" s="49"/>
    </row>
    <row r="42" spans="1:29">
      <c r="A42" s="43"/>
      <c r="B42" s="43"/>
      <c r="C42" s="43"/>
      <c r="D42" s="43"/>
      <c r="E42" s="43"/>
      <c r="F42" s="697" t="s">
        <v>2143</v>
      </c>
      <c r="G42" s="635"/>
      <c r="H42" s="636"/>
      <c r="I42" s="43"/>
      <c r="J42" s="43"/>
      <c r="K42" s="43"/>
      <c r="L42" s="43"/>
      <c r="M42" s="43"/>
      <c r="N42" s="43"/>
      <c r="O42" s="43"/>
      <c r="P42" s="43"/>
      <c r="Q42" s="43"/>
      <c r="R42" s="49"/>
      <c r="S42" s="49"/>
      <c r="T42" s="49"/>
      <c r="U42" s="49"/>
      <c r="V42" s="49"/>
      <c r="W42" s="49"/>
      <c r="X42" s="49"/>
      <c r="Y42" s="49"/>
      <c r="Z42" s="49"/>
      <c r="AA42" s="49"/>
      <c r="AB42" s="49"/>
      <c r="AC42" s="49"/>
    </row>
    <row r="43" spans="1:29">
      <c r="A43" s="43"/>
      <c r="B43" s="43"/>
      <c r="C43" s="43"/>
      <c r="D43" s="43"/>
      <c r="E43" s="43"/>
      <c r="F43" s="43"/>
      <c r="G43" s="43"/>
      <c r="H43" s="43"/>
      <c r="I43" s="43"/>
      <c r="J43" s="43"/>
      <c r="K43" s="43"/>
      <c r="L43" s="43"/>
      <c r="M43" s="43"/>
      <c r="N43" s="43"/>
      <c r="O43" s="43"/>
      <c r="P43" s="43"/>
      <c r="Q43" s="43"/>
      <c r="R43" s="49"/>
      <c r="S43" s="49"/>
      <c r="T43" s="49"/>
      <c r="U43" s="49"/>
      <c r="V43" s="49"/>
      <c r="W43" s="49"/>
      <c r="X43" s="49"/>
      <c r="Y43" s="49"/>
      <c r="Z43" s="49"/>
      <c r="AA43" s="49"/>
      <c r="AB43" s="49"/>
      <c r="AC43" s="49"/>
    </row>
    <row r="44" spans="1:29">
      <c r="A44" s="43"/>
      <c r="B44" s="43"/>
      <c r="C44" s="43"/>
      <c r="D44" s="43"/>
      <c r="E44" s="43"/>
      <c r="F44" s="43"/>
      <c r="R44" s="49"/>
      <c r="S44" s="49"/>
      <c r="T44" s="49"/>
      <c r="U44" s="49"/>
      <c r="V44" s="49"/>
      <c r="W44" s="49"/>
      <c r="X44" s="49"/>
      <c r="Y44" s="49"/>
      <c r="Z44" s="49"/>
      <c r="AA44" s="49"/>
      <c r="AB44" s="49"/>
      <c r="AC44" s="49"/>
    </row>
    <row r="45" spans="1:29">
      <c r="A45" s="43"/>
      <c r="B45" s="43"/>
      <c r="C45" s="43"/>
      <c r="D45" s="43"/>
      <c r="E45" s="43"/>
      <c r="F45" s="43"/>
      <c r="G45" s="43" t="s">
        <v>2132</v>
      </c>
      <c r="H45" s="88">
        <f t="shared" ref="H45:Q45" si="12">-SUM(H36:H37)</f>
        <v>-47779.5</v>
      </c>
      <c r="I45" s="88">
        <f t="shared" si="12"/>
        <v>-48630</v>
      </c>
      <c r="J45" s="88">
        <f t="shared" si="12"/>
        <v>-36441.4</v>
      </c>
      <c r="K45" s="88">
        <f t="shared" si="12"/>
        <v>-37858.9</v>
      </c>
      <c r="L45" s="88">
        <f t="shared" si="12"/>
        <v>-39478.900000000009</v>
      </c>
      <c r="M45" s="88">
        <f t="shared" si="12"/>
        <v>-41098.900000000009</v>
      </c>
      <c r="N45" s="88">
        <f t="shared" si="12"/>
        <v>-42313.900000000009</v>
      </c>
      <c r="O45" s="88">
        <f t="shared" si="12"/>
        <v>-43123.900000000009</v>
      </c>
      <c r="P45" s="88">
        <f t="shared" si="12"/>
        <v>-45958.900000000009</v>
      </c>
      <c r="Q45" s="88">
        <f t="shared" si="12"/>
        <v>-42313.900000000009</v>
      </c>
      <c r="R45" s="49"/>
      <c r="S45" s="49"/>
      <c r="T45" s="49"/>
      <c r="U45" s="49"/>
      <c r="V45" s="49"/>
      <c r="W45" s="49"/>
      <c r="X45" s="49"/>
      <c r="Y45" s="49"/>
      <c r="Z45" s="49"/>
      <c r="AA45" s="49"/>
      <c r="AB45" s="49"/>
      <c r="AC45" s="49"/>
    </row>
    <row r="46" spans="1:29">
      <c r="A46" s="43"/>
      <c r="B46" s="43"/>
      <c r="C46" s="43"/>
      <c r="D46" s="43"/>
      <c r="E46" s="43"/>
      <c r="F46" s="43"/>
      <c r="G46" s="43" t="s">
        <v>2133</v>
      </c>
      <c r="H46" s="88">
        <f t="shared" ref="H46:Q46" si="13">-SUM(H31:H35)</f>
        <v>-8743.75</v>
      </c>
      <c r="I46" s="88">
        <f t="shared" si="13"/>
        <v>-10827.75</v>
      </c>
      <c r="J46" s="88">
        <f t="shared" si="13"/>
        <v>-13487</v>
      </c>
      <c r="K46" s="88">
        <f t="shared" si="13"/>
        <v>-17355</v>
      </c>
      <c r="L46" s="88">
        <f t="shared" si="13"/>
        <v>-29684.25</v>
      </c>
      <c r="M46" s="88">
        <f t="shared" si="13"/>
        <v>-56518.5</v>
      </c>
      <c r="N46" s="88">
        <f t="shared" si="13"/>
        <v>-83111</v>
      </c>
      <c r="O46" s="88">
        <f t="shared" si="13"/>
        <v>-107286</v>
      </c>
      <c r="P46" s="88">
        <f t="shared" si="13"/>
        <v>-126626</v>
      </c>
      <c r="Q46" s="88">
        <f t="shared" si="13"/>
        <v>-67155.5</v>
      </c>
      <c r="R46" s="49"/>
      <c r="S46" s="49"/>
      <c r="T46" s="49"/>
      <c r="U46" s="49"/>
      <c r="V46" s="49"/>
      <c r="W46" s="49"/>
      <c r="X46" s="49"/>
      <c r="Y46" s="49"/>
      <c r="Z46" s="49"/>
      <c r="AA46" s="49"/>
      <c r="AB46" s="49"/>
      <c r="AC46" s="49"/>
    </row>
    <row r="47" spans="1:29">
      <c r="A47" s="43"/>
      <c r="B47" s="43"/>
      <c r="C47" s="43"/>
      <c r="D47" s="43"/>
      <c r="E47" s="43"/>
      <c r="F47" s="49"/>
      <c r="G47" s="43"/>
      <c r="H47" s="43"/>
      <c r="I47" s="43"/>
      <c r="J47" s="43"/>
      <c r="K47" s="43"/>
      <c r="L47" s="43"/>
      <c r="M47" s="43"/>
      <c r="N47" s="43"/>
      <c r="O47" s="43"/>
      <c r="P47" s="43"/>
      <c r="Q47" s="43"/>
      <c r="R47" s="49"/>
      <c r="S47" s="49"/>
      <c r="T47" s="49"/>
      <c r="U47" s="49"/>
      <c r="V47" s="49"/>
      <c r="W47" s="49"/>
      <c r="X47" s="49"/>
      <c r="Y47" s="49"/>
      <c r="Z47" s="49"/>
      <c r="AA47" s="49"/>
      <c r="AB47" s="49"/>
      <c r="AC47" s="49"/>
    </row>
    <row r="48" spans="1:29" ht="17.25">
      <c r="A48" s="43"/>
      <c r="B48" s="43"/>
      <c r="C48" s="43"/>
      <c r="D48" s="43"/>
      <c r="E48" s="43"/>
      <c r="F48" s="390" t="s">
        <v>2134</v>
      </c>
      <c r="G48" s="56"/>
      <c r="H48" s="45" t="s">
        <v>39</v>
      </c>
      <c r="I48" s="45" t="s">
        <v>40</v>
      </c>
      <c r="J48" s="45" t="s">
        <v>41</v>
      </c>
      <c r="K48" s="45" t="s">
        <v>42</v>
      </c>
      <c r="L48" s="45" t="s">
        <v>43</v>
      </c>
      <c r="M48" s="45" t="s">
        <v>44</v>
      </c>
      <c r="N48" s="45" t="s">
        <v>33</v>
      </c>
      <c r="O48" s="45" t="s">
        <v>34</v>
      </c>
      <c r="P48" s="46" t="s">
        <v>35</v>
      </c>
      <c r="Q48" s="47" t="s">
        <v>36</v>
      </c>
      <c r="R48" s="49"/>
      <c r="S48" s="49"/>
      <c r="T48" s="49"/>
      <c r="U48" s="49"/>
      <c r="V48" s="49"/>
      <c r="W48" s="49"/>
      <c r="X48" s="49"/>
      <c r="Y48" s="49"/>
      <c r="Z48" s="49"/>
      <c r="AA48" s="49"/>
      <c r="AB48" s="49"/>
      <c r="AC48" s="49"/>
    </row>
    <row r="49" spans="1:29">
      <c r="A49" s="43"/>
      <c r="B49" s="43"/>
      <c r="C49" s="43"/>
      <c r="D49" s="43"/>
      <c r="E49" s="43"/>
      <c r="F49" s="391">
        <v>45682</v>
      </c>
      <c r="G49" s="56"/>
      <c r="H49" s="56"/>
      <c r="I49" s="56"/>
      <c r="J49" s="56"/>
      <c r="K49" s="56"/>
      <c r="L49" s="56"/>
      <c r="M49" s="56"/>
      <c r="N49" s="56"/>
      <c r="O49" s="56"/>
      <c r="P49" s="56"/>
      <c r="Q49" s="393"/>
      <c r="R49" s="49"/>
      <c r="S49" s="49"/>
      <c r="T49" s="49"/>
      <c r="U49" s="49"/>
      <c r="V49" s="49"/>
      <c r="W49" s="49"/>
      <c r="X49" s="49"/>
      <c r="Y49" s="49"/>
      <c r="Z49" s="49"/>
      <c r="AA49" s="49"/>
      <c r="AB49" s="49"/>
      <c r="AC49" s="49"/>
    </row>
    <row r="50" spans="1:29">
      <c r="A50" s="43"/>
      <c r="B50" s="43"/>
      <c r="C50" s="43"/>
      <c r="D50" s="43"/>
      <c r="E50" s="43"/>
      <c r="F50" s="394" t="s">
        <v>2135</v>
      </c>
      <c r="G50" s="43"/>
      <c r="H50" s="43"/>
      <c r="I50" s="43"/>
      <c r="J50" s="43"/>
      <c r="K50" s="43"/>
      <c r="L50" s="43"/>
      <c r="M50" s="43"/>
      <c r="N50" s="43"/>
      <c r="O50" s="43"/>
      <c r="P50" s="43"/>
      <c r="Q50" s="396"/>
      <c r="R50" s="49"/>
      <c r="S50" s="49"/>
      <c r="T50" s="49"/>
      <c r="U50" s="49"/>
      <c r="V50" s="49"/>
      <c r="W50" s="49"/>
      <c r="X50" s="49"/>
      <c r="Y50" s="49"/>
      <c r="Z50" s="49"/>
      <c r="AA50" s="49"/>
      <c r="AB50" s="49"/>
      <c r="AC50" s="49"/>
    </row>
    <row r="51" spans="1:29">
      <c r="A51" s="43"/>
      <c r="B51" s="43"/>
      <c r="C51" s="43"/>
      <c r="D51" s="43"/>
      <c r="E51" s="43"/>
      <c r="F51" s="394" t="s">
        <v>2136</v>
      </c>
      <c r="G51" s="43"/>
      <c r="H51" s="43"/>
      <c r="I51" s="43"/>
      <c r="J51" s="43"/>
      <c r="K51" s="43"/>
      <c r="L51" s="43"/>
      <c r="M51" s="43"/>
      <c r="N51" s="43"/>
      <c r="O51" s="43"/>
      <c r="P51" s="43"/>
      <c r="Q51" s="396"/>
      <c r="R51" s="49"/>
      <c r="S51" s="49"/>
      <c r="T51" s="49"/>
      <c r="U51" s="49"/>
      <c r="V51" s="49"/>
      <c r="W51" s="49"/>
      <c r="X51" s="49"/>
      <c r="Y51" s="49"/>
      <c r="Z51" s="49"/>
      <c r="AA51" s="49"/>
      <c r="AB51" s="49"/>
      <c r="AC51" s="49"/>
    </row>
    <row r="52" spans="1:29">
      <c r="A52" s="43"/>
      <c r="B52" s="43"/>
      <c r="C52" s="43"/>
      <c r="D52" s="43"/>
      <c r="E52" s="43"/>
      <c r="F52" s="394" t="s">
        <v>2134</v>
      </c>
      <c r="G52" s="395" t="e">
        <f>SUM(H52:Q52)</f>
        <v>#REF!</v>
      </c>
      <c r="H52" s="395" t="e">
        <f t="shared" ref="H52:H53" si="14">#REF!*(1-$C$30)</f>
        <v>#REF!</v>
      </c>
      <c r="I52" s="395" t="e">
        <f t="shared" ref="I52:Q52" si="15">H52*(1-$C$30)</f>
        <v>#REF!</v>
      </c>
      <c r="J52" s="395" t="e">
        <f t="shared" si="15"/>
        <v>#REF!</v>
      </c>
      <c r="K52" s="395" t="e">
        <f t="shared" si="15"/>
        <v>#REF!</v>
      </c>
      <c r="L52" s="395" t="e">
        <f t="shared" si="15"/>
        <v>#REF!</v>
      </c>
      <c r="M52" s="395" t="e">
        <f t="shared" si="15"/>
        <v>#REF!</v>
      </c>
      <c r="N52" s="395" t="e">
        <f t="shared" si="15"/>
        <v>#REF!</v>
      </c>
      <c r="O52" s="395" t="e">
        <f t="shared" si="15"/>
        <v>#REF!</v>
      </c>
      <c r="P52" s="395" t="e">
        <f t="shared" si="15"/>
        <v>#REF!</v>
      </c>
      <c r="Q52" s="397" t="e">
        <f t="shared" si="15"/>
        <v>#REF!</v>
      </c>
      <c r="R52" s="49"/>
      <c r="S52" s="49"/>
      <c r="T52" s="49"/>
      <c r="U52" s="49"/>
      <c r="V52" s="49"/>
      <c r="W52" s="49"/>
      <c r="X52" s="49"/>
      <c r="Y52" s="49"/>
      <c r="Z52" s="49"/>
      <c r="AA52" s="49"/>
      <c r="AB52" s="49"/>
      <c r="AC52" s="49"/>
    </row>
    <row r="53" spans="1:29">
      <c r="A53" s="43"/>
      <c r="B53" s="43"/>
      <c r="C53" s="43"/>
      <c r="D53" s="43"/>
      <c r="E53" s="43"/>
      <c r="F53" s="394" t="s">
        <v>2137</v>
      </c>
      <c r="G53" s="395" t="e">
        <f>SUM(H53:Q54)</f>
        <v>#REF!</v>
      </c>
      <c r="H53" s="395" t="e">
        <f t="shared" si="14"/>
        <v>#REF!</v>
      </c>
      <c r="I53" s="395" t="e">
        <f t="shared" ref="I53:Q53" si="16">H53*(1-$C$30)</f>
        <v>#REF!</v>
      </c>
      <c r="J53" s="395" t="e">
        <f t="shared" si="16"/>
        <v>#REF!</v>
      </c>
      <c r="K53" s="395" t="e">
        <f t="shared" si="16"/>
        <v>#REF!</v>
      </c>
      <c r="L53" s="395" t="e">
        <f t="shared" si="16"/>
        <v>#REF!</v>
      </c>
      <c r="M53" s="395" t="e">
        <f t="shared" si="16"/>
        <v>#REF!</v>
      </c>
      <c r="N53" s="395" t="e">
        <f t="shared" si="16"/>
        <v>#REF!</v>
      </c>
      <c r="O53" s="395" t="e">
        <f t="shared" si="16"/>
        <v>#REF!</v>
      </c>
      <c r="P53" s="395" t="e">
        <f t="shared" si="16"/>
        <v>#REF!</v>
      </c>
      <c r="Q53" s="397" t="e">
        <f t="shared" si="16"/>
        <v>#REF!</v>
      </c>
      <c r="R53" s="49"/>
      <c r="S53" s="49"/>
      <c r="T53" s="49"/>
      <c r="U53" s="49"/>
      <c r="V53" s="49"/>
      <c r="W53" s="49"/>
      <c r="X53" s="49"/>
      <c r="Y53" s="49"/>
      <c r="Z53" s="49"/>
      <c r="AA53" s="49"/>
      <c r="AB53" s="49"/>
      <c r="AC53" s="49"/>
    </row>
    <row r="54" spans="1:29">
      <c r="A54" s="43"/>
      <c r="B54" s="43"/>
      <c r="C54" s="43"/>
      <c r="D54" s="43"/>
      <c r="E54" s="43"/>
      <c r="F54" s="399"/>
      <c r="G54" s="400"/>
      <c r="H54" s="401" t="e">
        <f>#REF!</f>
        <v>#REF!</v>
      </c>
      <c r="I54" s="402" t="e">
        <f t="shared" ref="I54:Q54" si="17">H54*(1-$C$30)</f>
        <v>#REF!</v>
      </c>
      <c r="J54" s="402" t="e">
        <f t="shared" si="17"/>
        <v>#REF!</v>
      </c>
      <c r="K54" s="402" t="e">
        <f t="shared" si="17"/>
        <v>#REF!</v>
      </c>
      <c r="L54" s="402" t="e">
        <f t="shared" si="17"/>
        <v>#REF!</v>
      </c>
      <c r="M54" s="402" t="e">
        <f t="shared" si="17"/>
        <v>#REF!</v>
      </c>
      <c r="N54" s="402" t="e">
        <f t="shared" si="17"/>
        <v>#REF!</v>
      </c>
      <c r="O54" s="402" t="e">
        <f t="shared" si="17"/>
        <v>#REF!</v>
      </c>
      <c r="P54" s="402" t="e">
        <f t="shared" si="17"/>
        <v>#REF!</v>
      </c>
      <c r="Q54" s="403" t="e">
        <f t="shared" si="17"/>
        <v>#REF!</v>
      </c>
      <c r="R54" s="49"/>
      <c r="S54" s="49"/>
      <c r="T54" s="49"/>
      <c r="U54" s="49"/>
      <c r="V54" s="49"/>
      <c r="W54" s="49"/>
      <c r="X54" s="49"/>
      <c r="Y54" s="49"/>
      <c r="Z54" s="49"/>
      <c r="AA54" s="49"/>
      <c r="AB54" s="49"/>
      <c r="AC54" s="49"/>
    </row>
    <row r="55" spans="1:29">
      <c r="A55" s="43"/>
      <c r="B55" s="43"/>
      <c r="C55" s="43"/>
      <c r="D55" s="43"/>
      <c r="E55" s="43"/>
      <c r="F55" s="43"/>
      <c r="G55" s="43"/>
      <c r="H55" s="43"/>
      <c r="I55" s="43"/>
      <c r="J55" s="43"/>
      <c r="K55" s="43"/>
      <c r="L55" s="43"/>
      <c r="M55" s="43"/>
      <c r="N55" s="43"/>
      <c r="O55" s="43"/>
      <c r="P55" s="43"/>
      <c r="Q55" s="43"/>
      <c r="R55" s="49"/>
      <c r="S55" s="49"/>
      <c r="T55" s="49"/>
      <c r="U55" s="49"/>
      <c r="V55" s="49"/>
      <c r="W55" s="49"/>
      <c r="X55" s="49"/>
      <c r="Y55" s="49"/>
      <c r="Z55" s="49"/>
      <c r="AA55" s="49"/>
      <c r="AB55" s="49"/>
      <c r="AC55" s="49"/>
    </row>
    <row r="56" spans="1:29" ht="17.25">
      <c r="A56" s="43"/>
      <c r="B56" s="43"/>
      <c r="C56" s="43"/>
      <c r="D56" s="43"/>
      <c r="E56" s="43"/>
      <c r="F56" s="390" t="s">
        <v>2134</v>
      </c>
      <c r="G56" s="56"/>
      <c r="H56" s="45" t="s">
        <v>39</v>
      </c>
      <c r="I56" s="45" t="s">
        <v>40</v>
      </c>
      <c r="J56" s="45" t="s">
        <v>41</v>
      </c>
      <c r="K56" s="45" t="s">
        <v>42</v>
      </c>
      <c r="L56" s="45" t="s">
        <v>43</v>
      </c>
      <c r="M56" s="45" t="s">
        <v>44</v>
      </c>
      <c r="N56" s="45" t="s">
        <v>33</v>
      </c>
      <c r="O56" s="45" t="s">
        <v>34</v>
      </c>
      <c r="P56" s="46" t="s">
        <v>35</v>
      </c>
      <c r="Q56" s="47" t="s">
        <v>36</v>
      </c>
      <c r="R56" s="49"/>
      <c r="S56" s="49"/>
      <c r="T56" s="49"/>
      <c r="U56" s="49"/>
      <c r="V56" s="49"/>
      <c r="W56" s="49"/>
      <c r="X56" s="49"/>
      <c r="Y56" s="49"/>
      <c r="Z56" s="49"/>
      <c r="AA56" s="49"/>
      <c r="AB56" s="49"/>
      <c r="AC56" s="49"/>
    </row>
    <row r="57" spans="1:29">
      <c r="A57" s="43"/>
      <c r="B57" s="43"/>
      <c r="C57" s="43"/>
      <c r="D57" s="43"/>
      <c r="E57" s="43"/>
      <c r="F57" s="391">
        <v>45713</v>
      </c>
      <c r="G57" s="56"/>
      <c r="H57" s="56"/>
      <c r="I57" s="56"/>
      <c r="J57" s="56"/>
      <c r="K57" s="56"/>
      <c r="L57" s="56"/>
      <c r="M57" s="56"/>
      <c r="N57" s="56"/>
      <c r="O57" s="56"/>
      <c r="P57" s="56"/>
      <c r="Q57" s="393"/>
      <c r="R57" s="49"/>
      <c r="S57" s="49"/>
      <c r="T57" s="49"/>
      <c r="U57" s="49"/>
      <c r="V57" s="49"/>
      <c r="W57" s="49"/>
      <c r="X57" s="49"/>
      <c r="Y57" s="49"/>
      <c r="Z57" s="49"/>
      <c r="AA57" s="49"/>
      <c r="AB57" s="49"/>
      <c r="AC57" s="49"/>
    </row>
    <row r="58" spans="1:29">
      <c r="A58" s="43"/>
      <c r="B58" s="43"/>
      <c r="C58" s="43"/>
      <c r="D58" s="43"/>
      <c r="E58" s="43"/>
      <c r="F58" s="394" t="s">
        <v>2135</v>
      </c>
      <c r="G58" s="43"/>
      <c r="H58" s="395">
        <f>SUM(H12*$C$15)</f>
        <v>50625</v>
      </c>
      <c r="I58" s="395"/>
      <c r="J58" s="395"/>
      <c r="K58" s="395"/>
      <c r="L58" s="395"/>
      <c r="M58" s="395"/>
      <c r="N58" s="395"/>
      <c r="O58" s="395"/>
      <c r="P58" s="395"/>
      <c r="Q58" s="395"/>
      <c r="R58" s="49"/>
      <c r="S58" s="49"/>
      <c r="T58" s="49"/>
      <c r="U58" s="49"/>
      <c r="V58" s="49"/>
      <c r="W58" s="49"/>
      <c r="X58" s="49"/>
      <c r="Y58" s="49"/>
      <c r="Z58" s="49"/>
      <c r="AA58" s="49"/>
      <c r="AB58" s="49"/>
      <c r="AC58" s="49"/>
    </row>
    <row r="59" spans="1:29">
      <c r="A59" s="43"/>
      <c r="B59" s="43"/>
      <c r="C59" s="43"/>
      <c r="D59" s="43"/>
      <c r="E59" s="43"/>
      <c r="F59" s="394" t="s">
        <v>2136</v>
      </c>
      <c r="G59" s="43"/>
      <c r="H59" s="395"/>
      <c r="I59" s="395"/>
      <c r="J59" s="395"/>
      <c r="K59" s="395"/>
      <c r="L59" s="395"/>
      <c r="M59" s="395"/>
      <c r="N59" s="395"/>
      <c r="O59" s="395"/>
      <c r="P59" s="395"/>
      <c r="Q59" s="395"/>
      <c r="R59" s="49"/>
      <c r="S59" s="49"/>
      <c r="T59" s="49"/>
      <c r="U59" s="49"/>
      <c r="V59" s="49"/>
      <c r="W59" s="49"/>
      <c r="X59" s="49"/>
      <c r="Y59" s="49"/>
      <c r="Z59" s="49"/>
      <c r="AA59" s="49"/>
      <c r="AB59" s="49"/>
      <c r="AC59" s="49"/>
    </row>
    <row r="60" spans="1:29">
      <c r="A60" s="43"/>
      <c r="B60" s="43"/>
      <c r="C60" s="43"/>
      <c r="D60" s="43"/>
      <c r="E60" s="43"/>
      <c r="F60" s="394" t="s">
        <v>2134</v>
      </c>
      <c r="G60" s="395" t="e">
        <f>SUM(H60:Q60)</f>
        <v>#REF!</v>
      </c>
      <c r="H60" s="395" t="e">
        <f>#REF!*(1-$C$30)</f>
        <v>#REF!</v>
      </c>
      <c r="I60" s="395" t="e">
        <f t="shared" ref="I60:Q60" si="18">H60*(1-$C$30)</f>
        <v>#REF!</v>
      </c>
      <c r="J60" s="395" t="e">
        <f t="shared" si="18"/>
        <v>#REF!</v>
      </c>
      <c r="K60" s="395" t="e">
        <f t="shared" si="18"/>
        <v>#REF!</v>
      </c>
      <c r="L60" s="395" t="e">
        <f t="shared" si="18"/>
        <v>#REF!</v>
      </c>
      <c r="M60" s="395" t="e">
        <f t="shared" si="18"/>
        <v>#REF!</v>
      </c>
      <c r="N60" s="395" t="e">
        <f t="shared" si="18"/>
        <v>#REF!</v>
      </c>
      <c r="O60" s="395" t="e">
        <f t="shared" si="18"/>
        <v>#REF!</v>
      </c>
      <c r="P60" s="395" t="e">
        <f t="shared" si="18"/>
        <v>#REF!</v>
      </c>
      <c r="Q60" s="397" t="e">
        <f t="shared" si="18"/>
        <v>#REF!</v>
      </c>
      <c r="R60" s="49"/>
      <c r="S60" s="49"/>
      <c r="T60" s="49"/>
      <c r="U60" s="49"/>
      <c r="V60" s="49"/>
      <c r="W60" s="49"/>
      <c r="X60" s="49"/>
      <c r="Y60" s="49"/>
      <c r="Z60" s="49"/>
      <c r="AA60" s="49"/>
      <c r="AB60" s="49"/>
      <c r="AC60" s="49"/>
    </row>
    <row r="61" spans="1:29">
      <c r="A61" s="43"/>
      <c r="B61" s="43"/>
      <c r="C61" s="43"/>
      <c r="D61" s="43"/>
      <c r="E61" s="43"/>
      <c r="F61" s="394" t="s">
        <v>2137</v>
      </c>
      <c r="G61" s="395" t="e">
        <f>SUM(H61:Q62)</f>
        <v>#REF!</v>
      </c>
      <c r="H61" s="398">
        <v>51500</v>
      </c>
      <c r="I61" s="395">
        <f t="shared" ref="I61:Q61" si="19">H61*(1-$C$30)</f>
        <v>48152.5</v>
      </c>
      <c r="J61" s="395">
        <f t="shared" si="19"/>
        <v>45022.587500000001</v>
      </c>
      <c r="K61" s="395">
        <f t="shared" si="19"/>
        <v>42096.119312500006</v>
      </c>
      <c r="L61" s="395">
        <f t="shared" si="19"/>
        <v>39359.871557187507</v>
      </c>
      <c r="M61" s="395">
        <f t="shared" si="19"/>
        <v>36801.479905970322</v>
      </c>
      <c r="N61" s="395">
        <f t="shared" si="19"/>
        <v>34409.38371208225</v>
      </c>
      <c r="O61" s="395">
        <f t="shared" si="19"/>
        <v>32172.773770796906</v>
      </c>
      <c r="P61" s="395">
        <f t="shared" si="19"/>
        <v>30081.543475695111</v>
      </c>
      <c r="Q61" s="397">
        <f t="shared" si="19"/>
        <v>28126.243149774931</v>
      </c>
      <c r="R61" s="49"/>
      <c r="S61" s="49"/>
      <c r="T61" s="49"/>
      <c r="U61" s="49"/>
      <c r="V61" s="49"/>
      <c r="W61" s="49"/>
      <c r="X61" s="49"/>
      <c r="Y61" s="49"/>
      <c r="Z61" s="49"/>
      <c r="AA61" s="49"/>
      <c r="AB61" s="49"/>
      <c r="AC61" s="49"/>
    </row>
    <row r="62" spans="1:29">
      <c r="A62" s="43"/>
      <c r="B62" s="43"/>
      <c r="C62" s="43"/>
      <c r="D62" s="43"/>
      <c r="E62" s="43"/>
      <c r="F62" s="399"/>
      <c r="G62" s="400"/>
      <c r="H62" s="402" t="e">
        <f>#REF!</f>
        <v>#REF!</v>
      </c>
      <c r="I62" s="402" t="e">
        <f t="shared" ref="I62:Q62" si="20">H62*(1-$C$30)</f>
        <v>#REF!</v>
      </c>
      <c r="J62" s="402" t="e">
        <f t="shared" si="20"/>
        <v>#REF!</v>
      </c>
      <c r="K62" s="402" t="e">
        <f t="shared" si="20"/>
        <v>#REF!</v>
      </c>
      <c r="L62" s="402" t="e">
        <f t="shared" si="20"/>
        <v>#REF!</v>
      </c>
      <c r="M62" s="402" t="e">
        <f t="shared" si="20"/>
        <v>#REF!</v>
      </c>
      <c r="N62" s="402" t="e">
        <f t="shared" si="20"/>
        <v>#REF!</v>
      </c>
      <c r="O62" s="402" t="e">
        <f t="shared" si="20"/>
        <v>#REF!</v>
      </c>
      <c r="P62" s="402" t="e">
        <f t="shared" si="20"/>
        <v>#REF!</v>
      </c>
      <c r="Q62" s="403" t="e">
        <f t="shared" si="20"/>
        <v>#REF!</v>
      </c>
      <c r="R62" s="49"/>
      <c r="S62" s="49"/>
      <c r="T62" s="49"/>
      <c r="U62" s="49"/>
      <c r="V62" s="49"/>
      <c r="W62" s="49"/>
      <c r="X62" s="49"/>
      <c r="Y62" s="49"/>
      <c r="Z62" s="49"/>
      <c r="AA62" s="49"/>
      <c r="AB62" s="49"/>
      <c r="AC62" s="49"/>
    </row>
    <row r="63" spans="1:29">
      <c r="A63" s="43"/>
      <c r="B63" s="43"/>
      <c r="C63" s="43"/>
      <c r="D63" s="43"/>
      <c r="E63" s="43"/>
      <c r="F63" s="43"/>
      <c r="G63" s="43"/>
      <c r="H63" s="43"/>
      <c r="I63" s="43"/>
      <c r="J63" s="43"/>
      <c r="K63" s="43"/>
      <c r="L63" s="43"/>
      <c r="M63" s="43"/>
      <c r="N63" s="43"/>
      <c r="O63" s="43"/>
      <c r="P63" s="43"/>
      <c r="Q63" s="43"/>
      <c r="R63" s="49"/>
      <c r="S63" s="49"/>
      <c r="T63" s="49"/>
      <c r="U63" s="49"/>
      <c r="V63" s="49"/>
      <c r="W63" s="49"/>
      <c r="X63" s="49"/>
      <c r="Y63" s="49"/>
      <c r="Z63" s="49"/>
      <c r="AA63" s="49"/>
      <c r="AB63" s="49"/>
      <c r="AC63" s="49"/>
    </row>
    <row r="64" spans="1:29">
      <c r="A64" s="43"/>
      <c r="B64" s="43"/>
      <c r="C64" s="43"/>
      <c r="D64" s="43"/>
      <c r="E64" s="43"/>
      <c r="F64" s="43"/>
      <c r="G64" s="43"/>
      <c r="H64" s="43"/>
      <c r="I64" s="43"/>
      <c r="J64" s="43"/>
      <c r="K64" s="43"/>
      <c r="L64" s="43"/>
      <c r="M64" s="43"/>
      <c r="N64" s="43"/>
      <c r="O64" s="43"/>
      <c r="P64" s="43"/>
      <c r="Q64" s="43"/>
      <c r="R64" s="49"/>
      <c r="S64" s="49"/>
      <c r="T64" s="49"/>
      <c r="U64" s="49"/>
      <c r="V64" s="49"/>
      <c r="W64" s="49"/>
      <c r="X64" s="49"/>
      <c r="Y64" s="49"/>
      <c r="Z64" s="49"/>
      <c r="AA64" s="49"/>
      <c r="AB64" s="49"/>
      <c r="AC64" s="49"/>
    </row>
    <row r="65" spans="1:29">
      <c r="A65" s="43"/>
      <c r="B65" s="43"/>
      <c r="C65" s="43"/>
      <c r="D65" s="43"/>
      <c r="E65" s="43"/>
      <c r="F65" s="43"/>
      <c r="G65" s="43"/>
      <c r="H65" s="43"/>
      <c r="I65" s="43"/>
      <c r="J65" s="43"/>
      <c r="K65" s="43"/>
      <c r="L65" s="43"/>
      <c r="M65" s="43"/>
      <c r="N65" s="43"/>
      <c r="O65" s="43"/>
      <c r="P65" s="43"/>
      <c r="Q65" s="43"/>
      <c r="R65" s="49"/>
      <c r="S65" s="49"/>
      <c r="T65" s="49"/>
      <c r="U65" s="49"/>
      <c r="V65" s="49"/>
      <c r="W65" s="49"/>
      <c r="X65" s="49"/>
      <c r="Y65" s="49"/>
      <c r="Z65" s="49"/>
      <c r="AA65" s="49"/>
      <c r="AB65" s="49"/>
      <c r="AC65" s="49"/>
    </row>
    <row r="66" spans="1:29">
      <c r="A66" s="43"/>
      <c r="B66" s="43"/>
      <c r="C66" s="43"/>
      <c r="D66" s="43"/>
      <c r="E66" s="43"/>
      <c r="F66" s="43"/>
      <c r="G66" s="43"/>
      <c r="H66" s="43"/>
      <c r="I66" s="43"/>
      <c r="J66" s="43"/>
      <c r="K66" s="43"/>
      <c r="L66" s="43"/>
      <c r="M66" s="43"/>
      <c r="N66" s="43"/>
      <c r="O66" s="43"/>
      <c r="P66" s="43"/>
      <c r="Q66" s="43"/>
      <c r="R66" s="49"/>
      <c r="S66" s="49"/>
      <c r="T66" s="49"/>
      <c r="U66" s="49"/>
      <c r="V66" s="49"/>
      <c r="W66" s="49"/>
      <c r="X66" s="49"/>
      <c r="Y66" s="49"/>
      <c r="Z66" s="49"/>
      <c r="AA66" s="49"/>
      <c r="AB66" s="49"/>
      <c r="AC66" s="49"/>
    </row>
    <row r="67" spans="1:29">
      <c r="A67" s="43"/>
      <c r="B67" s="43"/>
      <c r="C67" s="43"/>
      <c r="D67" s="43"/>
      <c r="E67" s="43"/>
      <c r="F67" s="43"/>
      <c r="G67" s="43"/>
      <c r="H67" s="43"/>
      <c r="I67" s="43"/>
      <c r="J67" s="43"/>
      <c r="K67" s="43"/>
      <c r="L67" s="43"/>
      <c r="M67" s="43"/>
      <c r="N67" s="43"/>
      <c r="O67" s="43"/>
      <c r="P67" s="43"/>
      <c r="Q67" s="43"/>
      <c r="R67" s="49"/>
      <c r="S67" s="49"/>
      <c r="T67" s="49"/>
      <c r="U67" s="49"/>
      <c r="V67" s="49"/>
      <c r="W67" s="49"/>
      <c r="X67" s="49"/>
      <c r="Y67" s="49"/>
      <c r="Z67" s="49"/>
      <c r="AA67" s="49"/>
      <c r="AB67" s="49"/>
      <c r="AC67" s="49"/>
    </row>
    <row r="68" spans="1:29">
      <c r="A68" s="43"/>
      <c r="B68" s="43"/>
      <c r="C68" s="43"/>
      <c r="D68" s="43"/>
      <c r="E68" s="43"/>
      <c r="F68" s="43"/>
      <c r="G68" s="43"/>
      <c r="H68" s="43"/>
      <c r="I68" s="43"/>
      <c r="J68" s="43"/>
      <c r="K68" s="43"/>
      <c r="L68" s="43"/>
      <c r="M68" s="43"/>
      <c r="N68" s="43"/>
      <c r="O68" s="43"/>
      <c r="P68" s="43"/>
      <c r="Q68" s="43"/>
      <c r="R68" s="49"/>
      <c r="S68" s="49"/>
      <c r="T68" s="49"/>
      <c r="U68" s="49"/>
      <c r="V68" s="49"/>
      <c r="W68" s="49"/>
      <c r="X68" s="49"/>
      <c r="Y68" s="49"/>
      <c r="Z68" s="49"/>
      <c r="AA68" s="49"/>
      <c r="AB68" s="49"/>
      <c r="AC68" s="49"/>
    </row>
    <row r="69" spans="1:29">
      <c r="A69" s="43"/>
      <c r="B69" s="43"/>
      <c r="C69" s="43"/>
      <c r="D69" s="43"/>
      <c r="E69" s="43"/>
      <c r="F69" s="43"/>
      <c r="G69" s="43"/>
      <c r="H69" s="43"/>
      <c r="I69" s="43"/>
      <c r="J69" s="43"/>
      <c r="K69" s="43"/>
      <c r="L69" s="43"/>
      <c r="M69" s="43"/>
      <c r="N69" s="43"/>
      <c r="O69" s="43"/>
      <c r="P69" s="43"/>
      <c r="Q69" s="43"/>
      <c r="R69" s="49"/>
      <c r="S69" s="49"/>
      <c r="T69" s="49"/>
      <c r="U69" s="49"/>
      <c r="V69" s="49"/>
      <c r="W69" s="49"/>
      <c r="X69" s="49"/>
      <c r="Y69" s="49"/>
      <c r="Z69" s="49"/>
      <c r="AA69" s="49"/>
      <c r="AB69" s="49"/>
      <c r="AC69" s="49"/>
    </row>
    <row r="70" spans="1:29">
      <c r="A70" s="43"/>
      <c r="B70" s="43"/>
      <c r="C70" s="43"/>
      <c r="D70" s="43"/>
      <c r="E70" s="43"/>
      <c r="F70" s="43"/>
      <c r="G70" s="43"/>
      <c r="H70" s="43"/>
      <c r="I70" s="43"/>
      <c r="J70" s="43"/>
      <c r="K70" s="43"/>
      <c r="L70" s="43"/>
      <c r="M70" s="43"/>
      <c r="N70" s="43"/>
      <c r="O70" s="43"/>
      <c r="P70" s="43"/>
      <c r="Q70" s="43"/>
      <c r="R70" s="49"/>
      <c r="S70" s="49"/>
      <c r="T70" s="49"/>
      <c r="U70" s="49"/>
      <c r="V70" s="49"/>
      <c r="W70" s="49"/>
      <c r="X70" s="49"/>
      <c r="Y70" s="49"/>
      <c r="Z70" s="49"/>
      <c r="AA70" s="49"/>
      <c r="AB70" s="49"/>
      <c r="AC70" s="49"/>
    </row>
    <row r="71" spans="1:29">
      <c r="A71" s="43"/>
      <c r="B71" s="43"/>
      <c r="C71" s="43"/>
      <c r="D71" s="43"/>
      <c r="E71" s="43"/>
      <c r="F71" s="43"/>
      <c r="G71" s="43"/>
      <c r="H71" s="43"/>
      <c r="I71" s="43"/>
      <c r="J71" s="43"/>
      <c r="K71" s="43"/>
      <c r="L71" s="43"/>
      <c r="M71" s="43"/>
      <c r="N71" s="43"/>
      <c r="O71" s="43"/>
      <c r="P71" s="43"/>
      <c r="Q71" s="43"/>
      <c r="R71" s="49"/>
      <c r="S71" s="49"/>
      <c r="T71" s="49"/>
      <c r="U71" s="49"/>
      <c r="V71" s="49"/>
      <c r="W71" s="49"/>
      <c r="X71" s="49"/>
      <c r="Y71" s="49"/>
      <c r="Z71" s="49"/>
      <c r="AA71" s="49"/>
      <c r="AB71" s="49"/>
      <c r="AC71" s="49"/>
    </row>
    <row r="72" spans="1:29">
      <c r="A72" s="43"/>
      <c r="B72" s="43"/>
      <c r="C72" s="43"/>
      <c r="D72" s="43"/>
      <c r="E72" s="43"/>
      <c r="F72" s="43"/>
      <c r="G72" s="43"/>
      <c r="H72" s="43"/>
      <c r="I72" s="43"/>
      <c r="J72" s="43"/>
      <c r="K72" s="43"/>
      <c r="L72" s="43"/>
      <c r="M72" s="43"/>
      <c r="N72" s="43"/>
      <c r="O72" s="43"/>
      <c r="P72" s="43"/>
      <c r="Q72" s="43"/>
      <c r="R72" s="49"/>
      <c r="S72" s="49"/>
      <c r="T72" s="49"/>
      <c r="U72" s="49"/>
      <c r="V72" s="49"/>
      <c r="W72" s="49"/>
      <c r="X72" s="49"/>
      <c r="Y72" s="49"/>
      <c r="Z72" s="49"/>
      <c r="AA72" s="49"/>
      <c r="AB72" s="49"/>
      <c r="AC72" s="49"/>
    </row>
    <row r="73" spans="1:29">
      <c r="A73" s="43"/>
      <c r="B73" s="43"/>
      <c r="C73" s="43"/>
      <c r="D73" s="43"/>
      <c r="E73" s="43"/>
      <c r="F73" s="43"/>
      <c r="G73" s="43"/>
      <c r="H73" s="43"/>
      <c r="I73" s="43"/>
      <c r="J73" s="43"/>
      <c r="K73" s="43"/>
      <c r="L73" s="43"/>
      <c r="M73" s="43"/>
      <c r="N73" s="43"/>
      <c r="O73" s="43"/>
      <c r="P73" s="43"/>
      <c r="Q73" s="43"/>
      <c r="R73" s="49"/>
      <c r="S73" s="49"/>
      <c r="T73" s="49"/>
      <c r="U73" s="49"/>
      <c r="V73" s="49"/>
      <c r="W73" s="49"/>
      <c r="X73" s="49"/>
      <c r="Y73" s="49"/>
      <c r="Z73" s="49"/>
      <c r="AA73" s="49"/>
      <c r="AB73" s="49"/>
      <c r="AC73" s="49"/>
    </row>
    <row r="74" spans="1:29">
      <c r="A74" s="43"/>
      <c r="B74" s="43"/>
      <c r="C74" s="43"/>
      <c r="D74" s="43"/>
      <c r="E74" s="43"/>
      <c r="F74" s="43"/>
      <c r="G74" s="43"/>
      <c r="H74" s="43"/>
      <c r="I74" s="43"/>
      <c r="J74" s="43"/>
      <c r="K74" s="43"/>
      <c r="L74" s="43"/>
      <c r="M74" s="43"/>
      <c r="N74" s="43"/>
      <c r="O74" s="43"/>
      <c r="P74" s="43"/>
      <c r="Q74" s="43"/>
      <c r="R74" s="49"/>
      <c r="S74" s="49"/>
      <c r="T74" s="49"/>
      <c r="U74" s="49"/>
      <c r="V74" s="49"/>
      <c r="W74" s="49"/>
      <c r="X74" s="49"/>
      <c r="Y74" s="49"/>
      <c r="Z74" s="49"/>
      <c r="AA74" s="49"/>
      <c r="AB74" s="49"/>
      <c r="AC74" s="49"/>
    </row>
    <row r="75" spans="1:29">
      <c r="A75" s="43"/>
      <c r="B75" s="43"/>
      <c r="C75" s="43"/>
      <c r="D75" s="43"/>
      <c r="E75" s="43"/>
      <c r="F75" s="43"/>
      <c r="G75" s="43"/>
      <c r="H75" s="43"/>
      <c r="I75" s="43"/>
      <c r="J75" s="43"/>
      <c r="K75" s="43"/>
      <c r="L75" s="43"/>
      <c r="M75" s="43"/>
      <c r="N75" s="43"/>
      <c r="O75" s="43"/>
      <c r="P75" s="43"/>
      <c r="Q75" s="43"/>
      <c r="R75" s="49"/>
      <c r="S75" s="49"/>
      <c r="T75" s="49"/>
      <c r="U75" s="49"/>
      <c r="V75" s="49"/>
      <c r="W75" s="49"/>
      <c r="X75" s="49"/>
      <c r="Y75" s="49"/>
      <c r="Z75" s="49"/>
      <c r="AA75" s="49"/>
      <c r="AB75" s="49"/>
      <c r="AC75" s="49"/>
    </row>
    <row r="76" spans="1:29">
      <c r="A76" s="43"/>
      <c r="B76" s="43"/>
      <c r="C76" s="43"/>
      <c r="D76" s="43"/>
      <c r="E76" s="43"/>
      <c r="F76" s="43"/>
      <c r="G76" s="43"/>
      <c r="H76" s="43"/>
      <c r="I76" s="43"/>
      <c r="J76" s="43"/>
      <c r="K76" s="43"/>
      <c r="L76" s="43"/>
      <c r="M76" s="43"/>
      <c r="N76" s="43"/>
      <c r="O76" s="43"/>
      <c r="P76" s="43"/>
      <c r="Q76" s="43"/>
      <c r="R76" s="49"/>
      <c r="S76" s="49"/>
      <c r="T76" s="49"/>
      <c r="U76" s="49"/>
      <c r="V76" s="49"/>
      <c r="W76" s="49"/>
      <c r="X76" s="49"/>
      <c r="Y76" s="49"/>
      <c r="Z76" s="49"/>
      <c r="AA76" s="49"/>
      <c r="AB76" s="49"/>
      <c r="AC76" s="49"/>
    </row>
    <row r="77" spans="1:29">
      <c r="A77" s="43"/>
      <c r="B77" s="43"/>
      <c r="C77" s="43"/>
      <c r="D77" s="43"/>
      <c r="E77" s="43"/>
      <c r="F77" s="43"/>
      <c r="G77" s="43"/>
      <c r="H77" s="43"/>
      <c r="I77" s="43"/>
      <c r="J77" s="43"/>
      <c r="K77" s="43"/>
      <c r="L77" s="43"/>
      <c r="M77" s="43"/>
      <c r="N77" s="43"/>
      <c r="O77" s="43"/>
      <c r="P77" s="43"/>
      <c r="Q77" s="43"/>
      <c r="R77" s="49"/>
      <c r="S77" s="49"/>
      <c r="T77" s="49"/>
      <c r="U77" s="49"/>
      <c r="V77" s="49"/>
      <c r="W77" s="49"/>
      <c r="X77" s="49"/>
      <c r="Y77" s="49"/>
      <c r="Z77" s="49"/>
      <c r="AA77" s="49"/>
      <c r="AB77" s="49"/>
      <c r="AC77" s="49"/>
    </row>
    <row r="78" spans="1:29">
      <c r="A78" s="43"/>
      <c r="B78" s="43"/>
      <c r="C78" s="43"/>
      <c r="D78" s="43"/>
      <c r="E78" s="43"/>
      <c r="F78" s="43"/>
      <c r="G78" s="43"/>
      <c r="H78" s="43"/>
      <c r="I78" s="43"/>
      <c r="J78" s="43"/>
      <c r="K78" s="43"/>
      <c r="L78" s="43"/>
      <c r="M78" s="43"/>
      <c r="N78" s="43"/>
      <c r="O78" s="43"/>
      <c r="P78" s="43"/>
      <c r="Q78" s="43"/>
      <c r="R78" s="49"/>
      <c r="S78" s="49"/>
      <c r="T78" s="49"/>
      <c r="U78" s="49"/>
      <c r="V78" s="49"/>
      <c r="W78" s="49"/>
      <c r="X78" s="49"/>
      <c r="Y78" s="49"/>
      <c r="Z78" s="49"/>
      <c r="AA78" s="49"/>
      <c r="AB78" s="49"/>
      <c r="AC78" s="49"/>
    </row>
    <row r="79" spans="1:29">
      <c r="A79" s="43"/>
      <c r="B79" s="43"/>
      <c r="C79" s="43"/>
      <c r="D79" s="43"/>
      <c r="E79" s="43"/>
      <c r="F79" s="43"/>
      <c r="G79" s="43"/>
      <c r="H79" s="43"/>
      <c r="I79" s="43"/>
      <c r="J79" s="43"/>
      <c r="K79" s="43"/>
      <c r="L79" s="43"/>
      <c r="M79" s="43"/>
      <c r="N79" s="43"/>
      <c r="O79" s="43"/>
      <c r="P79" s="43"/>
      <c r="Q79" s="43"/>
      <c r="R79" s="49"/>
      <c r="S79" s="49"/>
      <c r="T79" s="49"/>
      <c r="U79" s="49"/>
      <c r="V79" s="49"/>
      <c r="W79" s="49"/>
      <c r="X79" s="49"/>
      <c r="Y79" s="49"/>
      <c r="Z79" s="49"/>
      <c r="AA79" s="49"/>
      <c r="AB79" s="49"/>
      <c r="AC79" s="49"/>
    </row>
    <row r="80" spans="1:29">
      <c r="A80" s="43"/>
      <c r="B80" s="43"/>
      <c r="C80" s="43"/>
      <c r="D80" s="43"/>
      <c r="E80" s="43"/>
      <c r="F80" s="43"/>
      <c r="G80" s="43"/>
      <c r="H80" s="43"/>
      <c r="I80" s="43"/>
      <c r="J80" s="43"/>
      <c r="K80" s="43"/>
      <c r="L80" s="43"/>
      <c r="M80" s="43"/>
      <c r="N80" s="43"/>
      <c r="O80" s="43"/>
      <c r="P80" s="43"/>
      <c r="Q80" s="43"/>
      <c r="R80" s="49"/>
      <c r="S80" s="49"/>
      <c r="T80" s="49"/>
      <c r="U80" s="49"/>
      <c r="V80" s="49"/>
      <c r="W80" s="49"/>
      <c r="X80" s="49"/>
      <c r="Y80" s="49"/>
      <c r="Z80" s="49"/>
      <c r="AA80" s="49"/>
      <c r="AB80" s="49"/>
      <c r="AC80" s="49"/>
    </row>
    <row r="81" spans="1:29">
      <c r="A81" s="43"/>
      <c r="B81" s="43"/>
      <c r="C81" s="43"/>
      <c r="D81" s="43"/>
      <c r="E81" s="43"/>
      <c r="F81" s="43"/>
      <c r="G81" s="43"/>
      <c r="H81" s="43"/>
      <c r="I81" s="43"/>
      <c r="J81" s="43"/>
      <c r="K81" s="43"/>
      <c r="L81" s="43"/>
      <c r="M81" s="43"/>
      <c r="N81" s="43"/>
      <c r="O81" s="43"/>
      <c r="P81" s="43"/>
      <c r="Q81" s="43"/>
      <c r="R81" s="49"/>
      <c r="S81" s="49"/>
      <c r="T81" s="49"/>
      <c r="U81" s="49"/>
      <c r="V81" s="49"/>
      <c r="W81" s="49"/>
      <c r="X81" s="49"/>
      <c r="Y81" s="49"/>
      <c r="Z81" s="49"/>
      <c r="AA81" s="49"/>
      <c r="AB81" s="49"/>
      <c r="AC81" s="49"/>
    </row>
    <row r="82" spans="1:29">
      <c r="A82" s="43"/>
      <c r="B82" s="43"/>
      <c r="C82" s="43"/>
      <c r="D82" s="43"/>
      <c r="E82" s="43"/>
      <c r="F82" s="43"/>
      <c r="G82" s="43"/>
      <c r="H82" s="43"/>
      <c r="I82" s="43"/>
      <c r="J82" s="43"/>
      <c r="K82" s="43"/>
      <c r="L82" s="43"/>
      <c r="M82" s="43"/>
      <c r="N82" s="43"/>
      <c r="O82" s="43"/>
      <c r="P82" s="43"/>
      <c r="Q82" s="43"/>
      <c r="R82" s="49"/>
      <c r="S82" s="49"/>
      <c r="T82" s="49"/>
      <c r="U82" s="49"/>
      <c r="V82" s="49"/>
      <c r="W82" s="49"/>
      <c r="X82" s="49"/>
      <c r="Y82" s="49"/>
      <c r="Z82" s="49"/>
      <c r="AA82" s="49"/>
      <c r="AB82" s="49"/>
      <c r="AC82" s="49"/>
    </row>
    <row r="83" spans="1:29">
      <c r="A83" s="43"/>
      <c r="B83" s="43"/>
      <c r="C83" s="43"/>
      <c r="D83" s="43"/>
      <c r="E83" s="43"/>
      <c r="F83" s="43"/>
      <c r="G83" s="43"/>
      <c r="H83" s="43"/>
      <c r="I83" s="43"/>
      <c r="J83" s="43"/>
      <c r="K83" s="43"/>
      <c r="L83" s="43"/>
      <c r="M83" s="43"/>
      <c r="N83" s="43"/>
      <c r="O83" s="43"/>
      <c r="P83" s="43"/>
      <c r="Q83" s="43"/>
      <c r="R83" s="49"/>
      <c r="S83" s="49"/>
      <c r="T83" s="49"/>
      <c r="U83" s="49"/>
      <c r="V83" s="49"/>
      <c r="W83" s="49"/>
      <c r="X83" s="49"/>
      <c r="Y83" s="49"/>
      <c r="Z83" s="49"/>
      <c r="AA83" s="49"/>
      <c r="AB83" s="49"/>
      <c r="AC83" s="49"/>
    </row>
    <row r="84" spans="1:29">
      <c r="A84" s="43"/>
      <c r="B84" s="43"/>
      <c r="C84" s="43"/>
      <c r="D84" s="43"/>
      <c r="E84" s="43"/>
      <c r="F84" s="43"/>
      <c r="G84" s="43"/>
      <c r="H84" s="43"/>
      <c r="I84" s="43"/>
      <c r="J84" s="43"/>
      <c r="K84" s="43"/>
      <c r="L84" s="43"/>
      <c r="M84" s="43"/>
      <c r="N84" s="43"/>
      <c r="O84" s="43"/>
      <c r="P84" s="43"/>
      <c r="Q84" s="43"/>
      <c r="R84" s="49"/>
      <c r="S84" s="49"/>
      <c r="T84" s="49"/>
      <c r="U84" s="49"/>
      <c r="V84" s="49"/>
      <c r="W84" s="49"/>
      <c r="X84" s="49"/>
      <c r="Y84" s="49"/>
      <c r="Z84" s="49"/>
      <c r="AA84" s="49"/>
      <c r="AB84" s="49"/>
      <c r="AC84" s="49"/>
    </row>
    <row r="85" spans="1:29">
      <c r="A85" s="43"/>
      <c r="B85" s="43"/>
      <c r="C85" s="43"/>
      <c r="D85" s="43"/>
      <c r="E85" s="43"/>
      <c r="F85" s="43"/>
      <c r="G85" s="43"/>
      <c r="H85" s="43"/>
      <c r="I85" s="43"/>
      <c r="J85" s="43"/>
      <c r="K85" s="43"/>
      <c r="L85" s="43"/>
      <c r="M85" s="43"/>
      <c r="N85" s="43"/>
      <c r="O85" s="43"/>
      <c r="P85" s="43"/>
      <c r="Q85" s="43"/>
      <c r="R85" s="49"/>
      <c r="S85" s="49"/>
      <c r="T85" s="49"/>
      <c r="U85" s="49"/>
      <c r="V85" s="49"/>
      <c r="W85" s="49"/>
      <c r="X85" s="49"/>
      <c r="Y85" s="49"/>
      <c r="Z85" s="49"/>
      <c r="AA85" s="49"/>
      <c r="AB85" s="49"/>
      <c r="AC85" s="49"/>
    </row>
    <row r="86" spans="1:29">
      <c r="A86" s="43"/>
      <c r="B86" s="43"/>
      <c r="C86" s="43"/>
      <c r="D86" s="43"/>
      <c r="E86" s="43"/>
      <c r="F86" s="43"/>
      <c r="G86" s="43"/>
      <c r="H86" s="43"/>
      <c r="I86" s="43"/>
      <c r="J86" s="43"/>
      <c r="K86" s="43"/>
      <c r="L86" s="43"/>
      <c r="M86" s="43"/>
      <c r="N86" s="43"/>
      <c r="O86" s="43"/>
      <c r="P86" s="43"/>
      <c r="Q86" s="43"/>
      <c r="R86" s="49"/>
      <c r="S86" s="49"/>
      <c r="T86" s="49"/>
      <c r="U86" s="49"/>
      <c r="V86" s="49"/>
      <c r="W86" s="49"/>
      <c r="X86" s="49"/>
      <c r="Y86" s="49"/>
      <c r="Z86" s="49"/>
      <c r="AA86" s="49"/>
      <c r="AB86" s="49"/>
      <c r="AC86" s="49"/>
    </row>
    <row r="87" spans="1:29">
      <c r="A87" s="43"/>
      <c r="B87" s="43"/>
      <c r="C87" s="43"/>
      <c r="D87" s="43"/>
      <c r="E87" s="43"/>
      <c r="F87" s="43"/>
      <c r="G87" s="43"/>
      <c r="H87" s="43"/>
      <c r="I87" s="43"/>
      <c r="J87" s="43"/>
      <c r="K87" s="43"/>
      <c r="L87" s="43"/>
      <c r="M87" s="43"/>
      <c r="N87" s="43"/>
      <c r="O87" s="43"/>
      <c r="P87" s="43"/>
      <c r="Q87" s="43"/>
      <c r="R87" s="49"/>
      <c r="S87" s="49"/>
      <c r="T87" s="49"/>
      <c r="U87" s="49"/>
      <c r="V87" s="49"/>
      <c r="W87" s="49"/>
      <c r="X87" s="49"/>
      <c r="Y87" s="49"/>
      <c r="Z87" s="49"/>
      <c r="AA87" s="49"/>
      <c r="AB87" s="49"/>
      <c r="AC87" s="49"/>
    </row>
    <row r="88" spans="1:29">
      <c r="A88" s="43"/>
      <c r="B88" s="43"/>
      <c r="C88" s="43"/>
      <c r="D88" s="43"/>
      <c r="E88" s="43"/>
      <c r="F88" s="43"/>
      <c r="G88" s="43"/>
      <c r="H88" s="43"/>
      <c r="I88" s="43"/>
      <c r="J88" s="43"/>
      <c r="K88" s="43"/>
      <c r="L88" s="43"/>
      <c r="M88" s="43"/>
      <c r="N88" s="43"/>
      <c r="O88" s="43"/>
      <c r="P88" s="43"/>
      <c r="Q88" s="43"/>
      <c r="R88" s="49"/>
      <c r="S88" s="49"/>
      <c r="T88" s="49"/>
      <c r="U88" s="49"/>
      <c r="V88" s="49"/>
      <c r="W88" s="49"/>
      <c r="X88" s="49"/>
      <c r="Y88" s="49"/>
      <c r="Z88" s="49"/>
      <c r="AA88" s="49"/>
      <c r="AB88" s="49"/>
      <c r="AC88" s="49"/>
    </row>
    <row r="89" spans="1:29">
      <c r="A89" s="43"/>
      <c r="B89" s="43"/>
      <c r="C89" s="43"/>
      <c r="D89" s="43"/>
      <c r="E89" s="43"/>
      <c r="F89" s="43"/>
      <c r="G89" s="43"/>
      <c r="H89" s="43"/>
      <c r="I89" s="43"/>
      <c r="J89" s="43"/>
      <c r="K89" s="43"/>
      <c r="L89" s="43"/>
      <c r="M89" s="43"/>
      <c r="N89" s="43"/>
      <c r="O89" s="43"/>
      <c r="P89" s="43"/>
      <c r="Q89" s="43"/>
      <c r="R89" s="49"/>
      <c r="S89" s="49"/>
      <c r="T89" s="49"/>
      <c r="U89" s="49"/>
      <c r="V89" s="49"/>
      <c r="W89" s="49"/>
      <c r="X89" s="49"/>
      <c r="Y89" s="49"/>
      <c r="Z89" s="49"/>
      <c r="AA89" s="49"/>
      <c r="AB89" s="49"/>
      <c r="AC89" s="49"/>
    </row>
    <row r="90" spans="1:29">
      <c r="A90" s="43"/>
      <c r="B90" s="43"/>
      <c r="C90" s="43"/>
      <c r="D90" s="43"/>
      <c r="E90" s="43"/>
      <c r="F90" s="43"/>
      <c r="G90" s="43"/>
      <c r="H90" s="43"/>
      <c r="I90" s="43"/>
      <c r="J90" s="43"/>
      <c r="K90" s="43"/>
      <c r="L90" s="43"/>
      <c r="M90" s="43"/>
      <c r="N90" s="43"/>
      <c r="O90" s="43"/>
      <c r="P90" s="43"/>
      <c r="Q90" s="43"/>
      <c r="R90" s="49"/>
      <c r="S90" s="49"/>
      <c r="T90" s="49"/>
      <c r="U90" s="49"/>
      <c r="V90" s="49"/>
      <c r="W90" s="49"/>
      <c r="X90" s="49"/>
      <c r="Y90" s="49"/>
      <c r="Z90" s="49"/>
      <c r="AA90" s="49"/>
      <c r="AB90" s="49"/>
      <c r="AC90" s="49"/>
    </row>
    <row r="91" spans="1:29">
      <c r="A91" s="43"/>
      <c r="B91" s="43"/>
      <c r="C91" s="43"/>
      <c r="D91" s="43"/>
      <c r="E91" s="43"/>
      <c r="F91" s="43"/>
      <c r="G91" s="43"/>
      <c r="H91" s="43"/>
      <c r="I91" s="43"/>
      <c r="J91" s="43"/>
      <c r="K91" s="43"/>
      <c r="L91" s="43"/>
      <c r="M91" s="43"/>
      <c r="N91" s="43"/>
      <c r="O91" s="43"/>
      <c r="P91" s="43"/>
      <c r="Q91" s="43"/>
      <c r="R91" s="49"/>
      <c r="S91" s="49"/>
      <c r="T91" s="49"/>
      <c r="U91" s="49"/>
      <c r="V91" s="49"/>
      <c r="W91" s="49"/>
      <c r="X91" s="49"/>
      <c r="Y91" s="49"/>
      <c r="Z91" s="49"/>
      <c r="AA91" s="49"/>
      <c r="AB91" s="49"/>
      <c r="AC91" s="49"/>
    </row>
    <row r="92" spans="1:29">
      <c r="A92" s="43"/>
      <c r="B92" s="43"/>
      <c r="C92" s="43"/>
      <c r="D92" s="43"/>
      <c r="E92" s="43"/>
      <c r="F92" s="43"/>
      <c r="G92" s="43"/>
      <c r="H92" s="43"/>
      <c r="I92" s="43"/>
      <c r="J92" s="43"/>
      <c r="K92" s="43"/>
      <c r="L92" s="43"/>
      <c r="M92" s="43"/>
      <c r="N92" s="43"/>
      <c r="O92" s="43"/>
      <c r="P92" s="43"/>
      <c r="Q92" s="43"/>
      <c r="R92" s="49"/>
      <c r="S92" s="49"/>
      <c r="T92" s="49"/>
      <c r="U92" s="49"/>
      <c r="V92" s="49"/>
      <c r="W92" s="49"/>
      <c r="X92" s="49"/>
      <c r="Y92" s="49"/>
      <c r="Z92" s="49"/>
      <c r="AA92" s="49"/>
      <c r="AB92" s="49"/>
      <c r="AC92" s="49"/>
    </row>
    <row r="93" spans="1:29">
      <c r="A93" s="43"/>
      <c r="B93" s="43"/>
      <c r="C93" s="43"/>
      <c r="D93" s="43"/>
      <c r="E93" s="43"/>
      <c r="F93" s="43"/>
      <c r="G93" s="43"/>
      <c r="H93" s="43"/>
      <c r="I93" s="43"/>
      <c r="J93" s="43"/>
      <c r="K93" s="43"/>
      <c r="L93" s="43"/>
      <c r="M93" s="43"/>
      <c r="N93" s="43"/>
      <c r="O93" s="43"/>
      <c r="P93" s="43"/>
      <c r="Q93" s="43"/>
      <c r="R93" s="49"/>
      <c r="S93" s="49"/>
      <c r="T93" s="49"/>
      <c r="U93" s="49"/>
      <c r="V93" s="49"/>
      <c r="W93" s="49"/>
      <c r="X93" s="49"/>
      <c r="Y93" s="49"/>
      <c r="Z93" s="49"/>
      <c r="AA93" s="49"/>
      <c r="AB93" s="49"/>
      <c r="AC93" s="49"/>
    </row>
    <row r="94" spans="1:29">
      <c r="A94" s="43"/>
      <c r="B94" s="43"/>
      <c r="C94" s="43"/>
      <c r="D94" s="43"/>
      <c r="E94" s="43"/>
      <c r="F94" s="43"/>
      <c r="G94" s="43"/>
      <c r="H94" s="43"/>
      <c r="I94" s="43"/>
      <c r="J94" s="43"/>
      <c r="K94" s="43"/>
      <c r="L94" s="43"/>
      <c r="M94" s="43"/>
      <c r="N94" s="43"/>
      <c r="O94" s="43"/>
      <c r="P94" s="43"/>
      <c r="Q94" s="43"/>
      <c r="R94" s="49"/>
      <c r="S94" s="49"/>
      <c r="T94" s="49"/>
      <c r="U94" s="49"/>
      <c r="V94" s="49"/>
      <c r="W94" s="49"/>
      <c r="X94" s="49"/>
      <c r="Y94" s="49"/>
      <c r="Z94" s="49"/>
      <c r="AA94" s="49"/>
      <c r="AB94" s="49"/>
      <c r="AC94" s="49"/>
    </row>
    <row r="95" spans="1:29">
      <c r="A95" s="43"/>
      <c r="B95" s="43"/>
      <c r="C95" s="43"/>
      <c r="D95" s="43"/>
      <c r="E95" s="43"/>
      <c r="F95" s="43"/>
      <c r="G95" s="43"/>
      <c r="H95" s="43"/>
      <c r="I95" s="43"/>
      <c r="J95" s="43"/>
      <c r="K95" s="43"/>
      <c r="L95" s="43"/>
      <c r="M95" s="43"/>
      <c r="N95" s="43"/>
      <c r="O95" s="43"/>
      <c r="P95" s="43"/>
      <c r="Q95" s="43"/>
      <c r="R95" s="49"/>
      <c r="S95" s="49"/>
      <c r="T95" s="49"/>
      <c r="U95" s="49"/>
      <c r="V95" s="49"/>
      <c r="W95" s="49"/>
      <c r="X95" s="49"/>
      <c r="Y95" s="49"/>
      <c r="Z95" s="49"/>
      <c r="AA95" s="49"/>
      <c r="AB95" s="49"/>
      <c r="AC95" s="49"/>
    </row>
    <row r="96" spans="1:29">
      <c r="A96" s="43"/>
      <c r="B96" s="43"/>
      <c r="C96" s="43"/>
      <c r="D96" s="43"/>
      <c r="E96" s="43"/>
      <c r="F96" s="43"/>
      <c r="G96" s="43"/>
      <c r="H96" s="43"/>
      <c r="I96" s="43"/>
      <c r="J96" s="43"/>
      <c r="K96" s="43"/>
      <c r="L96" s="43"/>
      <c r="M96" s="43"/>
      <c r="N96" s="43"/>
      <c r="O96" s="43"/>
      <c r="P96" s="43"/>
      <c r="Q96" s="43"/>
      <c r="R96" s="49"/>
      <c r="S96" s="49"/>
      <c r="T96" s="49"/>
      <c r="U96" s="49"/>
      <c r="V96" s="49"/>
      <c r="W96" s="49"/>
      <c r="X96" s="49"/>
      <c r="Y96" s="49"/>
      <c r="Z96" s="49"/>
      <c r="AA96" s="49"/>
      <c r="AB96" s="49"/>
      <c r="AC96" s="49"/>
    </row>
    <row r="97" spans="1:29">
      <c r="A97" s="43"/>
      <c r="B97" s="43"/>
      <c r="C97" s="43"/>
      <c r="D97" s="43"/>
      <c r="E97" s="43"/>
      <c r="F97" s="43"/>
      <c r="G97" s="43"/>
      <c r="H97" s="43"/>
      <c r="I97" s="43"/>
      <c r="J97" s="43"/>
      <c r="K97" s="43"/>
      <c r="L97" s="43"/>
      <c r="M97" s="43"/>
      <c r="N97" s="43"/>
      <c r="O97" s="43"/>
      <c r="P97" s="43"/>
      <c r="Q97" s="43"/>
      <c r="R97" s="49"/>
      <c r="S97" s="49"/>
      <c r="T97" s="49"/>
      <c r="U97" s="49"/>
      <c r="V97" s="49"/>
      <c r="W97" s="49"/>
      <c r="X97" s="49"/>
      <c r="Y97" s="49"/>
      <c r="Z97" s="49"/>
      <c r="AA97" s="49"/>
      <c r="AB97" s="49"/>
      <c r="AC97" s="49"/>
    </row>
    <row r="98" spans="1:29">
      <c r="A98" s="43"/>
      <c r="B98" s="43"/>
      <c r="C98" s="43"/>
      <c r="D98" s="43"/>
      <c r="E98" s="43"/>
      <c r="F98" s="43"/>
      <c r="G98" s="43"/>
      <c r="H98" s="43"/>
      <c r="I98" s="43"/>
      <c r="J98" s="43"/>
      <c r="K98" s="43"/>
      <c r="L98" s="43"/>
      <c r="M98" s="43"/>
      <c r="N98" s="43"/>
      <c r="O98" s="43"/>
      <c r="P98" s="43"/>
      <c r="Q98" s="43"/>
      <c r="R98" s="49"/>
      <c r="S98" s="49"/>
      <c r="T98" s="49"/>
      <c r="U98" s="49"/>
      <c r="V98" s="49"/>
      <c r="W98" s="49"/>
      <c r="X98" s="49"/>
      <c r="Y98" s="49"/>
      <c r="Z98" s="49"/>
      <c r="AA98" s="49"/>
      <c r="AB98" s="49"/>
      <c r="AC98" s="49"/>
    </row>
    <row r="99" spans="1:29">
      <c r="A99" s="43"/>
      <c r="B99" s="43"/>
      <c r="C99" s="43"/>
      <c r="D99" s="43"/>
      <c r="E99" s="43"/>
      <c r="F99" s="43"/>
      <c r="G99" s="43"/>
      <c r="H99" s="43"/>
      <c r="I99" s="43"/>
      <c r="J99" s="43"/>
      <c r="K99" s="43"/>
      <c r="L99" s="43"/>
      <c r="M99" s="43"/>
      <c r="N99" s="43"/>
      <c r="O99" s="43"/>
      <c r="P99" s="43"/>
      <c r="Q99" s="43"/>
      <c r="R99" s="49"/>
      <c r="S99" s="49"/>
      <c r="T99" s="49"/>
      <c r="U99" s="49"/>
      <c r="V99" s="49"/>
      <c r="W99" s="49"/>
      <c r="X99" s="49"/>
      <c r="Y99" s="49"/>
      <c r="Z99" s="49"/>
      <c r="AA99" s="49"/>
      <c r="AB99" s="49"/>
      <c r="AC99" s="49"/>
    </row>
    <row r="100" spans="1:29">
      <c r="A100" s="43"/>
      <c r="B100" s="43"/>
      <c r="C100" s="43"/>
      <c r="D100" s="43"/>
      <c r="E100" s="43"/>
      <c r="F100" s="43"/>
      <c r="G100" s="43"/>
      <c r="H100" s="43"/>
      <c r="I100" s="43"/>
      <c r="J100" s="43"/>
      <c r="K100" s="43"/>
      <c r="L100" s="43"/>
      <c r="M100" s="43"/>
      <c r="N100" s="43"/>
      <c r="O100" s="43"/>
      <c r="P100" s="43"/>
      <c r="Q100" s="43"/>
      <c r="R100" s="49"/>
      <c r="S100" s="49"/>
      <c r="T100" s="49"/>
      <c r="U100" s="49"/>
      <c r="V100" s="49"/>
      <c r="W100" s="49"/>
      <c r="X100" s="49"/>
      <c r="Y100" s="49"/>
      <c r="Z100" s="49"/>
      <c r="AA100" s="49"/>
      <c r="AB100" s="49"/>
      <c r="AC100" s="49"/>
    </row>
    <row r="101" spans="1:29">
      <c r="A101" s="43"/>
      <c r="B101" s="43"/>
      <c r="C101" s="43"/>
      <c r="D101" s="43"/>
      <c r="E101" s="43"/>
      <c r="F101" s="43"/>
      <c r="G101" s="43"/>
      <c r="H101" s="43"/>
      <c r="I101" s="43"/>
      <c r="J101" s="43"/>
      <c r="K101" s="43"/>
      <c r="L101" s="43"/>
      <c r="M101" s="43"/>
      <c r="N101" s="43"/>
      <c r="O101" s="43"/>
      <c r="P101" s="43"/>
      <c r="Q101" s="43"/>
      <c r="R101" s="49"/>
      <c r="S101" s="49"/>
      <c r="T101" s="49"/>
      <c r="U101" s="49"/>
      <c r="V101" s="49"/>
      <c r="W101" s="49"/>
      <c r="X101" s="49"/>
      <c r="Y101" s="49"/>
      <c r="Z101" s="49"/>
      <c r="AA101" s="49"/>
      <c r="AB101" s="49"/>
      <c r="AC101" s="49"/>
    </row>
    <row r="102" spans="1:29">
      <c r="A102" s="43"/>
      <c r="B102" s="43"/>
      <c r="C102" s="43"/>
      <c r="D102" s="43"/>
      <c r="E102" s="43"/>
      <c r="F102" s="43"/>
      <c r="G102" s="43"/>
      <c r="H102" s="43"/>
      <c r="I102" s="43"/>
      <c r="J102" s="43"/>
      <c r="K102" s="43"/>
      <c r="L102" s="43"/>
      <c r="M102" s="43"/>
      <c r="N102" s="43"/>
      <c r="O102" s="43"/>
      <c r="P102" s="43"/>
      <c r="Q102" s="43"/>
      <c r="R102" s="49"/>
      <c r="S102" s="49"/>
      <c r="T102" s="49"/>
      <c r="U102" s="49"/>
      <c r="V102" s="49"/>
      <c r="W102" s="49"/>
      <c r="X102" s="49"/>
      <c r="Y102" s="49"/>
      <c r="Z102" s="49"/>
      <c r="AA102" s="49"/>
      <c r="AB102" s="49"/>
      <c r="AC102" s="49"/>
    </row>
    <row r="103" spans="1:29">
      <c r="A103" s="43"/>
      <c r="B103" s="43"/>
      <c r="C103" s="43"/>
      <c r="D103" s="43"/>
      <c r="E103" s="43"/>
      <c r="F103" s="43"/>
      <c r="G103" s="43"/>
      <c r="H103" s="43"/>
      <c r="I103" s="43"/>
      <c r="J103" s="43"/>
      <c r="K103" s="43"/>
      <c r="L103" s="43"/>
      <c r="M103" s="43"/>
      <c r="N103" s="43"/>
      <c r="O103" s="43"/>
      <c r="P103" s="43"/>
      <c r="Q103" s="43"/>
      <c r="R103" s="49"/>
      <c r="S103" s="49"/>
      <c r="T103" s="49"/>
      <c r="U103" s="49"/>
      <c r="V103" s="49"/>
      <c r="W103" s="49"/>
      <c r="X103" s="49"/>
      <c r="Y103" s="49"/>
      <c r="Z103" s="49"/>
      <c r="AA103" s="49"/>
      <c r="AB103" s="49"/>
      <c r="AC103" s="49"/>
    </row>
    <row r="104" spans="1:29">
      <c r="A104" s="43"/>
      <c r="B104" s="43"/>
      <c r="C104" s="43"/>
      <c r="D104" s="43"/>
      <c r="E104" s="43"/>
      <c r="F104" s="43"/>
      <c r="G104" s="43"/>
      <c r="H104" s="43"/>
      <c r="I104" s="43"/>
      <c r="J104" s="43"/>
      <c r="K104" s="43"/>
      <c r="L104" s="43"/>
      <c r="M104" s="43"/>
      <c r="N104" s="43"/>
      <c r="O104" s="43"/>
      <c r="P104" s="43"/>
      <c r="Q104" s="43"/>
      <c r="R104" s="49"/>
      <c r="S104" s="49"/>
      <c r="T104" s="49"/>
      <c r="U104" s="49"/>
      <c r="V104" s="49"/>
      <c r="W104" s="49"/>
      <c r="X104" s="49"/>
      <c r="Y104" s="49"/>
      <c r="Z104" s="49"/>
      <c r="AA104" s="49"/>
      <c r="AB104" s="49"/>
      <c r="AC104" s="49"/>
    </row>
    <row r="105" spans="1:29">
      <c r="A105" s="43"/>
      <c r="B105" s="43"/>
      <c r="C105" s="43"/>
      <c r="D105" s="43"/>
      <c r="E105" s="43"/>
      <c r="F105" s="43"/>
      <c r="G105" s="43"/>
      <c r="H105" s="43"/>
      <c r="I105" s="43"/>
      <c r="J105" s="43"/>
      <c r="K105" s="43"/>
      <c r="L105" s="43"/>
      <c r="M105" s="43"/>
      <c r="N105" s="43"/>
      <c r="O105" s="43"/>
      <c r="P105" s="43"/>
      <c r="Q105" s="43"/>
      <c r="R105" s="49"/>
      <c r="S105" s="49"/>
      <c r="T105" s="49"/>
      <c r="U105" s="49"/>
      <c r="V105" s="49"/>
      <c r="W105" s="49"/>
      <c r="X105" s="49"/>
      <c r="Y105" s="49"/>
      <c r="Z105" s="49"/>
      <c r="AA105" s="49"/>
      <c r="AB105" s="49"/>
      <c r="AC105" s="49"/>
    </row>
    <row r="106" spans="1:29">
      <c r="A106" s="43"/>
      <c r="B106" s="43"/>
      <c r="C106" s="43"/>
      <c r="D106" s="43"/>
      <c r="E106" s="43"/>
      <c r="F106" s="43"/>
      <c r="G106" s="43"/>
      <c r="H106" s="43"/>
      <c r="I106" s="43"/>
      <c r="J106" s="43"/>
      <c r="K106" s="43"/>
      <c r="L106" s="43"/>
      <c r="M106" s="43"/>
      <c r="N106" s="43"/>
      <c r="O106" s="43"/>
      <c r="P106" s="43"/>
      <c r="Q106" s="43"/>
      <c r="R106" s="49"/>
      <c r="S106" s="49"/>
      <c r="T106" s="49"/>
      <c r="U106" s="49"/>
      <c r="V106" s="49"/>
      <c r="W106" s="49"/>
      <c r="X106" s="49"/>
      <c r="Y106" s="49"/>
      <c r="Z106" s="49"/>
      <c r="AA106" s="49"/>
      <c r="AB106" s="49"/>
      <c r="AC106" s="49"/>
    </row>
    <row r="107" spans="1:29">
      <c r="A107" s="43"/>
      <c r="B107" s="43"/>
      <c r="C107" s="43"/>
      <c r="D107" s="43"/>
      <c r="E107" s="43"/>
      <c r="F107" s="43"/>
      <c r="G107" s="43"/>
      <c r="H107" s="43"/>
      <c r="I107" s="43"/>
      <c r="J107" s="43"/>
      <c r="K107" s="43"/>
      <c r="L107" s="43"/>
      <c r="M107" s="43"/>
      <c r="N107" s="43"/>
      <c r="O107" s="43"/>
      <c r="P107" s="43"/>
      <c r="Q107" s="43"/>
      <c r="R107" s="49"/>
      <c r="S107" s="49"/>
      <c r="T107" s="49"/>
      <c r="U107" s="49"/>
      <c r="V107" s="49"/>
      <c r="W107" s="49"/>
      <c r="X107" s="49"/>
      <c r="Y107" s="49"/>
      <c r="Z107" s="49"/>
      <c r="AA107" s="49"/>
      <c r="AB107" s="49"/>
      <c r="AC107" s="49"/>
    </row>
    <row r="108" spans="1:29">
      <c r="A108" s="43"/>
      <c r="B108" s="43"/>
      <c r="C108" s="43"/>
      <c r="D108" s="43"/>
      <c r="E108" s="43"/>
      <c r="F108" s="43"/>
      <c r="G108" s="43"/>
      <c r="H108" s="43"/>
      <c r="I108" s="43"/>
      <c r="J108" s="43"/>
      <c r="K108" s="43"/>
      <c r="L108" s="43"/>
      <c r="M108" s="43"/>
      <c r="N108" s="43"/>
      <c r="O108" s="43"/>
      <c r="P108" s="43"/>
      <c r="Q108" s="43"/>
      <c r="R108" s="49"/>
      <c r="S108" s="49"/>
      <c r="T108" s="49"/>
      <c r="U108" s="49"/>
      <c r="V108" s="49"/>
      <c r="W108" s="49"/>
      <c r="X108" s="49"/>
      <c r="Y108" s="49"/>
      <c r="Z108" s="49"/>
      <c r="AA108" s="49"/>
      <c r="AB108" s="49"/>
      <c r="AC108" s="49"/>
    </row>
    <row r="109" spans="1:29">
      <c r="A109" s="43"/>
      <c r="B109" s="43"/>
      <c r="C109" s="43"/>
      <c r="D109" s="43"/>
      <c r="E109" s="43"/>
      <c r="F109" s="43"/>
      <c r="G109" s="43"/>
      <c r="H109" s="43"/>
      <c r="I109" s="43"/>
      <c r="J109" s="43"/>
      <c r="K109" s="43"/>
      <c r="L109" s="43"/>
      <c r="M109" s="43"/>
      <c r="N109" s="43"/>
      <c r="O109" s="43"/>
      <c r="P109" s="43"/>
      <c r="Q109" s="43"/>
      <c r="R109" s="49"/>
      <c r="S109" s="49"/>
      <c r="T109" s="49"/>
      <c r="U109" s="49"/>
      <c r="V109" s="49"/>
      <c r="W109" s="49"/>
      <c r="X109" s="49"/>
      <c r="Y109" s="49"/>
      <c r="Z109" s="49"/>
      <c r="AA109" s="49"/>
      <c r="AB109" s="49"/>
      <c r="AC109" s="49"/>
    </row>
    <row r="110" spans="1:29">
      <c r="A110" s="43"/>
      <c r="B110" s="43"/>
      <c r="C110" s="43"/>
      <c r="D110" s="43"/>
      <c r="E110" s="43"/>
      <c r="F110" s="43"/>
      <c r="G110" s="43"/>
      <c r="H110" s="43"/>
      <c r="I110" s="43"/>
      <c r="J110" s="43"/>
      <c r="K110" s="43"/>
      <c r="L110" s="43"/>
      <c r="M110" s="43"/>
      <c r="N110" s="43"/>
      <c r="O110" s="43"/>
      <c r="P110" s="43"/>
      <c r="Q110" s="43"/>
      <c r="R110" s="49"/>
      <c r="S110" s="49"/>
      <c r="T110" s="49"/>
      <c r="U110" s="49"/>
      <c r="V110" s="49"/>
      <c r="W110" s="49"/>
      <c r="X110" s="49"/>
      <c r="Y110" s="49"/>
      <c r="Z110" s="49"/>
      <c r="AA110" s="49"/>
      <c r="AB110" s="49"/>
      <c r="AC110" s="49"/>
    </row>
    <row r="111" spans="1:29">
      <c r="A111" s="43"/>
      <c r="B111" s="43"/>
      <c r="C111" s="43"/>
      <c r="D111" s="43"/>
      <c r="E111" s="43"/>
      <c r="F111" s="43"/>
      <c r="G111" s="43"/>
      <c r="H111" s="43"/>
      <c r="I111" s="43"/>
      <c r="J111" s="43"/>
      <c r="K111" s="43"/>
      <c r="L111" s="43"/>
      <c r="M111" s="43"/>
      <c r="N111" s="43"/>
      <c r="O111" s="43"/>
      <c r="P111" s="43"/>
      <c r="Q111" s="43"/>
      <c r="R111" s="49"/>
      <c r="S111" s="49"/>
      <c r="T111" s="49"/>
      <c r="U111" s="49"/>
      <c r="V111" s="49"/>
      <c r="W111" s="49"/>
      <c r="X111" s="49"/>
      <c r="Y111" s="49"/>
      <c r="Z111" s="49"/>
      <c r="AA111" s="49"/>
      <c r="AB111" s="49"/>
      <c r="AC111" s="49"/>
    </row>
    <row r="112" spans="1:29">
      <c r="A112" s="43"/>
      <c r="B112" s="43"/>
      <c r="C112" s="43"/>
      <c r="D112" s="43"/>
      <c r="E112" s="43"/>
      <c r="F112" s="43"/>
      <c r="G112" s="43"/>
      <c r="H112" s="43"/>
      <c r="I112" s="43"/>
      <c r="J112" s="43"/>
      <c r="K112" s="43"/>
      <c r="L112" s="43"/>
      <c r="M112" s="43"/>
      <c r="N112" s="43"/>
      <c r="O112" s="43"/>
      <c r="P112" s="43"/>
      <c r="Q112" s="43"/>
      <c r="R112" s="49"/>
      <c r="S112" s="49"/>
      <c r="T112" s="49"/>
      <c r="U112" s="49"/>
      <c r="V112" s="49"/>
      <c r="W112" s="49"/>
      <c r="X112" s="49"/>
      <c r="Y112" s="49"/>
      <c r="Z112" s="49"/>
      <c r="AA112" s="49"/>
      <c r="AB112" s="49"/>
      <c r="AC112" s="49"/>
    </row>
    <row r="113" spans="1:29">
      <c r="A113" s="43"/>
      <c r="B113" s="43"/>
      <c r="C113" s="43"/>
      <c r="D113" s="43"/>
      <c r="E113" s="43"/>
      <c r="F113" s="43"/>
      <c r="G113" s="43"/>
      <c r="H113" s="43"/>
      <c r="I113" s="43"/>
      <c r="J113" s="43"/>
      <c r="K113" s="43"/>
      <c r="L113" s="43"/>
      <c r="M113" s="43"/>
      <c r="N113" s="43"/>
      <c r="O113" s="43"/>
      <c r="P113" s="43"/>
      <c r="Q113" s="43"/>
      <c r="R113" s="49"/>
      <c r="S113" s="49"/>
      <c r="T113" s="49"/>
      <c r="U113" s="49"/>
      <c r="V113" s="49"/>
      <c r="W113" s="49"/>
      <c r="X113" s="49"/>
      <c r="Y113" s="49"/>
      <c r="Z113" s="49"/>
      <c r="AA113" s="49"/>
      <c r="AB113" s="49"/>
      <c r="AC113" s="49"/>
    </row>
    <row r="114" spans="1:29">
      <c r="A114" s="43"/>
      <c r="B114" s="43"/>
      <c r="C114" s="43"/>
      <c r="D114" s="43"/>
      <c r="E114" s="43"/>
      <c r="F114" s="43"/>
      <c r="G114" s="43"/>
      <c r="H114" s="43"/>
      <c r="I114" s="43"/>
      <c r="J114" s="43"/>
      <c r="K114" s="43"/>
      <c r="L114" s="43"/>
      <c r="M114" s="43"/>
      <c r="N114" s="43"/>
      <c r="O114" s="43"/>
      <c r="P114" s="43"/>
      <c r="Q114" s="43"/>
      <c r="R114" s="49"/>
      <c r="S114" s="49"/>
      <c r="T114" s="49"/>
      <c r="U114" s="49"/>
      <c r="V114" s="49"/>
      <c r="W114" s="49"/>
      <c r="X114" s="49"/>
      <c r="Y114" s="49"/>
      <c r="Z114" s="49"/>
      <c r="AA114" s="49"/>
      <c r="AB114" s="49"/>
      <c r="AC114" s="49"/>
    </row>
    <row r="115" spans="1:29">
      <c r="A115" s="43"/>
      <c r="B115" s="43"/>
      <c r="C115" s="43"/>
      <c r="D115" s="43"/>
      <c r="E115" s="43"/>
      <c r="F115" s="43"/>
      <c r="G115" s="43"/>
      <c r="H115" s="43"/>
      <c r="I115" s="43"/>
      <c r="J115" s="43"/>
      <c r="K115" s="43"/>
      <c r="L115" s="43"/>
      <c r="M115" s="43"/>
      <c r="N115" s="43"/>
      <c r="O115" s="43"/>
      <c r="P115" s="43"/>
      <c r="Q115" s="43"/>
      <c r="R115" s="49"/>
      <c r="S115" s="49"/>
      <c r="T115" s="49"/>
      <c r="U115" s="49"/>
      <c r="V115" s="49"/>
      <c r="W115" s="49"/>
      <c r="X115" s="49"/>
      <c r="Y115" s="49"/>
      <c r="Z115" s="49"/>
      <c r="AA115" s="49"/>
      <c r="AB115" s="49"/>
      <c r="AC115" s="49"/>
    </row>
    <row r="116" spans="1:29">
      <c r="A116" s="43"/>
      <c r="B116" s="43"/>
      <c r="C116" s="43"/>
      <c r="D116" s="43"/>
      <c r="E116" s="43"/>
      <c r="F116" s="43"/>
      <c r="G116" s="43"/>
      <c r="H116" s="43"/>
      <c r="I116" s="43"/>
      <c r="J116" s="43"/>
      <c r="K116" s="43"/>
      <c r="L116" s="43"/>
      <c r="M116" s="43"/>
      <c r="N116" s="43"/>
      <c r="O116" s="43"/>
      <c r="P116" s="43"/>
      <c r="Q116" s="43"/>
      <c r="R116" s="49"/>
      <c r="S116" s="49"/>
      <c r="T116" s="49"/>
      <c r="U116" s="49"/>
      <c r="V116" s="49"/>
      <c r="W116" s="49"/>
      <c r="X116" s="49"/>
      <c r="Y116" s="49"/>
      <c r="Z116" s="49"/>
      <c r="AA116" s="49"/>
      <c r="AB116" s="49"/>
      <c r="AC116" s="49"/>
    </row>
    <row r="117" spans="1:29">
      <c r="A117" s="43"/>
      <c r="B117" s="43"/>
      <c r="C117" s="43"/>
      <c r="D117" s="43"/>
      <c r="E117" s="43"/>
      <c r="F117" s="43"/>
      <c r="G117" s="43"/>
      <c r="H117" s="43"/>
      <c r="I117" s="43"/>
      <c r="J117" s="43"/>
      <c r="K117" s="43"/>
      <c r="L117" s="43"/>
      <c r="M117" s="43"/>
      <c r="N117" s="43"/>
      <c r="O117" s="43"/>
      <c r="P117" s="43"/>
      <c r="Q117" s="43"/>
      <c r="R117" s="49"/>
      <c r="S117" s="49"/>
      <c r="T117" s="49"/>
      <c r="U117" s="49"/>
      <c r="V117" s="49"/>
      <c r="W117" s="49"/>
      <c r="X117" s="49"/>
      <c r="Y117" s="49"/>
      <c r="Z117" s="49"/>
      <c r="AA117" s="49"/>
      <c r="AB117" s="49"/>
      <c r="AC117" s="49"/>
    </row>
    <row r="118" spans="1:29">
      <c r="A118" s="43"/>
      <c r="B118" s="43"/>
      <c r="C118" s="43"/>
      <c r="D118" s="43"/>
      <c r="E118" s="43"/>
      <c r="F118" s="43"/>
      <c r="G118" s="43"/>
      <c r="H118" s="43"/>
      <c r="I118" s="43"/>
      <c r="J118" s="43"/>
      <c r="K118" s="43"/>
      <c r="L118" s="43"/>
      <c r="M118" s="43"/>
      <c r="N118" s="43"/>
      <c r="O118" s="43"/>
      <c r="P118" s="43"/>
      <c r="Q118" s="43"/>
      <c r="R118" s="49"/>
      <c r="S118" s="49"/>
      <c r="T118" s="49"/>
      <c r="U118" s="49"/>
      <c r="V118" s="49"/>
      <c r="W118" s="49"/>
      <c r="X118" s="49"/>
      <c r="Y118" s="49"/>
      <c r="Z118" s="49"/>
      <c r="AA118" s="49"/>
      <c r="AB118" s="49"/>
      <c r="AC118" s="49"/>
    </row>
    <row r="119" spans="1:29">
      <c r="A119" s="43"/>
      <c r="B119" s="43"/>
      <c r="C119" s="43"/>
      <c r="D119" s="43"/>
      <c r="E119" s="43"/>
      <c r="F119" s="43"/>
      <c r="G119" s="43"/>
      <c r="H119" s="43"/>
      <c r="I119" s="43"/>
      <c r="J119" s="43"/>
      <c r="K119" s="43"/>
      <c r="L119" s="43"/>
      <c r="M119" s="43"/>
      <c r="N119" s="43"/>
      <c r="O119" s="43"/>
      <c r="P119" s="43"/>
      <c r="Q119" s="43"/>
      <c r="R119" s="49"/>
      <c r="S119" s="49"/>
      <c r="T119" s="49"/>
      <c r="U119" s="49"/>
      <c r="V119" s="49"/>
      <c r="W119" s="49"/>
      <c r="X119" s="49"/>
      <c r="Y119" s="49"/>
      <c r="Z119" s="49"/>
      <c r="AA119" s="49"/>
      <c r="AB119" s="49"/>
      <c r="AC119" s="49"/>
    </row>
    <row r="120" spans="1:29">
      <c r="A120" s="43"/>
      <c r="B120" s="43"/>
      <c r="C120" s="43"/>
      <c r="D120" s="43"/>
      <c r="E120" s="43"/>
      <c r="F120" s="43"/>
      <c r="G120" s="43"/>
      <c r="H120" s="43"/>
      <c r="I120" s="43"/>
      <c r="J120" s="43"/>
      <c r="K120" s="43"/>
      <c r="L120" s="43"/>
      <c r="M120" s="43"/>
      <c r="N120" s="43"/>
      <c r="O120" s="43"/>
      <c r="P120" s="43"/>
      <c r="Q120" s="43"/>
      <c r="R120" s="49"/>
      <c r="S120" s="49"/>
      <c r="T120" s="49"/>
      <c r="U120" s="49"/>
      <c r="V120" s="49"/>
      <c r="W120" s="49"/>
      <c r="X120" s="49"/>
      <c r="Y120" s="49"/>
      <c r="Z120" s="49"/>
      <c r="AA120" s="49"/>
      <c r="AB120" s="49"/>
      <c r="AC120" s="49"/>
    </row>
    <row r="121" spans="1:29">
      <c r="A121" s="43"/>
      <c r="B121" s="43"/>
      <c r="C121" s="43"/>
      <c r="D121" s="43"/>
      <c r="E121" s="43"/>
      <c r="F121" s="43"/>
      <c r="G121" s="43"/>
      <c r="H121" s="43"/>
      <c r="I121" s="43"/>
      <c r="J121" s="43"/>
      <c r="K121" s="43"/>
      <c r="L121" s="43"/>
      <c r="M121" s="43"/>
      <c r="N121" s="43"/>
      <c r="O121" s="43"/>
      <c r="P121" s="43"/>
      <c r="Q121" s="43"/>
      <c r="R121" s="49"/>
      <c r="S121" s="49"/>
      <c r="T121" s="49"/>
      <c r="U121" s="49"/>
      <c r="V121" s="49"/>
      <c r="W121" s="49"/>
      <c r="X121" s="49"/>
      <c r="Y121" s="49"/>
      <c r="Z121" s="49"/>
      <c r="AA121" s="49"/>
      <c r="AB121" s="49"/>
      <c r="AC121" s="49"/>
    </row>
    <row r="122" spans="1:29">
      <c r="A122" s="43"/>
      <c r="B122" s="43"/>
      <c r="C122" s="43"/>
      <c r="D122" s="43"/>
      <c r="E122" s="43"/>
      <c r="F122" s="43"/>
      <c r="G122" s="43"/>
      <c r="H122" s="43"/>
      <c r="I122" s="43"/>
      <c r="J122" s="43"/>
      <c r="K122" s="43"/>
      <c r="L122" s="43"/>
      <c r="M122" s="43"/>
      <c r="N122" s="43"/>
      <c r="O122" s="43"/>
      <c r="P122" s="43"/>
      <c r="Q122" s="43"/>
      <c r="R122" s="49"/>
      <c r="S122" s="49"/>
      <c r="T122" s="49"/>
      <c r="U122" s="49"/>
      <c r="V122" s="49"/>
      <c r="W122" s="49"/>
      <c r="X122" s="49"/>
      <c r="Y122" s="49"/>
      <c r="Z122" s="49"/>
      <c r="AA122" s="49"/>
      <c r="AB122" s="49"/>
      <c r="AC122" s="49"/>
    </row>
    <row r="123" spans="1:29">
      <c r="A123" s="43"/>
      <c r="B123" s="43"/>
      <c r="C123" s="43"/>
      <c r="D123" s="43"/>
      <c r="E123" s="43"/>
      <c r="F123" s="43"/>
      <c r="G123" s="43"/>
      <c r="H123" s="43"/>
      <c r="I123" s="43"/>
      <c r="J123" s="43"/>
      <c r="K123" s="43"/>
      <c r="L123" s="43"/>
      <c r="M123" s="43"/>
      <c r="N123" s="43"/>
      <c r="O123" s="43"/>
      <c r="P123" s="43"/>
      <c r="Q123" s="43"/>
      <c r="R123" s="49"/>
      <c r="S123" s="49"/>
      <c r="T123" s="49"/>
      <c r="U123" s="49"/>
      <c r="V123" s="49"/>
      <c r="W123" s="49"/>
      <c r="X123" s="49"/>
      <c r="Y123" s="49"/>
      <c r="Z123" s="49"/>
      <c r="AA123" s="49"/>
      <c r="AB123" s="49"/>
      <c r="AC123" s="49"/>
    </row>
    <row r="124" spans="1:29">
      <c r="A124" s="43"/>
      <c r="B124" s="43"/>
      <c r="C124" s="43"/>
      <c r="D124" s="43"/>
      <c r="E124" s="43"/>
      <c r="F124" s="43"/>
      <c r="G124" s="43"/>
      <c r="H124" s="43"/>
      <c r="I124" s="43"/>
      <c r="J124" s="43"/>
      <c r="K124" s="43"/>
      <c r="L124" s="43"/>
      <c r="M124" s="43"/>
      <c r="N124" s="43"/>
      <c r="O124" s="43"/>
      <c r="P124" s="43"/>
      <c r="Q124" s="43"/>
      <c r="R124" s="49"/>
      <c r="S124" s="49"/>
      <c r="T124" s="49"/>
      <c r="U124" s="49"/>
      <c r="V124" s="49"/>
      <c r="W124" s="49"/>
      <c r="X124" s="49"/>
      <c r="Y124" s="49"/>
      <c r="Z124" s="49"/>
      <c r="AA124" s="49"/>
      <c r="AB124" s="49"/>
      <c r="AC124" s="49"/>
    </row>
    <row r="125" spans="1:29">
      <c r="A125" s="43"/>
      <c r="B125" s="43"/>
      <c r="C125" s="43"/>
      <c r="D125" s="43"/>
      <c r="E125" s="43"/>
      <c r="F125" s="43"/>
      <c r="G125" s="43"/>
      <c r="H125" s="43"/>
      <c r="I125" s="43"/>
      <c r="J125" s="43"/>
      <c r="K125" s="43"/>
      <c r="L125" s="43"/>
      <c r="M125" s="43"/>
      <c r="N125" s="43"/>
      <c r="O125" s="43"/>
      <c r="P125" s="43"/>
      <c r="Q125" s="43"/>
      <c r="R125" s="49"/>
      <c r="S125" s="49"/>
      <c r="T125" s="49"/>
      <c r="U125" s="49"/>
      <c r="V125" s="49"/>
      <c r="W125" s="49"/>
      <c r="X125" s="49"/>
      <c r="Y125" s="49"/>
      <c r="Z125" s="49"/>
      <c r="AA125" s="49"/>
      <c r="AB125" s="49"/>
      <c r="AC125" s="49"/>
    </row>
    <row r="126" spans="1:29">
      <c r="A126" s="43"/>
      <c r="B126" s="43"/>
      <c r="C126" s="43"/>
      <c r="D126" s="43"/>
      <c r="E126" s="43"/>
      <c r="F126" s="43"/>
      <c r="G126" s="43"/>
      <c r="H126" s="43"/>
      <c r="I126" s="43"/>
      <c r="J126" s="43"/>
      <c r="K126" s="43"/>
      <c r="L126" s="43"/>
      <c r="M126" s="43"/>
      <c r="N126" s="43"/>
      <c r="O126" s="43"/>
      <c r="P126" s="43"/>
      <c r="Q126" s="43"/>
      <c r="R126" s="49"/>
      <c r="S126" s="49"/>
      <c r="T126" s="49"/>
      <c r="U126" s="49"/>
      <c r="V126" s="49"/>
      <c r="W126" s="49"/>
      <c r="X126" s="49"/>
      <c r="Y126" s="49"/>
      <c r="Z126" s="49"/>
      <c r="AA126" s="49"/>
      <c r="AB126" s="49"/>
      <c r="AC126" s="49"/>
    </row>
    <row r="127" spans="1:29">
      <c r="A127" s="43"/>
      <c r="B127" s="43"/>
      <c r="C127" s="43"/>
      <c r="D127" s="43"/>
      <c r="E127" s="43"/>
      <c r="F127" s="43"/>
      <c r="G127" s="43"/>
      <c r="H127" s="43"/>
      <c r="I127" s="43"/>
      <c r="J127" s="43"/>
      <c r="K127" s="43"/>
      <c r="L127" s="43"/>
      <c r="M127" s="43"/>
      <c r="N127" s="43"/>
      <c r="O127" s="43"/>
      <c r="P127" s="43"/>
      <c r="Q127" s="43"/>
      <c r="R127" s="49"/>
      <c r="S127" s="49"/>
      <c r="T127" s="49"/>
      <c r="U127" s="49"/>
      <c r="V127" s="49"/>
      <c r="W127" s="49"/>
      <c r="X127" s="49"/>
      <c r="Y127" s="49"/>
      <c r="Z127" s="49"/>
      <c r="AA127" s="49"/>
      <c r="AB127" s="49"/>
      <c r="AC127" s="49"/>
    </row>
    <row r="128" spans="1:29">
      <c r="A128" s="43"/>
      <c r="B128" s="43"/>
      <c r="C128" s="43"/>
      <c r="D128" s="43"/>
      <c r="E128" s="43"/>
      <c r="F128" s="43"/>
      <c r="G128" s="43"/>
      <c r="H128" s="43"/>
      <c r="I128" s="43"/>
      <c r="J128" s="43"/>
      <c r="K128" s="43"/>
      <c r="L128" s="43"/>
      <c r="M128" s="43"/>
      <c r="N128" s="43"/>
      <c r="O128" s="43"/>
      <c r="P128" s="43"/>
      <c r="Q128" s="43"/>
      <c r="R128" s="49"/>
      <c r="S128" s="49"/>
      <c r="T128" s="49"/>
      <c r="U128" s="49"/>
      <c r="V128" s="49"/>
      <c r="W128" s="49"/>
      <c r="X128" s="49"/>
      <c r="Y128" s="49"/>
      <c r="Z128" s="49"/>
      <c r="AA128" s="49"/>
      <c r="AB128" s="49"/>
      <c r="AC128" s="49"/>
    </row>
    <row r="129" spans="1:29">
      <c r="A129" s="43"/>
      <c r="B129" s="43"/>
      <c r="C129" s="43"/>
      <c r="D129" s="43"/>
      <c r="E129" s="43"/>
      <c r="F129" s="43"/>
      <c r="G129" s="43"/>
      <c r="H129" s="43"/>
      <c r="I129" s="43"/>
      <c r="J129" s="43"/>
      <c r="K129" s="43"/>
      <c r="L129" s="43"/>
      <c r="M129" s="43"/>
      <c r="N129" s="43"/>
      <c r="O129" s="43"/>
      <c r="P129" s="43"/>
      <c r="Q129" s="43"/>
      <c r="R129" s="49"/>
      <c r="S129" s="49"/>
      <c r="T129" s="49"/>
      <c r="U129" s="49"/>
      <c r="V129" s="49"/>
      <c r="W129" s="49"/>
      <c r="X129" s="49"/>
      <c r="Y129" s="49"/>
      <c r="Z129" s="49"/>
      <c r="AA129" s="49"/>
      <c r="AB129" s="49"/>
      <c r="AC129" s="49"/>
    </row>
    <row r="130" spans="1:29">
      <c r="A130" s="43"/>
      <c r="B130" s="43"/>
      <c r="C130" s="43"/>
      <c r="D130" s="43"/>
      <c r="E130" s="43"/>
      <c r="F130" s="43"/>
      <c r="G130" s="43"/>
      <c r="H130" s="43"/>
      <c r="I130" s="43"/>
      <c r="J130" s="43"/>
      <c r="K130" s="43"/>
      <c r="L130" s="43"/>
      <c r="M130" s="43"/>
      <c r="N130" s="43"/>
      <c r="O130" s="43"/>
      <c r="P130" s="43"/>
      <c r="Q130" s="43"/>
      <c r="R130" s="49"/>
      <c r="S130" s="49"/>
      <c r="T130" s="49"/>
      <c r="U130" s="49"/>
      <c r="V130" s="49"/>
      <c r="W130" s="49"/>
      <c r="X130" s="49"/>
      <c r="Y130" s="49"/>
      <c r="Z130" s="49"/>
      <c r="AA130" s="49"/>
      <c r="AB130" s="49"/>
      <c r="AC130" s="49"/>
    </row>
    <row r="131" spans="1:29">
      <c r="A131" s="43"/>
      <c r="B131" s="43"/>
      <c r="C131" s="43"/>
      <c r="D131" s="43"/>
      <c r="E131" s="43"/>
      <c r="F131" s="43"/>
      <c r="G131" s="43"/>
      <c r="H131" s="43"/>
      <c r="I131" s="43"/>
      <c r="J131" s="43"/>
      <c r="K131" s="43"/>
      <c r="L131" s="43"/>
      <c r="M131" s="43"/>
      <c r="N131" s="43"/>
      <c r="O131" s="43"/>
      <c r="P131" s="43"/>
      <c r="Q131" s="43"/>
      <c r="R131" s="49"/>
      <c r="S131" s="49"/>
      <c r="T131" s="49"/>
      <c r="U131" s="49"/>
      <c r="V131" s="49"/>
      <c r="W131" s="49"/>
      <c r="X131" s="49"/>
      <c r="Y131" s="49"/>
      <c r="Z131" s="49"/>
      <c r="AA131" s="49"/>
      <c r="AB131" s="49"/>
      <c r="AC131" s="49"/>
    </row>
    <row r="132" spans="1:29">
      <c r="A132" s="43"/>
      <c r="B132" s="43"/>
      <c r="C132" s="43"/>
      <c r="D132" s="43"/>
      <c r="E132" s="43"/>
      <c r="F132" s="43"/>
      <c r="G132" s="43"/>
      <c r="H132" s="43"/>
      <c r="I132" s="43"/>
      <c r="J132" s="43"/>
      <c r="K132" s="43"/>
      <c r="L132" s="43"/>
      <c r="M132" s="43"/>
      <c r="N132" s="43"/>
      <c r="O132" s="43"/>
      <c r="P132" s="43"/>
      <c r="Q132" s="43"/>
      <c r="R132" s="49"/>
      <c r="S132" s="49"/>
      <c r="T132" s="49"/>
      <c r="U132" s="49"/>
      <c r="V132" s="49"/>
      <c r="W132" s="49"/>
      <c r="X132" s="49"/>
      <c r="Y132" s="49"/>
      <c r="Z132" s="49"/>
      <c r="AA132" s="49"/>
      <c r="AB132" s="49"/>
      <c r="AC132" s="49"/>
    </row>
    <row r="133" spans="1:29">
      <c r="A133" s="43"/>
      <c r="B133" s="43"/>
      <c r="C133" s="43"/>
      <c r="D133" s="43"/>
      <c r="E133" s="43"/>
      <c r="F133" s="43"/>
      <c r="G133" s="43"/>
      <c r="H133" s="43"/>
      <c r="I133" s="43"/>
      <c r="J133" s="43"/>
      <c r="K133" s="43"/>
      <c r="L133" s="43"/>
      <c r="M133" s="43"/>
      <c r="N133" s="43"/>
      <c r="O133" s="43"/>
      <c r="P133" s="43"/>
      <c r="Q133" s="43"/>
      <c r="R133" s="49"/>
      <c r="S133" s="49"/>
      <c r="T133" s="49"/>
      <c r="U133" s="49"/>
      <c r="V133" s="49"/>
      <c r="W133" s="49"/>
      <c r="X133" s="49"/>
      <c r="Y133" s="49"/>
      <c r="Z133" s="49"/>
      <c r="AA133" s="49"/>
      <c r="AB133" s="49"/>
      <c r="AC133" s="49"/>
    </row>
    <row r="134" spans="1:29">
      <c r="A134" s="43"/>
      <c r="B134" s="43"/>
      <c r="C134" s="43"/>
      <c r="D134" s="43"/>
      <c r="E134" s="43"/>
      <c r="F134" s="43"/>
      <c r="G134" s="43"/>
      <c r="H134" s="43"/>
      <c r="I134" s="43"/>
      <c r="J134" s="43"/>
      <c r="K134" s="43"/>
      <c r="L134" s="43"/>
      <c r="M134" s="43"/>
      <c r="N134" s="43"/>
      <c r="O134" s="43"/>
      <c r="P134" s="43"/>
      <c r="Q134" s="43"/>
      <c r="R134" s="49"/>
      <c r="S134" s="49"/>
      <c r="T134" s="49"/>
      <c r="U134" s="49"/>
      <c r="V134" s="49"/>
      <c r="W134" s="49"/>
      <c r="X134" s="49"/>
      <c r="Y134" s="49"/>
      <c r="Z134" s="49"/>
      <c r="AA134" s="49"/>
      <c r="AB134" s="49"/>
      <c r="AC134" s="49"/>
    </row>
    <row r="135" spans="1:29">
      <c r="A135" s="43"/>
      <c r="B135" s="43"/>
      <c r="C135" s="43"/>
      <c r="D135" s="43"/>
      <c r="E135" s="43"/>
      <c r="F135" s="43"/>
      <c r="G135" s="43"/>
      <c r="H135" s="43"/>
      <c r="I135" s="43"/>
      <c r="J135" s="43"/>
      <c r="K135" s="43"/>
      <c r="L135" s="43"/>
      <c r="M135" s="43"/>
      <c r="N135" s="43"/>
      <c r="O135" s="43"/>
      <c r="P135" s="43"/>
      <c r="Q135" s="43"/>
      <c r="R135" s="49"/>
      <c r="S135" s="49"/>
      <c r="T135" s="49"/>
      <c r="U135" s="49"/>
      <c r="V135" s="49"/>
      <c r="W135" s="49"/>
      <c r="X135" s="49"/>
      <c r="Y135" s="49"/>
      <c r="Z135" s="49"/>
      <c r="AA135" s="49"/>
      <c r="AB135" s="49"/>
      <c r="AC135" s="49"/>
    </row>
    <row r="136" spans="1:29">
      <c r="A136" s="43"/>
      <c r="B136" s="43"/>
      <c r="C136" s="43"/>
      <c r="D136" s="43"/>
      <c r="E136" s="43"/>
      <c r="F136" s="43"/>
      <c r="G136" s="43"/>
      <c r="H136" s="43"/>
      <c r="I136" s="43"/>
      <c r="J136" s="43"/>
      <c r="K136" s="43"/>
      <c r="L136" s="43"/>
      <c r="M136" s="43"/>
      <c r="N136" s="43"/>
      <c r="O136" s="43"/>
      <c r="P136" s="43"/>
      <c r="Q136" s="43"/>
      <c r="R136" s="49"/>
      <c r="S136" s="49"/>
      <c r="T136" s="49"/>
      <c r="U136" s="49"/>
      <c r="V136" s="49"/>
      <c r="W136" s="49"/>
      <c r="X136" s="49"/>
      <c r="Y136" s="49"/>
      <c r="Z136" s="49"/>
      <c r="AA136" s="49"/>
      <c r="AB136" s="49"/>
      <c r="AC136" s="49"/>
    </row>
    <row r="137" spans="1:29">
      <c r="A137" s="43"/>
      <c r="B137" s="43"/>
      <c r="C137" s="43"/>
      <c r="D137" s="43"/>
      <c r="E137" s="43"/>
      <c r="F137" s="43"/>
      <c r="G137" s="43"/>
      <c r="H137" s="43"/>
      <c r="I137" s="43"/>
      <c r="J137" s="43"/>
      <c r="K137" s="43"/>
      <c r="L137" s="43"/>
      <c r="M137" s="43"/>
      <c r="N137" s="43"/>
      <c r="O137" s="43"/>
      <c r="P137" s="43"/>
      <c r="Q137" s="43"/>
      <c r="R137" s="49"/>
      <c r="S137" s="49"/>
      <c r="T137" s="49"/>
      <c r="U137" s="49"/>
      <c r="V137" s="49"/>
      <c r="W137" s="49"/>
      <c r="X137" s="49"/>
      <c r="Y137" s="49"/>
      <c r="Z137" s="49"/>
      <c r="AA137" s="49"/>
      <c r="AB137" s="49"/>
      <c r="AC137" s="49"/>
    </row>
    <row r="138" spans="1:29">
      <c r="A138" s="43"/>
      <c r="B138" s="43"/>
      <c r="C138" s="43"/>
      <c r="D138" s="43"/>
      <c r="E138" s="43"/>
      <c r="F138" s="43"/>
      <c r="G138" s="43"/>
      <c r="H138" s="43"/>
      <c r="I138" s="43"/>
      <c r="J138" s="43"/>
      <c r="K138" s="43"/>
      <c r="L138" s="43"/>
      <c r="M138" s="43"/>
      <c r="N138" s="43"/>
      <c r="O138" s="43"/>
      <c r="P138" s="43"/>
      <c r="Q138" s="43"/>
      <c r="R138" s="49"/>
      <c r="S138" s="49"/>
      <c r="T138" s="49"/>
      <c r="U138" s="49"/>
      <c r="V138" s="49"/>
      <c r="W138" s="49"/>
      <c r="X138" s="49"/>
      <c r="Y138" s="49"/>
      <c r="Z138" s="49"/>
      <c r="AA138" s="49"/>
      <c r="AB138" s="49"/>
      <c r="AC138" s="49"/>
    </row>
    <row r="139" spans="1:29">
      <c r="A139" s="43"/>
      <c r="B139" s="43"/>
      <c r="C139" s="43"/>
      <c r="D139" s="43"/>
      <c r="E139" s="43"/>
      <c r="F139" s="43"/>
      <c r="G139" s="43"/>
      <c r="H139" s="43"/>
      <c r="I139" s="43"/>
      <c r="J139" s="43"/>
      <c r="K139" s="43"/>
      <c r="L139" s="43"/>
      <c r="M139" s="43"/>
      <c r="N139" s="43"/>
      <c r="O139" s="43"/>
      <c r="P139" s="43"/>
      <c r="Q139" s="43"/>
      <c r="R139" s="49"/>
      <c r="S139" s="49"/>
      <c r="T139" s="49"/>
      <c r="U139" s="49"/>
      <c r="V139" s="49"/>
      <c r="W139" s="49"/>
      <c r="X139" s="49"/>
      <c r="Y139" s="49"/>
      <c r="Z139" s="49"/>
      <c r="AA139" s="49"/>
      <c r="AB139" s="49"/>
      <c r="AC139" s="49"/>
    </row>
    <row r="140" spans="1:29">
      <c r="A140" s="43"/>
      <c r="B140" s="43"/>
      <c r="C140" s="43"/>
      <c r="D140" s="43"/>
      <c r="E140" s="43"/>
      <c r="F140" s="43"/>
      <c r="G140" s="43"/>
      <c r="H140" s="43"/>
      <c r="I140" s="43"/>
      <c r="J140" s="43"/>
      <c r="K140" s="43"/>
      <c r="L140" s="43"/>
      <c r="M140" s="43"/>
      <c r="N140" s="43"/>
      <c r="O140" s="43"/>
      <c r="P140" s="43"/>
      <c r="Q140" s="43"/>
      <c r="R140" s="49"/>
      <c r="S140" s="49"/>
      <c r="T140" s="49"/>
      <c r="U140" s="49"/>
      <c r="V140" s="49"/>
      <c r="W140" s="49"/>
      <c r="X140" s="49"/>
      <c r="Y140" s="49"/>
      <c r="Z140" s="49"/>
      <c r="AA140" s="49"/>
      <c r="AB140" s="49"/>
      <c r="AC140" s="49"/>
    </row>
    <row r="141" spans="1:29">
      <c r="A141" s="43"/>
      <c r="B141" s="43"/>
      <c r="C141" s="43"/>
      <c r="D141" s="43"/>
      <c r="E141" s="43"/>
      <c r="F141" s="43"/>
      <c r="G141" s="43"/>
      <c r="H141" s="43"/>
      <c r="I141" s="43"/>
      <c r="J141" s="43"/>
      <c r="K141" s="43"/>
      <c r="L141" s="43"/>
      <c r="M141" s="43"/>
      <c r="N141" s="43"/>
      <c r="O141" s="43"/>
      <c r="P141" s="43"/>
      <c r="Q141" s="43"/>
      <c r="R141" s="49"/>
      <c r="S141" s="49"/>
      <c r="T141" s="49"/>
      <c r="U141" s="49"/>
      <c r="V141" s="49"/>
      <c r="W141" s="49"/>
      <c r="X141" s="49"/>
      <c r="Y141" s="49"/>
      <c r="Z141" s="49"/>
      <c r="AA141" s="49"/>
      <c r="AB141" s="49"/>
      <c r="AC141" s="49"/>
    </row>
    <row r="142" spans="1:29">
      <c r="A142" s="43"/>
      <c r="B142" s="43"/>
      <c r="C142" s="43"/>
      <c r="D142" s="43"/>
      <c r="E142" s="43"/>
      <c r="F142" s="43"/>
      <c r="G142" s="43"/>
      <c r="H142" s="43"/>
      <c r="I142" s="43"/>
      <c r="J142" s="43"/>
      <c r="K142" s="43"/>
      <c r="L142" s="43"/>
      <c r="M142" s="43"/>
      <c r="N142" s="43"/>
      <c r="O142" s="43"/>
      <c r="P142" s="43"/>
      <c r="Q142" s="43"/>
      <c r="R142" s="49"/>
      <c r="S142" s="49"/>
      <c r="T142" s="49"/>
      <c r="U142" s="49"/>
      <c r="V142" s="49"/>
      <c r="W142" s="49"/>
      <c r="X142" s="49"/>
      <c r="Y142" s="49"/>
      <c r="Z142" s="49"/>
      <c r="AA142" s="49"/>
      <c r="AB142" s="49"/>
      <c r="AC142" s="49"/>
    </row>
    <row r="143" spans="1:29">
      <c r="A143" s="43"/>
      <c r="B143" s="43"/>
      <c r="C143" s="43"/>
      <c r="D143" s="43"/>
      <c r="E143" s="43"/>
      <c r="F143" s="43"/>
      <c r="G143" s="43"/>
      <c r="H143" s="43"/>
      <c r="I143" s="43"/>
      <c r="J143" s="43"/>
      <c r="K143" s="43"/>
      <c r="L143" s="43"/>
      <c r="M143" s="43"/>
      <c r="N143" s="43"/>
      <c r="O143" s="43"/>
      <c r="P143" s="43"/>
      <c r="Q143" s="43"/>
      <c r="R143" s="49"/>
      <c r="S143" s="49"/>
      <c r="T143" s="49"/>
      <c r="U143" s="49"/>
      <c r="V143" s="49"/>
      <c r="W143" s="49"/>
      <c r="X143" s="49"/>
      <c r="Y143" s="49"/>
      <c r="Z143" s="49"/>
      <c r="AA143" s="49"/>
      <c r="AB143" s="49"/>
      <c r="AC143" s="49"/>
    </row>
    <row r="144" spans="1:29">
      <c r="A144" s="43"/>
      <c r="B144" s="43"/>
      <c r="C144" s="43"/>
      <c r="D144" s="43"/>
      <c r="E144" s="43"/>
      <c r="F144" s="43"/>
      <c r="G144" s="43"/>
      <c r="H144" s="43"/>
      <c r="I144" s="43"/>
      <c r="J144" s="43"/>
      <c r="K144" s="43"/>
      <c r="L144" s="43"/>
      <c r="M144" s="43"/>
      <c r="N144" s="43"/>
      <c r="O144" s="43"/>
      <c r="P144" s="43"/>
      <c r="Q144" s="43"/>
      <c r="R144" s="49"/>
      <c r="S144" s="49"/>
      <c r="T144" s="49"/>
      <c r="U144" s="49"/>
      <c r="V144" s="49"/>
      <c r="W144" s="49"/>
      <c r="X144" s="49"/>
      <c r="Y144" s="49"/>
      <c r="Z144" s="49"/>
      <c r="AA144" s="49"/>
      <c r="AB144" s="49"/>
      <c r="AC144" s="49"/>
    </row>
    <row r="145" spans="1:29">
      <c r="A145" s="43"/>
      <c r="B145" s="43"/>
      <c r="C145" s="43"/>
      <c r="D145" s="43"/>
      <c r="E145" s="43"/>
      <c r="F145" s="43"/>
      <c r="G145" s="43"/>
      <c r="H145" s="43"/>
      <c r="I145" s="43"/>
      <c r="J145" s="43"/>
      <c r="K145" s="43"/>
      <c r="L145" s="43"/>
      <c r="M145" s="43"/>
      <c r="N145" s="43"/>
      <c r="O145" s="43"/>
      <c r="P145" s="43"/>
      <c r="Q145" s="43"/>
      <c r="R145" s="49"/>
      <c r="S145" s="49"/>
      <c r="T145" s="49"/>
      <c r="U145" s="49"/>
      <c r="V145" s="49"/>
      <c r="W145" s="49"/>
      <c r="X145" s="49"/>
      <c r="Y145" s="49"/>
      <c r="Z145" s="49"/>
      <c r="AA145" s="49"/>
      <c r="AB145" s="49"/>
      <c r="AC145" s="49"/>
    </row>
    <row r="146" spans="1:29">
      <c r="A146" s="43"/>
      <c r="B146" s="43"/>
      <c r="C146" s="43"/>
      <c r="D146" s="43"/>
      <c r="E146" s="43"/>
      <c r="F146" s="43"/>
      <c r="G146" s="43"/>
      <c r="H146" s="43"/>
      <c r="I146" s="43"/>
      <c r="J146" s="43"/>
      <c r="K146" s="43"/>
      <c r="L146" s="43"/>
      <c r="M146" s="43"/>
      <c r="N146" s="43"/>
      <c r="O146" s="43"/>
      <c r="P146" s="43"/>
      <c r="Q146" s="43"/>
      <c r="R146" s="49"/>
      <c r="S146" s="49"/>
      <c r="T146" s="49"/>
      <c r="U146" s="49"/>
      <c r="V146" s="49"/>
      <c r="W146" s="49"/>
      <c r="X146" s="49"/>
      <c r="Y146" s="49"/>
      <c r="Z146" s="49"/>
      <c r="AA146" s="49"/>
      <c r="AB146" s="49"/>
      <c r="AC146" s="49"/>
    </row>
    <row r="147" spans="1:29">
      <c r="A147" s="43"/>
      <c r="B147" s="43"/>
      <c r="C147" s="43"/>
      <c r="D147" s="43"/>
      <c r="E147" s="43"/>
      <c r="F147" s="43"/>
      <c r="G147" s="43"/>
      <c r="H147" s="43"/>
      <c r="I147" s="43"/>
      <c r="J147" s="43"/>
      <c r="K147" s="43"/>
      <c r="L147" s="43"/>
      <c r="M147" s="43"/>
      <c r="N147" s="43"/>
      <c r="O147" s="43"/>
      <c r="P147" s="43"/>
      <c r="Q147" s="43"/>
      <c r="R147" s="49"/>
      <c r="S147" s="49"/>
      <c r="T147" s="49"/>
      <c r="U147" s="49"/>
      <c r="V147" s="49"/>
      <c r="W147" s="49"/>
      <c r="X147" s="49"/>
      <c r="Y147" s="49"/>
      <c r="Z147" s="49"/>
      <c r="AA147" s="49"/>
      <c r="AB147" s="49"/>
      <c r="AC147" s="49"/>
    </row>
    <row r="148" spans="1:29">
      <c r="A148" s="43"/>
      <c r="B148" s="43"/>
      <c r="C148" s="43"/>
      <c r="D148" s="43"/>
      <c r="E148" s="43"/>
      <c r="F148" s="43"/>
      <c r="G148" s="43"/>
      <c r="H148" s="43"/>
      <c r="I148" s="43"/>
      <c r="J148" s="43"/>
      <c r="K148" s="43"/>
      <c r="L148" s="43"/>
      <c r="M148" s="43"/>
      <c r="N148" s="43"/>
      <c r="O148" s="43"/>
      <c r="P148" s="43"/>
      <c r="Q148" s="43"/>
      <c r="R148" s="49"/>
      <c r="S148" s="49"/>
      <c r="T148" s="49"/>
      <c r="U148" s="49"/>
      <c r="V148" s="49"/>
      <c r="W148" s="49"/>
      <c r="X148" s="49"/>
      <c r="Y148" s="49"/>
      <c r="Z148" s="49"/>
      <c r="AA148" s="49"/>
      <c r="AB148" s="49"/>
      <c r="AC148" s="49"/>
    </row>
    <row r="149" spans="1:29">
      <c r="A149" s="43"/>
      <c r="B149" s="43"/>
      <c r="C149" s="43"/>
      <c r="D149" s="43"/>
      <c r="E149" s="43"/>
      <c r="F149" s="43"/>
      <c r="G149" s="43"/>
      <c r="H149" s="43"/>
      <c r="I149" s="43"/>
      <c r="J149" s="43"/>
      <c r="K149" s="43"/>
      <c r="L149" s="43"/>
      <c r="M149" s="43"/>
      <c r="N149" s="43"/>
      <c r="O149" s="43"/>
      <c r="P149" s="43"/>
      <c r="Q149" s="43"/>
      <c r="R149" s="49"/>
      <c r="S149" s="49"/>
      <c r="T149" s="49"/>
      <c r="U149" s="49"/>
      <c r="V149" s="49"/>
      <c r="W149" s="49"/>
      <c r="X149" s="49"/>
      <c r="Y149" s="49"/>
      <c r="Z149" s="49"/>
      <c r="AA149" s="49"/>
      <c r="AB149" s="49"/>
      <c r="AC149" s="49"/>
    </row>
    <row r="150" spans="1:29">
      <c r="A150" s="43"/>
      <c r="B150" s="43"/>
      <c r="C150" s="43"/>
      <c r="D150" s="43"/>
      <c r="E150" s="43"/>
      <c r="F150" s="43"/>
      <c r="G150" s="43"/>
      <c r="H150" s="43"/>
      <c r="I150" s="43"/>
      <c r="J150" s="43"/>
      <c r="K150" s="43"/>
      <c r="L150" s="43"/>
      <c r="M150" s="43"/>
      <c r="N150" s="43"/>
      <c r="O150" s="43"/>
      <c r="P150" s="43"/>
      <c r="Q150" s="43"/>
      <c r="R150" s="49"/>
      <c r="S150" s="49"/>
      <c r="T150" s="49"/>
      <c r="U150" s="49"/>
      <c r="V150" s="49"/>
      <c r="W150" s="49"/>
      <c r="X150" s="49"/>
      <c r="Y150" s="49"/>
      <c r="Z150" s="49"/>
      <c r="AA150" s="49"/>
      <c r="AB150" s="49"/>
      <c r="AC150" s="49"/>
    </row>
    <row r="151" spans="1:29">
      <c r="A151" s="43"/>
      <c r="B151" s="43"/>
      <c r="C151" s="43"/>
      <c r="D151" s="43"/>
      <c r="E151" s="43"/>
      <c r="F151" s="43"/>
      <c r="G151" s="43"/>
      <c r="H151" s="43"/>
      <c r="I151" s="43"/>
      <c r="J151" s="43"/>
      <c r="K151" s="43"/>
      <c r="L151" s="43"/>
      <c r="M151" s="43"/>
      <c r="N151" s="43"/>
      <c r="O151" s="43"/>
      <c r="P151" s="43"/>
      <c r="Q151" s="43"/>
      <c r="R151" s="49"/>
      <c r="S151" s="49"/>
      <c r="T151" s="49"/>
      <c r="U151" s="49"/>
      <c r="V151" s="49"/>
      <c r="W151" s="49"/>
      <c r="X151" s="49"/>
      <c r="Y151" s="49"/>
      <c r="Z151" s="49"/>
      <c r="AA151" s="49"/>
      <c r="AB151" s="49"/>
      <c r="AC151" s="49"/>
    </row>
    <row r="152" spans="1:29">
      <c r="A152" s="43"/>
      <c r="B152" s="43"/>
      <c r="C152" s="43"/>
      <c r="D152" s="43"/>
      <c r="E152" s="43"/>
      <c r="F152" s="43"/>
      <c r="G152" s="43"/>
      <c r="H152" s="43"/>
      <c r="I152" s="43"/>
      <c r="J152" s="43"/>
      <c r="K152" s="43"/>
      <c r="L152" s="43"/>
      <c r="M152" s="43"/>
      <c r="N152" s="43"/>
      <c r="O152" s="43"/>
      <c r="P152" s="43"/>
      <c r="Q152" s="43"/>
      <c r="R152" s="49"/>
      <c r="S152" s="49"/>
      <c r="T152" s="49"/>
      <c r="U152" s="49"/>
      <c r="V152" s="49"/>
      <c r="W152" s="49"/>
      <c r="X152" s="49"/>
      <c r="Y152" s="49"/>
      <c r="Z152" s="49"/>
      <c r="AA152" s="49"/>
      <c r="AB152" s="49"/>
      <c r="AC152" s="49"/>
    </row>
    <row r="153" spans="1:29">
      <c r="A153" s="43"/>
      <c r="B153" s="43"/>
      <c r="C153" s="43"/>
      <c r="D153" s="43"/>
      <c r="E153" s="43"/>
      <c r="F153" s="43"/>
      <c r="G153" s="43"/>
      <c r="H153" s="43"/>
      <c r="I153" s="43"/>
      <c r="J153" s="43"/>
      <c r="K153" s="43"/>
      <c r="L153" s="43"/>
      <c r="M153" s="43"/>
      <c r="N153" s="43"/>
      <c r="O153" s="43"/>
      <c r="P153" s="43"/>
      <c r="Q153" s="43"/>
      <c r="R153" s="49"/>
      <c r="S153" s="49"/>
      <c r="T153" s="49"/>
      <c r="U153" s="49"/>
      <c r="V153" s="49"/>
      <c r="W153" s="49"/>
      <c r="X153" s="49"/>
      <c r="Y153" s="49"/>
      <c r="Z153" s="49"/>
      <c r="AA153" s="49"/>
      <c r="AB153" s="49"/>
      <c r="AC153" s="49"/>
    </row>
    <row r="154" spans="1:29">
      <c r="A154" s="43"/>
      <c r="B154" s="43"/>
      <c r="C154" s="43"/>
      <c r="D154" s="43"/>
      <c r="E154" s="43"/>
      <c r="F154" s="43"/>
      <c r="G154" s="43"/>
      <c r="H154" s="43"/>
      <c r="I154" s="43"/>
      <c r="J154" s="43"/>
      <c r="K154" s="43"/>
      <c r="L154" s="43"/>
      <c r="M154" s="43"/>
      <c r="N154" s="43"/>
      <c r="O154" s="43"/>
      <c r="P154" s="43"/>
      <c r="Q154" s="43"/>
      <c r="R154" s="49"/>
      <c r="S154" s="49"/>
      <c r="T154" s="49"/>
      <c r="U154" s="49"/>
      <c r="V154" s="49"/>
      <c r="W154" s="49"/>
      <c r="X154" s="49"/>
      <c r="Y154" s="49"/>
      <c r="Z154" s="49"/>
      <c r="AA154" s="49"/>
      <c r="AB154" s="49"/>
      <c r="AC154" s="49"/>
    </row>
    <row r="155" spans="1:29">
      <c r="A155" s="43"/>
      <c r="B155" s="43"/>
      <c r="C155" s="43"/>
      <c r="D155" s="43"/>
      <c r="E155" s="43"/>
      <c r="F155" s="43"/>
      <c r="G155" s="43"/>
      <c r="H155" s="43"/>
      <c r="I155" s="43"/>
      <c r="J155" s="43"/>
      <c r="K155" s="43"/>
      <c r="L155" s="43"/>
      <c r="M155" s="43"/>
      <c r="N155" s="43"/>
      <c r="O155" s="43"/>
      <c r="P155" s="43"/>
      <c r="Q155" s="43"/>
      <c r="R155" s="49"/>
      <c r="S155" s="49"/>
      <c r="T155" s="49"/>
      <c r="U155" s="49"/>
      <c r="V155" s="49"/>
      <c r="W155" s="49"/>
      <c r="X155" s="49"/>
      <c r="Y155" s="49"/>
      <c r="Z155" s="49"/>
      <c r="AA155" s="49"/>
      <c r="AB155" s="49"/>
      <c r="AC155" s="49"/>
    </row>
    <row r="156" spans="1:29">
      <c r="A156" s="43"/>
      <c r="B156" s="43"/>
      <c r="C156" s="43"/>
      <c r="D156" s="43"/>
      <c r="E156" s="43"/>
      <c r="F156" s="43"/>
      <c r="G156" s="43"/>
      <c r="H156" s="43"/>
      <c r="I156" s="43"/>
      <c r="J156" s="43"/>
      <c r="K156" s="43"/>
      <c r="L156" s="43"/>
      <c r="M156" s="43"/>
      <c r="N156" s="43"/>
      <c r="O156" s="43"/>
      <c r="P156" s="43"/>
      <c r="Q156" s="43"/>
      <c r="R156" s="49"/>
      <c r="S156" s="49"/>
      <c r="T156" s="49"/>
      <c r="U156" s="49"/>
      <c r="V156" s="49"/>
      <c r="W156" s="49"/>
      <c r="X156" s="49"/>
      <c r="Y156" s="49"/>
      <c r="Z156" s="49"/>
      <c r="AA156" s="49"/>
      <c r="AB156" s="49"/>
      <c r="AC156" s="49"/>
    </row>
    <row r="157" spans="1:29">
      <c r="A157" s="43"/>
      <c r="B157" s="43"/>
      <c r="C157" s="43"/>
      <c r="D157" s="43"/>
      <c r="E157" s="43"/>
      <c r="F157" s="43"/>
      <c r="G157" s="43"/>
      <c r="H157" s="43"/>
      <c r="I157" s="43"/>
      <c r="J157" s="43"/>
      <c r="K157" s="43"/>
      <c r="L157" s="43"/>
      <c r="M157" s="43"/>
      <c r="N157" s="43"/>
      <c r="O157" s="43"/>
      <c r="P157" s="43"/>
      <c r="Q157" s="43"/>
      <c r="R157" s="49"/>
      <c r="S157" s="49"/>
      <c r="T157" s="49"/>
      <c r="U157" s="49"/>
      <c r="V157" s="49"/>
      <c r="W157" s="49"/>
      <c r="X157" s="49"/>
      <c r="Y157" s="49"/>
      <c r="Z157" s="49"/>
      <c r="AA157" s="49"/>
      <c r="AB157" s="49"/>
      <c r="AC157" s="49"/>
    </row>
    <row r="158" spans="1:29">
      <c r="A158" s="43"/>
      <c r="B158" s="43"/>
      <c r="C158" s="43"/>
      <c r="D158" s="43"/>
      <c r="E158" s="43"/>
      <c r="F158" s="43"/>
      <c r="G158" s="43"/>
      <c r="H158" s="43"/>
      <c r="I158" s="43"/>
      <c r="J158" s="43"/>
      <c r="K158" s="43"/>
      <c r="L158" s="43"/>
      <c r="M158" s="43"/>
      <c r="N158" s="43"/>
      <c r="O158" s="43"/>
      <c r="P158" s="43"/>
      <c r="Q158" s="43"/>
      <c r="R158" s="49"/>
      <c r="S158" s="49"/>
      <c r="T158" s="49"/>
      <c r="U158" s="49"/>
      <c r="V158" s="49"/>
      <c r="W158" s="49"/>
      <c r="X158" s="49"/>
      <c r="Y158" s="49"/>
      <c r="Z158" s="49"/>
      <c r="AA158" s="49"/>
      <c r="AB158" s="49"/>
      <c r="AC158" s="49"/>
    </row>
    <row r="159" spans="1:29">
      <c r="A159" s="43"/>
      <c r="B159" s="43"/>
      <c r="C159" s="43"/>
      <c r="D159" s="43"/>
      <c r="E159" s="43"/>
      <c r="F159" s="43"/>
      <c r="G159" s="43"/>
      <c r="H159" s="43"/>
      <c r="I159" s="43"/>
      <c r="J159" s="43"/>
      <c r="K159" s="43"/>
      <c r="L159" s="43"/>
      <c r="M159" s="43"/>
      <c r="N159" s="43"/>
      <c r="O159" s="43"/>
      <c r="P159" s="43"/>
      <c r="Q159" s="43"/>
      <c r="R159" s="49"/>
      <c r="S159" s="49"/>
      <c r="T159" s="49"/>
      <c r="U159" s="49"/>
      <c r="V159" s="49"/>
      <c r="W159" s="49"/>
      <c r="X159" s="49"/>
      <c r="Y159" s="49"/>
      <c r="Z159" s="49"/>
      <c r="AA159" s="49"/>
      <c r="AB159" s="49"/>
      <c r="AC159" s="49"/>
    </row>
    <row r="160" spans="1:29">
      <c r="A160" s="43"/>
      <c r="B160" s="43"/>
      <c r="C160" s="43"/>
      <c r="D160" s="43"/>
      <c r="E160" s="43"/>
      <c r="F160" s="43"/>
      <c r="G160" s="43"/>
      <c r="H160" s="43"/>
      <c r="I160" s="43"/>
      <c r="J160" s="43"/>
      <c r="K160" s="43"/>
      <c r="L160" s="43"/>
      <c r="M160" s="43"/>
      <c r="N160" s="43"/>
      <c r="O160" s="43"/>
      <c r="P160" s="43"/>
      <c r="Q160" s="43"/>
      <c r="R160" s="49"/>
      <c r="S160" s="49"/>
      <c r="T160" s="49"/>
      <c r="U160" s="49"/>
      <c r="V160" s="49"/>
      <c r="W160" s="49"/>
      <c r="X160" s="49"/>
      <c r="Y160" s="49"/>
      <c r="Z160" s="49"/>
      <c r="AA160" s="49"/>
      <c r="AB160" s="49"/>
      <c r="AC160" s="49"/>
    </row>
    <row r="161" spans="1:29">
      <c r="A161" s="43"/>
      <c r="B161" s="43"/>
      <c r="C161" s="43"/>
      <c r="D161" s="43"/>
      <c r="E161" s="43"/>
      <c r="F161" s="43"/>
      <c r="G161" s="43"/>
      <c r="H161" s="43"/>
      <c r="I161" s="43"/>
      <c r="J161" s="43"/>
      <c r="K161" s="43"/>
      <c r="L161" s="43"/>
      <c r="M161" s="43"/>
      <c r="N161" s="43"/>
      <c r="O161" s="43"/>
      <c r="P161" s="43"/>
      <c r="Q161" s="43"/>
      <c r="R161" s="49"/>
      <c r="S161" s="49"/>
      <c r="T161" s="49"/>
      <c r="U161" s="49"/>
      <c r="V161" s="49"/>
      <c r="W161" s="49"/>
      <c r="X161" s="49"/>
      <c r="Y161" s="49"/>
      <c r="Z161" s="49"/>
      <c r="AA161" s="49"/>
      <c r="AB161" s="49"/>
      <c r="AC161" s="49"/>
    </row>
    <row r="162" spans="1:29">
      <c r="A162" s="43"/>
      <c r="B162" s="43"/>
      <c r="C162" s="43"/>
      <c r="D162" s="43"/>
      <c r="E162" s="43"/>
      <c r="F162" s="43"/>
      <c r="G162" s="43"/>
      <c r="H162" s="43"/>
      <c r="I162" s="43"/>
      <c r="J162" s="43"/>
      <c r="K162" s="43"/>
      <c r="L162" s="43"/>
      <c r="M162" s="43"/>
      <c r="N162" s="43"/>
      <c r="O162" s="43"/>
      <c r="P162" s="43"/>
      <c r="Q162" s="43"/>
      <c r="R162" s="49"/>
      <c r="S162" s="49"/>
      <c r="T162" s="49"/>
      <c r="U162" s="49"/>
      <c r="V162" s="49"/>
      <c r="W162" s="49"/>
      <c r="X162" s="49"/>
      <c r="Y162" s="49"/>
      <c r="Z162" s="49"/>
      <c r="AA162" s="49"/>
      <c r="AB162" s="49"/>
      <c r="AC162" s="49"/>
    </row>
    <row r="163" spans="1:29">
      <c r="A163" s="43"/>
      <c r="B163" s="43"/>
      <c r="C163" s="43"/>
      <c r="D163" s="43"/>
      <c r="E163" s="43"/>
      <c r="F163" s="43"/>
      <c r="G163" s="43"/>
      <c r="H163" s="43"/>
      <c r="I163" s="43"/>
      <c r="J163" s="43"/>
      <c r="K163" s="43"/>
      <c r="L163" s="43"/>
      <c r="M163" s="43"/>
      <c r="N163" s="43"/>
      <c r="O163" s="43"/>
      <c r="P163" s="43"/>
      <c r="Q163" s="43"/>
      <c r="R163" s="49"/>
      <c r="S163" s="49"/>
      <c r="T163" s="49"/>
      <c r="U163" s="49"/>
      <c r="V163" s="49"/>
      <c r="W163" s="49"/>
      <c r="X163" s="49"/>
      <c r="Y163" s="49"/>
      <c r="Z163" s="49"/>
      <c r="AA163" s="49"/>
      <c r="AB163" s="49"/>
      <c r="AC163" s="49"/>
    </row>
    <row r="164" spans="1:29">
      <c r="A164" s="43"/>
      <c r="B164" s="43"/>
      <c r="C164" s="43"/>
      <c r="D164" s="43"/>
      <c r="E164" s="43"/>
      <c r="F164" s="43"/>
      <c r="G164" s="43"/>
      <c r="H164" s="43"/>
      <c r="I164" s="43"/>
      <c r="J164" s="43"/>
      <c r="K164" s="43"/>
      <c r="L164" s="43"/>
      <c r="M164" s="43"/>
      <c r="N164" s="43"/>
      <c r="O164" s="43"/>
      <c r="P164" s="43"/>
      <c r="Q164" s="43"/>
      <c r="R164" s="49"/>
      <c r="S164" s="49"/>
      <c r="T164" s="49"/>
      <c r="U164" s="49"/>
      <c r="V164" s="49"/>
      <c r="W164" s="49"/>
      <c r="X164" s="49"/>
      <c r="Y164" s="49"/>
      <c r="Z164" s="49"/>
      <c r="AA164" s="49"/>
      <c r="AB164" s="49"/>
      <c r="AC164" s="49"/>
    </row>
    <row r="165" spans="1:29">
      <c r="A165" s="43"/>
      <c r="B165" s="43"/>
      <c r="C165" s="43"/>
      <c r="D165" s="43"/>
      <c r="E165" s="43"/>
      <c r="F165" s="43"/>
      <c r="G165" s="43"/>
      <c r="H165" s="43"/>
      <c r="I165" s="43"/>
      <c r="J165" s="43"/>
      <c r="K165" s="43"/>
      <c r="L165" s="43"/>
      <c r="M165" s="43"/>
      <c r="N165" s="43"/>
      <c r="O165" s="43"/>
      <c r="P165" s="43"/>
      <c r="Q165" s="43"/>
      <c r="R165" s="49"/>
      <c r="S165" s="49"/>
      <c r="T165" s="49"/>
      <c r="U165" s="49"/>
      <c r="V165" s="49"/>
      <c r="W165" s="49"/>
      <c r="X165" s="49"/>
      <c r="Y165" s="49"/>
      <c r="Z165" s="49"/>
      <c r="AA165" s="49"/>
      <c r="AB165" s="49"/>
      <c r="AC165" s="49"/>
    </row>
    <row r="166" spans="1:29">
      <c r="A166" s="43"/>
      <c r="B166" s="43"/>
      <c r="C166" s="43"/>
      <c r="D166" s="43"/>
      <c r="E166" s="43"/>
      <c r="F166" s="43"/>
      <c r="G166" s="43"/>
      <c r="H166" s="43"/>
      <c r="I166" s="43"/>
      <c r="J166" s="43"/>
      <c r="K166" s="43"/>
      <c r="L166" s="43"/>
      <c r="M166" s="43"/>
      <c r="N166" s="43"/>
      <c r="O166" s="43"/>
      <c r="P166" s="43"/>
      <c r="Q166" s="43"/>
      <c r="R166" s="49"/>
      <c r="S166" s="49"/>
      <c r="T166" s="49"/>
      <c r="U166" s="49"/>
      <c r="V166" s="49"/>
      <c r="W166" s="49"/>
      <c r="X166" s="49"/>
      <c r="Y166" s="49"/>
      <c r="Z166" s="49"/>
      <c r="AA166" s="49"/>
      <c r="AB166" s="49"/>
      <c r="AC166" s="49"/>
    </row>
    <row r="167" spans="1:29">
      <c r="A167" s="43"/>
      <c r="B167" s="43"/>
      <c r="C167" s="43"/>
      <c r="D167" s="43"/>
      <c r="E167" s="43"/>
      <c r="F167" s="43"/>
      <c r="G167" s="43"/>
      <c r="H167" s="43"/>
      <c r="I167" s="43"/>
      <c r="J167" s="43"/>
      <c r="K167" s="43"/>
      <c r="L167" s="43"/>
      <c r="M167" s="43"/>
      <c r="N167" s="43"/>
      <c r="O167" s="43"/>
      <c r="P167" s="43"/>
      <c r="Q167" s="43"/>
      <c r="R167" s="49"/>
      <c r="S167" s="49"/>
      <c r="T167" s="49"/>
      <c r="U167" s="49"/>
      <c r="V167" s="49"/>
      <c r="W167" s="49"/>
      <c r="X167" s="49"/>
      <c r="Y167" s="49"/>
      <c r="Z167" s="49"/>
      <c r="AA167" s="49"/>
      <c r="AB167" s="49"/>
      <c r="AC167" s="49"/>
    </row>
    <row r="168" spans="1:29">
      <c r="A168" s="43"/>
      <c r="B168" s="43"/>
      <c r="C168" s="43"/>
      <c r="D168" s="43"/>
      <c r="E168" s="43"/>
      <c r="F168" s="43"/>
      <c r="G168" s="43"/>
      <c r="H168" s="43"/>
      <c r="I168" s="43"/>
      <c r="J168" s="43"/>
      <c r="K168" s="43"/>
      <c r="L168" s="43"/>
      <c r="M168" s="43"/>
      <c r="N168" s="43"/>
      <c r="O168" s="43"/>
      <c r="P168" s="43"/>
      <c r="Q168" s="43"/>
      <c r="R168" s="49"/>
      <c r="S168" s="49"/>
      <c r="T168" s="49"/>
      <c r="U168" s="49"/>
      <c r="V168" s="49"/>
      <c r="W168" s="49"/>
      <c r="X168" s="49"/>
      <c r="Y168" s="49"/>
      <c r="Z168" s="49"/>
      <c r="AA168" s="49"/>
      <c r="AB168" s="49"/>
      <c r="AC168" s="49"/>
    </row>
    <row r="169" spans="1:29">
      <c r="A169" s="43"/>
      <c r="B169" s="43"/>
      <c r="C169" s="43"/>
      <c r="D169" s="43"/>
      <c r="E169" s="43"/>
      <c r="F169" s="43"/>
      <c r="G169" s="43"/>
      <c r="H169" s="43"/>
      <c r="I169" s="43"/>
      <c r="J169" s="43"/>
      <c r="K169" s="43"/>
      <c r="L169" s="43"/>
      <c r="M169" s="43"/>
      <c r="N169" s="43"/>
      <c r="O169" s="43"/>
      <c r="P169" s="43"/>
      <c r="Q169" s="43"/>
      <c r="R169" s="49"/>
      <c r="S169" s="49"/>
      <c r="T169" s="49"/>
      <c r="U169" s="49"/>
      <c r="V169" s="49"/>
      <c r="W169" s="49"/>
      <c r="X169" s="49"/>
      <c r="Y169" s="49"/>
      <c r="Z169" s="49"/>
      <c r="AA169" s="49"/>
      <c r="AB169" s="49"/>
      <c r="AC169" s="49"/>
    </row>
    <row r="170" spans="1:29">
      <c r="A170" s="43"/>
      <c r="B170" s="43"/>
      <c r="C170" s="43"/>
      <c r="D170" s="43"/>
      <c r="E170" s="43"/>
      <c r="F170" s="43"/>
      <c r="G170" s="43"/>
      <c r="H170" s="43"/>
      <c r="I170" s="43"/>
      <c r="J170" s="43"/>
      <c r="K170" s="43"/>
      <c r="L170" s="43"/>
      <c r="M170" s="43"/>
      <c r="N170" s="43"/>
      <c r="O170" s="43"/>
      <c r="P170" s="43"/>
      <c r="Q170" s="43"/>
      <c r="R170" s="49"/>
      <c r="S170" s="49"/>
      <c r="T170" s="49"/>
      <c r="U170" s="49"/>
      <c r="V170" s="49"/>
      <c r="W170" s="49"/>
      <c r="X170" s="49"/>
      <c r="Y170" s="49"/>
      <c r="Z170" s="49"/>
      <c r="AA170" s="49"/>
      <c r="AB170" s="49"/>
      <c r="AC170" s="49"/>
    </row>
    <row r="171" spans="1:29">
      <c r="A171" s="43"/>
      <c r="B171" s="43"/>
      <c r="C171" s="43"/>
      <c r="D171" s="43"/>
      <c r="E171" s="43"/>
      <c r="F171" s="43"/>
      <c r="G171" s="43"/>
      <c r="H171" s="43"/>
      <c r="I171" s="43"/>
      <c r="J171" s="43"/>
      <c r="K171" s="43"/>
      <c r="L171" s="43"/>
      <c r="M171" s="43"/>
      <c r="N171" s="43"/>
      <c r="O171" s="43"/>
      <c r="P171" s="43"/>
      <c r="Q171" s="43"/>
      <c r="R171" s="49"/>
      <c r="S171" s="49"/>
      <c r="T171" s="49"/>
      <c r="U171" s="49"/>
      <c r="V171" s="49"/>
      <c r="W171" s="49"/>
      <c r="X171" s="49"/>
      <c r="Y171" s="49"/>
      <c r="Z171" s="49"/>
      <c r="AA171" s="49"/>
      <c r="AB171" s="49"/>
      <c r="AC171" s="49"/>
    </row>
    <row r="172" spans="1:29">
      <c r="A172" s="43"/>
      <c r="B172" s="43"/>
      <c r="C172" s="43"/>
      <c r="D172" s="43"/>
      <c r="E172" s="43"/>
      <c r="F172" s="43"/>
      <c r="G172" s="43"/>
      <c r="H172" s="43"/>
      <c r="I172" s="43"/>
      <c r="J172" s="43"/>
      <c r="K172" s="43"/>
      <c r="L172" s="43"/>
      <c r="M172" s="43"/>
      <c r="N172" s="43"/>
      <c r="O172" s="43"/>
      <c r="P172" s="43"/>
      <c r="Q172" s="43"/>
      <c r="R172" s="49"/>
      <c r="S172" s="49"/>
      <c r="T172" s="49"/>
      <c r="U172" s="49"/>
      <c r="V172" s="49"/>
      <c r="W172" s="49"/>
      <c r="X172" s="49"/>
      <c r="Y172" s="49"/>
      <c r="Z172" s="49"/>
      <c r="AA172" s="49"/>
      <c r="AB172" s="49"/>
      <c r="AC172" s="49"/>
    </row>
    <row r="173" spans="1:29">
      <c r="A173" s="43"/>
      <c r="B173" s="43"/>
      <c r="C173" s="43"/>
      <c r="D173" s="43"/>
      <c r="E173" s="43"/>
      <c r="F173" s="43"/>
      <c r="G173" s="43"/>
      <c r="H173" s="43"/>
      <c r="I173" s="43"/>
      <c r="J173" s="43"/>
      <c r="K173" s="43"/>
      <c r="L173" s="43"/>
      <c r="M173" s="43"/>
      <c r="N173" s="43"/>
      <c r="O173" s="43"/>
      <c r="P173" s="43"/>
      <c r="Q173" s="43"/>
      <c r="R173" s="49"/>
      <c r="S173" s="49"/>
      <c r="T173" s="49"/>
      <c r="U173" s="49"/>
      <c r="V173" s="49"/>
      <c r="W173" s="49"/>
      <c r="X173" s="49"/>
      <c r="Y173" s="49"/>
      <c r="Z173" s="49"/>
      <c r="AA173" s="49"/>
      <c r="AB173" s="49"/>
      <c r="AC173" s="49"/>
    </row>
    <row r="174" spans="1:29">
      <c r="A174" s="43"/>
      <c r="B174" s="43"/>
      <c r="C174" s="43"/>
      <c r="D174" s="43"/>
      <c r="E174" s="43"/>
      <c r="F174" s="43"/>
      <c r="G174" s="43"/>
      <c r="H174" s="43"/>
      <c r="I174" s="43"/>
      <c r="J174" s="43"/>
      <c r="K174" s="43"/>
      <c r="L174" s="43"/>
      <c r="M174" s="43"/>
      <c r="N174" s="43"/>
      <c r="O174" s="43"/>
      <c r="P174" s="43"/>
      <c r="Q174" s="43"/>
      <c r="R174" s="49"/>
      <c r="S174" s="49"/>
      <c r="T174" s="49"/>
      <c r="U174" s="49"/>
      <c r="V174" s="49"/>
      <c r="W174" s="49"/>
      <c r="X174" s="49"/>
      <c r="Y174" s="49"/>
      <c r="Z174" s="49"/>
      <c r="AA174" s="49"/>
      <c r="AB174" s="49"/>
      <c r="AC174" s="49"/>
    </row>
    <row r="175" spans="1:29">
      <c r="A175" s="43"/>
      <c r="B175" s="43"/>
      <c r="C175" s="43"/>
      <c r="D175" s="43"/>
      <c r="E175" s="43"/>
      <c r="F175" s="43"/>
      <c r="G175" s="43"/>
      <c r="H175" s="43"/>
      <c r="I175" s="43"/>
      <c r="J175" s="43"/>
      <c r="K175" s="43"/>
      <c r="L175" s="43"/>
      <c r="M175" s="43"/>
      <c r="N175" s="43"/>
      <c r="O175" s="43"/>
      <c r="P175" s="43"/>
      <c r="Q175" s="43"/>
      <c r="R175" s="49"/>
      <c r="S175" s="49"/>
      <c r="T175" s="49"/>
      <c r="U175" s="49"/>
      <c r="V175" s="49"/>
      <c r="W175" s="49"/>
      <c r="X175" s="49"/>
      <c r="Y175" s="49"/>
      <c r="Z175" s="49"/>
      <c r="AA175" s="49"/>
      <c r="AB175" s="49"/>
      <c r="AC175" s="49"/>
    </row>
    <row r="176" spans="1:29">
      <c r="A176" s="43"/>
      <c r="B176" s="43"/>
      <c r="C176" s="43"/>
      <c r="D176" s="43"/>
      <c r="E176" s="43"/>
      <c r="F176" s="43"/>
      <c r="G176" s="43"/>
      <c r="H176" s="43"/>
      <c r="I176" s="43"/>
      <c r="J176" s="43"/>
      <c r="K176" s="43"/>
      <c r="L176" s="43"/>
      <c r="M176" s="43"/>
      <c r="N176" s="43"/>
      <c r="O176" s="43"/>
      <c r="P176" s="43"/>
      <c r="Q176" s="43"/>
      <c r="R176" s="49"/>
      <c r="S176" s="49"/>
      <c r="T176" s="49"/>
      <c r="U176" s="49"/>
      <c r="V176" s="49"/>
      <c r="W176" s="49"/>
      <c r="X176" s="49"/>
      <c r="Y176" s="49"/>
      <c r="Z176" s="49"/>
      <c r="AA176" s="49"/>
      <c r="AB176" s="49"/>
      <c r="AC176" s="49"/>
    </row>
    <row r="177" spans="1:29">
      <c r="A177" s="43"/>
      <c r="B177" s="43"/>
      <c r="C177" s="43"/>
      <c r="D177" s="43"/>
      <c r="E177" s="43"/>
      <c r="F177" s="43"/>
      <c r="G177" s="43"/>
      <c r="H177" s="43"/>
      <c r="I177" s="43"/>
      <c r="J177" s="43"/>
      <c r="K177" s="43"/>
      <c r="L177" s="43"/>
      <c r="M177" s="43"/>
      <c r="N177" s="43"/>
      <c r="O177" s="43"/>
      <c r="P177" s="43"/>
      <c r="Q177" s="43"/>
      <c r="R177" s="49"/>
      <c r="S177" s="49"/>
      <c r="T177" s="49"/>
      <c r="U177" s="49"/>
      <c r="V177" s="49"/>
      <c r="W177" s="49"/>
      <c r="X177" s="49"/>
      <c r="Y177" s="49"/>
      <c r="Z177" s="49"/>
      <c r="AA177" s="49"/>
      <c r="AB177" s="49"/>
      <c r="AC177" s="49"/>
    </row>
    <row r="178" spans="1:29">
      <c r="A178" s="43"/>
      <c r="B178" s="43"/>
      <c r="C178" s="43"/>
      <c r="D178" s="43"/>
      <c r="E178" s="43"/>
      <c r="F178" s="43"/>
      <c r="G178" s="43"/>
      <c r="H178" s="43"/>
      <c r="I178" s="43"/>
      <c r="J178" s="43"/>
      <c r="K178" s="43"/>
      <c r="L178" s="43"/>
      <c r="M178" s="43"/>
      <c r="N178" s="43"/>
      <c r="O178" s="43"/>
      <c r="P178" s="43"/>
      <c r="Q178" s="43"/>
      <c r="R178" s="49"/>
      <c r="S178" s="49"/>
      <c r="T178" s="49"/>
      <c r="U178" s="49"/>
      <c r="V178" s="49"/>
      <c r="W178" s="49"/>
      <c r="X178" s="49"/>
      <c r="Y178" s="49"/>
      <c r="Z178" s="49"/>
      <c r="AA178" s="49"/>
      <c r="AB178" s="49"/>
      <c r="AC178" s="49"/>
    </row>
    <row r="179" spans="1:29">
      <c r="A179" s="43"/>
      <c r="B179" s="43"/>
      <c r="C179" s="43"/>
      <c r="D179" s="43"/>
      <c r="E179" s="43"/>
      <c r="F179" s="43"/>
      <c r="G179" s="43"/>
      <c r="H179" s="43"/>
      <c r="I179" s="43"/>
      <c r="J179" s="43"/>
      <c r="K179" s="43"/>
      <c r="L179" s="43"/>
      <c r="M179" s="43"/>
      <c r="N179" s="43"/>
      <c r="O179" s="43"/>
      <c r="P179" s="43"/>
      <c r="Q179" s="43"/>
      <c r="R179" s="49"/>
      <c r="S179" s="49"/>
      <c r="T179" s="49"/>
      <c r="U179" s="49"/>
      <c r="V179" s="49"/>
      <c r="W179" s="49"/>
      <c r="X179" s="49"/>
      <c r="Y179" s="49"/>
      <c r="Z179" s="49"/>
      <c r="AA179" s="49"/>
      <c r="AB179" s="49"/>
      <c r="AC179" s="49"/>
    </row>
    <row r="180" spans="1:29">
      <c r="A180" s="43"/>
      <c r="B180" s="43"/>
      <c r="C180" s="43"/>
      <c r="D180" s="43"/>
      <c r="E180" s="43"/>
      <c r="F180" s="43"/>
      <c r="G180" s="43"/>
      <c r="H180" s="43"/>
      <c r="I180" s="43"/>
      <c r="J180" s="43"/>
      <c r="K180" s="43"/>
      <c r="L180" s="43"/>
      <c r="M180" s="43"/>
      <c r="N180" s="43"/>
      <c r="O180" s="43"/>
      <c r="P180" s="43"/>
      <c r="Q180" s="43"/>
      <c r="R180" s="49"/>
      <c r="S180" s="49"/>
      <c r="T180" s="49"/>
      <c r="U180" s="49"/>
      <c r="V180" s="49"/>
      <c r="W180" s="49"/>
      <c r="X180" s="49"/>
      <c r="Y180" s="49"/>
      <c r="Z180" s="49"/>
      <c r="AA180" s="49"/>
      <c r="AB180" s="49"/>
      <c r="AC180" s="49"/>
    </row>
    <row r="181" spans="1:29">
      <c r="A181" s="43"/>
      <c r="B181" s="43"/>
      <c r="C181" s="43"/>
      <c r="D181" s="43"/>
      <c r="E181" s="43"/>
      <c r="F181" s="43"/>
      <c r="G181" s="43"/>
      <c r="H181" s="43"/>
      <c r="I181" s="43"/>
      <c r="J181" s="43"/>
      <c r="K181" s="43"/>
      <c r="L181" s="43"/>
      <c r="M181" s="43"/>
      <c r="N181" s="43"/>
      <c r="O181" s="43"/>
      <c r="P181" s="43"/>
      <c r="Q181" s="43"/>
      <c r="R181" s="49"/>
      <c r="S181" s="49"/>
      <c r="T181" s="49"/>
      <c r="U181" s="49"/>
      <c r="V181" s="49"/>
      <c r="W181" s="49"/>
      <c r="X181" s="49"/>
      <c r="Y181" s="49"/>
      <c r="Z181" s="49"/>
      <c r="AA181" s="49"/>
      <c r="AB181" s="49"/>
      <c r="AC181" s="49"/>
    </row>
    <row r="182" spans="1:29">
      <c r="A182" s="43"/>
      <c r="B182" s="43"/>
      <c r="C182" s="43"/>
      <c r="D182" s="43"/>
      <c r="E182" s="43"/>
      <c r="F182" s="43"/>
      <c r="G182" s="43"/>
      <c r="H182" s="43"/>
      <c r="I182" s="43"/>
      <c r="J182" s="43"/>
      <c r="K182" s="43"/>
      <c r="L182" s="43"/>
      <c r="M182" s="43"/>
      <c r="N182" s="43"/>
      <c r="O182" s="43"/>
      <c r="P182" s="43"/>
      <c r="Q182" s="43"/>
      <c r="R182" s="49"/>
      <c r="S182" s="49"/>
      <c r="T182" s="49"/>
      <c r="U182" s="49"/>
      <c r="V182" s="49"/>
      <c r="W182" s="49"/>
      <c r="X182" s="49"/>
      <c r="Y182" s="49"/>
      <c r="Z182" s="49"/>
      <c r="AA182" s="49"/>
      <c r="AB182" s="49"/>
      <c r="AC182" s="49"/>
    </row>
    <row r="183" spans="1:29">
      <c r="A183" s="43"/>
      <c r="B183" s="43"/>
      <c r="C183" s="43"/>
      <c r="D183" s="43"/>
      <c r="E183" s="43"/>
      <c r="F183" s="43"/>
      <c r="G183" s="43"/>
      <c r="H183" s="43"/>
      <c r="I183" s="43"/>
      <c r="J183" s="43"/>
      <c r="K183" s="43"/>
      <c r="L183" s="43"/>
      <c r="M183" s="43"/>
      <c r="N183" s="43"/>
      <c r="O183" s="43"/>
      <c r="P183" s="43"/>
      <c r="Q183" s="43"/>
      <c r="R183" s="49"/>
      <c r="S183" s="49"/>
      <c r="T183" s="49"/>
      <c r="U183" s="49"/>
      <c r="V183" s="49"/>
      <c r="W183" s="49"/>
      <c r="X183" s="49"/>
      <c r="Y183" s="49"/>
      <c r="Z183" s="49"/>
      <c r="AA183" s="49"/>
      <c r="AB183" s="49"/>
      <c r="AC183" s="49"/>
    </row>
    <row r="184" spans="1:29">
      <c r="A184" s="43"/>
      <c r="B184" s="43"/>
      <c r="C184" s="43"/>
      <c r="D184" s="43"/>
      <c r="E184" s="43"/>
      <c r="F184" s="43"/>
      <c r="G184" s="43"/>
      <c r="H184" s="43"/>
      <c r="I184" s="43"/>
      <c r="J184" s="43"/>
      <c r="K184" s="43"/>
      <c r="L184" s="43"/>
      <c r="M184" s="43"/>
      <c r="N184" s="43"/>
      <c r="O184" s="43"/>
      <c r="P184" s="43"/>
      <c r="Q184" s="43"/>
      <c r="R184" s="49"/>
      <c r="S184" s="49"/>
      <c r="T184" s="49"/>
      <c r="U184" s="49"/>
      <c r="V184" s="49"/>
      <c r="W184" s="49"/>
      <c r="X184" s="49"/>
      <c r="Y184" s="49"/>
      <c r="Z184" s="49"/>
      <c r="AA184" s="49"/>
      <c r="AB184" s="49"/>
      <c r="AC184" s="49"/>
    </row>
    <row r="185" spans="1:29">
      <c r="A185" s="43"/>
      <c r="B185" s="43"/>
      <c r="C185" s="43"/>
      <c r="D185" s="43"/>
      <c r="E185" s="43"/>
      <c r="F185" s="43"/>
      <c r="G185" s="43"/>
      <c r="H185" s="43"/>
      <c r="I185" s="43"/>
      <c r="J185" s="43"/>
      <c r="K185" s="43"/>
      <c r="L185" s="43"/>
      <c r="M185" s="43"/>
      <c r="N185" s="43"/>
      <c r="O185" s="43"/>
      <c r="P185" s="43"/>
      <c r="Q185" s="43"/>
      <c r="R185" s="49"/>
      <c r="S185" s="49"/>
      <c r="T185" s="49"/>
      <c r="U185" s="49"/>
      <c r="V185" s="49"/>
      <c r="W185" s="49"/>
      <c r="X185" s="49"/>
      <c r="Y185" s="49"/>
      <c r="Z185" s="49"/>
      <c r="AA185" s="49"/>
      <c r="AB185" s="49"/>
      <c r="AC185" s="49"/>
    </row>
    <row r="186" spans="1:29">
      <c r="A186" s="43"/>
      <c r="B186" s="43"/>
      <c r="C186" s="43"/>
      <c r="D186" s="43"/>
      <c r="E186" s="43"/>
      <c r="F186" s="43"/>
      <c r="G186" s="43"/>
      <c r="H186" s="43"/>
      <c r="I186" s="43"/>
      <c r="J186" s="43"/>
      <c r="K186" s="43"/>
      <c r="L186" s="43"/>
      <c r="M186" s="43"/>
      <c r="N186" s="43"/>
      <c r="O186" s="43"/>
      <c r="P186" s="43"/>
      <c r="Q186" s="43"/>
      <c r="R186" s="49"/>
      <c r="S186" s="49"/>
      <c r="T186" s="49"/>
      <c r="U186" s="49"/>
      <c r="V186" s="49"/>
      <c r="W186" s="49"/>
      <c r="X186" s="49"/>
      <c r="Y186" s="49"/>
      <c r="Z186" s="49"/>
      <c r="AA186" s="49"/>
      <c r="AB186" s="49"/>
      <c r="AC186" s="49"/>
    </row>
    <row r="187" spans="1:29">
      <c r="A187" s="43"/>
      <c r="B187" s="43"/>
      <c r="C187" s="43"/>
      <c r="D187" s="43"/>
      <c r="E187" s="43"/>
      <c r="F187" s="43"/>
      <c r="G187" s="43"/>
      <c r="H187" s="43"/>
      <c r="I187" s="43"/>
      <c r="J187" s="43"/>
      <c r="K187" s="43"/>
      <c r="L187" s="43"/>
      <c r="M187" s="43"/>
      <c r="N187" s="43"/>
      <c r="O187" s="43"/>
      <c r="P187" s="43"/>
      <c r="Q187" s="43"/>
      <c r="R187" s="49"/>
      <c r="S187" s="49"/>
      <c r="T187" s="49"/>
      <c r="U187" s="49"/>
      <c r="V187" s="49"/>
      <c r="W187" s="49"/>
      <c r="X187" s="49"/>
      <c r="Y187" s="49"/>
      <c r="Z187" s="49"/>
      <c r="AA187" s="49"/>
      <c r="AB187" s="49"/>
      <c r="AC187" s="49"/>
    </row>
    <row r="188" spans="1:29">
      <c r="A188" s="43"/>
      <c r="B188" s="43"/>
      <c r="C188" s="43"/>
      <c r="D188" s="43"/>
      <c r="E188" s="43"/>
      <c r="F188" s="43"/>
      <c r="G188" s="43"/>
      <c r="H188" s="43"/>
      <c r="I188" s="43"/>
      <c r="J188" s="43"/>
      <c r="K188" s="43"/>
      <c r="L188" s="43"/>
      <c r="M188" s="43"/>
      <c r="N188" s="43"/>
      <c r="O188" s="43"/>
      <c r="P188" s="43"/>
      <c r="Q188" s="43"/>
      <c r="R188" s="49"/>
      <c r="S188" s="49"/>
      <c r="T188" s="49"/>
      <c r="U188" s="49"/>
      <c r="V188" s="49"/>
      <c r="W188" s="49"/>
      <c r="X188" s="49"/>
      <c r="Y188" s="49"/>
      <c r="Z188" s="49"/>
      <c r="AA188" s="49"/>
      <c r="AB188" s="49"/>
      <c r="AC188" s="49"/>
    </row>
    <row r="189" spans="1:29">
      <c r="A189" s="43"/>
      <c r="B189" s="43"/>
      <c r="C189" s="43"/>
      <c r="D189" s="43"/>
      <c r="E189" s="43"/>
      <c r="F189" s="43"/>
      <c r="G189" s="43"/>
      <c r="H189" s="43"/>
      <c r="I189" s="43"/>
      <c r="J189" s="43"/>
      <c r="K189" s="43"/>
      <c r="L189" s="43"/>
      <c r="M189" s="43"/>
      <c r="N189" s="43"/>
      <c r="O189" s="43"/>
      <c r="P189" s="43"/>
      <c r="Q189" s="43"/>
      <c r="R189" s="49"/>
      <c r="S189" s="49"/>
      <c r="T189" s="49"/>
      <c r="U189" s="49"/>
      <c r="V189" s="49"/>
      <c r="W189" s="49"/>
      <c r="X189" s="49"/>
      <c r="Y189" s="49"/>
      <c r="Z189" s="49"/>
      <c r="AA189" s="49"/>
      <c r="AB189" s="49"/>
      <c r="AC189" s="49"/>
    </row>
    <row r="190" spans="1:29">
      <c r="A190" s="43"/>
      <c r="B190" s="43"/>
      <c r="C190" s="43"/>
      <c r="D190" s="43"/>
      <c r="E190" s="43"/>
      <c r="F190" s="43"/>
      <c r="G190" s="43"/>
      <c r="H190" s="43"/>
      <c r="I190" s="43"/>
      <c r="J190" s="43"/>
      <c r="K190" s="43"/>
      <c r="L190" s="43"/>
      <c r="M190" s="43"/>
      <c r="N190" s="43"/>
      <c r="O190" s="43"/>
      <c r="P190" s="43"/>
      <c r="Q190" s="43"/>
      <c r="R190" s="49"/>
      <c r="S190" s="49"/>
      <c r="T190" s="49"/>
      <c r="U190" s="49"/>
      <c r="V190" s="49"/>
      <c r="W190" s="49"/>
      <c r="X190" s="49"/>
      <c r="Y190" s="49"/>
      <c r="Z190" s="49"/>
      <c r="AA190" s="49"/>
      <c r="AB190" s="49"/>
      <c r="AC190" s="49"/>
    </row>
    <row r="191" spans="1:29">
      <c r="A191" s="43"/>
      <c r="B191" s="43"/>
      <c r="C191" s="43"/>
      <c r="D191" s="43"/>
      <c r="E191" s="43"/>
      <c r="F191" s="43"/>
      <c r="G191" s="43"/>
      <c r="H191" s="43"/>
      <c r="I191" s="43"/>
      <c r="J191" s="43"/>
      <c r="K191" s="43"/>
      <c r="L191" s="43"/>
      <c r="M191" s="43"/>
      <c r="N191" s="43"/>
      <c r="O191" s="43"/>
      <c r="P191" s="43"/>
      <c r="Q191" s="43"/>
      <c r="R191" s="49"/>
      <c r="S191" s="49"/>
      <c r="T191" s="49"/>
      <c r="U191" s="49"/>
      <c r="V191" s="49"/>
      <c r="W191" s="49"/>
      <c r="X191" s="49"/>
      <c r="Y191" s="49"/>
      <c r="Z191" s="49"/>
      <c r="AA191" s="49"/>
      <c r="AB191" s="49"/>
      <c r="AC191" s="49"/>
    </row>
    <row r="192" spans="1:29">
      <c r="A192" s="43"/>
      <c r="B192" s="43"/>
      <c r="C192" s="43"/>
      <c r="D192" s="43"/>
      <c r="E192" s="43"/>
      <c r="F192" s="43"/>
      <c r="G192" s="43"/>
      <c r="H192" s="43"/>
      <c r="I192" s="43"/>
      <c r="J192" s="43"/>
      <c r="K192" s="43"/>
      <c r="L192" s="43"/>
      <c r="M192" s="43"/>
      <c r="N192" s="43"/>
      <c r="O192" s="43"/>
      <c r="P192" s="43"/>
      <c r="Q192" s="43"/>
      <c r="R192" s="49"/>
      <c r="S192" s="49"/>
      <c r="T192" s="49"/>
      <c r="U192" s="49"/>
      <c r="V192" s="49"/>
      <c r="W192" s="49"/>
      <c r="X192" s="49"/>
      <c r="Y192" s="49"/>
      <c r="Z192" s="49"/>
      <c r="AA192" s="49"/>
      <c r="AB192" s="49"/>
      <c r="AC192" s="49"/>
    </row>
    <row r="193" spans="1:29">
      <c r="A193" s="43"/>
      <c r="B193" s="43"/>
      <c r="C193" s="43"/>
      <c r="D193" s="43"/>
      <c r="E193" s="43"/>
      <c r="F193" s="43"/>
      <c r="G193" s="43"/>
      <c r="H193" s="43"/>
      <c r="I193" s="43"/>
      <c r="J193" s="43"/>
      <c r="K193" s="43"/>
      <c r="L193" s="43"/>
      <c r="M193" s="43"/>
      <c r="N193" s="43"/>
      <c r="O193" s="43"/>
      <c r="P193" s="43"/>
      <c r="Q193" s="43"/>
      <c r="R193" s="49"/>
      <c r="S193" s="49"/>
      <c r="T193" s="49"/>
      <c r="U193" s="49"/>
      <c r="V193" s="49"/>
      <c r="W193" s="49"/>
      <c r="X193" s="49"/>
      <c r="Y193" s="49"/>
      <c r="Z193" s="49"/>
      <c r="AA193" s="49"/>
      <c r="AB193" s="49"/>
      <c r="AC193" s="49"/>
    </row>
    <row r="194" spans="1:29">
      <c r="A194" s="43"/>
      <c r="B194" s="43"/>
      <c r="C194" s="43"/>
      <c r="D194" s="43"/>
      <c r="E194" s="43"/>
      <c r="F194" s="43"/>
      <c r="G194" s="43"/>
      <c r="H194" s="43"/>
      <c r="I194" s="43"/>
      <c r="J194" s="43"/>
      <c r="K194" s="43"/>
      <c r="L194" s="43"/>
      <c r="M194" s="43"/>
      <c r="N194" s="43"/>
      <c r="O194" s="43"/>
      <c r="P194" s="43"/>
      <c r="Q194" s="43"/>
      <c r="R194" s="49"/>
      <c r="S194" s="49"/>
      <c r="T194" s="49"/>
      <c r="U194" s="49"/>
      <c r="V194" s="49"/>
      <c r="W194" s="49"/>
      <c r="X194" s="49"/>
      <c r="Y194" s="49"/>
      <c r="Z194" s="49"/>
      <c r="AA194" s="49"/>
      <c r="AB194" s="49"/>
      <c r="AC194" s="49"/>
    </row>
    <row r="195" spans="1:29">
      <c r="A195" s="43"/>
      <c r="B195" s="43"/>
      <c r="C195" s="43"/>
      <c r="D195" s="43"/>
      <c r="E195" s="43"/>
      <c r="F195" s="43"/>
      <c r="G195" s="43"/>
      <c r="H195" s="43"/>
      <c r="I195" s="43"/>
      <c r="J195" s="43"/>
      <c r="K195" s="43"/>
      <c r="L195" s="43"/>
      <c r="M195" s="43"/>
      <c r="N195" s="43"/>
      <c r="O195" s="43"/>
      <c r="P195" s="43"/>
      <c r="Q195" s="43"/>
      <c r="R195" s="49"/>
      <c r="S195" s="49"/>
      <c r="T195" s="49"/>
      <c r="U195" s="49"/>
      <c r="V195" s="49"/>
      <c r="W195" s="49"/>
      <c r="X195" s="49"/>
      <c r="Y195" s="49"/>
      <c r="Z195" s="49"/>
      <c r="AA195" s="49"/>
      <c r="AB195" s="49"/>
      <c r="AC195" s="49"/>
    </row>
    <row r="196" spans="1:29">
      <c r="A196" s="43"/>
      <c r="B196" s="43"/>
      <c r="C196" s="43"/>
      <c r="D196" s="43"/>
      <c r="E196" s="43"/>
      <c r="F196" s="43"/>
      <c r="G196" s="43"/>
      <c r="H196" s="43"/>
      <c r="I196" s="43"/>
      <c r="J196" s="43"/>
      <c r="K196" s="43"/>
      <c r="L196" s="43"/>
      <c r="M196" s="43"/>
      <c r="N196" s="43"/>
      <c r="O196" s="43"/>
      <c r="P196" s="43"/>
      <c r="Q196" s="43"/>
      <c r="R196" s="49"/>
      <c r="S196" s="49"/>
      <c r="T196" s="49"/>
      <c r="U196" s="49"/>
      <c r="V196" s="49"/>
      <c r="W196" s="49"/>
      <c r="X196" s="49"/>
      <c r="Y196" s="49"/>
      <c r="Z196" s="49"/>
      <c r="AA196" s="49"/>
      <c r="AB196" s="49"/>
      <c r="AC196" s="49"/>
    </row>
    <row r="197" spans="1:29">
      <c r="A197" s="43"/>
      <c r="B197" s="43"/>
      <c r="C197" s="43"/>
      <c r="D197" s="43"/>
      <c r="E197" s="43"/>
      <c r="F197" s="43"/>
      <c r="G197" s="43"/>
      <c r="H197" s="43"/>
      <c r="I197" s="43"/>
      <c r="J197" s="43"/>
      <c r="K197" s="43"/>
      <c r="L197" s="43"/>
      <c r="M197" s="43"/>
      <c r="N197" s="43"/>
      <c r="O197" s="43"/>
      <c r="P197" s="43"/>
      <c r="Q197" s="43"/>
      <c r="R197" s="49"/>
      <c r="S197" s="49"/>
      <c r="T197" s="49"/>
      <c r="U197" s="49"/>
      <c r="V197" s="49"/>
      <c r="W197" s="49"/>
      <c r="X197" s="49"/>
      <c r="Y197" s="49"/>
      <c r="Z197" s="49"/>
      <c r="AA197" s="49"/>
      <c r="AB197" s="49"/>
      <c r="AC197" s="49"/>
    </row>
    <row r="198" spans="1:29">
      <c r="A198" s="43"/>
      <c r="B198" s="43"/>
      <c r="C198" s="43"/>
      <c r="D198" s="43"/>
      <c r="E198" s="43"/>
      <c r="F198" s="43"/>
      <c r="G198" s="43"/>
      <c r="H198" s="43"/>
      <c r="I198" s="43"/>
      <c r="J198" s="43"/>
      <c r="K198" s="43"/>
      <c r="L198" s="43"/>
      <c r="M198" s="43"/>
      <c r="N198" s="43"/>
      <c r="O198" s="43"/>
      <c r="P198" s="43"/>
      <c r="Q198" s="43"/>
      <c r="R198" s="49"/>
      <c r="S198" s="49"/>
      <c r="T198" s="49"/>
      <c r="U198" s="49"/>
      <c r="V198" s="49"/>
      <c r="W198" s="49"/>
      <c r="X198" s="49"/>
      <c r="Y198" s="49"/>
      <c r="Z198" s="49"/>
      <c r="AA198" s="49"/>
      <c r="AB198" s="49"/>
      <c r="AC198" s="49"/>
    </row>
    <row r="199" spans="1:29">
      <c r="A199" s="43"/>
      <c r="B199" s="43"/>
      <c r="C199" s="43"/>
      <c r="D199" s="43"/>
      <c r="E199" s="43"/>
      <c r="F199" s="43"/>
      <c r="G199" s="43"/>
      <c r="H199" s="43"/>
      <c r="I199" s="43"/>
      <c r="J199" s="43"/>
      <c r="K199" s="43"/>
      <c r="L199" s="43"/>
      <c r="M199" s="43"/>
      <c r="N199" s="43"/>
      <c r="O199" s="43"/>
      <c r="P199" s="43"/>
      <c r="Q199" s="43"/>
      <c r="R199" s="49"/>
      <c r="S199" s="49"/>
      <c r="T199" s="49"/>
      <c r="U199" s="49"/>
      <c r="V199" s="49"/>
      <c r="W199" s="49"/>
      <c r="X199" s="49"/>
      <c r="Y199" s="49"/>
      <c r="Z199" s="49"/>
      <c r="AA199" s="49"/>
      <c r="AB199" s="49"/>
      <c r="AC199" s="49"/>
    </row>
    <row r="200" spans="1:29">
      <c r="A200" s="43"/>
      <c r="B200" s="43"/>
      <c r="C200" s="43"/>
      <c r="D200" s="43"/>
      <c r="E200" s="43"/>
      <c r="F200" s="43"/>
      <c r="G200" s="43"/>
      <c r="H200" s="43"/>
      <c r="I200" s="43"/>
      <c r="J200" s="43"/>
      <c r="K200" s="43"/>
      <c r="L200" s="43"/>
      <c r="M200" s="43"/>
      <c r="N200" s="43"/>
      <c r="O200" s="43"/>
      <c r="P200" s="43"/>
      <c r="Q200" s="43"/>
      <c r="R200" s="49"/>
      <c r="S200" s="49"/>
      <c r="T200" s="49"/>
      <c r="U200" s="49"/>
      <c r="V200" s="49"/>
      <c r="W200" s="49"/>
      <c r="X200" s="49"/>
      <c r="Y200" s="49"/>
      <c r="Z200" s="49"/>
      <c r="AA200" s="49"/>
      <c r="AB200" s="49"/>
      <c r="AC200" s="49"/>
    </row>
    <row r="201" spans="1:29">
      <c r="A201" s="43"/>
      <c r="B201" s="43"/>
      <c r="C201" s="43"/>
      <c r="D201" s="43"/>
      <c r="E201" s="43"/>
      <c r="F201" s="43"/>
      <c r="G201" s="43"/>
      <c r="H201" s="43"/>
      <c r="I201" s="43"/>
      <c r="J201" s="43"/>
      <c r="K201" s="43"/>
      <c r="L201" s="43"/>
      <c r="M201" s="43"/>
      <c r="N201" s="43"/>
      <c r="O201" s="43"/>
      <c r="P201" s="43"/>
      <c r="Q201" s="43"/>
      <c r="R201" s="49"/>
      <c r="S201" s="49"/>
      <c r="T201" s="49"/>
      <c r="U201" s="49"/>
      <c r="V201" s="49"/>
      <c r="W201" s="49"/>
      <c r="X201" s="49"/>
      <c r="Y201" s="49"/>
      <c r="Z201" s="49"/>
      <c r="AA201" s="49"/>
      <c r="AB201" s="49"/>
      <c r="AC201" s="49"/>
    </row>
    <row r="202" spans="1:29">
      <c r="A202" s="43"/>
      <c r="B202" s="43"/>
      <c r="C202" s="43"/>
      <c r="D202" s="43"/>
      <c r="E202" s="43"/>
      <c r="F202" s="43"/>
      <c r="G202" s="43"/>
      <c r="H202" s="43"/>
      <c r="I202" s="43"/>
      <c r="J202" s="43"/>
      <c r="K202" s="43"/>
      <c r="L202" s="43"/>
      <c r="M202" s="43"/>
      <c r="N202" s="43"/>
      <c r="O202" s="43"/>
      <c r="P202" s="43"/>
      <c r="Q202" s="43"/>
      <c r="R202" s="49"/>
      <c r="S202" s="49"/>
      <c r="T202" s="49"/>
      <c r="U202" s="49"/>
      <c r="V202" s="49"/>
      <c r="W202" s="49"/>
      <c r="X202" s="49"/>
      <c r="Y202" s="49"/>
      <c r="Z202" s="49"/>
      <c r="AA202" s="49"/>
      <c r="AB202" s="49"/>
      <c r="AC202" s="49"/>
    </row>
    <row r="203" spans="1:29">
      <c r="A203" s="43"/>
      <c r="B203" s="43"/>
      <c r="C203" s="43"/>
      <c r="D203" s="43"/>
      <c r="E203" s="43"/>
      <c r="F203" s="43"/>
      <c r="G203" s="43"/>
      <c r="H203" s="43"/>
      <c r="I203" s="43"/>
      <c r="J203" s="43"/>
      <c r="K203" s="43"/>
      <c r="L203" s="43"/>
      <c r="M203" s="43"/>
      <c r="N203" s="43"/>
      <c r="O203" s="43"/>
      <c r="P203" s="43"/>
      <c r="Q203" s="43"/>
      <c r="R203" s="49"/>
      <c r="S203" s="49"/>
      <c r="T203" s="49"/>
      <c r="U203" s="49"/>
      <c r="V203" s="49"/>
      <c r="W203" s="49"/>
      <c r="X203" s="49"/>
      <c r="Y203" s="49"/>
      <c r="Z203" s="49"/>
      <c r="AA203" s="49"/>
      <c r="AB203" s="49"/>
      <c r="AC203" s="49"/>
    </row>
    <row r="204" spans="1:29">
      <c r="A204" s="43"/>
      <c r="B204" s="43"/>
      <c r="C204" s="43"/>
      <c r="D204" s="43"/>
      <c r="E204" s="43"/>
      <c r="F204" s="43"/>
      <c r="G204" s="43"/>
      <c r="H204" s="43"/>
      <c r="I204" s="43"/>
      <c r="J204" s="43"/>
      <c r="K204" s="43"/>
      <c r="L204" s="43"/>
      <c r="M204" s="43"/>
      <c r="N204" s="43"/>
      <c r="O204" s="43"/>
      <c r="P204" s="43"/>
      <c r="Q204" s="43"/>
      <c r="R204" s="49"/>
      <c r="S204" s="49"/>
      <c r="T204" s="49"/>
      <c r="U204" s="49"/>
      <c r="V204" s="49"/>
      <c r="W204" s="49"/>
      <c r="X204" s="49"/>
      <c r="Y204" s="49"/>
      <c r="Z204" s="49"/>
      <c r="AA204" s="49"/>
      <c r="AB204" s="49"/>
      <c r="AC204" s="49"/>
    </row>
    <row r="205" spans="1:29">
      <c r="A205" s="43"/>
      <c r="B205" s="43"/>
      <c r="C205" s="43"/>
      <c r="D205" s="43"/>
      <c r="E205" s="43"/>
      <c r="F205" s="43"/>
      <c r="G205" s="43"/>
      <c r="H205" s="43"/>
      <c r="I205" s="43"/>
      <c r="J205" s="43"/>
      <c r="K205" s="43"/>
      <c r="L205" s="43"/>
      <c r="M205" s="43"/>
      <c r="N205" s="43"/>
      <c r="O205" s="43"/>
      <c r="P205" s="43"/>
      <c r="Q205" s="43"/>
      <c r="R205" s="49"/>
      <c r="S205" s="49"/>
      <c r="T205" s="49"/>
      <c r="U205" s="49"/>
      <c r="V205" s="49"/>
      <c r="W205" s="49"/>
      <c r="X205" s="49"/>
      <c r="Y205" s="49"/>
      <c r="Z205" s="49"/>
      <c r="AA205" s="49"/>
      <c r="AB205" s="49"/>
      <c r="AC205" s="49"/>
    </row>
    <row r="206" spans="1:29">
      <c r="A206" s="43"/>
      <c r="B206" s="43"/>
      <c r="C206" s="43"/>
      <c r="D206" s="43"/>
      <c r="E206" s="43"/>
      <c r="F206" s="43"/>
      <c r="G206" s="43"/>
      <c r="H206" s="43"/>
      <c r="I206" s="43"/>
      <c r="J206" s="43"/>
      <c r="K206" s="43"/>
      <c r="L206" s="43"/>
      <c r="M206" s="43"/>
      <c r="N206" s="43"/>
      <c r="O206" s="43"/>
      <c r="P206" s="43"/>
      <c r="Q206" s="43"/>
      <c r="R206" s="49"/>
      <c r="S206" s="49"/>
      <c r="T206" s="49"/>
      <c r="U206" s="49"/>
      <c r="V206" s="49"/>
      <c r="W206" s="49"/>
      <c r="X206" s="49"/>
      <c r="Y206" s="49"/>
      <c r="Z206" s="49"/>
      <c r="AA206" s="49"/>
      <c r="AB206" s="49"/>
      <c r="AC206" s="49"/>
    </row>
    <row r="207" spans="1:29">
      <c r="A207" s="43"/>
      <c r="B207" s="43"/>
      <c r="C207" s="43"/>
      <c r="D207" s="43"/>
      <c r="E207" s="43"/>
      <c r="F207" s="43"/>
      <c r="G207" s="43"/>
      <c r="H207" s="43"/>
      <c r="I207" s="43"/>
      <c r="J207" s="43"/>
      <c r="K207" s="43"/>
      <c r="L207" s="43"/>
      <c r="M207" s="43"/>
      <c r="N207" s="43"/>
      <c r="O207" s="43"/>
      <c r="P207" s="43"/>
      <c r="Q207" s="43"/>
      <c r="R207" s="49"/>
      <c r="S207" s="49"/>
      <c r="T207" s="49"/>
      <c r="U207" s="49"/>
      <c r="V207" s="49"/>
      <c r="W207" s="49"/>
      <c r="X207" s="49"/>
      <c r="Y207" s="49"/>
      <c r="Z207" s="49"/>
      <c r="AA207" s="49"/>
      <c r="AB207" s="49"/>
      <c r="AC207" s="49"/>
    </row>
    <row r="208" spans="1:29">
      <c r="A208" s="43"/>
      <c r="B208" s="43"/>
      <c r="C208" s="43"/>
      <c r="D208" s="43"/>
      <c r="E208" s="43"/>
      <c r="F208" s="43"/>
      <c r="G208" s="43"/>
      <c r="H208" s="43"/>
      <c r="I208" s="43"/>
      <c r="J208" s="43"/>
      <c r="K208" s="43"/>
      <c r="L208" s="43"/>
      <c r="M208" s="43"/>
      <c r="N208" s="43"/>
      <c r="O208" s="43"/>
      <c r="P208" s="43"/>
      <c r="Q208" s="43"/>
      <c r="R208" s="49"/>
      <c r="S208" s="49"/>
      <c r="T208" s="49"/>
      <c r="U208" s="49"/>
      <c r="V208" s="49"/>
      <c r="W208" s="49"/>
      <c r="X208" s="49"/>
      <c r="Y208" s="49"/>
      <c r="Z208" s="49"/>
      <c r="AA208" s="49"/>
      <c r="AB208" s="49"/>
      <c r="AC208" s="49"/>
    </row>
    <row r="209" spans="1:29">
      <c r="A209" s="43"/>
      <c r="B209" s="43"/>
      <c r="C209" s="43"/>
      <c r="D209" s="43"/>
      <c r="E209" s="43"/>
      <c r="F209" s="43"/>
      <c r="G209" s="43"/>
      <c r="H209" s="43"/>
      <c r="I209" s="43"/>
      <c r="J209" s="43"/>
      <c r="K209" s="43"/>
      <c r="L209" s="43"/>
      <c r="M209" s="43"/>
      <c r="N209" s="43"/>
      <c r="O209" s="43"/>
      <c r="P209" s="43"/>
      <c r="Q209" s="43"/>
      <c r="R209" s="49"/>
      <c r="S209" s="49"/>
      <c r="T209" s="49"/>
      <c r="U209" s="49"/>
      <c r="V209" s="49"/>
      <c r="W209" s="49"/>
      <c r="X209" s="49"/>
      <c r="Y209" s="49"/>
      <c r="Z209" s="49"/>
      <c r="AA209" s="49"/>
      <c r="AB209" s="49"/>
      <c r="AC209" s="49"/>
    </row>
    <row r="210" spans="1:29">
      <c r="A210" s="43"/>
      <c r="B210" s="43"/>
      <c r="C210" s="43"/>
      <c r="D210" s="43"/>
      <c r="E210" s="43"/>
      <c r="F210" s="43"/>
      <c r="G210" s="43"/>
      <c r="H210" s="43"/>
      <c r="I210" s="43"/>
      <c r="J210" s="43"/>
      <c r="K210" s="43"/>
      <c r="L210" s="43"/>
      <c r="M210" s="43"/>
      <c r="N210" s="43"/>
      <c r="O210" s="43"/>
      <c r="P210" s="43"/>
      <c r="Q210" s="43"/>
      <c r="R210" s="49"/>
      <c r="S210" s="49"/>
      <c r="T210" s="49"/>
      <c r="U210" s="49"/>
      <c r="V210" s="49"/>
      <c r="W210" s="49"/>
      <c r="X210" s="49"/>
      <c r="Y210" s="49"/>
      <c r="Z210" s="49"/>
      <c r="AA210" s="49"/>
      <c r="AB210" s="49"/>
      <c r="AC210" s="49"/>
    </row>
    <row r="211" spans="1:29">
      <c r="A211" s="43"/>
      <c r="B211" s="43"/>
      <c r="C211" s="43"/>
      <c r="D211" s="43"/>
      <c r="E211" s="43"/>
      <c r="F211" s="43"/>
      <c r="G211" s="43"/>
      <c r="H211" s="43"/>
      <c r="I211" s="43"/>
      <c r="J211" s="43"/>
      <c r="K211" s="43"/>
      <c r="L211" s="43"/>
      <c r="M211" s="43"/>
      <c r="N211" s="43"/>
      <c r="O211" s="43"/>
      <c r="P211" s="43"/>
      <c r="Q211" s="43"/>
      <c r="R211" s="49"/>
      <c r="S211" s="49"/>
      <c r="T211" s="49"/>
      <c r="U211" s="49"/>
      <c r="V211" s="49"/>
      <c r="W211" s="49"/>
      <c r="X211" s="49"/>
      <c r="Y211" s="49"/>
      <c r="Z211" s="49"/>
      <c r="AA211" s="49"/>
      <c r="AB211" s="49"/>
      <c r="AC211" s="49"/>
    </row>
    <row r="212" spans="1:29">
      <c r="A212" s="43"/>
      <c r="B212" s="43"/>
      <c r="C212" s="43"/>
      <c r="D212" s="43"/>
      <c r="E212" s="43"/>
      <c r="F212" s="43"/>
      <c r="G212" s="43"/>
      <c r="H212" s="43"/>
      <c r="I212" s="43"/>
      <c r="J212" s="43"/>
      <c r="K212" s="43"/>
      <c r="L212" s="43"/>
      <c r="M212" s="43"/>
      <c r="N212" s="43"/>
      <c r="O212" s="43"/>
      <c r="P212" s="43"/>
      <c r="Q212" s="43"/>
      <c r="R212" s="49"/>
      <c r="S212" s="49"/>
      <c r="T212" s="49"/>
      <c r="U212" s="49"/>
      <c r="V212" s="49"/>
      <c r="W212" s="49"/>
      <c r="X212" s="49"/>
      <c r="Y212" s="49"/>
      <c r="Z212" s="49"/>
      <c r="AA212" s="49"/>
      <c r="AB212" s="49"/>
      <c r="AC212" s="49"/>
    </row>
    <row r="213" spans="1:29">
      <c r="A213" s="43"/>
      <c r="B213" s="43"/>
      <c r="C213" s="43"/>
      <c r="D213" s="43"/>
      <c r="E213" s="43"/>
      <c r="F213" s="43"/>
      <c r="G213" s="43"/>
      <c r="H213" s="43"/>
      <c r="I213" s="43"/>
      <c r="J213" s="43"/>
      <c r="K213" s="43"/>
      <c r="L213" s="43"/>
      <c r="M213" s="43"/>
      <c r="N213" s="43"/>
      <c r="O213" s="43"/>
      <c r="P213" s="43"/>
      <c r="Q213" s="43"/>
      <c r="R213" s="49"/>
      <c r="S213" s="49"/>
      <c r="T213" s="49"/>
      <c r="U213" s="49"/>
      <c r="V213" s="49"/>
      <c r="W213" s="49"/>
      <c r="X213" s="49"/>
      <c r="Y213" s="49"/>
      <c r="Z213" s="49"/>
      <c r="AA213" s="49"/>
      <c r="AB213" s="49"/>
      <c r="AC213" s="49"/>
    </row>
    <row r="214" spans="1:29">
      <c r="A214" s="43"/>
      <c r="B214" s="43"/>
      <c r="C214" s="43"/>
      <c r="D214" s="43"/>
      <c r="E214" s="43"/>
      <c r="F214" s="43"/>
      <c r="G214" s="43"/>
      <c r="H214" s="43"/>
      <c r="I214" s="43"/>
      <c r="J214" s="43"/>
      <c r="K214" s="43"/>
      <c r="L214" s="43"/>
      <c r="M214" s="43"/>
      <c r="N214" s="43"/>
      <c r="O214" s="43"/>
      <c r="P214" s="43"/>
      <c r="Q214" s="43"/>
      <c r="R214" s="49"/>
      <c r="S214" s="49"/>
      <c r="T214" s="49"/>
      <c r="U214" s="49"/>
      <c r="V214" s="49"/>
      <c r="W214" s="49"/>
      <c r="X214" s="49"/>
      <c r="Y214" s="49"/>
      <c r="Z214" s="49"/>
      <c r="AA214" s="49"/>
      <c r="AB214" s="49"/>
      <c r="AC214" s="49"/>
    </row>
    <row r="215" spans="1:29">
      <c r="A215" s="43"/>
      <c r="B215" s="43"/>
      <c r="C215" s="43"/>
      <c r="D215" s="43"/>
      <c r="E215" s="43"/>
      <c r="F215" s="43"/>
      <c r="G215" s="43"/>
      <c r="H215" s="43"/>
      <c r="I215" s="43"/>
      <c r="J215" s="43"/>
      <c r="K215" s="43"/>
      <c r="L215" s="43"/>
      <c r="M215" s="43"/>
      <c r="N215" s="43"/>
      <c r="O215" s="43"/>
      <c r="P215" s="43"/>
      <c r="Q215" s="43"/>
      <c r="R215" s="49"/>
      <c r="S215" s="49"/>
      <c r="T215" s="49"/>
      <c r="U215" s="49"/>
      <c r="V215" s="49"/>
      <c r="W215" s="49"/>
      <c r="X215" s="49"/>
      <c r="Y215" s="49"/>
      <c r="Z215" s="49"/>
      <c r="AA215" s="49"/>
      <c r="AB215" s="49"/>
      <c r="AC215" s="49"/>
    </row>
    <row r="216" spans="1:29">
      <c r="A216" s="43"/>
      <c r="B216" s="43"/>
      <c r="C216" s="43"/>
      <c r="D216" s="43"/>
      <c r="E216" s="43"/>
      <c r="F216" s="43"/>
      <c r="G216" s="43"/>
      <c r="H216" s="43"/>
      <c r="I216" s="43"/>
      <c r="J216" s="43"/>
      <c r="K216" s="43"/>
      <c r="L216" s="43"/>
      <c r="M216" s="43"/>
      <c r="N216" s="43"/>
      <c r="O216" s="43"/>
      <c r="P216" s="43"/>
      <c r="Q216" s="43"/>
      <c r="R216" s="49"/>
      <c r="S216" s="49"/>
      <c r="T216" s="49"/>
      <c r="U216" s="49"/>
      <c r="V216" s="49"/>
      <c r="W216" s="49"/>
      <c r="X216" s="49"/>
      <c r="Y216" s="49"/>
      <c r="Z216" s="49"/>
      <c r="AA216" s="49"/>
      <c r="AB216" s="49"/>
      <c r="AC216" s="49"/>
    </row>
    <row r="217" spans="1:29">
      <c r="A217" s="43"/>
      <c r="B217" s="43"/>
      <c r="C217" s="43"/>
      <c r="D217" s="43"/>
      <c r="E217" s="43"/>
      <c r="F217" s="43"/>
      <c r="G217" s="43"/>
      <c r="H217" s="43"/>
      <c r="I217" s="43"/>
      <c r="J217" s="43"/>
      <c r="K217" s="43"/>
      <c r="L217" s="43"/>
      <c r="M217" s="43"/>
      <c r="N217" s="43"/>
      <c r="O217" s="43"/>
      <c r="P217" s="43"/>
      <c r="Q217" s="43"/>
      <c r="R217" s="49"/>
      <c r="S217" s="49"/>
      <c r="T217" s="49"/>
      <c r="U217" s="49"/>
      <c r="V217" s="49"/>
      <c r="W217" s="49"/>
      <c r="X217" s="49"/>
      <c r="Y217" s="49"/>
      <c r="Z217" s="49"/>
      <c r="AA217" s="49"/>
      <c r="AB217" s="49"/>
      <c r="AC217" s="49"/>
    </row>
    <row r="218" spans="1:29">
      <c r="A218" s="43"/>
      <c r="B218" s="43"/>
      <c r="C218" s="43"/>
      <c r="D218" s="43"/>
      <c r="E218" s="43"/>
      <c r="F218" s="43"/>
      <c r="G218" s="43"/>
      <c r="H218" s="43"/>
      <c r="I218" s="43"/>
      <c r="J218" s="43"/>
      <c r="K218" s="43"/>
      <c r="L218" s="43"/>
      <c r="M218" s="43"/>
      <c r="N218" s="43"/>
      <c r="O218" s="43"/>
      <c r="P218" s="43"/>
      <c r="Q218" s="43"/>
      <c r="R218" s="49"/>
      <c r="S218" s="49"/>
      <c r="T218" s="49"/>
      <c r="U218" s="49"/>
      <c r="V218" s="49"/>
      <c r="W218" s="49"/>
      <c r="X218" s="49"/>
      <c r="Y218" s="49"/>
      <c r="Z218" s="49"/>
      <c r="AA218" s="49"/>
      <c r="AB218" s="49"/>
      <c r="AC218" s="49"/>
    </row>
    <row r="219" spans="1:29">
      <c r="A219" s="43"/>
      <c r="B219" s="43"/>
      <c r="C219" s="43"/>
      <c r="D219" s="43"/>
      <c r="E219" s="43"/>
      <c r="F219" s="43"/>
      <c r="G219" s="43"/>
      <c r="H219" s="43"/>
      <c r="I219" s="43"/>
      <c r="J219" s="43"/>
      <c r="K219" s="43"/>
      <c r="L219" s="43"/>
      <c r="M219" s="43"/>
      <c r="N219" s="43"/>
      <c r="O219" s="43"/>
      <c r="P219" s="43"/>
      <c r="Q219" s="43"/>
      <c r="R219" s="49"/>
      <c r="S219" s="49"/>
      <c r="T219" s="49"/>
      <c r="U219" s="49"/>
      <c r="V219" s="49"/>
      <c r="W219" s="49"/>
      <c r="X219" s="49"/>
      <c r="Y219" s="49"/>
      <c r="Z219" s="49"/>
      <c r="AA219" s="49"/>
      <c r="AB219" s="49"/>
      <c r="AC219" s="49"/>
    </row>
    <row r="220" spans="1:29">
      <c r="A220" s="43"/>
      <c r="B220" s="43"/>
      <c r="C220" s="43"/>
      <c r="D220" s="43"/>
      <c r="E220" s="43"/>
      <c r="F220" s="43"/>
      <c r="G220" s="43"/>
      <c r="H220" s="43"/>
      <c r="I220" s="43"/>
      <c r="J220" s="43"/>
      <c r="K220" s="43"/>
      <c r="L220" s="43"/>
      <c r="M220" s="43"/>
      <c r="N220" s="43"/>
      <c r="O220" s="43"/>
      <c r="P220" s="43"/>
      <c r="Q220" s="43"/>
      <c r="R220" s="49"/>
      <c r="S220" s="49"/>
      <c r="T220" s="49"/>
      <c r="U220" s="49"/>
      <c r="V220" s="49"/>
      <c r="W220" s="49"/>
      <c r="X220" s="49"/>
      <c r="Y220" s="49"/>
      <c r="Z220" s="49"/>
      <c r="AA220" s="49"/>
      <c r="AB220" s="49"/>
      <c r="AC220" s="49"/>
    </row>
    <row r="221" spans="1:29">
      <c r="A221" s="43"/>
      <c r="B221" s="43"/>
      <c r="C221" s="43"/>
      <c r="D221" s="43"/>
      <c r="E221" s="43"/>
      <c r="F221" s="43"/>
      <c r="G221" s="43"/>
      <c r="H221" s="43"/>
      <c r="I221" s="43"/>
      <c r="J221" s="43"/>
      <c r="K221" s="43"/>
      <c r="L221" s="43"/>
      <c r="M221" s="43"/>
      <c r="N221" s="43"/>
      <c r="O221" s="43"/>
      <c r="P221" s="43"/>
      <c r="Q221" s="43"/>
      <c r="R221" s="49"/>
      <c r="S221" s="49"/>
      <c r="T221" s="49"/>
      <c r="U221" s="49"/>
      <c r="V221" s="49"/>
      <c r="W221" s="49"/>
      <c r="X221" s="49"/>
      <c r="Y221" s="49"/>
      <c r="Z221" s="49"/>
      <c r="AA221" s="49"/>
      <c r="AB221" s="49"/>
      <c r="AC221" s="49"/>
    </row>
    <row r="222" spans="1:29">
      <c r="A222" s="43"/>
      <c r="B222" s="43"/>
      <c r="C222" s="43"/>
      <c r="D222" s="43"/>
      <c r="E222" s="43"/>
      <c r="F222" s="43"/>
      <c r="G222" s="43"/>
      <c r="H222" s="43"/>
      <c r="I222" s="43"/>
      <c r="J222" s="43"/>
      <c r="K222" s="43"/>
      <c r="L222" s="43"/>
      <c r="M222" s="43"/>
      <c r="N222" s="43"/>
      <c r="O222" s="43"/>
      <c r="P222" s="43"/>
      <c r="Q222" s="43"/>
      <c r="R222" s="49"/>
      <c r="S222" s="49"/>
      <c r="T222" s="49"/>
      <c r="U222" s="49"/>
      <c r="V222" s="49"/>
      <c r="W222" s="49"/>
      <c r="X222" s="49"/>
      <c r="Y222" s="49"/>
      <c r="Z222" s="49"/>
      <c r="AA222" s="49"/>
      <c r="AB222" s="49"/>
      <c r="AC222" s="49"/>
    </row>
    <row r="223" spans="1:29">
      <c r="A223" s="43"/>
      <c r="B223" s="43"/>
      <c r="C223" s="43"/>
      <c r="D223" s="43"/>
      <c r="E223" s="43"/>
      <c r="F223" s="43"/>
      <c r="G223" s="43"/>
      <c r="H223" s="43"/>
      <c r="I223" s="43"/>
      <c r="J223" s="43"/>
      <c r="K223" s="43"/>
      <c r="L223" s="43"/>
      <c r="M223" s="43"/>
      <c r="N223" s="43"/>
      <c r="O223" s="43"/>
      <c r="P223" s="43"/>
      <c r="Q223" s="43"/>
      <c r="R223" s="49"/>
      <c r="S223" s="49"/>
      <c r="T223" s="49"/>
      <c r="U223" s="49"/>
      <c r="V223" s="49"/>
      <c r="W223" s="49"/>
      <c r="X223" s="49"/>
      <c r="Y223" s="49"/>
      <c r="Z223" s="49"/>
      <c r="AA223" s="49"/>
      <c r="AB223" s="49"/>
      <c r="AC223" s="49"/>
    </row>
    <row r="224" spans="1:29">
      <c r="A224" s="43"/>
      <c r="B224" s="43"/>
      <c r="C224" s="43"/>
      <c r="D224" s="43"/>
      <c r="E224" s="43"/>
      <c r="F224" s="43"/>
      <c r="G224" s="43"/>
      <c r="H224" s="43"/>
      <c r="I224" s="43"/>
      <c r="J224" s="43"/>
      <c r="K224" s="43"/>
      <c r="L224" s="43"/>
      <c r="M224" s="43"/>
      <c r="N224" s="43"/>
      <c r="O224" s="43"/>
      <c r="P224" s="43"/>
      <c r="Q224" s="43"/>
      <c r="R224" s="49"/>
      <c r="S224" s="49"/>
      <c r="T224" s="49"/>
      <c r="U224" s="49"/>
      <c r="V224" s="49"/>
      <c r="W224" s="49"/>
      <c r="X224" s="49"/>
      <c r="Y224" s="49"/>
      <c r="Z224" s="49"/>
      <c r="AA224" s="49"/>
      <c r="AB224" s="49"/>
      <c r="AC224" s="49"/>
    </row>
    <row r="225" spans="1:29">
      <c r="A225" s="43"/>
      <c r="B225" s="43"/>
      <c r="C225" s="43"/>
      <c r="D225" s="43"/>
      <c r="E225" s="43"/>
      <c r="F225" s="43"/>
      <c r="G225" s="43"/>
      <c r="H225" s="43"/>
      <c r="I225" s="43"/>
      <c r="J225" s="43"/>
      <c r="K225" s="43"/>
      <c r="L225" s="43"/>
      <c r="M225" s="43"/>
      <c r="N225" s="43"/>
      <c r="O225" s="43"/>
      <c r="P225" s="43"/>
      <c r="Q225" s="43"/>
      <c r="R225" s="49"/>
      <c r="S225" s="49"/>
      <c r="T225" s="49"/>
      <c r="U225" s="49"/>
      <c r="V225" s="49"/>
      <c r="W225" s="49"/>
      <c r="X225" s="49"/>
      <c r="Y225" s="49"/>
      <c r="Z225" s="49"/>
      <c r="AA225" s="49"/>
      <c r="AB225" s="49"/>
      <c r="AC225" s="49"/>
    </row>
    <row r="226" spans="1:29">
      <c r="A226" s="43"/>
      <c r="B226" s="43"/>
      <c r="C226" s="43"/>
      <c r="D226" s="43"/>
      <c r="E226" s="43"/>
      <c r="F226" s="43"/>
      <c r="G226" s="43"/>
      <c r="H226" s="43"/>
      <c r="I226" s="43"/>
      <c r="J226" s="43"/>
      <c r="K226" s="43"/>
      <c r="L226" s="43"/>
      <c r="M226" s="43"/>
      <c r="N226" s="43"/>
      <c r="O226" s="43"/>
      <c r="P226" s="43"/>
      <c r="Q226" s="43"/>
      <c r="R226" s="49"/>
      <c r="S226" s="49"/>
      <c r="T226" s="49"/>
      <c r="U226" s="49"/>
      <c r="V226" s="49"/>
      <c r="W226" s="49"/>
      <c r="X226" s="49"/>
      <c r="Y226" s="49"/>
      <c r="Z226" s="49"/>
      <c r="AA226" s="49"/>
      <c r="AB226" s="49"/>
      <c r="AC226" s="49"/>
    </row>
    <row r="227" spans="1:29">
      <c r="A227" s="43"/>
      <c r="B227" s="43"/>
      <c r="C227" s="43"/>
      <c r="D227" s="43"/>
      <c r="E227" s="43"/>
      <c r="F227" s="43"/>
      <c r="G227" s="43"/>
      <c r="H227" s="43"/>
      <c r="I227" s="43"/>
      <c r="J227" s="43"/>
      <c r="K227" s="43"/>
      <c r="L227" s="43"/>
      <c r="M227" s="43"/>
      <c r="N227" s="43"/>
      <c r="O227" s="43"/>
      <c r="P227" s="43"/>
      <c r="Q227" s="43"/>
      <c r="R227" s="49"/>
      <c r="S227" s="49"/>
      <c r="T227" s="49"/>
      <c r="U227" s="49"/>
      <c r="V227" s="49"/>
      <c r="W227" s="49"/>
      <c r="X227" s="49"/>
      <c r="Y227" s="49"/>
      <c r="Z227" s="49"/>
      <c r="AA227" s="49"/>
      <c r="AB227" s="49"/>
      <c r="AC227" s="49"/>
    </row>
    <row r="228" spans="1:29">
      <c r="A228" s="43"/>
      <c r="B228" s="43"/>
      <c r="C228" s="43"/>
      <c r="D228" s="43"/>
      <c r="E228" s="43"/>
      <c r="F228" s="43"/>
      <c r="G228" s="43"/>
      <c r="H228" s="43"/>
      <c r="I228" s="43"/>
      <c r="J228" s="43"/>
      <c r="K228" s="43"/>
      <c r="L228" s="43"/>
      <c r="M228" s="43"/>
      <c r="N228" s="43"/>
      <c r="O228" s="43"/>
      <c r="P228" s="43"/>
      <c r="Q228" s="43"/>
      <c r="R228" s="49"/>
      <c r="S228" s="49"/>
      <c r="T228" s="49"/>
      <c r="U228" s="49"/>
      <c r="V228" s="49"/>
      <c r="W228" s="49"/>
      <c r="X228" s="49"/>
      <c r="Y228" s="49"/>
      <c r="Z228" s="49"/>
      <c r="AA228" s="49"/>
      <c r="AB228" s="49"/>
      <c r="AC228" s="49"/>
    </row>
    <row r="229" spans="1:29">
      <c r="A229" s="43"/>
      <c r="B229" s="43"/>
      <c r="C229" s="43"/>
      <c r="D229" s="43"/>
      <c r="E229" s="43"/>
      <c r="F229" s="43"/>
      <c r="G229" s="43"/>
      <c r="H229" s="43"/>
      <c r="I229" s="43"/>
      <c r="J229" s="43"/>
      <c r="K229" s="43"/>
      <c r="L229" s="43"/>
      <c r="M229" s="43"/>
      <c r="N229" s="43"/>
      <c r="O229" s="43"/>
      <c r="P229" s="43"/>
      <c r="Q229" s="43"/>
      <c r="R229" s="49"/>
      <c r="S229" s="49"/>
      <c r="T229" s="49"/>
      <c r="U229" s="49"/>
      <c r="V229" s="49"/>
      <c r="W229" s="49"/>
      <c r="X229" s="49"/>
      <c r="Y229" s="49"/>
      <c r="Z229" s="49"/>
      <c r="AA229" s="49"/>
      <c r="AB229" s="49"/>
      <c r="AC229" s="49"/>
    </row>
    <row r="230" spans="1:29">
      <c r="A230" s="43"/>
      <c r="B230" s="43"/>
      <c r="C230" s="43"/>
      <c r="D230" s="43"/>
      <c r="E230" s="43"/>
      <c r="F230" s="43"/>
      <c r="G230" s="43"/>
      <c r="H230" s="43"/>
      <c r="I230" s="43"/>
      <c r="J230" s="43"/>
      <c r="K230" s="43"/>
      <c r="L230" s="43"/>
      <c r="M230" s="43"/>
      <c r="N230" s="43"/>
      <c r="O230" s="43"/>
      <c r="P230" s="43"/>
      <c r="Q230" s="43"/>
      <c r="R230" s="49"/>
      <c r="S230" s="49"/>
      <c r="T230" s="49"/>
      <c r="U230" s="49"/>
      <c r="V230" s="49"/>
      <c r="W230" s="49"/>
      <c r="X230" s="49"/>
      <c r="Y230" s="49"/>
      <c r="Z230" s="49"/>
      <c r="AA230" s="49"/>
      <c r="AB230" s="49"/>
      <c r="AC230" s="49"/>
    </row>
    <row r="231" spans="1:29">
      <c r="A231" s="43"/>
      <c r="B231" s="43"/>
      <c r="C231" s="43"/>
      <c r="D231" s="43"/>
      <c r="E231" s="43"/>
      <c r="F231" s="43"/>
      <c r="G231" s="43"/>
      <c r="H231" s="43"/>
      <c r="I231" s="43"/>
      <c r="J231" s="43"/>
      <c r="K231" s="43"/>
      <c r="L231" s="43"/>
      <c r="M231" s="43"/>
      <c r="N231" s="43"/>
      <c r="O231" s="43"/>
      <c r="P231" s="43"/>
      <c r="Q231" s="43"/>
      <c r="R231" s="49"/>
      <c r="S231" s="49"/>
      <c r="T231" s="49"/>
      <c r="U231" s="49"/>
      <c r="V231" s="49"/>
      <c r="W231" s="49"/>
      <c r="X231" s="49"/>
      <c r="Y231" s="49"/>
      <c r="Z231" s="49"/>
      <c r="AA231" s="49"/>
      <c r="AB231" s="49"/>
      <c r="AC231" s="49"/>
    </row>
    <row r="232" spans="1:29">
      <c r="A232" s="43"/>
      <c r="B232" s="43"/>
      <c r="C232" s="43"/>
      <c r="D232" s="43"/>
      <c r="E232" s="43"/>
      <c r="F232" s="43"/>
      <c r="G232" s="43"/>
      <c r="H232" s="43"/>
      <c r="I232" s="43"/>
      <c r="J232" s="43"/>
      <c r="K232" s="43"/>
      <c r="L232" s="43"/>
      <c r="M232" s="43"/>
      <c r="N232" s="43"/>
      <c r="O232" s="43"/>
      <c r="P232" s="43"/>
      <c r="Q232" s="43"/>
      <c r="R232" s="49"/>
      <c r="S232" s="49"/>
      <c r="T232" s="49"/>
      <c r="U232" s="49"/>
      <c r="V232" s="49"/>
      <c r="W232" s="49"/>
      <c r="X232" s="49"/>
      <c r="Y232" s="49"/>
      <c r="Z232" s="49"/>
      <c r="AA232" s="49"/>
      <c r="AB232" s="49"/>
      <c r="AC232" s="49"/>
    </row>
    <row r="233" spans="1:29">
      <c r="A233" s="43"/>
      <c r="B233" s="43"/>
      <c r="C233" s="43"/>
      <c r="D233" s="43"/>
      <c r="E233" s="43"/>
      <c r="F233" s="43"/>
      <c r="G233" s="43"/>
      <c r="H233" s="43"/>
      <c r="I233" s="43"/>
      <c r="J233" s="43"/>
      <c r="K233" s="43"/>
      <c r="L233" s="43"/>
      <c r="M233" s="43"/>
      <c r="N233" s="43"/>
      <c r="O233" s="43"/>
      <c r="P233" s="43"/>
      <c r="Q233" s="43"/>
      <c r="R233" s="49"/>
      <c r="S233" s="49"/>
      <c r="T233" s="49"/>
      <c r="U233" s="49"/>
      <c r="V233" s="49"/>
      <c r="W233" s="49"/>
      <c r="X233" s="49"/>
      <c r="Y233" s="49"/>
      <c r="Z233" s="49"/>
      <c r="AA233" s="49"/>
      <c r="AB233" s="49"/>
      <c r="AC233" s="49"/>
    </row>
    <row r="234" spans="1:29">
      <c r="A234" s="43"/>
      <c r="B234" s="43"/>
      <c r="C234" s="43"/>
      <c r="D234" s="43"/>
      <c r="E234" s="43"/>
      <c r="F234" s="43"/>
      <c r="G234" s="43"/>
      <c r="H234" s="43"/>
      <c r="I234" s="43"/>
      <c r="J234" s="43"/>
      <c r="K234" s="43"/>
      <c r="L234" s="43"/>
      <c r="M234" s="43"/>
      <c r="N234" s="43"/>
      <c r="O234" s="43"/>
      <c r="P234" s="43"/>
      <c r="Q234" s="43"/>
      <c r="R234" s="49"/>
      <c r="S234" s="49"/>
      <c r="T234" s="49"/>
      <c r="U234" s="49"/>
      <c r="V234" s="49"/>
      <c r="W234" s="49"/>
      <c r="X234" s="49"/>
      <c r="Y234" s="49"/>
      <c r="Z234" s="49"/>
      <c r="AA234" s="49"/>
      <c r="AB234" s="49"/>
      <c r="AC234" s="49"/>
    </row>
    <row r="235" spans="1:29">
      <c r="A235" s="43"/>
      <c r="B235" s="43"/>
      <c r="C235" s="43"/>
      <c r="D235" s="43"/>
      <c r="E235" s="43"/>
      <c r="F235" s="43"/>
      <c r="G235" s="43"/>
      <c r="H235" s="43"/>
      <c r="I235" s="43"/>
      <c r="J235" s="43"/>
      <c r="K235" s="43"/>
      <c r="L235" s="43"/>
      <c r="M235" s="43"/>
      <c r="N235" s="43"/>
      <c r="O235" s="43"/>
      <c r="P235" s="43"/>
      <c r="Q235" s="43"/>
      <c r="R235" s="49"/>
      <c r="S235" s="49"/>
      <c r="T235" s="49"/>
      <c r="U235" s="49"/>
      <c r="V235" s="49"/>
      <c r="W235" s="49"/>
      <c r="X235" s="49"/>
      <c r="Y235" s="49"/>
      <c r="Z235" s="49"/>
      <c r="AA235" s="49"/>
      <c r="AB235" s="49"/>
      <c r="AC235" s="49"/>
    </row>
    <row r="236" spans="1:29">
      <c r="A236" s="43"/>
      <c r="B236" s="43"/>
      <c r="C236" s="43"/>
      <c r="D236" s="43"/>
      <c r="E236" s="43"/>
      <c r="F236" s="43"/>
      <c r="G236" s="43"/>
      <c r="H236" s="43"/>
      <c r="I236" s="43"/>
      <c r="J236" s="43"/>
      <c r="K236" s="43"/>
      <c r="L236" s="43"/>
      <c r="M236" s="43"/>
      <c r="N236" s="43"/>
      <c r="O236" s="43"/>
      <c r="P236" s="43"/>
      <c r="Q236" s="43"/>
      <c r="R236" s="49"/>
      <c r="S236" s="49"/>
      <c r="T236" s="49"/>
      <c r="U236" s="49"/>
      <c r="V236" s="49"/>
      <c r="W236" s="49"/>
      <c r="X236" s="49"/>
      <c r="Y236" s="49"/>
      <c r="Z236" s="49"/>
      <c r="AA236" s="49"/>
      <c r="AB236" s="49"/>
      <c r="AC236" s="49"/>
    </row>
    <row r="237" spans="1:29">
      <c r="A237" s="43"/>
      <c r="B237" s="43"/>
      <c r="C237" s="43"/>
      <c r="D237" s="43"/>
      <c r="E237" s="43"/>
      <c r="F237" s="43"/>
      <c r="G237" s="43"/>
      <c r="H237" s="43"/>
      <c r="I237" s="43"/>
      <c r="J237" s="43"/>
      <c r="K237" s="43"/>
      <c r="L237" s="43"/>
      <c r="M237" s="43"/>
      <c r="N237" s="43"/>
      <c r="O237" s="43"/>
      <c r="P237" s="43"/>
      <c r="Q237" s="43"/>
      <c r="R237" s="49"/>
      <c r="S237" s="49"/>
      <c r="T237" s="49"/>
      <c r="U237" s="49"/>
      <c r="V237" s="49"/>
      <c r="W237" s="49"/>
      <c r="X237" s="49"/>
      <c r="Y237" s="49"/>
      <c r="Z237" s="49"/>
      <c r="AA237" s="49"/>
      <c r="AB237" s="49"/>
      <c r="AC237" s="49"/>
    </row>
    <row r="238" spans="1:29">
      <c r="A238" s="43"/>
      <c r="B238" s="43"/>
      <c r="C238" s="43"/>
      <c r="D238" s="43"/>
      <c r="E238" s="43"/>
      <c r="F238" s="43"/>
      <c r="G238" s="43"/>
      <c r="H238" s="43"/>
      <c r="I238" s="43"/>
      <c r="J238" s="43"/>
      <c r="K238" s="43"/>
      <c r="L238" s="43"/>
      <c r="M238" s="43"/>
      <c r="N238" s="43"/>
      <c r="O238" s="43"/>
      <c r="P238" s="43"/>
      <c r="Q238" s="43"/>
      <c r="R238" s="49"/>
      <c r="S238" s="49"/>
      <c r="T238" s="49"/>
      <c r="U238" s="49"/>
      <c r="V238" s="49"/>
      <c r="W238" s="49"/>
      <c r="X238" s="49"/>
      <c r="Y238" s="49"/>
      <c r="Z238" s="49"/>
      <c r="AA238" s="49"/>
      <c r="AB238" s="49"/>
      <c r="AC238" s="49"/>
    </row>
    <row r="239" spans="1:29">
      <c r="A239" s="43"/>
      <c r="B239" s="43"/>
      <c r="C239" s="43"/>
      <c r="D239" s="43"/>
      <c r="E239" s="43"/>
      <c r="F239" s="43"/>
      <c r="G239" s="43"/>
      <c r="H239" s="43"/>
      <c r="I239" s="43"/>
      <c r="J239" s="43"/>
      <c r="K239" s="43"/>
      <c r="L239" s="43"/>
      <c r="M239" s="43"/>
      <c r="N239" s="43"/>
      <c r="O239" s="43"/>
      <c r="P239" s="43"/>
      <c r="Q239" s="43"/>
      <c r="R239" s="49"/>
      <c r="S239" s="49"/>
      <c r="T239" s="49"/>
      <c r="U239" s="49"/>
      <c r="V239" s="49"/>
      <c r="W239" s="49"/>
      <c r="X239" s="49"/>
      <c r="Y239" s="49"/>
      <c r="Z239" s="49"/>
      <c r="AA239" s="49"/>
      <c r="AB239" s="49"/>
      <c r="AC239" s="49"/>
    </row>
    <row r="240" spans="1:29">
      <c r="A240" s="43"/>
      <c r="B240" s="43"/>
      <c r="C240" s="43"/>
      <c r="D240" s="43"/>
      <c r="E240" s="43"/>
      <c r="F240" s="43"/>
      <c r="G240" s="43"/>
      <c r="H240" s="43"/>
      <c r="I240" s="43"/>
      <c r="J240" s="43"/>
      <c r="K240" s="43"/>
      <c r="L240" s="43"/>
      <c r="M240" s="43"/>
      <c r="N240" s="43"/>
      <c r="O240" s="43"/>
      <c r="P240" s="43"/>
      <c r="Q240" s="43"/>
      <c r="R240" s="49"/>
      <c r="S240" s="49"/>
      <c r="T240" s="49"/>
      <c r="U240" s="49"/>
      <c r="V240" s="49"/>
      <c r="W240" s="49"/>
      <c r="X240" s="49"/>
      <c r="Y240" s="49"/>
      <c r="Z240" s="49"/>
      <c r="AA240" s="49"/>
      <c r="AB240" s="49"/>
      <c r="AC240" s="49"/>
    </row>
    <row r="241" spans="1:29">
      <c r="A241" s="43"/>
      <c r="B241" s="43"/>
      <c r="C241" s="43"/>
      <c r="D241" s="43"/>
      <c r="E241" s="43"/>
      <c r="F241" s="43"/>
      <c r="G241" s="43"/>
      <c r="H241" s="43"/>
      <c r="I241" s="43"/>
      <c r="J241" s="43"/>
      <c r="K241" s="43"/>
      <c r="L241" s="43"/>
      <c r="M241" s="43"/>
      <c r="N241" s="43"/>
      <c r="O241" s="43"/>
      <c r="P241" s="43"/>
      <c r="Q241" s="43"/>
      <c r="R241" s="49"/>
      <c r="S241" s="49"/>
      <c r="T241" s="49"/>
      <c r="U241" s="49"/>
      <c r="V241" s="49"/>
      <c r="W241" s="49"/>
      <c r="X241" s="49"/>
      <c r="Y241" s="49"/>
      <c r="Z241" s="49"/>
      <c r="AA241" s="49"/>
      <c r="AB241" s="49"/>
      <c r="AC241" s="49"/>
    </row>
    <row r="242" spans="1:29">
      <c r="A242" s="43"/>
      <c r="B242" s="43"/>
      <c r="C242" s="43"/>
      <c r="D242" s="43"/>
      <c r="E242" s="43"/>
      <c r="F242" s="43"/>
      <c r="G242" s="43"/>
      <c r="H242" s="43"/>
      <c r="I242" s="43"/>
      <c r="J242" s="43"/>
      <c r="K242" s="43"/>
      <c r="L242" s="43"/>
      <c r="M242" s="43"/>
      <c r="N242" s="43"/>
      <c r="O242" s="43"/>
      <c r="P242" s="43"/>
      <c r="Q242" s="43"/>
      <c r="R242" s="49"/>
      <c r="S242" s="49"/>
      <c r="T242" s="49"/>
      <c r="U242" s="49"/>
      <c r="V242" s="49"/>
      <c r="W242" s="49"/>
      <c r="X242" s="49"/>
      <c r="Y242" s="49"/>
      <c r="Z242" s="49"/>
      <c r="AA242" s="49"/>
      <c r="AB242" s="49"/>
      <c r="AC242" s="49"/>
    </row>
    <row r="243" spans="1:29">
      <c r="A243" s="43"/>
      <c r="B243" s="43"/>
      <c r="C243" s="43"/>
      <c r="D243" s="43"/>
      <c r="E243" s="43"/>
      <c r="F243" s="43"/>
      <c r="G243" s="43"/>
      <c r="H243" s="43"/>
      <c r="I243" s="43"/>
      <c r="J243" s="43"/>
      <c r="K243" s="43"/>
      <c r="L243" s="43"/>
      <c r="M243" s="43"/>
      <c r="N243" s="43"/>
      <c r="O243" s="43"/>
      <c r="P243" s="43"/>
      <c r="Q243" s="43"/>
      <c r="R243" s="49"/>
      <c r="S243" s="49"/>
      <c r="T243" s="49"/>
      <c r="U243" s="49"/>
      <c r="V243" s="49"/>
      <c r="W243" s="49"/>
      <c r="X243" s="49"/>
      <c r="Y243" s="49"/>
      <c r="Z243" s="49"/>
      <c r="AA243" s="49"/>
      <c r="AB243" s="49"/>
      <c r="AC243" s="49"/>
    </row>
    <row r="244" spans="1:29">
      <c r="A244" s="43"/>
      <c r="B244" s="43"/>
      <c r="C244" s="43"/>
      <c r="D244" s="43"/>
      <c r="E244" s="43"/>
      <c r="F244" s="43"/>
      <c r="G244" s="43"/>
      <c r="H244" s="43"/>
      <c r="I244" s="43"/>
      <c r="J244" s="43"/>
      <c r="K244" s="43"/>
      <c r="L244" s="43"/>
      <c r="M244" s="43"/>
      <c r="N244" s="43"/>
      <c r="O244" s="43"/>
      <c r="P244" s="43"/>
      <c r="Q244" s="43"/>
      <c r="R244" s="49"/>
      <c r="S244" s="49"/>
      <c r="T244" s="49"/>
      <c r="U244" s="49"/>
      <c r="V244" s="49"/>
      <c r="W244" s="49"/>
      <c r="X244" s="49"/>
      <c r="Y244" s="49"/>
      <c r="Z244" s="49"/>
      <c r="AA244" s="49"/>
      <c r="AB244" s="49"/>
      <c r="AC244" s="49"/>
    </row>
    <row r="245" spans="1:29">
      <c r="A245" s="43"/>
      <c r="B245" s="43"/>
      <c r="C245" s="43"/>
      <c r="D245" s="43"/>
      <c r="E245" s="43"/>
      <c r="F245" s="43"/>
      <c r="G245" s="43"/>
      <c r="H245" s="43"/>
      <c r="I245" s="43"/>
      <c r="J245" s="43"/>
      <c r="K245" s="43"/>
      <c r="L245" s="43"/>
      <c r="M245" s="43"/>
      <c r="N245" s="43"/>
      <c r="O245" s="43"/>
      <c r="P245" s="43"/>
      <c r="Q245" s="43"/>
      <c r="R245" s="49"/>
      <c r="S245" s="49"/>
      <c r="T245" s="49"/>
      <c r="U245" s="49"/>
      <c r="V245" s="49"/>
      <c r="W245" s="49"/>
      <c r="X245" s="49"/>
      <c r="Y245" s="49"/>
      <c r="Z245" s="49"/>
      <c r="AA245" s="49"/>
      <c r="AB245" s="49"/>
      <c r="AC245" s="49"/>
    </row>
    <row r="246" spans="1:29">
      <c r="A246" s="43"/>
      <c r="B246" s="43"/>
      <c r="C246" s="43"/>
      <c r="D246" s="43"/>
      <c r="E246" s="43"/>
      <c r="F246" s="43"/>
      <c r="G246" s="43"/>
      <c r="H246" s="43"/>
      <c r="I246" s="43"/>
      <c r="J246" s="43"/>
      <c r="K246" s="43"/>
      <c r="L246" s="43"/>
      <c r="M246" s="43"/>
      <c r="N246" s="43"/>
      <c r="O246" s="43"/>
      <c r="P246" s="43"/>
      <c r="Q246" s="43"/>
      <c r="R246" s="49"/>
      <c r="S246" s="49"/>
      <c r="T246" s="49"/>
      <c r="U246" s="49"/>
      <c r="V246" s="49"/>
      <c r="W246" s="49"/>
      <c r="X246" s="49"/>
      <c r="Y246" s="49"/>
      <c r="Z246" s="49"/>
      <c r="AA246" s="49"/>
      <c r="AB246" s="49"/>
      <c r="AC246" s="49"/>
    </row>
    <row r="247" spans="1:29">
      <c r="A247" s="43"/>
      <c r="B247" s="43"/>
      <c r="C247" s="43"/>
      <c r="D247" s="43"/>
      <c r="E247" s="43"/>
      <c r="F247" s="43"/>
      <c r="G247" s="43"/>
      <c r="H247" s="43"/>
      <c r="I247" s="43"/>
      <c r="J247" s="43"/>
      <c r="K247" s="43"/>
      <c r="L247" s="43"/>
      <c r="M247" s="43"/>
      <c r="N247" s="43"/>
      <c r="O247" s="43"/>
      <c r="P247" s="43"/>
      <c r="Q247" s="43"/>
      <c r="R247" s="49"/>
      <c r="S247" s="49"/>
      <c r="T247" s="49"/>
      <c r="U247" s="49"/>
      <c r="V247" s="49"/>
      <c r="W247" s="49"/>
      <c r="X247" s="49"/>
      <c r="Y247" s="49"/>
      <c r="Z247" s="49"/>
      <c r="AA247" s="49"/>
      <c r="AB247" s="49"/>
      <c r="AC247" s="49"/>
    </row>
    <row r="248" spans="1:29">
      <c r="A248" s="43"/>
      <c r="B248" s="43"/>
      <c r="C248" s="43"/>
      <c r="D248" s="43"/>
      <c r="E248" s="43"/>
      <c r="F248" s="43"/>
      <c r="G248" s="43"/>
      <c r="H248" s="43"/>
      <c r="I248" s="43"/>
      <c r="J248" s="43"/>
      <c r="K248" s="43"/>
      <c r="L248" s="43"/>
      <c r="M248" s="43"/>
      <c r="N248" s="43"/>
      <c r="O248" s="43"/>
      <c r="P248" s="43"/>
      <c r="Q248" s="43"/>
      <c r="R248" s="49"/>
      <c r="S248" s="49"/>
      <c r="T248" s="49"/>
      <c r="U248" s="49"/>
      <c r="V248" s="49"/>
      <c r="W248" s="49"/>
      <c r="X248" s="49"/>
      <c r="Y248" s="49"/>
      <c r="Z248" s="49"/>
      <c r="AA248" s="49"/>
      <c r="AB248" s="49"/>
      <c r="AC248" s="49"/>
    </row>
    <row r="249" spans="1:29">
      <c r="A249" s="43"/>
      <c r="B249" s="43"/>
      <c r="C249" s="43"/>
      <c r="D249" s="43"/>
      <c r="E249" s="43"/>
      <c r="F249" s="43"/>
      <c r="G249" s="43"/>
      <c r="H249" s="43"/>
      <c r="I249" s="43"/>
      <c r="J249" s="43"/>
      <c r="K249" s="43"/>
      <c r="L249" s="43"/>
      <c r="M249" s="43"/>
      <c r="N249" s="43"/>
      <c r="O249" s="43"/>
      <c r="P249" s="43"/>
      <c r="Q249" s="43"/>
      <c r="R249" s="49"/>
      <c r="S249" s="49"/>
      <c r="T249" s="49"/>
      <c r="U249" s="49"/>
      <c r="V249" s="49"/>
      <c r="W249" s="49"/>
      <c r="X249" s="49"/>
      <c r="Y249" s="49"/>
      <c r="Z249" s="49"/>
      <c r="AA249" s="49"/>
      <c r="AB249" s="49"/>
      <c r="AC249" s="49"/>
    </row>
    <row r="250" spans="1:29">
      <c r="A250" s="43"/>
      <c r="B250" s="43"/>
      <c r="C250" s="43"/>
      <c r="D250" s="43"/>
      <c r="E250" s="43"/>
      <c r="F250" s="43"/>
      <c r="G250" s="43"/>
      <c r="H250" s="43"/>
      <c r="I250" s="43"/>
      <c r="J250" s="43"/>
      <c r="K250" s="43"/>
      <c r="L250" s="43"/>
      <c r="M250" s="43"/>
      <c r="N250" s="43"/>
      <c r="O250" s="43"/>
      <c r="P250" s="43"/>
      <c r="Q250" s="43"/>
      <c r="R250" s="49"/>
      <c r="S250" s="49"/>
      <c r="T250" s="49"/>
      <c r="U250" s="49"/>
      <c r="V250" s="49"/>
      <c r="W250" s="49"/>
      <c r="X250" s="49"/>
      <c r="Y250" s="49"/>
      <c r="Z250" s="49"/>
      <c r="AA250" s="49"/>
      <c r="AB250" s="49"/>
      <c r="AC250" s="49"/>
    </row>
    <row r="251" spans="1:29">
      <c r="A251" s="43"/>
      <c r="B251" s="43"/>
      <c r="C251" s="43"/>
      <c r="D251" s="43"/>
      <c r="E251" s="43"/>
      <c r="F251" s="43"/>
      <c r="G251" s="43"/>
      <c r="H251" s="43"/>
      <c r="I251" s="43"/>
      <c r="J251" s="43"/>
      <c r="K251" s="43"/>
      <c r="L251" s="43"/>
      <c r="M251" s="43"/>
      <c r="N251" s="43"/>
      <c r="O251" s="43"/>
      <c r="P251" s="43"/>
      <c r="Q251" s="43"/>
      <c r="R251" s="49"/>
      <c r="S251" s="49"/>
      <c r="T251" s="49"/>
      <c r="U251" s="49"/>
      <c r="V251" s="49"/>
      <c r="W251" s="49"/>
      <c r="X251" s="49"/>
      <c r="Y251" s="49"/>
      <c r="Z251" s="49"/>
      <c r="AA251" s="49"/>
      <c r="AB251" s="49"/>
      <c r="AC251" s="49"/>
    </row>
    <row r="252" spans="1:29">
      <c r="A252" s="43"/>
      <c r="B252" s="43"/>
      <c r="C252" s="43"/>
      <c r="D252" s="43"/>
      <c r="E252" s="43"/>
      <c r="F252" s="43"/>
      <c r="G252" s="43"/>
      <c r="H252" s="43"/>
      <c r="I252" s="43"/>
      <c r="J252" s="43"/>
      <c r="K252" s="43"/>
      <c r="L252" s="43"/>
      <c r="M252" s="43"/>
      <c r="N252" s="43"/>
      <c r="O252" s="43"/>
      <c r="P252" s="43"/>
      <c r="Q252" s="43"/>
      <c r="R252" s="49"/>
      <c r="S252" s="49"/>
      <c r="T252" s="49"/>
      <c r="U252" s="49"/>
      <c r="V252" s="49"/>
      <c r="W252" s="49"/>
      <c r="X252" s="49"/>
      <c r="Y252" s="49"/>
      <c r="Z252" s="49"/>
      <c r="AA252" s="49"/>
      <c r="AB252" s="49"/>
      <c r="AC252" s="49"/>
    </row>
    <row r="253" spans="1:29">
      <c r="A253" s="43"/>
      <c r="B253" s="43"/>
      <c r="C253" s="43"/>
      <c r="D253" s="43"/>
      <c r="E253" s="43"/>
      <c r="F253" s="43"/>
      <c r="G253" s="43"/>
      <c r="H253" s="43"/>
      <c r="I253" s="43"/>
      <c r="J253" s="43"/>
      <c r="K253" s="43"/>
      <c r="L253" s="43"/>
      <c r="M253" s="43"/>
      <c r="N253" s="43"/>
      <c r="O253" s="43"/>
      <c r="P253" s="43"/>
      <c r="Q253" s="43"/>
      <c r="R253" s="49"/>
      <c r="S253" s="49"/>
      <c r="T253" s="49"/>
      <c r="U253" s="49"/>
      <c r="V253" s="49"/>
      <c r="W253" s="49"/>
      <c r="X253" s="49"/>
      <c r="Y253" s="49"/>
      <c r="Z253" s="49"/>
      <c r="AA253" s="49"/>
      <c r="AB253" s="49"/>
      <c r="AC253" s="49"/>
    </row>
    <row r="254" spans="1:29">
      <c r="A254" s="43"/>
      <c r="B254" s="43"/>
      <c r="C254" s="43"/>
      <c r="D254" s="43"/>
      <c r="E254" s="43"/>
      <c r="F254" s="43"/>
      <c r="G254" s="43"/>
      <c r="H254" s="43"/>
      <c r="I254" s="43"/>
      <c r="J254" s="43"/>
      <c r="K254" s="43"/>
      <c r="L254" s="43"/>
      <c r="M254" s="43"/>
      <c r="N254" s="43"/>
      <c r="O254" s="43"/>
      <c r="P254" s="43"/>
      <c r="Q254" s="43"/>
      <c r="R254" s="49"/>
      <c r="S254" s="49"/>
      <c r="T254" s="49"/>
      <c r="U254" s="49"/>
      <c r="V254" s="49"/>
      <c r="W254" s="49"/>
      <c r="X254" s="49"/>
      <c r="Y254" s="49"/>
      <c r="Z254" s="49"/>
      <c r="AA254" s="49"/>
      <c r="AB254" s="49"/>
      <c r="AC254" s="49"/>
    </row>
    <row r="255" spans="1:29">
      <c r="A255" s="43"/>
      <c r="B255" s="43"/>
      <c r="C255" s="43"/>
      <c r="D255" s="43"/>
      <c r="E255" s="43"/>
      <c r="F255" s="43"/>
      <c r="G255" s="43"/>
      <c r="H255" s="43"/>
      <c r="I255" s="43"/>
      <c r="J255" s="43"/>
      <c r="K255" s="43"/>
      <c r="L255" s="43"/>
      <c r="M255" s="43"/>
      <c r="N255" s="43"/>
      <c r="O255" s="43"/>
      <c r="P255" s="43"/>
      <c r="Q255" s="43"/>
      <c r="R255" s="49"/>
      <c r="S255" s="49"/>
      <c r="T255" s="49"/>
      <c r="U255" s="49"/>
      <c r="V255" s="49"/>
      <c r="W255" s="49"/>
      <c r="X255" s="49"/>
      <c r="Y255" s="49"/>
      <c r="Z255" s="49"/>
      <c r="AA255" s="49"/>
      <c r="AB255" s="49"/>
      <c r="AC255" s="49"/>
    </row>
    <row r="256" spans="1:29">
      <c r="A256" s="43"/>
      <c r="B256" s="43"/>
      <c r="C256" s="43"/>
      <c r="D256" s="43"/>
      <c r="E256" s="43"/>
      <c r="F256" s="43"/>
      <c r="G256" s="43"/>
      <c r="H256" s="43"/>
      <c r="I256" s="43"/>
      <c r="J256" s="43"/>
      <c r="K256" s="43"/>
      <c r="L256" s="43"/>
      <c r="M256" s="43"/>
      <c r="N256" s="43"/>
      <c r="O256" s="43"/>
      <c r="P256" s="43"/>
      <c r="Q256" s="43"/>
      <c r="R256" s="49"/>
      <c r="S256" s="49"/>
      <c r="T256" s="49"/>
      <c r="U256" s="49"/>
      <c r="V256" s="49"/>
      <c r="W256" s="49"/>
      <c r="X256" s="49"/>
      <c r="Y256" s="49"/>
      <c r="Z256" s="49"/>
      <c r="AA256" s="49"/>
      <c r="AB256" s="49"/>
      <c r="AC256" s="49"/>
    </row>
    <row r="257" spans="1:29">
      <c r="A257" s="43"/>
      <c r="B257" s="43"/>
      <c r="C257" s="43"/>
      <c r="D257" s="43"/>
      <c r="E257" s="43"/>
      <c r="F257" s="43"/>
      <c r="G257" s="43"/>
      <c r="H257" s="43"/>
      <c r="I257" s="43"/>
      <c r="J257" s="43"/>
      <c r="K257" s="43"/>
      <c r="L257" s="43"/>
      <c r="M257" s="43"/>
      <c r="N257" s="43"/>
      <c r="O257" s="43"/>
      <c r="P257" s="43"/>
      <c r="Q257" s="43"/>
      <c r="R257" s="49"/>
      <c r="S257" s="49"/>
      <c r="T257" s="49"/>
      <c r="U257" s="49"/>
      <c r="V257" s="49"/>
      <c r="W257" s="49"/>
      <c r="X257" s="49"/>
      <c r="Y257" s="49"/>
      <c r="Z257" s="49"/>
      <c r="AA257" s="49"/>
      <c r="AB257" s="49"/>
      <c r="AC257" s="49"/>
    </row>
    <row r="258" spans="1:29">
      <c r="A258" s="43"/>
      <c r="B258" s="43"/>
      <c r="C258" s="43"/>
      <c r="D258" s="43"/>
      <c r="E258" s="43"/>
      <c r="F258" s="43"/>
      <c r="G258" s="43"/>
      <c r="H258" s="43"/>
      <c r="I258" s="43"/>
      <c r="J258" s="43"/>
      <c r="K258" s="43"/>
      <c r="L258" s="43"/>
      <c r="M258" s="43"/>
      <c r="N258" s="43"/>
      <c r="O258" s="43"/>
      <c r="P258" s="43"/>
      <c r="Q258" s="43"/>
      <c r="R258" s="49"/>
      <c r="S258" s="49"/>
      <c r="T258" s="49"/>
      <c r="U258" s="49"/>
      <c r="V258" s="49"/>
      <c r="W258" s="49"/>
      <c r="X258" s="49"/>
      <c r="Y258" s="49"/>
      <c r="Z258" s="49"/>
      <c r="AA258" s="49"/>
      <c r="AB258" s="49"/>
      <c r="AC258" s="49"/>
    </row>
    <row r="259" spans="1:29">
      <c r="A259" s="43"/>
      <c r="B259" s="43"/>
      <c r="C259" s="43"/>
      <c r="D259" s="43"/>
      <c r="E259" s="43"/>
      <c r="F259" s="43"/>
      <c r="G259" s="43"/>
      <c r="H259" s="43"/>
      <c r="I259" s="43"/>
      <c r="J259" s="43"/>
      <c r="K259" s="43"/>
      <c r="L259" s="43"/>
      <c r="M259" s="43"/>
      <c r="N259" s="43"/>
      <c r="O259" s="43"/>
      <c r="P259" s="43"/>
      <c r="Q259" s="43"/>
      <c r="R259" s="49"/>
      <c r="S259" s="49"/>
      <c r="T259" s="49"/>
      <c r="U259" s="49"/>
      <c r="V259" s="49"/>
      <c r="W259" s="49"/>
      <c r="X259" s="49"/>
      <c r="Y259" s="49"/>
      <c r="Z259" s="49"/>
      <c r="AA259" s="49"/>
      <c r="AB259" s="49"/>
      <c r="AC259" s="49"/>
    </row>
    <row r="260" spans="1:29">
      <c r="A260" s="43"/>
      <c r="B260" s="43"/>
      <c r="C260" s="43"/>
      <c r="D260" s="43"/>
      <c r="E260" s="43"/>
      <c r="F260" s="43"/>
      <c r="G260" s="43"/>
      <c r="H260" s="43"/>
      <c r="I260" s="43"/>
      <c r="J260" s="43"/>
      <c r="K260" s="43"/>
      <c r="L260" s="43"/>
      <c r="M260" s="43"/>
      <c r="N260" s="43"/>
      <c r="O260" s="43"/>
      <c r="P260" s="43"/>
      <c r="Q260" s="43"/>
      <c r="R260" s="49"/>
      <c r="S260" s="49"/>
      <c r="T260" s="49"/>
      <c r="U260" s="49"/>
      <c r="V260" s="49"/>
      <c r="W260" s="49"/>
      <c r="X260" s="49"/>
      <c r="Y260" s="49"/>
      <c r="Z260" s="49"/>
      <c r="AA260" s="49"/>
      <c r="AB260" s="49"/>
      <c r="AC260" s="49"/>
    </row>
    <row r="261" spans="1:29">
      <c r="A261" s="43"/>
      <c r="B261" s="43"/>
      <c r="C261" s="43"/>
      <c r="D261" s="43"/>
      <c r="E261" s="43"/>
      <c r="F261" s="43"/>
      <c r="G261" s="43"/>
      <c r="H261" s="43"/>
      <c r="I261" s="43"/>
      <c r="J261" s="43"/>
      <c r="K261" s="43"/>
      <c r="L261" s="43"/>
      <c r="M261" s="43"/>
      <c r="N261" s="43"/>
      <c r="O261" s="43"/>
      <c r="P261" s="43"/>
      <c r="Q261" s="43"/>
      <c r="R261" s="49"/>
      <c r="S261" s="49"/>
      <c r="T261" s="49"/>
      <c r="U261" s="49"/>
      <c r="V261" s="49"/>
      <c r="W261" s="49"/>
      <c r="X261" s="49"/>
      <c r="Y261" s="49"/>
      <c r="Z261" s="49"/>
      <c r="AA261" s="49"/>
      <c r="AB261" s="49"/>
      <c r="AC261" s="49"/>
    </row>
    <row r="262" spans="1:29">
      <c r="A262" s="43"/>
      <c r="B262" s="43"/>
      <c r="C262" s="43"/>
      <c r="D262" s="43"/>
      <c r="E262" s="43"/>
      <c r="F262" s="43"/>
      <c r="G262" s="43"/>
      <c r="H262" s="43"/>
      <c r="I262" s="43"/>
      <c r="J262" s="43"/>
      <c r="K262" s="43"/>
      <c r="L262" s="43"/>
      <c r="M262" s="43"/>
      <c r="N262" s="43"/>
      <c r="O262" s="43"/>
      <c r="P262" s="43"/>
      <c r="Q262" s="43"/>
      <c r="R262" s="49"/>
      <c r="S262" s="49"/>
      <c r="T262" s="49"/>
      <c r="U262" s="49"/>
      <c r="V262" s="49"/>
      <c r="W262" s="49"/>
      <c r="X262" s="49"/>
      <c r="Y262" s="49"/>
      <c r="Z262" s="49"/>
      <c r="AA262" s="49"/>
      <c r="AB262" s="49"/>
      <c r="AC262" s="49"/>
    </row>
    <row r="263" spans="1:29">
      <c r="A263" s="43"/>
      <c r="B263" s="43"/>
      <c r="C263" s="43"/>
      <c r="D263" s="43"/>
      <c r="E263" s="43"/>
      <c r="F263" s="43"/>
      <c r="G263" s="43"/>
      <c r="H263" s="43"/>
      <c r="I263" s="43"/>
      <c r="J263" s="43"/>
      <c r="K263" s="43"/>
      <c r="L263" s="43"/>
      <c r="M263" s="43"/>
      <c r="N263" s="43"/>
      <c r="O263" s="43"/>
      <c r="P263" s="43"/>
      <c r="Q263" s="43"/>
      <c r="R263" s="49"/>
      <c r="S263" s="49"/>
      <c r="T263" s="49"/>
      <c r="U263" s="49"/>
      <c r="V263" s="49"/>
      <c r="W263" s="49"/>
      <c r="X263" s="49"/>
      <c r="Y263" s="49"/>
      <c r="Z263" s="49"/>
      <c r="AA263" s="49"/>
      <c r="AB263" s="49"/>
      <c r="AC263" s="49"/>
    </row>
    <row r="264" spans="1:29">
      <c r="A264" s="43"/>
      <c r="B264" s="43"/>
      <c r="C264" s="43"/>
      <c r="D264" s="43"/>
      <c r="E264" s="43"/>
      <c r="F264" s="43"/>
      <c r="G264" s="43"/>
      <c r="H264" s="43"/>
      <c r="I264" s="43"/>
      <c r="J264" s="43"/>
      <c r="K264" s="43"/>
      <c r="L264" s="43"/>
      <c r="M264" s="43"/>
      <c r="N264" s="43"/>
      <c r="O264" s="43"/>
      <c r="P264" s="43"/>
      <c r="Q264" s="43"/>
      <c r="R264" s="49"/>
      <c r="S264" s="49"/>
      <c r="T264" s="49"/>
      <c r="U264" s="49"/>
      <c r="V264" s="49"/>
      <c r="W264" s="49"/>
      <c r="X264" s="49"/>
      <c r="Y264" s="49"/>
      <c r="Z264" s="49"/>
      <c r="AA264" s="49"/>
      <c r="AB264" s="49"/>
      <c r="AC264" s="49"/>
    </row>
    <row r="265" spans="1:29">
      <c r="A265" s="43"/>
      <c r="B265" s="43"/>
      <c r="C265" s="43"/>
      <c r="D265" s="43"/>
      <c r="E265" s="43"/>
      <c r="F265" s="43"/>
      <c r="G265" s="43"/>
      <c r="H265" s="43"/>
      <c r="I265" s="43"/>
      <c r="J265" s="43"/>
      <c r="K265" s="43"/>
      <c r="L265" s="43"/>
      <c r="M265" s="43"/>
      <c r="N265" s="43"/>
      <c r="O265" s="43"/>
      <c r="P265" s="43"/>
      <c r="Q265" s="43"/>
      <c r="R265" s="49"/>
      <c r="S265" s="49"/>
      <c r="T265" s="49"/>
      <c r="U265" s="49"/>
      <c r="V265" s="49"/>
      <c r="W265" s="49"/>
      <c r="X265" s="49"/>
      <c r="Y265" s="49"/>
      <c r="Z265" s="49"/>
      <c r="AA265" s="49"/>
      <c r="AB265" s="49"/>
      <c r="AC265" s="49"/>
    </row>
    <row r="266" spans="1:29">
      <c r="A266" s="43"/>
      <c r="B266" s="43"/>
      <c r="C266" s="43"/>
      <c r="D266" s="43"/>
      <c r="E266" s="43"/>
      <c r="F266" s="43"/>
      <c r="G266" s="43"/>
      <c r="H266" s="43"/>
      <c r="I266" s="43"/>
      <c r="J266" s="43"/>
      <c r="K266" s="43"/>
      <c r="L266" s="43"/>
      <c r="M266" s="43"/>
      <c r="N266" s="43"/>
      <c r="O266" s="43"/>
      <c r="P266" s="43"/>
      <c r="Q266" s="43"/>
      <c r="R266" s="49"/>
      <c r="S266" s="49"/>
      <c r="T266" s="49"/>
      <c r="U266" s="49"/>
      <c r="V266" s="49"/>
      <c r="W266" s="49"/>
      <c r="X266" s="49"/>
      <c r="Y266" s="49"/>
      <c r="Z266" s="49"/>
      <c r="AA266" s="49"/>
      <c r="AB266" s="49"/>
      <c r="AC266" s="49"/>
    </row>
    <row r="267" spans="1:29">
      <c r="A267" s="43"/>
      <c r="B267" s="43"/>
      <c r="C267" s="43"/>
      <c r="D267" s="43"/>
      <c r="E267" s="43"/>
      <c r="F267" s="43"/>
      <c r="G267" s="43"/>
      <c r="H267" s="43"/>
      <c r="I267" s="43"/>
      <c r="J267" s="43"/>
      <c r="K267" s="43"/>
      <c r="L267" s="43"/>
      <c r="M267" s="43"/>
      <c r="N267" s="43"/>
      <c r="O267" s="43"/>
      <c r="P267" s="43"/>
      <c r="Q267" s="43"/>
      <c r="R267" s="49"/>
      <c r="S267" s="49"/>
      <c r="T267" s="49"/>
      <c r="U267" s="49"/>
      <c r="V267" s="49"/>
      <c r="W267" s="49"/>
      <c r="X267" s="49"/>
      <c r="Y267" s="49"/>
      <c r="Z267" s="49"/>
      <c r="AA267" s="49"/>
      <c r="AB267" s="49"/>
      <c r="AC267" s="49"/>
    </row>
    <row r="268" spans="1:29">
      <c r="A268" s="43"/>
      <c r="B268" s="43"/>
      <c r="C268" s="43"/>
      <c r="D268" s="43"/>
      <c r="E268" s="43"/>
      <c r="F268" s="43"/>
      <c r="G268" s="43"/>
      <c r="H268" s="43"/>
      <c r="I268" s="43"/>
      <c r="J268" s="43"/>
      <c r="K268" s="43"/>
      <c r="L268" s="43"/>
      <c r="M268" s="43"/>
      <c r="N268" s="43"/>
      <c r="O268" s="43"/>
      <c r="P268" s="43"/>
      <c r="Q268" s="43"/>
      <c r="R268" s="49"/>
      <c r="S268" s="49"/>
      <c r="T268" s="49"/>
      <c r="U268" s="49"/>
      <c r="V268" s="49"/>
      <c r="W268" s="49"/>
      <c r="X268" s="49"/>
      <c r="Y268" s="49"/>
      <c r="Z268" s="49"/>
      <c r="AA268" s="49"/>
      <c r="AB268" s="49"/>
      <c r="AC268" s="49"/>
    </row>
    <row r="269" spans="1:29">
      <c r="A269" s="43"/>
      <c r="B269" s="43"/>
      <c r="C269" s="43"/>
      <c r="D269" s="43"/>
      <c r="E269" s="43"/>
      <c r="F269" s="43"/>
      <c r="G269" s="43"/>
      <c r="H269" s="43"/>
      <c r="I269" s="43"/>
      <c r="J269" s="43"/>
      <c r="K269" s="43"/>
      <c r="L269" s="43"/>
      <c r="M269" s="43"/>
      <c r="N269" s="43"/>
      <c r="O269" s="43"/>
      <c r="P269" s="43"/>
      <c r="Q269" s="43"/>
      <c r="R269" s="49"/>
      <c r="S269" s="49"/>
      <c r="T269" s="49"/>
      <c r="U269" s="49"/>
      <c r="V269" s="49"/>
      <c r="W269" s="49"/>
      <c r="X269" s="49"/>
      <c r="Y269" s="49"/>
      <c r="Z269" s="49"/>
      <c r="AA269" s="49"/>
      <c r="AB269" s="49"/>
      <c r="AC269" s="49"/>
    </row>
    <row r="270" spans="1:29">
      <c r="A270" s="43"/>
      <c r="B270" s="43"/>
      <c r="C270" s="43"/>
      <c r="D270" s="43"/>
      <c r="E270" s="43"/>
      <c r="F270" s="43"/>
      <c r="G270" s="43"/>
      <c r="H270" s="43"/>
      <c r="I270" s="43"/>
      <c r="J270" s="43"/>
      <c r="K270" s="43"/>
      <c r="L270" s="43"/>
      <c r="M270" s="43"/>
      <c r="N270" s="43"/>
      <c r="O270" s="43"/>
      <c r="P270" s="43"/>
      <c r="Q270" s="43"/>
      <c r="R270" s="49"/>
      <c r="S270" s="49"/>
      <c r="T270" s="49"/>
      <c r="U270" s="49"/>
      <c r="V270" s="49"/>
      <c r="W270" s="49"/>
      <c r="X270" s="49"/>
      <c r="Y270" s="49"/>
      <c r="Z270" s="49"/>
      <c r="AA270" s="49"/>
      <c r="AB270" s="49"/>
      <c r="AC270" s="49"/>
    </row>
    <row r="271" spans="1:29">
      <c r="A271" s="43"/>
      <c r="B271" s="43"/>
      <c r="C271" s="43"/>
      <c r="D271" s="43"/>
      <c r="E271" s="43"/>
      <c r="F271" s="43"/>
      <c r="G271" s="43"/>
      <c r="H271" s="43"/>
      <c r="I271" s="43"/>
      <c r="J271" s="43"/>
      <c r="K271" s="43"/>
      <c r="L271" s="43"/>
      <c r="M271" s="43"/>
      <c r="N271" s="43"/>
      <c r="O271" s="43"/>
      <c r="P271" s="43"/>
      <c r="Q271" s="43"/>
      <c r="R271" s="49"/>
      <c r="S271" s="49"/>
      <c r="T271" s="49"/>
      <c r="U271" s="49"/>
      <c r="V271" s="49"/>
      <c r="W271" s="49"/>
      <c r="X271" s="49"/>
      <c r="Y271" s="49"/>
      <c r="Z271" s="49"/>
      <c r="AA271" s="49"/>
      <c r="AB271" s="49"/>
      <c r="AC271" s="49"/>
    </row>
    <row r="272" spans="1:29">
      <c r="A272" s="43"/>
      <c r="B272" s="43"/>
      <c r="C272" s="43"/>
      <c r="D272" s="43"/>
      <c r="E272" s="43"/>
      <c r="F272" s="43"/>
      <c r="G272" s="43"/>
      <c r="H272" s="43"/>
      <c r="I272" s="43"/>
      <c r="J272" s="43"/>
      <c r="K272" s="43"/>
      <c r="L272" s="43"/>
      <c r="M272" s="43"/>
      <c r="N272" s="43"/>
      <c r="O272" s="43"/>
      <c r="P272" s="43"/>
      <c r="Q272" s="43"/>
      <c r="R272" s="49"/>
      <c r="S272" s="49"/>
      <c r="T272" s="49"/>
      <c r="U272" s="49"/>
      <c r="V272" s="49"/>
      <c r="W272" s="49"/>
      <c r="X272" s="49"/>
      <c r="Y272" s="49"/>
      <c r="Z272" s="49"/>
      <c r="AA272" s="49"/>
      <c r="AB272" s="49"/>
      <c r="AC272" s="49"/>
    </row>
    <row r="273" spans="1:29">
      <c r="A273" s="43"/>
      <c r="B273" s="43"/>
      <c r="C273" s="43"/>
      <c r="D273" s="43"/>
      <c r="E273" s="43"/>
      <c r="F273" s="43"/>
      <c r="G273" s="43"/>
      <c r="H273" s="43"/>
      <c r="I273" s="43"/>
      <c r="J273" s="43"/>
      <c r="K273" s="43"/>
      <c r="L273" s="43"/>
      <c r="M273" s="43"/>
      <c r="N273" s="43"/>
      <c r="O273" s="43"/>
      <c r="P273" s="43"/>
      <c r="Q273" s="43"/>
      <c r="R273" s="49"/>
      <c r="S273" s="49"/>
      <c r="T273" s="49"/>
      <c r="U273" s="49"/>
      <c r="V273" s="49"/>
      <c r="W273" s="49"/>
      <c r="X273" s="49"/>
      <c r="Y273" s="49"/>
      <c r="Z273" s="49"/>
      <c r="AA273" s="49"/>
      <c r="AB273" s="49"/>
      <c r="AC273" s="49"/>
    </row>
    <row r="274" spans="1:29">
      <c r="A274" s="43"/>
      <c r="B274" s="43"/>
      <c r="C274" s="43"/>
      <c r="D274" s="43"/>
      <c r="E274" s="43"/>
      <c r="F274" s="43"/>
      <c r="G274" s="43"/>
      <c r="H274" s="43"/>
      <c r="I274" s="43"/>
      <c r="J274" s="43"/>
      <c r="K274" s="43"/>
      <c r="L274" s="43"/>
      <c r="M274" s="43"/>
      <c r="N274" s="43"/>
      <c r="O274" s="43"/>
      <c r="P274" s="43"/>
      <c r="Q274" s="43"/>
      <c r="R274" s="49"/>
      <c r="S274" s="49"/>
      <c r="T274" s="49"/>
      <c r="U274" s="49"/>
      <c r="V274" s="49"/>
      <c r="W274" s="49"/>
      <c r="X274" s="49"/>
      <c r="Y274" s="49"/>
      <c r="Z274" s="49"/>
      <c r="AA274" s="49"/>
      <c r="AB274" s="49"/>
      <c r="AC274" s="49"/>
    </row>
    <row r="275" spans="1:29">
      <c r="A275" s="43"/>
      <c r="B275" s="43"/>
      <c r="C275" s="43"/>
      <c r="D275" s="43"/>
      <c r="E275" s="43"/>
      <c r="F275" s="43"/>
      <c r="G275" s="43"/>
      <c r="H275" s="43"/>
      <c r="I275" s="43"/>
      <c r="J275" s="43"/>
      <c r="K275" s="43"/>
      <c r="L275" s="43"/>
      <c r="M275" s="43"/>
      <c r="N275" s="43"/>
      <c r="O275" s="43"/>
      <c r="P275" s="43"/>
      <c r="Q275" s="43"/>
      <c r="R275" s="49"/>
      <c r="S275" s="49"/>
      <c r="T275" s="49"/>
      <c r="U275" s="49"/>
      <c r="V275" s="49"/>
      <c r="W275" s="49"/>
      <c r="X275" s="49"/>
      <c r="Y275" s="49"/>
      <c r="Z275" s="49"/>
      <c r="AA275" s="49"/>
      <c r="AB275" s="49"/>
      <c r="AC275" s="49"/>
    </row>
    <row r="276" spans="1:29">
      <c r="A276" s="43"/>
      <c r="B276" s="43"/>
      <c r="C276" s="43"/>
      <c r="D276" s="43"/>
      <c r="E276" s="43"/>
      <c r="F276" s="43"/>
      <c r="G276" s="43"/>
      <c r="H276" s="43"/>
      <c r="I276" s="43"/>
      <c r="J276" s="43"/>
      <c r="K276" s="43"/>
      <c r="L276" s="43"/>
      <c r="M276" s="43"/>
      <c r="N276" s="43"/>
      <c r="O276" s="43"/>
      <c r="P276" s="43"/>
      <c r="Q276" s="43"/>
      <c r="R276" s="49"/>
      <c r="S276" s="49"/>
      <c r="T276" s="49"/>
      <c r="U276" s="49"/>
      <c r="V276" s="49"/>
      <c r="W276" s="49"/>
      <c r="X276" s="49"/>
      <c r="Y276" s="49"/>
      <c r="Z276" s="49"/>
      <c r="AA276" s="49"/>
      <c r="AB276" s="49"/>
      <c r="AC276" s="49"/>
    </row>
    <row r="277" spans="1:29">
      <c r="A277" s="43"/>
      <c r="B277" s="43"/>
      <c r="C277" s="43"/>
      <c r="D277" s="43"/>
      <c r="E277" s="43"/>
      <c r="F277" s="43"/>
      <c r="G277" s="43"/>
      <c r="H277" s="43"/>
      <c r="I277" s="43"/>
      <c r="J277" s="43"/>
      <c r="K277" s="43"/>
      <c r="L277" s="43"/>
      <c r="M277" s="43"/>
      <c r="N277" s="43"/>
      <c r="O277" s="43"/>
      <c r="P277" s="43"/>
      <c r="Q277" s="43"/>
      <c r="R277" s="49"/>
      <c r="S277" s="49"/>
      <c r="T277" s="49"/>
      <c r="U277" s="49"/>
      <c r="V277" s="49"/>
      <c r="W277" s="49"/>
      <c r="X277" s="49"/>
      <c r="Y277" s="49"/>
      <c r="Z277" s="49"/>
      <c r="AA277" s="49"/>
      <c r="AB277" s="49"/>
      <c r="AC277" s="49"/>
    </row>
    <row r="278" spans="1:29">
      <c r="A278" s="43"/>
      <c r="B278" s="43"/>
      <c r="C278" s="43"/>
      <c r="D278" s="43"/>
      <c r="E278" s="43"/>
      <c r="F278" s="43"/>
      <c r="G278" s="43"/>
      <c r="H278" s="43"/>
      <c r="I278" s="43"/>
      <c r="J278" s="43"/>
      <c r="K278" s="43"/>
      <c r="L278" s="43"/>
      <c r="M278" s="43"/>
      <c r="N278" s="43"/>
      <c r="O278" s="43"/>
      <c r="P278" s="43"/>
      <c r="Q278" s="43"/>
      <c r="R278" s="49"/>
      <c r="S278" s="49"/>
      <c r="T278" s="49"/>
      <c r="U278" s="49"/>
      <c r="V278" s="49"/>
      <c r="W278" s="49"/>
      <c r="X278" s="49"/>
      <c r="Y278" s="49"/>
      <c r="Z278" s="49"/>
      <c r="AA278" s="49"/>
      <c r="AB278" s="49"/>
      <c r="AC278" s="49"/>
    </row>
    <row r="279" spans="1:29">
      <c r="A279" s="43"/>
      <c r="B279" s="43"/>
      <c r="C279" s="43"/>
      <c r="D279" s="43"/>
      <c r="E279" s="43"/>
      <c r="F279" s="43"/>
      <c r="G279" s="43"/>
      <c r="H279" s="43"/>
      <c r="I279" s="43"/>
      <c r="J279" s="43"/>
      <c r="K279" s="43"/>
      <c r="L279" s="43"/>
      <c r="M279" s="43"/>
      <c r="N279" s="43"/>
      <c r="O279" s="43"/>
      <c r="P279" s="43"/>
      <c r="Q279" s="43"/>
      <c r="R279" s="49"/>
      <c r="S279" s="49"/>
      <c r="T279" s="49"/>
      <c r="U279" s="49"/>
      <c r="V279" s="49"/>
      <c r="W279" s="49"/>
      <c r="X279" s="49"/>
      <c r="Y279" s="49"/>
      <c r="Z279" s="49"/>
      <c r="AA279" s="49"/>
      <c r="AB279" s="49"/>
      <c r="AC279" s="49"/>
    </row>
    <row r="280" spans="1:29">
      <c r="A280" s="43"/>
      <c r="B280" s="43"/>
      <c r="C280" s="43"/>
      <c r="D280" s="43"/>
      <c r="E280" s="43"/>
      <c r="F280" s="43"/>
      <c r="G280" s="43"/>
      <c r="H280" s="43"/>
      <c r="I280" s="43"/>
      <c r="J280" s="43"/>
      <c r="K280" s="43"/>
      <c r="L280" s="43"/>
      <c r="M280" s="43"/>
      <c r="N280" s="43"/>
      <c r="O280" s="43"/>
      <c r="P280" s="43"/>
      <c r="Q280" s="43"/>
      <c r="R280" s="49"/>
      <c r="S280" s="49"/>
      <c r="T280" s="49"/>
      <c r="U280" s="49"/>
      <c r="V280" s="49"/>
      <c r="W280" s="49"/>
      <c r="X280" s="49"/>
      <c r="Y280" s="49"/>
      <c r="Z280" s="49"/>
      <c r="AA280" s="49"/>
      <c r="AB280" s="49"/>
      <c r="AC280" s="49"/>
    </row>
    <row r="281" spans="1:29">
      <c r="A281" s="43"/>
      <c r="B281" s="43"/>
      <c r="C281" s="43"/>
      <c r="D281" s="43"/>
      <c r="E281" s="43"/>
      <c r="F281" s="43"/>
      <c r="G281" s="43"/>
      <c r="H281" s="43"/>
      <c r="I281" s="43"/>
      <c r="J281" s="43"/>
      <c r="K281" s="43"/>
      <c r="L281" s="43"/>
      <c r="M281" s="43"/>
      <c r="N281" s="43"/>
      <c r="O281" s="43"/>
      <c r="P281" s="43"/>
      <c r="Q281" s="43"/>
      <c r="R281" s="49"/>
      <c r="S281" s="49"/>
      <c r="T281" s="49"/>
      <c r="U281" s="49"/>
      <c r="V281" s="49"/>
      <c r="W281" s="49"/>
      <c r="X281" s="49"/>
      <c r="Y281" s="49"/>
      <c r="Z281" s="49"/>
      <c r="AA281" s="49"/>
      <c r="AB281" s="49"/>
      <c r="AC281" s="49"/>
    </row>
    <row r="282" spans="1:29">
      <c r="A282" s="43"/>
      <c r="B282" s="43"/>
      <c r="C282" s="43"/>
      <c r="D282" s="43"/>
      <c r="E282" s="43"/>
      <c r="F282" s="43"/>
      <c r="G282" s="43"/>
      <c r="H282" s="43"/>
      <c r="I282" s="43"/>
      <c r="J282" s="43"/>
      <c r="K282" s="43"/>
      <c r="L282" s="43"/>
      <c r="M282" s="43"/>
      <c r="N282" s="43"/>
      <c r="O282" s="43"/>
      <c r="P282" s="43"/>
      <c r="Q282" s="43"/>
      <c r="R282" s="49"/>
      <c r="S282" s="49"/>
      <c r="T282" s="49"/>
      <c r="U282" s="49"/>
      <c r="V282" s="49"/>
      <c r="W282" s="49"/>
      <c r="X282" s="49"/>
      <c r="Y282" s="49"/>
      <c r="Z282" s="49"/>
      <c r="AA282" s="49"/>
      <c r="AB282" s="49"/>
      <c r="AC282" s="49"/>
    </row>
    <row r="283" spans="1:29">
      <c r="A283" s="43"/>
      <c r="B283" s="43"/>
      <c r="C283" s="43"/>
      <c r="D283" s="43"/>
      <c r="E283" s="43"/>
      <c r="F283" s="43"/>
      <c r="G283" s="43"/>
      <c r="H283" s="43"/>
      <c r="I283" s="43"/>
      <c r="J283" s="43"/>
      <c r="K283" s="43"/>
      <c r="L283" s="43"/>
      <c r="M283" s="43"/>
      <c r="N283" s="43"/>
      <c r="O283" s="43"/>
      <c r="P283" s="43"/>
      <c r="Q283" s="43"/>
      <c r="R283" s="49"/>
      <c r="S283" s="49"/>
      <c r="T283" s="49"/>
      <c r="U283" s="49"/>
      <c r="V283" s="49"/>
      <c r="W283" s="49"/>
      <c r="X283" s="49"/>
      <c r="Y283" s="49"/>
      <c r="Z283" s="49"/>
      <c r="AA283" s="49"/>
      <c r="AB283" s="49"/>
      <c r="AC283" s="49"/>
    </row>
    <row r="284" spans="1:29">
      <c r="A284" s="43"/>
      <c r="B284" s="43"/>
      <c r="C284" s="43"/>
      <c r="D284" s="43"/>
      <c r="E284" s="43"/>
      <c r="F284" s="43"/>
      <c r="G284" s="43"/>
      <c r="H284" s="43"/>
      <c r="I284" s="43"/>
      <c r="J284" s="43"/>
      <c r="K284" s="43"/>
      <c r="L284" s="43"/>
      <c r="M284" s="43"/>
      <c r="N284" s="43"/>
      <c r="O284" s="43"/>
      <c r="P284" s="43"/>
      <c r="Q284" s="43"/>
      <c r="R284" s="49"/>
      <c r="S284" s="49"/>
      <c r="T284" s="49"/>
      <c r="U284" s="49"/>
      <c r="V284" s="49"/>
      <c r="W284" s="49"/>
      <c r="X284" s="49"/>
      <c r="Y284" s="49"/>
      <c r="Z284" s="49"/>
      <c r="AA284" s="49"/>
      <c r="AB284" s="49"/>
      <c r="AC284" s="49"/>
    </row>
    <row r="285" spans="1:29">
      <c r="A285" s="43"/>
      <c r="B285" s="43"/>
      <c r="C285" s="43"/>
      <c r="D285" s="43"/>
      <c r="E285" s="43"/>
      <c r="F285" s="43"/>
      <c r="G285" s="43"/>
      <c r="H285" s="43"/>
      <c r="I285" s="43"/>
      <c r="J285" s="43"/>
      <c r="K285" s="43"/>
      <c r="L285" s="43"/>
      <c r="M285" s="43"/>
      <c r="N285" s="43"/>
      <c r="O285" s="43"/>
      <c r="P285" s="43"/>
      <c r="Q285" s="43"/>
      <c r="R285" s="49"/>
      <c r="S285" s="49"/>
      <c r="T285" s="49"/>
      <c r="U285" s="49"/>
      <c r="V285" s="49"/>
      <c r="W285" s="49"/>
      <c r="X285" s="49"/>
      <c r="Y285" s="49"/>
      <c r="Z285" s="49"/>
      <c r="AA285" s="49"/>
      <c r="AB285" s="49"/>
      <c r="AC285" s="49"/>
    </row>
    <row r="286" spans="1:29">
      <c r="A286" s="43"/>
      <c r="B286" s="43"/>
      <c r="C286" s="43"/>
      <c r="D286" s="43"/>
      <c r="E286" s="43"/>
      <c r="F286" s="43"/>
      <c r="G286" s="43"/>
      <c r="H286" s="43"/>
      <c r="I286" s="43"/>
      <c r="J286" s="43"/>
      <c r="K286" s="43"/>
      <c r="L286" s="43"/>
      <c r="M286" s="43"/>
      <c r="N286" s="43"/>
      <c r="O286" s="43"/>
      <c r="P286" s="43"/>
      <c r="Q286" s="43"/>
      <c r="R286" s="49"/>
      <c r="S286" s="49"/>
      <c r="T286" s="49"/>
      <c r="U286" s="49"/>
      <c r="V286" s="49"/>
      <c r="W286" s="49"/>
      <c r="X286" s="49"/>
      <c r="Y286" s="49"/>
      <c r="Z286" s="49"/>
      <c r="AA286" s="49"/>
      <c r="AB286" s="49"/>
      <c r="AC286" s="49"/>
    </row>
    <row r="287" spans="1:29">
      <c r="A287" s="43"/>
      <c r="B287" s="43"/>
      <c r="C287" s="43"/>
      <c r="D287" s="43"/>
      <c r="E287" s="43"/>
      <c r="F287" s="43"/>
      <c r="G287" s="43"/>
      <c r="H287" s="43"/>
      <c r="I287" s="43"/>
      <c r="J287" s="43"/>
      <c r="K287" s="43"/>
      <c r="L287" s="43"/>
      <c r="M287" s="43"/>
      <c r="N287" s="43"/>
      <c r="O287" s="43"/>
      <c r="P287" s="43"/>
      <c r="Q287" s="43"/>
      <c r="R287" s="49"/>
      <c r="S287" s="49"/>
      <c r="T287" s="49"/>
      <c r="U287" s="49"/>
      <c r="V287" s="49"/>
      <c r="W287" s="49"/>
      <c r="X287" s="49"/>
      <c r="Y287" s="49"/>
      <c r="Z287" s="49"/>
      <c r="AA287" s="49"/>
      <c r="AB287" s="49"/>
      <c r="AC287" s="49"/>
    </row>
    <row r="288" spans="1:29">
      <c r="A288" s="43"/>
      <c r="B288" s="43"/>
      <c r="C288" s="43"/>
      <c r="D288" s="43"/>
      <c r="E288" s="43"/>
      <c r="F288" s="43"/>
      <c r="G288" s="43"/>
      <c r="H288" s="43"/>
      <c r="I288" s="43"/>
      <c r="J288" s="43"/>
      <c r="K288" s="43"/>
      <c r="L288" s="43"/>
      <c r="M288" s="43"/>
      <c r="N288" s="43"/>
      <c r="O288" s="43"/>
      <c r="P288" s="43"/>
      <c r="Q288" s="43"/>
      <c r="R288" s="49"/>
      <c r="S288" s="49"/>
      <c r="T288" s="49"/>
      <c r="U288" s="49"/>
      <c r="V288" s="49"/>
      <c r="W288" s="49"/>
      <c r="X288" s="49"/>
      <c r="Y288" s="49"/>
      <c r="Z288" s="49"/>
      <c r="AA288" s="49"/>
      <c r="AB288" s="49"/>
      <c r="AC288" s="49"/>
    </row>
    <row r="289" spans="1:29">
      <c r="A289" s="43"/>
      <c r="B289" s="43"/>
      <c r="C289" s="43"/>
      <c r="D289" s="43"/>
      <c r="E289" s="43"/>
      <c r="F289" s="43"/>
      <c r="G289" s="43"/>
      <c r="H289" s="43"/>
      <c r="I289" s="43"/>
      <c r="J289" s="43"/>
      <c r="K289" s="43"/>
      <c r="L289" s="43"/>
      <c r="M289" s="43"/>
      <c r="N289" s="43"/>
      <c r="O289" s="43"/>
      <c r="P289" s="43"/>
      <c r="Q289" s="43"/>
      <c r="R289" s="49"/>
      <c r="S289" s="49"/>
      <c r="T289" s="49"/>
      <c r="U289" s="49"/>
      <c r="V289" s="49"/>
      <c r="W289" s="49"/>
      <c r="X289" s="49"/>
      <c r="Y289" s="49"/>
      <c r="Z289" s="49"/>
      <c r="AA289" s="49"/>
      <c r="AB289" s="49"/>
      <c r="AC289" s="49"/>
    </row>
    <row r="290" spans="1:29">
      <c r="A290" s="43"/>
      <c r="B290" s="43"/>
      <c r="C290" s="43"/>
      <c r="D290" s="43"/>
      <c r="E290" s="43"/>
      <c r="F290" s="43"/>
      <c r="G290" s="43"/>
      <c r="H290" s="43"/>
      <c r="I290" s="43"/>
      <c r="J290" s="43"/>
      <c r="K290" s="43"/>
      <c r="L290" s="43"/>
      <c r="M290" s="43"/>
      <c r="N290" s="43"/>
      <c r="O290" s="43"/>
      <c r="P290" s="43"/>
      <c r="Q290" s="43"/>
      <c r="R290" s="49"/>
      <c r="S290" s="49"/>
      <c r="T290" s="49"/>
      <c r="U290" s="49"/>
      <c r="V290" s="49"/>
      <c r="W290" s="49"/>
      <c r="X290" s="49"/>
      <c r="Y290" s="49"/>
      <c r="Z290" s="49"/>
      <c r="AA290" s="49"/>
      <c r="AB290" s="49"/>
      <c r="AC290" s="49"/>
    </row>
    <row r="291" spans="1:29">
      <c r="A291" s="43"/>
      <c r="B291" s="43"/>
      <c r="C291" s="43"/>
      <c r="D291" s="43"/>
      <c r="E291" s="43"/>
      <c r="F291" s="43"/>
      <c r="G291" s="43"/>
      <c r="H291" s="43"/>
      <c r="I291" s="43"/>
      <c r="J291" s="43"/>
      <c r="K291" s="43"/>
      <c r="L291" s="43"/>
      <c r="M291" s="43"/>
      <c r="N291" s="43"/>
      <c r="O291" s="43"/>
      <c r="P291" s="43"/>
      <c r="Q291" s="43"/>
      <c r="R291" s="49"/>
      <c r="S291" s="49"/>
      <c r="T291" s="49"/>
      <c r="U291" s="49"/>
      <c r="V291" s="49"/>
      <c r="W291" s="49"/>
      <c r="X291" s="49"/>
      <c r="Y291" s="49"/>
      <c r="Z291" s="49"/>
      <c r="AA291" s="49"/>
      <c r="AB291" s="49"/>
      <c r="AC291" s="49"/>
    </row>
    <row r="292" spans="1:29">
      <c r="A292" s="43"/>
      <c r="B292" s="43"/>
      <c r="C292" s="43"/>
      <c r="D292" s="43"/>
      <c r="E292" s="43"/>
      <c r="F292" s="43"/>
      <c r="G292" s="43"/>
      <c r="H292" s="43"/>
      <c r="I292" s="43"/>
      <c r="J292" s="43"/>
      <c r="K292" s="43"/>
      <c r="L292" s="43"/>
      <c r="M292" s="43"/>
      <c r="N292" s="43"/>
      <c r="O292" s="43"/>
      <c r="P292" s="43"/>
      <c r="Q292" s="43"/>
      <c r="R292" s="49"/>
      <c r="S292" s="49"/>
      <c r="T292" s="49"/>
      <c r="U292" s="49"/>
      <c r="V292" s="49"/>
      <c r="W292" s="49"/>
      <c r="X292" s="49"/>
      <c r="Y292" s="49"/>
      <c r="Z292" s="49"/>
      <c r="AA292" s="49"/>
      <c r="AB292" s="49"/>
      <c r="AC292" s="49"/>
    </row>
    <row r="293" spans="1:29">
      <c r="A293" s="43"/>
      <c r="B293" s="43"/>
      <c r="C293" s="43"/>
      <c r="D293" s="43"/>
      <c r="E293" s="43"/>
      <c r="F293" s="43"/>
      <c r="G293" s="43"/>
      <c r="H293" s="43"/>
      <c r="I293" s="43"/>
      <c r="J293" s="43"/>
      <c r="K293" s="43"/>
      <c r="L293" s="43"/>
      <c r="M293" s="43"/>
      <c r="N293" s="43"/>
      <c r="O293" s="43"/>
      <c r="P293" s="43"/>
      <c r="Q293" s="43"/>
      <c r="R293" s="49"/>
      <c r="S293" s="49"/>
      <c r="T293" s="49"/>
      <c r="U293" s="49"/>
      <c r="V293" s="49"/>
      <c r="W293" s="49"/>
      <c r="X293" s="49"/>
      <c r="Y293" s="49"/>
      <c r="Z293" s="49"/>
      <c r="AA293" s="49"/>
      <c r="AB293" s="49"/>
      <c r="AC293" s="49"/>
    </row>
    <row r="294" spans="1:29">
      <c r="A294" s="43"/>
      <c r="B294" s="43"/>
      <c r="C294" s="43"/>
      <c r="D294" s="43"/>
      <c r="E294" s="43"/>
      <c r="F294" s="43"/>
      <c r="G294" s="43"/>
      <c r="H294" s="43"/>
      <c r="I294" s="43"/>
      <c r="J294" s="43"/>
      <c r="K294" s="43"/>
      <c r="L294" s="43"/>
      <c r="M294" s="43"/>
      <c r="N294" s="43"/>
      <c r="O294" s="43"/>
      <c r="P294" s="43"/>
      <c r="Q294" s="43"/>
      <c r="R294" s="49"/>
      <c r="S294" s="49"/>
      <c r="T294" s="49"/>
      <c r="U294" s="49"/>
      <c r="V294" s="49"/>
      <c r="W294" s="49"/>
      <c r="X294" s="49"/>
      <c r="Y294" s="49"/>
      <c r="Z294" s="49"/>
      <c r="AA294" s="49"/>
      <c r="AB294" s="49"/>
      <c r="AC294" s="49"/>
    </row>
    <row r="295" spans="1:29">
      <c r="A295" s="43"/>
      <c r="B295" s="43"/>
      <c r="C295" s="43"/>
      <c r="D295" s="43"/>
      <c r="E295" s="43"/>
      <c r="F295" s="43"/>
      <c r="G295" s="43"/>
      <c r="H295" s="43"/>
      <c r="I295" s="43"/>
      <c r="J295" s="43"/>
      <c r="K295" s="43"/>
      <c r="L295" s="43"/>
      <c r="M295" s="43"/>
      <c r="N295" s="43"/>
      <c r="O295" s="43"/>
      <c r="P295" s="43"/>
      <c r="Q295" s="43"/>
      <c r="R295" s="49"/>
      <c r="S295" s="49"/>
      <c r="T295" s="49"/>
      <c r="U295" s="49"/>
      <c r="V295" s="49"/>
      <c r="W295" s="49"/>
      <c r="X295" s="49"/>
      <c r="Y295" s="49"/>
      <c r="Z295" s="49"/>
      <c r="AA295" s="49"/>
      <c r="AB295" s="49"/>
      <c r="AC295" s="49"/>
    </row>
    <row r="296" spans="1:29">
      <c r="A296" s="43"/>
      <c r="B296" s="43"/>
      <c r="C296" s="43"/>
      <c r="D296" s="43"/>
      <c r="E296" s="43"/>
      <c r="F296" s="43"/>
      <c r="G296" s="43"/>
      <c r="H296" s="43"/>
      <c r="I296" s="43"/>
      <c r="J296" s="43"/>
      <c r="K296" s="43"/>
      <c r="L296" s="43"/>
      <c r="M296" s="43"/>
      <c r="N296" s="43"/>
      <c r="O296" s="43"/>
      <c r="P296" s="43"/>
      <c r="Q296" s="43"/>
      <c r="R296" s="49"/>
      <c r="S296" s="49"/>
      <c r="T296" s="49"/>
      <c r="U296" s="49"/>
      <c r="V296" s="49"/>
      <c r="W296" s="49"/>
      <c r="X296" s="49"/>
      <c r="Y296" s="49"/>
      <c r="Z296" s="49"/>
      <c r="AA296" s="49"/>
      <c r="AB296" s="49"/>
      <c r="AC296" s="49"/>
    </row>
    <row r="297" spans="1:29">
      <c r="A297" s="43"/>
      <c r="B297" s="43"/>
      <c r="C297" s="43"/>
      <c r="D297" s="43"/>
      <c r="E297" s="43"/>
      <c r="F297" s="43"/>
      <c r="G297" s="43"/>
      <c r="H297" s="43"/>
      <c r="I297" s="43"/>
      <c r="J297" s="43"/>
      <c r="K297" s="43"/>
      <c r="L297" s="43"/>
      <c r="M297" s="43"/>
      <c r="N297" s="43"/>
      <c r="O297" s="43"/>
      <c r="P297" s="43"/>
      <c r="Q297" s="43"/>
      <c r="R297" s="49"/>
      <c r="S297" s="49"/>
      <c r="T297" s="49"/>
      <c r="U297" s="49"/>
      <c r="V297" s="49"/>
      <c r="W297" s="49"/>
      <c r="X297" s="49"/>
      <c r="Y297" s="49"/>
      <c r="Z297" s="49"/>
      <c r="AA297" s="49"/>
      <c r="AB297" s="49"/>
      <c r="AC297" s="49"/>
    </row>
    <row r="298" spans="1:29">
      <c r="A298" s="43"/>
      <c r="B298" s="43"/>
      <c r="C298" s="43"/>
      <c r="D298" s="43"/>
      <c r="E298" s="43"/>
      <c r="F298" s="43"/>
      <c r="G298" s="43"/>
      <c r="H298" s="43"/>
      <c r="I298" s="43"/>
      <c r="J298" s="43"/>
      <c r="K298" s="43"/>
      <c r="L298" s="43"/>
      <c r="M298" s="43"/>
      <c r="N298" s="43"/>
      <c r="O298" s="43"/>
      <c r="P298" s="43"/>
      <c r="Q298" s="43"/>
      <c r="R298" s="49"/>
      <c r="S298" s="49"/>
      <c r="T298" s="49"/>
      <c r="U298" s="49"/>
      <c r="V298" s="49"/>
      <c r="W298" s="49"/>
      <c r="X298" s="49"/>
      <c r="Y298" s="49"/>
      <c r="Z298" s="49"/>
      <c r="AA298" s="49"/>
      <c r="AB298" s="49"/>
      <c r="AC298" s="49"/>
    </row>
    <row r="299" spans="1:29">
      <c r="A299" s="43"/>
      <c r="B299" s="43"/>
      <c r="C299" s="43"/>
      <c r="D299" s="43"/>
      <c r="E299" s="43"/>
      <c r="F299" s="43"/>
      <c r="G299" s="43"/>
      <c r="H299" s="43"/>
      <c r="I299" s="43"/>
      <c r="J299" s="43"/>
      <c r="K299" s="43"/>
      <c r="L299" s="43"/>
      <c r="M299" s="43"/>
      <c r="N299" s="43"/>
      <c r="O299" s="43"/>
      <c r="P299" s="43"/>
      <c r="Q299" s="43"/>
      <c r="R299" s="49"/>
      <c r="S299" s="49"/>
      <c r="T299" s="49"/>
      <c r="U299" s="49"/>
      <c r="V299" s="49"/>
      <c r="W299" s="49"/>
      <c r="X299" s="49"/>
      <c r="Y299" s="49"/>
      <c r="Z299" s="49"/>
      <c r="AA299" s="49"/>
      <c r="AB299" s="49"/>
      <c r="AC299" s="49"/>
    </row>
    <row r="300" spans="1:29">
      <c r="A300" s="43"/>
      <c r="B300" s="43"/>
      <c r="C300" s="43"/>
      <c r="D300" s="43"/>
      <c r="E300" s="43"/>
      <c r="F300" s="43"/>
      <c r="G300" s="43"/>
      <c r="H300" s="43"/>
      <c r="I300" s="43"/>
      <c r="J300" s="43"/>
      <c r="K300" s="43"/>
      <c r="L300" s="43"/>
      <c r="M300" s="43"/>
      <c r="N300" s="43"/>
      <c r="O300" s="43"/>
      <c r="P300" s="43"/>
      <c r="Q300" s="43"/>
      <c r="R300" s="49"/>
      <c r="S300" s="49"/>
      <c r="T300" s="49"/>
      <c r="U300" s="49"/>
      <c r="V300" s="49"/>
      <c r="W300" s="49"/>
      <c r="X300" s="49"/>
      <c r="Y300" s="49"/>
      <c r="Z300" s="49"/>
      <c r="AA300" s="49"/>
      <c r="AB300" s="49"/>
      <c r="AC300" s="49"/>
    </row>
    <row r="301" spans="1:29">
      <c r="A301" s="43"/>
      <c r="B301" s="43"/>
      <c r="C301" s="43"/>
      <c r="D301" s="43"/>
      <c r="E301" s="43"/>
      <c r="F301" s="43"/>
      <c r="G301" s="43"/>
      <c r="H301" s="43"/>
      <c r="I301" s="43"/>
      <c r="J301" s="43"/>
      <c r="K301" s="43"/>
      <c r="L301" s="43"/>
      <c r="M301" s="43"/>
      <c r="N301" s="43"/>
      <c r="O301" s="43"/>
      <c r="P301" s="43"/>
      <c r="Q301" s="43"/>
      <c r="R301" s="49"/>
      <c r="S301" s="49"/>
      <c r="T301" s="49"/>
      <c r="U301" s="49"/>
      <c r="V301" s="49"/>
      <c r="W301" s="49"/>
      <c r="X301" s="49"/>
      <c r="Y301" s="49"/>
      <c r="Z301" s="49"/>
      <c r="AA301" s="49"/>
      <c r="AB301" s="49"/>
      <c r="AC301" s="49"/>
    </row>
    <row r="302" spans="1:29">
      <c r="A302" s="43"/>
      <c r="B302" s="43"/>
      <c r="C302" s="43"/>
      <c r="D302" s="43"/>
      <c r="E302" s="43"/>
      <c r="F302" s="43"/>
      <c r="G302" s="43"/>
      <c r="H302" s="43"/>
      <c r="I302" s="43"/>
      <c r="J302" s="43"/>
      <c r="K302" s="43"/>
      <c r="L302" s="43"/>
      <c r="M302" s="43"/>
      <c r="N302" s="43"/>
      <c r="O302" s="43"/>
      <c r="P302" s="43"/>
      <c r="Q302" s="43"/>
      <c r="R302" s="49"/>
      <c r="S302" s="49"/>
      <c r="T302" s="49"/>
      <c r="U302" s="49"/>
      <c r="V302" s="49"/>
      <c r="W302" s="49"/>
      <c r="X302" s="49"/>
      <c r="Y302" s="49"/>
      <c r="Z302" s="49"/>
      <c r="AA302" s="49"/>
      <c r="AB302" s="49"/>
      <c r="AC302" s="49"/>
    </row>
    <row r="303" spans="1:29">
      <c r="A303" s="43"/>
      <c r="B303" s="43"/>
      <c r="C303" s="43"/>
      <c r="D303" s="43"/>
      <c r="E303" s="43"/>
      <c r="F303" s="43"/>
      <c r="G303" s="43"/>
      <c r="H303" s="43"/>
      <c r="I303" s="43"/>
      <c r="J303" s="43"/>
      <c r="K303" s="43"/>
      <c r="L303" s="43"/>
      <c r="M303" s="43"/>
      <c r="N303" s="43"/>
      <c r="O303" s="43"/>
      <c r="P303" s="43"/>
      <c r="Q303" s="43"/>
      <c r="R303" s="49"/>
      <c r="S303" s="49"/>
      <c r="T303" s="49"/>
      <c r="U303" s="49"/>
      <c r="V303" s="49"/>
      <c r="W303" s="49"/>
      <c r="X303" s="49"/>
      <c r="Y303" s="49"/>
      <c r="Z303" s="49"/>
      <c r="AA303" s="49"/>
      <c r="AB303" s="49"/>
      <c r="AC303" s="49"/>
    </row>
    <row r="304" spans="1:29">
      <c r="A304" s="43"/>
      <c r="B304" s="43"/>
      <c r="C304" s="43"/>
      <c r="D304" s="43"/>
      <c r="E304" s="43"/>
      <c r="F304" s="43"/>
      <c r="G304" s="43"/>
      <c r="H304" s="43"/>
      <c r="I304" s="43"/>
      <c r="J304" s="43"/>
      <c r="K304" s="43"/>
      <c r="L304" s="43"/>
      <c r="M304" s="43"/>
      <c r="N304" s="43"/>
      <c r="O304" s="43"/>
      <c r="P304" s="43"/>
      <c r="Q304" s="43"/>
      <c r="R304" s="49"/>
      <c r="S304" s="49"/>
      <c r="T304" s="49"/>
      <c r="U304" s="49"/>
      <c r="V304" s="49"/>
      <c r="W304" s="49"/>
      <c r="X304" s="49"/>
      <c r="Y304" s="49"/>
      <c r="Z304" s="49"/>
      <c r="AA304" s="49"/>
      <c r="AB304" s="49"/>
      <c r="AC304" s="49"/>
    </row>
    <row r="305" spans="1:29">
      <c r="A305" s="43"/>
      <c r="B305" s="43"/>
      <c r="C305" s="43"/>
      <c r="D305" s="43"/>
      <c r="E305" s="43"/>
      <c r="F305" s="43"/>
      <c r="G305" s="43"/>
      <c r="H305" s="43"/>
      <c r="I305" s="43"/>
      <c r="J305" s="43"/>
      <c r="K305" s="43"/>
      <c r="L305" s="43"/>
      <c r="M305" s="43"/>
      <c r="N305" s="43"/>
      <c r="O305" s="43"/>
      <c r="P305" s="43"/>
      <c r="Q305" s="43"/>
      <c r="R305" s="49"/>
      <c r="S305" s="49"/>
      <c r="T305" s="49"/>
      <c r="U305" s="49"/>
      <c r="V305" s="49"/>
      <c r="W305" s="49"/>
      <c r="X305" s="49"/>
      <c r="Y305" s="49"/>
      <c r="Z305" s="49"/>
      <c r="AA305" s="49"/>
      <c r="AB305" s="49"/>
      <c r="AC305" s="49"/>
    </row>
    <row r="306" spans="1:29">
      <c r="A306" s="43"/>
      <c r="B306" s="43"/>
      <c r="C306" s="43"/>
      <c r="D306" s="43"/>
      <c r="E306" s="43"/>
      <c r="F306" s="43"/>
      <c r="G306" s="43"/>
      <c r="H306" s="43"/>
      <c r="I306" s="43"/>
      <c r="J306" s="43"/>
      <c r="K306" s="43"/>
      <c r="L306" s="43"/>
      <c r="M306" s="43"/>
      <c r="N306" s="43"/>
      <c r="O306" s="43"/>
      <c r="P306" s="43"/>
      <c r="Q306" s="43"/>
      <c r="R306" s="49"/>
      <c r="S306" s="49"/>
      <c r="T306" s="49"/>
      <c r="U306" s="49"/>
      <c r="V306" s="49"/>
      <c r="W306" s="49"/>
      <c r="X306" s="49"/>
      <c r="Y306" s="49"/>
      <c r="Z306" s="49"/>
      <c r="AA306" s="49"/>
      <c r="AB306" s="49"/>
      <c r="AC306" s="49"/>
    </row>
    <row r="307" spans="1:29">
      <c r="A307" s="43"/>
      <c r="B307" s="43"/>
      <c r="C307" s="43"/>
      <c r="D307" s="43"/>
      <c r="E307" s="43"/>
      <c r="F307" s="43"/>
      <c r="G307" s="43"/>
      <c r="H307" s="43"/>
      <c r="I307" s="43"/>
      <c r="J307" s="43"/>
      <c r="K307" s="43"/>
      <c r="L307" s="43"/>
      <c r="M307" s="43"/>
      <c r="N307" s="43"/>
      <c r="O307" s="43"/>
      <c r="P307" s="43"/>
      <c r="Q307" s="43"/>
      <c r="R307" s="49"/>
      <c r="S307" s="49"/>
      <c r="T307" s="49"/>
      <c r="U307" s="49"/>
      <c r="V307" s="49"/>
      <c r="W307" s="49"/>
      <c r="X307" s="49"/>
      <c r="Y307" s="49"/>
      <c r="Z307" s="49"/>
      <c r="AA307" s="49"/>
      <c r="AB307" s="49"/>
      <c r="AC307" s="49"/>
    </row>
    <row r="308" spans="1:29">
      <c r="A308" s="43"/>
      <c r="B308" s="43"/>
      <c r="C308" s="43"/>
      <c r="D308" s="43"/>
      <c r="E308" s="43"/>
      <c r="F308" s="43"/>
      <c r="G308" s="43"/>
      <c r="H308" s="43"/>
      <c r="I308" s="43"/>
      <c r="J308" s="43"/>
      <c r="K308" s="43"/>
      <c r="L308" s="43"/>
      <c r="M308" s="43"/>
      <c r="N308" s="43"/>
      <c r="O308" s="43"/>
      <c r="P308" s="43"/>
      <c r="Q308" s="43"/>
      <c r="R308" s="49"/>
      <c r="S308" s="49"/>
      <c r="T308" s="49"/>
      <c r="U308" s="49"/>
      <c r="V308" s="49"/>
      <c r="W308" s="49"/>
      <c r="X308" s="49"/>
      <c r="Y308" s="49"/>
      <c r="Z308" s="49"/>
      <c r="AA308" s="49"/>
      <c r="AB308" s="49"/>
      <c r="AC308" s="49"/>
    </row>
    <row r="309" spans="1:29">
      <c r="A309" s="43"/>
      <c r="B309" s="43"/>
      <c r="C309" s="43"/>
      <c r="D309" s="43"/>
      <c r="E309" s="43"/>
      <c r="F309" s="43"/>
      <c r="G309" s="43"/>
      <c r="H309" s="43"/>
      <c r="I309" s="43"/>
      <c r="J309" s="43"/>
      <c r="K309" s="43"/>
      <c r="L309" s="43"/>
      <c r="M309" s="43"/>
      <c r="N309" s="43"/>
      <c r="O309" s="43"/>
      <c r="P309" s="43"/>
      <c r="Q309" s="43"/>
      <c r="R309" s="49"/>
      <c r="S309" s="49"/>
      <c r="T309" s="49"/>
      <c r="U309" s="49"/>
      <c r="V309" s="49"/>
      <c r="W309" s="49"/>
      <c r="X309" s="49"/>
      <c r="Y309" s="49"/>
      <c r="Z309" s="49"/>
      <c r="AA309" s="49"/>
      <c r="AB309" s="49"/>
      <c r="AC309" s="49"/>
    </row>
    <row r="310" spans="1:29">
      <c r="A310" s="43"/>
      <c r="B310" s="43"/>
      <c r="C310" s="43"/>
      <c r="D310" s="43"/>
      <c r="E310" s="43"/>
      <c r="F310" s="43"/>
      <c r="G310" s="43"/>
      <c r="H310" s="43"/>
      <c r="I310" s="43"/>
      <c r="J310" s="43"/>
      <c r="K310" s="43"/>
      <c r="L310" s="43"/>
      <c r="M310" s="43"/>
      <c r="N310" s="43"/>
      <c r="O310" s="43"/>
      <c r="P310" s="43"/>
      <c r="Q310" s="43"/>
      <c r="R310" s="49"/>
      <c r="S310" s="49"/>
      <c r="T310" s="49"/>
      <c r="U310" s="49"/>
      <c r="V310" s="49"/>
      <c r="W310" s="49"/>
      <c r="X310" s="49"/>
      <c r="Y310" s="49"/>
      <c r="Z310" s="49"/>
      <c r="AA310" s="49"/>
      <c r="AB310" s="49"/>
      <c r="AC310" s="49"/>
    </row>
    <row r="311" spans="1:29">
      <c r="A311" s="43"/>
      <c r="B311" s="43"/>
      <c r="C311" s="43"/>
      <c r="D311" s="43"/>
      <c r="E311" s="43"/>
      <c r="F311" s="43"/>
      <c r="G311" s="43"/>
      <c r="H311" s="43"/>
      <c r="I311" s="43"/>
      <c r="J311" s="43"/>
      <c r="K311" s="43"/>
      <c r="L311" s="43"/>
      <c r="M311" s="43"/>
      <c r="N311" s="43"/>
      <c r="O311" s="43"/>
      <c r="P311" s="43"/>
      <c r="Q311" s="43"/>
      <c r="R311" s="49"/>
      <c r="S311" s="49"/>
      <c r="T311" s="49"/>
      <c r="U311" s="49"/>
      <c r="V311" s="49"/>
      <c r="W311" s="49"/>
      <c r="X311" s="49"/>
      <c r="Y311" s="49"/>
      <c r="Z311" s="49"/>
      <c r="AA311" s="49"/>
      <c r="AB311" s="49"/>
      <c r="AC311" s="49"/>
    </row>
    <row r="312" spans="1:29">
      <c r="A312" s="43"/>
      <c r="B312" s="43"/>
      <c r="C312" s="43"/>
      <c r="D312" s="43"/>
      <c r="E312" s="43"/>
      <c r="F312" s="43"/>
      <c r="G312" s="43"/>
      <c r="H312" s="43"/>
      <c r="I312" s="43"/>
      <c r="J312" s="43"/>
      <c r="K312" s="43"/>
      <c r="L312" s="43"/>
      <c r="M312" s="43"/>
      <c r="N312" s="43"/>
      <c r="O312" s="43"/>
      <c r="P312" s="43"/>
      <c r="Q312" s="43"/>
      <c r="R312" s="49"/>
      <c r="S312" s="49"/>
      <c r="T312" s="49"/>
      <c r="U312" s="49"/>
      <c r="V312" s="49"/>
      <c r="W312" s="49"/>
      <c r="X312" s="49"/>
      <c r="Y312" s="49"/>
      <c r="Z312" s="49"/>
      <c r="AA312" s="49"/>
      <c r="AB312" s="49"/>
      <c r="AC312" s="49"/>
    </row>
    <row r="313" spans="1:29">
      <c r="A313" s="43"/>
      <c r="B313" s="43"/>
      <c r="C313" s="43"/>
      <c r="D313" s="43"/>
      <c r="E313" s="43"/>
      <c r="F313" s="43"/>
      <c r="G313" s="43"/>
      <c r="H313" s="43"/>
      <c r="I313" s="43"/>
      <c r="J313" s="43"/>
      <c r="K313" s="43"/>
      <c r="L313" s="43"/>
      <c r="M313" s="43"/>
      <c r="N313" s="43"/>
      <c r="O313" s="43"/>
      <c r="P313" s="43"/>
      <c r="Q313" s="43"/>
      <c r="R313" s="49"/>
      <c r="S313" s="49"/>
      <c r="T313" s="49"/>
      <c r="U313" s="49"/>
      <c r="V313" s="49"/>
      <c r="W313" s="49"/>
      <c r="X313" s="49"/>
      <c r="Y313" s="49"/>
      <c r="Z313" s="49"/>
      <c r="AA313" s="49"/>
      <c r="AB313" s="49"/>
      <c r="AC313" s="49"/>
    </row>
    <row r="314" spans="1:29">
      <c r="A314" s="43"/>
      <c r="B314" s="43"/>
      <c r="C314" s="43"/>
      <c r="D314" s="43"/>
      <c r="E314" s="43"/>
      <c r="F314" s="43"/>
      <c r="G314" s="43"/>
      <c r="H314" s="43"/>
      <c r="I314" s="43"/>
      <c r="J314" s="43"/>
      <c r="K314" s="43"/>
      <c r="L314" s="43"/>
      <c r="M314" s="43"/>
      <c r="N314" s="43"/>
      <c r="O314" s="43"/>
      <c r="P314" s="43"/>
      <c r="Q314" s="43"/>
      <c r="R314" s="49"/>
      <c r="S314" s="49"/>
      <c r="T314" s="49"/>
      <c r="U314" s="49"/>
      <c r="V314" s="49"/>
      <c r="W314" s="49"/>
      <c r="X314" s="49"/>
      <c r="Y314" s="49"/>
      <c r="Z314" s="49"/>
      <c r="AA314" s="49"/>
      <c r="AB314" s="49"/>
      <c r="AC314" s="49"/>
    </row>
    <row r="315" spans="1:29">
      <c r="A315" s="43"/>
      <c r="B315" s="43"/>
      <c r="C315" s="43"/>
      <c r="D315" s="43"/>
      <c r="E315" s="43"/>
      <c r="F315" s="43"/>
      <c r="G315" s="43"/>
      <c r="H315" s="43"/>
      <c r="I315" s="43"/>
      <c r="J315" s="43"/>
      <c r="K315" s="43"/>
      <c r="L315" s="43"/>
      <c r="M315" s="43"/>
      <c r="N315" s="43"/>
      <c r="O315" s="43"/>
      <c r="P315" s="43"/>
      <c r="Q315" s="43"/>
      <c r="R315" s="49"/>
      <c r="S315" s="49"/>
      <c r="T315" s="49"/>
      <c r="U315" s="49"/>
      <c r="V315" s="49"/>
      <c r="W315" s="49"/>
      <c r="X315" s="49"/>
      <c r="Y315" s="49"/>
      <c r="Z315" s="49"/>
      <c r="AA315" s="49"/>
      <c r="AB315" s="49"/>
      <c r="AC315" s="49"/>
    </row>
    <row r="316" spans="1:29">
      <c r="A316" s="43"/>
      <c r="B316" s="43"/>
      <c r="C316" s="43"/>
      <c r="D316" s="43"/>
      <c r="E316" s="43"/>
      <c r="F316" s="43"/>
      <c r="G316" s="43"/>
      <c r="H316" s="43"/>
      <c r="I316" s="43"/>
      <c r="J316" s="43"/>
      <c r="K316" s="43"/>
      <c r="L316" s="43"/>
      <c r="M316" s="43"/>
      <c r="N316" s="43"/>
      <c r="O316" s="43"/>
      <c r="P316" s="43"/>
      <c r="Q316" s="43"/>
      <c r="R316" s="49"/>
      <c r="S316" s="49"/>
      <c r="T316" s="49"/>
      <c r="U316" s="49"/>
      <c r="V316" s="49"/>
      <c r="W316" s="49"/>
      <c r="X316" s="49"/>
      <c r="Y316" s="49"/>
      <c r="Z316" s="49"/>
      <c r="AA316" s="49"/>
      <c r="AB316" s="49"/>
      <c r="AC316" s="49"/>
    </row>
    <row r="317" spans="1:29">
      <c r="A317" s="43"/>
      <c r="B317" s="43"/>
      <c r="C317" s="43"/>
      <c r="D317" s="43"/>
      <c r="E317" s="43"/>
      <c r="F317" s="43"/>
      <c r="G317" s="43"/>
      <c r="H317" s="43"/>
      <c r="I317" s="43"/>
      <c r="J317" s="43"/>
      <c r="K317" s="43"/>
      <c r="L317" s="43"/>
      <c r="M317" s="43"/>
      <c r="N317" s="43"/>
      <c r="O317" s="43"/>
      <c r="P317" s="43"/>
      <c r="Q317" s="43"/>
      <c r="R317" s="49"/>
      <c r="S317" s="49"/>
      <c r="T317" s="49"/>
      <c r="U317" s="49"/>
      <c r="V317" s="49"/>
      <c r="W317" s="49"/>
      <c r="X317" s="49"/>
      <c r="Y317" s="49"/>
      <c r="Z317" s="49"/>
      <c r="AA317" s="49"/>
      <c r="AB317" s="49"/>
      <c r="AC317" s="49"/>
    </row>
    <row r="318" spans="1:29">
      <c r="A318" s="43"/>
      <c r="B318" s="43"/>
      <c r="C318" s="43"/>
      <c r="D318" s="43"/>
      <c r="E318" s="43"/>
      <c r="F318" s="43"/>
      <c r="G318" s="43"/>
      <c r="H318" s="43"/>
      <c r="I318" s="43"/>
      <c r="J318" s="43"/>
      <c r="K318" s="43"/>
      <c r="L318" s="43"/>
      <c r="M318" s="43"/>
      <c r="N318" s="43"/>
      <c r="O318" s="43"/>
      <c r="P318" s="43"/>
      <c r="Q318" s="43"/>
      <c r="R318" s="49"/>
      <c r="S318" s="49"/>
      <c r="T318" s="49"/>
      <c r="U318" s="49"/>
      <c r="V318" s="49"/>
      <c r="W318" s="49"/>
      <c r="X318" s="49"/>
      <c r="Y318" s="49"/>
      <c r="Z318" s="49"/>
      <c r="AA318" s="49"/>
      <c r="AB318" s="49"/>
      <c r="AC318" s="49"/>
    </row>
    <row r="319" spans="1:29">
      <c r="A319" s="43"/>
      <c r="B319" s="43"/>
      <c r="C319" s="43"/>
      <c r="D319" s="43"/>
      <c r="E319" s="43"/>
      <c r="F319" s="43"/>
      <c r="G319" s="43"/>
      <c r="H319" s="43"/>
      <c r="I319" s="43"/>
      <c r="J319" s="43"/>
      <c r="K319" s="43"/>
      <c r="L319" s="43"/>
      <c r="M319" s="43"/>
      <c r="N319" s="43"/>
      <c r="O319" s="43"/>
      <c r="P319" s="43"/>
      <c r="Q319" s="43"/>
      <c r="R319" s="49"/>
      <c r="S319" s="49"/>
      <c r="T319" s="49"/>
      <c r="U319" s="49"/>
      <c r="V319" s="49"/>
      <c r="W319" s="49"/>
      <c r="X319" s="49"/>
      <c r="Y319" s="49"/>
      <c r="Z319" s="49"/>
      <c r="AA319" s="49"/>
      <c r="AB319" s="49"/>
      <c r="AC319" s="49"/>
    </row>
    <row r="320" spans="1:29">
      <c r="A320" s="43"/>
      <c r="B320" s="43"/>
      <c r="C320" s="43"/>
      <c r="D320" s="43"/>
      <c r="E320" s="43"/>
      <c r="F320" s="43"/>
      <c r="G320" s="43"/>
      <c r="H320" s="43"/>
      <c r="I320" s="43"/>
      <c r="J320" s="43"/>
      <c r="K320" s="43"/>
      <c r="L320" s="43"/>
      <c r="M320" s="43"/>
      <c r="N320" s="43"/>
      <c r="O320" s="43"/>
      <c r="P320" s="43"/>
      <c r="Q320" s="43"/>
      <c r="R320" s="49"/>
      <c r="S320" s="49"/>
      <c r="T320" s="49"/>
      <c r="U320" s="49"/>
      <c r="V320" s="49"/>
      <c r="W320" s="49"/>
      <c r="X320" s="49"/>
      <c r="Y320" s="49"/>
      <c r="Z320" s="49"/>
      <c r="AA320" s="49"/>
      <c r="AB320" s="49"/>
      <c r="AC320" s="49"/>
    </row>
    <row r="321" spans="1:29">
      <c r="A321" s="43"/>
      <c r="B321" s="43"/>
      <c r="C321" s="43"/>
      <c r="D321" s="43"/>
      <c r="E321" s="43"/>
      <c r="F321" s="43"/>
      <c r="G321" s="43"/>
      <c r="H321" s="43"/>
      <c r="I321" s="43"/>
      <c r="J321" s="43"/>
      <c r="K321" s="43"/>
      <c r="L321" s="43"/>
      <c r="M321" s="43"/>
      <c r="N321" s="43"/>
      <c r="O321" s="43"/>
      <c r="P321" s="43"/>
      <c r="Q321" s="43"/>
      <c r="R321" s="49"/>
      <c r="S321" s="49"/>
      <c r="T321" s="49"/>
      <c r="U321" s="49"/>
      <c r="V321" s="49"/>
      <c r="W321" s="49"/>
      <c r="X321" s="49"/>
      <c r="Y321" s="49"/>
      <c r="Z321" s="49"/>
      <c r="AA321" s="49"/>
      <c r="AB321" s="49"/>
      <c r="AC321" s="49"/>
    </row>
    <row r="322" spans="1:29">
      <c r="A322" s="43"/>
      <c r="B322" s="43"/>
      <c r="C322" s="43"/>
      <c r="D322" s="43"/>
      <c r="E322" s="43"/>
      <c r="F322" s="43"/>
      <c r="G322" s="43"/>
      <c r="H322" s="43"/>
      <c r="I322" s="43"/>
      <c r="J322" s="43"/>
      <c r="K322" s="43"/>
      <c r="L322" s="43"/>
      <c r="M322" s="43"/>
      <c r="N322" s="43"/>
      <c r="O322" s="43"/>
      <c r="P322" s="43"/>
      <c r="Q322" s="43"/>
      <c r="R322" s="49"/>
      <c r="S322" s="49"/>
      <c r="T322" s="49"/>
      <c r="U322" s="49"/>
      <c r="V322" s="49"/>
      <c r="W322" s="49"/>
      <c r="X322" s="49"/>
      <c r="Y322" s="49"/>
      <c r="Z322" s="49"/>
      <c r="AA322" s="49"/>
      <c r="AB322" s="49"/>
      <c r="AC322" s="49"/>
    </row>
    <row r="323" spans="1:29">
      <c r="A323" s="43"/>
      <c r="B323" s="43"/>
      <c r="C323" s="43"/>
      <c r="D323" s="43"/>
      <c r="E323" s="43"/>
      <c r="F323" s="43"/>
      <c r="G323" s="43"/>
      <c r="H323" s="43"/>
      <c r="I323" s="43"/>
      <c r="J323" s="43"/>
      <c r="K323" s="43"/>
      <c r="L323" s="43"/>
      <c r="M323" s="43"/>
      <c r="N323" s="43"/>
      <c r="O323" s="43"/>
      <c r="P323" s="43"/>
      <c r="Q323" s="43"/>
      <c r="R323" s="49"/>
      <c r="S323" s="49"/>
      <c r="T323" s="49"/>
      <c r="U323" s="49"/>
      <c r="V323" s="49"/>
      <c r="W323" s="49"/>
      <c r="X323" s="49"/>
      <c r="Y323" s="49"/>
      <c r="Z323" s="49"/>
      <c r="AA323" s="49"/>
      <c r="AB323" s="49"/>
      <c r="AC323" s="49"/>
    </row>
    <row r="324" spans="1:29">
      <c r="A324" s="43"/>
      <c r="B324" s="43"/>
      <c r="C324" s="43"/>
      <c r="D324" s="43"/>
      <c r="E324" s="43"/>
      <c r="F324" s="43"/>
      <c r="G324" s="43"/>
      <c r="H324" s="43"/>
      <c r="I324" s="43"/>
      <c r="J324" s="43"/>
      <c r="K324" s="43"/>
      <c r="L324" s="43"/>
      <c r="M324" s="43"/>
      <c r="N324" s="43"/>
      <c r="O324" s="43"/>
      <c r="P324" s="43"/>
      <c r="Q324" s="43"/>
      <c r="R324" s="49"/>
      <c r="S324" s="49"/>
      <c r="T324" s="49"/>
      <c r="U324" s="49"/>
      <c r="V324" s="49"/>
      <c r="W324" s="49"/>
      <c r="X324" s="49"/>
      <c r="Y324" s="49"/>
      <c r="Z324" s="49"/>
      <c r="AA324" s="49"/>
      <c r="AB324" s="49"/>
      <c r="AC324" s="49"/>
    </row>
    <row r="325" spans="1:29">
      <c r="A325" s="43"/>
      <c r="B325" s="43"/>
      <c r="C325" s="43"/>
      <c r="D325" s="43"/>
      <c r="E325" s="43"/>
      <c r="F325" s="43"/>
      <c r="G325" s="43"/>
      <c r="H325" s="43"/>
      <c r="I325" s="43"/>
      <c r="J325" s="43"/>
      <c r="K325" s="43"/>
      <c r="L325" s="43"/>
      <c r="M325" s="43"/>
      <c r="N325" s="43"/>
      <c r="O325" s="43"/>
      <c r="P325" s="43"/>
      <c r="Q325" s="43"/>
      <c r="R325" s="49"/>
      <c r="S325" s="49"/>
      <c r="T325" s="49"/>
      <c r="U325" s="49"/>
      <c r="V325" s="49"/>
      <c r="W325" s="49"/>
      <c r="X325" s="49"/>
      <c r="Y325" s="49"/>
      <c r="Z325" s="49"/>
      <c r="AA325" s="49"/>
      <c r="AB325" s="49"/>
      <c r="AC325" s="49"/>
    </row>
    <row r="326" spans="1:29">
      <c r="A326" s="43"/>
      <c r="B326" s="43"/>
      <c r="C326" s="43"/>
      <c r="D326" s="43"/>
      <c r="E326" s="43"/>
      <c r="F326" s="43"/>
      <c r="G326" s="43"/>
      <c r="H326" s="43"/>
      <c r="I326" s="43"/>
      <c r="J326" s="43"/>
      <c r="K326" s="43"/>
      <c r="L326" s="43"/>
      <c r="M326" s="43"/>
      <c r="N326" s="43"/>
      <c r="O326" s="43"/>
      <c r="P326" s="43"/>
      <c r="Q326" s="43"/>
      <c r="R326" s="49"/>
      <c r="S326" s="49"/>
      <c r="T326" s="49"/>
      <c r="U326" s="49"/>
      <c r="V326" s="49"/>
      <c r="W326" s="49"/>
      <c r="X326" s="49"/>
      <c r="Y326" s="49"/>
      <c r="Z326" s="49"/>
      <c r="AA326" s="49"/>
      <c r="AB326" s="49"/>
      <c r="AC326" s="49"/>
    </row>
    <row r="327" spans="1:29">
      <c r="A327" s="43"/>
      <c r="B327" s="43"/>
      <c r="C327" s="43"/>
      <c r="D327" s="43"/>
      <c r="E327" s="43"/>
      <c r="F327" s="43"/>
      <c r="G327" s="43"/>
      <c r="H327" s="43"/>
      <c r="I327" s="43"/>
      <c r="J327" s="43"/>
      <c r="K327" s="43"/>
      <c r="L327" s="43"/>
      <c r="M327" s="43"/>
      <c r="N327" s="43"/>
      <c r="O327" s="43"/>
      <c r="P327" s="43"/>
      <c r="Q327" s="43"/>
      <c r="R327" s="49"/>
      <c r="S327" s="49"/>
      <c r="T327" s="49"/>
      <c r="U327" s="49"/>
      <c r="V327" s="49"/>
      <c r="W327" s="49"/>
      <c r="X327" s="49"/>
      <c r="Y327" s="49"/>
      <c r="Z327" s="49"/>
      <c r="AA327" s="49"/>
      <c r="AB327" s="49"/>
      <c r="AC327" s="49"/>
    </row>
    <row r="328" spans="1:29">
      <c r="A328" s="43"/>
      <c r="B328" s="43"/>
      <c r="C328" s="43"/>
      <c r="D328" s="43"/>
      <c r="E328" s="43"/>
      <c r="F328" s="43"/>
      <c r="G328" s="43"/>
      <c r="H328" s="43"/>
      <c r="I328" s="43"/>
      <c r="J328" s="43"/>
      <c r="K328" s="43"/>
      <c r="L328" s="43"/>
      <c r="M328" s="43"/>
      <c r="N328" s="43"/>
      <c r="O328" s="43"/>
      <c r="P328" s="43"/>
      <c r="Q328" s="43"/>
      <c r="R328" s="49"/>
      <c r="S328" s="49"/>
      <c r="T328" s="49"/>
      <c r="U328" s="49"/>
      <c r="V328" s="49"/>
      <c r="W328" s="49"/>
      <c r="X328" s="49"/>
      <c r="Y328" s="49"/>
      <c r="Z328" s="49"/>
      <c r="AA328" s="49"/>
      <c r="AB328" s="49"/>
      <c r="AC328" s="49"/>
    </row>
    <row r="329" spans="1:29">
      <c r="A329" s="43"/>
      <c r="B329" s="43"/>
      <c r="C329" s="43"/>
      <c r="D329" s="43"/>
      <c r="E329" s="43"/>
      <c r="F329" s="43"/>
      <c r="G329" s="43"/>
      <c r="H329" s="43"/>
      <c r="I329" s="43"/>
      <c r="J329" s="43"/>
      <c r="K329" s="43"/>
      <c r="L329" s="43"/>
      <c r="M329" s="43"/>
      <c r="N329" s="43"/>
      <c r="O329" s="43"/>
      <c r="P329" s="43"/>
      <c r="Q329" s="43"/>
      <c r="R329" s="49"/>
      <c r="S329" s="49"/>
      <c r="T329" s="49"/>
      <c r="U329" s="49"/>
      <c r="V329" s="49"/>
      <c r="W329" s="49"/>
      <c r="X329" s="49"/>
      <c r="Y329" s="49"/>
      <c r="Z329" s="49"/>
      <c r="AA329" s="49"/>
      <c r="AB329" s="49"/>
      <c r="AC329" s="49"/>
    </row>
    <row r="330" spans="1:29">
      <c r="A330" s="43"/>
      <c r="B330" s="43"/>
      <c r="C330" s="43"/>
      <c r="D330" s="43"/>
      <c r="E330" s="43"/>
      <c r="F330" s="43"/>
      <c r="G330" s="43"/>
      <c r="H330" s="43"/>
      <c r="I330" s="43"/>
      <c r="J330" s="43"/>
      <c r="K330" s="43"/>
      <c r="L330" s="43"/>
      <c r="M330" s="43"/>
      <c r="N330" s="43"/>
      <c r="O330" s="43"/>
      <c r="P330" s="43"/>
      <c r="Q330" s="43"/>
      <c r="R330" s="49"/>
      <c r="S330" s="49"/>
      <c r="T330" s="49"/>
      <c r="U330" s="49"/>
      <c r="V330" s="49"/>
      <c r="W330" s="49"/>
      <c r="X330" s="49"/>
      <c r="Y330" s="49"/>
      <c r="Z330" s="49"/>
      <c r="AA330" s="49"/>
      <c r="AB330" s="49"/>
      <c r="AC330" s="49"/>
    </row>
    <row r="331" spans="1:29">
      <c r="A331" s="43"/>
      <c r="B331" s="43"/>
      <c r="C331" s="43"/>
      <c r="D331" s="43"/>
      <c r="E331" s="43"/>
      <c r="F331" s="43"/>
      <c r="G331" s="43"/>
      <c r="H331" s="43"/>
      <c r="I331" s="43"/>
      <c r="J331" s="43"/>
      <c r="K331" s="43"/>
      <c r="L331" s="43"/>
      <c r="M331" s="43"/>
      <c r="N331" s="43"/>
      <c r="O331" s="43"/>
      <c r="P331" s="43"/>
      <c r="Q331" s="43"/>
      <c r="R331" s="49"/>
      <c r="S331" s="49"/>
      <c r="T331" s="49"/>
      <c r="U331" s="49"/>
      <c r="V331" s="49"/>
      <c r="W331" s="49"/>
      <c r="X331" s="49"/>
      <c r="Y331" s="49"/>
      <c r="Z331" s="49"/>
      <c r="AA331" s="49"/>
      <c r="AB331" s="49"/>
      <c r="AC331" s="49"/>
    </row>
    <row r="332" spans="1:29">
      <c r="A332" s="43"/>
      <c r="B332" s="43"/>
      <c r="C332" s="43"/>
      <c r="D332" s="43"/>
      <c r="E332" s="43"/>
      <c r="F332" s="43"/>
      <c r="G332" s="43"/>
      <c r="H332" s="43"/>
      <c r="I332" s="43"/>
      <c r="J332" s="43"/>
      <c r="K332" s="43"/>
      <c r="L332" s="43"/>
      <c r="M332" s="43"/>
      <c r="N332" s="43"/>
      <c r="O332" s="43"/>
      <c r="P332" s="43"/>
      <c r="Q332" s="43"/>
      <c r="R332" s="49"/>
      <c r="S332" s="49"/>
      <c r="T332" s="49"/>
      <c r="U332" s="49"/>
      <c r="V332" s="49"/>
      <c r="W332" s="49"/>
      <c r="X332" s="49"/>
      <c r="Y332" s="49"/>
      <c r="Z332" s="49"/>
      <c r="AA332" s="49"/>
      <c r="AB332" s="49"/>
      <c r="AC332" s="49"/>
    </row>
    <row r="333" spans="1:29">
      <c r="A333" s="43"/>
      <c r="B333" s="43"/>
      <c r="C333" s="43"/>
      <c r="D333" s="43"/>
      <c r="E333" s="43"/>
      <c r="F333" s="43"/>
      <c r="G333" s="43"/>
      <c r="H333" s="43"/>
      <c r="I333" s="43"/>
      <c r="J333" s="43"/>
      <c r="K333" s="43"/>
      <c r="L333" s="43"/>
      <c r="M333" s="43"/>
      <c r="N333" s="43"/>
      <c r="O333" s="43"/>
      <c r="P333" s="43"/>
      <c r="Q333" s="43"/>
      <c r="R333" s="49"/>
      <c r="S333" s="49"/>
      <c r="T333" s="49"/>
      <c r="U333" s="49"/>
      <c r="V333" s="49"/>
      <c r="W333" s="49"/>
      <c r="X333" s="49"/>
      <c r="Y333" s="49"/>
      <c r="Z333" s="49"/>
      <c r="AA333" s="49"/>
      <c r="AB333" s="49"/>
      <c r="AC333" s="49"/>
    </row>
    <row r="334" spans="1:29">
      <c r="A334" s="43"/>
      <c r="B334" s="43"/>
      <c r="C334" s="43"/>
      <c r="D334" s="43"/>
      <c r="E334" s="43"/>
      <c r="F334" s="43"/>
      <c r="G334" s="43"/>
      <c r="H334" s="43"/>
      <c r="I334" s="43"/>
      <c r="J334" s="43"/>
      <c r="K334" s="43"/>
      <c r="L334" s="43"/>
      <c r="M334" s="43"/>
      <c r="N334" s="43"/>
      <c r="O334" s="43"/>
      <c r="P334" s="43"/>
      <c r="Q334" s="43"/>
      <c r="R334" s="49"/>
      <c r="S334" s="49"/>
      <c r="T334" s="49"/>
      <c r="U334" s="49"/>
      <c r="V334" s="49"/>
      <c r="W334" s="49"/>
      <c r="X334" s="49"/>
      <c r="Y334" s="49"/>
      <c r="Z334" s="49"/>
      <c r="AA334" s="49"/>
      <c r="AB334" s="49"/>
      <c r="AC334" s="49"/>
    </row>
    <row r="335" spans="1:29">
      <c r="A335" s="43"/>
      <c r="B335" s="43"/>
      <c r="C335" s="43"/>
      <c r="D335" s="43"/>
      <c r="E335" s="43"/>
      <c r="F335" s="43"/>
      <c r="G335" s="43"/>
      <c r="H335" s="43"/>
      <c r="I335" s="43"/>
      <c r="J335" s="43"/>
      <c r="K335" s="43"/>
      <c r="L335" s="43"/>
      <c r="M335" s="43"/>
      <c r="N335" s="43"/>
      <c r="O335" s="43"/>
      <c r="P335" s="43"/>
      <c r="Q335" s="43"/>
      <c r="R335" s="49"/>
      <c r="S335" s="49"/>
      <c r="T335" s="49"/>
      <c r="U335" s="49"/>
      <c r="V335" s="49"/>
      <c r="W335" s="49"/>
      <c r="X335" s="49"/>
      <c r="Y335" s="49"/>
      <c r="Z335" s="49"/>
      <c r="AA335" s="49"/>
      <c r="AB335" s="49"/>
      <c r="AC335" s="49"/>
    </row>
    <row r="336" spans="1:29">
      <c r="A336" s="43"/>
      <c r="B336" s="43"/>
      <c r="C336" s="43"/>
      <c r="D336" s="43"/>
      <c r="E336" s="43"/>
      <c r="F336" s="43"/>
      <c r="G336" s="43"/>
      <c r="H336" s="43"/>
      <c r="I336" s="43"/>
      <c r="J336" s="43"/>
      <c r="K336" s="43"/>
      <c r="L336" s="43"/>
      <c r="M336" s="43"/>
      <c r="N336" s="43"/>
      <c r="O336" s="43"/>
      <c r="P336" s="43"/>
      <c r="Q336" s="43"/>
      <c r="R336" s="49"/>
      <c r="S336" s="49"/>
      <c r="T336" s="49"/>
      <c r="U336" s="49"/>
      <c r="V336" s="49"/>
      <c r="W336" s="49"/>
      <c r="X336" s="49"/>
      <c r="Y336" s="49"/>
      <c r="Z336" s="49"/>
      <c r="AA336" s="49"/>
      <c r="AB336" s="49"/>
      <c r="AC336" s="49"/>
    </row>
    <row r="337" spans="1:29">
      <c r="A337" s="43"/>
      <c r="B337" s="43"/>
      <c r="C337" s="43"/>
      <c r="D337" s="43"/>
      <c r="E337" s="43"/>
      <c r="F337" s="43"/>
      <c r="G337" s="43"/>
      <c r="H337" s="43"/>
      <c r="I337" s="43"/>
      <c r="J337" s="43"/>
      <c r="K337" s="43"/>
      <c r="L337" s="43"/>
      <c r="M337" s="43"/>
      <c r="N337" s="43"/>
      <c r="O337" s="43"/>
      <c r="P337" s="43"/>
      <c r="Q337" s="43"/>
      <c r="R337" s="49"/>
      <c r="S337" s="49"/>
      <c r="T337" s="49"/>
      <c r="U337" s="49"/>
      <c r="V337" s="49"/>
      <c r="W337" s="49"/>
      <c r="X337" s="49"/>
      <c r="Y337" s="49"/>
      <c r="Z337" s="49"/>
      <c r="AA337" s="49"/>
      <c r="AB337" s="49"/>
      <c r="AC337" s="49"/>
    </row>
    <row r="338" spans="1:29">
      <c r="A338" s="43"/>
      <c r="B338" s="43"/>
      <c r="C338" s="43"/>
      <c r="D338" s="43"/>
      <c r="E338" s="43"/>
      <c r="F338" s="43"/>
      <c r="G338" s="43"/>
      <c r="H338" s="43"/>
      <c r="I338" s="43"/>
      <c r="J338" s="43"/>
      <c r="K338" s="43"/>
      <c r="L338" s="43"/>
      <c r="M338" s="43"/>
      <c r="N338" s="43"/>
      <c r="O338" s="43"/>
      <c r="P338" s="43"/>
      <c r="Q338" s="43"/>
      <c r="R338" s="49"/>
      <c r="S338" s="49"/>
      <c r="T338" s="49"/>
      <c r="U338" s="49"/>
      <c r="V338" s="49"/>
      <c r="W338" s="49"/>
      <c r="X338" s="49"/>
      <c r="Y338" s="49"/>
      <c r="Z338" s="49"/>
      <c r="AA338" s="49"/>
      <c r="AB338" s="49"/>
      <c r="AC338" s="49"/>
    </row>
    <row r="339" spans="1:29">
      <c r="A339" s="43"/>
      <c r="B339" s="43"/>
      <c r="C339" s="43"/>
      <c r="D339" s="43"/>
      <c r="E339" s="43"/>
      <c r="F339" s="43"/>
      <c r="G339" s="43"/>
      <c r="H339" s="43"/>
      <c r="I339" s="43"/>
      <c r="J339" s="43"/>
      <c r="K339" s="43"/>
      <c r="L339" s="43"/>
      <c r="M339" s="43"/>
      <c r="N339" s="43"/>
      <c r="O339" s="43"/>
      <c r="P339" s="43"/>
      <c r="Q339" s="43"/>
      <c r="R339" s="49"/>
      <c r="S339" s="49"/>
      <c r="T339" s="49"/>
      <c r="U339" s="49"/>
      <c r="V339" s="49"/>
      <c r="W339" s="49"/>
      <c r="X339" s="49"/>
      <c r="Y339" s="49"/>
      <c r="Z339" s="49"/>
      <c r="AA339" s="49"/>
      <c r="AB339" s="49"/>
      <c r="AC339" s="49"/>
    </row>
    <row r="340" spans="1:29">
      <c r="A340" s="43"/>
      <c r="B340" s="43"/>
      <c r="C340" s="43"/>
      <c r="D340" s="43"/>
      <c r="E340" s="43"/>
      <c r="F340" s="43"/>
      <c r="G340" s="43"/>
      <c r="H340" s="43"/>
      <c r="I340" s="43"/>
      <c r="J340" s="43"/>
      <c r="K340" s="43"/>
      <c r="L340" s="43"/>
      <c r="M340" s="43"/>
      <c r="N340" s="43"/>
      <c r="O340" s="43"/>
      <c r="P340" s="43"/>
      <c r="Q340" s="43"/>
      <c r="R340" s="49"/>
      <c r="S340" s="49"/>
      <c r="T340" s="49"/>
      <c r="U340" s="49"/>
      <c r="V340" s="49"/>
      <c r="W340" s="49"/>
      <c r="X340" s="49"/>
      <c r="Y340" s="49"/>
      <c r="Z340" s="49"/>
      <c r="AA340" s="49"/>
      <c r="AB340" s="49"/>
      <c r="AC340" s="49"/>
    </row>
    <row r="341" spans="1:29">
      <c r="A341" s="43"/>
      <c r="B341" s="43"/>
      <c r="C341" s="43"/>
      <c r="D341" s="43"/>
      <c r="E341" s="43"/>
      <c r="F341" s="43"/>
      <c r="G341" s="43"/>
      <c r="H341" s="43"/>
      <c r="I341" s="43"/>
      <c r="J341" s="43"/>
      <c r="K341" s="43"/>
      <c r="L341" s="43"/>
      <c r="M341" s="43"/>
      <c r="N341" s="43"/>
      <c r="O341" s="43"/>
      <c r="P341" s="43"/>
      <c r="Q341" s="43"/>
      <c r="R341" s="49"/>
      <c r="S341" s="49"/>
      <c r="T341" s="49"/>
      <c r="U341" s="49"/>
      <c r="V341" s="49"/>
      <c r="W341" s="49"/>
      <c r="X341" s="49"/>
      <c r="Y341" s="49"/>
      <c r="Z341" s="49"/>
      <c r="AA341" s="49"/>
      <c r="AB341" s="49"/>
      <c r="AC341" s="49"/>
    </row>
    <row r="342" spans="1:29">
      <c r="A342" s="43"/>
      <c r="B342" s="43"/>
      <c r="C342" s="43"/>
      <c r="D342" s="43"/>
      <c r="E342" s="43"/>
      <c r="F342" s="43"/>
      <c r="G342" s="43"/>
      <c r="H342" s="43"/>
      <c r="I342" s="43"/>
      <c r="J342" s="43"/>
      <c r="K342" s="43"/>
      <c r="L342" s="43"/>
      <c r="M342" s="43"/>
      <c r="N342" s="43"/>
      <c r="O342" s="43"/>
      <c r="P342" s="43"/>
      <c r="Q342" s="43"/>
      <c r="R342" s="49"/>
      <c r="S342" s="49"/>
      <c r="T342" s="49"/>
      <c r="U342" s="49"/>
      <c r="V342" s="49"/>
      <c r="W342" s="49"/>
      <c r="X342" s="49"/>
      <c r="Y342" s="49"/>
      <c r="Z342" s="49"/>
      <c r="AA342" s="49"/>
      <c r="AB342" s="49"/>
      <c r="AC342" s="49"/>
    </row>
    <row r="343" spans="1:29">
      <c r="A343" s="43"/>
      <c r="B343" s="43"/>
      <c r="C343" s="43"/>
      <c r="D343" s="43"/>
      <c r="E343" s="43"/>
      <c r="F343" s="43"/>
      <c r="G343" s="43"/>
      <c r="H343" s="43"/>
      <c r="I343" s="43"/>
      <c r="J343" s="43"/>
      <c r="K343" s="43"/>
      <c r="L343" s="43"/>
      <c r="M343" s="43"/>
      <c r="N343" s="43"/>
      <c r="O343" s="43"/>
      <c r="P343" s="43"/>
      <c r="Q343" s="43"/>
      <c r="R343" s="49"/>
      <c r="S343" s="49"/>
      <c r="T343" s="49"/>
      <c r="U343" s="49"/>
      <c r="V343" s="49"/>
      <c r="W343" s="49"/>
      <c r="X343" s="49"/>
      <c r="Y343" s="49"/>
      <c r="Z343" s="49"/>
      <c r="AA343" s="49"/>
      <c r="AB343" s="49"/>
      <c r="AC343" s="49"/>
    </row>
    <row r="344" spans="1:29">
      <c r="A344" s="43"/>
      <c r="B344" s="43"/>
      <c r="C344" s="43"/>
      <c r="D344" s="43"/>
      <c r="E344" s="43"/>
      <c r="F344" s="43"/>
      <c r="G344" s="43"/>
      <c r="H344" s="43"/>
      <c r="I344" s="43"/>
      <c r="J344" s="43"/>
      <c r="K344" s="43"/>
      <c r="L344" s="43"/>
      <c r="M344" s="43"/>
      <c r="N344" s="43"/>
      <c r="O344" s="43"/>
      <c r="P344" s="43"/>
      <c r="Q344" s="43"/>
      <c r="R344" s="49"/>
      <c r="S344" s="49"/>
      <c r="T344" s="49"/>
      <c r="U344" s="49"/>
      <c r="V344" s="49"/>
      <c r="W344" s="49"/>
      <c r="X344" s="49"/>
      <c r="Y344" s="49"/>
      <c r="Z344" s="49"/>
      <c r="AA344" s="49"/>
      <c r="AB344" s="49"/>
      <c r="AC344" s="49"/>
    </row>
    <row r="345" spans="1:29">
      <c r="A345" s="43"/>
      <c r="B345" s="43"/>
      <c r="C345" s="43"/>
      <c r="D345" s="43"/>
      <c r="E345" s="43"/>
      <c r="F345" s="43"/>
      <c r="G345" s="43"/>
      <c r="H345" s="43"/>
      <c r="I345" s="43"/>
      <c r="J345" s="43"/>
      <c r="K345" s="43"/>
      <c r="L345" s="43"/>
      <c r="M345" s="43"/>
      <c r="N345" s="43"/>
      <c r="O345" s="43"/>
      <c r="P345" s="43"/>
      <c r="Q345" s="43"/>
      <c r="R345" s="49"/>
      <c r="S345" s="49"/>
      <c r="T345" s="49"/>
      <c r="U345" s="49"/>
      <c r="V345" s="49"/>
      <c r="W345" s="49"/>
      <c r="X345" s="49"/>
      <c r="Y345" s="49"/>
      <c r="Z345" s="49"/>
      <c r="AA345" s="49"/>
      <c r="AB345" s="49"/>
      <c r="AC345" s="49"/>
    </row>
    <row r="346" spans="1:29">
      <c r="A346" s="43"/>
      <c r="B346" s="43"/>
      <c r="C346" s="43"/>
      <c r="D346" s="43"/>
      <c r="E346" s="43"/>
      <c r="F346" s="43"/>
      <c r="G346" s="43"/>
      <c r="H346" s="43"/>
      <c r="I346" s="43"/>
      <c r="J346" s="43"/>
      <c r="K346" s="43"/>
      <c r="L346" s="43"/>
      <c r="M346" s="43"/>
      <c r="N346" s="43"/>
      <c r="O346" s="43"/>
      <c r="P346" s="43"/>
      <c r="Q346" s="43"/>
      <c r="R346" s="49"/>
      <c r="S346" s="49"/>
      <c r="T346" s="49"/>
      <c r="U346" s="49"/>
      <c r="V346" s="49"/>
      <c r="W346" s="49"/>
      <c r="X346" s="49"/>
      <c r="Y346" s="49"/>
      <c r="Z346" s="49"/>
      <c r="AA346" s="49"/>
      <c r="AB346" s="49"/>
      <c r="AC346" s="49"/>
    </row>
    <row r="347" spans="1:29">
      <c r="A347" s="43"/>
      <c r="B347" s="43"/>
      <c r="C347" s="43"/>
      <c r="D347" s="43"/>
      <c r="E347" s="43"/>
      <c r="F347" s="43"/>
      <c r="G347" s="43"/>
      <c r="H347" s="43"/>
      <c r="I347" s="43"/>
      <c r="J347" s="43"/>
      <c r="K347" s="43"/>
      <c r="L347" s="43"/>
      <c r="M347" s="43"/>
      <c r="N347" s="43"/>
      <c r="O347" s="43"/>
      <c r="P347" s="43"/>
      <c r="Q347" s="43"/>
      <c r="R347" s="49"/>
      <c r="S347" s="49"/>
      <c r="T347" s="49"/>
      <c r="U347" s="49"/>
      <c r="V347" s="49"/>
      <c r="W347" s="49"/>
      <c r="X347" s="49"/>
      <c r="Y347" s="49"/>
      <c r="Z347" s="49"/>
      <c r="AA347" s="49"/>
      <c r="AB347" s="49"/>
      <c r="AC347" s="49"/>
    </row>
    <row r="348" spans="1:29">
      <c r="A348" s="43"/>
      <c r="B348" s="43"/>
      <c r="C348" s="43"/>
      <c r="D348" s="43"/>
      <c r="E348" s="43"/>
      <c r="F348" s="43"/>
      <c r="G348" s="43"/>
      <c r="H348" s="43"/>
      <c r="I348" s="43"/>
      <c r="J348" s="43"/>
      <c r="K348" s="43"/>
      <c r="L348" s="43"/>
      <c r="M348" s="43"/>
      <c r="N348" s="43"/>
      <c r="O348" s="43"/>
      <c r="P348" s="43"/>
      <c r="Q348" s="43"/>
      <c r="R348" s="49"/>
      <c r="S348" s="49"/>
      <c r="T348" s="49"/>
      <c r="U348" s="49"/>
      <c r="V348" s="49"/>
      <c r="W348" s="49"/>
      <c r="X348" s="49"/>
      <c r="Y348" s="49"/>
      <c r="Z348" s="49"/>
      <c r="AA348" s="49"/>
      <c r="AB348" s="49"/>
      <c r="AC348" s="49"/>
    </row>
    <row r="349" spans="1:29">
      <c r="A349" s="43"/>
      <c r="B349" s="43"/>
      <c r="C349" s="43"/>
      <c r="D349" s="43"/>
      <c r="E349" s="43"/>
      <c r="F349" s="43"/>
      <c r="G349" s="43"/>
      <c r="H349" s="43"/>
      <c r="I349" s="43"/>
      <c r="J349" s="43"/>
      <c r="K349" s="43"/>
      <c r="L349" s="43"/>
      <c r="M349" s="43"/>
      <c r="N349" s="43"/>
      <c r="O349" s="43"/>
      <c r="P349" s="43"/>
      <c r="Q349" s="43"/>
      <c r="R349" s="49"/>
      <c r="S349" s="49"/>
      <c r="T349" s="49"/>
      <c r="U349" s="49"/>
      <c r="V349" s="49"/>
      <c r="W349" s="49"/>
      <c r="X349" s="49"/>
      <c r="Y349" s="49"/>
      <c r="Z349" s="49"/>
      <c r="AA349" s="49"/>
      <c r="AB349" s="49"/>
      <c r="AC349" s="49"/>
    </row>
    <row r="350" spans="1:29">
      <c r="A350" s="43"/>
      <c r="B350" s="43"/>
      <c r="C350" s="43"/>
      <c r="D350" s="43"/>
      <c r="E350" s="43"/>
      <c r="F350" s="43"/>
      <c r="G350" s="43"/>
      <c r="H350" s="43"/>
      <c r="I350" s="43"/>
      <c r="J350" s="43"/>
      <c r="K350" s="43"/>
      <c r="L350" s="43"/>
      <c r="M350" s="43"/>
      <c r="N350" s="43"/>
      <c r="O350" s="43"/>
      <c r="P350" s="43"/>
      <c r="Q350" s="43"/>
      <c r="R350" s="49"/>
      <c r="S350" s="49"/>
      <c r="T350" s="49"/>
      <c r="U350" s="49"/>
      <c r="V350" s="49"/>
      <c r="W350" s="49"/>
      <c r="X350" s="49"/>
      <c r="Y350" s="49"/>
      <c r="Z350" s="49"/>
      <c r="AA350" s="49"/>
      <c r="AB350" s="49"/>
      <c r="AC350" s="49"/>
    </row>
    <row r="351" spans="1:29">
      <c r="A351" s="43"/>
      <c r="B351" s="43"/>
      <c r="C351" s="43"/>
      <c r="D351" s="43"/>
      <c r="E351" s="43"/>
      <c r="F351" s="43"/>
      <c r="G351" s="43"/>
      <c r="H351" s="43"/>
      <c r="I351" s="43"/>
      <c r="J351" s="43"/>
      <c r="K351" s="43"/>
      <c r="L351" s="43"/>
      <c r="M351" s="43"/>
      <c r="N351" s="43"/>
      <c r="O351" s="43"/>
      <c r="P351" s="43"/>
      <c r="Q351" s="43"/>
      <c r="R351" s="49"/>
      <c r="S351" s="49"/>
      <c r="T351" s="49"/>
      <c r="U351" s="49"/>
      <c r="V351" s="49"/>
      <c r="W351" s="49"/>
      <c r="X351" s="49"/>
      <c r="Y351" s="49"/>
      <c r="Z351" s="49"/>
      <c r="AA351" s="49"/>
      <c r="AB351" s="49"/>
      <c r="AC351" s="49"/>
    </row>
    <row r="352" spans="1:29">
      <c r="A352" s="43"/>
      <c r="B352" s="43"/>
      <c r="C352" s="43"/>
      <c r="D352" s="43"/>
      <c r="E352" s="43"/>
      <c r="F352" s="43"/>
      <c r="G352" s="43"/>
      <c r="H352" s="43"/>
      <c r="I352" s="43"/>
      <c r="J352" s="43"/>
      <c r="K352" s="43"/>
      <c r="L352" s="43"/>
      <c r="M352" s="43"/>
      <c r="N352" s="43"/>
      <c r="O352" s="43"/>
      <c r="P352" s="43"/>
      <c r="Q352" s="43"/>
      <c r="R352" s="49"/>
      <c r="S352" s="49"/>
      <c r="T352" s="49"/>
      <c r="U352" s="49"/>
      <c r="V352" s="49"/>
      <c r="W352" s="49"/>
      <c r="X352" s="49"/>
      <c r="Y352" s="49"/>
      <c r="Z352" s="49"/>
      <c r="AA352" s="49"/>
      <c r="AB352" s="49"/>
      <c r="AC352" s="49"/>
    </row>
    <row r="353" spans="1:29">
      <c r="A353" s="43"/>
      <c r="B353" s="43"/>
      <c r="C353" s="43"/>
      <c r="D353" s="43"/>
      <c r="E353" s="43"/>
      <c r="F353" s="43"/>
      <c r="G353" s="43"/>
      <c r="H353" s="43"/>
      <c r="I353" s="43"/>
      <c r="J353" s="43"/>
      <c r="K353" s="43"/>
      <c r="L353" s="43"/>
      <c r="M353" s="43"/>
      <c r="N353" s="43"/>
      <c r="O353" s="43"/>
      <c r="P353" s="43"/>
      <c r="Q353" s="43"/>
      <c r="R353" s="49"/>
      <c r="S353" s="49"/>
      <c r="T353" s="49"/>
      <c r="U353" s="49"/>
      <c r="V353" s="49"/>
      <c r="W353" s="49"/>
      <c r="X353" s="49"/>
      <c r="Y353" s="49"/>
      <c r="Z353" s="49"/>
      <c r="AA353" s="49"/>
      <c r="AB353" s="49"/>
      <c r="AC353" s="49"/>
    </row>
    <row r="354" spans="1:29">
      <c r="A354" s="43"/>
      <c r="B354" s="43"/>
      <c r="C354" s="43"/>
      <c r="D354" s="43"/>
      <c r="E354" s="43"/>
      <c r="F354" s="43"/>
      <c r="G354" s="43"/>
      <c r="H354" s="43"/>
      <c r="I354" s="43"/>
      <c r="J354" s="43"/>
      <c r="K354" s="43"/>
      <c r="L354" s="43"/>
      <c r="M354" s="43"/>
      <c r="N354" s="43"/>
      <c r="O354" s="43"/>
      <c r="P354" s="43"/>
      <c r="Q354" s="43"/>
      <c r="R354" s="49"/>
      <c r="S354" s="49"/>
      <c r="T354" s="49"/>
      <c r="U354" s="49"/>
      <c r="V354" s="49"/>
      <c r="W354" s="49"/>
      <c r="X354" s="49"/>
      <c r="Y354" s="49"/>
      <c r="Z354" s="49"/>
      <c r="AA354" s="49"/>
      <c r="AB354" s="49"/>
      <c r="AC354" s="49"/>
    </row>
    <row r="355" spans="1:29">
      <c r="A355" s="43"/>
      <c r="B355" s="43"/>
      <c r="C355" s="43"/>
      <c r="D355" s="43"/>
      <c r="E355" s="43"/>
      <c r="F355" s="43"/>
      <c r="G355" s="43"/>
      <c r="H355" s="43"/>
      <c r="I355" s="43"/>
      <c r="J355" s="43"/>
      <c r="K355" s="43"/>
      <c r="L355" s="43"/>
      <c r="M355" s="43"/>
      <c r="N355" s="43"/>
      <c r="O355" s="43"/>
      <c r="P355" s="43"/>
      <c r="Q355" s="43"/>
      <c r="R355" s="49"/>
      <c r="S355" s="49"/>
      <c r="T355" s="49"/>
      <c r="U355" s="49"/>
      <c r="V355" s="49"/>
      <c r="W355" s="49"/>
      <c r="X355" s="49"/>
      <c r="Y355" s="49"/>
      <c r="Z355" s="49"/>
      <c r="AA355" s="49"/>
      <c r="AB355" s="49"/>
      <c r="AC355" s="49"/>
    </row>
    <row r="356" spans="1:29">
      <c r="A356" s="43"/>
      <c r="B356" s="43"/>
      <c r="C356" s="43"/>
      <c r="D356" s="43"/>
      <c r="E356" s="43"/>
      <c r="F356" s="43"/>
      <c r="G356" s="43"/>
      <c r="H356" s="43"/>
      <c r="I356" s="43"/>
      <c r="J356" s="43"/>
      <c r="K356" s="43"/>
      <c r="L356" s="43"/>
      <c r="M356" s="43"/>
      <c r="N356" s="43"/>
      <c r="O356" s="43"/>
      <c r="P356" s="43"/>
      <c r="Q356" s="43"/>
      <c r="R356" s="49"/>
      <c r="S356" s="49"/>
      <c r="T356" s="49"/>
      <c r="U356" s="49"/>
      <c r="V356" s="49"/>
      <c r="W356" s="49"/>
      <c r="X356" s="49"/>
      <c r="Y356" s="49"/>
      <c r="Z356" s="49"/>
      <c r="AA356" s="49"/>
      <c r="AB356" s="49"/>
      <c r="AC356" s="49"/>
    </row>
    <row r="357" spans="1:29">
      <c r="A357" s="43"/>
      <c r="B357" s="43"/>
      <c r="C357" s="43"/>
      <c r="D357" s="43"/>
      <c r="E357" s="43"/>
      <c r="F357" s="43"/>
      <c r="G357" s="43"/>
      <c r="H357" s="43"/>
      <c r="I357" s="43"/>
      <c r="J357" s="43"/>
      <c r="K357" s="43"/>
      <c r="L357" s="43"/>
      <c r="M357" s="43"/>
      <c r="N357" s="43"/>
      <c r="O357" s="43"/>
      <c r="P357" s="43"/>
      <c r="Q357" s="43"/>
      <c r="R357" s="49"/>
      <c r="S357" s="49"/>
      <c r="T357" s="49"/>
      <c r="U357" s="49"/>
      <c r="V357" s="49"/>
      <c r="W357" s="49"/>
      <c r="X357" s="49"/>
      <c r="Y357" s="49"/>
      <c r="Z357" s="49"/>
      <c r="AA357" s="49"/>
      <c r="AB357" s="49"/>
      <c r="AC357" s="49"/>
    </row>
    <row r="358" spans="1:29">
      <c r="A358" s="43"/>
      <c r="B358" s="43"/>
      <c r="C358" s="43"/>
      <c r="D358" s="43"/>
      <c r="E358" s="43"/>
      <c r="F358" s="43"/>
      <c r="G358" s="43"/>
      <c r="H358" s="43"/>
      <c r="I358" s="43"/>
      <c r="J358" s="43"/>
      <c r="K358" s="43"/>
      <c r="L358" s="43"/>
      <c r="M358" s="43"/>
      <c r="N358" s="43"/>
      <c r="O358" s="43"/>
      <c r="P358" s="43"/>
      <c r="Q358" s="43"/>
      <c r="R358" s="49"/>
      <c r="S358" s="49"/>
      <c r="T358" s="49"/>
      <c r="U358" s="49"/>
      <c r="V358" s="49"/>
      <c r="W358" s="49"/>
      <c r="X358" s="49"/>
      <c r="Y358" s="49"/>
      <c r="Z358" s="49"/>
      <c r="AA358" s="49"/>
      <c r="AB358" s="49"/>
      <c r="AC358" s="49"/>
    </row>
    <row r="359" spans="1:29">
      <c r="A359" s="43"/>
      <c r="B359" s="43"/>
      <c r="C359" s="43"/>
      <c r="D359" s="43"/>
      <c r="E359" s="43"/>
      <c r="F359" s="43"/>
      <c r="G359" s="43"/>
      <c r="H359" s="43"/>
      <c r="I359" s="43"/>
      <c r="J359" s="43"/>
      <c r="K359" s="43"/>
      <c r="L359" s="43"/>
      <c r="M359" s="43"/>
      <c r="N359" s="43"/>
      <c r="O359" s="43"/>
      <c r="P359" s="43"/>
      <c r="Q359" s="43"/>
      <c r="R359" s="49"/>
      <c r="S359" s="49"/>
      <c r="T359" s="49"/>
      <c r="U359" s="49"/>
      <c r="V359" s="49"/>
      <c r="W359" s="49"/>
      <c r="X359" s="49"/>
      <c r="Y359" s="49"/>
      <c r="Z359" s="49"/>
      <c r="AA359" s="49"/>
      <c r="AB359" s="49"/>
      <c r="AC359" s="49"/>
    </row>
    <row r="360" spans="1:29">
      <c r="A360" s="43"/>
      <c r="B360" s="43"/>
      <c r="C360" s="43"/>
      <c r="D360" s="43"/>
      <c r="E360" s="43"/>
      <c r="F360" s="43"/>
      <c r="G360" s="43"/>
      <c r="H360" s="43"/>
      <c r="I360" s="43"/>
      <c r="J360" s="43"/>
      <c r="K360" s="43"/>
      <c r="L360" s="43"/>
      <c r="M360" s="43"/>
      <c r="N360" s="43"/>
      <c r="O360" s="43"/>
      <c r="P360" s="43"/>
      <c r="Q360" s="43"/>
      <c r="R360" s="49"/>
      <c r="S360" s="49"/>
      <c r="T360" s="49"/>
      <c r="U360" s="49"/>
      <c r="V360" s="49"/>
      <c r="W360" s="49"/>
      <c r="X360" s="49"/>
      <c r="Y360" s="49"/>
      <c r="Z360" s="49"/>
      <c r="AA360" s="49"/>
      <c r="AB360" s="49"/>
      <c r="AC360" s="49"/>
    </row>
    <row r="361" spans="1:29">
      <c r="A361" s="43"/>
      <c r="B361" s="43"/>
      <c r="C361" s="43"/>
      <c r="D361" s="43"/>
      <c r="E361" s="43"/>
      <c r="F361" s="43"/>
      <c r="G361" s="43"/>
      <c r="H361" s="43"/>
      <c r="I361" s="43"/>
      <c r="J361" s="43"/>
      <c r="K361" s="43"/>
      <c r="L361" s="43"/>
      <c r="M361" s="43"/>
      <c r="N361" s="43"/>
      <c r="O361" s="43"/>
      <c r="P361" s="43"/>
      <c r="Q361" s="43"/>
      <c r="R361" s="49"/>
      <c r="S361" s="49"/>
      <c r="T361" s="49"/>
      <c r="U361" s="49"/>
      <c r="V361" s="49"/>
      <c r="W361" s="49"/>
      <c r="X361" s="49"/>
      <c r="Y361" s="49"/>
      <c r="Z361" s="49"/>
      <c r="AA361" s="49"/>
      <c r="AB361" s="49"/>
      <c r="AC361" s="49"/>
    </row>
    <row r="362" spans="1:29">
      <c r="A362" s="43"/>
      <c r="B362" s="43"/>
      <c r="C362" s="43"/>
      <c r="D362" s="43"/>
      <c r="E362" s="43"/>
      <c r="F362" s="43"/>
      <c r="G362" s="43"/>
      <c r="H362" s="43"/>
      <c r="I362" s="43"/>
      <c r="J362" s="43"/>
      <c r="K362" s="43"/>
      <c r="L362" s="43"/>
      <c r="M362" s="43"/>
      <c r="N362" s="43"/>
      <c r="O362" s="43"/>
      <c r="P362" s="43"/>
      <c r="Q362" s="43"/>
      <c r="R362" s="49"/>
      <c r="S362" s="49"/>
      <c r="T362" s="49"/>
      <c r="U362" s="49"/>
      <c r="V362" s="49"/>
      <c r="W362" s="49"/>
      <c r="X362" s="49"/>
      <c r="Y362" s="49"/>
      <c r="Z362" s="49"/>
      <c r="AA362" s="49"/>
      <c r="AB362" s="49"/>
      <c r="AC362" s="49"/>
    </row>
    <row r="363" spans="1:29">
      <c r="A363" s="43"/>
      <c r="B363" s="43"/>
      <c r="C363" s="43"/>
      <c r="D363" s="43"/>
      <c r="E363" s="43"/>
      <c r="F363" s="43"/>
      <c r="G363" s="43"/>
      <c r="H363" s="43"/>
      <c r="I363" s="43"/>
      <c r="J363" s="43"/>
      <c r="K363" s="43"/>
      <c r="L363" s="43"/>
      <c r="M363" s="43"/>
      <c r="N363" s="43"/>
      <c r="O363" s="43"/>
      <c r="P363" s="43"/>
      <c r="Q363" s="43"/>
      <c r="R363" s="49"/>
      <c r="S363" s="49"/>
      <c r="T363" s="49"/>
      <c r="U363" s="49"/>
      <c r="V363" s="49"/>
      <c r="W363" s="49"/>
      <c r="X363" s="49"/>
      <c r="Y363" s="49"/>
      <c r="Z363" s="49"/>
      <c r="AA363" s="49"/>
      <c r="AB363" s="49"/>
      <c r="AC363" s="49"/>
    </row>
    <row r="364" spans="1:29">
      <c r="A364" s="43"/>
      <c r="B364" s="43"/>
      <c r="C364" s="43"/>
      <c r="D364" s="43"/>
      <c r="E364" s="43"/>
      <c r="F364" s="43"/>
      <c r="G364" s="43"/>
      <c r="H364" s="43"/>
      <c r="I364" s="43"/>
      <c r="J364" s="43"/>
      <c r="K364" s="43"/>
      <c r="L364" s="43"/>
      <c r="M364" s="43"/>
      <c r="N364" s="43"/>
      <c r="O364" s="43"/>
      <c r="P364" s="43"/>
      <c r="Q364" s="43"/>
      <c r="R364" s="49"/>
      <c r="S364" s="49"/>
      <c r="T364" s="49"/>
      <c r="U364" s="49"/>
      <c r="V364" s="49"/>
      <c r="W364" s="49"/>
      <c r="X364" s="49"/>
      <c r="Y364" s="49"/>
      <c r="Z364" s="49"/>
      <c r="AA364" s="49"/>
      <c r="AB364" s="49"/>
      <c r="AC364" s="49"/>
    </row>
    <row r="365" spans="1:29">
      <c r="A365" s="43"/>
      <c r="B365" s="43"/>
      <c r="C365" s="43"/>
      <c r="D365" s="43"/>
      <c r="E365" s="43"/>
      <c r="F365" s="43"/>
      <c r="G365" s="43"/>
      <c r="H365" s="43"/>
      <c r="I365" s="43"/>
      <c r="J365" s="43"/>
      <c r="K365" s="43"/>
      <c r="L365" s="43"/>
      <c r="M365" s="43"/>
      <c r="N365" s="43"/>
      <c r="O365" s="43"/>
      <c r="P365" s="43"/>
      <c r="Q365" s="43"/>
      <c r="R365" s="49"/>
      <c r="S365" s="49"/>
      <c r="T365" s="49"/>
      <c r="U365" s="49"/>
      <c r="V365" s="49"/>
      <c r="W365" s="49"/>
      <c r="X365" s="49"/>
      <c r="Y365" s="49"/>
      <c r="Z365" s="49"/>
      <c r="AA365" s="49"/>
      <c r="AB365" s="49"/>
      <c r="AC365" s="49"/>
    </row>
    <row r="366" spans="1:29">
      <c r="A366" s="43"/>
      <c r="B366" s="43"/>
      <c r="C366" s="43"/>
      <c r="D366" s="43"/>
      <c r="E366" s="43"/>
      <c r="F366" s="43"/>
      <c r="G366" s="43"/>
      <c r="H366" s="43"/>
      <c r="I366" s="43"/>
      <c r="J366" s="43"/>
      <c r="K366" s="43"/>
      <c r="L366" s="43"/>
      <c r="M366" s="43"/>
      <c r="N366" s="43"/>
      <c r="O366" s="43"/>
      <c r="P366" s="43"/>
      <c r="Q366" s="43"/>
      <c r="R366" s="49"/>
      <c r="S366" s="49"/>
      <c r="T366" s="49"/>
      <c r="U366" s="49"/>
      <c r="V366" s="49"/>
      <c r="W366" s="49"/>
      <c r="X366" s="49"/>
      <c r="Y366" s="49"/>
      <c r="Z366" s="49"/>
      <c r="AA366" s="49"/>
      <c r="AB366" s="49"/>
      <c r="AC366" s="49"/>
    </row>
    <row r="367" spans="1:29">
      <c r="A367" s="43"/>
      <c r="B367" s="43"/>
      <c r="C367" s="43"/>
      <c r="D367" s="43"/>
      <c r="E367" s="43"/>
      <c r="F367" s="43"/>
      <c r="G367" s="43"/>
      <c r="H367" s="43"/>
      <c r="I367" s="43"/>
      <c r="J367" s="43"/>
      <c r="K367" s="43"/>
      <c r="L367" s="43"/>
      <c r="M367" s="43"/>
      <c r="N367" s="43"/>
      <c r="O367" s="43"/>
      <c r="P367" s="43"/>
      <c r="Q367" s="43"/>
      <c r="R367" s="49"/>
      <c r="S367" s="49"/>
      <c r="T367" s="49"/>
      <c r="U367" s="49"/>
      <c r="V367" s="49"/>
      <c r="W367" s="49"/>
      <c r="X367" s="49"/>
      <c r="Y367" s="49"/>
      <c r="Z367" s="49"/>
      <c r="AA367" s="49"/>
      <c r="AB367" s="49"/>
      <c r="AC367" s="49"/>
    </row>
    <row r="368" spans="1:29">
      <c r="A368" s="43"/>
      <c r="B368" s="43"/>
      <c r="C368" s="43"/>
      <c r="D368" s="43"/>
      <c r="E368" s="43"/>
      <c r="F368" s="43"/>
      <c r="G368" s="43"/>
      <c r="H368" s="43"/>
      <c r="I368" s="43"/>
      <c r="J368" s="43"/>
      <c r="K368" s="43"/>
      <c r="L368" s="43"/>
      <c r="M368" s="43"/>
      <c r="N368" s="43"/>
      <c r="O368" s="43"/>
      <c r="P368" s="43"/>
      <c r="Q368" s="43"/>
      <c r="R368" s="49"/>
      <c r="S368" s="49"/>
      <c r="T368" s="49"/>
      <c r="U368" s="49"/>
      <c r="V368" s="49"/>
      <c r="W368" s="49"/>
      <c r="X368" s="49"/>
      <c r="Y368" s="49"/>
      <c r="Z368" s="49"/>
      <c r="AA368" s="49"/>
      <c r="AB368" s="49"/>
      <c r="AC368" s="49"/>
    </row>
    <row r="369" spans="1:29">
      <c r="A369" s="43"/>
      <c r="B369" s="43"/>
      <c r="C369" s="43"/>
      <c r="D369" s="43"/>
      <c r="E369" s="43"/>
      <c r="F369" s="43"/>
      <c r="G369" s="43"/>
      <c r="H369" s="43"/>
      <c r="I369" s="43"/>
      <c r="J369" s="43"/>
      <c r="K369" s="43"/>
      <c r="L369" s="43"/>
      <c r="M369" s="43"/>
      <c r="N369" s="43"/>
      <c r="O369" s="43"/>
      <c r="P369" s="43"/>
      <c r="Q369" s="43"/>
      <c r="R369" s="49"/>
      <c r="S369" s="49"/>
      <c r="T369" s="49"/>
      <c r="U369" s="49"/>
      <c r="V369" s="49"/>
      <c r="W369" s="49"/>
      <c r="X369" s="49"/>
      <c r="Y369" s="49"/>
      <c r="Z369" s="49"/>
      <c r="AA369" s="49"/>
      <c r="AB369" s="49"/>
      <c r="AC369" s="49"/>
    </row>
    <row r="370" spans="1:29">
      <c r="A370" s="43"/>
      <c r="B370" s="43"/>
      <c r="C370" s="43"/>
      <c r="D370" s="43"/>
      <c r="E370" s="43"/>
      <c r="F370" s="43"/>
      <c r="G370" s="43"/>
      <c r="H370" s="43"/>
      <c r="I370" s="43"/>
      <c r="J370" s="43"/>
      <c r="K370" s="43"/>
      <c r="L370" s="43"/>
      <c r="M370" s="43"/>
      <c r="N370" s="43"/>
      <c r="O370" s="43"/>
      <c r="P370" s="43"/>
      <c r="Q370" s="43"/>
      <c r="R370" s="49"/>
      <c r="S370" s="49"/>
      <c r="T370" s="49"/>
      <c r="U370" s="49"/>
      <c r="V370" s="49"/>
      <c r="W370" s="49"/>
      <c r="X370" s="49"/>
      <c r="Y370" s="49"/>
      <c r="Z370" s="49"/>
      <c r="AA370" s="49"/>
      <c r="AB370" s="49"/>
      <c r="AC370" s="49"/>
    </row>
    <row r="371" spans="1:29">
      <c r="A371" s="43"/>
      <c r="B371" s="43"/>
      <c r="C371" s="43"/>
      <c r="D371" s="43"/>
      <c r="E371" s="43"/>
      <c r="F371" s="43"/>
      <c r="G371" s="43"/>
      <c r="H371" s="43"/>
      <c r="I371" s="43"/>
      <c r="J371" s="43"/>
      <c r="K371" s="43"/>
      <c r="L371" s="43"/>
      <c r="M371" s="43"/>
      <c r="N371" s="43"/>
      <c r="O371" s="43"/>
      <c r="P371" s="43"/>
      <c r="Q371" s="43"/>
      <c r="R371" s="49"/>
      <c r="S371" s="49"/>
      <c r="T371" s="49"/>
      <c r="U371" s="49"/>
      <c r="V371" s="49"/>
      <c r="W371" s="49"/>
      <c r="X371" s="49"/>
      <c r="Y371" s="49"/>
      <c r="Z371" s="49"/>
      <c r="AA371" s="49"/>
      <c r="AB371" s="49"/>
      <c r="AC371" s="49"/>
    </row>
    <row r="372" spans="1:29">
      <c r="A372" s="43"/>
      <c r="B372" s="43"/>
      <c r="C372" s="43"/>
      <c r="D372" s="43"/>
      <c r="E372" s="43"/>
      <c r="F372" s="43"/>
      <c r="G372" s="43"/>
      <c r="H372" s="43"/>
      <c r="I372" s="43"/>
      <c r="J372" s="43"/>
      <c r="K372" s="43"/>
      <c r="L372" s="43"/>
      <c r="M372" s="43"/>
      <c r="N372" s="43"/>
      <c r="O372" s="43"/>
      <c r="P372" s="43"/>
      <c r="Q372" s="43"/>
      <c r="R372" s="49"/>
      <c r="S372" s="49"/>
      <c r="T372" s="49"/>
      <c r="U372" s="49"/>
      <c r="V372" s="49"/>
      <c r="W372" s="49"/>
      <c r="X372" s="49"/>
      <c r="Y372" s="49"/>
      <c r="Z372" s="49"/>
      <c r="AA372" s="49"/>
      <c r="AB372" s="49"/>
      <c r="AC372" s="49"/>
    </row>
    <row r="373" spans="1:29">
      <c r="A373" s="43"/>
      <c r="B373" s="43"/>
      <c r="C373" s="43"/>
      <c r="D373" s="43"/>
      <c r="E373" s="43"/>
      <c r="F373" s="43"/>
      <c r="G373" s="43"/>
      <c r="H373" s="43"/>
      <c r="I373" s="43"/>
      <c r="J373" s="43"/>
      <c r="K373" s="43"/>
      <c r="L373" s="43"/>
      <c r="M373" s="43"/>
      <c r="N373" s="43"/>
      <c r="O373" s="43"/>
      <c r="P373" s="43"/>
      <c r="Q373" s="43"/>
      <c r="R373" s="49"/>
      <c r="S373" s="49"/>
      <c r="T373" s="49"/>
      <c r="U373" s="49"/>
      <c r="V373" s="49"/>
      <c r="W373" s="49"/>
      <c r="X373" s="49"/>
      <c r="Y373" s="49"/>
      <c r="Z373" s="49"/>
      <c r="AA373" s="49"/>
      <c r="AB373" s="49"/>
      <c r="AC373" s="49"/>
    </row>
    <row r="374" spans="1:29">
      <c r="A374" s="43"/>
      <c r="B374" s="43"/>
      <c r="C374" s="43"/>
      <c r="D374" s="43"/>
      <c r="E374" s="43"/>
      <c r="F374" s="43"/>
      <c r="G374" s="43"/>
      <c r="H374" s="43"/>
      <c r="I374" s="43"/>
      <c r="J374" s="43"/>
      <c r="K374" s="43"/>
      <c r="L374" s="43"/>
      <c r="M374" s="43"/>
      <c r="N374" s="43"/>
      <c r="O374" s="43"/>
      <c r="P374" s="43"/>
      <c r="Q374" s="43"/>
      <c r="R374" s="49"/>
      <c r="S374" s="49"/>
      <c r="T374" s="49"/>
      <c r="U374" s="49"/>
      <c r="V374" s="49"/>
      <c r="W374" s="49"/>
      <c r="X374" s="49"/>
      <c r="Y374" s="49"/>
      <c r="Z374" s="49"/>
      <c r="AA374" s="49"/>
      <c r="AB374" s="49"/>
      <c r="AC374" s="49"/>
    </row>
    <row r="375" spans="1:29">
      <c r="A375" s="43"/>
      <c r="B375" s="43"/>
      <c r="C375" s="43"/>
      <c r="D375" s="43"/>
      <c r="E375" s="43"/>
      <c r="F375" s="43"/>
      <c r="G375" s="43"/>
      <c r="H375" s="43"/>
      <c r="I375" s="43"/>
      <c r="J375" s="43"/>
      <c r="K375" s="43"/>
      <c r="L375" s="43"/>
      <c r="M375" s="43"/>
      <c r="N375" s="43"/>
      <c r="O375" s="43"/>
      <c r="P375" s="43"/>
      <c r="Q375" s="43"/>
      <c r="R375" s="49"/>
      <c r="S375" s="49"/>
      <c r="T375" s="49"/>
      <c r="U375" s="49"/>
      <c r="V375" s="49"/>
      <c r="W375" s="49"/>
      <c r="X375" s="49"/>
      <c r="Y375" s="49"/>
      <c r="Z375" s="49"/>
      <c r="AA375" s="49"/>
      <c r="AB375" s="49"/>
      <c r="AC375" s="49"/>
    </row>
    <row r="376" spans="1:29">
      <c r="A376" s="43"/>
      <c r="B376" s="43"/>
      <c r="C376" s="43"/>
      <c r="D376" s="43"/>
      <c r="E376" s="43"/>
      <c r="F376" s="43"/>
      <c r="G376" s="43"/>
      <c r="H376" s="43"/>
      <c r="I376" s="43"/>
      <c r="J376" s="43"/>
      <c r="K376" s="43"/>
      <c r="L376" s="43"/>
      <c r="M376" s="43"/>
      <c r="N376" s="43"/>
      <c r="O376" s="43"/>
      <c r="P376" s="43"/>
      <c r="Q376" s="43"/>
      <c r="R376" s="49"/>
      <c r="S376" s="49"/>
      <c r="T376" s="49"/>
      <c r="U376" s="49"/>
      <c r="V376" s="49"/>
      <c r="W376" s="49"/>
      <c r="X376" s="49"/>
      <c r="Y376" s="49"/>
      <c r="Z376" s="49"/>
      <c r="AA376" s="49"/>
      <c r="AB376" s="49"/>
      <c r="AC376" s="49"/>
    </row>
    <row r="377" spans="1:29">
      <c r="A377" s="43"/>
      <c r="B377" s="43"/>
      <c r="C377" s="43"/>
      <c r="D377" s="43"/>
      <c r="E377" s="43"/>
      <c r="F377" s="43"/>
      <c r="G377" s="43"/>
      <c r="H377" s="43"/>
      <c r="I377" s="43"/>
      <c r="J377" s="43"/>
      <c r="K377" s="43"/>
      <c r="L377" s="43"/>
      <c r="M377" s="43"/>
      <c r="N377" s="43"/>
      <c r="O377" s="43"/>
      <c r="P377" s="43"/>
      <c r="Q377" s="43"/>
      <c r="R377" s="49"/>
      <c r="S377" s="49"/>
      <c r="T377" s="49"/>
      <c r="U377" s="49"/>
      <c r="V377" s="49"/>
      <c r="W377" s="49"/>
      <c r="X377" s="49"/>
      <c r="Y377" s="49"/>
      <c r="Z377" s="49"/>
      <c r="AA377" s="49"/>
      <c r="AB377" s="49"/>
      <c r="AC377" s="49"/>
    </row>
    <row r="378" spans="1:29">
      <c r="A378" s="43"/>
      <c r="B378" s="43"/>
      <c r="C378" s="43"/>
      <c r="D378" s="43"/>
      <c r="E378" s="43"/>
      <c r="F378" s="43"/>
      <c r="G378" s="43"/>
      <c r="H378" s="43"/>
      <c r="I378" s="43"/>
      <c r="J378" s="43"/>
      <c r="K378" s="43"/>
      <c r="L378" s="43"/>
      <c r="M378" s="43"/>
      <c r="N378" s="43"/>
      <c r="O378" s="43"/>
      <c r="P378" s="43"/>
      <c r="Q378" s="43"/>
      <c r="R378" s="49"/>
      <c r="S378" s="49"/>
      <c r="T378" s="49"/>
      <c r="U378" s="49"/>
      <c r="V378" s="49"/>
      <c r="W378" s="49"/>
      <c r="X378" s="49"/>
      <c r="Y378" s="49"/>
      <c r="Z378" s="49"/>
      <c r="AA378" s="49"/>
      <c r="AB378" s="49"/>
      <c r="AC378" s="49"/>
    </row>
    <row r="379" spans="1:29">
      <c r="A379" s="43"/>
      <c r="B379" s="43"/>
      <c r="C379" s="43"/>
      <c r="D379" s="43"/>
      <c r="E379" s="43"/>
      <c r="F379" s="43"/>
      <c r="G379" s="43"/>
      <c r="H379" s="43"/>
      <c r="I379" s="43"/>
      <c r="J379" s="43"/>
      <c r="K379" s="43"/>
      <c r="L379" s="43"/>
      <c r="M379" s="43"/>
      <c r="N379" s="43"/>
      <c r="O379" s="43"/>
      <c r="P379" s="43"/>
      <c r="Q379" s="43"/>
      <c r="R379" s="49"/>
      <c r="S379" s="49"/>
      <c r="T379" s="49"/>
      <c r="U379" s="49"/>
      <c r="V379" s="49"/>
      <c r="W379" s="49"/>
      <c r="X379" s="49"/>
      <c r="Y379" s="49"/>
      <c r="Z379" s="49"/>
      <c r="AA379" s="49"/>
      <c r="AB379" s="49"/>
      <c r="AC379" s="49"/>
    </row>
    <row r="380" spans="1:29">
      <c r="A380" s="43"/>
      <c r="B380" s="43"/>
      <c r="C380" s="43"/>
      <c r="D380" s="43"/>
      <c r="E380" s="43"/>
      <c r="F380" s="43"/>
      <c r="G380" s="43"/>
      <c r="H380" s="43"/>
      <c r="I380" s="43"/>
      <c r="J380" s="43"/>
      <c r="K380" s="43"/>
      <c r="L380" s="43"/>
      <c r="M380" s="43"/>
      <c r="N380" s="43"/>
      <c r="O380" s="43"/>
      <c r="P380" s="43"/>
      <c r="Q380" s="43"/>
      <c r="R380" s="49"/>
      <c r="S380" s="49"/>
      <c r="T380" s="49"/>
      <c r="U380" s="49"/>
      <c r="V380" s="49"/>
      <c r="W380" s="49"/>
      <c r="X380" s="49"/>
      <c r="Y380" s="49"/>
      <c r="Z380" s="49"/>
      <c r="AA380" s="49"/>
      <c r="AB380" s="49"/>
      <c r="AC380" s="49"/>
    </row>
    <row r="381" spans="1:29">
      <c r="A381" s="43"/>
      <c r="B381" s="43"/>
      <c r="C381" s="43"/>
      <c r="D381" s="43"/>
      <c r="E381" s="43"/>
      <c r="F381" s="43"/>
      <c r="G381" s="43"/>
      <c r="H381" s="43"/>
      <c r="I381" s="43"/>
      <c r="J381" s="43"/>
      <c r="K381" s="43"/>
      <c r="L381" s="43"/>
      <c r="M381" s="43"/>
      <c r="N381" s="43"/>
      <c r="O381" s="43"/>
      <c r="P381" s="43"/>
      <c r="Q381" s="43"/>
      <c r="R381" s="49"/>
      <c r="S381" s="49"/>
      <c r="T381" s="49"/>
      <c r="U381" s="49"/>
      <c r="V381" s="49"/>
      <c r="W381" s="49"/>
      <c r="X381" s="49"/>
      <c r="Y381" s="49"/>
      <c r="Z381" s="49"/>
      <c r="AA381" s="49"/>
      <c r="AB381" s="49"/>
      <c r="AC381" s="49"/>
    </row>
    <row r="382" spans="1:29">
      <c r="A382" s="43"/>
      <c r="B382" s="43"/>
      <c r="C382" s="43"/>
      <c r="D382" s="43"/>
      <c r="E382" s="43"/>
      <c r="F382" s="43"/>
      <c r="G382" s="43"/>
      <c r="H382" s="43"/>
      <c r="I382" s="43"/>
      <c r="J382" s="43"/>
      <c r="K382" s="43"/>
      <c r="L382" s="43"/>
      <c r="M382" s="43"/>
      <c r="N382" s="43"/>
      <c r="O382" s="43"/>
      <c r="P382" s="43"/>
      <c r="Q382" s="43"/>
      <c r="R382" s="49"/>
      <c r="S382" s="49"/>
      <c r="T382" s="49"/>
      <c r="U382" s="49"/>
      <c r="V382" s="49"/>
      <c r="W382" s="49"/>
      <c r="X382" s="49"/>
      <c r="Y382" s="49"/>
      <c r="Z382" s="49"/>
      <c r="AA382" s="49"/>
      <c r="AB382" s="49"/>
      <c r="AC382" s="49"/>
    </row>
    <row r="383" spans="1:29">
      <c r="A383" s="43"/>
      <c r="B383" s="43"/>
      <c r="C383" s="43"/>
      <c r="D383" s="43"/>
      <c r="E383" s="43"/>
      <c r="F383" s="43"/>
      <c r="G383" s="43"/>
      <c r="H383" s="43"/>
      <c r="I383" s="43"/>
      <c r="J383" s="43"/>
      <c r="K383" s="43"/>
      <c r="L383" s="43"/>
      <c r="M383" s="43"/>
      <c r="N383" s="43"/>
      <c r="O383" s="43"/>
      <c r="P383" s="43"/>
      <c r="Q383" s="43"/>
      <c r="R383" s="49"/>
      <c r="S383" s="49"/>
      <c r="T383" s="49"/>
      <c r="U383" s="49"/>
      <c r="V383" s="49"/>
      <c r="W383" s="49"/>
      <c r="X383" s="49"/>
      <c r="Y383" s="49"/>
      <c r="Z383" s="49"/>
      <c r="AA383" s="49"/>
      <c r="AB383" s="49"/>
      <c r="AC383" s="49"/>
    </row>
    <row r="384" spans="1:29">
      <c r="A384" s="43"/>
      <c r="B384" s="43"/>
      <c r="C384" s="43"/>
      <c r="D384" s="43"/>
      <c r="E384" s="43"/>
      <c r="F384" s="43"/>
      <c r="G384" s="43"/>
      <c r="H384" s="43"/>
      <c r="I384" s="43"/>
      <c r="J384" s="43"/>
      <c r="K384" s="43"/>
      <c r="L384" s="43"/>
      <c r="M384" s="43"/>
      <c r="N384" s="43"/>
      <c r="O384" s="43"/>
      <c r="P384" s="43"/>
      <c r="Q384" s="43"/>
      <c r="R384" s="49"/>
      <c r="S384" s="49"/>
      <c r="T384" s="49"/>
      <c r="U384" s="49"/>
      <c r="V384" s="49"/>
      <c r="W384" s="49"/>
      <c r="X384" s="49"/>
      <c r="Y384" s="49"/>
      <c r="Z384" s="49"/>
      <c r="AA384" s="49"/>
      <c r="AB384" s="49"/>
      <c r="AC384" s="49"/>
    </row>
    <row r="385" spans="1:29">
      <c r="A385" s="43"/>
      <c r="B385" s="43"/>
      <c r="C385" s="43"/>
      <c r="D385" s="43"/>
      <c r="E385" s="43"/>
      <c r="F385" s="43"/>
      <c r="G385" s="43"/>
      <c r="H385" s="43"/>
      <c r="I385" s="43"/>
      <c r="J385" s="43"/>
      <c r="K385" s="43"/>
      <c r="L385" s="43"/>
      <c r="M385" s="43"/>
      <c r="N385" s="43"/>
      <c r="O385" s="43"/>
      <c r="P385" s="43"/>
      <c r="Q385" s="43"/>
      <c r="R385" s="49"/>
      <c r="S385" s="49"/>
      <c r="T385" s="49"/>
      <c r="U385" s="49"/>
      <c r="V385" s="49"/>
      <c r="W385" s="49"/>
      <c r="X385" s="49"/>
      <c r="Y385" s="49"/>
      <c r="Z385" s="49"/>
      <c r="AA385" s="49"/>
      <c r="AB385" s="49"/>
      <c r="AC385" s="49"/>
    </row>
    <row r="386" spans="1:29">
      <c r="A386" s="43"/>
      <c r="B386" s="43"/>
      <c r="C386" s="43"/>
      <c r="D386" s="43"/>
      <c r="E386" s="43"/>
      <c r="F386" s="43"/>
      <c r="G386" s="43"/>
      <c r="H386" s="43"/>
      <c r="I386" s="43"/>
      <c r="J386" s="43"/>
      <c r="K386" s="43"/>
      <c r="L386" s="43"/>
      <c r="M386" s="43"/>
      <c r="N386" s="43"/>
      <c r="O386" s="43"/>
      <c r="P386" s="43"/>
      <c r="Q386" s="43"/>
      <c r="R386" s="49"/>
      <c r="S386" s="49"/>
      <c r="T386" s="49"/>
      <c r="U386" s="49"/>
      <c r="V386" s="49"/>
      <c r="W386" s="49"/>
      <c r="X386" s="49"/>
      <c r="Y386" s="49"/>
      <c r="Z386" s="49"/>
      <c r="AA386" s="49"/>
      <c r="AB386" s="49"/>
      <c r="AC386" s="49"/>
    </row>
    <row r="387" spans="1:29">
      <c r="A387" s="43"/>
      <c r="B387" s="43"/>
      <c r="C387" s="43"/>
      <c r="D387" s="43"/>
      <c r="E387" s="43"/>
      <c r="F387" s="43"/>
      <c r="G387" s="43"/>
      <c r="H387" s="43"/>
      <c r="I387" s="43"/>
      <c r="J387" s="43"/>
      <c r="K387" s="43"/>
      <c r="L387" s="43"/>
      <c r="M387" s="43"/>
      <c r="N387" s="43"/>
      <c r="O387" s="43"/>
      <c r="P387" s="43"/>
      <c r="Q387" s="43"/>
      <c r="R387" s="49"/>
      <c r="S387" s="49"/>
      <c r="T387" s="49"/>
      <c r="U387" s="49"/>
      <c r="V387" s="49"/>
      <c r="W387" s="49"/>
      <c r="X387" s="49"/>
      <c r="Y387" s="49"/>
      <c r="Z387" s="49"/>
      <c r="AA387" s="49"/>
      <c r="AB387" s="49"/>
      <c r="AC387" s="49"/>
    </row>
    <row r="388" spans="1:29">
      <c r="A388" s="43"/>
      <c r="B388" s="43"/>
      <c r="C388" s="43"/>
      <c r="D388" s="43"/>
      <c r="E388" s="43"/>
      <c r="F388" s="43"/>
      <c r="G388" s="43"/>
      <c r="H388" s="43"/>
      <c r="I388" s="43"/>
      <c r="J388" s="43"/>
      <c r="K388" s="43"/>
      <c r="L388" s="43"/>
      <c r="M388" s="43"/>
      <c r="N388" s="43"/>
      <c r="O388" s="43"/>
      <c r="P388" s="43"/>
      <c r="Q388" s="43"/>
      <c r="R388" s="49"/>
      <c r="S388" s="49"/>
      <c r="T388" s="49"/>
      <c r="U388" s="49"/>
      <c r="V388" s="49"/>
      <c r="W388" s="49"/>
      <c r="X388" s="49"/>
      <c r="Y388" s="49"/>
      <c r="Z388" s="49"/>
      <c r="AA388" s="49"/>
      <c r="AB388" s="49"/>
      <c r="AC388" s="49"/>
    </row>
    <row r="389" spans="1:29">
      <c r="A389" s="43"/>
      <c r="B389" s="43"/>
      <c r="C389" s="43"/>
      <c r="D389" s="43"/>
      <c r="E389" s="43"/>
      <c r="F389" s="43"/>
      <c r="G389" s="43"/>
      <c r="H389" s="43"/>
      <c r="I389" s="43"/>
      <c r="J389" s="43"/>
      <c r="K389" s="43"/>
      <c r="L389" s="43"/>
      <c r="M389" s="43"/>
      <c r="N389" s="43"/>
      <c r="O389" s="43"/>
      <c r="P389" s="43"/>
      <c r="Q389" s="43"/>
      <c r="R389" s="49"/>
      <c r="S389" s="49"/>
      <c r="T389" s="49"/>
      <c r="U389" s="49"/>
      <c r="V389" s="49"/>
      <c r="W389" s="49"/>
      <c r="X389" s="49"/>
      <c r="Y389" s="49"/>
      <c r="Z389" s="49"/>
      <c r="AA389" s="49"/>
      <c r="AB389" s="49"/>
      <c r="AC389" s="49"/>
    </row>
    <row r="390" spans="1:29">
      <c r="A390" s="43"/>
      <c r="B390" s="43"/>
      <c r="C390" s="43"/>
      <c r="D390" s="43"/>
      <c r="E390" s="43"/>
      <c r="F390" s="43"/>
      <c r="G390" s="43"/>
      <c r="H390" s="43"/>
      <c r="I390" s="43"/>
      <c r="J390" s="43"/>
      <c r="K390" s="43"/>
      <c r="L390" s="43"/>
      <c r="M390" s="43"/>
      <c r="N390" s="43"/>
      <c r="O390" s="43"/>
      <c r="P390" s="43"/>
      <c r="Q390" s="43"/>
      <c r="R390" s="49"/>
      <c r="S390" s="49"/>
      <c r="T390" s="49"/>
      <c r="U390" s="49"/>
      <c r="V390" s="49"/>
      <c r="W390" s="49"/>
      <c r="X390" s="49"/>
      <c r="Y390" s="49"/>
      <c r="Z390" s="49"/>
      <c r="AA390" s="49"/>
      <c r="AB390" s="49"/>
      <c r="AC390" s="49"/>
    </row>
    <row r="391" spans="1:29">
      <c r="A391" s="43"/>
      <c r="B391" s="43"/>
      <c r="C391" s="43"/>
      <c r="D391" s="43"/>
      <c r="E391" s="43"/>
      <c r="F391" s="43"/>
      <c r="G391" s="43"/>
      <c r="H391" s="43"/>
      <c r="I391" s="43"/>
      <c r="J391" s="43"/>
      <c r="K391" s="43"/>
      <c r="L391" s="43"/>
      <c r="M391" s="43"/>
      <c r="N391" s="43"/>
      <c r="O391" s="43"/>
      <c r="P391" s="43"/>
      <c r="Q391" s="43"/>
      <c r="R391" s="49"/>
      <c r="S391" s="49"/>
      <c r="T391" s="49"/>
      <c r="U391" s="49"/>
      <c r="V391" s="49"/>
      <c r="W391" s="49"/>
      <c r="X391" s="49"/>
      <c r="Y391" s="49"/>
      <c r="Z391" s="49"/>
      <c r="AA391" s="49"/>
      <c r="AB391" s="49"/>
      <c r="AC391" s="49"/>
    </row>
    <row r="392" spans="1:29">
      <c r="A392" s="43"/>
      <c r="B392" s="43"/>
      <c r="C392" s="43"/>
      <c r="D392" s="43"/>
      <c r="E392" s="43"/>
      <c r="F392" s="43"/>
      <c r="G392" s="43"/>
      <c r="H392" s="43"/>
      <c r="I392" s="43"/>
      <c r="J392" s="43"/>
      <c r="K392" s="43"/>
      <c r="L392" s="43"/>
      <c r="M392" s="43"/>
      <c r="N392" s="43"/>
      <c r="O392" s="43"/>
      <c r="P392" s="43"/>
      <c r="Q392" s="43"/>
      <c r="R392" s="49"/>
      <c r="S392" s="49"/>
      <c r="T392" s="49"/>
      <c r="U392" s="49"/>
      <c r="V392" s="49"/>
      <c r="W392" s="49"/>
      <c r="X392" s="49"/>
      <c r="Y392" s="49"/>
      <c r="Z392" s="49"/>
      <c r="AA392" s="49"/>
      <c r="AB392" s="49"/>
      <c r="AC392" s="49"/>
    </row>
    <row r="393" spans="1:29">
      <c r="A393" s="43"/>
      <c r="B393" s="43"/>
      <c r="C393" s="43"/>
      <c r="D393" s="43"/>
      <c r="E393" s="43"/>
      <c r="F393" s="43"/>
      <c r="G393" s="43"/>
      <c r="H393" s="43"/>
      <c r="I393" s="43"/>
      <c r="J393" s="43"/>
      <c r="K393" s="43"/>
      <c r="L393" s="43"/>
      <c r="M393" s="43"/>
      <c r="N393" s="43"/>
      <c r="O393" s="43"/>
      <c r="P393" s="43"/>
      <c r="Q393" s="43"/>
      <c r="R393" s="49"/>
      <c r="S393" s="49"/>
      <c r="T393" s="49"/>
      <c r="U393" s="49"/>
      <c r="V393" s="49"/>
      <c r="W393" s="49"/>
      <c r="X393" s="49"/>
      <c r="Y393" s="49"/>
      <c r="Z393" s="49"/>
      <c r="AA393" s="49"/>
      <c r="AB393" s="49"/>
      <c r="AC393" s="49"/>
    </row>
    <row r="394" spans="1:29">
      <c r="A394" s="43"/>
      <c r="B394" s="43"/>
      <c r="C394" s="43"/>
      <c r="D394" s="43"/>
      <c r="E394" s="43"/>
      <c r="F394" s="43"/>
      <c r="G394" s="43"/>
      <c r="H394" s="43"/>
      <c r="I394" s="43"/>
      <c r="J394" s="43"/>
      <c r="K394" s="43"/>
      <c r="L394" s="43"/>
      <c r="M394" s="43"/>
      <c r="N394" s="43"/>
      <c r="O394" s="43"/>
      <c r="P394" s="43"/>
      <c r="Q394" s="43"/>
      <c r="R394" s="49"/>
      <c r="S394" s="49"/>
      <c r="T394" s="49"/>
      <c r="U394" s="49"/>
      <c r="V394" s="49"/>
      <c r="W394" s="49"/>
      <c r="X394" s="49"/>
      <c r="Y394" s="49"/>
      <c r="Z394" s="49"/>
      <c r="AA394" s="49"/>
      <c r="AB394" s="49"/>
      <c r="AC394" s="49"/>
    </row>
    <row r="395" spans="1:29">
      <c r="A395" s="43"/>
      <c r="B395" s="43"/>
      <c r="C395" s="43"/>
      <c r="D395" s="43"/>
      <c r="E395" s="43"/>
      <c r="F395" s="43"/>
      <c r="G395" s="43"/>
      <c r="H395" s="43"/>
      <c r="I395" s="43"/>
      <c r="J395" s="43"/>
      <c r="K395" s="43"/>
      <c r="L395" s="43"/>
      <c r="M395" s="43"/>
      <c r="N395" s="43"/>
      <c r="O395" s="43"/>
      <c r="P395" s="43"/>
      <c r="Q395" s="43"/>
      <c r="R395" s="49"/>
      <c r="S395" s="49"/>
      <c r="T395" s="49"/>
      <c r="U395" s="49"/>
      <c r="V395" s="49"/>
      <c r="W395" s="49"/>
      <c r="X395" s="49"/>
      <c r="Y395" s="49"/>
      <c r="Z395" s="49"/>
      <c r="AA395" s="49"/>
      <c r="AB395" s="49"/>
      <c r="AC395" s="49"/>
    </row>
    <row r="396" spans="1:29">
      <c r="A396" s="43"/>
      <c r="B396" s="43"/>
      <c r="C396" s="43"/>
      <c r="D396" s="43"/>
      <c r="E396" s="43"/>
      <c r="F396" s="43"/>
      <c r="G396" s="43"/>
      <c r="H396" s="43"/>
      <c r="I396" s="43"/>
      <c r="J396" s="43"/>
      <c r="K396" s="43"/>
      <c r="L396" s="43"/>
      <c r="M396" s="43"/>
      <c r="N396" s="43"/>
      <c r="O396" s="43"/>
      <c r="P396" s="43"/>
      <c r="Q396" s="43"/>
      <c r="R396" s="49"/>
      <c r="S396" s="49"/>
      <c r="T396" s="49"/>
      <c r="U396" s="49"/>
      <c r="V396" s="49"/>
      <c r="W396" s="49"/>
      <c r="X396" s="49"/>
      <c r="Y396" s="49"/>
      <c r="Z396" s="49"/>
      <c r="AA396" s="49"/>
      <c r="AB396" s="49"/>
      <c r="AC396" s="49"/>
    </row>
    <row r="397" spans="1:29">
      <c r="A397" s="43"/>
      <c r="B397" s="43"/>
      <c r="C397" s="43"/>
      <c r="D397" s="43"/>
      <c r="E397" s="43"/>
      <c r="F397" s="43"/>
      <c r="G397" s="43"/>
      <c r="H397" s="43"/>
      <c r="I397" s="43"/>
      <c r="J397" s="43"/>
      <c r="K397" s="43"/>
      <c r="L397" s="43"/>
      <c r="M397" s="43"/>
      <c r="N397" s="43"/>
      <c r="O397" s="43"/>
      <c r="P397" s="43"/>
      <c r="Q397" s="43"/>
      <c r="R397" s="49"/>
      <c r="S397" s="49"/>
      <c r="T397" s="49"/>
      <c r="U397" s="49"/>
      <c r="V397" s="49"/>
      <c r="W397" s="49"/>
      <c r="X397" s="49"/>
      <c r="Y397" s="49"/>
      <c r="Z397" s="49"/>
      <c r="AA397" s="49"/>
      <c r="AB397" s="49"/>
      <c r="AC397" s="49"/>
    </row>
    <row r="398" spans="1:29">
      <c r="A398" s="43"/>
      <c r="B398" s="43"/>
      <c r="C398" s="43"/>
      <c r="D398" s="43"/>
      <c r="E398" s="43"/>
      <c r="F398" s="43"/>
      <c r="G398" s="43"/>
      <c r="H398" s="43"/>
      <c r="I398" s="43"/>
      <c r="J398" s="43"/>
      <c r="K398" s="43"/>
      <c r="L398" s="43"/>
      <c r="M398" s="43"/>
      <c r="N398" s="43"/>
      <c r="O398" s="43"/>
      <c r="P398" s="43"/>
      <c r="Q398" s="43"/>
      <c r="R398" s="49"/>
      <c r="S398" s="49"/>
      <c r="T398" s="49"/>
      <c r="U398" s="49"/>
      <c r="V398" s="49"/>
      <c r="W398" s="49"/>
      <c r="X398" s="49"/>
      <c r="Y398" s="49"/>
      <c r="Z398" s="49"/>
      <c r="AA398" s="49"/>
      <c r="AB398" s="49"/>
      <c r="AC398" s="49"/>
    </row>
    <row r="399" spans="1:29">
      <c r="A399" s="43"/>
      <c r="B399" s="43"/>
      <c r="C399" s="43"/>
      <c r="D399" s="43"/>
      <c r="E399" s="43"/>
      <c r="F399" s="43"/>
      <c r="G399" s="43"/>
      <c r="H399" s="43"/>
      <c r="I399" s="43"/>
      <c r="J399" s="43"/>
      <c r="K399" s="43"/>
      <c r="L399" s="43"/>
      <c r="M399" s="43"/>
      <c r="N399" s="43"/>
      <c r="O399" s="43"/>
      <c r="P399" s="43"/>
      <c r="Q399" s="43"/>
      <c r="R399" s="49"/>
      <c r="S399" s="49"/>
      <c r="T399" s="49"/>
      <c r="U399" s="49"/>
      <c r="V399" s="49"/>
      <c r="W399" s="49"/>
      <c r="X399" s="49"/>
      <c r="Y399" s="49"/>
      <c r="Z399" s="49"/>
      <c r="AA399" s="49"/>
      <c r="AB399" s="49"/>
      <c r="AC399" s="49"/>
    </row>
    <row r="400" spans="1:29">
      <c r="A400" s="43"/>
      <c r="B400" s="43"/>
      <c r="C400" s="43"/>
      <c r="D400" s="43"/>
      <c r="E400" s="43"/>
      <c r="F400" s="43"/>
      <c r="G400" s="43"/>
      <c r="H400" s="43"/>
      <c r="I400" s="43"/>
      <c r="J400" s="43"/>
      <c r="K400" s="43"/>
      <c r="L400" s="43"/>
      <c r="M400" s="43"/>
      <c r="N400" s="43"/>
      <c r="O400" s="43"/>
      <c r="P400" s="43"/>
      <c r="Q400" s="43"/>
      <c r="R400" s="49"/>
      <c r="S400" s="49"/>
      <c r="T400" s="49"/>
      <c r="U400" s="49"/>
      <c r="V400" s="49"/>
      <c r="W400" s="49"/>
      <c r="X400" s="49"/>
      <c r="Y400" s="49"/>
      <c r="Z400" s="49"/>
      <c r="AA400" s="49"/>
      <c r="AB400" s="49"/>
      <c r="AC400" s="49"/>
    </row>
    <row r="401" spans="1:29">
      <c r="A401" s="43"/>
      <c r="B401" s="43"/>
      <c r="C401" s="43"/>
      <c r="D401" s="43"/>
      <c r="E401" s="43"/>
      <c r="F401" s="43"/>
      <c r="G401" s="43"/>
      <c r="H401" s="43"/>
      <c r="I401" s="43"/>
      <c r="J401" s="43"/>
      <c r="K401" s="43"/>
      <c r="L401" s="43"/>
      <c r="M401" s="43"/>
      <c r="N401" s="43"/>
      <c r="O401" s="43"/>
      <c r="P401" s="43"/>
      <c r="Q401" s="43"/>
      <c r="R401" s="49"/>
      <c r="S401" s="49"/>
      <c r="T401" s="49"/>
      <c r="U401" s="49"/>
      <c r="V401" s="49"/>
      <c r="W401" s="49"/>
      <c r="X401" s="49"/>
      <c r="Y401" s="49"/>
      <c r="Z401" s="49"/>
      <c r="AA401" s="49"/>
      <c r="AB401" s="49"/>
      <c r="AC401" s="49"/>
    </row>
    <row r="402" spans="1:29">
      <c r="A402" s="43"/>
      <c r="B402" s="43"/>
      <c r="C402" s="43"/>
      <c r="D402" s="43"/>
      <c r="E402" s="43"/>
      <c r="F402" s="43"/>
      <c r="G402" s="43"/>
      <c r="H402" s="43"/>
      <c r="I402" s="43"/>
      <c r="J402" s="43"/>
      <c r="K402" s="43"/>
      <c r="L402" s="43"/>
      <c r="M402" s="43"/>
      <c r="N402" s="43"/>
      <c r="O402" s="43"/>
      <c r="P402" s="43"/>
      <c r="Q402" s="43"/>
      <c r="R402" s="49"/>
      <c r="S402" s="49"/>
      <c r="T402" s="49"/>
      <c r="U402" s="49"/>
      <c r="V402" s="49"/>
      <c r="W402" s="49"/>
      <c r="X402" s="49"/>
      <c r="Y402" s="49"/>
      <c r="Z402" s="49"/>
      <c r="AA402" s="49"/>
      <c r="AB402" s="49"/>
      <c r="AC402" s="49"/>
    </row>
    <row r="403" spans="1:29">
      <c r="A403" s="43"/>
      <c r="B403" s="43"/>
      <c r="C403" s="43"/>
      <c r="D403" s="43"/>
      <c r="E403" s="43"/>
      <c r="F403" s="43"/>
      <c r="G403" s="43"/>
      <c r="H403" s="43"/>
      <c r="I403" s="43"/>
      <c r="J403" s="43"/>
      <c r="K403" s="43"/>
      <c r="L403" s="43"/>
      <c r="M403" s="43"/>
      <c r="N403" s="43"/>
      <c r="O403" s="43"/>
      <c r="P403" s="43"/>
      <c r="Q403" s="43"/>
      <c r="R403" s="49"/>
      <c r="S403" s="49"/>
      <c r="T403" s="49"/>
      <c r="U403" s="49"/>
      <c r="V403" s="49"/>
      <c r="W403" s="49"/>
      <c r="X403" s="49"/>
      <c r="Y403" s="49"/>
      <c r="Z403" s="49"/>
      <c r="AA403" s="49"/>
      <c r="AB403" s="49"/>
      <c r="AC403" s="49"/>
    </row>
    <row r="404" spans="1:29">
      <c r="A404" s="43"/>
      <c r="B404" s="43"/>
      <c r="C404" s="43"/>
      <c r="D404" s="43"/>
      <c r="E404" s="43"/>
      <c r="F404" s="43"/>
      <c r="G404" s="43"/>
      <c r="H404" s="43"/>
      <c r="I404" s="43"/>
      <c r="J404" s="43"/>
      <c r="K404" s="43"/>
      <c r="L404" s="43"/>
      <c r="M404" s="43"/>
      <c r="N404" s="43"/>
      <c r="O404" s="43"/>
      <c r="P404" s="43"/>
      <c r="Q404" s="43"/>
      <c r="R404" s="49"/>
      <c r="S404" s="49"/>
      <c r="T404" s="49"/>
      <c r="U404" s="49"/>
      <c r="V404" s="49"/>
      <c r="W404" s="49"/>
      <c r="X404" s="49"/>
      <c r="Y404" s="49"/>
      <c r="Z404" s="49"/>
      <c r="AA404" s="49"/>
      <c r="AB404" s="49"/>
      <c r="AC404" s="49"/>
    </row>
    <row r="405" spans="1:29">
      <c r="A405" s="43"/>
      <c r="B405" s="43"/>
      <c r="C405" s="43"/>
      <c r="D405" s="43"/>
      <c r="E405" s="43"/>
      <c r="F405" s="43"/>
      <c r="G405" s="43"/>
      <c r="H405" s="43"/>
      <c r="I405" s="43"/>
      <c r="J405" s="43"/>
      <c r="K405" s="43"/>
      <c r="L405" s="43"/>
      <c r="M405" s="43"/>
      <c r="N405" s="43"/>
      <c r="O405" s="43"/>
      <c r="P405" s="43"/>
      <c r="Q405" s="43"/>
      <c r="R405" s="49"/>
      <c r="S405" s="49"/>
      <c r="T405" s="49"/>
      <c r="U405" s="49"/>
      <c r="V405" s="49"/>
      <c r="W405" s="49"/>
      <c r="X405" s="49"/>
      <c r="Y405" s="49"/>
      <c r="Z405" s="49"/>
      <c r="AA405" s="49"/>
      <c r="AB405" s="49"/>
      <c r="AC405" s="49"/>
    </row>
    <row r="406" spans="1:29">
      <c r="A406" s="43"/>
      <c r="B406" s="43"/>
      <c r="C406" s="43"/>
      <c r="D406" s="43"/>
      <c r="E406" s="43"/>
      <c r="F406" s="43"/>
      <c r="G406" s="43"/>
      <c r="H406" s="43"/>
      <c r="I406" s="43"/>
      <c r="J406" s="43"/>
      <c r="K406" s="43"/>
      <c r="L406" s="43"/>
      <c r="M406" s="43"/>
      <c r="N406" s="43"/>
      <c r="O406" s="43"/>
      <c r="P406" s="43"/>
      <c r="Q406" s="43"/>
      <c r="R406" s="49"/>
      <c r="S406" s="49"/>
      <c r="T406" s="49"/>
      <c r="U406" s="49"/>
      <c r="V406" s="49"/>
      <c r="W406" s="49"/>
      <c r="X406" s="49"/>
      <c r="Y406" s="49"/>
      <c r="Z406" s="49"/>
      <c r="AA406" s="49"/>
      <c r="AB406" s="49"/>
      <c r="AC406" s="49"/>
    </row>
    <row r="407" spans="1:29">
      <c r="A407" s="43"/>
      <c r="B407" s="43"/>
      <c r="C407" s="43"/>
      <c r="D407" s="43"/>
      <c r="E407" s="43"/>
      <c r="F407" s="43"/>
      <c r="G407" s="43"/>
      <c r="H407" s="43"/>
      <c r="I407" s="43"/>
      <c r="J407" s="43"/>
      <c r="K407" s="43"/>
      <c r="L407" s="43"/>
      <c r="M407" s="43"/>
      <c r="N407" s="43"/>
      <c r="O407" s="43"/>
      <c r="P407" s="43"/>
      <c r="Q407" s="43"/>
      <c r="R407" s="49"/>
      <c r="S407" s="49"/>
      <c r="T407" s="49"/>
      <c r="U407" s="49"/>
      <c r="V407" s="49"/>
      <c r="W407" s="49"/>
      <c r="X407" s="49"/>
      <c r="Y407" s="49"/>
      <c r="Z407" s="49"/>
      <c r="AA407" s="49"/>
      <c r="AB407" s="49"/>
      <c r="AC407" s="49"/>
    </row>
    <row r="408" spans="1:29">
      <c r="A408" s="43"/>
      <c r="B408" s="43"/>
      <c r="C408" s="43"/>
      <c r="D408" s="43"/>
      <c r="E408" s="43"/>
      <c r="F408" s="43"/>
      <c r="G408" s="43"/>
      <c r="H408" s="43"/>
      <c r="I408" s="43"/>
      <c r="J408" s="43"/>
      <c r="K408" s="43"/>
      <c r="L408" s="43"/>
      <c r="M408" s="43"/>
      <c r="N408" s="43"/>
      <c r="O408" s="43"/>
      <c r="P408" s="43"/>
      <c r="Q408" s="43"/>
      <c r="R408" s="49"/>
      <c r="S408" s="49"/>
      <c r="T408" s="49"/>
      <c r="U408" s="49"/>
      <c r="V408" s="49"/>
      <c r="W408" s="49"/>
      <c r="X408" s="49"/>
      <c r="Y408" s="49"/>
      <c r="Z408" s="49"/>
      <c r="AA408" s="49"/>
      <c r="AB408" s="49"/>
      <c r="AC408" s="49"/>
    </row>
    <row r="409" spans="1:29">
      <c r="A409" s="43"/>
      <c r="B409" s="43"/>
      <c r="C409" s="43"/>
      <c r="D409" s="43"/>
      <c r="E409" s="43"/>
      <c r="F409" s="43"/>
      <c r="G409" s="43"/>
      <c r="H409" s="43"/>
      <c r="I409" s="43"/>
      <c r="J409" s="43"/>
      <c r="K409" s="43"/>
      <c r="L409" s="43"/>
      <c r="M409" s="43"/>
      <c r="N409" s="43"/>
      <c r="O409" s="43"/>
      <c r="P409" s="43"/>
      <c r="Q409" s="43"/>
      <c r="R409" s="49"/>
      <c r="S409" s="49"/>
      <c r="T409" s="49"/>
      <c r="U409" s="49"/>
      <c r="V409" s="49"/>
      <c r="W409" s="49"/>
      <c r="X409" s="49"/>
      <c r="Y409" s="49"/>
      <c r="Z409" s="49"/>
      <c r="AA409" s="49"/>
      <c r="AB409" s="49"/>
      <c r="AC409" s="49"/>
    </row>
    <row r="410" spans="1:29">
      <c r="A410" s="43"/>
      <c r="B410" s="43"/>
      <c r="C410" s="43"/>
      <c r="D410" s="43"/>
      <c r="E410" s="43"/>
      <c r="F410" s="43"/>
      <c r="G410" s="43"/>
      <c r="H410" s="43"/>
      <c r="I410" s="43"/>
      <c r="J410" s="43"/>
      <c r="K410" s="43"/>
      <c r="L410" s="43"/>
      <c r="M410" s="43"/>
      <c r="N410" s="43"/>
      <c r="O410" s="43"/>
      <c r="P410" s="43"/>
      <c r="Q410" s="43"/>
      <c r="R410" s="49"/>
      <c r="S410" s="49"/>
      <c r="T410" s="49"/>
      <c r="U410" s="49"/>
      <c r="V410" s="49"/>
      <c r="W410" s="49"/>
      <c r="X410" s="49"/>
      <c r="Y410" s="49"/>
      <c r="Z410" s="49"/>
      <c r="AA410" s="49"/>
      <c r="AB410" s="49"/>
      <c r="AC410" s="49"/>
    </row>
    <row r="411" spans="1:29">
      <c r="A411" s="43"/>
      <c r="B411" s="43"/>
      <c r="C411" s="43"/>
      <c r="D411" s="43"/>
      <c r="E411" s="43"/>
      <c r="F411" s="43"/>
      <c r="G411" s="43"/>
      <c r="H411" s="43"/>
      <c r="I411" s="43"/>
      <c r="J411" s="43"/>
      <c r="K411" s="43"/>
      <c r="L411" s="43"/>
      <c r="M411" s="43"/>
      <c r="N411" s="43"/>
      <c r="O411" s="43"/>
      <c r="P411" s="43"/>
      <c r="Q411" s="43"/>
      <c r="R411" s="49"/>
      <c r="S411" s="49"/>
      <c r="T411" s="49"/>
      <c r="U411" s="49"/>
      <c r="V411" s="49"/>
      <c r="W411" s="49"/>
      <c r="X411" s="49"/>
      <c r="Y411" s="49"/>
      <c r="Z411" s="49"/>
      <c r="AA411" s="49"/>
      <c r="AB411" s="49"/>
      <c r="AC411" s="49"/>
    </row>
    <row r="412" spans="1:29">
      <c r="A412" s="43"/>
      <c r="B412" s="43"/>
      <c r="C412" s="43"/>
      <c r="D412" s="43"/>
      <c r="E412" s="43"/>
      <c r="F412" s="43"/>
      <c r="G412" s="43"/>
      <c r="H412" s="43"/>
      <c r="I412" s="43"/>
      <c r="J412" s="43"/>
      <c r="K412" s="43"/>
      <c r="L412" s="43"/>
      <c r="M412" s="43"/>
      <c r="N412" s="43"/>
      <c r="O412" s="43"/>
      <c r="P412" s="43"/>
      <c r="Q412" s="43"/>
      <c r="R412" s="49"/>
      <c r="S412" s="49"/>
      <c r="T412" s="49"/>
      <c r="U412" s="49"/>
      <c r="V412" s="49"/>
      <c r="W412" s="49"/>
      <c r="X412" s="49"/>
      <c r="Y412" s="49"/>
      <c r="Z412" s="49"/>
      <c r="AA412" s="49"/>
      <c r="AB412" s="49"/>
      <c r="AC412" s="49"/>
    </row>
    <row r="413" spans="1:29">
      <c r="A413" s="43"/>
      <c r="B413" s="43"/>
      <c r="C413" s="43"/>
      <c r="D413" s="43"/>
      <c r="E413" s="43"/>
      <c r="F413" s="43"/>
      <c r="G413" s="43"/>
      <c r="H413" s="43"/>
      <c r="I413" s="43"/>
      <c r="J413" s="43"/>
      <c r="K413" s="43"/>
      <c r="L413" s="43"/>
      <c r="M413" s="43"/>
      <c r="N413" s="43"/>
      <c r="O413" s="43"/>
      <c r="P413" s="43"/>
      <c r="Q413" s="43"/>
      <c r="R413" s="49"/>
      <c r="S413" s="49"/>
      <c r="T413" s="49"/>
      <c r="U413" s="49"/>
      <c r="V413" s="49"/>
      <c r="W413" s="49"/>
      <c r="X413" s="49"/>
      <c r="Y413" s="49"/>
      <c r="Z413" s="49"/>
      <c r="AA413" s="49"/>
      <c r="AB413" s="49"/>
      <c r="AC413" s="49"/>
    </row>
    <row r="414" spans="1:29">
      <c r="A414" s="43"/>
      <c r="B414" s="43"/>
      <c r="C414" s="43"/>
      <c r="D414" s="43"/>
      <c r="E414" s="43"/>
      <c r="F414" s="43"/>
      <c r="G414" s="43"/>
      <c r="H414" s="43"/>
      <c r="I414" s="43"/>
      <c r="J414" s="43"/>
      <c r="K414" s="43"/>
      <c r="L414" s="43"/>
      <c r="M414" s="43"/>
      <c r="N414" s="43"/>
      <c r="O414" s="43"/>
      <c r="P414" s="43"/>
      <c r="Q414" s="43"/>
      <c r="R414" s="49"/>
      <c r="S414" s="49"/>
      <c r="T414" s="49"/>
      <c r="U414" s="49"/>
      <c r="V414" s="49"/>
      <c r="W414" s="49"/>
      <c r="X414" s="49"/>
      <c r="Y414" s="49"/>
      <c r="Z414" s="49"/>
      <c r="AA414" s="49"/>
      <c r="AB414" s="49"/>
      <c r="AC414" s="49"/>
    </row>
    <row r="415" spans="1:29">
      <c r="A415" s="43"/>
      <c r="B415" s="43"/>
      <c r="C415" s="43"/>
      <c r="D415" s="43"/>
      <c r="E415" s="43"/>
      <c r="F415" s="43"/>
      <c r="G415" s="43"/>
      <c r="H415" s="43"/>
      <c r="I415" s="43"/>
      <c r="J415" s="43"/>
      <c r="K415" s="43"/>
      <c r="L415" s="43"/>
      <c r="M415" s="43"/>
      <c r="N415" s="43"/>
      <c r="O415" s="43"/>
      <c r="P415" s="43"/>
      <c r="Q415" s="43"/>
      <c r="R415" s="49"/>
      <c r="S415" s="49"/>
      <c r="T415" s="49"/>
      <c r="U415" s="49"/>
      <c r="V415" s="49"/>
      <c r="W415" s="49"/>
      <c r="X415" s="49"/>
      <c r="Y415" s="49"/>
      <c r="Z415" s="49"/>
      <c r="AA415" s="49"/>
      <c r="AB415" s="49"/>
      <c r="AC415" s="49"/>
    </row>
    <row r="416" spans="1:29">
      <c r="A416" s="43"/>
      <c r="B416" s="43"/>
      <c r="C416" s="43"/>
      <c r="D416" s="43"/>
      <c r="E416" s="43"/>
      <c r="F416" s="43"/>
      <c r="G416" s="43"/>
      <c r="H416" s="43"/>
      <c r="I416" s="43"/>
      <c r="J416" s="43"/>
      <c r="K416" s="43"/>
      <c r="L416" s="43"/>
      <c r="M416" s="43"/>
      <c r="N416" s="43"/>
      <c r="O416" s="43"/>
      <c r="P416" s="43"/>
      <c r="Q416" s="43"/>
      <c r="R416" s="49"/>
      <c r="S416" s="49"/>
      <c r="T416" s="49"/>
      <c r="U416" s="49"/>
      <c r="V416" s="49"/>
      <c r="W416" s="49"/>
      <c r="X416" s="49"/>
      <c r="Y416" s="49"/>
      <c r="Z416" s="49"/>
      <c r="AA416" s="49"/>
      <c r="AB416" s="49"/>
      <c r="AC416" s="49"/>
    </row>
    <row r="417" spans="1:29">
      <c r="A417" s="43"/>
      <c r="B417" s="43"/>
      <c r="C417" s="43"/>
      <c r="D417" s="43"/>
      <c r="E417" s="43"/>
      <c r="F417" s="43"/>
      <c r="G417" s="43"/>
      <c r="H417" s="43"/>
      <c r="I417" s="43"/>
      <c r="J417" s="43"/>
      <c r="K417" s="43"/>
      <c r="L417" s="43"/>
      <c r="M417" s="43"/>
      <c r="N417" s="43"/>
      <c r="O417" s="43"/>
      <c r="P417" s="43"/>
      <c r="Q417" s="43"/>
      <c r="R417" s="49"/>
      <c r="S417" s="49"/>
      <c r="T417" s="49"/>
      <c r="U417" s="49"/>
      <c r="V417" s="49"/>
      <c r="W417" s="49"/>
      <c r="X417" s="49"/>
      <c r="Y417" s="49"/>
      <c r="Z417" s="49"/>
      <c r="AA417" s="49"/>
      <c r="AB417" s="49"/>
      <c r="AC417" s="49"/>
    </row>
    <row r="418" spans="1:29">
      <c r="A418" s="43"/>
      <c r="B418" s="43"/>
      <c r="C418" s="43"/>
      <c r="D418" s="43"/>
      <c r="E418" s="43"/>
      <c r="F418" s="43"/>
      <c r="G418" s="43"/>
      <c r="H418" s="43"/>
      <c r="I418" s="43"/>
      <c r="J418" s="43"/>
      <c r="K418" s="43"/>
      <c r="L418" s="43"/>
      <c r="M418" s="43"/>
      <c r="N418" s="43"/>
      <c r="O418" s="43"/>
      <c r="P418" s="43"/>
      <c r="Q418" s="43"/>
      <c r="R418" s="49"/>
      <c r="S418" s="49"/>
      <c r="T418" s="49"/>
      <c r="U418" s="49"/>
      <c r="V418" s="49"/>
      <c r="W418" s="49"/>
      <c r="X418" s="49"/>
      <c r="Y418" s="49"/>
      <c r="Z418" s="49"/>
      <c r="AA418" s="49"/>
      <c r="AB418" s="49"/>
      <c r="AC418" s="49"/>
    </row>
    <row r="419" spans="1:29">
      <c r="A419" s="43"/>
      <c r="B419" s="43"/>
      <c r="C419" s="43"/>
      <c r="D419" s="43"/>
      <c r="E419" s="43"/>
      <c r="F419" s="43"/>
      <c r="G419" s="43"/>
      <c r="H419" s="43"/>
      <c r="I419" s="43"/>
      <c r="J419" s="43"/>
      <c r="K419" s="43"/>
      <c r="L419" s="43"/>
      <c r="M419" s="43"/>
      <c r="N419" s="43"/>
      <c r="O419" s="43"/>
      <c r="P419" s="43"/>
      <c r="Q419" s="43"/>
      <c r="R419" s="49"/>
      <c r="S419" s="49"/>
      <c r="T419" s="49"/>
      <c r="U419" s="49"/>
      <c r="V419" s="49"/>
      <c r="W419" s="49"/>
      <c r="X419" s="49"/>
      <c r="Y419" s="49"/>
      <c r="Z419" s="49"/>
      <c r="AA419" s="49"/>
      <c r="AB419" s="49"/>
      <c r="AC419" s="49"/>
    </row>
    <row r="420" spans="1:29">
      <c r="A420" s="43"/>
      <c r="B420" s="43"/>
      <c r="C420" s="43"/>
      <c r="D420" s="43"/>
      <c r="E420" s="43"/>
      <c r="F420" s="43"/>
      <c r="G420" s="43"/>
      <c r="H420" s="43"/>
      <c r="I420" s="43"/>
      <c r="J420" s="43"/>
      <c r="K420" s="43"/>
      <c r="L420" s="43"/>
      <c r="M420" s="43"/>
      <c r="N420" s="43"/>
      <c r="O420" s="43"/>
      <c r="P420" s="43"/>
      <c r="Q420" s="43"/>
      <c r="R420" s="49"/>
      <c r="S420" s="49"/>
      <c r="T420" s="49"/>
      <c r="U420" s="49"/>
      <c r="V420" s="49"/>
      <c r="W420" s="49"/>
      <c r="X420" s="49"/>
      <c r="Y420" s="49"/>
      <c r="Z420" s="49"/>
      <c r="AA420" s="49"/>
      <c r="AB420" s="49"/>
      <c r="AC420" s="49"/>
    </row>
    <row r="421" spans="1:29">
      <c r="A421" s="43"/>
      <c r="B421" s="43"/>
      <c r="C421" s="43"/>
      <c r="D421" s="43"/>
      <c r="E421" s="43"/>
      <c r="F421" s="43"/>
      <c r="G421" s="43"/>
      <c r="H421" s="43"/>
      <c r="I421" s="43"/>
      <c r="J421" s="43"/>
      <c r="K421" s="43"/>
      <c r="L421" s="43"/>
      <c r="M421" s="43"/>
      <c r="N421" s="43"/>
      <c r="O421" s="43"/>
      <c r="P421" s="43"/>
      <c r="Q421" s="43"/>
      <c r="R421" s="49"/>
      <c r="S421" s="49"/>
      <c r="T421" s="49"/>
      <c r="U421" s="49"/>
      <c r="V421" s="49"/>
      <c r="W421" s="49"/>
      <c r="X421" s="49"/>
      <c r="Y421" s="49"/>
      <c r="Z421" s="49"/>
      <c r="AA421" s="49"/>
      <c r="AB421" s="49"/>
      <c r="AC421" s="49"/>
    </row>
    <row r="422" spans="1:29">
      <c r="A422" s="43"/>
      <c r="B422" s="43"/>
      <c r="C422" s="43"/>
      <c r="D422" s="43"/>
      <c r="E422" s="43"/>
      <c r="F422" s="43"/>
      <c r="G422" s="43"/>
      <c r="H422" s="43"/>
      <c r="I422" s="43"/>
      <c r="J422" s="43"/>
      <c r="K422" s="43"/>
      <c r="L422" s="43"/>
      <c r="M422" s="43"/>
      <c r="N422" s="43"/>
      <c r="O422" s="43"/>
      <c r="P422" s="43"/>
      <c r="Q422" s="43"/>
      <c r="R422" s="49"/>
      <c r="S422" s="49"/>
      <c r="T422" s="49"/>
      <c r="U422" s="49"/>
      <c r="V422" s="49"/>
      <c r="W422" s="49"/>
      <c r="X422" s="49"/>
      <c r="Y422" s="49"/>
      <c r="Z422" s="49"/>
      <c r="AA422" s="49"/>
      <c r="AB422" s="49"/>
      <c r="AC422" s="49"/>
    </row>
    <row r="423" spans="1:29">
      <c r="A423" s="43"/>
      <c r="B423" s="43"/>
      <c r="C423" s="43"/>
      <c r="D423" s="43"/>
      <c r="E423" s="43"/>
      <c r="F423" s="43"/>
      <c r="G423" s="43"/>
      <c r="H423" s="43"/>
      <c r="I423" s="43"/>
      <c r="J423" s="43"/>
      <c r="K423" s="43"/>
      <c r="L423" s="43"/>
      <c r="M423" s="43"/>
      <c r="N423" s="43"/>
      <c r="O423" s="43"/>
      <c r="P423" s="43"/>
      <c r="Q423" s="43"/>
      <c r="R423" s="49"/>
      <c r="S423" s="49"/>
      <c r="T423" s="49"/>
      <c r="U423" s="49"/>
      <c r="V423" s="49"/>
      <c r="W423" s="49"/>
      <c r="X423" s="49"/>
      <c r="Y423" s="49"/>
      <c r="Z423" s="49"/>
      <c r="AA423" s="49"/>
      <c r="AB423" s="49"/>
      <c r="AC423" s="49"/>
    </row>
    <row r="424" spans="1:29">
      <c r="A424" s="43"/>
      <c r="B424" s="43"/>
      <c r="C424" s="43"/>
      <c r="D424" s="43"/>
      <c r="E424" s="43"/>
      <c r="F424" s="43"/>
      <c r="G424" s="43"/>
      <c r="H424" s="43"/>
      <c r="I424" s="43"/>
      <c r="J424" s="43"/>
      <c r="K424" s="43"/>
      <c r="L424" s="43"/>
      <c r="M424" s="43"/>
      <c r="N424" s="43"/>
      <c r="O424" s="43"/>
      <c r="P424" s="43"/>
      <c r="Q424" s="43"/>
      <c r="R424" s="49"/>
      <c r="S424" s="49"/>
      <c r="T424" s="49"/>
      <c r="U424" s="49"/>
      <c r="V424" s="49"/>
      <c r="W424" s="49"/>
      <c r="X424" s="49"/>
      <c r="Y424" s="49"/>
      <c r="Z424" s="49"/>
      <c r="AA424" s="49"/>
      <c r="AB424" s="49"/>
      <c r="AC424" s="49"/>
    </row>
    <row r="425" spans="1:29">
      <c r="A425" s="43"/>
      <c r="B425" s="43"/>
      <c r="C425" s="43"/>
      <c r="D425" s="43"/>
      <c r="E425" s="43"/>
      <c r="F425" s="43"/>
      <c r="G425" s="43"/>
      <c r="H425" s="43"/>
      <c r="I425" s="43"/>
      <c r="J425" s="43"/>
      <c r="K425" s="43"/>
      <c r="L425" s="43"/>
      <c r="M425" s="43"/>
      <c r="N425" s="43"/>
      <c r="O425" s="43"/>
      <c r="P425" s="43"/>
      <c r="Q425" s="43"/>
      <c r="R425" s="49"/>
      <c r="S425" s="49"/>
      <c r="T425" s="49"/>
      <c r="U425" s="49"/>
      <c r="V425" s="49"/>
      <c r="W425" s="49"/>
      <c r="X425" s="49"/>
      <c r="Y425" s="49"/>
      <c r="Z425" s="49"/>
      <c r="AA425" s="49"/>
      <c r="AB425" s="49"/>
      <c r="AC425" s="49"/>
    </row>
    <row r="426" spans="1:29">
      <c r="A426" s="43"/>
      <c r="B426" s="43"/>
      <c r="C426" s="43"/>
      <c r="D426" s="43"/>
      <c r="E426" s="43"/>
      <c r="F426" s="43"/>
      <c r="G426" s="43"/>
      <c r="H426" s="43"/>
      <c r="I426" s="43"/>
      <c r="J426" s="43"/>
      <c r="K426" s="43"/>
      <c r="L426" s="43"/>
      <c r="M426" s="43"/>
      <c r="N426" s="43"/>
      <c r="O426" s="43"/>
      <c r="P426" s="43"/>
      <c r="Q426" s="43"/>
      <c r="R426" s="49"/>
      <c r="S426" s="49"/>
      <c r="T426" s="49"/>
      <c r="U426" s="49"/>
      <c r="V426" s="49"/>
      <c r="W426" s="49"/>
      <c r="X426" s="49"/>
      <c r="Y426" s="49"/>
      <c r="Z426" s="49"/>
      <c r="AA426" s="49"/>
      <c r="AB426" s="49"/>
      <c r="AC426" s="49"/>
    </row>
    <row r="427" spans="1:29">
      <c r="A427" s="43"/>
      <c r="B427" s="43"/>
      <c r="C427" s="43"/>
      <c r="D427" s="43"/>
      <c r="E427" s="43"/>
      <c r="F427" s="43"/>
      <c r="G427" s="43"/>
      <c r="H427" s="43"/>
      <c r="I427" s="43"/>
      <c r="J427" s="43"/>
      <c r="K427" s="43"/>
      <c r="L427" s="43"/>
      <c r="M427" s="43"/>
      <c r="N427" s="43"/>
      <c r="O427" s="43"/>
      <c r="P427" s="43"/>
      <c r="Q427" s="43"/>
      <c r="R427" s="49"/>
      <c r="S427" s="49"/>
      <c r="T427" s="49"/>
      <c r="U427" s="49"/>
      <c r="V427" s="49"/>
      <c r="W427" s="49"/>
      <c r="X427" s="49"/>
      <c r="Y427" s="49"/>
      <c r="Z427" s="49"/>
      <c r="AA427" s="49"/>
      <c r="AB427" s="49"/>
      <c r="AC427" s="49"/>
    </row>
    <row r="428" spans="1:29">
      <c r="A428" s="43"/>
      <c r="B428" s="43"/>
      <c r="C428" s="43"/>
      <c r="D428" s="43"/>
      <c r="E428" s="43"/>
      <c r="F428" s="43"/>
      <c r="G428" s="43"/>
      <c r="H428" s="43"/>
      <c r="I428" s="43"/>
      <c r="J428" s="43"/>
      <c r="K428" s="43"/>
      <c r="L428" s="43"/>
      <c r="M428" s="43"/>
      <c r="N428" s="43"/>
      <c r="O428" s="43"/>
      <c r="P428" s="43"/>
      <c r="Q428" s="43"/>
      <c r="R428" s="49"/>
      <c r="S428" s="49"/>
      <c r="T428" s="49"/>
      <c r="U428" s="49"/>
      <c r="V428" s="49"/>
      <c r="W428" s="49"/>
      <c r="X428" s="49"/>
      <c r="Y428" s="49"/>
      <c r="Z428" s="49"/>
      <c r="AA428" s="49"/>
      <c r="AB428" s="49"/>
      <c r="AC428" s="49"/>
    </row>
    <row r="429" spans="1:29">
      <c r="A429" s="43"/>
      <c r="B429" s="43"/>
      <c r="C429" s="43"/>
      <c r="D429" s="43"/>
      <c r="E429" s="43"/>
      <c r="F429" s="43"/>
      <c r="G429" s="43"/>
      <c r="H429" s="43"/>
      <c r="I429" s="43"/>
      <c r="J429" s="43"/>
      <c r="K429" s="43"/>
      <c r="L429" s="43"/>
      <c r="M429" s="43"/>
      <c r="N429" s="43"/>
      <c r="O429" s="43"/>
      <c r="P429" s="43"/>
      <c r="Q429" s="43"/>
      <c r="R429" s="49"/>
      <c r="S429" s="49"/>
      <c r="T429" s="49"/>
      <c r="U429" s="49"/>
      <c r="V429" s="49"/>
      <c r="W429" s="49"/>
      <c r="X429" s="49"/>
      <c r="Y429" s="49"/>
      <c r="Z429" s="49"/>
      <c r="AA429" s="49"/>
      <c r="AB429" s="49"/>
      <c r="AC429" s="49"/>
    </row>
    <row r="430" spans="1:29">
      <c r="A430" s="43"/>
      <c r="B430" s="43"/>
      <c r="C430" s="43"/>
      <c r="D430" s="43"/>
      <c r="E430" s="43"/>
      <c r="F430" s="43"/>
      <c r="G430" s="43"/>
      <c r="H430" s="43"/>
      <c r="I430" s="43"/>
      <c r="J430" s="43"/>
      <c r="K430" s="43"/>
      <c r="L430" s="43"/>
      <c r="M430" s="43"/>
      <c r="N430" s="43"/>
      <c r="O430" s="43"/>
      <c r="P430" s="43"/>
      <c r="Q430" s="43"/>
      <c r="R430" s="49"/>
      <c r="S430" s="49"/>
      <c r="T430" s="49"/>
      <c r="U430" s="49"/>
      <c r="V430" s="49"/>
      <c r="W430" s="49"/>
      <c r="X430" s="49"/>
      <c r="Y430" s="49"/>
      <c r="Z430" s="49"/>
      <c r="AA430" s="49"/>
      <c r="AB430" s="49"/>
      <c r="AC430" s="49"/>
    </row>
    <row r="431" spans="1:29">
      <c r="A431" s="43"/>
      <c r="B431" s="43"/>
      <c r="C431" s="43"/>
      <c r="D431" s="43"/>
      <c r="E431" s="43"/>
      <c r="F431" s="43"/>
      <c r="G431" s="43"/>
      <c r="H431" s="43"/>
      <c r="I431" s="43"/>
      <c r="J431" s="43"/>
      <c r="K431" s="43"/>
      <c r="L431" s="43"/>
      <c r="M431" s="43"/>
      <c r="N431" s="43"/>
      <c r="O431" s="43"/>
      <c r="P431" s="43"/>
      <c r="Q431" s="43"/>
      <c r="R431" s="49"/>
      <c r="S431" s="49"/>
      <c r="T431" s="49"/>
      <c r="U431" s="49"/>
      <c r="V431" s="49"/>
      <c r="W431" s="49"/>
      <c r="X431" s="49"/>
      <c r="Y431" s="49"/>
      <c r="Z431" s="49"/>
      <c r="AA431" s="49"/>
      <c r="AB431" s="49"/>
      <c r="AC431" s="49"/>
    </row>
    <row r="432" spans="1:29">
      <c r="A432" s="43"/>
      <c r="B432" s="43"/>
      <c r="C432" s="43"/>
      <c r="D432" s="43"/>
      <c r="E432" s="43"/>
      <c r="F432" s="43"/>
      <c r="G432" s="43"/>
      <c r="H432" s="43"/>
      <c r="I432" s="43"/>
      <c r="J432" s="43"/>
      <c r="K432" s="43"/>
      <c r="L432" s="43"/>
      <c r="M432" s="43"/>
      <c r="N432" s="43"/>
      <c r="O432" s="43"/>
      <c r="P432" s="43"/>
      <c r="Q432" s="43"/>
      <c r="R432" s="49"/>
      <c r="S432" s="49"/>
      <c r="T432" s="49"/>
      <c r="U432" s="49"/>
      <c r="V432" s="49"/>
      <c r="W432" s="49"/>
      <c r="X432" s="49"/>
      <c r="Y432" s="49"/>
      <c r="Z432" s="49"/>
      <c r="AA432" s="49"/>
      <c r="AB432" s="49"/>
      <c r="AC432" s="49"/>
    </row>
    <row r="433" spans="1:29">
      <c r="A433" s="43"/>
      <c r="B433" s="43"/>
      <c r="C433" s="43"/>
      <c r="D433" s="43"/>
      <c r="E433" s="43"/>
      <c r="F433" s="43"/>
      <c r="G433" s="43"/>
      <c r="H433" s="43"/>
      <c r="I433" s="43"/>
      <c r="J433" s="43"/>
      <c r="K433" s="43"/>
      <c r="L433" s="43"/>
      <c r="M433" s="43"/>
      <c r="N433" s="43"/>
      <c r="O433" s="43"/>
      <c r="P433" s="43"/>
      <c r="Q433" s="43"/>
      <c r="R433" s="49"/>
      <c r="S433" s="49"/>
      <c r="T433" s="49"/>
      <c r="U433" s="49"/>
      <c r="V433" s="49"/>
      <c r="W433" s="49"/>
      <c r="X433" s="49"/>
      <c r="Y433" s="49"/>
      <c r="Z433" s="49"/>
      <c r="AA433" s="49"/>
      <c r="AB433" s="49"/>
      <c r="AC433" s="49"/>
    </row>
    <row r="434" spans="1:29">
      <c r="A434" s="43"/>
      <c r="B434" s="43"/>
      <c r="C434" s="43"/>
      <c r="D434" s="43"/>
      <c r="E434" s="43"/>
      <c r="F434" s="43"/>
      <c r="G434" s="43"/>
      <c r="H434" s="43"/>
      <c r="I434" s="43"/>
      <c r="J434" s="43"/>
      <c r="K434" s="43"/>
      <c r="L434" s="43"/>
      <c r="M434" s="43"/>
      <c r="N434" s="43"/>
      <c r="O434" s="43"/>
      <c r="P434" s="43"/>
      <c r="Q434" s="43"/>
      <c r="R434" s="49"/>
      <c r="S434" s="49"/>
      <c r="T434" s="49"/>
      <c r="U434" s="49"/>
      <c r="V434" s="49"/>
      <c r="W434" s="49"/>
      <c r="X434" s="49"/>
      <c r="Y434" s="49"/>
      <c r="Z434" s="49"/>
      <c r="AA434" s="49"/>
      <c r="AB434" s="49"/>
      <c r="AC434" s="49"/>
    </row>
    <row r="435" spans="1:29">
      <c r="A435" s="43"/>
      <c r="B435" s="43"/>
      <c r="C435" s="43"/>
      <c r="D435" s="43"/>
      <c r="E435" s="43"/>
      <c r="F435" s="43"/>
      <c r="G435" s="43"/>
      <c r="H435" s="43"/>
      <c r="I435" s="43"/>
      <c r="J435" s="43"/>
      <c r="K435" s="43"/>
      <c r="L435" s="43"/>
      <c r="M435" s="43"/>
      <c r="N435" s="43"/>
      <c r="O435" s="43"/>
      <c r="P435" s="43"/>
      <c r="Q435" s="43"/>
      <c r="R435" s="49"/>
      <c r="S435" s="49"/>
      <c r="T435" s="49"/>
      <c r="U435" s="49"/>
      <c r="V435" s="49"/>
      <c r="W435" s="49"/>
      <c r="X435" s="49"/>
      <c r="Y435" s="49"/>
      <c r="Z435" s="49"/>
      <c r="AA435" s="49"/>
      <c r="AB435" s="49"/>
      <c r="AC435" s="49"/>
    </row>
    <row r="436" spans="1:29">
      <c r="A436" s="43"/>
      <c r="B436" s="43"/>
      <c r="C436" s="43"/>
      <c r="D436" s="43"/>
      <c r="E436" s="43"/>
      <c r="F436" s="43"/>
      <c r="G436" s="43"/>
      <c r="H436" s="43"/>
      <c r="I436" s="43"/>
      <c r="J436" s="43"/>
      <c r="K436" s="43"/>
      <c r="L436" s="43"/>
      <c r="M436" s="43"/>
      <c r="N436" s="43"/>
      <c r="O436" s="43"/>
      <c r="P436" s="43"/>
      <c r="Q436" s="43"/>
      <c r="R436" s="49"/>
      <c r="S436" s="49"/>
      <c r="T436" s="49"/>
      <c r="U436" s="49"/>
      <c r="V436" s="49"/>
      <c r="W436" s="49"/>
      <c r="X436" s="49"/>
      <c r="Y436" s="49"/>
      <c r="Z436" s="49"/>
      <c r="AA436" s="49"/>
      <c r="AB436" s="49"/>
      <c r="AC436" s="49"/>
    </row>
    <row r="437" spans="1:29">
      <c r="A437" s="43"/>
      <c r="B437" s="43"/>
      <c r="C437" s="43"/>
      <c r="D437" s="43"/>
      <c r="E437" s="43"/>
      <c r="F437" s="43"/>
      <c r="G437" s="43"/>
      <c r="H437" s="43"/>
      <c r="I437" s="43"/>
      <c r="J437" s="43"/>
      <c r="K437" s="43"/>
      <c r="L437" s="43"/>
      <c r="M437" s="43"/>
      <c r="N437" s="43"/>
      <c r="O437" s="43"/>
      <c r="P437" s="43"/>
      <c r="Q437" s="43"/>
      <c r="R437" s="49"/>
      <c r="S437" s="49"/>
      <c r="T437" s="49"/>
      <c r="U437" s="49"/>
      <c r="V437" s="49"/>
      <c r="W437" s="49"/>
      <c r="X437" s="49"/>
      <c r="Y437" s="49"/>
      <c r="Z437" s="49"/>
      <c r="AA437" s="49"/>
      <c r="AB437" s="49"/>
      <c r="AC437" s="49"/>
    </row>
    <row r="438" spans="1:29">
      <c r="A438" s="43"/>
      <c r="B438" s="43"/>
      <c r="C438" s="43"/>
      <c r="D438" s="43"/>
      <c r="E438" s="43"/>
      <c r="F438" s="43"/>
      <c r="G438" s="43"/>
      <c r="H438" s="43"/>
      <c r="I438" s="43"/>
      <c r="J438" s="43"/>
      <c r="K438" s="43"/>
      <c r="L438" s="43"/>
      <c r="M438" s="43"/>
      <c r="N438" s="43"/>
      <c r="O438" s="43"/>
      <c r="P438" s="43"/>
      <c r="Q438" s="43"/>
      <c r="R438" s="49"/>
      <c r="S438" s="49"/>
      <c r="T438" s="49"/>
      <c r="U438" s="49"/>
      <c r="V438" s="49"/>
      <c r="W438" s="49"/>
      <c r="X438" s="49"/>
      <c r="Y438" s="49"/>
      <c r="Z438" s="49"/>
      <c r="AA438" s="49"/>
      <c r="AB438" s="49"/>
      <c r="AC438" s="49"/>
    </row>
    <row r="439" spans="1:29">
      <c r="A439" s="43"/>
      <c r="B439" s="43"/>
      <c r="C439" s="43"/>
      <c r="D439" s="43"/>
      <c r="E439" s="43"/>
      <c r="F439" s="43"/>
      <c r="G439" s="43"/>
      <c r="H439" s="43"/>
      <c r="I439" s="43"/>
      <c r="J439" s="43"/>
      <c r="K439" s="43"/>
      <c r="L439" s="43"/>
      <c r="M439" s="43"/>
      <c r="N439" s="43"/>
      <c r="O439" s="43"/>
      <c r="P439" s="43"/>
      <c r="Q439" s="43"/>
      <c r="R439" s="49"/>
      <c r="S439" s="49"/>
      <c r="T439" s="49"/>
      <c r="U439" s="49"/>
      <c r="V439" s="49"/>
      <c r="W439" s="49"/>
      <c r="X439" s="49"/>
      <c r="Y439" s="49"/>
      <c r="Z439" s="49"/>
      <c r="AA439" s="49"/>
      <c r="AB439" s="49"/>
      <c r="AC439" s="49"/>
    </row>
    <row r="440" spans="1:29">
      <c r="A440" s="43"/>
      <c r="B440" s="43"/>
      <c r="C440" s="43"/>
      <c r="D440" s="43"/>
      <c r="E440" s="43"/>
      <c r="F440" s="43"/>
      <c r="G440" s="43"/>
      <c r="H440" s="43"/>
      <c r="I440" s="43"/>
      <c r="J440" s="43"/>
      <c r="K440" s="43"/>
      <c r="L440" s="43"/>
      <c r="M440" s="43"/>
      <c r="N440" s="43"/>
      <c r="O440" s="43"/>
      <c r="P440" s="43"/>
      <c r="Q440" s="43"/>
      <c r="R440" s="49"/>
      <c r="S440" s="49"/>
      <c r="T440" s="49"/>
      <c r="U440" s="49"/>
      <c r="V440" s="49"/>
      <c r="W440" s="49"/>
      <c r="X440" s="49"/>
      <c r="Y440" s="49"/>
      <c r="Z440" s="49"/>
      <c r="AA440" s="49"/>
      <c r="AB440" s="49"/>
      <c r="AC440" s="49"/>
    </row>
    <row r="441" spans="1:29">
      <c r="A441" s="43"/>
      <c r="B441" s="43"/>
      <c r="C441" s="43"/>
      <c r="D441" s="43"/>
      <c r="E441" s="43"/>
      <c r="F441" s="43"/>
      <c r="G441" s="43"/>
      <c r="H441" s="43"/>
      <c r="I441" s="43"/>
      <c r="J441" s="43"/>
      <c r="K441" s="43"/>
      <c r="L441" s="43"/>
      <c r="M441" s="43"/>
      <c r="N441" s="43"/>
      <c r="O441" s="43"/>
      <c r="P441" s="43"/>
      <c r="Q441" s="43"/>
      <c r="R441" s="49"/>
      <c r="S441" s="49"/>
      <c r="T441" s="49"/>
      <c r="U441" s="49"/>
      <c r="V441" s="49"/>
      <c r="W441" s="49"/>
      <c r="X441" s="49"/>
      <c r="Y441" s="49"/>
      <c r="Z441" s="49"/>
      <c r="AA441" s="49"/>
      <c r="AB441" s="49"/>
      <c r="AC441" s="49"/>
    </row>
    <row r="442" spans="1:29">
      <c r="A442" s="43"/>
      <c r="B442" s="43"/>
      <c r="C442" s="43"/>
      <c r="D442" s="43"/>
      <c r="E442" s="43"/>
      <c r="F442" s="43"/>
      <c r="G442" s="43"/>
      <c r="H442" s="43"/>
      <c r="I442" s="43"/>
      <c r="J442" s="43"/>
      <c r="K442" s="43"/>
      <c r="L442" s="43"/>
      <c r="M442" s="43"/>
      <c r="N442" s="43"/>
      <c r="O442" s="43"/>
      <c r="P442" s="43"/>
      <c r="Q442" s="43"/>
      <c r="R442" s="49"/>
      <c r="S442" s="49"/>
      <c r="T442" s="49"/>
      <c r="U442" s="49"/>
      <c r="V442" s="49"/>
      <c r="W442" s="49"/>
      <c r="X442" s="49"/>
      <c r="Y442" s="49"/>
      <c r="Z442" s="49"/>
      <c r="AA442" s="49"/>
      <c r="AB442" s="49"/>
      <c r="AC442" s="49"/>
    </row>
    <row r="443" spans="1:29">
      <c r="A443" s="43"/>
      <c r="B443" s="43"/>
      <c r="C443" s="43"/>
      <c r="D443" s="43"/>
      <c r="E443" s="43"/>
      <c r="F443" s="43"/>
      <c r="G443" s="43"/>
      <c r="H443" s="43"/>
      <c r="I443" s="43"/>
      <c r="J443" s="43"/>
      <c r="K443" s="43"/>
      <c r="L443" s="43"/>
      <c r="M443" s="43"/>
      <c r="N443" s="43"/>
      <c r="O443" s="43"/>
      <c r="P443" s="43"/>
      <c r="Q443" s="43"/>
      <c r="R443" s="49"/>
      <c r="S443" s="49"/>
      <c r="T443" s="49"/>
      <c r="U443" s="49"/>
      <c r="V443" s="49"/>
      <c r="W443" s="49"/>
      <c r="X443" s="49"/>
      <c r="Y443" s="49"/>
      <c r="Z443" s="49"/>
      <c r="AA443" s="49"/>
      <c r="AB443" s="49"/>
      <c r="AC443" s="49"/>
    </row>
    <row r="444" spans="1:29">
      <c r="A444" s="43"/>
      <c r="B444" s="43"/>
      <c r="C444" s="43"/>
      <c r="D444" s="43"/>
      <c r="E444" s="43"/>
      <c r="F444" s="43"/>
      <c r="G444" s="43"/>
      <c r="H444" s="43"/>
      <c r="I444" s="43"/>
      <c r="J444" s="43"/>
      <c r="K444" s="43"/>
      <c r="L444" s="43"/>
      <c r="M444" s="43"/>
      <c r="N444" s="43"/>
      <c r="O444" s="43"/>
      <c r="P444" s="43"/>
      <c r="Q444" s="43"/>
      <c r="R444" s="49"/>
      <c r="S444" s="49"/>
      <c r="T444" s="49"/>
      <c r="U444" s="49"/>
      <c r="V444" s="49"/>
      <c r="W444" s="49"/>
      <c r="X444" s="49"/>
      <c r="Y444" s="49"/>
      <c r="Z444" s="49"/>
      <c r="AA444" s="49"/>
      <c r="AB444" s="49"/>
      <c r="AC444" s="49"/>
    </row>
    <row r="445" spans="1:29">
      <c r="A445" s="43"/>
      <c r="B445" s="43"/>
      <c r="C445" s="43"/>
      <c r="D445" s="43"/>
      <c r="E445" s="43"/>
      <c r="F445" s="43"/>
      <c r="G445" s="43"/>
      <c r="H445" s="43"/>
      <c r="I445" s="43"/>
      <c r="J445" s="43"/>
      <c r="K445" s="43"/>
      <c r="L445" s="43"/>
      <c r="M445" s="43"/>
      <c r="N445" s="43"/>
      <c r="O445" s="43"/>
      <c r="P445" s="43"/>
      <c r="Q445" s="43"/>
      <c r="R445" s="49"/>
      <c r="S445" s="49"/>
      <c r="T445" s="49"/>
      <c r="U445" s="49"/>
      <c r="V445" s="49"/>
      <c r="W445" s="49"/>
      <c r="X445" s="49"/>
      <c r="Y445" s="49"/>
      <c r="Z445" s="49"/>
      <c r="AA445" s="49"/>
      <c r="AB445" s="49"/>
      <c r="AC445" s="49"/>
    </row>
    <row r="446" spans="1:29">
      <c r="A446" s="43"/>
      <c r="B446" s="43"/>
      <c r="C446" s="43"/>
      <c r="D446" s="43"/>
      <c r="E446" s="43"/>
      <c r="F446" s="43"/>
      <c r="G446" s="43"/>
      <c r="H446" s="43"/>
      <c r="I446" s="43"/>
      <c r="J446" s="43"/>
      <c r="K446" s="43"/>
      <c r="L446" s="43"/>
      <c r="M446" s="43"/>
      <c r="N446" s="43"/>
      <c r="O446" s="43"/>
      <c r="P446" s="43"/>
      <c r="Q446" s="43"/>
      <c r="R446" s="49"/>
      <c r="S446" s="49"/>
      <c r="T446" s="49"/>
      <c r="U446" s="49"/>
      <c r="V446" s="49"/>
      <c r="W446" s="49"/>
      <c r="X446" s="49"/>
      <c r="Y446" s="49"/>
      <c r="Z446" s="49"/>
      <c r="AA446" s="49"/>
      <c r="AB446" s="49"/>
      <c r="AC446" s="49"/>
    </row>
    <row r="447" spans="1:29">
      <c r="A447" s="43"/>
      <c r="B447" s="43"/>
      <c r="C447" s="43"/>
      <c r="D447" s="43"/>
      <c r="E447" s="43"/>
      <c r="F447" s="43"/>
      <c r="G447" s="43"/>
      <c r="H447" s="43"/>
      <c r="I447" s="43"/>
      <c r="J447" s="43"/>
      <c r="K447" s="43"/>
      <c r="L447" s="43"/>
      <c r="M447" s="43"/>
      <c r="N447" s="43"/>
      <c r="O447" s="43"/>
      <c r="P447" s="43"/>
      <c r="Q447" s="43"/>
      <c r="R447" s="49"/>
      <c r="S447" s="49"/>
      <c r="T447" s="49"/>
      <c r="U447" s="49"/>
      <c r="V447" s="49"/>
      <c r="W447" s="49"/>
      <c r="X447" s="49"/>
      <c r="Y447" s="49"/>
      <c r="Z447" s="49"/>
      <c r="AA447" s="49"/>
      <c r="AB447" s="49"/>
      <c r="AC447" s="49"/>
    </row>
    <row r="448" spans="1:29">
      <c r="A448" s="43"/>
      <c r="B448" s="43"/>
      <c r="C448" s="43"/>
      <c r="D448" s="43"/>
      <c r="E448" s="43"/>
      <c r="F448" s="43"/>
      <c r="G448" s="43"/>
      <c r="H448" s="43"/>
      <c r="I448" s="43"/>
      <c r="J448" s="43"/>
      <c r="K448" s="43"/>
      <c r="L448" s="43"/>
      <c r="M448" s="43"/>
      <c r="N448" s="43"/>
      <c r="O448" s="43"/>
      <c r="P448" s="43"/>
      <c r="Q448" s="43"/>
      <c r="R448" s="49"/>
      <c r="S448" s="49"/>
      <c r="T448" s="49"/>
      <c r="U448" s="49"/>
      <c r="V448" s="49"/>
      <c r="W448" s="49"/>
      <c r="X448" s="49"/>
      <c r="Y448" s="49"/>
      <c r="Z448" s="49"/>
      <c r="AA448" s="49"/>
      <c r="AB448" s="49"/>
      <c r="AC448" s="49"/>
    </row>
    <row r="449" spans="1:29">
      <c r="A449" s="43"/>
      <c r="B449" s="43"/>
      <c r="C449" s="43"/>
      <c r="D449" s="43"/>
      <c r="E449" s="43"/>
      <c r="F449" s="43"/>
      <c r="G449" s="43"/>
      <c r="H449" s="43"/>
      <c r="I449" s="43"/>
      <c r="J449" s="43"/>
      <c r="K449" s="43"/>
      <c r="L449" s="43"/>
      <c r="M449" s="43"/>
      <c r="N449" s="43"/>
      <c r="O449" s="43"/>
      <c r="P449" s="43"/>
      <c r="Q449" s="43"/>
      <c r="R449" s="49"/>
      <c r="S449" s="49"/>
      <c r="T449" s="49"/>
      <c r="U449" s="49"/>
      <c r="V449" s="49"/>
      <c r="W449" s="49"/>
      <c r="X449" s="49"/>
      <c r="Y449" s="49"/>
      <c r="Z449" s="49"/>
      <c r="AA449" s="49"/>
      <c r="AB449" s="49"/>
      <c r="AC449" s="49"/>
    </row>
    <row r="450" spans="1:29">
      <c r="A450" s="43"/>
      <c r="B450" s="43"/>
      <c r="C450" s="43"/>
      <c r="D450" s="43"/>
      <c r="E450" s="43"/>
      <c r="F450" s="43"/>
      <c r="G450" s="43"/>
      <c r="H450" s="43"/>
      <c r="I450" s="43"/>
      <c r="J450" s="43"/>
      <c r="K450" s="43"/>
      <c r="L450" s="43"/>
      <c r="M450" s="43"/>
      <c r="N450" s="43"/>
      <c r="O450" s="43"/>
      <c r="P450" s="43"/>
      <c r="Q450" s="43"/>
      <c r="R450" s="49"/>
      <c r="S450" s="49"/>
      <c r="T450" s="49"/>
      <c r="U450" s="49"/>
      <c r="V450" s="49"/>
      <c r="W450" s="49"/>
      <c r="X450" s="49"/>
      <c r="Y450" s="49"/>
      <c r="Z450" s="49"/>
      <c r="AA450" s="49"/>
      <c r="AB450" s="49"/>
      <c r="AC450" s="49"/>
    </row>
    <row r="451" spans="1:29">
      <c r="A451" s="43"/>
      <c r="B451" s="43"/>
      <c r="C451" s="43"/>
      <c r="D451" s="43"/>
      <c r="E451" s="43"/>
      <c r="F451" s="43"/>
      <c r="G451" s="43"/>
      <c r="H451" s="43"/>
      <c r="I451" s="43"/>
      <c r="J451" s="43"/>
      <c r="K451" s="43"/>
      <c r="L451" s="43"/>
      <c r="M451" s="43"/>
      <c r="N451" s="43"/>
      <c r="O451" s="43"/>
      <c r="P451" s="43"/>
      <c r="Q451" s="43"/>
      <c r="R451" s="49"/>
      <c r="S451" s="49"/>
      <c r="T451" s="49"/>
      <c r="U451" s="49"/>
      <c r="V451" s="49"/>
      <c r="W451" s="49"/>
      <c r="X451" s="49"/>
      <c r="Y451" s="49"/>
      <c r="Z451" s="49"/>
      <c r="AA451" s="49"/>
      <c r="AB451" s="49"/>
      <c r="AC451" s="49"/>
    </row>
    <row r="452" spans="1:29">
      <c r="A452" s="43"/>
      <c r="B452" s="43"/>
      <c r="C452" s="43"/>
      <c r="D452" s="43"/>
      <c r="E452" s="43"/>
      <c r="F452" s="43"/>
      <c r="G452" s="43"/>
      <c r="H452" s="43"/>
      <c r="I452" s="43"/>
      <c r="J452" s="43"/>
      <c r="K452" s="43"/>
      <c r="L452" s="43"/>
      <c r="M452" s="43"/>
      <c r="N452" s="43"/>
      <c r="O452" s="43"/>
      <c r="P452" s="43"/>
      <c r="Q452" s="43"/>
      <c r="R452" s="49"/>
      <c r="S452" s="49"/>
      <c r="T452" s="49"/>
      <c r="U452" s="49"/>
      <c r="V452" s="49"/>
      <c r="W452" s="49"/>
      <c r="X452" s="49"/>
      <c r="Y452" s="49"/>
      <c r="Z452" s="49"/>
      <c r="AA452" s="49"/>
      <c r="AB452" s="49"/>
      <c r="AC452" s="49"/>
    </row>
    <row r="453" spans="1:29">
      <c r="A453" s="43"/>
      <c r="B453" s="43"/>
      <c r="C453" s="43"/>
      <c r="D453" s="43"/>
      <c r="E453" s="43"/>
      <c r="F453" s="43"/>
      <c r="G453" s="43"/>
      <c r="H453" s="43"/>
      <c r="I453" s="43"/>
      <c r="J453" s="43"/>
      <c r="K453" s="43"/>
      <c r="L453" s="43"/>
      <c r="M453" s="43"/>
      <c r="N453" s="43"/>
      <c r="O453" s="43"/>
      <c r="P453" s="43"/>
      <c r="Q453" s="43"/>
      <c r="R453" s="49"/>
      <c r="S453" s="49"/>
      <c r="T453" s="49"/>
      <c r="U453" s="49"/>
      <c r="V453" s="49"/>
      <c r="W453" s="49"/>
      <c r="X453" s="49"/>
      <c r="Y453" s="49"/>
      <c r="Z453" s="49"/>
      <c r="AA453" s="49"/>
      <c r="AB453" s="49"/>
      <c r="AC453" s="49"/>
    </row>
    <row r="454" spans="1:29">
      <c r="A454" s="43"/>
      <c r="B454" s="43"/>
      <c r="C454" s="43"/>
      <c r="D454" s="43"/>
      <c r="E454" s="43"/>
      <c r="F454" s="43"/>
      <c r="G454" s="43"/>
      <c r="H454" s="43"/>
      <c r="I454" s="43"/>
      <c r="J454" s="43"/>
      <c r="K454" s="43"/>
      <c r="L454" s="43"/>
      <c r="M454" s="43"/>
      <c r="N454" s="43"/>
      <c r="O454" s="43"/>
      <c r="P454" s="43"/>
      <c r="Q454" s="43"/>
      <c r="R454" s="49"/>
      <c r="S454" s="49"/>
      <c r="T454" s="49"/>
      <c r="U454" s="49"/>
      <c r="V454" s="49"/>
      <c r="W454" s="49"/>
      <c r="X454" s="49"/>
      <c r="Y454" s="49"/>
      <c r="Z454" s="49"/>
      <c r="AA454" s="49"/>
      <c r="AB454" s="49"/>
      <c r="AC454" s="49"/>
    </row>
    <row r="455" spans="1:29">
      <c r="A455" s="43"/>
      <c r="B455" s="43"/>
      <c r="C455" s="43"/>
      <c r="D455" s="43"/>
      <c r="E455" s="43"/>
      <c r="F455" s="43"/>
      <c r="G455" s="43"/>
      <c r="H455" s="43"/>
      <c r="I455" s="43"/>
      <c r="J455" s="43"/>
      <c r="K455" s="43"/>
      <c r="L455" s="43"/>
      <c r="M455" s="43"/>
      <c r="N455" s="43"/>
      <c r="O455" s="43"/>
      <c r="P455" s="43"/>
      <c r="Q455" s="43"/>
      <c r="R455" s="49"/>
      <c r="S455" s="49"/>
      <c r="T455" s="49"/>
      <c r="U455" s="49"/>
      <c r="V455" s="49"/>
      <c r="W455" s="49"/>
      <c r="X455" s="49"/>
      <c r="Y455" s="49"/>
      <c r="Z455" s="49"/>
      <c r="AA455" s="49"/>
      <c r="AB455" s="49"/>
      <c r="AC455" s="49"/>
    </row>
    <row r="456" spans="1:29">
      <c r="A456" s="43"/>
      <c r="B456" s="43"/>
      <c r="C456" s="43"/>
      <c r="D456" s="43"/>
      <c r="E456" s="43"/>
      <c r="F456" s="43"/>
      <c r="G456" s="43"/>
      <c r="H456" s="43"/>
      <c r="I456" s="43"/>
      <c r="J456" s="43"/>
      <c r="K456" s="43"/>
      <c r="L456" s="43"/>
      <c r="M456" s="43"/>
      <c r="N456" s="43"/>
      <c r="O456" s="43"/>
      <c r="P456" s="43"/>
      <c r="Q456" s="43"/>
      <c r="R456" s="49"/>
      <c r="S456" s="49"/>
      <c r="T456" s="49"/>
      <c r="U456" s="49"/>
      <c r="V456" s="49"/>
      <c r="W456" s="49"/>
      <c r="X456" s="49"/>
      <c r="Y456" s="49"/>
      <c r="Z456" s="49"/>
      <c r="AA456" s="49"/>
      <c r="AB456" s="49"/>
      <c r="AC456" s="49"/>
    </row>
    <row r="457" spans="1:29">
      <c r="A457" s="43"/>
      <c r="B457" s="43"/>
      <c r="C457" s="43"/>
      <c r="D457" s="43"/>
      <c r="E457" s="43"/>
      <c r="F457" s="43"/>
      <c r="G457" s="43"/>
      <c r="H457" s="43"/>
      <c r="I457" s="43"/>
      <c r="J457" s="43"/>
      <c r="K457" s="43"/>
      <c r="L457" s="43"/>
      <c r="M457" s="43"/>
      <c r="N457" s="43"/>
      <c r="O457" s="43"/>
      <c r="P457" s="43"/>
      <c r="Q457" s="43"/>
      <c r="R457" s="49"/>
      <c r="S457" s="49"/>
      <c r="T457" s="49"/>
      <c r="U457" s="49"/>
      <c r="V457" s="49"/>
      <c r="W457" s="49"/>
      <c r="X457" s="49"/>
      <c r="Y457" s="49"/>
      <c r="Z457" s="49"/>
      <c r="AA457" s="49"/>
      <c r="AB457" s="49"/>
      <c r="AC457" s="49"/>
    </row>
    <row r="458" spans="1:29">
      <c r="A458" s="43"/>
      <c r="B458" s="43"/>
      <c r="C458" s="43"/>
      <c r="D458" s="43"/>
      <c r="E458" s="43"/>
      <c r="F458" s="43"/>
      <c r="G458" s="43"/>
      <c r="H458" s="43"/>
      <c r="I458" s="43"/>
      <c r="J458" s="43"/>
      <c r="K458" s="43"/>
      <c r="L458" s="43"/>
      <c r="M458" s="43"/>
      <c r="N458" s="43"/>
      <c r="O458" s="43"/>
      <c r="P458" s="43"/>
      <c r="Q458" s="43"/>
      <c r="R458" s="49"/>
      <c r="S458" s="49"/>
      <c r="T458" s="49"/>
      <c r="U458" s="49"/>
      <c r="V458" s="49"/>
      <c r="W458" s="49"/>
      <c r="X458" s="49"/>
      <c r="Y458" s="49"/>
      <c r="Z458" s="49"/>
      <c r="AA458" s="49"/>
      <c r="AB458" s="49"/>
      <c r="AC458" s="49"/>
    </row>
    <row r="459" spans="1:29">
      <c r="A459" s="43"/>
      <c r="B459" s="43"/>
      <c r="C459" s="43"/>
      <c r="D459" s="43"/>
      <c r="E459" s="43"/>
      <c r="F459" s="43"/>
      <c r="G459" s="43"/>
      <c r="H459" s="43"/>
      <c r="I459" s="43"/>
      <c r="J459" s="43"/>
      <c r="K459" s="43"/>
      <c r="L459" s="43"/>
      <c r="M459" s="43"/>
      <c r="N459" s="43"/>
      <c r="O459" s="43"/>
      <c r="P459" s="43"/>
      <c r="Q459" s="43"/>
      <c r="R459" s="49"/>
      <c r="S459" s="49"/>
      <c r="T459" s="49"/>
      <c r="U459" s="49"/>
      <c r="V459" s="49"/>
      <c r="W459" s="49"/>
      <c r="X459" s="49"/>
      <c r="Y459" s="49"/>
      <c r="Z459" s="49"/>
      <c r="AA459" s="49"/>
      <c r="AB459" s="49"/>
      <c r="AC459" s="49"/>
    </row>
    <row r="460" spans="1:29">
      <c r="A460" s="43"/>
      <c r="B460" s="43"/>
      <c r="C460" s="43"/>
      <c r="D460" s="43"/>
      <c r="E460" s="43"/>
      <c r="F460" s="43"/>
      <c r="G460" s="43"/>
      <c r="H460" s="43"/>
      <c r="I460" s="43"/>
      <c r="J460" s="43"/>
      <c r="K460" s="43"/>
      <c r="L460" s="43"/>
      <c r="M460" s="43"/>
      <c r="N460" s="43"/>
      <c r="O460" s="43"/>
      <c r="P460" s="43"/>
      <c r="Q460" s="43"/>
      <c r="R460" s="49"/>
      <c r="S460" s="49"/>
      <c r="T460" s="49"/>
      <c r="U460" s="49"/>
      <c r="V460" s="49"/>
      <c r="W460" s="49"/>
      <c r="X460" s="49"/>
      <c r="Y460" s="49"/>
      <c r="Z460" s="49"/>
      <c r="AA460" s="49"/>
      <c r="AB460" s="49"/>
      <c r="AC460" s="49"/>
    </row>
    <row r="461" spans="1:29">
      <c r="A461" s="43"/>
      <c r="B461" s="43"/>
      <c r="C461" s="43"/>
      <c r="D461" s="43"/>
      <c r="E461" s="43"/>
      <c r="F461" s="43"/>
      <c r="G461" s="43"/>
      <c r="H461" s="43"/>
      <c r="I461" s="43"/>
      <c r="J461" s="43"/>
      <c r="K461" s="43"/>
      <c r="L461" s="43"/>
      <c r="M461" s="43"/>
      <c r="N461" s="43"/>
      <c r="O461" s="43"/>
      <c r="P461" s="43"/>
      <c r="Q461" s="43"/>
      <c r="R461" s="49"/>
      <c r="S461" s="49"/>
      <c r="T461" s="49"/>
      <c r="U461" s="49"/>
      <c r="V461" s="49"/>
      <c r="W461" s="49"/>
      <c r="X461" s="49"/>
      <c r="Y461" s="49"/>
      <c r="Z461" s="49"/>
      <c r="AA461" s="49"/>
      <c r="AB461" s="49"/>
      <c r="AC461" s="49"/>
    </row>
    <row r="462" spans="1:29">
      <c r="A462" s="43"/>
      <c r="B462" s="43"/>
      <c r="C462" s="43"/>
      <c r="D462" s="43"/>
      <c r="E462" s="43"/>
      <c r="F462" s="43"/>
      <c r="G462" s="43"/>
      <c r="H462" s="43"/>
      <c r="I462" s="43"/>
      <c r="J462" s="43"/>
      <c r="K462" s="43"/>
      <c r="L462" s="43"/>
      <c r="M462" s="43"/>
      <c r="N462" s="43"/>
      <c r="O462" s="43"/>
      <c r="P462" s="43"/>
      <c r="Q462" s="43"/>
      <c r="R462" s="49"/>
      <c r="S462" s="49"/>
      <c r="T462" s="49"/>
      <c r="U462" s="49"/>
      <c r="V462" s="49"/>
      <c r="W462" s="49"/>
      <c r="X462" s="49"/>
      <c r="Y462" s="49"/>
      <c r="Z462" s="49"/>
      <c r="AA462" s="49"/>
      <c r="AB462" s="49"/>
      <c r="AC462" s="49"/>
    </row>
    <row r="463" spans="1:29">
      <c r="A463" s="43"/>
      <c r="B463" s="43"/>
      <c r="C463" s="43"/>
      <c r="D463" s="43"/>
      <c r="E463" s="43"/>
      <c r="F463" s="43"/>
      <c r="G463" s="43"/>
      <c r="H463" s="43"/>
      <c r="I463" s="43"/>
      <c r="J463" s="43"/>
      <c r="K463" s="43"/>
      <c r="L463" s="43"/>
      <c r="M463" s="43"/>
      <c r="N463" s="43"/>
      <c r="O463" s="43"/>
      <c r="P463" s="43"/>
      <c r="Q463" s="43"/>
      <c r="R463" s="49"/>
      <c r="S463" s="49"/>
      <c r="T463" s="49"/>
      <c r="U463" s="49"/>
      <c r="V463" s="49"/>
      <c r="W463" s="49"/>
      <c r="X463" s="49"/>
      <c r="Y463" s="49"/>
      <c r="Z463" s="49"/>
      <c r="AA463" s="49"/>
      <c r="AB463" s="49"/>
      <c r="AC463" s="49"/>
    </row>
    <row r="464" spans="1:29">
      <c r="A464" s="43"/>
      <c r="B464" s="43"/>
      <c r="C464" s="43"/>
      <c r="D464" s="43"/>
      <c r="E464" s="43"/>
      <c r="F464" s="43"/>
      <c r="G464" s="43"/>
      <c r="H464" s="43"/>
      <c r="I464" s="43"/>
      <c r="J464" s="43"/>
      <c r="K464" s="43"/>
      <c r="L464" s="43"/>
      <c r="M464" s="43"/>
      <c r="N464" s="43"/>
      <c r="O464" s="43"/>
      <c r="P464" s="43"/>
      <c r="Q464" s="43"/>
      <c r="R464" s="49"/>
      <c r="S464" s="49"/>
      <c r="T464" s="49"/>
      <c r="U464" s="49"/>
      <c r="V464" s="49"/>
      <c r="W464" s="49"/>
      <c r="X464" s="49"/>
      <c r="Y464" s="49"/>
      <c r="Z464" s="49"/>
      <c r="AA464" s="49"/>
      <c r="AB464" s="49"/>
      <c r="AC464" s="49"/>
    </row>
    <row r="465" spans="1:29">
      <c r="A465" s="43"/>
      <c r="B465" s="43"/>
      <c r="C465" s="43"/>
      <c r="D465" s="43"/>
      <c r="E465" s="43"/>
      <c r="F465" s="43"/>
      <c r="G465" s="43"/>
      <c r="H465" s="43"/>
      <c r="I465" s="43"/>
      <c r="J465" s="43"/>
      <c r="K465" s="43"/>
      <c r="L465" s="43"/>
      <c r="M465" s="43"/>
      <c r="N465" s="43"/>
      <c r="O465" s="43"/>
      <c r="P465" s="43"/>
      <c r="Q465" s="43"/>
      <c r="R465" s="49"/>
      <c r="S465" s="49"/>
      <c r="T465" s="49"/>
      <c r="U465" s="49"/>
      <c r="V465" s="49"/>
      <c r="W465" s="49"/>
      <c r="X465" s="49"/>
      <c r="Y465" s="49"/>
      <c r="Z465" s="49"/>
      <c r="AA465" s="49"/>
      <c r="AB465" s="49"/>
      <c r="AC465" s="49"/>
    </row>
    <row r="466" spans="1:29">
      <c r="A466" s="43"/>
      <c r="B466" s="43"/>
      <c r="C466" s="43"/>
      <c r="D466" s="43"/>
      <c r="E466" s="43"/>
      <c r="F466" s="43"/>
      <c r="G466" s="43"/>
      <c r="H466" s="43"/>
      <c r="I466" s="43"/>
      <c r="J466" s="43"/>
      <c r="K466" s="43"/>
      <c r="L466" s="43"/>
      <c r="M466" s="43"/>
      <c r="N466" s="43"/>
      <c r="O466" s="43"/>
      <c r="P466" s="43"/>
      <c r="Q466" s="43"/>
      <c r="R466" s="49"/>
      <c r="S466" s="49"/>
      <c r="T466" s="49"/>
      <c r="U466" s="49"/>
      <c r="V466" s="49"/>
      <c r="W466" s="49"/>
      <c r="X466" s="49"/>
      <c r="Y466" s="49"/>
      <c r="Z466" s="49"/>
      <c r="AA466" s="49"/>
      <c r="AB466" s="49"/>
      <c r="AC466" s="49"/>
    </row>
    <row r="467" spans="1:29">
      <c r="A467" s="43"/>
      <c r="B467" s="43"/>
      <c r="C467" s="43"/>
      <c r="D467" s="43"/>
      <c r="E467" s="43"/>
      <c r="F467" s="43"/>
      <c r="G467" s="43"/>
      <c r="H467" s="43"/>
      <c r="I467" s="43"/>
      <c r="J467" s="43"/>
      <c r="K467" s="43"/>
      <c r="L467" s="43"/>
      <c r="M467" s="43"/>
      <c r="N467" s="43"/>
      <c r="O467" s="43"/>
      <c r="P467" s="43"/>
      <c r="Q467" s="43"/>
      <c r="R467" s="49"/>
      <c r="S467" s="49"/>
      <c r="T467" s="49"/>
      <c r="U467" s="49"/>
      <c r="V467" s="49"/>
      <c r="W467" s="49"/>
      <c r="X467" s="49"/>
      <c r="Y467" s="49"/>
      <c r="Z467" s="49"/>
      <c r="AA467" s="49"/>
      <c r="AB467" s="49"/>
      <c r="AC467" s="49"/>
    </row>
    <row r="468" spans="1:29">
      <c r="A468" s="43"/>
      <c r="B468" s="43"/>
      <c r="C468" s="43"/>
      <c r="D468" s="43"/>
      <c r="E468" s="43"/>
      <c r="F468" s="43"/>
      <c r="G468" s="43"/>
      <c r="H468" s="43"/>
      <c r="I468" s="43"/>
      <c r="J468" s="43"/>
      <c r="K468" s="43"/>
      <c r="L468" s="43"/>
      <c r="M468" s="43"/>
      <c r="N468" s="43"/>
      <c r="O468" s="43"/>
      <c r="P468" s="43"/>
      <c r="Q468" s="43"/>
      <c r="R468" s="49"/>
      <c r="S468" s="49"/>
      <c r="T468" s="49"/>
      <c r="U468" s="49"/>
      <c r="V468" s="49"/>
      <c r="W468" s="49"/>
      <c r="X468" s="49"/>
      <c r="Y468" s="49"/>
      <c r="Z468" s="49"/>
      <c r="AA468" s="49"/>
      <c r="AB468" s="49"/>
      <c r="AC468" s="49"/>
    </row>
    <row r="469" spans="1:29">
      <c r="A469" s="43"/>
      <c r="B469" s="43"/>
      <c r="C469" s="43"/>
      <c r="D469" s="43"/>
      <c r="E469" s="43"/>
      <c r="F469" s="43"/>
      <c r="G469" s="43"/>
      <c r="H469" s="43"/>
      <c r="I469" s="43"/>
      <c r="J469" s="43"/>
      <c r="K469" s="43"/>
      <c r="L469" s="43"/>
      <c r="M469" s="43"/>
      <c r="N469" s="43"/>
      <c r="O469" s="43"/>
      <c r="P469" s="43"/>
      <c r="Q469" s="43"/>
      <c r="R469" s="49"/>
      <c r="S469" s="49"/>
      <c r="T469" s="49"/>
      <c r="U469" s="49"/>
      <c r="V469" s="49"/>
      <c r="W469" s="49"/>
      <c r="X469" s="49"/>
      <c r="Y469" s="49"/>
      <c r="Z469" s="49"/>
      <c r="AA469" s="49"/>
      <c r="AB469" s="49"/>
      <c r="AC469" s="49"/>
    </row>
    <row r="470" spans="1:29">
      <c r="A470" s="43"/>
      <c r="B470" s="43"/>
      <c r="C470" s="43"/>
      <c r="D470" s="43"/>
      <c r="E470" s="43"/>
      <c r="F470" s="43"/>
      <c r="G470" s="43"/>
      <c r="H470" s="43"/>
      <c r="I470" s="43"/>
      <c r="J470" s="43"/>
      <c r="K470" s="43"/>
      <c r="L470" s="43"/>
      <c r="M470" s="43"/>
      <c r="N470" s="43"/>
      <c r="O470" s="43"/>
      <c r="P470" s="43"/>
      <c r="Q470" s="43"/>
      <c r="R470" s="49"/>
      <c r="S470" s="49"/>
      <c r="T470" s="49"/>
      <c r="U470" s="49"/>
      <c r="V470" s="49"/>
      <c r="W470" s="49"/>
      <c r="X470" s="49"/>
      <c r="Y470" s="49"/>
      <c r="Z470" s="49"/>
      <c r="AA470" s="49"/>
      <c r="AB470" s="49"/>
      <c r="AC470" s="49"/>
    </row>
    <row r="471" spans="1:29">
      <c r="A471" s="43"/>
      <c r="B471" s="43"/>
      <c r="C471" s="43"/>
      <c r="D471" s="43"/>
      <c r="E471" s="43"/>
      <c r="F471" s="43"/>
      <c r="G471" s="43"/>
      <c r="H471" s="43"/>
      <c r="I471" s="43"/>
      <c r="J471" s="43"/>
      <c r="K471" s="43"/>
      <c r="L471" s="43"/>
      <c r="M471" s="43"/>
      <c r="N471" s="43"/>
      <c r="O471" s="43"/>
      <c r="P471" s="43"/>
      <c r="Q471" s="43"/>
      <c r="R471" s="49"/>
      <c r="S471" s="49"/>
      <c r="T471" s="49"/>
      <c r="U471" s="49"/>
      <c r="V471" s="49"/>
      <c r="W471" s="49"/>
      <c r="X471" s="49"/>
      <c r="Y471" s="49"/>
      <c r="Z471" s="49"/>
      <c r="AA471" s="49"/>
      <c r="AB471" s="49"/>
      <c r="AC471" s="49"/>
    </row>
    <row r="472" spans="1:29">
      <c r="A472" s="43"/>
      <c r="B472" s="43"/>
      <c r="C472" s="43"/>
      <c r="D472" s="43"/>
      <c r="E472" s="43"/>
      <c r="F472" s="43"/>
      <c r="G472" s="43"/>
      <c r="H472" s="43"/>
      <c r="I472" s="43"/>
      <c r="J472" s="43"/>
      <c r="K472" s="43"/>
      <c r="L472" s="43"/>
      <c r="M472" s="43"/>
      <c r="N472" s="43"/>
      <c r="O472" s="43"/>
      <c r="P472" s="43"/>
      <c r="Q472" s="43"/>
      <c r="R472" s="49"/>
      <c r="S472" s="49"/>
      <c r="T472" s="49"/>
      <c r="U472" s="49"/>
      <c r="V472" s="49"/>
      <c r="W472" s="49"/>
      <c r="X472" s="49"/>
      <c r="Y472" s="49"/>
      <c r="Z472" s="49"/>
      <c r="AA472" s="49"/>
      <c r="AB472" s="49"/>
      <c r="AC472" s="49"/>
    </row>
    <row r="473" spans="1:29">
      <c r="A473" s="43"/>
      <c r="B473" s="43"/>
      <c r="C473" s="43"/>
      <c r="D473" s="43"/>
      <c r="E473" s="43"/>
      <c r="F473" s="43"/>
      <c r="G473" s="43"/>
      <c r="H473" s="43"/>
      <c r="I473" s="43"/>
      <c r="J473" s="43"/>
      <c r="K473" s="43"/>
      <c r="L473" s="43"/>
      <c r="M473" s="43"/>
      <c r="N473" s="43"/>
      <c r="O473" s="43"/>
      <c r="P473" s="43"/>
      <c r="Q473" s="43"/>
      <c r="R473" s="49"/>
      <c r="S473" s="49"/>
      <c r="T473" s="49"/>
      <c r="U473" s="49"/>
      <c r="V473" s="49"/>
      <c r="W473" s="49"/>
      <c r="X473" s="49"/>
      <c r="Y473" s="49"/>
      <c r="Z473" s="49"/>
      <c r="AA473" s="49"/>
      <c r="AB473" s="49"/>
      <c r="AC473" s="49"/>
    </row>
    <row r="474" spans="1:29">
      <c r="A474" s="43"/>
      <c r="B474" s="43"/>
      <c r="C474" s="43"/>
      <c r="D474" s="43"/>
      <c r="E474" s="43"/>
      <c r="F474" s="43"/>
      <c r="G474" s="43"/>
      <c r="H474" s="43"/>
      <c r="I474" s="43"/>
      <c r="J474" s="43"/>
      <c r="K474" s="43"/>
      <c r="L474" s="43"/>
      <c r="M474" s="43"/>
      <c r="N474" s="43"/>
      <c r="O474" s="43"/>
      <c r="P474" s="43"/>
      <c r="Q474" s="43"/>
      <c r="R474" s="49"/>
      <c r="S474" s="49"/>
      <c r="T474" s="49"/>
      <c r="U474" s="49"/>
      <c r="V474" s="49"/>
      <c r="W474" s="49"/>
      <c r="X474" s="49"/>
      <c r="Y474" s="49"/>
      <c r="Z474" s="49"/>
      <c r="AA474" s="49"/>
      <c r="AB474" s="49"/>
      <c r="AC474" s="49"/>
    </row>
    <row r="475" spans="1:29">
      <c r="A475" s="43"/>
      <c r="B475" s="43"/>
      <c r="C475" s="43"/>
      <c r="D475" s="43"/>
      <c r="E475" s="43"/>
      <c r="F475" s="43"/>
      <c r="G475" s="43"/>
      <c r="H475" s="43"/>
      <c r="I475" s="43"/>
      <c r="J475" s="43"/>
      <c r="K475" s="43"/>
      <c r="L475" s="43"/>
      <c r="M475" s="43"/>
      <c r="N475" s="43"/>
      <c r="O475" s="43"/>
      <c r="P475" s="43"/>
      <c r="Q475" s="43"/>
      <c r="R475" s="49"/>
      <c r="S475" s="49"/>
      <c r="T475" s="49"/>
      <c r="U475" s="49"/>
      <c r="V475" s="49"/>
      <c r="W475" s="49"/>
      <c r="X475" s="49"/>
      <c r="Y475" s="49"/>
      <c r="Z475" s="49"/>
      <c r="AA475" s="49"/>
      <c r="AB475" s="49"/>
      <c r="AC475" s="49"/>
    </row>
    <row r="476" spans="1:29">
      <c r="A476" s="43"/>
      <c r="B476" s="43"/>
      <c r="C476" s="43"/>
      <c r="D476" s="43"/>
      <c r="E476" s="43"/>
      <c r="F476" s="43"/>
      <c r="G476" s="43"/>
      <c r="H476" s="43"/>
      <c r="I476" s="43"/>
      <c r="J476" s="43"/>
      <c r="K476" s="43"/>
      <c r="L476" s="43"/>
      <c r="M476" s="43"/>
      <c r="N476" s="43"/>
      <c r="O476" s="43"/>
      <c r="P476" s="43"/>
      <c r="Q476" s="43"/>
      <c r="R476" s="49"/>
      <c r="S476" s="49"/>
      <c r="T476" s="49"/>
      <c r="U476" s="49"/>
      <c r="V476" s="49"/>
      <c r="W476" s="49"/>
      <c r="X476" s="49"/>
      <c r="Y476" s="49"/>
      <c r="Z476" s="49"/>
      <c r="AA476" s="49"/>
      <c r="AB476" s="49"/>
      <c r="AC476" s="49"/>
    </row>
    <row r="477" spans="1:29">
      <c r="A477" s="43"/>
      <c r="B477" s="43"/>
      <c r="C477" s="43"/>
      <c r="D477" s="43"/>
      <c r="E477" s="43"/>
      <c r="F477" s="43"/>
      <c r="G477" s="43"/>
      <c r="H477" s="43"/>
      <c r="I477" s="43"/>
      <c r="J477" s="43"/>
      <c r="K477" s="43"/>
      <c r="L477" s="43"/>
      <c r="M477" s="43"/>
      <c r="N477" s="43"/>
      <c r="O477" s="43"/>
      <c r="P477" s="43"/>
      <c r="Q477" s="43"/>
      <c r="R477" s="49"/>
      <c r="S477" s="49"/>
      <c r="T477" s="49"/>
      <c r="U477" s="49"/>
      <c r="V477" s="49"/>
      <c r="W477" s="49"/>
      <c r="X477" s="49"/>
      <c r="Y477" s="49"/>
      <c r="Z477" s="49"/>
      <c r="AA477" s="49"/>
      <c r="AB477" s="49"/>
      <c r="AC477" s="49"/>
    </row>
    <row r="478" spans="1:29">
      <c r="A478" s="43"/>
      <c r="B478" s="43"/>
      <c r="C478" s="43"/>
      <c r="D478" s="43"/>
      <c r="E478" s="43"/>
      <c r="F478" s="43"/>
      <c r="G478" s="43"/>
      <c r="H478" s="43"/>
      <c r="I478" s="43"/>
      <c r="J478" s="43"/>
      <c r="K478" s="43"/>
      <c r="L478" s="43"/>
      <c r="M478" s="43"/>
      <c r="N478" s="43"/>
      <c r="O478" s="43"/>
      <c r="P478" s="43"/>
      <c r="Q478" s="43"/>
      <c r="R478" s="49"/>
      <c r="S478" s="49"/>
      <c r="T478" s="49"/>
      <c r="U478" s="49"/>
      <c r="V478" s="49"/>
      <c r="W478" s="49"/>
      <c r="X478" s="49"/>
      <c r="Y478" s="49"/>
      <c r="Z478" s="49"/>
      <c r="AA478" s="49"/>
      <c r="AB478" s="49"/>
      <c r="AC478" s="49"/>
    </row>
    <row r="479" spans="1:29">
      <c r="A479" s="43"/>
      <c r="B479" s="43"/>
      <c r="C479" s="43"/>
      <c r="D479" s="43"/>
      <c r="E479" s="43"/>
      <c r="F479" s="43"/>
      <c r="G479" s="43"/>
      <c r="H479" s="43"/>
      <c r="I479" s="43"/>
      <c r="J479" s="43"/>
      <c r="K479" s="43"/>
      <c r="L479" s="43"/>
      <c r="M479" s="43"/>
      <c r="N479" s="43"/>
      <c r="O479" s="43"/>
      <c r="P479" s="43"/>
      <c r="Q479" s="43"/>
      <c r="R479" s="49"/>
      <c r="S479" s="49"/>
      <c r="T479" s="49"/>
      <c r="U479" s="49"/>
      <c r="V479" s="49"/>
      <c r="W479" s="49"/>
      <c r="X479" s="49"/>
      <c r="Y479" s="49"/>
      <c r="Z479" s="49"/>
      <c r="AA479" s="49"/>
      <c r="AB479" s="49"/>
      <c r="AC479" s="49"/>
    </row>
    <row r="480" spans="1:29">
      <c r="A480" s="43"/>
      <c r="B480" s="43"/>
      <c r="C480" s="43"/>
      <c r="D480" s="43"/>
      <c r="E480" s="43"/>
      <c r="F480" s="43"/>
      <c r="G480" s="43"/>
      <c r="H480" s="43"/>
      <c r="I480" s="43"/>
      <c r="J480" s="43"/>
      <c r="K480" s="43"/>
      <c r="L480" s="43"/>
      <c r="M480" s="43"/>
      <c r="N480" s="43"/>
      <c r="O480" s="43"/>
      <c r="P480" s="43"/>
      <c r="Q480" s="43"/>
      <c r="R480" s="49"/>
      <c r="S480" s="49"/>
      <c r="T480" s="49"/>
      <c r="U480" s="49"/>
      <c r="V480" s="49"/>
      <c r="W480" s="49"/>
      <c r="X480" s="49"/>
      <c r="Y480" s="49"/>
      <c r="Z480" s="49"/>
      <c r="AA480" s="49"/>
      <c r="AB480" s="49"/>
      <c r="AC480" s="49"/>
    </row>
    <row r="481" spans="1:29">
      <c r="A481" s="43"/>
      <c r="B481" s="43"/>
      <c r="C481" s="43"/>
      <c r="D481" s="43"/>
      <c r="E481" s="43"/>
      <c r="F481" s="43"/>
      <c r="G481" s="43"/>
      <c r="H481" s="43"/>
      <c r="I481" s="43"/>
      <c r="J481" s="43"/>
      <c r="K481" s="43"/>
      <c r="L481" s="43"/>
      <c r="M481" s="43"/>
      <c r="N481" s="43"/>
      <c r="O481" s="43"/>
      <c r="P481" s="43"/>
      <c r="Q481" s="43"/>
      <c r="R481" s="49"/>
      <c r="S481" s="49"/>
      <c r="T481" s="49"/>
      <c r="U481" s="49"/>
      <c r="V481" s="49"/>
      <c r="W481" s="49"/>
      <c r="X481" s="49"/>
      <c r="Y481" s="49"/>
      <c r="Z481" s="49"/>
      <c r="AA481" s="49"/>
      <c r="AB481" s="49"/>
      <c r="AC481" s="49"/>
    </row>
    <row r="482" spans="1:29">
      <c r="A482" s="43"/>
      <c r="B482" s="43"/>
      <c r="C482" s="43"/>
      <c r="D482" s="43"/>
      <c r="E482" s="43"/>
      <c r="F482" s="43"/>
      <c r="G482" s="43"/>
      <c r="H482" s="43"/>
      <c r="I482" s="43"/>
      <c r="J482" s="43"/>
      <c r="K482" s="43"/>
      <c r="L482" s="43"/>
      <c r="M482" s="43"/>
      <c r="N482" s="43"/>
      <c r="O482" s="43"/>
      <c r="P482" s="43"/>
      <c r="Q482" s="43"/>
      <c r="R482" s="49"/>
      <c r="S482" s="49"/>
      <c r="T482" s="49"/>
      <c r="U482" s="49"/>
      <c r="V482" s="49"/>
      <c r="W482" s="49"/>
      <c r="X482" s="49"/>
      <c r="Y482" s="49"/>
      <c r="Z482" s="49"/>
      <c r="AA482" s="49"/>
      <c r="AB482" s="49"/>
      <c r="AC482" s="49"/>
    </row>
    <row r="483" spans="1:29">
      <c r="A483" s="43"/>
      <c r="B483" s="43"/>
      <c r="C483" s="43"/>
      <c r="D483" s="43"/>
      <c r="E483" s="43"/>
      <c r="F483" s="43"/>
      <c r="G483" s="43"/>
      <c r="H483" s="43"/>
      <c r="I483" s="43"/>
      <c r="J483" s="43"/>
      <c r="K483" s="43"/>
      <c r="L483" s="43"/>
      <c r="M483" s="43"/>
      <c r="N483" s="43"/>
      <c r="O483" s="43"/>
      <c r="P483" s="43"/>
      <c r="Q483" s="43"/>
      <c r="R483" s="49"/>
      <c r="S483" s="49"/>
      <c r="T483" s="49"/>
      <c r="U483" s="49"/>
      <c r="V483" s="49"/>
      <c r="W483" s="49"/>
      <c r="X483" s="49"/>
      <c r="Y483" s="49"/>
      <c r="Z483" s="49"/>
      <c r="AA483" s="49"/>
      <c r="AB483" s="49"/>
      <c r="AC483" s="49"/>
    </row>
    <row r="484" spans="1:29">
      <c r="A484" s="43"/>
      <c r="B484" s="43"/>
      <c r="C484" s="43"/>
      <c r="D484" s="43"/>
      <c r="E484" s="43"/>
      <c r="F484" s="43"/>
      <c r="G484" s="43"/>
      <c r="H484" s="43"/>
      <c r="I484" s="43"/>
      <c r="J484" s="43"/>
      <c r="K484" s="43"/>
      <c r="L484" s="43"/>
      <c r="M484" s="43"/>
      <c r="N484" s="43"/>
      <c r="O484" s="43"/>
      <c r="P484" s="43"/>
      <c r="Q484" s="43"/>
      <c r="R484" s="49"/>
      <c r="S484" s="49"/>
      <c r="T484" s="49"/>
      <c r="U484" s="49"/>
      <c r="V484" s="49"/>
      <c r="W484" s="49"/>
      <c r="X484" s="49"/>
      <c r="Y484" s="49"/>
      <c r="Z484" s="49"/>
      <c r="AA484" s="49"/>
      <c r="AB484" s="49"/>
      <c r="AC484" s="49"/>
    </row>
    <row r="485" spans="1:29">
      <c r="A485" s="43"/>
      <c r="B485" s="43"/>
      <c r="C485" s="43"/>
      <c r="D485" s="43"/>
      <c r="E485" s="43"/>
      <c r="F485" s="43"/>
      <c r="G485" s="43"/>
      <c r="H485" s="43"/>
      <c r="I485" s="43"/>
      <c r="J485" s="43"/>
      <c r="K485" s="43"/>
      <c r="L485" s="43"/>
      <c r="M485" s="43"/>
      <c r="N485" s="43"/>
      <c r="O485" s="43"/>
      <c r="P485" s="43"/>
      <c r="Q485" s="43"/>
      <c r="R485" s="49"/>
      <c r="S485" s="49"/>
      <c r="T485" s="49"/>
      <c r="U485" s="49"/>
      <c r="V485" s="49"/>
      <c r="W485" s="49"/>
      <c r="X485" s="49"/>
      <c r="Y485" s="49"/>
      <c r="Z485" s="49"/>
      <c r="AA485" s="49"/>
      <c r="AB485" s="49"/>
      <c r="AC485" s="49"/>
    </row>
    <row r="486" spans="1:29">
      <c r="A486" s="43"/>
      <c r="B486" s="43"/>
      <c r="C486" s="43"/>
      <c r="D486" s="43"/>
      <c r="E486" s="43"/>
      <c r="F486" s="43"/>
      <c r="G486" s="43"/>
      <c r="H486" s="43"/>
      <c r="I486" s="43"/>
      <c r="J486" s="43"/>
      <c r="K486" s="43"/>
      <c r="L486" s="43"/>
      <c r="M486" s="43"/>
      <c r="N486" s="43"/>
      <c r="O486" s="43"/>
      <c r="P486" s="43"/>
      <c r="Q486" s="43"/>
      <c r="R486" s="49"/>
      <c r="S486" s="49"/>
      <c r="T486" s="49"/>
      <c r="U486" s="49"/>
      <c r="V486" s="49"/>
      <c r="W486" s="49"/>
      <c r="X486" s="49"/>
      <c r="Y486" s="49"/>
      <c r="Z486" s="49"/>
      <c r="AA486" s="49"/>
      <c r="AB486" s="49"/>
      <c r="AC486" s="49"/>
    </row>
    <row r="487" spans="1:29">
      <c r="A487" s="43"/>
      <c r="B487" s="43"/>
      <c r="C487" s="43"/>
      <c r="D487" s="43"/>
      <c r="E487" s="43"/>
      <c r="F487" s="43"/>
      <c r="G487" s="43"/>
      <c r="H487" s="43"/>
      <c r="I487" s="43"/>
      <c r="J487" s="43"/>
      <c r="K487" s="43"/>
      <c r="L487" s="43"/>
      <c r="M487" s="43"/>
      <c r="N487" s="43"/>
      <c r="O487" s="43"/>
      <c r="P487" s="43"/>
      <c r="Q487" s="43"/>
      <c r="R487" s="49"/>
      <c r="S487" s="49"/>
      <c r="T487" s="49"/>
      <c r="U487" s="49"/>
      <c r="V487" s="49"/>
      <c r="W487" s="49"/>
      <c r="X487" s="49"/>
      <c r="Y487" s="49"/>
      <c r="Z487" s="49"/>
      <c r="AA487" s="49"/>
      <c r="AB487" s="49"/>
      <c r="AC487" s="49"/>
    </row>
    <row r="488" spans="1:29">
      <c r="A488" s="43"/>
      <c r="B488" s="43"/>
      <c r="C488" s="43"/>
      <c r="D488" s="43"/>
      <c r="E488" s="43"/>
      <c r="F488" s="43"/>
      <c r="G488" s="43"/>
      <c r="H488" s="43"/>
      <c r="I488" s="43"/>
      <c r="J488" s="43"/>
      <c r="K488" s="43"/>
      <c r="L488" s="43"/>
      <c r="M488" s="43"/>
      <c r="N488" s="43"/>
      <c r="O488" s="43"/>
      <c r="P488" s="43"/>
      <c r="Q488" s="43"/>
      <c r="R488" s="49"/>
      <c r="S488" s="49"/>
      <c r="T488" s="49"/>
      <c r="U488" s="49"/>
      <c r="V488" s="49"/>
      <c r="W488" s="49"/>
      <c r="X488" s="49"/>
      <c r="Y488" s="49"/>
      <c r="Z488" s="49"/>
      <c r="AA488" s="49"/>
      <c r="AB488" s="49"/>
      <c r="AC488" s="49"/>
    </row>
    <row r="489" spans="1:29">
      <c r="A489" s="43"/>
      <c r="B489" s="43"/>
      <c r="C489" s="43"/>
      <c r="D489" s="43"/>
      <c r="E489" s="43"/>
      <c r="F489" s="43"/>
      <c r="G489" s="43"/>
      <c r="H489" s="43"/>
      <c r="I489" s="43"/>
      <c r="J489" s="43"/>
      <c r="K489" s="43"/>
      <c r="L489" s="43"/>
      <c r="M489" s="43"/>
      <c r="N489" s="43"/>
      <c r="O489" s="43"/>
      <c r="P489" s="43"/>
      <c r="Q489" s="43"/>
      <c r="R489" s="49"/>
      <c r="S489" s="49"/>
      <c r="T489" s="49"/>
      <c r="U489" s="49"/>
      <c r="V489" s="49"/>
      <c r="W489" s="49"/>
      <c r="X489" s="49"/>
      <c r="Y489" s="49"/>
      <c r="Z489" s="49"/>
      <c r="AA489" s="49"/>
      <c r="AB489" s="49"/>
      <c r="AC489" s="49"/>
    </row>
    <row r="490" spans="1:29">
      <c r="A490" s="43"/>
      <c r="B490" s="43"/>
      <c r="C490" s="43"/>
      <c r="D490" s="43"/>
      <c r="E490" s="43"/>
      <c r="F490" s="43"/>
      <c r="G490" s="43"/>
      <c r="H490" s="43"/>
      <c r="I490" s="43"/>
      <c r="J490" s="43"/>
      <c r="K490" s="43"/>
      <c r="L490" s="43"/>
      <c r="M490" s="43"/>
      <c r="N490" s="43"/>
      <c r="O490" s="43"/>
      <c r="P490" s="43"/>
      <c r="Q490" s="43"/>
      <c r="R490" s="49"/>
      <c r="S490" s="49"/>
      <c r="T490" s="49"/>
      <c r="U490" s="49"/>
      <c r="V490" s="49"/>
      <c r="W490" s="49"/>
      <c r="X490" s="49"/>
      <c r="Y490" s="49"/>
      <c r="Z490" s="49"/>
      <c r="AA490" s="49"/>
      <c r="AB490" s="49"/>
      <c r="AC490" s="49"/>
    </row>
    <row r="491" spans="1:29">
      <c r="A491" s="43"/>
      <c r="B491" s="43"/>
      <c r="C491" s="43"/>
      <c r="D491" s="43"/>
      <c r="E491" s="43"/>
      <c r="F491" s="43"/>
      <c r="G491" s="43"/>
      <c r="H491" s="43"/>
      <c r="I491" s="43"/>
      <c r="J491" s="43"/>
      <c r="K491" s="43"/>
      <c r="L491" s="43"/>
      <c r="M491" s="43"/>
      <c r="N491" s="43"/>
      <c r="O491" s="43"/>
      <c r="P491" s="43"/>
      <c r="Q491" s="43"/>
      <c r="R491" s="49"/>
      <c r="S491" s="49"/>
      <c r="T491" s="49"/>
      <c r="U491" s="49"/>
      <c r="V491" s="49"/>
      <c r="W491" s="49"/>
      <c r="X491" s="49"/>
      <c r="Y491" s="49"/>
      <c r="Z491" s="49"/>
      <c r="AA491" s="49"/>
      <c r="AB491" s="49"/>
      <c r="AC491" s="49"/>
    </row>
    <row r="492" spans="1:29">
      <c r="A492" s="43"/>
      <c r="B492" s="43"/>
      <c r="C492" s="43"/>
      <c r="D492" s="43"/>
      <c r="E492" s="43"/>
      <c r="F492" s="43"/>
      <c r="G492" s="43"/>
      <c r="H492" s="43"/>
      <c r="I492" s="43"/>
      <c r="J492" s="43"/>
      <c r="K492" s="43"/>
      <c r="L492" s="43"/>
      <c r="M492" s="43"/>
      <c r="N492" s="43"/>
      <c r="O492" s="43"/>
      <c r="P492" s="43"/>
      <c r="Q492" s="43"/>
      <c r="R492" s="49"/>
      <c r="S492" s="49"/>
      <c r="T492" s="49"/>
      <c r="U492" s="49"/>
      <c r="V492" s="49"/>
      <c r="W492" s="49"/>
      <c r="X492" s="49"/>
      <c r="Y492" s="49"/>
      <c r="Z492" s="49"/>
      <c r="AA492" s="49"/>
      <c r="AB492" s="49"/>
      <c r="AC492" s="49"/>
    </row>
    <row r="493" spans="1:29">
      <c r="A493" s="43"/>
      <c r="B493" s="43"/>
      <c r="C493" s="43"/>
      <c r="D493" s="43"/>
      <c r="E493" s="43"/>
      <c r="F493" s="43"/>
      <c r="G493" s="43"/>
      <c r="H493" s="43"/>
      <c r="I493" s="43"/>
      <c r="J493" s="43"/>
      <c r="K493" s="43"/>
      <c r="L493" s="43"/>
      <c r="M493" s="43"/>
      <c r="N493" s="43"/>
      <c r="O493" s="43"/>
      <c r="P493" s="43"/>
      <c r="Q493" s="43"/>
      <c r="R493" s="49"/>
      <c r="S493" s="49"/>
      <c r="T493" s="49"/>
      <c r="U493" s="49"/>
      <c r="V493" s="49"/>
      <c r="W493" s="49"/>
      <c r="X493" s="49"/>
      <c r="Y493" s="49"/>
      <c r="Z493" s="49"/>
      <c r="AA493" s="49"/>
      <c r="AB493" s="49"/>
      <c r="AC493" s="49"/>
    </row>
    <row r="494" spans="1:29">
      <c r="A494" s="43"/>
      <c r="B494" s="43"/>
      <c r="C494" s="43"/>
      <c r="D494" s="43"/>
      <c r="E494" s="43"/>
      <c r="F494" s="43"/>
      <c r="G494" s="43"/>
      <c r="H494" s="43"/>
      <c r="I494" s="43"/>
      <c r="J494" s="43"/>
      <c r="K494" s="43"/>
      <c r="L494" s="43"/>
      <c r="M494" s="43"/>
      <c r="N494" s="43"/>
      <c r="O494" s="43"/>
      <c r="P494" s="43"/>
      <c r="Q494" s="43"/>
      <c r="R494" s="49"/>
      <c r="S494" s="49"/>
      <c r="T494" s="49"/>
      <c r="U494" s="49"/>
      <c r="V494" s="49"/>
      <c r="W494" s="49"/>
      <c r="X494" s="49"/>
      <c r="Y494" s="49"/>
      <c r="Z494" s="49"/>
      <c r="AA494" s="49"/>
      <c r="AB494" s="49"/>
      <c r="AC494" s="49"/>
    </row>
    <row r="495" spans="1:29">
      <c r="A495" s="43"/>
      <c r="B495" s="43"/>
      <c r="C495" s="43"/>
      <c r="D495" s="43"/>
      <c r="E495" s="43"/>
      <c r="F495" s="43"/>
      <c r="G495" s="43"/>
      <c r="H495" s="43"/>
      <c r="I495" s="43"/>
      <c r="J495" s="43"/>
      <c r="K495" s="43"/>
      <c r="L495" s="43"/>
      <c r="M495" s="43"/>
      <c r="N495" s="43"/>
      <c r="O495" s="43"/>
      <c r="P495" s="43"/>
      <c r="Q495" s="43"/>
      <c r="R495" s="49"/>
      <c r="S495" s="49"/>
      <c r="T495" s="49"/>
      <c r="U495" s="49"/>
      <c r="V495" s="49"/>
      <c r="W495" s="49"/>
      <c r="X495" s="49"/>
      <c r="Y495" s="49"/>
      <c r="Z495" s="49"/>
      <c r="AA495" s="49"/>
      <c r="AB495" s="49"/>
      <c r="AC495" s="49"/>
    </row>
    <row r="496" spans="1:29">
      <c r="A496" s="43"/>
      <c r="B496" s="43"/>
      <c r="C496" s="43"/>
      <c r="D496" s="43"/>
      <c r="E496" s="43"/>
      <c r="F496" s="43"/>
      <c r="G496" s="43"/>
      <c r="H496" s="43"/>
      <c r="I496" s="43"/>
      <c r="J496" s="43"/>
      <c r="K496" s="43"/>
      <c r="L496" s="43"/>
      <c r="M496" s="43"/>
      <c r="N496" s="43"/>
      <c r="O496" s="43"/>
      <c r="P496" s="43"/>
      <c r="Q496" s="43"/>
      <c r="R496" s="49"/>
      <c r="S496" s="49"/>
      <c r="T496" s="49"/>
      <c r="U496" s="49"/>
      <c r="V496" s="49"/>
      <c r="W496" s="49"/>
      <c r="X496" s="49"/>
      <c r="Y496" s="49"/>
      <c r="Z496" s="49"/>
      <c r="AA496" s="49"/>
      <c r="AB496" s="49"/>
      <c r="AC496" s="49"/>
    </row>
    <row r="497" spans="1:29">
      <c r="A497" s="43"/>
      <c r="B497" s="43"/>
      <c r="C497" s="43"/>
      <c r="D497" s="43"/>
      <c r="E497" s="43"/>
      <c r="F497" s="43"/>
      <c r="G497" s="43"/>
      <c r="H497" s="43"/>
      <c r="I497" s="43"/>
      <c r="J497" s="43"/>
      <c r="K497" s="43"/>
      <c r="L497" s="43"/>
      <c r="M497" s="43"/>
      <c r="N497" s="43"/>
      <c r="O497" s="43"/>
      <c r="P497" s="43"/>
      <c r="Q497" s="43"/>
      <c r="R497" s="49"/>
      <c r="S497" s="49"/>
      <c r="T497" s="49"/>
      <c r="U497" s="49"/>
      <c r="V497" s="49"/>
      <c r="W497" s="49"/>
      <c r="X497" s="49"/>
      <c r="Y497" s="49"/>
      <c r="Z497" s="49"/>
      <c r="AA497" s="49"/>
      <c r="AB497" s="49"/>
      <c r="AC497" s="49"/>
    </row>
    <row r="498" spans="1:29">
      <c r="A498" s="43"/>
      <c r="B498" s="43"/>
      <c r="C498" s="43"/>
      <c r="D498" s="43"/>
      <c r="E498" s="43"/>
      <c r="F498" s="43"/>
      <c r="G498" s="43"/>
      <c r="H498" s="43"/>
      <c r="I498" s="43"/>
      <c r="J498" s="43"/>
      <c r="K498" s="43"/>
      <c r="L498" s="43"/>
      <c r="M498" s="43"/>
      <c r="N498" s="43"/>
      <c r="O498" s="43"/>
      <c r="P498" s="43"/>
      <c r="Q498" s="43"/>
      <c r="R498" s="49"/>
      <c r="S498" s="49"/>
      <c r="T498" s="49"/>
      <c r="U498" s="49"/>
      <c r="V498" s="49"/>
      <c r="W498" s="49"/>
      <c r="X498" s="49"/>
      <c r="Y498" s="49"/>
      <c r="Z498" s="49"/>
      <c r="AA498" s="49"/>
      <c r="AB498" s="49"/>
      <c r="AC498" s="49"/>
    </row>
    <row r="499" spans="1:29">
      <c r="A499" s="43"/>
      <c r="B499" s="43"/>
      <c r="C499" s="43"/>
      <c r="D499" s="43"/>
      <c r="E499" s="43"/>
      <c r="F499" s="43"/>
      <c r="G499" s="43"/>
      <c r="H499" s="43"/>
      <c r="I499" s="43"/>
      <c r="J499" s="43"/>
      <c r="K499" s="43"/>
      <c r="L499" s="43"/>
      <c r="M499" s="43"/>
      <c r="N499" s="43"/>
      <c r="O499" s="43"/>
      <c r="P499" s="43"/>
      <c r="Q499" s="43"/>
      <c r="R499" s="49"/>
      <c r="S499" s="49"/>
      <c r="T499" s="49"/>
      <c r="U499" s="49"/>
      <c r="V499" s="49"/>
      <c r="W499" s="49"/>
      <c r="X499" s="49"/>
      <c r="Y499" s="49"/>
      <c r="Z499" s="49"/>
      <c r="AA499" s="49"/>
      <c r="AB499" s="49"/>
      <c r="AC499" s="49"/>
    </row>
    <row r="500" spans="1:29">
      <c r="A500" s="43"/>
      <c r="B500" s="43"/>
      <c r="C500" s="43"/>
      <c r="D500" s="43"/>
      <c r="E500" s="43"/>
      <c r="F500" s="43"/>
      <c r="G500" s="43"/>
      <c r="H500" s="43"/>
      <c r="I500" s="43"/>
      <c r="J500" s="43"/>
      <c r="K500" s="43"/>
      <c r="L500" s="43"/>
      <c r="M500" s="43"/>
      <c r="N500" s="43"/>
      <c r="O500" s="43"/>
      <c r="P500" s="43"/>
      <c r="Q500" s="43"/>
      <c r="R500" s="49"/>
      <c r="S500" s="49"/>
      <c r="T500" s="49"/>
      <c r="U500" s="49"/>
      <c r="V500" s="49"/>
      <c r="W500" s="49"/>
      <c r="X500" s="49"/>
      <c r="Y500" s="49"/>
      <c r="Z500" s="49"/>
      <c r="AA500" s="49"/>
      <c r="AB500" s="49"/>
      <c r="AC500" s="49"/>
    </row>
    <row r="501" spans="1:29">
      <c r="A501" s="43"/>
      <c r="B501" s="43"/>
      <c r="C501" s="43"/>
      <c r="D501" s="43"/>
      <c r="E501" s="43"/>
      <c r="F501" s="43"/>
      <c r="G501" s="43"/>
      <c r="H501" s="43"/>
      <c r="I501" s="43"/>
      <c r="J501" s="43"/>
      <c r="K501" s="43"/>
      <c r="L501" s="43"/>
      <c r="M501" s="43"/>
      <c r="N501" s="43"/>
      <c r="O501" s="43"/>
      <c r="P501" s="43"/>
      <c r="Q501" s="43"/>
      <c r="R501" s="49"/>
      <c r="S501" s="49"/>
      <c r="T501" s="49"/>
      <c r="U501" s="49"/>
      <c r="V501" s="49"/>
      <c r="W501" s="49"/>
      <c r="X501" s="49"/>
      <c r="Y501" s="49"/>
      <c r="Z501" s="49"/>
      <c r="AA501" s="49"/>
      <c r="AB501" s="49"/>
      <c r="AC501" s="49"/>
    </row>
    <row r="502" spans="1:29">
      <c r="A502" s="43"/>
      <c r="B502" s="43"/>
      <c r="C502" s="43"/>
      <c r="D502" s="43"/>
      <c r="E502" s="43"/>
      <c r="F502" s="43"/>
      <c r="G502" s="43"/>
      <c r="H502" s="43"/>
      <c r="I502" s="43"/>
      <c r="J502" s="43"/>
      <c r="K502" s="43"/>
      <c r="L502" s="43"/>
      <c r="M502" s="43"/>
      <c r="N502" s="43"/>
      <c r="O502" s="43"/>
      <c r="P502" s="43"/>
      <c r="Q502" s="43"/>
      <c r="R502" s="49"/>
      <c r="S502" s="49"/>
      <c r="T502" s="49"/>
      <c r="U502" s="49"/>
      <c r="V502" s="49"/>
      <c r="W502" s="49"/>
      <c r="X502" s="49"/>
      <c r="Y502" s="49"/>
      <c r="Z502" s="49"/>
      <c r="AA502" s="49"/>
      <c r="AB502" s="49"/>
      <c r="AC502" s="49"/>
    </row>
    <row r="503" spans="1:29">
      <c r="A503" s="43"/>
      <c r="B503" s="43"/>
      <c r="C503" s="43"/>
      <c r="D503" s="43"/>
      <c r="E503" s="43"/>
      <c r="F503" s="43"/>
      <c r="G503" s="43"/>
      <c r="H503" s="43"/>
      <c r="I503" s="43"/>
      <c r="J503" s="43"/>
      <c r="K503" s="43"/>
      <c r="L503" s="43"/>
      <c r="M503" s="43"/>
      <c r="N503" s="43"/>
      <c r="O503" s="43"/>
      <c r="P503" s="43"/>
      <c r="Q503" s="43"/>
      <c r="R503" s="49"/>
      <c r="S503" s="49"/>
      <c r="T503" s="49"/>
      <c r="U503" s="49"/>
      <c r="V503" s="49"/>
      <c r="W503" s="49"/>
      <c r="X503" s="49"/>
      <c r="Y503" s="49"/>
      <c r="Z503" s="49"/>
      <c r="AA503" s="49"/>
      <c r="AB503" s="49"/>
      <c r="AC503" s="49"/>
    </row>
    <row r="504" spans="1:29">
      <c r="A504" s="43"/>
      <c r="B504" s="43"/>
      <c r="C504" s="43"/>
      <c r="D504" s="43"/>
      <c r="E504" s="43"/>
      <c r="F504" s="43"/>
      <c r="G504" s="43"/>
      <c r="H504" s="43"/>
      <c r="I504" s="43"/>
      <c r="J504" s="43"/>
      <c r="K504" s="43"/>
      <c r="L504" s="43"/>
      <c r="M504" s="43"/>
      <c r="N504" s="43"/>
      <c r="O504" s="43"/>
      <c r="P504" s="43"/>
      <c r="Q504" s="43"/>
      <c r="R504" s="49"/>
      <c r="S504" s="49"/>
      <c r="T504" s="49"/>
      <c r="U504" s="49"/>
      <c r="V504" s="49"/>
      <c r="W504" s="49"/>
      <c r="X504" s="49"/>
      <c r="Y504" s="49"/>
      <c r="Z504" s="49"/>
      <c r="AA504" s="49"/>
      <c r="AB504" s="49"/>
      <c r="AC504" s="49"/>
    </row>
    <row r="505" spans="1:29">
      <c r="A505" s="43"/>
      <c r="B505" s="43"/>
      <c r="C505" s="43"/>
      <c r="D505" s="43"/>
      <c r="E505" s="43"/>
      <c r="F505" s="43"/>
      <c r="G505" s="43"/>
      <c r="H505" s="43"/>
      <c r="I505" s="43"/>
      <c r="J505" s="43"/>
      <c r="K505" s="43"/>
      <c r="L505" s="43"/>
      <c r="M505" s="43"/>
      <c r="N505" s="43"/>
      <c r="O505" s="43"/>
      <c r="P505" s="43"/>
      <c r="Q505" s="43"/>
      <c r="R505" s="49"/>
      <c r="S505" s="49"/>
      <c r="T505" s="49"/>
      <c r="U505" s="49"/>
      <c r="V505" s="49"/>
      <c r="W505" s="49"/>
      <c r="X505" s="49"/>
      <c r="Y505" s="49"/>
      <c r="Z505" s="49"/>
      <c r="AA505" s="49"/>
      <c r="AB505" s="49"/>
      <c r="AC505" s="49"/>
    </row>
    <row r="506" spans="1:29">
      <c r="A506" s="43"/>
      <c r="B506" s="43"/>
      <c r="C506" s="43"/>
      <c r="D506" s="43"/>
      <c r="E506" s="43"/>
      <c r="F506" s="43"/>
      <c r="G506" s="43"/>
      <c r="H506" s="43"/>
      <c r="I506" s="43"/>
      <c r="J506" s="43"/>
      <c r="K506" s="43"/>
      <c r="L506" s="43"/>
      <c r="M506" s="43"/>
      <c r="N506" s="43"/>
      <c r="O506" s="43"/>
      <c r="P506" s="43"/>
      <c r="Q506" s="43"/>
      <c r="R506" s="49"/>
      <c r="S506" s="49"/>
      <c r="T506" s="49"/>
      <c r="U506" s="49"/>
      <c r="V506" s="49"/>
      <c r="W506" s="49"/>
      <c r="X506" s="49"/>
      <c r="Y506" s="49"/>
      <c r="Z506" s="49"/>
      <c r="AA506" s="49"/>
      <c r="AB506" s="49"/>
      <c r="AC506" s="49"/>
    </row>
    <row r="507" spans="1:29">
      <c r="A507" s="43"/>
      <c r="B507" s="43"/>
      <c r="C507" s="43"/>
      <c r="D507" s="43"/>
      <c r="E507" s="43"/>
      <c r="F507" s="43"/>
      <c r="G507" s="43"/>
      <c r="H507" s="43"/>
      <c r="I507" s="43"/>
      <c r="J507" s="43"/>
      <c r="K507" s="43"/>
      <c r="L507" s="43"/>
      <c r="M507" s="43"/>
      <c r="N507" s="43"/>
      <c r="O507" s="43"/>
      <c r="P507" s="43"/>
      <c r="Q507" s="43"/>
      <c r="R507" s="49"/>
      <c r="S507" s="49"/>
      <c r="T507" s="49"/>
      <c r="U507" s="49"/>
      <c r="V507" s="49"/>
      <c r="W507" s="49"/>
      <c r="X507" s="49"/>
      <c r="Y507" s="49"/>
      <c r="Z507" s="49"/>
      <c r="AA507" s="49"/>
      <c r="AB507" s="49"/>
      <c r="AC507" s="49"/>
    </row>
    <row r="508" spans="1:29">
      <c r="A508" s="43"/>
      <c r="B508" s="43"/>
      <c r="C508" s="43"/>
      <c r="D508" s="43"/>
      <c r="E508" s="43"/>
      <c r="F508" s="43"/>
      <c r="G508" s="43"/>
      <c r="H508" s="43"/>
      <c r="I508" s="43"/>
      <c r="J508" s="43"/>
      <c r="K508" s="43"/>
      <c r="L508" s="43"/>
      <c r="M508" s="43"/>
      <c r="N508" s="43"/>
      <c r="O508" s="43"/>
      <c r="P508" s="43"/>
      <c r="Q508" s="43"/>
      <c r="R508" s="49"/>
      <c r="S508" s="49"/>
      <c r="T508" s="49"/>
      <c r="U508" s="49"/>
      <c r="V508" s="49"/>
      <c r="W508" s="49"/>
      <c r="X508" s="49"/>
      <c r="Y508" s="49"/>
      <c r="Z508" s="49"/>
      <c r="AA508" s="49"/>
      <c r="AB508" s="49"/>
      <c r="AC508" s="49"/>
    </row>
    <row r="509" spans="1:29">
      <c r="A509" s="43"/>
      <c r="B509" s="43"/>
      <c r="C509" s="43"/>
      <c r="D509" s="43"/>
      <c r="E509" s="43"/>
      <c r="F509" s="43"/>
      <c r="G509" s="43"/>
      <c r="H509" s="43"/>
      <c r="I509" s="43"/>
      <c r="J509" s="43"/>
      <c r="K509" s="43"/>
      <c r="L509" s="43"/>
      <c r="M509" s="43"/>
      <c r="N509" s="43"/>
      <c r="O509" s="43"/>
      <c r="P509" s="43"/>
      <c r="Q509" s="43"/>
      <c r="R509" s="49"/>
      <c r="S509" s="49"/>
      <c r="T509" s="49"/>
      <c r="U509" s="49"/>
      <c r="V509" s="49"/>
      <c r="W509" s="49"/>
      <c r="X509" s="49"/>
      <c r="Y509" s="49"/>
      <c r="Z509" s="49"/>
      <c r="AA509" s="49"/>
      <c r="AB509" s="49"/>
      <c r="AC509" s="49"/>
    </row>
    <row r="510" spans="1:29">
      <c r="A510" s="43"/>
      <c r="B510" s="43"/>
      <c r="C510" s="43"/>
      <c r="D510" s="43"/>
      <c r="E510" s="43"/>
      <c r="F510" s="43"/>
      <c r="G510" s="43"/>
      <c r="H510" s="43"/>
      <c r="I510" s="43"/>
      <c r="J510" s="43"/>
      <c r="K510" s="43"/>
      <c r="L510" s="43"/>
      <c r="M510" s="43"/>
      <c r="N510" s="43"/>
      <c r="O510" s="43"/>
      <c r="P510" s="43"/>
      <c r="Q510" s="43"/>
      <c r="R510" s="49"/>
      <c r="S510" s="49"/>
      <c r="T510" s="49"/>
      <c r="U510" s="49"/>
      <c r="V510" s="49"/>
      <c r="W510" s="49"/>
      <c r="X510" s="49"/>
      <c r="Y510" s="49"/>
      <c r="Z510" s="49"/>
      <c r="AA510" s="49"/>
      <c r="AB510" s="49"/>
      <c r="AC510" s="49"/>
    </row>
    <row r="511" spans="1:29">
      <c r="A511" s="43"/>
      <c r="B511" s="43"/>
      <c r="C511" s="43"/>
      <c r="D511" s="43"/>
      <c r="E511" s="43"/>
      <c r="F511" s="43"/>
      <c r="G511" s="43"/>
      <c r="H511" s="43"/>
      <c r="I511" s="43"/>
      <c r="J511" s="43"/>
      <c r="K511" s="43"/>
      <c r="L511" s="43"/>
      <c r="M511" s="43"/>
      <c r="N511" s="43"/>
      <c r="O511" s="43"/>
      <c r="P511" s="43"/>
      <c r="Q511" s="43"/>
      <c r="R511" s="49"/>
      <c r="S511" s="49"/>
      <c r="T511" s="49"/>
      <c r="U511" s="49"/>
      <c r="V511" s="49"/>
      <c r="W511" s="49"/>
      <c r="X511" s="49"/>
      <c r="Y511" s="49"/>
      <c r="Z511" s="49"/>
      <c r="AA511" s="49"/>
      <c r="AB511" s="49"/>
      <c r="AC511" s="49"/>
    </row>
    <row r="512" spans="1:29">
      <c r="A512" s="43"/>
      <c r="B512" s="43"/>
      <c r="C512" s="43"/>
      <c r="D512" s="43"/>
      <c r="E512" s="43"/>
      <c r="F512" s="43"/>
      <c r="G512" s="43"/>
      <c r="H512" s="43"/>
      <c r="I512" s="43"/>
      <c r="J512" s="43"/>
      <c r="K512" s="43"/>
      <c r="L512" s="43"/>
      <c r="M512" s="43"/>
      <c r="N512" s="43"/>
      <c r="O512" s="43"/>
      <c r="P512" s="43"/>
      <c r="Q512" s="43"/>
      <c r="R512" s="49"/>
      <c r="S512" s="49"/>
      <c r="T512" s="49"/>
      <c r="U512" s="49"/>
      <c r="V512" s="49"/>
      <c r="W512" s="49"/>
      <c r="X512" s="49"/>
      <c r="Y512" s="49"/>
      <c r="Z512" s="49"/>
      <c r="AA512" s="49"/>
      <c r="AB512" s="49"/>
      <c r="AC512" s="49"/>
    </row>
    <row r="513" spans="1:29">
      <c r="A513" s="43"/>
      <c r="B513" s="43"/>
      <c r="C513" s="43"/>
      <c r="D513" s="43"/>
      <c r="E513" s="43"/>
      <c r="F513" s="43"/>
      <c r="G513" s="43"/>
      <c r="H513" s="43"/>
      <c r="I513" s="43"/>
      <c r="J513" s="43"/>
      <c r="K513" s="43"/>
      <c r="L513" s="43"/>
      <c r="M513" s="43"/>
      <c r="N513" s="43"/>
      <c r="O513" s="43"/>
      <c r="P513" s="43"/>
      <c r="Q513" s="43"/>
      <c r="R513" s="49"/>
      <c r="S513" s="49"/>
      <c r="T513" s="49"/>
      <c r="U513" s="49"/>
      <c r="V513" s="49"/>
      <c r="W513" s="49"/>
      <c r="X513" s="49"/>
      <c r="Y513" s="49"/>
      <c r="Z513" s="49"/>
      <c r="AA513" s="49"/>
      <c r="AB513" s="49"/>
      <c r="AC513" s="49"/>
    </row>
    <row r="514" spans="1:29">
      <c r="A514" s="43"/>
      <c r="B514" s="43"/>
      <c r="C514" s="43"/>
      <c r="D514" s="43"/>
      <c r="E514" s="43"/>
      <c r="F514" s="43"/>
      <c r="G514" s="43"/>
      <c r="H514" s="43"/>
      <c r="I514" s="43"/>
      <c r="J514" s="43"/>
      <c r="K514" s="43"/>
      <c r="L514" s="43"/>
      <c r="M514" s="43"/>
      <c r="N514" s="43"/>
      <c r="O514" s="43"/>
      <c r="P514" s="43"/>
      <c r="Q514" s="43"/>
      <c r="R514" s="49"/>
      <c r="S514" s="49"/>
      <c r="T514" s="49"/>
      <c r="U514" s="49"/>
      <c r="V514" s="49"/>
      <c r="W514" s="49"/>
      <c r="X514" s="49"/>
      <c r="Y514" s="49"/>
      <c r="Z514" s="49"/>
      <c r="AA514" s="49"/>
      <c r="AB514" s="49"/>
      <c r="AC514" s="49"/>
    </row>
    <row r="515" spans="1:29">
      <c r="A515" s="43"/>
      <c r="B515" s="43"/>
      <c r="C515" s="43"/>
      <c r="D515" s="43"/>
      <c r="E515" s="43"/>
      <c r="F515" s="43"/>
      <c r="G515" s="43"/>
      <c r="H515" s="43"/>
      <c r="I515" s="43"/>
      <c r="J515" s="43"/>
      <c r="K515" s="43"/>
      <c r="L515" s="43"/>
      <c r="M515" s="43"/>
      <c r="N515" s="43"/>
      <c r="O515" s="43"/>
      <c r="P515" s="43"/>
      <c r="Q515" s="43"/>
      <c r="R515" s="49"/>
      <c r="S515" s="49"/>
      <c r="T515" s="49"/>
      <c r="U515" s="49"/>
      <c r="V515" s="49"/>
      <c r="W515" s="49"/>
      <c r="X515" s="49"/>
      <c r="Y515" s="49"/>
      <c r="Z515" s="49"/>
      <c r="AA515" s="49"/>
      <c r="AB515" s="49"/>
      <c r="AC515" s="49"/>
    </row>
    <row r="516" spans="1:29">
      <c r="A516" s="43"/>
      <c r="B516" s="43"/>
      <c r="C516" s="43"/>
      <c r="D516" s="43"/>
      <c r="E516" s="43"/>
      <c r="F516" s="43"/>
      <c r="G516" s="43"/>
      <c r="H516" s="43"/>
      <c r="I516" s="43"/>
      <c r="J516" s="43"/>
      <c r="K516" s="43"/>
      <c r="L516" s="43"/>
      <c r="M516" s="43"/>
      <c r="N516" s="43"/>
      <c r="O516" s="43"/>
      <c r="P516" s="43"/>
      <c r="Q516" s="43"/>
      <c r="R516" s="49"/>
      <c r="S516" s="49"/>
      <c r="T516" s="49"/>
      <c r="U516" s="49"/>
      <c r="V516" s="49"/>
      <c r="W516" s="49"/>
      <c r="X516" s="49"/>
      <c r="Y516" s="49"/>
      <c r="Z516" s="49"/>
      <c r="AA516" s="49"/>
      <c r="AB516" s="49"/>
      <c r="AC516" s="49"/>
    </row>
    <row r="517" spans="1:29">
      <c r="A517" s="43"/>
      <c r="B517" s="43"/>
      <c r="C517" s="43"/>
      <c r="D517" s="43"/>
      <c r="E517" s="43"/>
      <c r="F517" s="43"/>
      <c r="G517" s="43"/>
      <c r="H517" s="43"/>
      <c r="I517" s="43"/>
      <c r="J517" s="43"/>
      <c r="K517" s="43"/>
      <c r="L517" s="43"/>
      <c r="M517" s="43"/>
      <c r="N517" s="43"/>
      <c r="O517" s="43"/>
      <c r="P517" s="43"/>
      <c r="Q517" s="43"/>
      <c r="R517" s="49"/>
      <c r="S517" s="49"/>
      <c r="T517" s="49"/>
      <c r="U517" s="49"/>
      <c r="V517" s="49"/>
      <c r="W517" s="49"/>
      <c r="X517" s="49"/>
      <c r="Y517" s="49"/>
      <c r="Z517" s="49"/>
      <c r="AA517" s="49"/>
      <c r="AB517" s="49"/>
      <c r="AC517" s="49"/>
    </row>
    <row r="518" spans="1:29">
      <c r="A518" s="43"/>
      <c r="B518" s="43"/>
      <c r="C518" s="43"/>
      <c r="D518" s="43"/>
      <c r="E518" s="43"/>
      <c r="F518" s="43"/>
      <c r="G518" s="43"/>
      <c r="H518" s="43"/>
      <c r="I518" s="43"/>
      <c r="J518" s="43"/>
      <c r="K518" s="43"/>
      <c r="L518" s="43"/>
      <c r="M518" s="43"/>
      <c r="N518" s="43"/>
      <c r="O518" s="43"/>
      <c r="P518" s="43"/>
      <c r="Q518" s="43"/>
      <c r="R518" s="49"/>
      <c r="S518" s="49"/>
      <c r="T518" s="49"/>
      <c r="U518" s="49"/>
      <c r="V518" s="49"/>
      <c r="W518" s="49"/>
      <c r="X518" s="49"/>
      <c r="Y518" s="49"/>
      <c r="Z518" s="49"/>
      <c r="AA518" s="49"/>
      <c r="AB518" s="49"/>
      <c r="AC518" s="49"/>
    </row>
    <row r="519" spans="1:29">
      <c r="A519" s="43"/>
      <c r="B519" s="43"/>
      <c r="C519" s="43"/>
      <c r="D519" s="43"/>
      <c r="E519" s="43"/>
      <c r="F519" s="43"/>
      <c r="G519" s="43"/>
      <c r="H519" s="43"/>
      <c r="I519" s="43"/>
      <c r="J519" s="43"/>
      <c r="K519" s="43"/>
      <c r="L519" s="43"/>
      <c r="M519" s="43"/>
      <c r="N519" s="43"/>
      <c r="O519" s="43"/>
      <c r="P519" s="43"/>
      <c r="Q519" s="43"/>
      <c r="R519" s="49"/>
      <c r="S519" s="49"/>
      <c r="T519" s="49"/>
      <c r="U519" s="49"/>
      <c r="V519" s="49"/>
      <c r="W519" s="49"/>
      <c r="X519" s="49"/>
      <c r="Y519" s="49"/>
      <c r="Z519" s="49"/>
      <c r="AA519" s="49"/>
      <c r="AB519" s="49"/>
      <c r="AC519" s="49"/>
    </row>
    <row r="520" spans="1:29">
      <c r="A520" s="43"/>
      <c r="B520" s="43"/>
      <c r="C520" s="43"/>
      <c r="D520" s="43"/>
      <c r="E520" s="43"/>
      <c r="F520" s="43"/>
      <c r="G520" s="43"/>
      <c r="H520" s="43"/>
      <c r="I520" s="43"/>
      <c r="J520" s="43"/>
      <c r="K520" s="43"/>
      <c r="L520" s="43"/>
      <c r="M520" s="43"/>
      <c r="N520" s="43"/>
      <c r="O520" s="43"/>
      <c r="P520" s="43"/>
      <c r="Q520" s="43"/>
      <c r="R520" s="49"/>
      <c r="S520" s="49"/>
      <c r="T520" s="49"/>
      <c r="U520" s="49"/>
      <c r="V520" s="49"/>
      <c r="W520" s="49"/>
      <c r="X520" s="49"/>
      <c r="Y520" s="49"/>
      <c r="Z520" s="49"/>
      <c r="AA520" s="49"/>
      <c r="AB520" s="49"/>
      <c r="AC520" s="49"/>
    </row>
    <row r="521" spans="1:29">
      <c r="A521" s="43"/>
      <c r="B521" s="43"/>
      <c r="C521" s="43"/>
      <c r="D521" s="43"/>
      <c r="E521" s="43"/>
      <c r="F521" s="43"/>
      <c r="G521" s="43"/>
      <c r="H521" s="43"/>
      <c r="I521" s="43"/>
      <c r="J521" s="43"/>
      <c r="K521" s="43"/>
      <c r="L521" s="43"/>
      <c r="M521" s="43"/>
      <c r="N521" s="43"/>
      <c r="O521" s="43"/>
      <c r="P521" s="43"/>
      <c r="Q521" s="43"/>
      <c r="R521" s="49"/>
      <c r="S521" s="49"/>
      <c r="T521" s="49"/>
      <c r="U521" s="49"/>
      <c r="V521" s="49"/>
      <c r="W521" s="49"/>
      <c r="X521" s="49"/>
      <c r="Y521" s="49"/>
      <c r="Z521" s="49"/>
      <c r="AA521" s="49"/>
      <c r="AB521" s="49"/>
      <c r="AC521" s="49"/>
    </row>
    <row r="522" spans="1:29">
      <c r="A522" s="43"/>
      <c r="B522" s="43"/>
      <c r="C522" s="43"/>
      <c r="D522" s="43"/>
      <c r="E522" s="43"/>
      <c r="F522" s="43"/>
      <c r="G522" s="43"/>
      <c r="H522" s="43"/>
      <c r="I522" s="43"/>
      <c r="J522" s="43"/>
      <c r="K522" s="43"/>
      <c r="L522" s="43"/>
      <c r="M522" s="43"/>
      <c r="N522" s="43"/>
      <c r="O522" s="43"/>
      <c r="P522" s="43"/>
      <c r="Q522" s="43"/>
      <c r="R522" s="49"/>
      <c r="S522" s="49"/>
      <c r="T522" s="49"/>
      <c r="U522" s="49"/>
      <c r="V522" s="49"/>
      <c r="W522" s="49"/>
      <c r="X522" s="49"/>
      <c r="Y522" s="49"/>
      <c r="Z522" s="49"/>
      <c r="AA522" s="49"/>
      <c r="AB522" s="49"/>
      <c r="AC522" s="49"/>
    </row>
    <row r="523" spans="1:29">
      <c r="A523" s="43"/>
      <c r="B523" s="43"/>
      <c r="C523" s="43"/>
      <c r="D523" s="43"/>
      <c r="E523" s="43"/>
      <c r="F523" s="43"/>
      <c r="G523" s="43"/>
      <c r="H523" s="43"/>
      <c r="I523" s="43"/>
      <c r="J523" s="43"/>
      <c r="K523" s="43"/>
      <c r="L523" s="43"/>
      <c r="M523" s="43"/>
      <c r="N523" s="43"/>
      <c r="O523" s="43"/>
      <c r="P523" s="43"/>
      <c r="Q523" s="43"/>
      <c r="R523" s="49"/>
      <c r="S523" s="49"/>
      <c r="T523" s="49"/>
      <c r="U523" s="49"/>
      <c r="V523" s="49"/>
      <c r="W523" s="49"/>
      <c r="X523" s="49"/>
      <c r="Y523" s="49"/>
      <c r="Z523" s="49"/>
      <c r="AA523" s="49"/>
      <c r="AB523" s="49"/>
      <c r="AC523" s="49"/>
    </row>
    <row r="524" spans="1:29">
      <c r="A524" s="43"/>
      <c r="B524" s="43"/>
      <c r="C524" s="43"/>
      <c r="D524" s="43"/>
      <c r="E524" s="43"/>
      <c r="F524" s="43"/>
      <c r="G524" s="43"/>
      <c r="H524" s="43"/>
      <c r="I524" s="43"/>
      <c r="J524" s="43"/>
      <c r="K524" s="43"/>
      <c r="L524" s="43"/>
      <c r="M524" s="43"/>
      <c r="N524" s="43"/>
      <c r="O524" s="43"/>
      <c r="P524" s="43"/>
      <c r="Q524" s="43"/>
      <c r="R524" s="49"/>
      <c r="S524" s="49"/>
      <c r="T524" s="49"/>
      <c r="U524" s="49"/>
      <c r="V524" s="49"/>
      <c r="W524" s="49"/>
      <c r="X524" s="49"/>
      <c r="Y524" s="49"/>
      <c r="Z524" s="49"/>
      <c r="AA524" s="49"/>
      <c r="AB524" s="49"/>
      <c r="AC524" s="49"/>
    </row>
    <row r="525" spans="1:29">
      <c r="A525" s="43"/>
      <c r="B525" s="43"/>
      <c r="C525" s="43"/>
      <c r="D525" s="43"/>
      <c r="E525" s="43"/>
      <c r="F525" s="43"/>
      <c r="G525" s="43"/>
      <c r="H525" s="43"/>
      <c r="I525" s="43"/>
      <c r="J525" s="43"/>
      <c r="K525" s="43"/>
      <c r="L525" s="43"/>
      <c r="M525" s="43"/>
      <c r="N525" s="43"/>
      <c r="O525" s="43"/>
      <c r="P525" s="43"/>
      <c r="Q525" s="43"/>
      <c r="R525" s="49"/>
      <c r="S525" s="49"/>
      <c r="T525" s="49"/>
      <c r="U525" s="49"/>
      <c r="V525" s="49"/>
      <c r="W525" s="49"/>
      <c r="X525" s="49"/>
      <c r="Y525" s="49"/>
      <c r="Z525" s="49"/>
      <c r="AA525" s="49"/>
      <c r="AB525" s="49"/>
      <c r="AC525" s="49"/>
    </row>
    <row r="526" spans="1:29">
      <c r="A526" s="43"/>
      <c r="B526" s="43"/>
      <c r="C526" s="43"/>
      <c r="D526" s="43"/>
      <c r="E526" s="43"/>
      <c r="F526" s="43"/>
      <c r="G526" s="43"/>
      <c r="H526" s="43"/>
      <c r="I526" s="43"/>
      <c r="J526" s="43"/>
      <c r="K526" s="43"/>
      <c r="L526" s="43"/>
      <c r="M526" s="43"/>
      <c r="N526" s="43"/>
      <c r="O526" s="43"/>
      <c r="P526" s="43"/>
      <c r="Q526" s="43"/>
      <c r="R526" s="49"/>
      <c r="S526" s="49"/>
      <c r="T526" s="49"/>
      <c r="U526" s="49"/>
      <c r="V526" s="49"/>
      <c r="W526" s="49"/>
      <c r="X526" s="49"/>
      <c r="Y526" s="49"/>
      <c r="Z526" s="49"/>
      <c r="AA526" s="49"/>
      <c r="AB526" s="49"/>
      <c r="AC526" s="49"/>
    </row>
    <row r="527" spans="1:29">
      <c r="A527" s="43"/>
      <c r="B527" s="43"/>
      <c r="C527" s="43"/>
      <c r="D527" s="43"/>
      <c r="E527" s="43"/>
      <c r="F527" s="43"/>
      <c r="G527" s="43"/>
      <c r="H527" s="43"/>
      <c r="I527" s="43"/>
      <c r="J527" s="43"/>
      <c r="K527" s="43"/>
      <c r="L527" s="43"/>
      <c r="M527" s="43"/>
      <c r="N527" s="43"/>
      <c r="O527" s="43"/>
      <c r="P527" s="43"/>
      <c r="Q527" s="43"/>
      <c r="R527" s="49"/>
      <c r="S527" s="49"/>
      <c r="T527" s="49"/>
      <c r="U527" s="49"/>
      <c r="V527" s="49"/>
      <c r="W527" s="49"/>
      <c r="X527" s="49"/>
      <c r="Y527" s="49"/>
      <c r="Z527" s="49"/>
      <c r="AA527" s="49"/>
      <c r="AB527" s="49"/>
      <c r="AC527" s="49"/>
    </row>
    <row r="528" spans="1:29">
      <c r="A528" s="43"/>
      <c r="B528" s="43"/>
      <c r="C528" s="43"/>
      <c r="D528" s="43"/>
      <c r="E528" s="43"/>
      <c r="F528" s="43"/>
      <c r="G528" s="43"/>
      <c r="H528" s="43"/>
      <c r="I528" s="43"/>
      <c r="J528" s="43"/>
      <c r="K528" s="43"/>
      <c r="L528" s="43"/>
      <c r="M528" s="43"/>
      <c r="N528" s="43"/>
      <c r="O528" s="43"/>
      <c r="P528" s="43"/>
      <c r="Q528" s="43"/>
      <c r="R528" s="49"/>
      <c r="S528" s="49"/>
      <c r="T528" s="49"/>
      <c r="U528" s="49"/>
      <c r="V528" s="49"/>
      <c r="W528" s="49"/>
      <c r="X528" s="49"/>
      <c r="Y528" s="49"/>
      <c r="Z528" s="49"/>
      <c r="AA528" s="49"/>
      <c r="AB528" s="49"/>
      <c r="AC528" s="49"/>
    </row>
    <row r="529" spans="1:29">
      <c r="A529" s="43"/>
      <c r="B529" s="43"/>
      <c r="C529" s="43"/>
      <c r="D529" s="43"/>
      <c r="E529" s="43"/>
      <c r="F529" s="43"/>
      <c r="G529" s="43"/>
      <c r="H529" s="43"/>
      <c r="I529" s="43"/>
      <c r="J529" s="43"/>
      <c r="K529" s="43"/>
      <c r="L529" s="43"/>
      <c r="M529" s="43"/>
      <c r="N529" s="43"/>
      <c r="O529" s="43"/>
      <c r="P529" s="43"/>
      <c r="Q529" s="43"/>
      <c r="R529" s="49"/>
      <c r="S529" s="49"/>
      <c r="T529" s="49"/>
      <c r="U529" s="49"/>
      <c r="V529" s="49"/>
      <c r="W529" s="49"/>
      <c r="X529" s="49"/>
      <c r="Y529" s="49"/>
      <c r="Z529" s="49"/>
      <c r="AA529" s="49"/>
      <c r="AB529" s="49"/>
      <c r="AC529" s="49"/>
    </row>
    <row r="530" spans="1:29">
      <c r="A530" s="43"/>
      <c r="B530" s="43"/>
      <c r="C530" s="43"/>
      <c r="D530" s="43"/>
      <c r="E530" s="43"/>
      <c r="F530" s="43"/>
      <c r="G530" s="43"/>
      <c r="H530" s="43"/>
      <c r="I530" s="43"/>
      <c r="J530" s="43"/>
      <c r="K530" s="43"/>
      <c r="L530" s="43"/>
      <c r="M530" s="43"/>
      <c r="N530" s="43"/>
      <c r="O530" s="43"/>
      <c r="P530" s="43"/>
      <c r="Q530" s="43"/>
      <c r="R530" s="49"/>
      <c r="S530" s="49"/>
      <c r="T530" s="49"/>
      <c r="U530" s="49"/>
      <c r="V530" s="49"/>
      <c r="W530" s="49"/>
      <c r="X530" s="49"/>
      <c r="Y530" s="49"/>
      <c r="Z530" s="49"/>
      <c r="AA530" s="49"/>
      <c r="AB530" s="49"/>
      <c r="AC530" s="49"/>
    </row>
    <row r="531" spans="1:29">
      <c r="A531" s="43"/>
      <c r="B531" s="43"/>
      <c r="C531" s="43"/>
      <c r="D531" s="43"/>
      <c r="E531" s="43"/>
      <c r="F531" s="43"/>
      <c r="G531" s="43"/>
      <c r="H531" s="43"/>
      <c r="I531" s="43"/>
      <c r="J531" s="43"/>
      <c r="K531" s="43"/>
      <c r="L531" s="43"/>
      <c r="M531" s="43"/>
      <c r="N531" s="43"/>
      <c r="O531" s="43"/>
      <c r="P531" s="43"/>
      <c r="Q531" s="43"/>
      <c r="R531" s="49"/>
      <c r="S531" s="49"/>
      <c r="T531" s="49"/>
      <c r="U531" s="49"/>
      <c r="V531" s="49"/>
      <c r="W531" s="49"/>
      <c r="X531" s="49"/>
      <c r="Y531" s="49"/>
      <c r="Z531" s="49"/>
      <c r="AA531" s="49"/>
      <c r="AB531" s="49"/>
      <c r="AC531" s="49"/>
    </row>
    <row r="532" spans="1:29">
      <c r="A532" s="43"/>
      <c r="B532" s="43"/>
      <c r="C532" s="43"/>
      <c r="D532" s="43"/>
      <c r="E532" s="43"/>
      <c r="F532" s="43"/>
      <c r="G532" s="43"/>
      <c r="H532" s="43"/>
      <c r="I532" s="43"/>
      <c r="J532" s="43"/>
      <c r="K532" s="43"/>
      <c r="L532" s="43"/>
      <c r="M532" s="43"/>
      <c r="N532" s="43"/>
      <c r="O532" s="43"/>
      <c r="P532" s="43"/>
      <c r="Q532" s="43"/>
      <c r="R532" s="49"/>
      <c r="S532" s="49"/>
      <c r="T532" s="49"/>
      <c r="U532" s="49"/>
      <c r="V532" s="49"/>
      <c r="W532" s="49"/>
      <c r="X532" s="49"/>
      <c r="Y532" s="49"/>
      <c r="Z532" s="49"/>
      <c r="AA532" s="49"/>
      <c r="AB532" s="49"/>
      <c r="AC532" s="49"/>
    </row>
    <row r="533" spans="1:29">
      <c r="A533" s="43"/>
      <c r="B533" s="43"/>
      <c r="C533" s="43"/>
      <c r="D533" s="43"/>
      <c r="E533" s="43"/>
      <c r="F533" s="43"/>
      <c r="G533" s="43"/>
      <c r="H533" s="43"/>
      <c r="I533" s="43"/>
      <c r="J533" s="43"/>
      <c r="K533" s="43"/>
      <c r="L533" s="43"/>
      <c r="M533" s="43"/>
      <c r="N533" s="43"/>
      <c r="O533" s="43"/>
      <c r="P533" s="43"/>
      <c r="Q533" s="43"/>
      <c r="R533" s="49"/>
      <c r="S533" s="49"/>
      <c r="T533" s="49"/>
      <c r="U533" s="49"/>
      <c r="V533" s="49"/>
      <c r="W533" s="49"/>
      <c r="X533" s="49"/>
      <c r="Y533" s="49"/>
      <c r="Z533" s="49"/>
      <c r="AA533" s="49"/>
      <c r="AB533" s="49"/>
      <c r="AC533" s="49"/>
    </row>
    <row r="534" spans="1:29">
      <c r="A534" s="43"/>
      <c r="B534" s="43"/>
      <c r="C534" s="43"/>
      <c r="D534" s="43"/>
      <c r="E534" s="43"/>
      <c r="F534" s="43"/>
      <c r="G534" s="43"/>
      <c r="H534" s="43"/>
      <c r="I534" s="43"/>
      <c r="J534" s="43"/>
      <c r="K534" s="43"/>
      <c r="L534" s="43"/>
      <c r="M534" s="43"/>
      <c r="N534" s="43"/>
      <c r="O534" s="43"/>
      <c r="P534" s="43"/>
      <c r="Q534" s="43"/>
      <c r="R534" s="49"/>
      <c r="S534" s="49"/>
      <c r="T534" s="49"/>
      <c r="U534" s="49"/>
      <c r="V534" s="49"/>
      <c r="W534" s="49"/>
      <c r="X534" s="49"/>
      <c r="Y534" s="49"/>
      <c r="Z534" s="49"/>
      <c r="AA534" s="49"/>
      <c r="AB534" s="49"/>
      <c r="AC534" s="49"/>
    </row>
    <row r="535" spans="1:29">
      <c r="A535" s="43"/>
      <c r="B535" s="43"/>
      <c r="C535" s="43"/>
      <c r="D535" s="43"/>
      <c r="E535" s="43"/>
      <c r="F535" s="43"/>
      <c r="G535" s="43"/>
      <c r="H535" s="43"/>
      <c r="I535" s="43"/>
      <c r="J535" s="43"/>
      <c r="K535" s="43"/>
      <c r="L535" s="43"/>
      <c r="M535" s="43"/>
      <c r="N535" s="43"/>
      <c r="O535" s="43"/>
      <c r="P535" s="43"/>
      <c r="Q535" s="43"/>
      <c r="R535" s="49"/>
      <c r="S535" s="49"/>
      <c r="T535" s="49"/>
      <c r="U535" s="49"/>
      <c r="V535" s="49"/>
      <c r="W535" s="49"/>
      <c r="X535" s="49"/>
      <c r="Y535" s="49"/>
      <c r="Z535" s="49"/>
      <c r="AA535" s="49"/>
      <c r="AB535" s="49"/>
      <c r="AC535" s="49"/>
    </row>
    <row r="536" spans="1:29">
      <c r="A536" s="43"/>
      <c r="B536" s="43"/>
      <c r="C536" s="43"/>
      <c r="D536" s="43"/>
      <c r="E536" s="43"/>
      <c r="F536" s="43"/>
      <c r="G536" s="43"/>
      <c r="H536" s="43"/>
      <c r="I536" s="43"/>
      <c r="J536" s="43"/>
      <c r="K536" s="43"/>
      <c r="L536" s="43"/>
      <c r="M536" s="43"/>
      <c r="N536" s="43"/>
      <c r="O536" s="43"/>
      <c r="P536" s="43"/>
      <c r="Q536" s="43"/>
      <c r="R536" s="49"/>
      <c r="S536" s="49"/>
      <c r="T536" s="49"/>
      <c r="U536" s="49"/>
      <c r="V536" s="49"/>
      <c r="W536" s="49"/>
      <c r="X536" s="49"/>
      <c r="Y536" s="49"/>
      <c r="Z536" s="49"/>
      <c r="AA536" s="49"/>
      <c r="AB536" s="49"/>
      <c r="AC536" s="49"/>
    </row>
    <row r="537" spans="1:29">
      <c r="A537" s="43"/>
      <c r="B537" s="43"/>
      <c r="C537" s="43"/>
      <c r="D537" s="43"/>
      <c r="E537" s="43"/>
      <c r="F537" s="43"/>
      <c r="G537" s="43"/>
      <c r="H537" s="43"/>
      <c r="I537" s="43"/>
      <c r="J537" s="43"/>
      <c r="K537" s="43"/>
      <c r="L537" s="43"/>
      <c r="M537" s="43"/>
      <c r="N537" s="43"/>
      <c r="O537" s="43"/>
      <c r="P537" s="43"/>
      <c r="Q537" s="43"/>
      <c r="R537" s="49"/>
      <c r="S537" s="49"/>
      <c r="T537" s="49"/>
      <c r="U537" s="49"/>
      <c r="V537" s="49"/>
      <c r="W537" s="49"/>
      <c r="X537" s="49"/>
      <c r="Y537" s="49"/>
      <c r="Z537" s="49"/>
      <c r="AA537" s="49"/>
      <c r="AB537" s="49"/>
      <c r="AC537" s="49"/>
    </row>
    <row r="538" spans="1:29">
      <c r="A538" s="43"/>
      <c r="B538" s="43"/>
      <c r="C538" s="43"/>
      <c r="D538" s="43"/>
      <c r="E538" s="43"/>
      <c r="F538" s="43"/>
      <c r="G538" s="43"/>
      <c r="H538" s="43"/>
      <c r="I538" s="43"/>
      <c r="J538" s="43"/>
      <c r="K538" s="43"/>
      <c r="L538" s="43"/>
      <c r="M538" s="43"/>
      <c r="N538" s="43"/>
      <c r="O538" s="43"/>
      <c r="P538" s="43"/>
      <c r="Q538" s="43"/>
      <c r="R538" s="49"/>
      <c r="S538" s="49"/>
      <c r="T538" s="49"/>
      <c r="U538" s="49"/>
      <c r="V538" s="49"/>
      <c r="W538" s="49"/>
      <c r="X538" s="49"/>
      <c r="Y538" s="49"/>
      <c r="Z538" s="49"/>
      <c r="AA538" s="49"/>
      <c r="AB538" s="49"/>
      <c r="AC538" s="49"/>
    </row>
    <row r="539" spans="1:29">
      <c r="A539" s="43"/>
      <c r="B539" s="43"/>
      <c r="C539" s="43"/>
      <c r="D539" s="43"/>
      <c r="E539" s="43"/>
      <c r="F539" s="43"/>
      <c r="G539" s="43"/>
      <c r="H539" s="43"/>
      <c r="I539" s="43"/>
      <c r="J539" s="43"/>
      <c r="K539" s="43"/>
      <c r="L539" s="43"/>
      <c r="M539" s="43"/>
      <c r="N539" s="43"/>
      <c r="O539" s="43"/>
      <c r="P539" s="43"/>
      <c r="Q539" s="43"/>
      <c r="R539" s="49"/>
      <c r="S539" s="49"/>
      <c r="T539" s="49"/>
      <c r="U539" s="49"/>
      <c r="V539" s="49"/>
      <c r="W539" s="49"/>
      <c r="X539" s="49"/>
      <c r="Y539" s="49"/>
      <c r="Z539" s="49"/>
      <c r="AA539" s="49"/>
      <c r="AB539" s="49"/>
      <c r="AC539" s="49"/>
    </row>
    <row r="540" spans="1:29">
      <c r="A540" s="43"/>
      <c r="B540" s="43"/>
      <c r="C540" s="43"/>
      <c r="D540" s="43"/>
      <c r="E540" s="43"/>
      <c r="F540" s="43"/>
      <c r="G540" s="43"/>
      <c r="H540" s="43"/>
      <c r="I540" s="43"/>
      <c r="J540" s="43"/>
      <c r="K540" s="43"/>
      <c r="L540" s="43"/>
      <c r="M540" s="43"/>
      <c r="N540" s="43"/>
      <c r="O540" s="43"/>
      <c r="P540" s="43"/>
      <c r="Q540" s="43"/>
      <c r="R540" s="49"/>
      <c r="S540" s="49"/>
      <c r="T540" s="49"/>
      <c r="U540" s="49"/>
      <c r="V540" s="49"/>
      <c r="W540" s="49"/>
      <c r="X540" s="49"/>
      <c r="Y540" s="49"/>
      <c r="Z540" s="49"/>
      <c r="AA540" s="49"/>
      <c r="AB540" s="49"/>
      <c r="AC540" s="49"/>
    </row>
    <row r="541" spans="1:29">
      <c r="A541" s="43"/>
      <c r="B541" s="43"/>
      <c r="C541" s="43"/>
      <c r="D541" s="43"/>
      <c r="E541" s="43"/>
      <c r="F541" s="43"/>
      <c r="G541" s="43"/>
      <c r="H541" s="43"/>
      <c r="I541" s="43"/>
      <c r="J541" s="43"/>
      <c r="K541" s="43"/>
      <c r="L541" s="43"/>
      <c r="M541" s="43"/>
      <c r="N541" s="43"/>
      <c r="O541" s="43"/>
      <c r="P541" s="43"/>
      <c r="Q541" s="43"/>
      <c r="R541" s="49"/>
      <c r="S541" s="49"/>
      <c r="T541" s="49"/>
      <c r="U541" s="49"/>
      <c r="V541" s="49"/>
      <c r="W541" s="49"/>
      <c r="X541" s="49"/>
      <c r="Y541" s="49"/>
      <c r="Z541" s="49"/>
      <c r="AA541" s="49"/>
      <c r="AB541" s="49"/>
      <c r="AC541" s="49"/>
    </row>
    <row r="542" spans="1:29">
      <c r="A542" s="43"/>
      <c r="B542" s="43"/>
      <c r="C542" s="43"/>
      <c r="D542" s="43"/>
      <c r="E542" s="43"/>
      <c r="F542" s="43"/>
      <c r="G542" s="43"/>
      <c r="H542" s="43"/>
      <c r="I542" s="43"/>
      <c r="J542" s="43"/>
      <c r="K542" s="43"/>
      <c r="L542" s="43"/>
      <c r="M542" s="43"/>
      <c r="N542" s="43"/>
      <c r="O542" s="43"/>
      <c r="P542" s="43"/>
      <c r="Q542" s="43"/>
      <c r="R542" s="49"/>
      <c r="S542" s="49"/>
      <c r="T542" s="49"/>
      <c r="U542" s="49"/>
      <c r="V542" s="49"/>
      <c r="W542" s="49"/>
      <c r="X542" s="49"/>
      <c r="Y542" s="49"/>
      <c r="Z542" s="49"/>
      <c r="AA542" s="49"/>
      <c r="AB542" s="49"/>
      <c r="AC542" s="49"/>
    </row>
    <row r="543" spans="1:29">
      <c r="A543" s="43"/>
      <c r="B543" s="43"/>
      <c r="C543" s="43"/>
      <c r="D543" s="43"/>
      <c r="E543" s="43"/>
      <c r="F543" s="43"/>
      <c r="G543" s="43"/>
      <c r="H543" s="43"/>
      <c r="I543" s="43"/>
      <c r="J543" s="43"/>
      <c r="K543" s="43"/>
      <c r="L543" s="43"/>
      <c r="M543" s="43"/>
      <c r="N543" s="43"/>
      <c r="O543" s="43"/>
      <c r="P543" s="43"/>
      <c r="Q543" s="43"/>
      <c r="R543" s="49"/>
      <c r="S543" s="49"/>
      <c r="T543" s="49"/>
      <c r="U543" s="49"/>
      <c r="V543" s="49"/>
      <c r="W543" s="49"/>
      <c r="X543" s="49"/>
      <c r="Y543" s="49"/>
      <c r="Z543" s="49"/>
      <c r="AA543" s="49"/>
      <c r="AB543" s="49"/>
      <c r="AC543" s="49"/>
    </row>
    <row r="544" spans="1:29">
      <c r="A544" s="43"/>
      <c r="B544" s="43"/>
      <c r="C544" s="43"/>
      <c r="D544" s="43"/>
      <c r="E544" s="43"/>
      <c r="F544" s="43"/>
      <c r="G544" s="43"/>
      <c r="H544" s="43"/>
      <c r="I544" s="43"/>
      <c r="J544" s="43"/>
      <c r="K544" s="43"/>
      <c r="L544" s="43"/>
      <c r="M544" s="43"/>
      <c r="N544" s="43"/>
      <c r="O544" s="43"/>
      <c r="P544" s="43"/>
      <c r="Q544" s="43"/>
      <c r="R544" s="49"/>
      <c r="S544" s="49"/>
      <c r="T544" s="49"/>
      <c r="U544" s="49"/>
      <c r="V544" s="49"/>
      <c r="W544" s="49"/>
      <c r="X544" s="49"/>
      <c r="Y544" s="49"/>
      <c r="Z544" s="49"/>
      <c r="AA544" s="49"/>
      <c r="AB544" s="49"/>
      <c r="AC544" s="49"/>
    </row>
    <row r="545" spans="1:29">
      <c r="A545" s="43"/>
      <c r="B545" s="43"/>
      <c r="C545" s="43"/>
      <c r="D545" s="43"/>
      <c r="E545" s="43"/>
      <c r="F545" s="43"/>
      <c r="G545" s="43"/>
      <c r="H545" s="43"/>
      <c r="I545" s="43"/>
      <c r="J545" s="43"/>
      <c r="K545" s="43"/>
      <c r="L545" s="43"/>
      <c r="M545" s="43"/>
      <c r="N545" s="43"/>
      <c r="O545" s="43"/>
      <c r="P545" s="43"/>
      <c r="Q545" s="43"/>
      <c r="R545" s="49"/>
      <c r="S545" s="49"/>
      <c r="T545" s="49"/>
      <c r="U545" s="49"/>
      <c r="V545" s="49"/>
      <c r="W545" s="49"/>
      <c r="X545" s="49"/>
      <c r="Y545" s="49"/>
      <c r="Z545" s="49"/>
      <c r="AA545" s="49"/>
      <c r="AB545" s="49"/>
      <c r="AC545" s="49"/>
    </row>
    <row r="546" spans="1:29">
      <c r="A546" s="43"/>
      <c r="B546" s="43"/>
      <c r="C546" s="43"/>
      <c r="D546" s="43"/>
      <c r="E546" s="43"/>
      <c r="F546" s="43"/>
      <c r="G546" s="43"/>
      <c r="H546" s="43"/>
      <c r="I546" s="43"/>
      <c r="J546" s="43"/>
      <c r="K546" s="43"/>
      <c r="L546" s="43"/>
      <c r="M546" s="43"/>
      <c r="N546" s="43"/>
      <c r="O546" s="43"/>
      <c r="P546" s="43"/>
      <c r="Q546" s="43"/>
      <c r="R546" s="49"/>
      <c r="S546" s="49"/>
      <c r="T546" s="49"/>
      <c r="U546" s="49"/>
      <c r="V546" s="49"/>
      <c r="W546" s="49"/>
      <c r="X546" s="49"/>
      <c r="Y546" s="49"/>
      <c r="Z546" s="49"/>
      <c r="AA546" s="49"/>
      <c r="AB546" s="49"/>
      <c r="AC546" s="49"/>
    </row>
    <row r="547" spans="1:29">
      <c r="A547" s="43"/>
      <c r="B547" s="43"/>
      <c r="C547" s="43"/>
      <c r="D547" s="43"/>
      <c r="E547" s="43"/>
      <c r="F547" s="43"/>
      <c r="G547" s="43"/>
      <c r="H547" s="43"/>
      <c r="I547" s="43"/>
      <c r="J547" s="43"/>
      <c r="K547" s="43"/>
      <c r="L547" s="43"/>
      <c r="M547" s="43"/>
      <c r="N547" s="43"/>
      <c r="O547" s="43"/>
      <c r="P547" s="43"/>
      <c r="Q547" s="43"/>
      <c r="R547" s="49"/>
      <c r="S547" s="49"/>
      <c r="T547" s="49"/>
      <c r="U547" s="49"/>
      <c r="V547" s="49"/>
      <c r="W547" s="49"/>
      <c r="X547" s="49"/>
      <c r="Y547" s="49"/>
      <c r="Z547" s="49"/>
      <c r="AA547" s="49"/>
      <c r="AB547" s="49"/>
      <c r="AC547" s="49"/>
    </row>
    <row r="548" spans="1:29">
      <c r="A548" s="43"/>
      <c r="B548" s="43"/>
      <c r="C548" s="43"/>
      <c r="D548" s="43"/>
      <c r="E548" s="43"/>
      <c r="F548" s="43"/>
      <c r="G548" s="43"/>
      <c r="H548" s="43"/>
      <c r="I548" s="43"/>
      <c r="J548" s="43"/>
      <c r="K548" s="43"/>
      <c r="L548" s="43"/>
      <c r="M548" s="43"/>
      <c r="N548" s="43"/>
      <c r="O548" s="43"/>
      <c r="P548" s="43"/>
      <c r="Q548" s="43"/>
      <c r="R548" s="49"/>
      <c r="S548" s="49"/>
      <c r="T548" s="49"/>
      <c r="U548" s="49"/>
      <c r="V548" s="49"/>
      <c r="W548" s="49"/>
      <c r="X548" s="49"/>
      <c r="Y548" s="49"/>
      <c r="Z548" s="49"/>
      <c r="AA548" s="49"/>
      <c r="AB548" s="49"/>
      <c r="AC548" s="49"/>
    </row>
    <row r="549" spans="1:29">
      <c r="A549" s="43"/>
      <c r="B549" s="43"/>
      <c r="C549" s="43"/>
      <c r="D549" s="43"/>
      <c r="E549" s="43"/>
      <c r="F549" s="43"/>
      <c r="G549" s="43"/>
      <c r="H549" s="43"/>
      <c r="I549" s="43"/>
      <c r="J549" s="43"/>
      <c r="K549" s="43"/>
      <c r="L549" s="43"/>
      <c r="M549" s="43"/>
      <c r="N549" s="43"/>
      <c r="O549" s="43"/>
      <c r="P549" s="43"/>
      <c r="Q549" s="43"/>
      <c r="R549" s="49"/>
      <c r="S549" s="49"/>
      <c r="T549" s="49"/>
      <c r="U549" s="49"/>
      <c r="V549" s="49"/>
      <c r="W549" s="49"/>
      <c r="X549" s="49"/>
      <c r="Y549" s="49"/>
      <c r="Z549" s="49"/>
      <c r="AA549" s="49"/>
      <c r="AB549" s="49"/>
      <c r="AC549" s="49"/>
    </row>
    <row r="550" spans="1:29">
      <c r="A550" s="43"/>
      <c r="B550" s="43"/>
      <c r="C550" s="43"/>
      <c r="D550" s="43"/>
      <c r="E550" s="43"/>
      <c r="F550" s="43"/>
      <c r="G550" s="43"/>
      <c r="H550" s="43"/>
      <c r="I550" s="43"/>
      <c r="J550" s="43"/>
      <c r="K550" s="43"/>
      <c r="L550" s="43"/>
      <c r="M550" s="43"/>
      <c r="N550" s="43"/>
      <c r="O550" s="43"/>
      <c r="P550" s="43"/>
      <c r="Q550" s="43"/>
      <c r="R550" s="49"/>
      <c r="S550" s="49"/>
      <c r="T550" s="49"/>
      <c r="U550" s="49"/>
      <c r="V550" s="49"/>
      <c r="W550" s="49"/>
      <c r="X550" s="49"/>
      <c r="Y550" s="49"/>
      <c r="Z550" s="49"/>
      <c r="AA550" s="49"/>
      <c r="AB550" s="49"/>
      <c r="AC550" s="49"/>
    </row>
    <row r="551" spans="1:29">
      <c r="A551" s="43"/>
      <c r="B551" s="43"/>
      <c r="C551" s="43"/>
      <c r="D551" s="43"/>
      <c r="E551" s="43"/>
      <c r="F551" s="43"/>
      <c r="G551" s="43"/>
      <c r="H551" s="43"/>
      <c r="I551" s="43"/>
      <c r="J551" s="43"/>
      <c r="K551" s="43"/>
      <c r="L551" s="43"/>
      <c r="M551" s="43"/>
      <c r="N551" s="43"/>
      <c r="O551" s="43"/>
      <c r="P551" s="43"/>
      <c r="Q551" s="43"/>
      <c r="R551" s="49"/>
      <c r="S551" s="49"/>
      <c r="T551" s="49"/>
      <c r="U551" s="49"/>
      <c r="V551" s="49"/>
      <c r="W551" s="49"/>
      <c r="X551" s="49"/>
      <c r="Y551" s="49"/>
      <c r="Z551" s="49"/>
      <c r="AA551" s="49"/>
      <c r="AB551" s="49"/>
      <c r="AC551" s="49"/>
    </row>
    <row r="552" spans="1:29">
      <c r="A552" s="43"/>
      <c r="B552" s="43"/>
      <c r="C552" s="43"/>
      <c r="D552" s="43"/>
      <c r="E552" s="43"/>
      <c r="F552" s="43"/>
      <c r="G552" s="43"/>
      <c r="H552" s="43"/>
      <c r="I552" s="43"/>
      <c r="J552" s="43"/>
      <c r="K552" s="43"/>
      <c r="L552" s="43"/>
      <c r="M552" s="43"/>
      <c r="N552" s="43"/>
      <c r="O552" s="43"/>
      <c r="P552" s="43"/>
      <c r="Q552" s="43"/>
      <c r="R552" s="49"/>
      <c r="S552" s="49"/>
      <c r="T552" s="49"/>
      <c r="U552" s="49"/>
      <c r="V552" s="49"/>
      <c r="W552" s="49"/>
      <c r="X552" s="49"/>
      <c r="Y552" s="49"/>
      <c r="Z552" s="49"/>
      <c r="AA552" s="49"/>
      <c r="AB552" s="49"/>
      <c r="AC552" s="49"/>
    </row>
    <row r="553" spans="1:29">
      <c r="A553" s="43"/>
      <c r="B553" s="43"/>
      <c r="C553" s="43"/>
      <c r="D553" s="43"/>
      <c r="E553" s="43"/>
      <c r="F553" s="43"/>
      <c r="G553" s="43"/>
      <c r="H553" s="43"/>
      <c r="I553" s="43"/>
      <c r="J553" s="43"/>
      <c r="K553" s="43"/>
      <c r="L553" s="43"/>
      <c r="M553" s="43"/>
      <c r="N553" s="43"/>
      <c r="O553" s="43"/>
      <c r="P553" s="43"/>
      <c r="Q553" s="43"/>
      <c r="R553" s="49"/>
      <c r="S553" s="49"/>
      <c r="T553" s="49"/>
      <c r="U553" s="49"/>
      <c r="V553" s="49"/>
      <c r="W553" s="49"/>
      <c r="X553" s="49"/>
      <c r="Y553" s="49"/>
      <c r="Z553" s="49"/>
      <c r="AA553" s="49"/>
      <c r="AB553" s="49"/>
      <c r="AC553" s="49"/>
    </row>
    <row r="554" spans="1:29">
      <c r="A554" s="43"/>
      <c r="B554" s="43"/>
      <c r="C554" s="43"/>
      <c r="D554" s="43"/>
      <c r="E554" s="43"/>
      <c r="F554" s="43"/>
      <c r="G554" s="43"/>
      <c r="H554" s="43"/>
      <c r="I554" s="43"/>
      <c r="J554" s="43"/>
      <c r="K554" s="43"/>
      <c r="L554" s="43"/>
      <c r="M554" s="43"/>
      <c r="N554" s="43"/>
      <c r="O554" s="43"/>
      <c r="P554" s="43"/>
      <c r="Q554" s="43"/>
      <c r="R554" s="49"/>
      <c r="S554" s="49"/>
      <c r="T554" s="49"/>
      <c r="U554" s="49"/>
      <c r="V554" s="49"/>
      <c r="W554" s="49"/>
      <c r="X554" s="49"/>
      <c r="Y554" s="49"/>
      <c r="Z554" s="49"/>
      <c r="AA554" s="49"/>
      <c r="AB554" s="49"/>
      <c r="AC554" s="49"/>
    </row>
    <row r="555" spans="1:29">
      <c r="A555" s="43"/>
      <c r="B555" s="43"/>
      <c r="C555" s="43"/>
      <c r="D555" s="43"/>
      <c r="E555" s="43"/>
      <c r="F555" s="43"/>
      <c r="G555" s="43"/>
      <c r="H555" s="43"/>
      <c r="I555" s="43"/>
      <c r="J555" s="43"/>
      <c r="K555" s="43"/>
      <c r="L555" s="43"/>
      <c r="M555" s="43"/>
      <c r="N555" s="43"/>
      <c r="O555" s="43"/>
      <c r="P555" s="43"/>
      <c r="Q555" s="43"/>
      <c r="R555" s="49"/>
      <c r="S555" s="49"/>
      <c r="T555" s="49"/>
      <c r="U555" s="49"/>
      <c r="V555" s="49"/>
      <c r="W555" s="49"/>
      <c r="X555" s="49"/>
      <c r="Y555" s="49"/>
      <c r="Z555" s="49"/>
      <c r="AA555" s="49"/>
      <c r="AB555" s="49"/>
      <c r="AC555" s="49"/>
    </row>
    <row r="556" spans="1:29">
      <c r="A556" s="43"/>
      <c r="B556" s="43"/>
      <c r="C556" s="43"/>
      <c r="D556" s="43"/>
      <c r="E556" s="43"/>
      <c r="F556" s="43"/>
      <c r="G556" s="43"/>
      <c r="H556" s="43"/>
      <c r="I556" s="43"/>
      <c r="J556" s="43"/>
      <c r="K556" s="43"/>
      <c r="L556" s="43"/>
      <c r="M556" s="43"/>
      <c r="N556" s="43"/>
      <c r="O556" s="43"/>
      <c r="P556" s="43"/>
      <c r="Q556" s="43"/>
      <c r="R556" s="49"/>
      <c r="S556" s="49"/>
      <c r="T556" s="49"/>
      <c r="U556" s="49"/>
      <c r="V556" s="49"/>
      <c r="W556" s="49"/>
      <c r="X556" s="49"/>
      <c r="Y556" s="49"/>
      <c r="Z556" s="49"/>
      <c r="AA556" s="49"/>
      <c r="AB556" s="49"/>
      <c r="AC556" s="49"/>
    </row>
    <row r="557" spans="1:29">
      <c r="A557" s="43"/>
      <c r="B557" s="43"/>
      <c r="C557" s="43"/>
      <c r="D557" s="43"/>
      <c r="E557" s="43"/>
      <c r="F557" s="43"/>
      <c r="G557" s="43"/>
      <c r="H557" s="43"/>
      <c r="I557" s="43"/>
      <c r="J557" s="43"/>
      <c r="K557" s="43"/>
      <c r="L557" s="43"/>
      <c r="M557" s="43"/>
      <c r="N557" s="43"/>
      <c r="O557" s="43"/>
      <c r="P557" s="43"/>
      <c r="Q557" s="43"/>
      <c r="R557" s="49"/>
      <c r="S557" s="49"/>
      <c r="T557" s="49"/>
      <c r="U557" s="49"/>
      <c r="V557" s="49"/>
      <c r="W557" s="49"/>
      <c r="X557" s="49"/>
      <c r="Y557" s="49"/>
      <c r="Z557" s="49"/>
      <c r="AA557" s="49"/>
      <c r="AB557" s="49"/>
      <c r="AC557" s="49"/>
    </row>
    <row r="558" spans="1:29">
      <c r="A558" s="43"/>
      <c r="B558" s="43"/>
      <c r="C558" s="43"/>
      <c r="D558" s="43"/>
      <c r="E558" s="43"/>
      <c r="F558" s="43"/>
      <c r="G558" s="43"/>
      <c r="H558" s="43"/>
      <c r="I558" s="43"/>
      <c r="J558" s="43"/>
      <c r="K558" s="43"/>
      <c r="L558" s="43"/>
      <c r="M558" s="43"/>
      <c r="N558" s="43"/>
      <c r="O558" s="43"/>
      <c r="P558" s="43"/>
      <c r="Q558" s="43"/>
      <c r="R558" s="49"/>
      <c r="S558" s="49"/>
      <c r="T558" s="49"/>
      <c r="U558" s="49"/>
      <c r="V558" s="49"/>
      <c r="W558" s="49"/>
      <c r="X558" s="49"/>
      <c r="Y558" s="49"/>
      <c r="Z558" s="49"/>
      <c r="AA558" s="49"/>
      <c r="AB558" s="49"/>
      <c r="AC558" s="49"/>
    </row>
    <row r="559" spans="1:29">
      <c r="A559" s="43"/>
      <c r="B559" s="43"/>
      <c r="C559" s="43"/>
      <c r="D559" s="43"/>
      <c r="E559" s="43"/>
      <c r="F559" s="43"/>
      <c r="G559" s="43"/>
      <c r="H559" s="43"/>
      <c r="I559" s="43"/>
      <c r="J559" s="43"/>
      <c r="K559" s="43"/>
      <c r="L559" s="43"/>
      <c r="M559" s="43"/>
      <c r="N559" s="43"/>
      <c r="O559" s="43"/>
      <c r="P559" s="43"/>
      <c r="Q559" s="43"/>
      <c r="R559" s="49"/>
      <c r="S559" s="49"/>
      <c r="T559" s="49"/>
      <c r="U559" s="49"/>
      <c r="V559" s="49"/>
      <c r="W559" s="49"/>
      <c r="X559" s="49"/>
      <c r="Y559" s="49"/>
      <c r="Z559" s="49"/>
      <c r="AA559" s="49"/>
      <c r="AB559" s="49"/>
      <c r="AC559" s="49"/>
    </row>
    <row r="560" spans="1:29">
      <c r="A560" s="43"/>
      <c r="B560" s="43"/>
      <c r="C560" s="43"/>
      <c r="D560" s="43"/>
      <c r="E560" s="43"/>
      <c r="F560" s="43"/>
      <c r="G560" s="43"/>
      <c r="H560" s="43"/>
      <c r="I560" s="43"/>
      <c r="J560" s="43"/>
      <c r="K560" s="43"/>
      <c r="L560" s="43"/>
      <c r="M560" s="43"/>
      <c r="N560" s="43"/>
      <c r="O560" s="43"/>
      <c r="P560" s="43"/>
      <c r="Q560" s="43"/>
      <c r="R560" s="49"/>
      <c r="S560" s="49"/>
      <c r="T560" s="49"/>
      <c r="U560" s="49"/>
      <c r="V560" s="49"/>
      <c r="W560" s="49"/>
      <c r="X560" s="49"/>
      <c r="Y560" s="49"/>
      <c r="Z560" s="49"/>
      <c r="AA560" s="49"/>
      <c r="AB560" s="49"/>
      <c r="AC560" s="49"/>
    </row>
    <row r="561" spans="1:29">
      <c r="A561" s="43"/>
      <c r="B561" s="43"/>
      <c r="C561" s="43"/>
      <c r="D561" s="43"/>
      <c r="E561" s="43"/>
      <c r="F561" s="43"/>
      <c r="G561" s="43"/>
      <c r="H561" s="43"/>
      <c r="I561" s="43"/>
      <c r="J561" s="43"/>
      <c r="K561" s="43"/>
      <c r="L561" s="43"/>
      <c r="M561" s="43"/>
      <c r="N561" s="43"/>
      <c r="O561" s="43"/>
      <c r="P561" s="43"/>
      <c r="Q561" s="43"/>
      <c r="R561" s="49"/>
      <c r="S561" s="49"/>
      <c r="T561" s="49"/>
      <c r="U561" s="49"/>
      <c r="V561" s="49"/>
      <c r="W561" s="49"/>
      <c r="X561" s="49"/>
      <c r="Y561" s="49"/>
      <c r="Z561" s="49"/>
      <c r="AA561" s="49"/>
      <c r="AB561" s="49"/>
      <c r="AC561" s="49"/>
    </row>
    <row r="562" spans="1:29">
      <c r="A562" s="43"/>
      <c r="B562" s="43"/>
      <c r="C562" s="43"/>
      <c r="D562" s="43"/>
      <c r="E562" s="43"/>
      <c r="F562" s="43"/>
      <c r="G562" s="43"/>
      <c r="H562" s="43"/>
      <c r="I562" s="43"/>
      <c r="J562" s="43"/>
      <c r="K562" s="43"/>
      <c r="L562" s="43"/>
      <c r="M562" s="43"/>
      <c r="N562" s="43"/>
      <c r="O562" s="43"/>
      <c r="P562" s="43"/>
      <c r="Q562" s="43"/>
      <c r="R562" s="49"/>
      <c r="S562" s="49"/>
      <c r="T562" s="49"/>
      <c r="U562" s="49"/>
      <c r="V562" s="49"/>
      <c r="W562" s="49"/>
      <c r="X562" s="49"/>
      <c r="Y562" s="49"/>
      <c r="Z562" s="49"/>
      <c r="AA562" s="49"/>
      <c r="AB562" s="49"/>
      <c r="AC562" s="49"/>
    </row>
    <row r="563" spans="1:29">
      <c r="A563" s="43"/>
      <c r="B563" s="43"/>
      <c r="C563" s="43"/>
      <c r="D563" s="43"/>
      <c r="E563" s="43"/>
      <c r="F563" s="43"/>
      <c r="G563" s="43"/>
      <c r="H563" s="43"/>
      <c r="I563" s="43"/>
      <c r="J563" s="43"/>
      <c r="K563" s="43"/>
      <c r="L563" s="43"/>
      <c r="M563" s="43"/>
      <c r="N563" s="43"/>
      <c r="O563" s="43"/>
      <c r="P563" s="43"/>
      <c r="Q563" s="43"/>
      <c r="R563" s="49"/>
      <c r="S563" s="49"/>
      <c r="T563" s="49"/>
      <c r="U563" s="49"/>
      <c r="V563" s="49"/>
      <c r="W563" s="49"/>
      <c r="X563" s="49"/>
      <c r="Y563" s="49"/>
      <c r="Z563" s="49"/>
      <c r="AA563" s="49"/>
      <c r="AB563" s="49"/>
      <c r="AC563" s="49"/>
    </row>
    <row r="564" spans="1:29">
      <c r="A564" s="43"/>
      <c r="B564" s="43"/>
      <c r="C564" s="43"/>
      <c r="D564" s="43"/>
      <c r="E564" s="43"/>
      <c r="F564" s="43"/>
      <c r="G564" s="43"/>
      <c r="H564" s="43"/>
      <c r="I564" s="43"/>
      <c r="J564" s="43"/>
      <c r="K564" s="43"/>
      <c r="L564" s="43"/>
      <c r="M564" s="43"/>
      <c r="N564" s="43"/>
      <c r="O564" s="43"/>
      <c r="P564" s="43"/>
      <c r="Q564" s="43"/>
      <c r="R564" s="49"/>
      <c r="S564" s="49"/>
      <c r="T564" s="49"/>
      <c r="U564" s="49"/>
      <c r="V564" s="49"/>
      <c r="W564" s="49"/>
      <c r="X564" s="49"/>
      <c r="Y564" s="49"/>
      <c r="Z564" s="49"/>
      <c r="AA564" s="49"/>
      <c r="AB564" s="49"/>
      <c r="AC564" s="49"/>
    </row>
    <row r="565" spans="1:29">
      <c r="A565" s="43"/>
      <c r="B565" s="43"/>
      <c r="C565" s="43"/>
      <c r="D565" s="43"/>
      <c r="E565" s="43"/>
      <c r="F565" s="43"/>
      <c r="G565" s="43"/>
      <c r="H565" s="43"/>
      <c r="I565" s="43"/>
      <c r="J565" s="43"/>
      <c r="K565" s="43"/>
      <c r="L565" s="43"/>
      <c r="M565" s="43"/>
      <c r="N565" s="43"/>
      <c r="O565" s="43"/>
      <c r="P565" s="43"/>
      <c r="Q565" s="43"/>
      <c r="R565" s="49"/>
      <c r="S565" s="49"/>
      <c r="T565" s="49"/>
      <c r="U565" s="49"/>
      <c r="V565" s="49"/>
      <c r="W565" s="49"/>
      <c r="X565" s="49"/>
      <c r="Y565" s="49"/>
      <c r="Z565" s="49"/>
      <c r="AA565" s="49"/>
      <c r="AB565" s="49"/>
      <c r="AC565" s="49"/>
    </row>
    <row r="566" spans="1:29">
      <c r="A566" s="43"/>
      <c r="B566" s="43"/>
      <c r="C566" s="43"/>
      <c r="D566" s="43"/>
      <c r="E566" s="43"/>
      <c r="F566" s="43"/>
      <c r="G566" s="43"/>
      <c r="H566" s="43"/>
      <c r="I566" s="43"/>
      <c r="J566" s="43"/>
      <c r="K566" s="43"/>
      <c r="L566" s="43"/>
      <c r="M566" s="43"/>
      <c r="N566" s="43"/>
      <c r="O566" s="43"/>
      <c r="P566" s="43"/>
      <c r="Q566" s="43"/>
      <c r="R566" s="49"/>
      <c r="S566" s="49"/>
      <c r="T566" s="49"/>
      <c r="U566" s="49"/>
      <c r="V566" s="49"/>
      <c r="W566" s="49"/>
      <c r="X566" s="49"/>
      <c r="Y566" s="49"/>
      <c r="Z566" s="49"/>
      <c r="AA566" s="49"/>
      <c r="AB566" s="49"/>
      <c r="AC566" s="49"/>
    </row>
    <row r="567" spans="1:29">
      <c r="A567" s="43"/>
      <c r="B567" s="43"/>
      <c r="C567" s="43"/>
      <c r="D567" s="43"/>
      <c r="E567" s="43"/>
      <c r="F567" s="43"/>
      <c r="G567" s="43"/>
      <c r="H567" s="43"/>
      <c r="I567" s="43"/>
      <c r="J567" s="43"/>
      <c r="K567" s="43"/>
      <c r="L567" s="43"/>
      <c r="M567" s="43"/>
      <c r="N567" s="43"/>
      <c r="O567" s="43"/>
      <c r="P567" s="43"/>
      <c r="Q567" s="43"/>
      <c r="R567" s="49"/>
      <c r="S567" s="49"/>
      <c r="T567" s="49"/>
      <c r="U567" s="49"/>
      <c r="V567" s="49"/>
      <c r="W567" s="49"/>
      <c r="X567" s="49"/>
      <c r="Y567" s="49"/>
      <c r="Z567" s="49"/>
      <c r="AA567" s="49"/>
      <c r="AB567" s="49"/>
      <c r="AC567" s="49"/>
    </row>
    <row r="568" spans="1:29">
      <c r="A568" s="43"/>
      <c r="B568" s="43"/>
      <c r="C568" s="43"/>
      <c r="D568" s="43"/>
      <c r="E568" s="43"/>
      <c r="F568" s="43"/>
      <c r="G568" s="43"/>
      <c r="H568" s="43"/>
      <c r="I568" s="43"/>
      <c r="J568" s="43"/>
      <c r="K568" s="43"/>
      <c r="L568" s="43"/>
      <c r="M568" s="43"/>
      <c r="N568" s="43"/>
      <c r="O568" s="43"/>
      <c r="P568" s="43"/>
      <c r="Q568" s="43"/>
      <c r="R568" s="49"/>
      <c r="S568" s="49"/>
      <c r="T568" s="49"/>
      <c r="U568" s="49"/>
      <c r="V568" s="49"/>
      <c r="W568" s="49"/>
      <c r="X568" s="49"/>
      <c r="Y568" s="49"/>
      <c r="Z568" s="49"/>
      <c r="AA568" s="49"/>
      <c r="AB568" s="49"/>
      <c r="AC568" s="49"/>
    </row>
    <row r="569" spans="1:29">
      <c r="A569" s="43"/>
      <c r="B569" s="43"/>
      <c r="C569" s="43"/>
      <c r="D569" s="43"/>
      <c r="E569" s="43"/>
      <c r="F569" s="43"/>
      <c r="G569" s="43"/>
      <c r="H569" s="43"/>
      <c r="I569" s="43"/>
      <c r="J569" s="43"/>
      <c r="K569" s="43"/>
      <c r="L569" s="43"/>
      <c r="M569" s="43"/>
      <c r="N569" s="43"/>
      <c r="O569" s="43"/>
      <c r="P569" s="43"/>
      <c r="Q569" s="43"/>
      <c r="R569" s="49"/>
      <c r="S569" s="49"/>
      <c r="T569" s="49"/>
      <c r="U569" s="49"/>
      <c r="V569" s="49"/>
      <c r="W569" s="49"/>
      <c r="X569" s="49"/>
      <c r="Y569" s="49"/>
      <c r="Z569" s="49"/>
      <c r="AA569" s="49"/>
      <c r="AB569" s="49"/>
      <c r="AC569" s="49"/>
    </row>
    <row r="570" spans="1:29">
      <c r="A570" s="43"/>
      <c r="B570" s="43"/>
      <c r="C570" s="43"/>
      <c r="D570" s="43"/>
      <c r="E570" s="43"/>
      <c r="F570" s="43"/>
      <c r="G570" s="43"/>
      <c r="H570" s="43"/>
      <c r="I570" s="43"/>
      <c r="J570" s="43"/>
      <c r="K570" s="43"/>
      <c r="L570" s="43"/>
      <c r="M570" s="43"/>
      <c r="N570" s="43"/>
      <c r="O570" s="43"/>
      <c r="P570" s="43"/>
      <c r="Q570" s="43"/>
      <c r="R570" s="49"/>
      <c r="S570" s="49"/>
      <c r="T570" s="49"/>
      <c r="U570" s="49"/>
      <c r="V570" s="49"/>
      <c r="W570" s="49"/>
      <c r="X570" s="49"/>
      <c r="Y570" s="49"/>
      <c r="Z570" s="49"/>
      <c r="AA570" s="49"/>
      <c r="AB570" s="49"/>
      <c r="AC570" s="49"/>
    </row>
    <row r="571" spans="1:29">
      <c r="A571" s="43"/>
      <c r="B571" s="43"/>
      <c r="C571" s="43"/>
      <c r="D571" s="43"/>
      <c r="E571" s="43"/>
      <c r="F571" s="43"/>
      <c r="G571" s="43"/>
      <c r="H571" s="43"/>
      <c r="I571" s="43"/>
      <c r="J571" s="43"/>
      <c r="K571" s="43"/>
      <c r="L571" s="43"/>
      <c r="M571" s="43"/>
      <c r="N571" s="43"/>
      <c r="O571" s="43"/>
      <c r="P571" s="43"/>
      <c r="Q571" s="43"/>
      <c r="R571" s="49"/>
      <c r="S571" s="49"/>
      <c r="T571" s="49"/>
      <c r="U571" s="49"/>
      <c r="V571" s="49"/>
      <c r="W571" s="49"/>
      <c r="X571" s="49"/>
      <c r="Y571" s="49"/>
      <c r="Z571" s="49"/>
      <c r="AA571" s="49"/>
      <c r="AB571" s="49"/>
      <c r="AC571" s="49"/>
    </row>
    <row r="572" spans="1:29">
      <c r="A572" s="43"/>
      <c r="B572" s="43"/>
      <c r="C572" s="43"/>
      <c r="D572" s="43"/>
      <c r="E572" s="43"/>
      <c r="F572" s="43"/>
      <c r="G572" s="43"/>
      <c r="H572" s="43"/>
      <c r="I572" s="43"/>
      <c r="J572" s="43"/>
      <c r="K572" s="43"/>
      <c r="L572" s="43"/>
      <c r="M572" s="43"/>
      <c r="N572" s="43"/>
      <c r="O572" s="43"/>
      <c r="P572" s="43"/>
      <c r="Q572" s="43"/>
      <c r="R572" s="49"/>
      <c r="S572" s="49"/>
      <c r="T572" s="49"/>
      <c r="U572" s="49"/>
      <c r="V572" s="49"/>
      <c r="W572" s="49"/>
      <c r="X572" s="49"/>
      <c r="Y572" s="49"/>
      <c r="Z572" s="49"/>
      <c r="AA572" s="49"/>
      <c r="AB572" s="49"/>
      <c r="AC572" s="49"/>
    </row>
    <row r="573" spans="1:29">
      <c r="A573" s="43"/>
      <c r="B573" s="43"/>
      <c r="C573" s="43"/>
      <c r="D573" s="43"/>
      <c r="E573" s="43"/>
      <c r="F573" s="43"/>
      <c r="G573" s="43"/>
      <c r="H573" s="43"/>
      <c r="I573" s="43"/>
      <c r="J573" s="43"/>
      <c r="K573" s="43"/>
      <c r="L573" s="43"/>
      <c r="M573" s="43"/>
      <c r="N573" s="43"/>
      <c r="O573" s="43"/>
      <c r="P573" s="43"/>
      <c r="Q573" s="43"/>
      <c r="R573" s="49"/>
      <c r="S573" s="49"/>
      <c r="T573" s="49"/>
      <c r="U573" s="49"/>
      <c r="V573" s="49"/>
      <c r="W573" s="49"/>
      <c r="X573" s="49"/>
      <c r="Y573" s="49"/>
      <c r="Z573" s="49"/>
      <c r="AA573" s="49"/>
      <c r="AB573" s="49"/>
      <c r="AC573" s="49"/>
    </row>
    <row r="574" spans="1:29">
      <c r="A574" s="43"/>
      <c r="B574" s="43"/>
      <c r="C574" s="43"/>
      <c r="D574" s="43"/>
      <c r="E574" s="43"/>
      <c r="F574" s="43"/>
      <c r="G574" s="43"/>
      <c r="H574" s="43"/>
      <c r="I574" s="43"/>
      <c r="J574" s="43"/>
      <c r="K574" s="43"/>
      <c r="L574" s="43"/>
      <c r="M574" s="43"/>
      <c r="N574" s="43"/>
      <c r="O574" s="43"/>
      <c r="P574" s="43"/>
      <c r="Q574" s="43"/>
      <c r="R574" s="49"/>
      <c r="S574" s="49"/>
      <c r="T574" s="49"/>
      <c r="U574" s="49"/>
      <c r="V574" s="49"/>
      <c r="W574" s="49"/>
      <c r="X574" s="49"/>
      <c r="Y574" s="49"/>
      <c r="Z574" s="49"/>
      <c r="AA574" s="49"/>
      <c r="AB574" s="49"/>
      <c r="AC574" s="49"/>
    </row>
    <row r="575" spans="1:29">
      <c r="A575" s="43"/>
      <c r="B575" s="43"/>
      <c r="C575" s="43"/>
      <c r="D575" s="43"/>
      <c r="E575" s="43"/>
      <c r="F575" s="43"/>
      <c r="G575" s="43"/>
      <c r="H575" s="43"/>
      <c r="I575" s="43"/>
      <c r="J575" s="43"/>
      <c r="K575" s="43"/>
      <c r="L575" s="43"/>
      <c r="M575" s="43"/>
      <c r="N575" s="43"/>
      <c r="O575" s="43"/>
      <c r="P575" s="43"/>
      <c r="Q575" s="43"/>
      <c r="R575" s="49"/>
      <c r="S575" s="49"/>
      <c r="T575" s="49"/>
      <c r="U575" s="49"/>
      <c r="V575" s="49"/>
      <c r="W575" s="49"/>
      <c r="X575" s="49"/>
      <c r="Y575" s="49"/>
      <c r="Z575" s="49"/>
      <c r="AA575" s="49"/>
      <c r="AB575" s="49"/>
      <c r="AC575" s="49"/>
    </row>
    <row r="576" spans="1:29">
      <c r="A576" s="43"/>
      <c r="B576" s="43"/>
      <c r="C576" s="43"/>
      <c r="D576" s="43"/>
      <c r="E576" s="43"/>
      <c r="F576" s="43"/>
      <c r="G576" s="43"/>
      <c r="H576" s="43"/>
      <c r="I576" s="43"/>
      <c r="J576" s="43"/>
      <c r="K576" s="43"/>
      <c r="L576" s="43"/>
      <c r="M576" s="43"/>
      <c r="N576" s="43"/>
      <c r="O576" s="43"/>
      <c r="P576" s="43"/>
      <c r="Q576" s="43"/>
      <c r="R576" s="49"/>
      <c r="S576" s="49"/>
      <c r="T576" s="49"/>
      <c r="U576" s="49"/>
      <c r="V576" s="49"/>
      <c r="W576" s="49"/>
      <c r="X576" s="49"/>
      <c r="Y576" s="49"/>
      <c r="Z576" s="49"/>
      <c r="AA576" s="49"/>
      <c r="AB576" s="49"/>
      <c r="AC576" s="49"/>
    </row>
    <row r="577" spans="1:29">
      <c r="A577" s="43"/>
      <c r="B577" s="43"/>
      <c r="C577" s="43"/>
      <c r="D577" s="43"/>
      <c r="E577" s="43"/>
      <c r="F577" s="43"/>
      <c r="G577" s="43"/>
      <c r="H577" s="43"/>
      <c r="I577" s="43"/>
      <c r="J577" s="43"/>
      <c r="K577" s="43"/>
      <c r="L577" s="43"/>
      <c r="M577" s="43"/>
      <c r="N577" s="43"/>
      <c r="O577" s="43"/>
      <c r="P577" s="43"/>
      <c r="Q577" s="43"/>
      <c r="R577" s="49"/>
      <c r="S577" s="49"/>
      <c r="T577" s="49"/>
      <c r="U577" s="49"/>
      <c r="V577" s="49"/>
      <c r="W577" s="49"/>
      <c r="X577" s="49"/>
      <c r="Y577" s="49"/>
      <c r="Z577" s="49"/>
      <c r="AA577" s="49"/>
      <c r="AB577" s="49"/>
      <c r="AC577" s="49"/>
    </row>
    <row r="578" spans="1:29">
      <c r="A578" s="43"/>
      <c r="B578" s="43"/>
      <c r="C578" s="43"/>
      <c r="D578" s="43"/>
      <c r="E578" s="43"/>
      <c r="F578" s="43"/>
      <c r="G578" s="43"/>
      <c r="H578" s="43"/>
      <c r="I578" s="43"/>
      <c r="J578" s="43"/>
      <c r="K578" s="43"/>
      <c r="L578" s="43"/>
      <c r="M578" s="43"/>
      <c r="N578" s="43"/>
      <c r="O578" s="43"/>
      <c r="P578" s="43"/>
      <c r="Q578" s="43"/>
      <c r="R578" s="49"/>
      <c r="S578" s="49"/>
      <c r="T578" s="49"/>
      <c r="U578" s="49"/>
      <c r="V578" s="49"/>
      <c r="W578" s="49"/>
      <c r="X578" s="49"/>
      <c r="Y578" s="49"/>
      <c r="Z578" s="49"/>
      <c r="AA578" s="49"/>
      <c r="AB578" s="49"/>
      <c r="AC578" s="49"/>
    </row>
    <row r="579" spans="1:29">
      <c r="A579" s="43"/>
      <c r="B579" s="43"/>
      <c r="C579" s="43"/>
      <c r="D579" s="43"/>
      <c r="E579" s="43"/>
      <c r="F579" s="43"/>
      <c r="G579" s="43"/>
      <c r="H579" s="43"/>
      <c r="I579" s="43"/>
      <c r="J579" s="43"/>
      <c r="K579" s="43"/>
      <c r="L579" s="43"/>
      <c r="M579" s="43"/>
      <c r="N579" s="43"/>
      <c r="O579" s="43"/>
      <c r="P579" s="43"/>
      <c r="Q579" s="43"/>
      <c r="R579" s="49"/>
      <c r="S579" s="49"/>
      <c r="T579" s="49"/>
      <c r="U579" s="49"/>
      <c r="V579" s="49"/>
      <c r="W579" s="49"/>
      <c r="X579" s="49"/>
      <c r="Y579" s="49"/>
      <c r="Z579" s="49"/>
      <c r="AA579" s="49"/>
      <c r="AB579" s="49"/>
      <c r="AC579" s="49"/>
    </row>
    <row r="580" spans="1:29">
      <c r="A580" s="43"/>
      <c r="B580" s="43"/>
      <c r="C580" s="43"/>
      <c r="D580" s="43"/>
      <c r="E580" s="43"/>
      <c r="F580" s="43"/>
      <c r="G580" s="43"/>
      <c r="H580" s="43"/>
      <c r="I580" s="43"/>
      <c r="J580" s="43"/>
      <c r="K580" s="43"/>
      <c r="L580" s="43"/>
      <c r="M580" s="43"/>
      <c r="N580" s="43"/>
      <c r="O580" s="43"/>
      <c r="P580" s="43"/>
      <c r="Q580" s="43"/>
      <c r="R580" s="49"/>
      <c r="S580" s="49"/>
      <c r="T580" s="49"/>
      <c r="U580" s="49"/>
      <c r="V580" s="49"/>
      <c r="W580" s="49"/>
      <c r="X580" s="49"/>
      <c r="Y580" s="49"/>
      <c r="Z580" s="49"/>
      <c r="AA580" s="49"/>
      <c r="AB580" s="49"/>
      <c r="AC580" s="49"/>
    </row>
    <row r="581" spans="1:29">
      <c r="A581" s="43"/>
      <c r="B581" s="43"/>
      <c r="C581" s="43"/>
      <c r="D581" s="43"/>
      <c r="E581" s="43"/>
      <c r="F581" s="43"/>
      <c r="G581" s="43"/>
      <c r="H581" s="43"/>
      <c r="I581" s="43"/>
      <c r="J581" s="43"/>
      <c r="K581" s="43"/>
      <c r="L581" s="43"/>
      <c r="M581" s="43"/>
      <c r="N581" s="43"/>
      <c r="O581" s="43"/>
      <c r="P581" s="43"/>
      <c r="Q581" s="43"/>
      <c r="R581" s="49"/>
      <c r="S581" s="49"/>
      <c r="T581" s="49"/>
      <c r="U581" s="49"/>
      <c r="V581" s="49"/>
      <c r="W581" s="49"/>
      <c r="X581" s="49"/>
      <c r="Y581" s="49"/>
      <c r="Z581" s="49"/>
      <c r="AA581" s="49"/>
      <c r="AB581" s="49"/>
      <c r="AC581" s="49"/>
    </row>
    <row r="582" spans="1:29">
      <c r="A582" s="43"/>
      <c r="B582" s="43"/>
      <c r="C582" s="43"/>
      <c r="D582" s="43"/>
      <c r="E582" s="43"/>
      <c r="F582" s="43"/>
      <c r="G582" s="43"/>
      <c r="H582" s="43"/>
      <c r="I582" s="43"/>
      <c r="J582" s="43"/>
      <c r="K582" s="43"/>
      <c r="L582" s="43"/>
      <c r="M582" s="43"/>
      <c r="N582" s="43"/>
      <c r="O582" s="43"/>
      <c r="P582" s="43"/>
      <c r="Q582" s="43"/>
      <c r="R582" s="49"/>
      <c r="S582" s="49"/>
      <c r="T582" s="49"/>
      <c r="U582" s="49"/>
      <c r="V582" s="49"/>
      <c r="W582" s="49"/>
      <c r="X582" s="49"/>
      <c r="Y582" s="49"/>
      <c r="Z582" s="49"/>
      <c r="AA582" s="49"/>
      <c r="AB582" s="49"/>
      <c r="AC582" s="49"/>
    </row>
    <row r="583" spans="1:29">
      <c r="A583" s="43"/>
      <c r="B583" s="43"/>
      <c r="C583" s="43"/>
      <c r="D583" s="43"/>
      <c r="E583" s="43"/>
      <c r="F583" s="43"/>
      <c r="G583" s="43"/>
      <c r="H583" s="43"/>
      <c r="I583" s="43"/>
      <c r="J583" s="43"/>
      <c r="K583" s="43"/>
      <c r="L583" s="43"/>
      <c r="M583" s="43"/>
      <c r="N583" s="43"/>
      <c r="O583" s="43"/>
      <c r="P583" s="43"/>
      <c r="Q583" s="43"/>
      <c r="R583" s="49"/>
      <c r="S583" s="49"/>
      <c r="T583" s="49"/>
      <c r="U583" s="49"/>
      <c r="V583" s="49"/>
      <c r="W583" s="49"/>
      <c r="X583" s="49"/>
      <c r="Y583" s="49"/>
      <c r="Z583" s="49"/>
      <c r="AA583" s="49"/>
      <c r="AB583" s="49"/>
      <c r="AC583" s="49"/>
    </row>
    <row r="584" spans="1:29">
      <c r="A584" s="43"/>
      <c r="B584" s="43"/>
      <c r="C584" s="43"/>
      <c r="D584" s="43"/>
      <c r="E584" s="43"/>
      <c r="F584" s="43"/>
      <c r="G584" s="43"/>
      <c r="H584" s="43"/>
      <c r="I584" s="43"/>
      <c r="J584" s="43"/>
      <c r="K584" s="43"/>
      <c r="L584" s="43"/>
      <c r="M584" s="43"/>
      <c r="N584" s="43"/>
      <c r="O584" s="43"/>
      <c r="P584" s="43"/>
      <c r="Q584" s="43"/>
      <c r="R584" s="49"/>
      <c r="S584" s="49"/>
      <c r="T584" s="49"/>
      <c r="U584" s="49"/>
      <c r="V584" s="49"/>
      <c r="W584" s="49"/>
      <c r="X584" s="49"/>
      <c r="Y584" s="49"/>
      <c r="Z584" s="49"/>
      <c r="AA584" s="49"/>
      <c r="AB584" s="49"/>
      <c r="AC584" s="49"/>
    </row>
    <row r="585" spans="1:29">
      <c r="A585" s="43"/>
      <c r="B585" s="43"/>
      <c r="C585" s="43"/>
      <c r="D585" s="43"/>
      <c r="E585" s="43"/>
      <c r="F585" s="43"/>
      <c r="G585" s="43"/>
      <c r="H585" s="43"/>
      <c r="I585" s="43"/>
      <c r="J585" s="43"/>
      <c r="K585" s="43"/>
      <c r="L585" s="43"/>
      <c r="M585" s="43"/>
      <c r="N585" s="43"/>
      <c r="O585" s="43"/>
      <c r="P585" s="43"/>
      <c r="Q585" s="43"/>
      <c r="R585" s="49"/>
      <c r="S585" s="49"/>
      <c r="T585" s="49"/>
      <c r="U585" s="49"/>
      <c r="V585" s="49"/>
      <c r="W585" s="49"/>
      <c r="X585" s="49"/>
      <c r="Y585" s="49"/>
      <c r="Z585" s="49"/>
      <c r="AA585" s="49"/>
      <c r="AB585" s="49"/>
      <c r="AC585" s="49"/>
    </row>
    <row r="586" spans="1:29">
      <c r="A586" s="43"/>
      <c r="B586" s="43"/>
      <c r="C586" s="43"/>
      <c r="D586" s="43"/>
      <c r="E586" s="43"/>
      <c r="F586" s="43"/>
      <c r="G586" s="43"/>
      <c r="H586" s="43"/>
      <c r="I586" s="43"/>
      <c r="J586" s="43"/>
      <c r="K586" s="43"/>
      <c r="L586" s="43"/>
      <c r="M586" s="43"/>
      <c r="N586" s="43"/>
      <c r="O586" s="43"/>
      <c r="P586" s="43"/>
      <c r="Q586" s="43"/>
      <c r="R586" s="49"/>
      <c r="S586" s="49"/>
      <c r="T586" s="49"/>
      <c r="U586" s="49"/>
      <c r="V586" s="49"/>
      <c r="W586" s="49"/>
      <c r="X586" s="49"/>
      <c r="Y586" s="49"/>
      <c r="Z586" s="49"/>
      <c r="AA586" s="49"/>
      <c r="AB586" s="49"/>
      <c r="AC586" s="49"/>
    </row>
    <row r="587" spans="1:29">
      <c r="A587" s="43"/>
      <c r="B587" s="43"/>
      <c r="C587" s="43"/>
      <c r="D587" s="43"/>
      <c r="E587" s="43"/>
      <c r="F587" s="43"/>
      <c r="G587" s="43"/>
      <c r="H587" s="43"/>
      <c r="I587" s="43"/>
      <c r="J587" s="43"/>
      <c r="K587" s="43"/>
      <c r="L587" s="43"/>
      <c r="M587" s="43"/>
      <c r="N587" s="43"/>
      <c r="O587" s="43"/>
      <c r="P587" s="43"/>
      <c r="Q587" s="43"/>
      <c r="R587" s="49"/>
      <c r="S587" s="49"/>
      <c r="T587" s="49"/>
      <c r="U587" s="49"/>
      <c r="V587" s="49"/>
      <c r="W587" s="49"/>
      <c r="X587" s="49"/>
      <c r="Y587" s="49"/>
      <c r="Z587" s="49"/>
      <c r="AA587" s="49"/>
      <c r="AB587" s="49"/>
      <c r="AC587" s="49"/>
    </row>
    <row r="588" spans="1:29">
      <c r="A588" s="43"/>
      <c r="B588" s="43"/>
      <c r="C588" s="43"/>
      <c r="D588" s="43"/>
      <c r="E588" s="43"/>
      <c r="F588" s="43"/>
      <c r="G588" s="43"/>
      <c r="H588" s="43"/>
      <c r="I588" s="43"/>
      <c r="J588" s="43"/>
      <c r="K588" s="43"/>
      <c r="L588" s="43"/>
      <c r="M588" s="43"/>
      <c r="N588" s="43"/>
      <c r="O588" s="43"/>
      <c r="P588" s="43"/>
      <c r="Q588" s="43"/>
      <c r="R588" s="49"/>
      <c r="S588" s="49"/>
      <c r="T588" s="49"/>
      <c r="U588" s="49"/>
      <c r="V588" s="49"/>
      <c r="W588" s="49"/>
      <c r="X588" s="49"/>
      <c r="Y588" s="49"/>
      <c r="Z588" s="49"/>
      <c r="AA588" s="49"/>
      <c r="AB588" s="49"/>
      <c r="AC588" s="49"/>
    </row>
    <row r="589" spans="1:29">
      <c r="A589" s="43"/>
      <c r="B589" s="43"/>
      <c r="C589" s="43"/>
      <c r="D589" s="43"/>
      <c r="E589" s="43"/>
      <c r="F589" s="43"/>
      <c r="G589" s="43"/>
      <c r="H589" s="43"/>
      <c r="I589" s="43"/>
      <c r="J589" s="43"/>
      <c r="K589" s="43"/>
      <c r="L589" s="43"/>
      <c r="M589" s="43"/>
      <c r="N589" s="43"/>
      <c r="O589" s="43"/>
      <c r="P589" s="43"/>
      <c r="Q589" s="43"/>
      <c r="R589" s="49"/>
      <c r="S589" s="49"/>
      <c r="T589" s="49"/>
      <c r="U589" s="49"/>
      <c r="V589" s="49"/>
      <c r="W589" s="49"/>
      <c r="X589" s="49"/>
      <c r="Y589" s="49"/>
      <c r="Z589" s="49"/>
      <c r="AA589" s="49"/>
      <c r="AB589" s="49"/>
      <c r="AC589" s="49"/>
    </row>
    <row r="590" spans="1:29">
      <c r="A590" s="43"/>
      <c r="B590" s="43"/>
      <c r="C590" s="43"/>
      <c r="D590" s="43"/>
      <c r="E590" s="43"/>
      <c r="F590" s="43"/>
      <c r="G590" s="43"/>
      <c r="H590" s="43"/>
      <c r="I590" s="43"/>
      <c r="J590" s="43"/>
      <c r="K590" s="43"/>
      <c r="L590" s="43"/>
      <c r="M590" s="43"/>
      <c r="N590" s="43"/>
      <c r="O590" s="43"/>
      <c r="P590" s="43"/>
      <c r="Q590" s="43"/>
      <c r="R590" s="49"/>
      <c r="S590" s="49"/>
      <c r="T590" s="49"/>
      <c r="U590" s="49"/>
      <c r="V590" s="49"/>
      <c r="W590" s="49"/>
      <c r="X590" s="49"/>
      <c r="Y590" s="49"/>
      <c r="Z590" s="49"/>
      <c r="AA590" s="49"/>
      <c r="AB590" s="49"/>
      <c r="AC590" s="49"/>
    </row>
    <row r="591" spans="1:29">
      <c r="A591" s="43"/>
      <c r="B591" s="43"/>
      <c r="C591" s="43"/>
      <c r="D591" s="43"/>
      <c r="E591" s="43"/>
      <c r="F591" s="43"/>
      <c r="G591" s="43"/>
      <c r="H591" s="43"/>
      <c r="I591" s="43"/>
      <c r="J591" s="43"/>
      <c r="K591" s="43"/>
      <c r="L591" s="43"/>
      <c r="M591" s="43"/>
      <c r="N591" s="43"/>
      <c r="O591" s="43"/>
      <c r="P591" s="43"/>
      <c r="Q591" s="43"/>
      <c r="R591" s="49"/>
      <c r="S591" s="49"/>
      <c r="T591" s="49"/>
      <c r="U591" s="49"/>
      <c r="V591" s="49"/>
      <c r="W591" s="49"/>
      <c r="X591" s="49"/>
      <c r="Y591" s="49"/>
      <c r="Z591" s="49"/>
      <c r="AA591" s="49"/>
      <c r="AB591" s="49"/>
      <c r="AC591" s="49"/>
    </row>
    <row r="592" spans="1:29">
      <c r="A592" s="43"/>
      <c r="B592" s="43"/>
      <c r="C592" s="43"/>
      <c r="D592" s="43"/>
      <c r="E592" s="43"/>
      <c r="F592" s="43"/>
      <c r="G592" s="43"/>
      <c r="H592" s="43"/>
      <c r="I592" s="43"/>
      <c r="J592" s="43"/>
      <c r="K592" s="43"/>
      <c r="L592" s="43"/>
      <c r="M592" s="43"/>
      <c r="N592" s="43"/>
      <c r="O592" s="43"/>
      <c r="P592" s="43"/>
      <c r="Q592" s="43"/>
      <c r="R592" s="49"/>
      <c r="S592" s="49"/>
      <c r="T592" s="49"/>
      <c r="U592" s="49"/>
      <c r="V592" s="49"/>
      <c r="W592" s="49"/>
      <c r="X592" s="49"/>
      <c r="Y592" s="49"/>
      <c r="Z592" s="49"/>
      <c r="AA592" s="49"/>
      <c r="AB592" s="49"/>
      <c r="AC592" s="49"/>
    </row>
    <row r="593" spans="1:29">
      <c r="A593" s="43"/>
      <c r="B593" s="43"/>
      <c r="C593" s="43"/>
      <c r="D593" s="43"/>
      <c r="E593" s="43"/>
      <c r="F593" s="43"/>
      <c r="G593" s="43"/>
      <c r="H593" s="43"/>
      <c r="I593" s="43"/>
      <c r="J593" s="43"/>
      <c r="K593" s="43"/>
      <c r="L593" s="43"/>
      <c r="M593" s="43"/>
      <c r="N593" s="43"/>
      <c r="O593" s="43"/>
      <c r="P593" s="43"/>
      <c r="Q593" s="43"/>
      <c r="R593" s="49"/>
      <c r="S593" s="49"/>
      <c r="T593" s="49"/>
      <c r="U593" s="49"/>
      <c r="V593" s="49"/>
      <c r="W593" s="49"/>
      <c r="X593" s="49"/>
      <c r="Y593" s="49"/>
      <c r="Z593" s="49"/>
      <c r="AA593" s="49"/>
      <c r="AB593" s="49"/>
      <c r="AC593" s="49"/>
    </row>
    <row r="594" spans="1:29">
      <c r="A594" s="43"/>
      <c r="B594" s="43"/>
      <c r="C594" s="43"/>
      <c r="D594" s="43"/>
      <c r="E594" s="43"/>
      <c r="F594" s="43"/>
      <c r="G594" s="43"/>
      <c r="H594" s="43"/>
      <c r="I594" s="43"/>
      <c r="J594" s="43"/>
      <c r="K594" s="43"/>
      <c r="L594" s="43"/>
      <c r="M594" s="43"/>
      <c r="N594" s="43"/>
      <c r="O594" s="43"/>
      <c r="P594" s="43"/>
      <c r="Q594" s="43"/>
      <c r="R594" s="49"/>
      <c r="S594" s="49"/>
      <c r="T594" s="49"/>
      <c r="U594" s="49"/>
      <c r="V594" s="49"/>
      <c r="W594" s="49"/>
      <c r="X594" s="49"/>
      <c r="Y594" s="49"/>
      <c r="Z594" s="49"/>
      <c r="AA594" s="49"/>
      <c r="AB594" s="49"/>
      <c r="AC594" s="49"/>
    </row>
    <row r="595" spans="1:29">
      <c r="A595" s="43"/>
      <c r="B595" s="43"/>
      <c r="C595" s="43"/>
      <c r="D595" s="43"/>
      <c r="E595" s="43"/>
      <c r="F595" s="43"/>
      <c r="G595" s="43"/>
      <c r="H595" s="43"/>
      <c r="I595" s="43"/>
      <c r="J595" s="43"/>
      <c r="K595" s="43"/>
      <c r="L595" s="43"/>
      <c r="M595" s="43"/>
      <c r="N595" s="43"/>
      <c r="O595" s="43"/>
      <c r="P595" s="43"/>
      <c r="Q595" s="43"/>
      <c r="R595" s="49"/>
      <c r="S595" s="49"/>
      <c r="T595" s="49"/>
      <c r="U595" s="49"/>
      <c r="V595" s="49"/>
      <c r="W595" s="49"/>
      <c r="X595" s="49"/>
      <c r="Y595" s="49"/>
      <c r="Z595" s="49"/>
      <c r="AA595" s="49"/>
      <c r="AB595" s="49"/>
      <c r="AC595" s="49"/>
    </row>
    <row r="596" spans="1:29">
      <c r="A596" s="43"/>
      <c r="B596" s="43"/>
      <c r="C596" s="43"/>
      <c r="D596" s="43"/>
      <c r="E596" s="43"/>
      <c r="F596" s="43"/>
      <c r="G596" s="43"/>
      <c r="H596" s="43"/>
      <c r="I596" s="43"/>
      <c r="J596" s="43"/>
      <c r="K596" s="43"/>
      <c r="L596" s="43"/>
      <c r="M596" s="43"/>
      <c r="N596" s="43"/>
      <c r="O596" s="43"/>
      <c r="P596" s="43"/>
      <c r="Q596" s="43"/>
      <c r="R596" s="49"/>
      <c r="S596" s="49"/>
      <c r="T596" s="49"/>
      <c r="U596" s="49"/>
      <c r="V596" s="49"/>
      <c r="W596" s="49"/>
      <c r="X596" s="49"/>
      <c r="Y596" s="49"/>
      <c r="Z596" s="49"/>
      <c r="AA596" s="49"/>
      <c r="AB596" s="49"/>
      <c r="AC596" s="49"/>
    </row>
    <row r="597" spans="1:29">
      <c r="A597" s="43"/>
      <c r="B597" s="43"/>
      <c r="C597" s="43"/>
      <c r="D597" s="43"/>
      <c r="E597" s="43"/>
      <c r="F597" s="43"/>
      <c r="G597" s="43"/>
      <c r="H597" s="43"/>
      <c r="I597" s="43"/>
      <c r="J597" s="43"/>
      <c r="K597" s="43"/>
      <c r="L597" s="43"/>
      <c r="M597" s="43"/>
      <c r="N597" s="43"/>
      <c r="O597" s="43"/>
      <c r="P597" s="43"/>
      <c r="Q597" s="43"/>
      <c r="R597" s="49"/>
      <c r="S597" s="49"/>
      <c r="T597" s="49"/>
      <c r="U597" s="49"/>
      <c r="V597" s="49"/>
      <c r="W597" s="49"/>
      <c r="X597" s="49"/>
      <c r="Y597" s="49"/>
      <c r="Z597" s="49"/>
      <c r="AA597" s="49"/>
      <c r="AB597" s="49"/>
      <c r="AC597" s="49"/>
    </row>
    <row r="598" spans="1:29">
      <c r="A598" s="43"/>
      <c r="B598" s="43"/>
      <c r="C598" s="43"/>
      <c r="D598" s="43"/>
      <c r="E598" s="43"/>
      <c r="F598" s="43"/>
      <c r="G598" s="43"/>
      <c r="H598" s="43"/>
      <c r="I598" s="43"/>
      <c r="J598" s="43"/>
      <c r="K598" s="43"/>
      <c r="L598" s="43"/>
      <c r="M598" s="43"/>
      <c r="N598" s="43"/>
      <c r="O598" s="43"/>
      <c r="P598" s="43"/>
      <c r="Q598" s="43"/>
      <c r="R598" s="49"/>
      <c r="S598" s="49"/>
      <c r="T598" s="49"/>
      <c r="U598" s="49"/>
      <c r="V598" s="49"/>
      <c r="W598" s="49"/>
      <c r="X598" s="49"/>
      <c r="Y598" s="49"/>
      <c r="Z598" s="49"/>
      <c r="AA598" s="49"/>
      <c r="AB598" s="49"/>
      <c r="AC598" s="49"/>
    </row>
    <row r="599" spans="1:29">
      <c r="A599" s="43"/>
      <c r="B599" s="43"/>
      <c r="C599" s="43"/>
      <c r="D599" s="43"/>
      <c r="E599" s="43"/>
      <c r="F599" s="43"/>
      <c r="G599" s="43"/>
      <c r="H599" s="43"/>
      <c r="I599" s="43"/>
      <c r="J599" s="43"/>
      <c r="K599" s="43"/>
      <c r="L599" s="43"/>
      <c r="M599" s="43"/>
      <c r="N599" s="43"/>
      <c r="O599" s="43"/>
      <c r="P599" s="43"/>
      <c r="Q599" s="43"/>
      <c r="R599" s="49"/>
      <c r="S599" s="49"/>
      <c r="T599" s="49"/>
      <c r="U599" s="49"/>
      <c r="V599" s="49"/>
      <c r="W599" s="49"/>
      <c r="X599" s="49"/>
      <c r="Y599" s="49"/>
      <c r="Z599" s="49"/>
      <c r="AA599" s="49"/>
      <c r="AB599" s="49"/>
      <c r="AC599" s="49"/>
    </row>
    <row r="600" spans="1:29">
      <c r="A600" s="43"/>
      <c r="B600" s="43"/>
      <c r="C600" s="43"/>
      <c r="D600" s="43"/>
      <c r="E600" s="43"/>
      <c r="F600" s="43"/>
      <c r="G600" s="43"/>
      <c r="H600" s="43"/>
      <c r="I600" s="43"/>
      <c r="J600" s="43"/>
      <c r="K600" s="43"/>
      <c r="L600" s="43"/>
      <c r="M600" s="43"/>
      <c r="N600" s="43"/>
      <c r="O600" s="43"/>
      <c r="P600" s="43"/>
      <c r="Q600" s="43"/>
      <c r="R600" s="49"/>
      <c r="S600" s="49"/>
      <c r="T600" s="49"/>
      <c r="U600" s="49"/>
      <c r="V600" s="49"/>
      <c r="W600" s="49"/>
      <c r="X600" s="49"/>
      <c r="Y600" s="49"/>
      <c r="Z600" s="49"/>
      <c r="AA600" s="49"/>
      <c r="AB600" s="49"/>
      <c r="AC600" s="49"/>
    </row>
    <row r="601" spans="1:29">
      <c r="A601" s="43"/>
      <c r="B601" s="43"/>
      <c r="C601" s="43"/>
      <c r="D601" s="43"/>
      <c r="E601" s="43"/>
      <c r="F601" s="43"/>
      <c r="G601" s="43"/>
      <c r="H601" s="43"/>
      <c r="I601" s="43"/>
      <c r="J601" s="43"/>
      <c r="K601" s="43"/>
      <c r="L601" s="43"/>
      <c r="M601" s="43"/>
      <c r="N601" s="43"/>
      <c r="O601" s="43"/>
      <c r="P601" s="43"/>
      <c r="Q601" s="43"/>
      <c r="R601" s="49"/>
      <c r="S601" s="49"/>
      <c r="T601" s="49"/>
      <c r="U601" s="49"/>
      <c r="V601" s="49"/>
      <c r="W601" s="49"/>
      <c r="X601" s="49"/>
      <c r="Y601" s="49"/>
      <c r="Z601" s="49"/>
      <c r="AA601" s="49"/>
      <c r="AB601" s="49"/>
      <c r="AC601" s="49"/>
    </row>
    <row r="602" spans="1:29">
      <c r="A602" s="43"/>
      <c r="B602" s="43"/>
      <c r="C602" s="43"/>
      <c r="D602" s="43"/>
      <c r="E602" s="43"/>
      <c r="F602" s="43"/>
      <c r="G602" s="43"/>
      <c r="H602" s="43"/>
      <c r="I602" s="43"/>
      <c r="J602" s="43"/>
      <c r="K602" s="43"/>
      <c r="L602" s="43"/>
      <c r="M602" s="43"/>
      <c r="N602" s="43"/>
      <c r="O602" s="43"/>
      <c r="P602" s="43"/>
      <c r="Q602" s="43"/>
      <c r="R602" s="49"/>
      <c r="S602" s="49"/>
      <c r="T602" s="49"/>
      <c r="U602" s="49"/>
      <c r="V602" s="49"/>
      <c r="W602" s="49"/>
      <c r="X602" s="49"/>
      <c r="Y602" s="49"/>
      <c r="Z602" s="49"/>
      <c r="AA602" s="49"/>
      <c r="AB602" s="49"/>
      <c r="AC602" s="49"/>
    </row>
    <row r="603" spans="1:29">
      <c r="A603" s="43"/>
      <c r="B603" s="43"/>
      <c r="C603" s="43"/>
      <c r="D603" s="43"/>
      <c r="E603" s="43"/>
      <c r="F603" s="43"/>
      <c r="G603" s="43"/>
      <c r="H603" s="43"/>
      <c r="I603" s="43"/>
      <c r="J603" s="43"/>
      <c r="K603" s="43"/>
      <c r="L603" s="43"/>
      <c r="M603" s="43"/>
      <c r="N603" s="43"/>
      <c r="O603" s="43"/>
      <c r="P603" s="43"/>
      <c r="Q603" s="43"/>
      <c r="R603" s="49"/>
      <c r="S603" s="49"/>
      <c r="T603" s="49"/>
      <c r="U603" s="49"/>
      <c r="V603" s="49"/>
      <c r="W603" s="49"/>
      <c r="X603" s="49"/>
      <c r="Y603" s="49"/>
      <c r="Z603" s="49"/>
      <c r="AA603" s="49"/>
      <c r="AB603" s="49"/>
      <c r="AC603" s="49"/>
    </row>
    <row r="604" spans="1:29">
      <c r="A604" s="43"/>
      <c r="B604" s="43"/>
      <c r="C604" s="43"/>
      <c r="D604" s="43"/>
      <c r="E604" s="43"/>
      <c r="F604" s="43"/>
      <c r="G604" s="43"/>
      <c r="H604" s="43"/>
      <c r="I604" s="43"/>
      <c r="J604" s="43"/>
      <c r="K604" s="43"/>
      <c r="L604" s="43"/>
      <c r="M604" s="43"/>
      <c r="N604" s="43"/>
      <c r="O604" s="43"/>
      <c r="P604" s="43"/>
      <c r="Q604" s="43"/>
      <c r="R604" s="49"/>
      <c r="S604" s="49"/>
      <c r="T604" s="49"/>
      <c r="U604" s="49"/>
      <c r="V604" s="49"/>
      <c r="W604" s="49"/>
      <c r="X604" s="49"/>
      <c r="Y604" s="49"/>
      <c r="Z604" s="49"/>
      <c r="AA604" s="49"/>
      <c r="AB604" s="49"/>
      <c r="AC604" s="49"/>
    </row>
    <row r="605" spans="1:29">
      <c r="A605" s="43"/>
      <c r="B605" s="43"/>
      <c r="C605" s="43"/>
      <c r="D605" s="43"/>
      <c r="E605" s="43"/>
      <c r="F605" s="43"/>
      <c r="G605" s="43"/>
      <c r="H605" s="43"/>
      <c r="I605" s="43"/>
      <c r="J605" s="43"/>
      <c r="K605" s="43"/>
      <c r="L605" s="43"/>
      <c r="M605" s="43"/>
      <c r="N605" s="43"/>
      <c r="O605" s="43"/>
      <c r="P605" s="43"/>
      <c r="Q605" s="43"/>
      <c r="R605" s="49"/>
      <c r="S605" s="49"/>
      <c r="T605" s="49"/>
      <c r="U605" s="49"/>
      <c r="V605" s="49"/>
      <c r="W605" s="49"/>
      <c r="X605" s="49"/>
      <c r="Y605" s="49"/>
      <c r="Z605" s="49"/>
      <c r="AA605" s="49"/>
      <c r="AB605" s="49"/>
      <c r="AC605" s="49"/>
    </row>
    <row r="606" spans="1:29">
      <c r="A606" s="43"/>
      <c r="B606" s="43"/>
      <c r="C606" s="43"/>
      <c r="D606" s="43"/>
      <c r="E606" s="43"/>
      <c r="F606" s="43"/>
      <c r="G606" s="43"/>
      <c r="H606" s="43"/>
      <c r="I606" s="43"/>
      <c r="J606" s="43"/>
      <c r="K606" s="43"/>
      <c r="L606" s="43"/>
      <c r="M606" s="43"/>
      <c r="N606" s="43"/>
      <c r="O606" s="43"/>
      <c r="P606" s="43"/>
      <c r="Q606" s="43"/>
      <c r="R606" s="49"/>
      <c r="S606" s="49"/>
      <c r="T606" s="49"/>
      <c r="U606" s="49"/>
      <c r="V606" s="49"/>
      <c r="W606" s="49"/>
      <c r="X606" s="49"/>
      <c r="Y606" s="49"/>
      <c r="Z606" s="49"/>
      <c r="AA606" s="49"/>
      <c r="AB606" s="49"/>
      <c r="AC606" s="49"/>
    </row>
    <row r="607" spans="1:29">
      <c r="A607" s="43"/>
      <c r="B607" s="43"/>
      <c r="C607" s="43"/>
      <c r="D607" s="43"/>
      <c r="E607" s="43"/>
      <c r="F607" s="43"/>
      <c r="G607" s="43"/>
      <c r="H607" s="43"/>
      <c r="I607" s="43"/>
      <c r="J607" s="43"/>
      <c r="K607" s="43"/>
      <c r="L607" s="43"/>
      <c r="M607" s="43"/>
      <c r="N607" s="43"/>
      <c r="O607" s="43"/>
      <c r="P607" s="43"/>
      <c r="Q607" s="43"/>
      <c r="R607" s="49"/>
      <c r="S607" s="49"/>
      <c r="T607" s="49"/>
      <c r="U607" s="49"/>
      <c r="V607" s="49"/>
      <c r="W607" s="49"/>
      <c r="X607" s="49"/>
      <c r="Y607" s="49"/>
      <c r="Z607" s="49"/>
      <c r="AA607" s="49"/>
      <c r="AB607" s="49"/>
      <c r="AC607" s="49"/>
    </row>
    <row r="608" spans="1:29">
      <c r="A608" s="43"/>
      <c r="B608" s="43"/>
      <c r="C608" s="43"/>
      <c r="D608" s="43"/>
      <c r="E608" s="43"/>
      <c r="F608" s="43"/>
      <c r="G608" s="43"/>
      <c r="H608" s="43"/>
      <c r="I608" s="43"/>
      <c r="J608" s="43"/>
      <c r="K608" s="43"/>
      <c r="L608" s="43"/>
      <c r="M608" s="43"/>
      <c r="N608" s="43"/>
      <c r="O608" s="43"/>
      <c r="P608" s="43"/>
      <c r="Q608" s="43"/>
      <c r="R608" s="49"/>
      <c r="S608" s="49"/>
      <c r="T608" s="49"/>
      <c r="U608" s="49"/>
      <c r="V608" s="49"/>
      <c r="W608" s="49"/>
      <c r="X608" s="49"/>
      <c r="Y608" s="49"/>
      <c r="Z608" s="49"/>
      <c r="AA608" s="49"/>
      <c r="AB608" s="49"/>
      <c r="AC608" s="49"/>
    </row>
    <row r="609" spans="1:29">
      <c r="A609" s="43"/>
      <c r="B609" s="43"/>
      <c r="C609" s="43"/>
      <c r="D609" s="43"/>
      <c r="E609" s="43"/>
      <c r="F609" s="43"/>
      <c r="G609" s="43"/>
      <c r="H609" s="43"/>
      <c r="I609" s="43"/>
      <c r="J609" s="43"/>
      <c r="K609" s="43"/>
      <c r="L609" s="43"/>
      <c r="M609" s="43"/>
      <c r="N609" s="43"/>
      <c r="O609" s="43"/>
      <c r="P609" s="43"/>
      <c r="Q609" s="43"/>
      <c r="R609" s="49"/>
      <c r="S609" s="49"/>
      <c r="T609" s="49"/>
      <c r="U609" s="49"/>
      <c r="V609" s="49"/>
      <c r="W609" s="49"/>
      <c r="X609" s="49"/>
      <c r="Y609" s="49"/>
      <c r="Z609" s="49"/>
      <c r="AA609" s="49"/>
      <c r="AB609" s="49"/>
      <c r="AC609" s="49"/>
    </row>
    <row r="610" spans="1:29">
      <c r="A610" s="43"/>
      <c r="B610" s="43"/>
      <c r="C610" s="43"/>
      <c r="D610" s="43"/>
      <c r="E610" s="43"/>
      <c r="F610" s="43"/>
      <c r="G610" s="43"/>
      <c r="H610" s="43"/>
      <c r="I610" s="43"/>
      <c r="J610" s="43"/>
      <c r="K610" s="43"/>
      <c r="L610" s="43"/>
      <c r="M610" s="43"/>
      <c r="N610" s="43"/>
      <c r="O610" s="43"/>
      <c r="P610" s="43"/>
      <c r="Q610" s="43"/>
      <c r="R610" s="49"/>
      <c r="S610" s="49"/>
      <c r="T610" s="49"/>
      <c r="U610" s="49"/>
      <c r="V610" s="49"/>
      <c r="W610" s="49"/>
      <c r="X610" s="49"/>
      <c r="Y610" s="49"/>
      <c r="Z610" s="49"/>
      <c r="AA610" s="49"/>
      <c r="AB610" s="49"/>
      <c r="AC610" s="49"/>
    </row>
    <row r="611" spans="1:29">
      <c r="A611" s="43"/>
      <c r="B611" s="43"/>
      <c r="C611" s="43"/>
      <c r="D611" s="43"/>
      <c r="E611" s="43"/>
      <c r="F611" s="43"/>
      <c r="G611" s="43"/>
      <c r="H611" s="43"/>
      <c r="I611" s="43"/>
      <c r="J611" s="43"/>
      <c r="K611" s="43"/>
      <c r="L611" s="43"/>
      <c r="M611" s="43"/>
      <c r="N611" s="43"/>
      <c r="O611" s="43"/>
      <c r="P611" s="43"/>
      <c r="Q611" s="43"/>
      <c r="R611" s="49"/>
      <c r="S611" s="49"/>
      <c r="T611" s="49"/>
      <c r="U611" s="49"/>
      <c r="V611" s="49"/>
      <c r="W611" s="49"/>
      <c r="X611" s="49"/>
      <c r="Y611" s="49"/>
      <c r="Z611" s="49"/>
      <c r="AA611" s="49"/>
      <c r="AB611" s="49"/>
      <c r="AC611" s="49"/>
    </row>
    <row r="612" spans="1:29">
      <c r="A612" s="43"/>
      <c r="B612" s="43"/>
      <c r="C612" s="43"/>
      <c r="D612" s="43"/>
      <c r="E612" s="43"/>
      <c r="F612" s="43"/>
      <c r="G612" s="43"/>
      <c r="H612" s="43"/>
      <c r="I612" s="43"/>
      <c r="J612" s="43"/>
      <c r="K612" s="43"/>
      <c r="L612" s="43"/>
      <c r="M612" s="43"/>
      <c r="N612" s="43"/>
      <c r="O612" s="43"/>
      <c r="P612" s="43"/>
      <c r="Q612" s="43"/>
      <c r="R612" s="49"/>
      <c r="S612" s="49"/>
      <c r="T612" s="49"/>
      <c r="U612" s="49"/>
      <c r="V612" s="49"/>
      <c r="W612" s="49"/>
      <c r="X612" s="49"/>
      <c r="Y612" s="49"/>
      <c r="Z612" s="49"/>
      <c r="AA612" s="49"/>
      <c r="AB612" s="49"/>
      <c r="AC612" s="49"/>
    </row>
    <row r="613" spans="1:29">
      <c r="A613" s="43"/>
      <c r="B613" s="43"/>
      <c r="C613" s="43"/>
      <c r="D613" s="43"/>
      <c r="E613" s="43"/>
      <c r="F613" s="43"/>
      <c r="G613" s="43"/>
      <c r="H613" s="43"/>
      <c r="I613" s="43"/>
      <c r="J613" s="43"/>
      <c r="K613" s="43"/>
      <c r="L613" s="43"/>
      <c r="M613" s="43"/>
      <c r="N613" s="43"/>
      <c r="O613" s="43"/>
      <c r="P613" s="43"/>
      <c r="Q613" s="43"/>
      <c r="R613" s="49"/>
      <c r="S613" s="49"/>
      <c r="T613" s="49"/>
      <c r="U613" s="49"/>
      <c r="V613" s="49"/>
      <c r="W613" s="49"/>
      <c r="X613" s="49"/>
      <c r="Y613" s="49"/>
      <c r="Z613" s="49"/>
      <c r="AA613" s="49"/>
      <c r="AB613" s="49"/>
      <c r="AC613" s="49"/>
    </row>
    <row r="614" spans="1:29">
      <c r="A614" s="43"/>
      <c r="B614" s="43"/>
      <c r="C614" s="43"/>
      <c r="D614" s="43"/>
      <c r="E614" s="43"/>
      <c r="F614" s="43"/>
      <c r="G614" s="43"/>
      <c r="H614" s="43"/>
      <c r="I614" s="43"/>
      <c r="J614" s="43"/>
      <c r="K614" s="43"/>
      <c r="L614" s="43"/>
      <c r="M614" s="43"/>
      <c r="N614" s="43"/>
      <c r="O614" s="43"/>
      <c r="P614" s="43"/>
      <c r="Q614" s="43"/>
      <c r="R614" s="49"/>
      <c r="S614" s="49"/>
      <c r="T614" s="49"/>
      <c r="U614" s="49"/>
      <c r="V614" s="49"/>
      <c r="W614" s="49"/>
      <c r="X614" s="49"/>
      <c r="Y614" s="49"/>
      <c r="Z614" s="49"/>
      <c r="AA614" s="49"/>
      <c r="AB614" s="49"/>
      <c r="AC614" s="49"/>
    </row>
    <row r="615" spans="1:29">
      <c r="A615" s="43"/>
      <c r="B615" s="43"/>
      <c r="C615" s="43"/>
      <c r="D615" s="43"/>
      <c r="E615" s="43"/>
      <c r="F615" s="43"/>
      <c r="G615" s="43"/>
      <c r="H615" s="43"/>
      <c r="I615" s="43"/>
      <c r="J615" s="43"/>
      <c r="K615" s="43"/>
      <c r="L615" s="43"/>
      <c r="M615" s="43"/>
      <c r="N615" s="43"/>
      <c r="O615" s="43"/>
      <c r="P615" s="43"/>
      <c r="Q615" s="43"/>
      <c r="R615" s="49"/>
      <c r="S615" s="49"/>
      <c r="T615" s="49"/>
      <c r="U615" s="49"/>
      <c r="V615" s="49"/>
      <c r="W615" s="49"/>
      <c r="X615" s="49"/>
      <c r="Y615" s="49"/>
      <c r="Z615" s="49"/>
      <c r="AA615" s="49"/>
      <c r="AB615" s="49"/>
      <c r="AC615" s="49"/>
    </row>
    <row r="616" spans="1:29">
      <c r="A616" s="43"/>
      <c r="B616" s="43"/>
      <c r="C616" s="43"/>
      <c r="D616" s="43"/>
      <c r="E616" s="43"/>
      <c r="F616" s="43"/>
      <c r="G616" s="43"/>
      <c r="H616" s="43"/>
      <c r="I616" s="43"/>
      <c r="J616" s="43"/>
      <c r="K616" s="43"/>
      <c r="L616" s="43"/>
      <c r="M616" s="43"/>
      <c r="N616" s="43"/>
      <c r="O616" s="43"/>
      <c r="P616" s="43"/>
      <c r="Q616" s="43"/>
      <c r="R616" s="49"/>
      <c r="S616" s="49"/>
      <c r="T616" s="49"/>
      <c r="U616" s="49"/>
      <c r="V616" s="49"/>
      <c r="W616" s="49"/>
      <c r="X616" s="49"/>
      <c r="Y616" s="49"/>
      <c r="Z616" s="49"/>
      <c r="AA616" s="49"/>
      <c r="AB616" s="49"/>
      <c r="AC616" s="49"/>
    </row>
    <row r="617" spans="1:29">
      <c r="A617" s="43"/>
      <c r="B617" s="43"/>
      <c r="C617" s="43"/>
      <c r="D617" s="43"/>
      <c r="E617" s="43"/>
      <c r="F617" s="43"/>
      <c r="G617" s="43"/>
      <c r="H617" s="43"/>
      <c r="I617" s="43"/>
      <c r="J617" s="43"/>
      <c r="K617" s="43"/>
      <c r="L617" s="43"/>
      <c r="M617" s="43"/>
      <c r="N617" s="43"/>
      <c r="O617" s="43"/>
      <c r="P617" s="43"/>
      <c r="Q617" s="43"/>
      <c r="R617" s="49"/>
      <c r="S617" s="49"/>
      <c r="T617" s="49"/>
      <c r="U617" s="49"/>
      <c r="V617" s="49"/>
      <c r="W617" s="49"/>
      <c r="X617" s="49"/>
      <c r="Y617" s="49"/>
      <c r="Z617" s="49"/>
      <c r="AA617" s="49"/>
      <c r="AB617" s="49"/>
      <c r="AC617" s="49"/>
    </row>
    <row r="618" spans="1:29">
      <c r="A618" s="43"/>
      <c r="B618" s="43"/>
      <c r="C618" s="43"/>
      <c r="D618" s="43"/>
      <c r="E618" s="43"/>
      <c r="F618" s="43"/>
      <c r="G618" s="43"/>
      <c r="H618" s="43"/>
      <c r="I618" s="43"/>
      <c r="J618" s="43"/>
      <c r="K618" s="43"/>
      <c r="L618" s="43"/>
      <c r="M618" s="43"/>
      <c r="N618" s="43"/>
      <c r="O618" s="43"/>
      <c r="P618" s="43"/>
      <c r="Q618" s="43"/>
      <c r="R618" s="49"/>
      <c r="S618" s="49"/>
      <c r="T618" s="49"/>
      <c r="U618" s="49"/>
      <c r="V618" s="49"/>
      <c r="W618" s="49"/>
      <c r="X618" s="49"/>
      <c r="Y618" s="49"/>
      <c r="Z618" s="49"/>
      <c r="AA618" s="49"/>
      <c r="AB618" s="49"/>
      <c r="AC618" s="49"/>
    </row>
    <row r="619" spans="1:29">
      <c r="A619" s="43"/>
      <c r="B619" s="43"/>
      <c r="C619" s="43"/>
      <c r="D619" s="43"/>
      <c r="E619" s="43"/>
      <c r="F619" s="43"/>
      <c r="G619" s="43"/>
      <c r="H619" s="43"/>
      <c r="I619" s="43"/>
      <c r="J619" s="43"/>
      <c r="K619" s="43"/>
      <c r="L619" s="43"/>
      <c r="M619" s="43"/>
      <c r="N619" s="43"/>
      <c r="O619" s="43"/>
      <c r="P619" s="43"/>
      <c r="Q619" s="43"/>
      <c r="R619" s="49"/>
      <c r="S619" s="49"/>
      <c r="T619" s="49"/>
      <c r="U619" s="49"/>
      <c r="V619" s="49"/>
      <c r="W619" s="49"/>
      <c r="X619" s="49"/>
      <c r="Y619" s="49"/>
      <c r="Z619" s="49"/>
      <c r="AA619" s="49"/>
      <c r="AB619" s="49"/>
      <c r="AC619" s="49"/>
    </row>
    <row r="620" spans="1:29">
      <c r="A620" s="43"/>
      <c r="B620" s="43"/>
      <c r="C620" s="43"/>
      <c r="D620" s="43"/>
      <c r="E620" s="43"/>
      <c r="F620" s="43"/>
      <c r="G620" s="43"/>
      <c r="H620" s="43"/>
      <c r="I620" s="43"/>
      <c r="J620" s="43"/>
      <c r="K620" s="43"/>
      <c r="L620" s="43"/>
      <c r="M620" s="43"/>
      <c r="N620" s="43"/>
      <c r="O620" s="43"/>
      <c r="P620" s="43"/>
      <c r="Q620" s="43"/>
      <c r="R620" s="49"/>
      <c r="S620" s="49"/>
      <c r="T620" s="49"/>
      <c r="U620" s="49"/>
      <c r="V620" s="49"/>
      <c r="W620" s="49"/>
      <c r="X620" s="49"/>
      <c r="Y620" s="49"/>
      <c r="Z620" s="49"/>
      <c r="AA620" s="49"/>
      <c r="AB620" s="49"/>
      <c r="AC620" s="49"/>
    </row>
    <row r="621" spans="1:29">
      <c r="A621" s="43"/>
      <c r="B621" s="43"/>
      <c r="C621" s="43"/>
      <c r="D621" s="43"/>
      <c r="E621" s="43"/>
      <c r="F621" s="43"/>
      <c r="G621" s="43"/>
      <c r="H621" s="43"/>
      <c r="I621" s="43"/>
      <c r="J621" s="43"/>
      <c r="K621" s="43"/>
      <c r="L621" s="43"/>
      <c r="M621" s="43"/>
      <c r="N621" s="43"/>
      <c r="O621" s="43"/>
      <c r="P621" s="43"/>
      <c r="Q621" s="43"/>
      <c r="R621" s="49"/>
      <c r="S621" s="49"/>
      <c r="T621" s="49"/>
      <c r="U621" s="49"/>
      <c r="V621" s="49"/>
      <c r="W621" s="49"/>
      <c r="X621" s="49"/>
      <c r="Y621" s="49"/>
      <c r="Z621" s="49"/>
      <c r="AA621" s="49"/>
      <c r="AB621" s="49"/>
      <c r="AC621" s="49"/>
    </row>
    <row r="622" spans="1:29">
      <c r="A622" s="43"/>
      <c r="B622" s="43"/>
      <c r="C622" s="43"/>
      <c r="D622" s="43"/>
      <c r="E622" s="43"/>
      <c r="F622" s="43"/>
      <c r="G622" s="43"/>
      <c r="H622" s="43"/>
      <c r="I622" s="43"/>
      <c r="J622" s="43"/>
      <c r="K622" s="43"/>
      <c r="L622" s="43"/>
      <c r="M622" s="43"/>
      <c r="N622" s="43"/>
      <c r="O622" s="43"/>
      <c r="P622" s="43"/>
      <c r="Q622" s="43"/>
      <c r="R622" s="49"/>
      <c r="S622" s="49"/>
      <c r="T622" s="49"/>
      <c r="U622" s="49"/>
      <c r="V622" s="49"/>
      <c r="W622" s="49"/>
      <c r="X622" s="49"/>
      <c r="Y622" s="49"/>
      <c r="Z622" s="49"/>
      <c r="AA622" s="49"/>
      <c r="AB622" s="49"/>
      <c r="AC622" s="49"/>
    </row>
    <row r="623" spans="1:29">
      <c r="A623" s="43"/>
      <c r="B623" s="43"/>
      <c r="C623" s="43"/>
      <c r="D623" s="43"/>
      <c r="E623" s="43"/>
      <c r="F623" s="43"/>
      <c r="G623" s="43"/>
      <c r="H623" s="43"/>
      <c r="I623" s="43"/>
      <c r="J623" s="43"/>
      <c r="K623" s="43"/>
      <c r="L623" s="43"/>
      <c r="M623" s="43"/>
      <c r="N623" s="43"/>
      <c r="O623" s="43"/>
      <c r="P623" s="43"/>
      <c r="Q623" s="43"/>
      <c r="R623" s="49"/>
      <c r="S623" s="49"/>
      <c r="T623" s="49"/>
      <c r="U623" s="49"/>
      <c r="V623" s="49"/>
      <c r="W623" s="49"/>
      <c r="X623" s="49"/>
      <c r="Y623" s="49"/>
      <c r="Z623" s="49"/>
      <c r="AA623" s="49"/>
      <c r="AB623" s="49"/>
      <c r="AC623" s="49"/>
    </row>
    <row r="624" spans="1:29">
      <c r="A624" s="43"/>
      <c r="B624" s="43"/>
      <c r="C624" s="43"/>
      <c r="D624" s="43"/>
      <c r="E624" s="43"/>
      <c r="F624" s="43"/>
      <c r="G624" s="43"/>
      <c r="H624" s="43"/>
      <c r="I624" s="43"/>
      <c r="J624" s="43"/>
      <c r="K624" s="43"/>
      <c r="L624" s="43"/>
      <c r="M624" s="43"/>
      <c r="N624" s="43"/>
      <c r="O624" s="43"/>
      <c r="P624" s="43"/>
      <c r="Q624" s="43"/>
      <c r="R624" s="49"/>
      <c r="S624" s="49"/>
      <c r="T624" s="49"/>
      <c r="U624" s="49"/>
      <c r="V624" s="49"/>
      <c r="W624" s="49"/>
      <c r="X624" s="49"/>
      <c r="Y624" s="49"/>
      <c r="Z624" s="49"/>
      <c r="AA624" s="49"/>
      <c r="AB624" s="49"/>
      <c r="AC624" s="49"/>
    </row>
    <row r="625" spans="1:29">
      <c r="A625" s="43"/>
      <c r="B625" s="43"/>
      <c r="C625" s="43"/>
      <c r="D625" s="43"/>
      <c r="E625" s="43"/>
      <c r="F625" s="43"/>
      <c r="G625" s="43"/>
      <c r="H625" s="43"/>
      <c r="I625" s="43"/>
      <c r="J625" s="43"/>
      <c r="K625" s="43"/>
      <c r="L625" s="43"/>
      <c r="M625" s="43"/>
      <c r="N625" s="43"/>
      <c r="O625" s="43"/>
      <c r="P625" s="43"/>
      <c r="Q625" s="43"/>
      <c r="R625" s="49"/>
      <c r="S625" s="49"/>
      <c r="T625" s="49"/>
      <c r="U625" s="49"/>
      <c r="V625" s="49"/>
      <c r="W625" s="49"/>
      <c r="X625" s="49"/>
      <c r="Y625" s="49"/>
      <c r="Z625" s="49"/>
      <c r="AA625" s="49"/>
      <c r="AB625" s="49"/>
      <c r="AC625" s="49"/>
    </row>
    <row r="626" spans="1:29">
      <c r="A626" s="43"/>
      <c r="B626" s="43"/>
      <c r="C626" s="43"/>
      <c r="D626" s="43"/>
      <c r="E626" s="43"/>
      <c r="F626" s="43"/>
      <c r="G626" s="43"/>
      <c r="H626" s="43"/>
      <c r="I626" s="43"/>
      <c r="J626" s="43"/>
      <c r="K626" s="43"/>
      <c r="L626" s="43"/>
      <c r="M626" s="43"/>
      <c r="N626" s="43"/>
      <c r="O626" s="43"/>
      <c r="P626" s="43"/>
      <c r="Q626" s="43"/>
      <c r="R626" s="49"/>
      <c r="S626" s="49"/>
      <c r="T626" s="49"/>
      <c r="U626" s="49"/>
      <c r="V626" s="49"/>
      <c r="W626" s="49"/>
      <c r="X626" s="49"/>
      <c r="Y626" s="49"/>
      <c r="Z626" s="49"/>
      <c r="AA626" s="49"/>
      <c r="AB626" s="49"/>
      <c r="AC626" s="49"/>
    </row>
    <row r="627" spans="1:29">
      <c r="A627" s="43"/>
      <c r="B627" s="43"/>
      <c r="C627" s="43"/>
      <c r="D627" s="43"/>
      <c r="E627" s="43"/>
      <c r="F627" s="43"/>
      <c r="G627" s="43"/>
      <c r="H627" s="43"/>
      <c r="I627" s="43"/>
      <c r="J627" s="43"/>
      <c r="K627" s="43"/>
      <c r="L627" s="43"/>
      <c r="M627" s="43"/>
      <c r="N627" s="43"/>
      <c r="O627" s="43"/>
      <c r="P627" s="43"/>
      <c r="Q627" s="43"/>
      <c r="R627" s="49"/>
      <c r="S627" s="49"/>
      <c r="T627" s="49"/>
      <c r="U627" s="49"/>
      <c r="V627" s="49"/>
      <c r="W627" s="49"/>
      <c r="X627" s="49"/>
      <c r="Y627" s="49"/>
      <c r="Z627" s="49"/>
      <c r="AA627" s="49"/>
      <c r="AB627" s="49"/>
      <c r="AC627" s="49"/>
    </row>
    <row r="628" spans="1:29">
      <c r="A628" s="43"/>
      <c r="B628" s="43"/>
      <c r="C628" s="43"/>
      <c r="D628" s="43"/>
      <c r="E628" s="43"/>
      <c r="F628" s="43"/>
      <c r="G628" s="43"/>
      <c r="H628" s="43"/>
      <c r="I628" s="43"/>
      <c r="J628" s="43"/>
      <c r="K628" s="43"/>
      <c r="L628" s="43"/>
      <c r="M628" s="43"/>
      <c r="N628" s="43"/>
      <c r="O628" s="43"/>
      <c r="P628" s="43"/>
      <c r="Q628" s="43"/>
      <c r="R628" s="49"/>
      <c r="S628" s="49"/>
      <c r="T628" s="49"/>
      <c r="U628" s="49"/>
      <c r="V628" s="49"/>
      <c r="W628" s="49"/>
      <c r="X628" s="49"/>
      <c r="Y628" s="49"/>
      <c r="Z628" s="49"/>
      <c r="AA628" s="49"/>
      <c r="AB628" s="49"/>
      <c r="AC628" s="49"/>
    </row>
    <row r="629" spans="1:29">
      <c r="A629" s="43"/>
      <c r="B629" s="43"/>
      <c r="C629" s="43"/>
      <c r="D629" s="43"/>
      <c r="E629" s="43"/>
      <c r="F629" s="43"/>
      <c r="G629" s="43"/>
      <c r="H629" s="43"/>
      <c r="I629" s="43"/>
      <c r="J629" s="43"/>
      <c r="K629" s="43"/>
      <c r="L629" s="43"/>
      <c r="M629" s="43"/>
      <c r="N629" s="43"/>
      <c r="O629" s="43"/>
      <c r="P629" s="43"/>
      <c r="Q629" s="43"/>
      <c r="R629" s="49"/>
      <c r="S629" s="49"/>
      <c r="T629" s="49"/>
      <c r="U629" s="49"/>
      <c r="V629" s="49"/>
      <c r="W629" s="49"/>
      <c r="X629" s="49"/>
      <c r="Y629" s="49"/>
      <c r="Z629" s="49"/>
      <c r="AA629" s="49"/>
      <c r="AB629" s="49"/>
      <c r="AC629" s="49"/>
    </row>
    <row r="630" spans="1:29">
      <c r="A630" s="43"/>
      <c r="B630" s="43"/>
      <c r="C630" s="43"/>
      <c r="D630" s="43"/>
      <c r="E630" s="43"/>
      <c r="F630" s="43"/>
      <c r="G630" s="43"/>
      <c r="H630" s="43"/>
      <c r="I630" s="43"/>
      <c r="J630" s="43"/>
      <c r="K630" s="43"/>
      <c r="L630" s="43"/>
      <c r="M630" s="43"/>
      <c r="N630" s="43"/>
      <c r="O630" s="43"/>
      <c r="P630" s="43"/>
      <c r="Q630" s="43"/>
      <c r="R630" s="49"/>
      <c r="S630" s="49"/>
      <c r="T630" s="49"/>
      <c r="U630" s="49"/>
      <c r="V630" s="49"/>
      <c r="W630" s="49"/>
      <c r="X630" s="49"/>
      <c r="Y630" s="49"/>
      <c r="Z630" s="49"/>
      <c r="AA630" s="49"/>
      <c r="AB630" s="49"/>
      <c r="AC630" s="49"/>
    </row>
    <row r="631" spans="1:29">
      <c r="A631" s="43"/>
      <c r="B631" s="43"/>
      <c r="C631" s="43"/>
      <c r="D631" s="43"/>
      <c r="E631" s="43"/>
      <c r="F631" s="43"/>
      <c r="G631" s="43"/>
      <c r="H631" s="43"/>
      <c r="I631" s="43"/>
      <c r="J631" s="43"/>
      <c r="K631" s="43"/>
      <c r="L631" s="43"/>
      <c r="M631" s="43"/>
      <c r="N631" s="43"/>
      <c r="O631" s="43"/>
      <c r="P631" s="43"/>
      <c r="Q631" s="43"/>
      <c r="R631" s="49"/>
      <c r="S631" s="49"/>
      <c r="T631" s="49"/>
      <c r="U631" s="49"/>
      <c r="V631" s="49"/>
      <c r="W631" s="49"/>
      <c r="X631" s="49"/>
      <c r="Y631" s="49"/>
      <c r="Z631" s="49"/>
      <c r="AA631" s="49"/>
      <c r="AB631" s="49"/>
      <c r="AC631" s="49"/>
    </row>
    <row r="632" spans="1:29">
      <c r="A632" s="43"/>
      <c r="B632" s="43"/>
      <c r="C632" s="43"/>
      <c r="D632" s="43"/>
      <c r="E632" s="43"/>
      <c r="F632" s="43"/>
      <c r="G632" s="43"/>
      <c r="H632" s="43"/>
      <c r="I632" s="43"/>
      <c r="J632" s="43"/>
      <c r="K632" s="43"/>
      <c r="L632" s="43"/>
      <c r="M632" s="43"/>
      <c r="N632" s="43"/>
      <c r="O632" s="43"/>
      <c r="P632" s="43"/>
      <c r="Q632" s="43"/>
      <c r="R632" s="49"/>
      <c r="S632" s="49"/>
      <c r="T632" s="49"/>
      <c r="U632" s="49"/>
      <c r="V632" s="49"/>
      <c r="W632" s="49"/>
      <c r="X632" s="49"/>
      <c r="Y632" s="49"/>
      <c r="Z632" s="49"/>
      <c r="AA632" s="49"/>
      <c r="AB632" s="49"/>
      <c r="AC632" s="49"/>
    </row>
    <row r="633" spans="1:29">
      <c r="A633" s="43"/>
      <c r="B633" s="43"/>
      <c r="C633" s="43"/>
      <c r="D633" s="43"/>
      <c r="E633" s="43"/>
      <c r="F633" s="43"/>
      <c r="G633" s="43"/>
      <c r="H633" s="43"/>
      <c r="I633" s="43"/>
      <c r="J633" s="43"/>
      <c r="K633" s="43"/>
      <c r="L633" s="43"/>
      <c r="M633" s="43"/>
      <c r="N633" s="43"/>
      <c r="O633" s="43"/>
      <c r="P633" s="43"/>
      <c r="Q633" s="43"/>
      <c r="R633" s="49"/>
      <c r="S633" s="49"/>
      <c r="T633" s="49"/>
      <c r="U633" s="49"/>
      <c r="V633" s="49"/>
      <c r="W633" s="49"/>
      <c r="X633" s="49"/>
      <c r="Y633" s="49"/>
      <c r="Z633" s="49"/>
      <c r="AA633" s="49"/>
      <c r="AB633" s="49"/>
      <c r="AC633" s="49"/>
    </row>
    <row r="634" spans="1:29">
      <c r="A634" s="43"/>
      <c r="B634" s="43"/>
      <c r="C634" s="43"/>
      <c r="D634" s="43"/>
      <c r="E634" s="43"/>
      <c r="F634" s="43"/>
      <c r="G634" s="43"/>
      <c r="H634" s="43"/>
      <c r="I634" s="43"/>
      <c r="J634" s="43"/>
      <c r="K634" s="43"/>
      <c r="L634" s="43"/>
      <c r="M634" s="43"/>
      <c r="N634" s="43"/>
      <c r="O634" s="43"/>
      <c r="P634" s="43"/>
      <c r="Q634" s="43"/>
      <c r="R634" s="49"/>
      <c r="S634" s="49"/>
      <c r="T634" s="49"/>
      <c r="U634" s="49"/>
      <c r="V634" s="49"/>
      <c r="W634" s="49"/>
      <c r="X634" s="49"/>
      <c r="Y634" s="49"/>
      <c r="Z634" s="49"/>
      <c r="AA634" s="49"/>
      <c r="AB634" s="49"/>
      <c r="AC634" s="49"/>
    </row>
    <row r="635" spans="1:29">
      <c r="A635" s="43"/>
      <c r="B635" s="43"/>
      <c r="C635" s="43"/>
      <c r="D635" s="43"/>
      <c r="E635" s="43"/>
      <c r="F635" s="43"/>
      <c r="G635" s="43"/>
      <c r="H635" s="43"/>
      <c r="I635" s="43"/>
      <c r="J635" s="43"/>
      <c r="K635" s="43"/>
      <c r="L635" s="43"/>
      <c r="M635" s="43"/>
      <c r="N635" s="43"/>
      <c r="O635" s="43"/>
      <c r="P635" s="43"/>
      <c r="Q635" s="43"/>
      <c r="R635" s="49"/>
      <c r="S635" s="49"/>
      <c r="T635" s="49"/>
      <c r="U635" s="49"/>
      <c r="V635" s="49"/>
      <c r="W635" s="49"/>
      <c r="X635" s="49"/>
      <c r="Y635" s="49"/>
      <c r="Z635" s="49"/>
      <c r="AA635" s="49"/>
      <c r="AB635" s="49"/>
      <c r="AC635" s="49"/>
    </row>
    <row r="636" spans="1:29">
      <c r="A636" s="43"/>
      <c r="B636" s="43"/>
      <c r="C636" s="43"/>
      <c r="D636" s="43"/>
      <c r="E636" s="43"/>
      <c r="F636" s="43"/>
      <c r="G636" s="43"/>
      <c r="H636" s="43"/>
      <c r="I636" s="43"/>
      <c r="J636" s="43"/>
      <c r="K636" s="43"/>
      <c r="L636" s="43"/>
      <c r="M636" s="43"/>
      <c r="N636" s="43"/>
      <c r="O636" s="43"/>
      <c r="P636" s="43"/>
      <c r="Q636" s="43"/>
      <c r="R636" s="49"/>
      <c r="S636" s="49"/>
      <c r="T636" s="49"/>
      <c r="U636" s="49"/>
      <c r="V636" s="49"/>
      <c r="W636" s="49"/>
      <c r="X636" s="49"/>
      <c r="Y636" s="49"/>
      <c r="Z636" s="49"/>
      <c r="AA636" s="49"/>
      <c r="AB636" s="49"/>
      <c r="AC636" s="49"/>
    </row>
    <row r="637" spans="1:29">
      <c r="A637" s="43"/>
      <c r="B637" s="43"/>
      <c r="C637" s="43"/>
      <c r="D637" s="43"/>
      <c r="E637" s="43"/>
      <c r="F637" s="43"/>
      <c r="G637" s="43"/>
      <c r="H637" s="43"/>
      <c r="I637" s="43"/>
      <c r="J637" s="43"/>
      <c r="K637" s="43"/>
      <c r="L637" s="43"/>
      <c r="M637" s="43"/>
      <c r="N637" s="43"/>
      <c r="O637" s="43"/>
      <c r="P637" s="43"/>
      <c r="Q637" s="43"/>
      <c r="R637" s="49"/>
      <c r="S637" s="49"/>
      <c r="T637" s="49"/>
      <c r="U637" s="49"/>
      <c r="V637" s="49"/>
      <c r="W637" s="49"/>
      <c r="X637" s="49"/>
      <c r="Y637" s="49"/>
      <c r="Z637" s="49"/>
      <c r="AA637" s="49"/>
      <c r="AB637" s="49"/>
      <c r="AC637" s="49"/>
    </row>
    <row r="638" spans="1:29">
      <c r="A638" s="43"/>
      <c r="B638" s="43"/>
      <c r="C638" s="43"/>
      <c r="D638" s="43"/>
      <c r="E638" s="43"/>
      <c r="F638" s="43"/>
      <c r="G638" s="43"/>
      <c r="H638" s="43"/>
      <c r="I638" s="43"/>
      <c r="J638" s="43"/>
      <c r="K638" s="43"/>
      <c r="L638" s="43"/>
      <c r="M638" s="43"/>
      <c r="N638" s="43"/>
      <c r="O638" s="43"/>
      <c r="P638" s="43"/>
      <c r="Q638" s="43"/>
      <c r="R638" s="49"/>
      <c r="S638" s="49"/>
      <c r="T638" s="49"/>
      <c r="U638" s="49"/>
      <c r="V638" s="49"/>
      <c r="W638" s="49"/>
      <c r="X638" s="49"/>
      <c r="Y638" s="49"/>
      <c r="Z638" s="49"/>
      <c r="AA638" s="49"/>
      <c r="AB638" s="49"/>
      <c r="AC638" s="49"/>
    </row>
    <row r="639" spans="1:29">
      <c r="A639" s="43"/>
      <c r="B639" s="43"/>
      <c r="C639" s="43"/>
      <c r="D639" s="43"/>
      <c r="E639" s="43"/>
      <c r="F639" s="43"/>
      <c r="G639" s="43"/>
      <c r="H639" s="43"/>
      <c r="I639" s="43"/>
      <c r="J639" s="43"/>
      <c r="K639" s="43"/>
      <c r="L639" s="43"/>
      <c r="M639" s="43"/>
      <c r="N639" s="43"/>
      <c r="O639" s="43"/>
      <c r="P639" s="43"/>
      <c r="Q639" s="43"/>
      <c r="R639" s="49"/>
      <c r="S639" s="49"/>
      <c r="T639" s="49"/>
      <c r="U639" s="49"/>
      <c r="V639" s="49"/>
      <c r="W639" s="49"/>
      <c r="X639" s="49"/>
      <c r="Y639" s="49"/>
      <c r="Z639" s="49"/>
      <c r="AA639" s="49"/>
      <c r="AB639" s="49"/>
      <c r="AC639" s="49"/>
    </row>
    <row r="640" spans="1:29">
      <c r="A640" s="43"/>
      <c r="B640" s="43"/>
      <c r="C640" s="43"/>
      <c r="D640" s="43"/>
      <c r="E640" s="43"/>
      <c r="F640" s="43"/>
      <c r="G640" s="43"/>
      <c r="H640" s="43"/>
      <c r="I640" s="43"/>
      <c r="J640" s="43"/>
      <c r="K640" s="43"/>
      <c r="L640" s="43"/>
      <c r="M640" s="43"/>
      <c r="N640" s="43"/>
      <c r="O640" s="43"/>
      <c r="P640" s="43"/>
      <c r="Q640" s="43"/>
      <c r="R640" s="49"/>
      <c r="S640" s="49"/>
      <c r="T640" s="49"/>
      <c r="U640" s="49"/>
      <c r="V640" s="49"/>
      <c r="W640" s="49"/>
      <c r="X640" s="49"/>
      <c r="Y640" s="49"/>
      <c r="Z640" s="49"/>
      <c r="AA640" s="49"/>
      <c r="AB640" s="49"/>
      <c r="AC640" s="49"/>
    </row>
    <row r="641" spans="1:29">
      <c r="A641" s="43"/>
      <c r="B641" s="43"/>
      <c r="C641" s="43"/>
      <c r="D641" s="43"/>
      <c r="E641" s="43"/>
      <c r="F641" s="43"/>
      <c r="G641" s="43"/>
      <c r="H641" s="43"/>
      <c r="I641" s="43"/>
      <c r="J641" s="43"/>
      <c r="K641" s="43"/>
      <c r="L641" s="43"/>
      <c r="M641" s="43"/>
      <c r="N641" s="43"/>
      <c r="O641" s="43"/>
      <c r="P641" s="43"/>
      <c r="Q641" s="43"/>
      <c r="R641" s="49"/>
      <c r="S641" s="49"/>
      <c r="T641" s="49"/>
      <c r="U641" s="49"/>
      <c r="V641" s="49"/>
      <c r="W641" s="49"/>
      <c r="X641" s="49"/>
      <c r="Y641" s="49"/>
      <c r="Z641" s="49"/>
      <c r="AA641" s="49"/>
      <c r="AB641" s="49"/>
      <c r="AC641" s="49"/>
    </row>
    <row r="642" spans="1:29">
      <c r="A642" s="43"/>
      <c r="B642" s="43"/>
      <c r="C642" s="43"/>
      <c r="D642" s="43"/>
      <c r="E642" s="43"/>
      <c r="F642" s="43"/>
      <c r="G642" s="43"/>
      <c r="H642" s="43"/>
      <c r="I642" s="43"/>
      <c r="J642" s="43"/>
      <c r="K642" s="43"/>
      <c r="L642" s="43"/>
      <c r="M642" s="43"/>
      <c r="N642" s="43"/>
      <c r="O642" s="43"/>
      <c r="P642" s="43"/>
      <c r="Q642" s="43"/>
      <c r="R642" s="49"/>
      <c r="S642" s="49"/>
      <c r="T642" s="49"/>
      <c r="U642" s="49"/>
      <c r="V642" s="49"/>
      <c r="W642" s="49"/>
      <c r="X642" s="49"/>
      <c r="Y642" s="49"/>
      <c r="Z642" s="49"/>
      <c r="AA642" s="49"/>
      <c r="AB642" s="49"/>
      <c r="AC642" s="49"/>
    </row>
    <row r="643" spans="1:29">
      <c r="A643" s="43"/>
      <c r="B643" s="43"/>
      <c r="C643" s="43"/>
      <c r="D643" s="43"/>
      <c r="E643" s="43"/>
      <c r="F643" s="43"/>
      <c r="G643" s="43"/>
      <c r="H643" s="43"/>
      <c r="I643" s="43"/>
      <c r="J643" s="43"/>
      <c r="K643" s="43"/>
      <c r="L643" s="43"/>
      <c r="M643" s="43"/>
      <c r="N643" s="43"/>
      <c r="O643" s="43"/>
      <c r="P643" s="43"/>
      <c r="Q643" s="43"/>
      <c r="R643" s="49"/>
      <c r="S643" s="49"/>
      <c r="T643" s="49"/>
      <c r="U643" s="49"/>
      <c r="V643" s="49"/>
      <c r="W643" s="49"/>
      <c r="X643" s="49"/>
      <c r="Y643" s="49"/>
      <c r="Z643" s="49"/>
      <c r="AA643" s="49"/>
      <c r="AB643" s="49"/>
      <c r="AC643" s="49"/>
    </row>
    <row r="644" spans="1:29">
      <c r="A644" s="43"/>
      <c r="B644" s="43"/>
      <c r="C644" s="43"/>
      <c r="D644" s="43"/>
      <c r="E644" s="43"/>
      <c r="F644" s="43"/>
      <c r="G644" s="43"/>
      <c r="H644" s="43"/>
      <c r="I644" s="43"/>
      <c r="J644" s="43"/>
      <c r="K644" s="43"/>
      <c r="L644" s="43"/>
      <c r="M644" s="43"/>
      <c r="N644" s="43"/>
      <c r="O644" s="43"/>
      <c r="P644" s="43"/>
      <c r="Q644" s="43"/>
      <c r="R644" s="49"/>
      <c r="S644" s="49"/>
      <c r="T644" s="49"/>
      <c r="U644" s="49"/>
      <c r="V644" s="49"/>
      <c r="W644" s="49"/>
      <c r="X644" s="49"/>
      <c r="Y644" s="49"/>
      <c r="Z644" s="49"/>
      <c r="AA644" s="49"/>
      <c r="AB644" s="49"/>
      <c r="AC644" s="49"/>
    </row>
    <row r="645" spans="1:29">
      <c r="A645" s="43"/>
      <c r="B645" s="43"/>
      <c r="C645" s="43"/>
      <c r="D645" s="43"/>
      <c r="E645" s="43"/>
      <c r="F645" s="43"/>
      <c r="G645" s="43"/>
      <c r="H645" s="43"/>
      <c r="I645" s="43"/>
      <c r="J645" s="43"/>
      <c r="K645" s="43"/>
      <c r="L645" s="43"/>
      <c r="M645" s="43"/>
      <c r="N645" s="43"/>
      <c r="O645" s="43"/>
      <c r="P645" s="43"/>
      <c r="Q645" s="43"/>
      <c r="R645" s="49"/>
      <c r="S645" s="49"/>
      <c r="T645" s="49"/>
      <c r="U645" s="49"/>
      <c r="V645" s="49"/>
      <c r="W645" s="49"/>
      <c r="X645" s="49"/>
      <c r="Y645" s="49"/>
      <c r="Z645" s="49"/>
      <c r="AA645" s="49"/>
      <c r="AB645" s="49"/>
      <c r="AC645" s="49"/>
    </row>
    <row r="646" spans="1:29">
      <c r="A646" s="43"/>
      <c r="B646" s="43"/>
      <c r="C646" s="43"/>
      <c r="D646" s="43"/>
      <c r="E646" s="43"/>
      <c r="F646" s="43"/>
      <c r="G646" s="43"/>
      <c r="H646" s="43"/>
      <c r="I646" s="43"/>
      <c r="J646" s="43"/>
      <c r="K646" s="43"/>
      <c r="L646" s="43"/>
      <c r="M646" s="43"/>
      <c r="N646" s="43"/>
      <c r="O646" s="43"/>
      <c r="P646" s="43"/>
      <c r="Q646" s="43"/>
      <c r="R646" s="49"/>
      <c r="S646" s="49"/>
      <c r="T646" s="49"/>
      <c r="U646" s="49"/>
      <c r="V646" s="49"/>
      <c r="W646" s="49"/>
      <c r="X646" s="49"/>
      <c r="Y646" s="49"/>
      <c r="Z646" s="49"/>
      <c r="AA646" s="49"/>
      <c r="AB646" s="49"/>
      <c r="AC646" s="49"/>
    </row>
    <row r="647" spans="1:29">
      <c r="A647" s="43"/>
      <c r="B647" s="43"/>
      <c r="C647" s="43"/>
      <c r="D647" s="43"/>
      <c r="E647" s="43"/>
      <c r="F647" s="43"/>
      <c r="G647" s="43"/>
      <c r="H647" s="43"/>
      <c r="I647" s="43"/>
      <c r="J647" s="43"/>
      <c r="K647" s="43"/>
      <c r="L647" s="43"/>
      <c r="M647" s="43"/>
      <c r="N647" s="43"/>
      <c r="O647" s="43"/>
      <c r="P647" s="43"/>
      <c r="Q647" s="43"/>
      <c r="R647" s="49"/>
      <c r="S647" s="49"/>
      <c r="T647" s="49"/>
      <c r="U647" s="49"/>
      <c r="V647" s="49"/>
      <c r="W647" s="49"/>
      <c r="X647" s="49"/>
      <c r="Y647" s="49"/>
      <c r="Z647" s="49"/>
      <c r="AA647" s="49"/>
      <c r="AB647" s="49"/>
      <c r="AC647" s="49"/>
    </row>
    <row r="648" spans="1:29">
      <c r="A648" s="43"/>
      <c r="B648" s="43"/>
      <c r="C648" s="43"/>
      <c r="D648" s="43"/>
      <c r="E648" s="43"/>
      <c r="F648" s="43"/>
      <c r="G648" s="43"/>
      <c r="H648" s="43"/>
      <c r="I648" s="43"/>
      <c r="J648" s="43"/>
      <c r="K648" s="43"/>
      <c r="L648" s="43"/>
      <c r="M648" s="43"/>
      <c r="N648" s="43"/>
      <c r="O648" s="43"/>
      <c r="P648" s="43"/>
      <c r="Q648" s="43"/>
      <c r="R648" s="49"/>
      <c r="S648" s="49"/>
      <c r="T648" s="49"/>
      <c r="U648" s="49"/>
      <c r="V648" s="49"/>
      <c r="W648" s="49"/>
      <c r="X648" s="49"/>
      <c r="Y648" s="49"/>
      <c r="Z648" s="49"/>
      <c r="AA648" s="49"/>
      <c r="AB648" s="49"/>
      <c r="AC648" s="49"/>
    </row>
    <row r="649" spans="1:29">
      <c r="A649" s="43"/>
      <c r="B649" s="43"/>
      <c r="C649" s="43"/>
      <c r="D649" s="43"/>
      <c r="E649" s="43"/>
      <c r="F649" s="43"/>
      <c r="G649" s="43"/>
      <c r="H649" s="43"/>
      <c r="I649" s="43"/>
      <c r="J649" s="43"/>
      <c r="K649" s="43"/>
      <c r="L649" s="43"/>
      <c r="M649" s="43"/>
      <c r="N649" s="43"/>
      <c r="O649" s="43"/>
      <c r="P649" s="43"/>
      <c r="Q649" s="43"/>
      <c r="R649" s="49"/>
      <c r="S649" s="49"/>
      <c r="T649" s="49"/>
      <c r="U649" s="49"/>
      <c r="V649" s="49"/>
      <c r="W649" s="49"/>
      <c r="X649" s="49"/>
      <c r="Y649" s="49"/>
      <c r="Z649" s="49"/>
      <c r="AA649" s="49"/>
      <c r="AB649" s="49"/>
      <c r="AC649" s="49"/>
    </row>
    <row r="650" spans="1:29">
      <c r="A650" s="43"/>
      <c r="B650" s="43"/>
      <c r="C650" s="43"/>
      <c r="D650" s="43"/>
      <c r="E650" s="43"/>
      <c r="F650" s="43"/>
      <c r="G650" s="43"/>
      <c r="H650" s="43"/>
      <c r="I650" s="43"/>
      <c r="J650" s="43"/>
      <c r="K650" s="43"/>
      <c r="L650" s="43"/>
      <c r="M650" s="43"/>
      <c r="N650" s="43"/>
      <c r="O650" s="43"/>
      <c r="P650" s="43"/>
      <c r="Q650" s="43"/>
      <c r="R650" s="49"/>
      <c r="S650" s="49"/>
      <c r="T650" s="49"/>
      <c r="U650" s="49"/>
      <c r="V650" s="49"/>
      <c r="W650" s="49"/>
      <c r="X650" s="49"/>
      <c r="Y650" s="49"/>
      <c r="Z650" s="49"/>
      <c r="AA650" s="49"/>
      <c r="AB650" s="49"/>
      <c r="AC650" s="49"/>
    </row>
    <row r="651" spans="1:29">
      <c r="A651" s="43"/>
      <c r="B651" s="43"/>
      <c r="C651" s="43"/>
      <c r="D651" s="43"/>
      <c r="E651" s="43"/>
      <c r="F651" s="43"/>
      <c r="G651" s="43"/>
      <c r="H651" s="43"/>
      <c r="I651" s="43"/>
      <c r="J651" s="43"/>
      <c r="K651" s="43"/>
      <c r="L651" s="43"/>
      <c r="M651" s="43"/>
      <c r="N651" s="43"/>
      <c r="O651" s="43"/>
      <c r="P651" s="43"/>
      <c r="Q651" s="43"/>
      <c r="R651" s="49"/>
      <c r="S651" s="49"/>
      <c r="T651" s="49"/>
      <c r="U651" s="49"/>
      <c r="V651" s="49"/>
      <c r="W651" s="49"/>
      <c r="X651" s="49"/>
      <c r="Y651" s="49"/>
      <c r="Z651" s="49"/>
      <c r="AA651" s="49"/>
      <c r="AB651" s="49"/>
      <c r="AC651" s="49"/>
    </row>
    <row r="652" spans="1:29">
      <c r="A652" s="43"/>
      <c r="B652" s="43"/>
      <c r="C652" s="43"/>
      <c r="D652" s="43"/>
      <c r="E652" s="43"/>
      <c r="F652" s="43"/>
      <c r="G652" s="43"/>
      <c r="H652" s="43"/>
      <c r="I652" s="43"/>
      <c r="J652" s="43"/>
      <c r="K652" s="43"/>
      <c r="L652" s="43"/>
      <c r="M652" s="43"/>
      <c r="N652" s="43"/>
      <c r="O652" s="43"/>
      <c r="P652" s="43"/>
      <c r="Q652" s="43"/>
      <c r="R652" s="49"/>
      <c r="S652" s="49"/>
      <c r="T652" s="49"/>
      <c r="U652" s="49"/>
      <c r="V652" s="49"/>
      <c r="W652" s="49"/>
      <c r="X652" s="49"/>
      <c r="Y652" s="49"/>
      <c r="Z652" s="49"/>
      <c r="AA652" s="49"/>
      <c r="AB652" s="49"/>
      <c r="AC652" s="49"/>
    </row>
    <row r="653" spans="1:29">
      <c r="A653" s="43"/>
      <c r="B653" s="43"/>
      <c r="C653" s="43"/>
      <c r="D653" s="43"/>
      <c r="E653" s="43"/>
      <c r="F653" s="43"/>
      <c r="G653" s="43"/>
      <c r="H653" s="43"/>
      <c r="I653" s="43"/>
      <c r="J653" s="43"/>
      <c r="K653" s="43"/>
      <c r="L653" s="43"/>
      <c r="M653" s="43"/>
      <c r="N653" s="43"/>
      <c r="O653" s="43"/>
      <c r="P653" s="43"/>
      <c r="Q653" s="43"/>
      <c r="R653" s="49"/>
      <c r="S653" s="49"/>
      <c r="T653" s="49"/>
      <c r="U653" s="49"/>
      <c r="V653" s="49"/>
      <c r="W653" s="49"/>
      <c r="X653" s="49"/>
      <c r="Y653" s="49"/>
      <c r="Z653" s="49"/>
      <c r="AA653" s="49"/>
      <c r="AB653" s="49"/>
      <c r="AC653" s="49"/>
    </row>
    <row r="654" spans="1:29">
      <c r="A654" s="43"/>
      <c r="B654" s="43"/>
      <c r="C654" s="43"/>
      <c r="D654" s="43"/>
      <c r="E654" s="43"/>
      <c r="F654" s="43"/>
      <c r="G654" s="43"/>
      <c r="H654" s="43"/>
      <c r="I654" s="43"/>
      <c r="J654" s="43"/>
      <c r="K654" s="43"/>
      <c r="L654" s="43"/>
      <c r="M654" s="43"/>
      <c r="N654" s="43"/>
      <c r="O654" s="43"/>
      <c r="P654" s="43"/>
      <c r="Q654" s="43"/>
      <c r="R654" s="49"/>
      <c r="S654" s="49"/>
      <c r="T654" s="49"/>
      <c r="U654" s="49"/>
      <c r="V654" s="49"/>
      <c r="W654" s="49"/>
      <c r="X654" s="49"/>
      <c r="Y654" s="49"/>
      <c r="Z654" s="49"/>
      <c r="AA654" s="49"/>
      <c r="AB654" s="49"/>
      <c r="AC654" s="49"/>
    </row>
    <row r="655" spans="1:29">
      <c r="A655" s="43"/>
      <c r="B655" s="43"/>
      <c r="C655" s="43"/>
      <c r="D655" s="43"/>
      <c r="E655" s="43"/>
      <c r="F655" s="43"/>
      <c r="G655" s="43"/>
      <c r="H655" s="43"/>
      <c r="I655" s="43"/>
      <c r="J655" s="43"/>
      <c r="K655" s="43"/>
      <c r="L655" s="43"/>
      <c r="M655" s="43"/>
      <c r="N655" s="43"/>
      <c r="O655" s="43"/>
      <c r="P655" s="43"/>
      <c r="Q655" s="43"/>
      <c r="R655" s="49"/>
      <c r="S655" s="49"/>
      <c r="T655" s="49"/>
      <c r="U655" s="49"/>
      <c r="V655" s="49"/>
      <c r="W655" s="49"/>
      <c r="X655" s="49"/>
      <c r="Y655" s="49"/>
      <c r="Z655" s="49"/>
      <c r="AA655" s="49"/>
      <c r="AB655" s="49"/>
      <c r="AC655" s="49"/>
    </row>
    <row r="656" spans="1:29">
      <c r="A656" s="43"/>
      <c r="B656" s="43"/>
      <c r="C656" s="43"/>
      <c r="D656" s="43"/>
      <c r="E656" s="43"/>
      <c r="F656" s="43"/>
      <c r="G656" s="43"/>
      <c r="H656" s="43"/>
      <c r="I656" s="43"/>
      <c r="J656" s="43"/>
      <c r="K656" s="43"/>
      <c r="L656" s="43"/>
      <c r="M656" s="43"/>
      <c r="N656" s="43"/>
      <c r="O656" s="43"/>
      <c r="P656" s="43"/>
      <c r="Q656" s="43"/>
      <c r="R656" s="49"/>
      <c r="S656" s="49"/>
      <c r="T656" s="49"/>
      <c r="U656" s="49"/>
      <c r="V656" s="49"/>
      <c r="W656" s="49"/>
      <c r="X656" s="49"/>
      <c r="Y656" s="49"/>
      <c r="Z656" s="49"/>
      <c r="AA656" s="49"/>
      <c r="AB656" s="49"/>
      <c r="AC656" s="49"/>
    </row>
    <row r="657" spans="1:29">
      <c r="A657" s="43"/>
      <c r="B657" s="43"/>
      <c r="C657" s="43"/>
      <c r="D657" s="43"/>
      <c r="E657" s="43"/>
      <c r="F657" s="43"/>
      <c r="G657" s="43"/>
      <c r="H657" s="43"/>
      <c r="I657" s="43"/>
      <c r="J657" s="43"/>
      <c r="K657" s="43"/>
      <c r="L657" s="43"/>
      <c r="M657" s="43"/>
      <c r="N657" s="43"/>
      <c r="O657" s="43"/>
      <c r="P657" s="43"/>
      <c r="Q657" s="43"/>
      <c r="R657" s="49"/>
      <c r="S657" s="49"/>
      <c r="T657" s="49"/>
      <c r="U657" s="49"/>
      <c r="V657" s="49"/>
      <c r="W657" s="49"/>
      <c r="X657" s="49"/>
      <c r="Y657" s="49"/>
      <c r="Z657" s="49"/>
      <c r="AA657" s="49"/>
      <c r="AB657" s="49"/>
      <c r="AC657" s="49"/>
    </row>
    <row r="658" spans="1:29">
      <c r="A658" s="43"/>
      <c r="B658" s="43"/>
      <c r="C658" s="43"/>
      <c r="D658" s="43"/>
      <c r="E658" s="43"/>
      <c r="F658" s="43"/>
      <c r="G658" s="43"/>
      <c r="H658" s="43"/>
      <c r="I658" s="43"/>
      <c r="J658" s="43"/>
      <c r="K658" s="43"/>
      <c r="L658" s="43"/>
      <c r="M658" s="43"/>
      <c r="N658" s="43"/>
      <c r="O658" s="43"/>
      <c r="P658" s="43"/>
      <c r="Q658" s="43"/>
      <c r="R658" s="49"/>
      <c r="S658" s="49"/>
      <c r="T658" s="49"/>
      <c r="U658" s="49"/>
      <c r="V658" s="49"/>
      <c r="W658" s="49"/>
      <c r="X658" s="49"/>
      <c r="Y658" s="49"/>
      <c r="Z658" s="49"/>
      <c r="AA658" s="49"/>
      <c r="AB658" s="49"/>
      <c r="AC658" s="49"/>
    </row>
    <row r="659" spans="1:29">
      <c r="A659" s="43"/>
      <c r="B659" s="43"/>
      <c r="C659" s="43"/>
      <c r="D659" s="43"/>
      <c r="E659" s="43"/>
      <c r="F659" s="43"/>
      <c r="G659" s="43"/>
      <c r="H659" s="43"/>
      <c r="I659" s="43"/>
      <c r="J659" s="43"/>
      <c r="K659" s="43"/>
      <c r="L659" s="43"/>
      <c r="M659" s="43"/>
      <c r="N659" s="43"/>
      <c r="O659" s="43"/>
      <c r="P659" s="43"/>
      <c r="Q659" s="43"/>
      <c r="R659" s="49"/>
      <c r="S659" s="49"/>
      <c r="T659" s="49"/>
      <c r="U659" s="49"/>
      <c r="V659" s="49"/>
      <c r="W659" s="49"/>
      <c r="X659" s="49"/>
      <c r="Y659" s="49"/>
      <c r="Z659" s="49"/>
      <c r="AA659" s="49"/>
      <c r="AB659" s="49"/>
      <c r="AC659" s="49"/>
    </row>
    <row r="660" spans="1:29">
      <c r="A660" s="43"/>
      <c r="B660" s="43"/>
      <c r="C660" s="43"/>
      <c r="D660" s="43"/>
      <c r="E660" s="43"/>
      <c r="F660" s="43"/>
      <c r="G660" s="43"/>
      <c r="H660" s="43"/>
      <c r="I660" s="43"/>
      <c r="J660" s="43"/>
      <c r="K660" s="43"/>
      <c r="L660" s="43"/>
      <c r="M660" s="43"/>
      <c r="N660" s="43"/>
      <c r="O660" s="43"/>
      <c r="P660" s="43"/>
      <c r="Q660" s="43"/>
      <c r="R660" s="49"/>
      <c r="S660" s="49"/>
      <c r="T660" s="49"/>
      <c r="U660" s="49"/>
      <c r="V660" s="49"/>
      <c r="W660" s="49"/>
      <c r="X660" s="49"/>
      <c r="Y660" s="49"/>
      <c r="Z660" s="49"/>
      <c r="AA660" s="49"/>
      <c r="AB660" s="49"/>
      <c r="AC660" s="49"/>
    </row>
    <row r="661" spans="1:29">
      <c r="A661" s="43"/>
      <c r="B661" s="43"/>
      <c r="C661" s="43"/>
      <c r="D661" s="43"/>
      <c r="E661" s="43"/>
      <c r="F661" s="43"/>
      <c r="G661" s="43"/>
      <c r="H661" s="43"/>
      <c r="I661" s="43"/>
      <c r="J661" s="43"/>
      <c r="K661" s="43"/>
      <c r="L661" s="43"/>
      <c r="M661" s="43"/>
      <c r="N661" s="43"/>
      <c r="O661" s="43"/>
      <c r="P661" s="43"/>
      <c r="Q661" s="43"/>
      <c r="R661" s="49"/>
      <c r="S661" s="49"/>
      <c r="T661" s="49"/>
      <c r="U661" s="49"/>
      <c r="V661" s="49"/>
      <c r="W661" s="49"/>
      <c r="X661" s="49"/>
      <c r="Y661" s="49"/>
      <c r="Z661" s="49"/>
      <c r="AA661" s="49"/>
      <c r="AB661" s="49"/>
      <c r="AC661" s="49"/>
    </row>
    <row r="662" spans="1:29">
      <c r="A662" s="43"/>
      <c r="B662" s="43"/>
      <c r="C662" s="43"/>
      <c r="D662" s="43"/>
      <c r="E662" s="43"/>
      <c r="F662" s="43"/>
      <c r="G662" s="43"/>
      <c r="H662" s="43"/>
      <c r="I662" s="43"/>
      <c r="J662" s="43"/>
      <c r="K662" s="43"/>
      <c r="L662" s="43"/>
      <c r="M662" s="43"/>
      <c r="N662" s="43"/>
      <c r="O662" s="43"/>
      <c r="P662" s="43"/>
      <c r="Q662" s="43"/>
      <c r="R662" s="49"/>
      <c r="S662" s="49"/>
      <c r="T662" s="49"/>
      <c r="U662" s="49"/>
      <c r="V662" s="49"/>
      <c r="W662" s="49"/>
      <c r="X662" s="49"/>
      <c r="Y662" s="49"/>
      <c r="Z662" s="49"/>
      <c r="AA662" s="49"/>
      <c r="AB662" s="49"/>
      <c r="AC662" s="49"/>
    </row>
    <row r="663" spans="1:29">
      <c r="A663" s="43"/>
      <c r="B663" s="43"/>
      <c r="C663" s="43"/>
      <c r="D663" s="43"/>
      <c r="E663" s="43"/>
      <c r="F663" s="43"/>
      <c r="G663" s="43"/>
      <c r="H663" s="43"/>
      <c r="I663" s="43"/>
      <c r="J663" s="43"/>
      <c r="K663" s="43"/>
      <c r="L663" s="43"/>
      <c r="M663" s="43"/>
      <c r="N663" s="43"/>
      <c r="O663" s="43"/>
      <c r="P663" s="43"/>
      <c r="Q663" s="43"/>
      <c r="R663" s="49"/>
      <c r="S663" s="49"/>
      <c r="T663" s="49"/>
      <c r="U663" s="49"/>
      <c r="V663" s="49"/>
      <c r="W663" s="49"/>
      <c r="X663" s="49"/>
      <c r="Y663" s="49"/>
      <c r="Z663" s="49"/>
      <c r="AA663" s="49"/>
      <c r="AB663" s="49"/>
      <c r="AC663" s="49"/>
    </row>
    <row r="664" spans="1:29">
      <c r="A664" s="43"/>
      <c r="B664" s="43"/>
      <c r="C664" s="43"/>
      <c r="D664" s="43"/>
      <c r="E664" s="43"/>
      <c r="F664" s="43"/>
      <c r="G664" s="43"/>
      <c r="H664" s="43"/>
      <c r="I664" s="43"/>
      <c r="J664" s="43"/>
      <c r="K664" s="43"/>
      <c r="L664" s="43"/>
      <c r="M664" s="43"/>
      <c r="N664" s="43"/>
      <c r="O664" s="43"/>
      <c r="P664" s="43"/>
      <c r="Q664" s="43"/>
      <c r="R664" s="49"/>
      <c r="S664" s="49"/>
      <c r="T664" s="49"/>
      <c r="U664" s="49"/>
      <c r="V664" s="49"/>
      <c r="W664" s="49"/>
      <c r="X664" s="49"/>
      <c r="Y664" s="49"/>
      <c r="Z664" s="49"/>
      <c r="AA664" s="49"/>
      <c r="AB664" s="49"/>
      <c r="AC664" s="49"/>
    </row>
    <row r="665" spans="1:29">
      <c r="A665" s="43"/>
      <c r="B665" s="43"/>
      <c r="C665" s="43"/>
      <c r="D665" s="43"/>
      <c r="E665" s="43"/>
      <c r="F665" s="43"/>
      <c r="G665" s="43"/>
      <c r="H665" s="43"/>
      <c r="I665" s="43"/>
      <c r="J665" s="43"/>
      <c r="K665" s="43"/>
      <c r="L665" s="43"/>
      <c r="M665" s="43"/>
      <c r="N665" s="43"/>
      <c r="O665" s="43"/>
      <c r="P665" s="43"/>
      <c r="Q665" s="43"/>
      <c r="R665" s="49"/>
      <c r="S665" s="49"/>
      <c r="T665" s="49"/>
      <c r="U665" s="49"/>
      <c r="V665" s="49"/>
      <c r="W665" s="49"/>
      <c r="X665" s="49"/>
      <c r="Y665" s="49"/>
      <c r="Z665" s="49"/>
      <c r="AA665" s="49"/>
      <c r="AB665" s="49"/>
      <c r="AC665" s="49"/>
    </row>
    <row r="666" spans="1:29">
      <c r="A666" s="43"/>
      <c r="B666" s="43"/>
      <c r="C666" s="43"/>
      <c r="D666" s="43"/>
      <c r="E666" s="43"/>
      <c r="F666" s="43"/>
      <c r="G666" s="43"/>
      <c r="H666" s="43"/>
      <c r="I666" s="43"/>
      <c r="J666" s="43"/>
      <c r="K666" s="43"/>
      <c r="L666" s="43"/>
      <c r="M666" s="43"/>
      <c r="N666" s="43"/>
      <c r="O666" s="43"/>
      <c r="P666" s="43"/>
      <c r="Q666" s="43"/>
      <c r="R666" s="49"/>
      <c r="S666" s="49"/>
      <c r="T666" s="49"/>
      <c r="U666" s="49"/>
      <c r="V666" s="49"/>
      <c r="W666" s="49"/>
      <c r="X666" s="49"/>
      <c r="Y666" s="49"/>
      <c r="Z666" s="49"/>
      <c r="AA666" s="49"/>
      <c r="AB666" s="49"/>
      <c r="AC666" s="49"/>
    </row>
    <row r="667" spans="1:29">
      <c r="A667" s="43"/>
      <c r="B667" s="43"/>
      <c r="C667" s="43"/>
      <c r="D667" s="43"/>
      <c r="E667" s="43"/>
      <c r="F667" s="43"/>
      <c r="G667" s="43"/>
      <c r="H667" s="43"/>
      <c r="I667" s="43"/>
      <c r="J667" s="43"/>
      <c r="K667" s="43"/>
      <c r="L667" s="43"/>
      <c r="M667" s="43"/>
      <c r="N667" s="43"/>
      <c r="O667" s="43"/>
      <c r="P667" s="43"/>
      <c r="Q667" s="43"/>
      <c r="R667" s="49"/>
      <c r="S667" s="49"/>
      <c r="T667" s="49"/>
      <c r="U667" s="49"/>
      <c r="V667" s="49"/>
      <c r="W667" s="49"/>
      <c r="X667" s="49"/>
      <c r="Y667" s="49"/>
      <c r="Z667" s="49"/>
      <c r="AA667" s="49"/>
      <c r="AB667" s="49"/>
      <c r="AC667" s="49"/>
    </row>
    <row r="668" spans="1:29">
      <c r="A668" s="43"/>
      <c r="B668" s="43"/>
      <c r="C668" s="43"/>
      <c r="D668" s="43"/>
      <c r="E668" s="43"/>
      <c r="F668" s="43"/>
      <c r="G668" s="43"/>
      <c r="H668" s="43"/>
      <c r="I668" s="43"/>
      <c r="J668" s="43"/>
      <c r="K668" s="43"/>
      <c r="L668" s="43"/>
      <c r="M668" s="43"/>
      <c r="N668" s="43"/>
      <c r="O668" s="43"/>
      <c r="P668" s="43"/>
      <c r="Q668" s="43"/>
      <c r="R668" s="49"/>
      <c r="S668" s="49"/>
      <c r="T668" s="49"/>
      <c r="U668" s="49"/>
      <c r="V668" s="49"/>
      <c r="W668" s="49"/>
      <c r="X668" s="49"/>
      <c r="Y668" s="49"/>
      <c r="Z668" s="49"/>
      <c r="AA668" s="49"/>
      <c r="AB668" s="49"/>
      <c r="AC668" s="49"/>
    </row>
    <row r="669" spans="1:29">
      <c r="A669" s="43"/>
      <c r="B669" s="43"/>
      <c r="C669" s="43"/>
      <c r="D669" s="43"/>
      <c r="E669" s="43"/>
      <c r="F669" s="43"/>
      <c r="G669" s="43"/>
      <c r="H669" s="43"/>
      <c r="I669" s="43"/>
      <c r="J669" s="43"/>
      <c r="K669" s="43"/>
      <c r="L669" s="43"/>
      <c r="M669" s="43"/>
      <c r="N669" s="43"/>
      <c r="O669" s="43"/>
      <c r="P669" s="43"/>
      <c r="Q669" s="43"/>
      <c r="R669" s="49"/>
      <c r="S669" s="49"/>
      <c r="T669" s="49"/>
      <c r="U669" s="49"/>
      <c r="V669" s="49"/>
      <c r="W669" s="49"/>
      <c r="X669" s="49"/>
      <c r="Y669" s="49"/>
      <c r="Z669" s="49"/>
      <c r="AA669" s="49"/>
      <c r="AB669" s="49"/>
      <c r="AC669" s="49"/>
    </row>
    <row r="670" spans="1:29">
      <c r="A670" s="43"/>
      <c r="B670" s="43"/>
      <c r="C670" s="43"/>
      <c r="D670" s="43"/>
      <c r="E670" s="43"/>
      <c r="F670" s="43"/>
      <c r="G670" s="43"/>
      <c r="H670" s="43"/>
      <c r="I670" s="43"/>
      <c r="J670" s="43"/>
      <c r="K670" s="43"/>
      <c r="L670" s="43"/>
      <c r="M670" s="43"/>
      <c r="N670" s="43"/>
      <c r="O670" s="43"/>
      <c r="P670" s="43"/>
      <c r="Q670" s="43"/>
      <c r="R670" s="49"/>
      <c r="S670" s="49"/>
      <c r="T670" s="49"/>
      <c r="U670" s="49"/>
      <c r="V670" s="49"/>
      <c r="W670" s="49"/>
      <c r="X670" s="49"/>
      <c r="Y670" s="49"/>
      <c r="Z670" s="49"/>
      <c r="AA670" s="49"/>
      <c r="AB670" s="49"/>
      <c r="AC670" s="49"/>
    </row>
    <row r="671" spans="1:29">
      <c r="A671" s="43"/>
      <c r="B671" s="43"/>
      <c r="C671" s="43"/>
      <c r="D671" s="43"/>
      <c r="E671" s="43"/>
      <c r="F671" s="43"/>
      <c r="G671" s="43"/>
      <c r="H671" s="43"/>
      <c r="I671" s="43"/>
      <c r="J671" s="43"/>
      <c r="K671" s="43"/>
      <c r="L671" s="43"/>
      <c r="M671" s="43"/>
      <c r="N671" s="43"/>
      <c r="O671" s="43"/>
      <c r="P671" s="43"/>
      <c r="Q671" s="43"/>
      <c r="R671" s="49"/>
      <c r="S671" s="49"/>
      <c r="T671" s="49"/>
      <c r="U671" s="49"/>
      <c r="V671" s="49"/>
      <c r="W671" s="49"/>
      <c r="X671" s="49"/>
      <c r="Y671" s="49"/>
      <c r="Z671" s="49"/>
      <c r="AA671" s="49"/>
      <c r="AB671" s="49"/>
      <c r="AC671" s="49"/>
    </row>
    <row r="672" spans="1:29">
      <c r="A672" s="43"/>
      <c r="B672" s="43"/>
      <c r="C672" s="43"/>
      <c r="D672" s="43"/>
      <c r="E672" s="43"/>
      <c r="F672" s="43"/>
      <c r="G672" s="43"/>
      <c r="H672" s="43"/>
      <c r="I672" s="43"/>
      <c r="J672" s="43"/>
      <c r="K672" s="43"/>
      <c r="L672" s="43"/>
      <c r="M672" s="43"/>
      <c r="N672" s="43"/>
      <c r="O672" s="43"/>
      <c r="P672" s="43"/>
      <c r="Q672" s="43"/>
      <c r="R672" s="49"/>
      <c r="S672" s="49"/>
      <c r="T672" s="49"/>
      <c r="U672" s="49"/>
      <c r="V672" s="49"/>
      <c r="W672" s="49"/>
      <c r="X672" s="49"/>
      <c r="Y672" s="49"/>
      <c r="Z672" s="49"/>
      <c r="AA672" s="49"/>
      <c r="AB672" s="49"/>
      <c r="AC672" s="49"/>
    </row>
    <row r="673" spans="1:29">
      <c r="A673" s="43"/>
      <c r="B673" s="43"/>
      <c r="C673" s="43"/>
      <c r="D673" s="43"/>
      <c r="E673" s="43"/>
      <c r="F673" s="43"/>
      <c r="G673" s="43"/>
      <c r="H673" s="43"/>
      <c r="I673" s="43"/>
      <c r="J673" s="43"/>
      <c r="K673" s="43"/>
      <c r="L673" s="43"/>
      <c r="M673" s="43"/>
      <c r="N673" s="43"/>
      <c r="O673" s="43"/>
      <c r="P673" s="43"/>
      <c r="Q673" s="43"/>
      <c r="R673" s="49"/>
      <c r="S673" s="49"/>
      <c r="T673" s="49"/>
      <c r="U673" s="49"/>
      <c r="V673" s="49"/>
      <c r="W673" s="49"/>
      <c r="X673" s="49"/>
      <c r="Y673" s="49"/>
      <c r="Z673" s="49"/>
      <c r="AA673" s="49"/>
      <c r="AB673" s="49"/>
      <c r="AC673" s="49"/>
    </row>
    <row r="674" spans="1:29">
      <c r="A674" s="43"/>
      <c r="B674" s="43"/>
      <c r="C674" s="43"/>
      <c r="D674" s="43"/>
      <c r="E674" s="43"/>
      <c r="F674" s="43"/>
      <c r="G674" s="43"/>
      <c r="H674" s="43"/>
      <c r="I674" s="43"/>
      <c r="J674" s="43"/>
      <c r="K674" s="43"/>
      <c r="L674" s="43"/>
      <c r="M674" s="43"/>
      <c r="N674" s="43"/>
      <c r="O674" s="43"/>
      <c r="P674" s="43"/>
      <c r="Q674" s="43"/>
      <c r="R674" s="49"/>
      <c r="S674" s="49"/>
      <c r="T674" s="49"/>
      <c r="U674" s="49"/>
      <c r="V674" s="49"/>
      <c r="W674" s="49"/>
      <c r="X674" s="49"/>
      <c r="Y674" s="49"/>
      <c r="Z674" s="49"/>
      <c r="AA674" s="49"/>
      <c r="AB674" s="49"/>
      <c r="AC674" s="49"/>
    </row>
    <row r="675" spans="1:29">
      <c r="A675" s="43"/>
      <c r="B675" s="43"/>
      <c r="C675" s="43"/>
      <c r="D675" s="43"/>
      <c r="E675" s="43"/>
      <c r="F675" s="43"/>
      <c r="G675" s="43"/>
      <c r="H675" s="43"/>
      <c r="I675" s="43"/>
      <c r="J675" s="43"/>
      <c r="K675" s="43"/>
      <c r="L675" s="43"/>
      <c r="M675" s="43"/>
      <c r="N675" s="43"/>
      <c r="O675" s="43"/>
      <c r="P675" s="43"/>
      <c r="Q675" s="43"/>
      <c r="R675" s="49"/>
      <c r="S675" s="49"/>
      <c r="T675" s="49"/>
      <c r="U675" s="49"/>
      <c r="V675" s="49"/>
      <c r="W675" s="49"/>
      <c r="X675" s="49"/>
      <c r="Y675" s="49"/>
      <c r="Z675" s="49"/>
      <c r="AA675" s="49"/>
      <c r="AB675" s="49"/>
      <c r="AC675" s="49"/>
    </row>
    <row r="676" spans="1:29">
      <c r="A676" s="43"/>
      <c r="B676" s="43"/>
      <c r="C676" s="43"/>
      <c r="D676" s="43"/>
      <c r="E676" s="43"/>
      <c r="F676" s="43"/>
      <c r="G676" s="43"/>
      <c r="H676" s="43"/>
      <c r="I676" s="43"/>
      <c r="J676" s="43"/>
      <c r="K676" s="43"/>
      <c r="L676" s="43"/>
      <c r="M676" s="43"/>
      <c r="N676" s="43"/>
      <c r="O676" s="43"/>
      <c r="P676" s="43"/>
      <c r="Q676" s="43"/>
      <c r="R676" s="49"/>
      <c r="S676" s="49"/>
      <c r="T676" s="49"/>
      <c r="U676" s="49"/>
      <c r="V676" s="49"/>
      <c r="W676" s="49"/>
      <c r="X676" s="49"/>
      <c r="Y676" s="49"/>
      <c r="Z676" s="49"/>
      <c r="AA676" s="49"/>
      <c r="AB676" s="49"/>
      <c r="AC676" s="49"/>
    </row>
    <row r="677" spans="1:29">
      <c r="A677" s="43"/>
      <c r="B677" s="43"/>
      <c r="C677" s="43"/>
      <c r="D677" s="43"/>
      <c r="E677" s="43"/>
      <c r="F677" s="43"/>
      <c r="G677" s="43"/>
      <c r="H677" s="43"/>
      <c r="I677" s="43"/>
      <c r="J677" s="43"/>
      <c r="K677" s="43"/>
      <c r="L677" s="43"/>
      <c r="M677" s="43"/>
      <c r="N677" s="43"/>
      <c r="O677" s="43"/>
      <c r="P677" s="43"/>
      <c r="Q677" s="43"/>
      <c r="R677" s="49"/>
      <c r="S677" s="49"/>
      <c r="T677" s="49"/>
      <c r="U677" s="49"/>
      <c r="V677" s="49"/>
      <c r="W677" s="49"/>
      <c r="X677" s="49"/>
      <c r="Y677" s="49"/>
      <c r="Z677" s="49"/>
      <c r="AA677" s="49"/>
      <c r="AB677" s="49"/>
      <c r="AC677" s="49"/>
    </row>
    <row r="678" spans="1:29">
      <c r="A678" s="43"/>
      <c r="B678" s="43"/>
      <c r="C678" s="43"/>
      <c r="D678" s="43"/>
      <c r="E678" s="43"/>
      <c r="F678" s="43"/>
      <c r="G678" s="43"/>
      <c r="H678" s="43"/>
      <c r="I678" s="43"/>
      <c r="J678" s="43"/>
      <c r="K678" s="43"/>
      <c r="L678" s="43"/>
      <c r="M678" s="43"/>
      <c r="N678" s="43"/>
      <c r="O678" s="43"/>
      <c r="P678" s="43"/>
      <c r="Q678" s="43"/>
      <c r="R678" s="49"/>
      <c r="S678" s="49"/>
      <c r="T678" s="49"/>
      <c r="U678" s="49"/>
      <c r="V678" s="49"/>
      <c r="W678" s="49"/>
      <c r="X678" s="49"/>
      <c r="Y678" s="49"/>
      <c r="Z678" s="49"/>
      <c r="AA678" s="49"/>
      <c r="AB678" s="49"/>
      <c r="AC678" s="49"/>
    </row>
    <row r="679" spans="1:29">
      <c r="A679" s="43"/>
      <c r="B679" s="43"/>
      <c r="C679" s="43"/>
      <c r="D679" s="43"/>
      <c r="E679" s="43"/>
      <c r="F679" s="43"/>
      <c r="G679" s="43"/>
      <c r="H679" s="43"/>
      <c r="I679" s="43"/>
      <c r="J679" s="43"/>
      <c r="K679" s="43"/>
      <c r="L679" s="43"/>
      <c r="M679" s="43"/>
      <c r="N679" s="43"/>
      <c r="O679" s="43"/>
      <c r="P679" s="43"/>
      <c r="Q679" s="43"/>
      <c r="R679" s="49"/>
      <c r="S679" s="49"/>
      <c r="T679" s="49"/>
      <c r="U679" s="49"/>
      <c r="V679" s="49"/>
      <c r="W679" s="49"/>
      <c r="X679" s="49"/>
      <c r="Y679" s="49"/>
      <c r="Z679" s="49"/>
      <c r="AA679" s="49"/>
      <c r="AB679" s="49"/>
      <c r="AC679" s="49"/>
    </row>
    <row r="680" spans="1:29">
      <c r="A680" s="43"/>
      <c r="B680" s="43"/>
      <c r="C680" s="43"/>
      <c r="D680" s="43"/>
      <c r="E680" s="43"/>
      <c r="F680" s="43"/>
      <c r="G680" s="43"/>
      <c r="H680" s="43"/>
      <c r="I680" s="43"/>
      <c r="J680" s="43"/>
      <c r="K680" s="43"/>
      <c r="L680" s="43"/>
      <c r="M680" s="43"/>
      <c r="N680" s="43"/>
      <c r="O680" s="43"/>
      <c r="P680" s="43"/>
      <c r="Q680" s="43"/>
      <c r="R680" s="49"/>
      <c r="S680" s="49"/>
      <c r="T680" s="49"/>
      <c r="U680" s="49"/>
      <c r="V680" s="49"/>
      <c r="W680" s="49"/>
      <c r="X680" s="49"/>
      <c r="Y680" s="49"/>
      <c r="Z680" s="49"/>
      <c r="AA680" s="49"/>
      <c r="AB680" s="49"/>
      <c r="AC680" s="49"/>
    </row>
    <row r="681" spans="1:29">
      <c r="A681" s="43"/>
      <c r="B681" s="43"/>
      <c r="C681" s="43"/>
      <c r="D681" s="43"/>
      <c r="E681" s="43"/>
      <c r="F681" s="43"/>
      <c r="G681" s="43"/>
      <c r="H681" s="43"/>
      <c r="I681" s="43"/>
      <c r="J681" s="43"/>
      <c r="K681" s="43"/>
      <c r="L681" s="43"/>
      <c r="M681" s="43"/>
      <c r="N681" s="43"/>
      <c r="O681" s="43"/>
      <c r="P681" s="43"/>
      <c r="Q681" s="43"/>
      <c r="R681" s="49"/>
      <c r="S681" s="49"/>
      <c r="T681" s="49"/>
      <c r="U681" s="49"/>
      <c r="V681" s="49"/>
      <c r="W681" s="49"/>
      <c r="X681" s="49"/>
      <c r="Y681" s="49"/>
      <c r="Z681" s="49"/>
      <c r="AA681" s="49"/>
      <c r="AB681" s="49"/>
      <c r="AC681" s="49"/>
    </row>
    <row r="682" spans="1:29">
      <c r="A682" s="43"/>
      <c r="B682" s="43"/>
      <c r="C682" s="43"/>
      <c r="D682" s="43"/>
      <c r="E682" s="43"/>
      <c r="F682" s="43"/>
      <c r="G682" s="43"/>
      <c r="H682" s="43"/>
      <c r="I682" s="43"/>
      <c r="J682" s="43"/>
      <c r="K682" s="43"/>
      <c r="L682" s="43"/>
      <c r="M682" s="43"/>
      <c r="N682" s="43"/>
      <c r="O682" s="43"/>
      <c r="P682" s="43"/>
      <c r="Q682" s="43"/>
      <c r="R682" s="49"/>
      <c r="S682" s="49"/>
      <c r="T682" s="49"/>
      <c r="U682" s="49"/>
      <c r="V682" s="49"/>
      <c r="W682" s="49"/>
      <c r="X682" s="49"/>
      <c r="Y682" s="49"/>
      <c r="Z682" s="49"/>
      <c r="AA682" s="49"/>
      <c r="AB682" s="49"/>
      <c r="AC682" s="49"/>
    </row>
    <row r="683" spans="1:29">
      <c r="A683" s="43"/>
      <c r="B683" s="43"/>
      <c r="C683" s="43"/>
      <c r="D683" s="43"/>
      <c r="E683" s="43"/>
      <c r="F683" s="43"/>
      <c r="G683" s="43"/>
      <c r="H683" s="43"/>
      <c r="I683" s="43"/>
      <c r="J683" s="43"/>
      <c r="K683" s="43"/>
      <c r="L683" s="43"/>
      <c r="M683" s="43"/>
      <c r="N683" s="43"/>
      <c r="O683" s="43"/>
      <c r="P683" s="43"/>
      <c r="Q683" s="43"/>
      <c r="R683" s="49"/>
      <c r="S683" s="49"/>
      <c r="T683" s="49"/>
      <c r="U683" s="49"/>
      <c r="V683" s="49"/>
      <c r="W683" s="49"/>
      <c r="X683" s="49"/>
      <c r="Y683" s="49"/>
      <c r="Z683" s="49"/>
      <c r="AA683" s="49"/>
      <c r="AB683" s="49"/>
      <c r="AC683" s="49"/>
    </row>
    <row r="684" spans="1:29">
      <c r="A684" s="43"/>
      <c r="B684" s="43"/>
      <c r="C684" s="43"/>
      <c r="D684" s="43"/>
      <c r="E684" s="43"/>
      <c r="F684" s="43"/>
      <c r="G684" s="43"/>
      <c r="H684" s="43"/>
      <c r="I684" s="43"/>
      <c r="J684" s="43"/>
      <c r="K684" s="43"/>
      <c r="L684" s="43"/>
      <c r="M684" s="43"/>
      <c r="N684" s="43"/>
      <c r="O684" s="43"/>
      <c r="P684" s="43"/>
      <c r="Q684" s="43"/>
      <c r="R684" s="49"/>
      <c r="S684" s="49"/>
      <c r="T684" s="49"/>
      <c r="U684" s="49"/>
      <c r="V684" s="49"/>
      <c r="W684" s="49"/>
      <c r="X684" s="49"/>
      <c r="Y684" s="49"/>
      <c r="Z684" s="49"/>
      <c r="AA684" s="49"/>
      <c r="AB684" s="49"/>
      <c r="AC684" s="49"/>
    </row>
    <row r="685" spans="1:29">
      <c r="A685" s="43"/>
      <c r="B685" s="43"/>
      <c r="C685" s="43"/>
      <c r="D685" s="43"/>
      <c r="E685" s="43"/>
      <c r="F685" s="43"/>
      <c r="G685" s="43"/>
      <c r="H685" s="43"/>
      <c r="I685" s="43"/>
      <c r="J685" s="43"/>
      <c r="K685" s="43"/>
      <c r="L685" s="43"/>
      <c r="M685" s="43"/>
      <c r="N685" s="43"/>
      <c r="O685" s="43"/>
      <c r="P685" s="43"/>
      <c r="Q685" s="43"/>
      <c r="R685" s="49"/>
      <c r="S685" s="49"/>
      <c r="T685" s="49"/>
      <c r="U685" s="49"/>
      <c r="V685" s="49"/>
      <c r="W685" s="49"/>
      <c r="X685" s="49"/>
      <c r="Y685" s="49"/>
      <c r="Z685" s="49"/>
      <c r="AA685" s="49"/>
      <c r="AB685" s="49"/>
      <c r="AC685" s="49"/>
    </row>
    <row r="686" spans="1:29">
      <c r="A686" s="43"/>
      <c r="B686" s="43"/>
      <c r="C686" s="43"/>
      <c r="D686" s="43"/>
      <c r="E686" s="43"/>
      <c r="F686" s="43"/>
      <c r="G686" s="43"/>
      <c r="H686" s="43"/>
      <c r="I686" s="43"/>
      <c r="J686" s="43"/>
      <c r="K686" s="43"/>
      <c r="L686" s="43"/>
      <c r="M686" s="43"/>
      <c r="N686" s="43"/>
      <c r="O686" s="43"/>
      <c r="P686" s="43"/>
      <c r="Q686" s="43"/>
      <c r="R686" s="49"/>
      <c r="S686" s="49"/>
      <c r="T686" s="49"/>
      <c r="U686" s="49"/>
      <c r="V686" s="49"/>
      <c r="W686" s="49"/>
      <c r="X686" s="49"/>
      <c r="Y686" s="49"/>
      <c r="Z686" s="49"/>
      <c r="AA686" s="49"/>
      <c r="AB686" s="49"/>
      <c r="AC686" s="49"/>
    </row>
    <row r="687" spans="1:29">
      <c r="A687" s="43"/>
      <c r="B687" s="43"/>
      <c r="C687" s="43"/>
      <c r="D687" s="43"/>
      <c r="E687" s="43"/>
      <c r="F687" s="43"/>
      <c r="G687" s="43"/>
      <c r="H687" s="43"/>
      <c r="I687" s="43"/>
      <c r="J687" s="43"/>
      <c r="K687" s="43"/>
      <c r="L687" s="43"/>
      <c r="M687" s="43"/>
      <c r="N687" s="43"/>
      <c r="O687" s="43"/>
      <c r="P687" s="43"/>
      <c r="Q687" s="43"/>
      <c r="R687" s="49"/>
      <c r="S687" s="49"/>
      <c r="T687" s="49"/>
      <c r="U687" s="49"/>
      <c r="V687" s="49"/>
      <c r="W687" s="49"/>
      <c r="X687" s="49"/>
      <c r="Y687" s="49"/>
      <c r="Z687" s="49"/>
      <c r="AA687" s="49"/>
      <c r="AB687" s="49"/>
      <c r="AC687" s="49"/>
    </row>
    <row r="688" spans="1:29">
      <c r="A688" s="43"/>
      <c r="B688" s="43"/>
      <c r="C688" s="43"/>
      <c r="D688" s="43"/>
      <c r="E688" s="43"/>
      <c r="F688" s="43"/>
      <c r="G688" s="43"/>
      <c r="H688" s="43"/>
      <c r="I688" s="43"/>
      <c r="J688" s="43"/>
      <c r="K688" s="43"/>
      <c r="L688" s="43"/>
      <c r="M688" s="43"/>
      <c r="N688" s="43"/>
      <c r="O688" s="43"/>
      <c r="P688" s="43"/>
      <c r="Q688" s="43"/>
      <c r="R688" s="49"/>
      <c r="S688" s="49"/>
      <c r="T688" s="49"/>
      <c r="U688" s="49"/>
      <c r="V688" s="49"/>
      <c r="W688" s="49"/>
      <c r="X688" s="49"/>
      <c r="Y688" s="49"/>
      <c r="Z688" s="49"/>
      <c r="AA688" s="49"/>
      <c r="AB688" s="49"/>
      <c r="AC688" s="49"/>
    </row>
    <row r="689" spans="1:29">
      <c r="A689" s="43"/>
      <c r="B689" s="43"/>
      <c r="C689" s="43"/>
      <c r="D689" s="43"/>
      <c r="E689" s="43"/>
      <c r="F689" s="43"/>
      <c r="G689" s="43"/>
      <c r="H689" s="43"/>
      <c r="I689" s="43"/>
      <c r="J689" s="43"/>
      <c r="K689" s="43"/>
      <c r="L689" s="43"/>
      <c r="M689" s="43"/>
      <c r="N689" s="43"/>
      <c r="O689" s="43"/>
      <c r="P689" s="43"/>
      <c r="Q689" s="43"/>
      <c r="R689" s="49"/>
      <c r="S689" s="49"/>
      <c r="T689" s="49"/>
      <c r="U689" s="49"/>
      <c r="V689" s="49"/>
      <c r="W689" s="49"/>
      <c r="X689" s="49"/>
      <c r="Y689" s="49"/>
      <c r="Z689" s="49"/>
      <c r="AA689" s="49"/>
      <c r="AB689" s="49"/>
      <c r="AC689" s="49"/>
    </row>
    <row r="690" spans="1:29">
      <c r="A690" s="43"/>
      <c r="B690" s="43"/>
      <c r="C690" s="43"/>
      <c r="D690" s="43"/>
      <c r="E690" s="43"/>
      <c r="F690" s="43"/>
      <c r="G690" s="43"/>
      <c r="H690" s="43"/>
      <c r="I690" s="43"/>
      <c r="J690" s="43"/>
      <c r="K690" s="43"/>
      <c r="L690" s="43"/>
      <c r="M690" s="43"/>
      <c r="N690" s="43"/>
      <c r="O690" s="43"/>
      <c r="P690" s="43"/>
      <c r="Q690" s="43"/>
      <c r="R690" s="49"/>
      <c r="S690" s="49"/>
      <c r="T690" s="49"/>
      <c r="U690" s="49"/>
      <c r="V690" s="49"/>
      <c r="W690" s="49"/>
      <c r="X690" s="49"/>
      <c r="Y690" s="49"/>
      <c r="Z690" s="49"/>
      <c r="AA690" s="49"/>
      <c r="AB690" s="49"/>
      <c r="AC690" s="49"/>
    </row>
    <row r="691" spans="1:29">
      <c r="A691" s="43"/>
      <c r="B691" s="43"/>
      <c r="C691" s="43"/>
      <c r="D691" s="43"/>
      <c r="E691" s="43"/>
      <c r="F691" s="43"/>
      <c r="G691" s="43"/>
      <c r="H691" s="43"/>
      <c r="I691" s="43"/>
      <c r="J691" s="43"/>
      <c r="K691" s="43"/>
      <c r="L691" s="43"/>
      <c r="M691" s="43"/>
      <c r="N691" s="43"/>
      <c r="O691" s="43"/>
      <c r="P691" s="43"/>
      <c r="Q691" s="43"/>
      <c r="R691" s="49"/>
      <c r="S691" s="49"/>
      <c r="T691" s="49"/>
      <c r="U691" s="49"/>
      <c r="V691" s="49"/>
      <c r="W691" s="49"/>
      <c r="X691" s="49"/>
      <c r="Y691" s="49"/>
      <c r="Z691" s="49"/>
      <c r="AA691" s="49"/>
      <c r="AB691" s="49"/>
      <c r="AC691" s="49"/>
    </row>
    <row r="692" spans="1:29">
      <c r="A692" s="43"/>
      <c r="B692" s="43"/>
      <c r="C692" s="43"/>
      <c r="D692" s="43"/>
      <c r="E692" s="43"/>
      <c r="F692" s="43"/>
      <c r="G692" s="43"/>
      <c r="H692" s="43"/>
      <c r="I692" s="43"/>
      <c r="J692" s="43"/>
      <c r="K692" s="43"/>
      <c r="L692" s="43"/>
      <c r="M692" s="43"/>
      <c r="N692" s="43"/>
      <c r="O692" s="43"/>
      <c r="P692" s="43"/>
      <c r="Q692" s="43"/>
      <c r="R692" s="49"/>
      <c r="S692" s="49"/>
      <c r="T692" s="49"/>
      <c r="U692" s="49"/>
      <c r="V692" s="49"/>
      <c r="W692" s="49"/>
      <c r="X692" s="49"/>
      <c r="Y692" s="49"/>
      <c r="Z692" s="49"/>
      <c r="AA692" s="49"/>
      <c r="AB692" s="49"/>
      <c r="AC692" s="49"/>
    </row>
    <row r="693" spans="1:29">
      <c r="A693" s="43"/>
      <c r="B693" s="43"/>
      <c r="C693" s="43"/>
      <c r="D693" s="43"/>
      <c r="E693" s="43"/>
      <c r="F693" s="43"/>
      <c r="G693" s="43"/>
      <c r="H693" s="43"/>
      <c r="I693" s="43"/>
      <c r="J693" s="43"/>
      <c r="K693" s="43"/>
      <c r="L693" s="43"/>
      <c r="M693" s="43"/>
      <c r="N693" s="43"/>
      <c r="O693" s="43"/>
      <c r="P693" s="43"/>
      <c r="Q693" s="43"/>
      <c r="R693" s="49"/>
      <c r="S693" s="49"/>
      <c r="T693" s="49"/>
      <c r="U693" s="49"/>
      <c r="V693" s="49"/>
      <c r="W693" s="49"/>
      <c r="X693" s="49"/>
      <c r="Y693" s="49"/>
      <c r="Z693" s="49"/>
      <c r="AA693" s="49"/>
      <c r="AB693" s="49"/>
      <c r="AC693" s="49"/>
    </row>
    <row r="694" spans="1:29">
      <c r="A694" s="43"/>
      <c r="B694" s="43"/>
      <c r="C694" s="43"/>
      <c r="D694" s="43"/>
      <c r="E694" s="43"/>
      <c r="F694" s="43"/>
      <c r="G694" s="43"/>
      <c r="H694" s="43"/>
      <c r="I694" s="43"/>
      <c r="J694" s="43"/>
      <c r="K694" s="43"/>
      <c r="L694" s="43"/>
      <c r="M694" s="43"/>
      <c r="N694" s="43"/>
      <c r="O694" s="43"/>
      <c r="P694" s="43"/>
      <c r="Q694" s="43"/>
      <c r="R694" s="49"/>
      <c r="S694" s="49"/>
      <c r="T694" s="49"/>
      <c r="U694" s="49"/>
      <c r="V694" s="49"/>
      <c r="W694" s="49"/>
      <c r="X694" s="49"/>
      <c r="Y694" s="49"/>
      <c r="Z694" s="49"/>
      <c r="AA694" s="49"/>
      <c r="AB694" s="49"/>
      <c r="AC694" s="49"/>
    </row>
    <row r="695" spans="1:29">
      <c r="A695" s="43"/>
      <c r="B695" s="43"/>
      <c r="C695" s="43"/>
      <c r="D695" s="43"/>
      <c r="E695" s="43"/>
      <c r="F695" s="43"/>
      <c r="G695" s="43"/>
      <c r="H695" s="43"/>
      <c r="I695" s="43"/>
      <c r="J695" s="43"/>
      <c r="K695" s="43"/>
      <c r="L695" s="43"/>
      <c r="M695" s="43"/>
      <c r="N695" s="43"/>
      <c r="O695" s="43"/>
      <c r="P695" s="43"/>
      <c r="Q695" s="43"/>
      <c r="R695" s="49"/>
      <c r="S695" s="49"/>
      <c r="T695" s="49"/>
      <c r="U695" s="49"/>
      <c r="V695" s="49"/>
      <c r="W695" s="49"/>
      <c r="X695" s="49"/>
      <c r="Y695" s="49"/>
      <c r="Z695" s="49"/>
      <c r="AA695" s="49"/>
      <c r="AB695" s="49"/>
      <c r="AC695" s="49"/>
    </row>
    <row r="696" spans="1:29">
      <c r="A696" s="43"/>
      <c r="B696" s="43"/>
      <c r="C696" s="43"/>
      <c r="D696" s="43"/>
      <c r="E696" s="43"/>
      <c r="F696" s="43"/>
      <c r="G696" s="43"/>
      <c r="H696" s="43"/>
      <c r="I696" s="43"/>
      <c r="J696" s="43"/>
      <c r="K696" s="43"/>
      <c r="L696" s="43"/>
      <c r="M696" s="43"/>
      <c r="N696" s="43"/>
      <c r="O696" s="43"/>
      <c r="P696" s="43"/>
      <c r="Q696" s="43"/>
      <c r="R696" s="49"/>
      <c r="S696" s="49"/>
      <c r="T696" s="49"/>
      <c r="U696" s="49"/>
      <c r="V696" s="49"/>
      <c r="W696" s="49"/>
      <c r="X696" s="49"/>
      <c r="Y696" s="49"/>
      <c r="Z696" s="49"/>
      <c r="AA696" s="49"/>
      <c r="AB696" s="49"/>
      <c r="AC696" s="49"/>
    </row>
    <row r="697" spans="1:29">
      <c r="A697" s="43"/>
      <c r="B697" s="43"/>
      <c r="C697" s="43"/>
      <c r="D697" s="43"/>
      <c r="E697" s="43"/>
      <c r="F697" s="43"/>
      <c r="G697" s="43"/>
      <c r="H697" s="43"/>
      <c r="I697" s="43"/>
      <c r="J697" s="43"/>
      <c r="K697" s="43"/>
      <c r="L697" s="43"/>
      <c r="M697" s="43"/>
      <c r="N697" s="43"/>
      <c r="O697" s="43"/>
      <c r="P697" s="43"/>
      <c r="Q697" s="43"/>
      <c r="R697" s="49"/>
      <c r="S697" s="49"/>
      <c r="T697" s="49"/>
      <c r="U697" s="49"/>
      <c r="V697" s="49"/>
      <c r="W697" s="49"/>
      <c r="X697" s="49"/>
      <c r="Y697" s="49"/>
      <c r="Z697" s="49"/>
      <c r="AA697" s="49"/>
      <c r="AB697" s="49"/>
      <c r="AC697" s="49"/>
    </row>
    <row r="698" spans="1:29">
      <c r="A698" s="43"/>
      <c r="B698" s="43"/>
      <c r="C698" s="43"/>
      <c r="D698" s="43"/>
      <c r="E698" s="43"/>
      <c r="F698" s="43"/>
      <c r="G698" s="43"/>
      <c r="H698" s="43"/>
      <c r="I698" s="43"/>
      <c r="J698" s="43"/>
      <c r="K698" s="43"/>
      <c r="L698" s="43"/>
      <c r="M698" s="43"/>
      <c r="N698" s="43"/>
      <c r="O698" s="43"/>
      <c r="P698" s="43"/>
      <c r="Q698" s="43"/>
      <c r="R698" s="49"/>
      <c r="S698" s="49"/>
      <c r="T698" s="49"/>
      <c r="U698" s="49"/>
      <c r="V698" s="49"/>
      <c r="W698" s="49"/>
      <c r="X698" s="49"/>
      <c r="Y698" s="49"/>
      <c r="Z698" s="49"/>
      <c r="AA698" s="49"/>
      <c r="AB698" s="49"/>
      <c r="AC698" s="49"/>
    </row>
    <row r="699" spans="1:29">
      <c r="A699" s="43"/>
      <c r="B699" s="43"/>
      <c r="C699" s="43"/>
      <c r="D699" s="43"/>
      <c r="E699" s="43"/>
      <c r="F699" s="43"/>
      <c r="G699" s="43"/>
      <c r="H699" s="43"/>
      <c r="I699" s="43"/>
      <c r="J699" s="43"/>
      <c r="K699" s="43"/>
      <c r="L699" s="43"/>
      <c r="M699" s="43"/>
      <c r="N699" s="43"/>
      <c r="O699" s="43"/>
      <c r="P699" s="43"/>
      <c r="Q699" s="43"/>
      <c r="R699" s="49"/>
      <c r="S699" s="49"/>
      <c r="T699" s="49"/>
      <c r="U699" s="49"/>
      <c r="V699" s="49"/>
      <c r="W699" s="49"/>
      <c r="X699" s="49"/>
      <c r="Y699" s="49"/>
      <c r="Z699" s="49"/>
      <c r="AA699" s="49"/>
      <c r="AB699" s="49"/>
      <c r="AC699" s="49"/>
    </row>
    <row r="700" spans="1:29">
      <c r="A700" s="43"/>
      <c r="B700" s="43"/>
      <c r="C700" s="43"/>
      <c r="D700" s="43"/>
      <c r="E700" s="43"/>
      <c r="F700" s="43"/>
      <c r="G700" s="43"/>
      <c r="H700" s="43"/>
      <c r="I700" s="43"/>
      <c r="J700" s="43"/>
      <c r="K700" s="43"/>
      <c r="L700" s="43"/>
      <c r="M700" s="43"/>
      <c r="N700" s="43"/>
      <c r="O700" s="43"/>
      <c r="P700" s="43"/>
      <c r="Q700" s="43"/>
      <c r="R700" s="49"/>
      <c r="S700" s="49"/>
      <c r="T700" s="49"/>
      <c r="U700" s="49"/>
      <c r="V700" s="49"/>
      <c r="W700" s="49"/>
      <c r="X700" s="49"/>
      <c r="Y700" s="49"/>
      <c r="Z700" s="49"/>
      <c r="AA700" s="49"/>
      <c r="AB700" s="49"/>
      <c r="AC700" s="49"/>
    </row>
    <row r="701" spans="1:29">
      <c r="A701" s="43"/>
      <c r="B701" s="43"/>
      <c r="C701" s="43"/>
      <c r="D701" s="43"/>
      <c r="E701" s="43"/>
      <c r="F701" s="43"/>
      <c r="G701" s="43"/>
      <c r="H701" s="43"/>
      <c r="I701" s="43"/>
      <c r="J701" s="43"/>
      <c r="K701" s="43"/>
      <c r="L701" s="43"/>
      <c r="M701" s="43"/>
      <c r="N701" s="43"/>
      <c r="O701" s="43"/>
      <c r="P701" s="43"/>
      <c r="Q701" s="43"/>
      <c r="R701" s="49"/>
      <c r="S701" s="49"/>
      <c r="T701" s="49"/>
      <c r="U701" s="49"/>
      <c r="V701" s="49"/>
      <c r="W701" s="49"/>
      <c r="X701" s="49"/>
      <c r="Y701" s="49"/>
      <c r="Z701" s="49"/>
      <c r="AA701" s="49"/>
      <c r="AB701" s="49"/>
      <c r="AC701" s="49"/>
    </row>
    <row r="702" spans="1:29">
      <c r="A702" s="43"/>
      <c r="B702" s="43"/>
      <c r="C702" s="43"/>
      <c r="D702" s="43"/>
      <c r="E702" s="43"/>
      <c r="F702" s="43"/>
      <c r="G702" s="43"/>
      <c r="H702" s="43"/>
      <c r="I702" s="43"/>
      <c r="J702" s="43"/>
      <c r="K702" s="43"/>
      <c r="L702" s="43"/>
      <c r="M702" s="43"/>
      <c r="N702" s="43"/>
      <c r="O702" s="43"/>
      <c r="P702" s="43"/>
      <c r="Q702" s="43"/>
      <c r="R702" s="49"/>
      <c r="S702" s="49"/>
      <c r="T702" s="49"/>
      <c r="U702" s="49"/>
      <c r="V702" s="49"/>
      <c r="W702" s="49"/>
      <c r="X702" s="49"/>
      <c r="Y702" s="49"/>
      <c r="Z702" s="49"/>
      <c r="AA702" s="49"/>
      <c r="AB702" s="49"/>
      <c r="AC702" s="49"/>
    </row>
    <row r="703" spans="1:29">
      <c r="A703" s="43"/>
      <c r="B703" s="43"/>
      <c r="C703" s="43"/>
      <c r="D703" s="43"/>
      <c r="E703" s="43"/>
      <c r="F703" s="43"/>
      <c r="G703" s="43"/>
      <c r="H703" s="43"/>
      <c r="I703" s="43"/>
      <c r="J703" s="43"/>
      <c r="K703" s="43"/>
      <c r="L703" s="43"/>
      <c r="M703" s="43"/>
      <c r="N703" s="43"/>
      <c r="O703" s="43"/>
      <c r="P703" s="43"/>
      <c r="Q703" s="43"/>
      <c r="R703" s="49"/>
      <c r="S703" s="49"/>
      <c r="T703" s="49"/>
      <c r="U703" s="49"/>
      <c r="V703" s="49"/>
      <c r="W703" s="49"/>
      <c r="X703" s="49"/>
      <c r="Y703" s="49"/>
      <c r="Z703" s="49"/>
      <c r="AA703" s="49"/>
      <c r="AB703" s="49"/>
      <c r="AC703" s="49"/>
    </row>
    <row r="704" spans="1:29">
      <c r="A704" s="43"/>
      <c r="B704" s="43"/>
      <c r="C704" s="43"/>
      <c r="D704" s="43"/>
      <c r="E704" s="43"/>
      <c r="F704" s="43"/>
      <c r="G704" s="43"/>
      <c r="H704" s="43"/>
      <c r="I704" s="43"/>
      <c r="J704" s="43"/>
      <c r="K704" s="43"/>
      <c r="L704" s="43"/>
      <c r="M704" s="43"/>
      <c r="N704" s="43"/>
      <c r="O704" s="43"/>
      <c r="P704" s="43"/>
      <c r="Q704" s="43"/>
      <c r="R704" s="49"/>
      <c r="S704" s="49"/>
      <c r="T704" s="49"/>
      <c r="U704" s="49"/>
      <c r="V704" s="49"/>
      <c r="W704" s="49"/>
      <c r="X704" s="49"/>
      <c r="Y704" s="49"/>
      <c r="Z704" s="49"/>
      <c r="AA704" s="49"/>
      <c r="AB704" s="49"/>
      <c r="AC704" s="49"/>
    </row>
    <row r="705" spans="1:29">
      <c r="A705" s="43"/>
      <c r="B705" s="43"/>
      <c r="C705" s="43"/>
      <c r="D705" s="43"/>
      <c r="E705" s="43"/>
      <c r="F705" s="43"/>
      <c r="G705" s="43"/>
      <c r="H705" s="43"/>
      <c r="I705" s="43"/>
      <c r="J705" s="43"/>
      <c r="K705" s="43"/>
      <c r="L705" s="43"/>
      <c r="M705" s="43"/>
      <c r="N705" s="43"/>
      <c r="O705" s="43"/>
      <c r="P705" s="43"/>
      <c r="Q705" s="43"/>
      <c r="R705" s="49"/>
      <c r="S705" s="49"/>
      <c r="T705" s="49"/>
      <c r="U705" s="49"/>
      <c r="V705" s="49"/>
      <c r="W705" s="49"/>
      <c r="X705" s="49"/>
      <c r="Y705" s="49"/>
      <c r="Z705" s="49"/>
      <c r="AA705" s="49"/>
      <c r="AB705" s="49"/>
      <c r="AC705" s="49"/>
    </row>
    <row r="706" spans="1:29">
      <c r="A706" s="43"/>
      <c r="B706" s="43"/>
      <c r="C706" s="43"/>
      <c r="D706" s="43"/>
      <c r="E706" s="43"/>
      <c r="F706" s="43"/>
      <c r="G706" s="43"/>
      <c r="H706" s="43"/>
      <c r="I706" s="43"/>
      <c r="J706" s="43"/>
      <c r="K706" s="43"/>
      <c r="L706" s="43"/>
      <c r="M706" s="43"/>
      <c r="N706" s="43"/>
      <c r="O706" s="43"/>
      <c r="P706" s="43"/>
      <c r="Q706" s="43"/>
      <c r="R706" s="49"/>
      <c r="S706" s="49"/>
      <c r="T706" s="49"/>
      <c r="U706" s="49"/>
      <c r="V706" s="49"/>
      <c r="W706" s="49"/>
      <c r="X706" s="49"/>
      <c r="Y706" s="49"/>
      <c r="Z706" s="49"/>
      <c r="AA706" s="49"/>
      <c r="AB706" s="49"/>
      <c r="AC706" s="49"/>
    </row>
    <row r="707" spans="1:29">
      <c r="A707" s="43"/>
      <c r="B707" s="43"/>
      <c r="C707" s="43"/>
      <c r="D707" s="43"/>
      <c r="E707" s="43"/>
      <c r="F707" s="43"/>
      <c r="G707" s="43"/>
      <c r="H707" s="43"/>
      <c r="I707" s="43"/>
      <c r="J707" s="43"/>
      <c r="K707" s="43"/>
      <c r="L707" s="43"/>
      <c r="M707" s="43"/>
      <c r="N707" s="43"/>
      <c r="O707" s="43"/>
      <c r="P707" s="43"/>
      <c r="Q707" s="43"/>
      <c r="R707" s="49"/>
      <c r="S707" s="49"/>
      <c r="T707" s="49"/>
      <c r="U707" s="49"/>
      <c r="V707" s="49"/>
      <c r="W707" s="49"/>
      <c r="X707" s="49"/>
      <c r="Y707" s="49"/>
      <c r="Z707" s="49"/>
      <c r="AA707" s="49"/>
      <c r="AB707" s="49"/>
      <c r="AC707" s="49"/>
    </row>
    <row r="708" spans="1:29">
      <c r="A708" s="43"/>
      <c r="B708" s="43"/>
      <c r="C708" s="43"/>
      <c r="D708" s="43"/>
      <c r="E708" s="43"/>
      <c r="F708" s="43"/>
      <c r="G708" s="43"/>
      <c r="H708" s="43"/>
      <c r="I708" s="43"/>
      <c r="J708" s="43"/>
      <c r="K708" s="43"/>
      <c r="L708" s="43"/>
      <c r="M708" s="43"/>
      <c r="N708" s="43"/>
      <c r="O708" s="43"/>
      <c r="P708" s="43"/>
      <c r="Q708" s="43"/>
      <c r="R708" s="49"/>
      <c r="S708" s="49"/>
      <c r="T708" s="49"/>
      <c r="U708" s="49"/>
      <c r="V708" s="49"/>
      <c r="W708" s="49"/>
      <c r="X708" s="49"/>
      <c r="Y708" s="49"/>
      <c r="Z708" s="49"/>
      <c r="AA708" s="49"/>
      <c r="AB708" s="49"/>
      <c r="AC708" s="49"/>
    </row>
    <row r="709" spans="1:29">
      <c r="A709" s="43"/>
      <c r="B709" s="43"/>
      <c r="C709" s="43"/>
      <c r="D709" s="43"/>
      <c r="E709" s="43"/>
      <c r="F709" s="43"/>
      <c r="G709" s="43"/>
      <c r="H709" s="43"/>
      <c r="I709" s="43"/>
      <c r="J709" s="43"/>
      <c r="K709" s="43"/>
      <c r="L709" s="43"/>
      <c r="M709" s="43"/>
      <c r="N709" s="43"/>
      <c r="O709" s="43"/>
      <c r="P709" s="43"/>
      <c r="Q709" s="43"/>
      <c r="R709" s="49"/>
      <c r="S709" s="49"/>
      <c r="T709" s="49"/>
      <c r="U709" s="49"/>
      <c r="V709" s="49"/>
      <c r="W709" s="49"/>
      <c r="X709" s="49"/>
      <c r="Y709" s="49"/>
      <c r="Z709" s="49"/>
      <c r="AA709" s="49"/>
      <c r="AB709" s="49"/>
      <c r="AC709" s="49"/>
    </row>
    <row r="710" spans="1:29">
      <c r="A710" s="43"/>
      <c r="B710" s="43"/>
      <c r="C710" s="43"/>
      <c r="D710" s="43"/>
      <c r="E710" s="43"/>
      <c r="F710" s="43"/>
      <c r="G710" s="43"/>
      <c r="H710" s="43"/>
      <c r="I710" s="43"/>
      <c r="J710" s="43"/>
      <c r="K710" s="43"/>
      <c r="L710" s="43"/>
      <c r="M710" s="43"/>
      <c r="N710" s="43"/>
      <c r="O710" s="43"/>
      <c r="P710" s="43"/>
      <c r="Q710" s="43"/>
      <c r="R710" s="49"/>
      <c r="S710" s="49"/>
      <c r="T710" s="49"/>
      <c r="U710" s="49"/>
      <c r="V710" s="49"/>
      <c r="W710" s="49"/>
      <c r="X710" s="49"/>
      <c r="Y710" s="49"/>
      <c r="Z710" s="49"/>
      <c r="AA710" s="49"/>
      <c r="AB710" s="49"/>
      <c r="AC710" s="49"/>
    </row>
    <row r="711" spans="1:29">
      <c r="A711" s="43"/>
      <c r="B711" s="43"/>
      <c r="C711" s="43"/>
      <c r="D711" s="43"/>
      <c r="E711" s="43"/>
      <c r="F711" s="43"/>
      <c r="G711" s="43"/>
      <c r="H711" s="43"/>
      <c r="I711" s="43"/>
      <c r="J711" s="43"/>
      <c r="K711" s="43"/>
      <c r="L711" s="43"/>
      <c r="M711" s="43"/>
      <c r="N711" s="43"/>
      <c r="O711" s="43"/>
      <c r="P711" s="43"/>
      <c r="Q711" s="43"/>
      <c r="R711" s="49"/>
      <c r="S711" s="49"/>
      <c r="T711" s="49"/>
      <c r="U711" s="49"/>
      <c r="V711" s="49"/>
      <c r="W711" s="49"/>
      <c r="X711" s="49"/>
      <c r="Y711" s="49"/>
      <c r="Z711" s="49"/>
      <c r="AA711" s="49"/>
      <c r="AB711" s="49"/>
      <c r="AC711" s="49"/>
    </row>
    <row r="712" spans="1:29">
      <c r="A712" s="43"/>
      <c r="B712" s="43"/>
      <c r="C712" s="43"/>
      <c r="D712" s="43"/>
      <c r="E712" s="43"/>
      <c r="F712" s="43"/>
      <c r="G712" s="43"/>
      <c r="H712" s="43"/>
      <c r="I712" s="43"/>
      <c r="J712" s="43"/>
      <c r="K712" s="43"/>
      <c r="L712" s="43"/>
      <c r="M712" s="43"/>
      <c r="N712" s="43"/>
      <c r="O712" s="43"/>
      <c r="P712" s="43"/>
      <c r="Q712" s="43"/>
      <c r="R712" s="49"/>
      <c r="S712" s="49"/>
      <c r="T712" s="49"/>
      <c r="U712" s="49"/>
      <c r="V712" s="49"/>
      <c r="W712" s="49"/>
      <c r="X712" s="49"/>
      <c r="Y712" s="49"/>
      <c r="Z712" s="49"/>
      <c r="AA712" s="49"/>
      <c r="AB712" s="49"/>
      <c r="AC712" s="49"/>
    </row>
    <row r="713" spans="1:29">
      <c r="A713" s="43"/>
      <c r="B713" s="43"/>
      <c r="C713" s="43"/>
      <c r="D713" s="43"/>
      <c r="E713" s="43"/>
      <c r="F713" s="43"/>
      <c r="G713" s="43"/>
      <c r="H713" s="43"/>
      <c r="I713" s="43"/>
      <c r="J713" s="43"/>
      <c r="K713" s="43"/>
      <c r="L713" s="43"/>
      <c r="M713" s="43"/>
      <c r="N713" s="43"/>
      <c r="O713" s="43"/>
      <c r="P713" s="43"/>
      <c r="Q713" s="43"/>
      <c r="R713" s="49"/>
      <c r="S713" s="49"/>
      <c r="T713" s="49"/>
      <c r="U713" s="49"/>
      <c r="V713" s="49"/>
      <c r="W713" s="49"/>
      <c r="X713" s="49"/>
      <c r="Y713" s="49"/>
      <c r="Z713" s="49"/>
      <c r="AA713" s="49"/>
      <c r="AB713" s="49"/>
      <c r="AC713" s="49"/>
    </row>
    <row r="714" spans="1:29">
      <c r="A714" s="43"/>
      <c r="B714" s="43"/>
      <c r="C714" s="43"/>
      <c r="D714" s="43"/>
      <c r="E714" s="43"/>
      <c r="F714" s="43"/>
      <c r="G714" s="43"/>
      <c r="H714" s="43"/>
      <c r="I714" s="43"/>
      <c r="J714" s="43"/>
      <c r="K714" s="43"/>
      <c r="L714" s="43"/>
      <c r="M714" s="43"/>
      <c r="N714" s="43"/>
      <c r="O714" s="43"/>
      <c r="P714" s="43"/>
      <c r="Q714" s="43"/>
      <c r="R714" s="49"/>
      <c r="S714" s="49"/>
      <c r="T714" s="49"/>
      <c r="U714" s="49"/>
      <c r="V714" s="49"/>
      <c r="W714" s="49"/>
      <c r="X714" s="49"/>
      <c r="Y714" s="49"/>
      <c r="Z714" s="49"/>
      <c r="AA714" s="49"/>
      <c r="AB714" s="49"/>
      <c r="AC714" s="49"/>
    </row>
    <row r="715" spans="1:29">
      <c r="A715" s="43"/>
      <c r="B715" s="43"/>
      <c r="C715" s="43"/>
      <c r="D715" s="43"/>
      <c r="E715" s="43"/>
      <c r="F715" s="43"/>
      <c r="G715" s="43"/>
      <c r="H715" s="43"/>
      <c r="I715" s="43"/>
      <c r="J715" s="43"/>
      <c r="K715" s="43"/>
      <c r="L715" s="43"/>
      <c r="M715" s="43"/>
      <c r="N715" s="43"/>
      <c r="O715" s="43"/>
      <c r="P715" s="43"/>
      <c r="Q715" s="43"/>
      <c r="R715" s="49"/>
      <c r="S715" s="49"/>
      <c r="T715" s="49"/>
      <c r="U715" s="49"/>
      <c r="V715" s="49"/>
      <c r="W715" s="49"/>
      <c r="X715" s="49"/>
      <c r="Y715" s="49"/>
      <c r="Z715" s="49"/>
      <c r="AA715" s="49"/>
      <c r="AB715" s="49"/>
      <c r="AC715" s="49"/>
    </row>
    <row r="716" spans="1:29">
      <c r="A716" s="43"/>
      <c r="B716" s="43"/>
      <c r="C716" s="43"/>
      <c r="D716" s="43"/>
      <c r="E716" s="43"/>
      <c r="F716" s="43"/>
      <c r="G716" s="43"/>
      <c r="H716" s="43"/>
      <c r="I716" s="43"/>
      <c r="J716" s="43"/>
      <c r="K716" s="43"/>
      <c r="L716" s="43"/>
      <c r="M716" s="43"/>
      <c r="N716" s="43"/>
      <c r="O716" s="43"/>
      <c r="P716" s="43"/>
      <c r="Q716" s="43"/>
      <c r="R716" s="49"/>
      <c r="S716" s="49"/>
      <c r="T716" s="49"/>
      <c r="U716" s="49"/>
      <c r="V716" s="49"/>
      <c r="W716" s="49"/>
      <c r="X716" s="49"/>
      <c r="Y716" s="49"/>
      <c r="Z716" s="49"/>
      <c r="AA716" s="49"/>
      <c r="AB716" s="49"/>
      <c r="AC716" s="49"/>
    </row>
    <row r="717" spans="1:29">
      <c r="A717" s="43"/>
      <c r="B717" s="43"/>
      <c r="C717" s="43"/>
      <c r="D717" s="43"/>
      <c r="E717" s="43"/>
      <c r="F717" s="43"/>
      <c r="G717" s="43"/>
      <c r="H717" s="43"/>
      <c r="I717" s="43"/>
      <c r="J717" s="43"/>
      <c r="K717" s="43"/>
      <c r="L717" s="43"/>
      <c r="M717" s="43"/>
      <c r="N717" s="43"/>
      <c r="O717" s="43"/>
      <c r="P717" s="43"/>
      <c r="Q717" s="43"/>
      <c r="R717" s="49"/>
      <c r="S717" s="49"/>
      <c r="T717" s="49"/>
      <c r="U717" s="49"/>
      <c r="V717" s="49"/>
      <c r="W717" s="49"/>
      <c r="X717" s="49"/>
      <c r="Y717" s="49"/>
      <c r="Z717" s="49"/>
      <c r="AA717" s="49"/>
      <c r="AB717" s="49"/>
      <c r="AC717" s="49"/>
    </row>
    <row r="718" spans="1:29">
      <c r="A718" s="43"/>
      <c r="B718" s="43"/>
      <c r="C718" s="43"/>
      <c r="D718" s="43"/>
      <c r="E718" s="43"/>
      <c r="F718" s="43"/>
      <c r="G718" s="43"/>
      <c r="H718" s="43"/>
      <c r="I718" s="43"/>
      <c r="J718" s="43"/>
      <c r="K718" s="43"/>
      <c r="L718" s="43"/>
      <c r="M718" s="43"/>
      <c r="N718" s="43"/>
      <c r="O718" s="43"/>
      <c r="P718" s="43"/>
      <c r="Q718" s="43"/>
      <c r="R718" s="49"/>
      <c r="S718" s="49"/>
      <c r="T718" s="49"/>
      <c r="U718" s="49"/>
      <c r="V718" s="49"/>
      <c r="W718" s="49"/>
      <c r="X718" s="49"/>
      <c r="Y718" s="49"/>
      <c r="Z718" s="49"/>
      <c r="AA718" s="49"/>
      <c r="AB718" s="49"/>
      <c r="AC718" s="49"/>
    </row>
    <row r="719" spans="1:29">
      <c r="A719" s="43"/>
      <c r="B719" s="43"/>
      <c r="C719" s="43"/>
      <c r="D719" s="43"/>
      <c r="E719" s="43"/>
      <c r="F719" s="43"/>
      <c r="G719" s="43"/>
      <c r="H719" s="43"/>
      <c r="I719" s="43"/>
      <c r="J719" s="43"/>
      <c r="K719" s="43"/>
      <c r="L719" s="43"/>
      <c r="M719" s="43"/>
      <c r="N719" s="43"/>
      <c r="O719" s="43"/>
      <c r="P719" s="43"/>
      <c r="Q719" s="43"/>
      <c r="R719" s="49"/>
      <c r="S719" s="49"/>
      <c r="T719" s="49"/>
      <c r="U719" s="49"/>
      <c r="V719" s="49"/>
      <c r="W719" s="49"/>
      <c r="X719" s="49"/>
      <c r="Y719" s="49"/>
      <c r="Z719" s="49"/>
      <c r="AA719" s="49"/>
      <c r="AB719" s="49"/>
      <c r="AC719" s="49"/>
    </row>
    <row r="720" spans="1:29">
      <c r="A720" s="43"/>
      <c r="B720" s="43"/>
      <c r="C720" s="43"/>
      <c r="D720" s="43"/>
      <c r="E720" s="43"/>
      <c r="F720" s="43"/>
      <c r="G720" s="43"/>
      <c r="H720" s="43"/>
      <c r="I720" s="43"/>
      <c r="J720" s="43"/>
      <c r="K720" s="43"/>
      <c r="L720" s="43"/>
      <c r="M720" s="43"/>
      <c r="N720" s="43"/>
      <c r="O720" s="43"/>
      <c r="P720" s="43"/>
      <c r="Q720" s="43"/>
      <c r="R720" s="49"/>
      <c r="S720" s="49"/>
      <c r="T720" s="49"/>
      <c r="U720" s="49"/>
      <c r="V720" s="49"/>
      <c r="W720" s="49"/>
      <c r="X720" s="49"/>
      <c r="Y720" s="49"/>
      <c r="Z720" s="49"/>
      <c r="AA720" s="49"/>
      <c r="AB720" s="49"/>
      <c r="AC720" s="49"/>
    </row>
    <row r="721" spans="1:29">
      <c r="A721" s="43"/>
      <c r="B721" s="43"/>
      <c r="C721" s="43"/>
      <c r="D721" s="43"/>
      <c r="E721" s="43"/>
      <c r="F721" s="43"/>
      <c r="G721" s="43"/>
      <c r="H721" s="43"/>
      <c r="I721" s="43"/>
      <c r="J721" s="43"/>
      <c r="K721" s="43"/>
      <c r="L721" s="43"/>
      <c r="M721" s="43"/>
      <c r="N721" s="43"/>
      <c r="O721" s="43"/>
      <c r="P721" s="43"/>
      <c r="Q721" s="43"/>
      <c r="R721" s="49"/>
      <c r="S721" s="49"/>
      <c r="T721" s="49"/>
      <c r="U721" s="49"/>
      <c r="V721" s="49"/>
      <c r="W721" s="49"/>
      <c r="X721" s="49"/>
      <c r="Y721" s="49"/>
      <c r="Z721" s="49"/>
      <c r="AA721" s="49"/>
      <c r="AB721" s="49"/>
      <c r="AC721" s="49"/>
    </row>
    <row r="722" spans="1:29">
      <c r="A722" s="43"/>
      <c r="B722" s="43"/>
      <c r="C722" s="43"/>
      <c r="D722" s="43"/>
      <c r="E722" s="43"/>
      <c r="F722" s="43"/>
      <c r="G722" s="43"/>
      <c r="H722" s="43"/>
      <c r="I722" s="43"/>
      <c r="J722" s="43"/>
      <c r="K722" s="43"/>
      <c r="L722" s="43"/>
      <c r="M722" s="43"/>
      <c r="N722" s="43"/>
      <c r="O722" s="43"/>
      <c r="P722" s="43"/>
      <c r="Q722" s="43"/>
      <c r="R722" s="49"/>
      <c r="S722" s="49"/>
      <c r="T722" s="49"/>
      <c r="U722" s="49"/>
      <c r="V722" s="49"/>
      <c r="W722" s="49"/>
      <c r="X722" s="49"/>
      <c r="Y722" s="49"/>
      <c r="Z722" s="49"/>
      <c r="AA722" s="49"/>
      <c r="AB722" s="49"/>
      <c r="AC722" s="49"/>
    </row>
    <row r="723" spans="1:29">
      <c r="A723" s="43"/>
      <c r="B723" s="43"/>
      <c r="C723" s="43"/>
      <c r="D723" s="43"/>
      <c r="E723" s="43"/>
      <c r="F723" s="43"/>
      <c r="G723" s="43"/>
      <c r="H723" s="43"/>
      <c r="I723" s="43"/>
      <c r="J723" s="43"/>
      <c r="K723" s="43"/>
      <c r="L723" s="43"/>
      <c r="M723" s="43"/>
      <c r="N723" s="43"/>
      <c r="O723" s="43"/>
      <c r="P723" s="43"/>
      <c r="Q723" s="43"/>
      <c r="R723" s="49"/>
      <c r="S723" s="49"/>
      <c r="T723" s="49"/>
      <c r="U723" s="49"/>
      <c r="V723" s="49"/>
      <c r="W723" s="49"/>
      <c r="X723" s="49"/>
      <c r="Y723" s="49"/>
      <c r="Z723" s="49"/>
      <c r="AA723" s="49"/>
      <c r="AB723" s="49"/>
      <c r="AC723" s="49"/>
    </row>
    <row r="724" spans="1:29">
      <c r="A724" s="43"/>
      <c r="B724" s="43"/>
      <c r="C724" s="43"/>
      <c r="D724" s="43"/>
      <c r="E724" s="43"/>
      <c r="F724" s="43"/>
      <c r="G724" s="43"/>
      <c r="H724" s="43"/>
      <c r="I724" s="43"/>
      <c r="J724" s="43"/>
      <c r="K724" s="43"/>
      <c r="L724" s="43"/>
      <c r="M724" s="43"/>
      <c r="N724" s="43"/>
      <c r="O724" s="43"/>
      <c r="P724" s="43"/>
      <c r="Q724" s="43"/>
      <c r="R724" s="49"/>
      <c r="S724" s="49"/>
      <c r="T724" s="49"/>
      <c r="U724" s="49"/>
      <c r="V724" s="49"/>
      <c r="W724" s="49"/>
      <c r="X724" s="49"/>
      <c r="Y724" s="49"/>
      <c r="Z724" s="49"/>
      <c r="AA724" s="49"/>
      <c r="AB724" s="49"/>
      <c r="AC724" s="49"/>
    </row>
    <row r="725" spans="1:29">
      <c r="A725" s="43"/>
      <c r="B725" s="43"/>
      <c r="C725" s="43"/>
      <c r="D725" s="43"/>
      <c r="E725" s="43"/>
      <c r="F725" s="43"/>
      <c r="G725" s="43"/>
      <c r="H725" s="43"/>
      <c r="I725" s="43"/>
      <c r="J725" s="43"/>
      <c r="K725" s="43"/>
      <c r="L725" s="43"/>
      <c r="M725" s="43"/>
      <c r="N725" s="43"/>
      <c r="O725" s="43"/>
      <c r="P725" s="43"/>
      <c r="Q725" s="43"/>
      <c r="R725" s="49"/>
      <c r="S725" s="49"/>
      <c r="T725" s="49"/>
      <c r="U725" s="49"/>
      <c r="V725" s="49"/>
      <c r="W725" s="49"/>
      <c r="X725" s="49"/>
      <c r="Y725" s="49"/>
      <c r="Z725" s="49"/>
      <c r="AA725" s="49"/>
      <c r="AB725" s="49"/>
      <c r="AC725" s="49"/>
    </row>
    <row r="726" spans="1:29">
      <c r="A726" s="43"/>
      <c r="B726" s="43"/>
      <c r="C726" s="43"/>
      <c r="D726" s="43"/>
      <c r="E726" s="43"/>
      <c r="F726" s="43"/>
      <c r="G726" s="43"/>
      <c r="H726" s="43"/>
      <c r="I726" s="43"/>
      <c r="J726" s="43"/>
      <c r="K726" s="43"/>
      <c r="L726" s="43"/>
      <c r="M726" s="43"/>
      <c r="N726" s="43"/>
      <c r="O726" s="43"/>
      <c r="P726" s="43"/>
      <c r="Q726" s="43"/>
      <c r="R726" s="49"/>
      <c r="S726" s="49"/>
      <c r="T726" s="49"/>
      <c r="U726" s="49"/>
      <c r="V726" s="49"/>
      <c r="W726" s="49"/>
      <c r="X726" s="49"/>
      <c r="Y726" s="49"/>
      <c r="Z726" s="49"/>
      <c r="AA726" s="49"/>
      <c r="AB726" s="49"/>
      <c r="AC726" s="49"/>
    </row>
    <row r="727" spans="1:29">
      <c r="A727" s="43"/>
      <c r="B727" s="43"/>
      <c r="C727" s="43"/>
      <c r="D727" s="43"/>
      <c r="E727" s="43"/>
      <c r="F727" s="43"/>
      <c r="G727" s="43"/>
      <c r="H727" s="43"/>
      <c r="I727" s="43"/>
      <c r="J727" s="43"/>
      <c r="K727" s="43"/>
      <c r="L727" s="43"/>
      <c r="M727" s="43"/>
      <c r="N727" s="43"/>
      <c r="O727" s="43"/>
      <c r="P727" s="43"/>
      <c r="Q727" s="43"/>
      <c r="R727" s="49"/>
      <c r="S727" s="49"/>
      <c r="T727" s="49"/>
      <c r="U727" s="49"/>
      <c r="V727" s="49"/>
      <c r="W727" s="49"/>
      <c r="X727" s="49"/>
      <c r="Y727" s="49"/>
      <c r="Z727" s="49"/>
      <c r="AA727" s="49"/>
      <c r="AB727" s="49"/>
      <c r="AC727" s="49"/>
    </row>
    <row r="728" spans="1:29">
      <c r="A728" s="43"/>
      <c r="B728" s="43"/>
      <c r="C728" s="43"/>
      <c r="D728" s="43"/>
      <c r="E728" s="43"/>
      <c r="F728" s="43"/>
      <c r="G728" s="43"/>
      <c r="H728" s="43"/>
      <c r="I728" s="43"/>
      <c r="J728" s="43"/>
      <c r="K728" s="43"/>
      <c r="L728" s="43"/>
      <c r="M728" s="43"/>
      <c r="N728" s="43"/>
      <c r="O728" s="43"/>
      <c r="P728" s="43"/>
      <c r="Q728" s="43"/>
      <c r="R728" s="49"/>
      <c r="S728" s="49"/>
      <c r="T728" s="49"/>
      <c r="U728" s="49"/>
      <c r="V728" s="49"/>
      <c r="W728" s="49"/>
      <c r="X728" s="49"/>
      <c r="Y728" s="49"/>
      <c r="Z728" s="49"/>
      <c r="AA728" s="49"/>
      <c r="AB728" s="49"/>
      <c r="AC728" s="49"/>
    </row>
    <row r="729" spans="1:29">
      <c r="A729" s="43"/>
      <c r="B729" s="43"/>
      <c r="C729" s="43"/>
      <c r="D729" s="43"/>
      <c r="E729" s="43"/>
      <c r="F729" s="43"/>
      <c r="G729" s="43"/>
      <c r="H729" s="43"/>
      <c r="I729" s="43"/>
      <c r="J729" s="43"/>
      <c r="K729" s="43"/>
      <c r="L729" s="43"/>
      <c r="M729" s="43"/>
      <c r="N729" s="43"/>
      <c r="O729" s="43"/>
      <c r="P729" s="43"/>
      <c r="Q729" s="43"/>
      <c r="R729" s="49"/>
      <c r="S729" s="49"/>
      <c r="T729" s="49"/>
      <c r="U729" s="49"/>
      <c r="V729" s="49"/>
      <c r="W729" s="49"/>
      <c r="X729" s="49"/>
      <c r="Y729" s="49"/>
      <c r="Z729" s="49"/>
      <c r="AA729" s="49"/>
      <c r="AB729" s="49"/>
      <c r="AC729" s="49"/>
    </row>
    <row r="730" spans="1:29">
      <c r="A730" s="43"/>
      <c r="B730" s="43"/>
      <c r="C730" s="43"/>
      <c r="D730" s="43"/>
      <c r="E730" s="43"/>
      <c r="F730" s="43"/>
      <c r="G730" s="43"/>
      <c r="H730" s="43"/>
      <c r="I730" s="43"/>
      <c r="J730" s="43"/>
      <c r="K730" s="43"/>
      <c r="L730" s="43"/>
      <c r="M730" s="43"/>
      <c r="N730" s="43"/>
      <c r="O730" s="43"/>
      <c r="P730" s="43"/>
      <c r="Q730" s="43"/>
      <c r="R730" s="49"/>
      <c r="S730" s="49"/>
      <c r="T730" s="49"/>
      <c r="U730" s="49"/>
      <c r="V730" s="49"/>
      <c r="W730" s="49"/>
      <c r="X730" s="49"/>
      <c r="Y730" s="49"/>
      <c r="Z730" s="49"/>
      <c r="AA730" s="49"/>
      <c r="AB730" s="49"/>
      <c r="AC730" s="49"/>
    </row>
    <row r="731" spans="1:29">
      <c r="A731" s="43"/>
      <c r="B731" s="43"/>
      <c r="C731" s="43"/>
      <c r="D731" s="43"/>
      <c r="E731" s="43"/>
      <c r="F731" s="43"/>
      <c r="G731" s="43"/>
      <c r="H731" s="43"/>
      <c r="I731" s="43"/>
      <c r="J731" s="43"/>
      <c r="K731" s="43"/>
      <c r="L731" s="43"/>
      <c r="M731" s="43"/>
      <c r="N731" s="43"/>
      <c r="O731" s="43"/>
      <c r="P731" s="43"/>
      <c r="Q731" s="43"/>
      <c r="R731" s="49"/>
      <c r="S731" s="49"/>
      <c r="T731" s="49"/>
      <c r="U731" s="49"/>
      <c r="V731" s="49"/>
      <c r="W731" s="49"/>
      <c r="X731" s="49"/>
      <c r="Y731" s="49"/>
      <c r="Z731" s="49"/>
      <c r="AA731" s="49"/>
      <c r="AB731" s="49"/>
      <c r="AC731" s="49"/>
    </row>
    <row r="732" spans="1:29">
      <c r="A732" s="43"/>
      <c r="B732" s="43"/>
      <c r="C732" s="43"/>
      <c r="D732" s="43"/>
      <c r="E732" s="43"/>
      <c r="F732" s="43"/>
      <c r="G732" s="43"/>
      <c r="H732" s="43"/>
      <c r="I732" s="43"/>
      <c r="J732" s="43"/>
      <c r="K732" s="43"/>
      <c r="L732" s="43"/>
      <c r="M732" s="43"/>
      <c r="N732" s="43"/>
      <c r="O732" s="43"/>
      <c r="P732" s="43"/>
      <c r="Q732" s="43"/>
      <c r="R732" s="49"/>
      <c r="S732" s="49"/>
      <c r="T732" s="49"/>
      <c r="U732" s="49"/>
      <c r="V732" s="49"/>
      <c r="W732" s="49"/>
      <c r="X732" s="49"/>
      <c r="Y732" s="49"/>
      <c r="Z732" s="49"/>
      <c r="AA732" s="49"/>
      <c r="AB732" s="49"/>
      <c r="AC732" s="49"/>
    </row>
    <row r="733" spans="1:29">
      <c r="A733" s="43"/>
      <c r="B733" s="43"/>
      <c r="C733" s="43"/>
      <c r="D733" s="43"/>
      <c r="E733" s="43"/>
      <c r="F733" s="43"/>
      <c r="G733" s="43"/>
      <c r="H733" s="43"/>
      <c r="I733" s="43"/>
      <c r="J733" s="43"/>
      <c r="K733" s="43"/>
      <c r="L733" s="43"/>
      <c r="M733" s="43"/>
      <c r="N733" s="43"/>
      <c r="O733" s="43"/>
      <c r="P733" s="43"/>
      <c r="Q733" s="43"/>
      <c r="R733" s="49"/>
      <c r="S733" s="49"/>
      <c r="T733" s="49"/>
      <c r="U733" s="49"/>
      <c r="V733" s="49"/>
      <c r="W733" s="49"/>
      <c r="X733" s="49"/>
      <c r="Y733" s="49"/>
      <c r="Z733" s="49"/>
      <c r="AA733" s="49"/>
      <c r="AB733" s="49"/>
      <c r="AC733" s="49"/>
    </row>
    <row r="734" spans="1:29">
      <c r="A734" s="43"/>
      <c r="B734" s="43"/>
      <c r="C734" s="43"/>
      <c r="D734" s="43"/>
      <c r="E734" s="43"/>
      <c r="F734" s="43"/>
      <c r="G734" s="43"/>
      <c r="H734" s="43"/>
      <c r="I734" s="43"/>
      <c r="J734" s="43"/>
      <c r="K734" s="43"/>
      <c r="L734" s="43"/>
      <c r="M734" s="43"/>
      <c r="N734" s="43"/>
      <c r="O734" s="43"/>
      <c r="P734" s="43"/>
      <c r="Q734" s="43"/>
      <c r="R734" s="49"/>
      <c r="S734" s="49"/>
      <c r="T734" s="49"/>
      <c r="U734" s="49"/>
      <c r="V734" s="49"/>
      <c r="W734" s="49"/>
      <c r="X734" s="49"/>
      <c r="Y734" s="49"/>
      <c r="Z734" s="49"/>
      <c r="AA734" s="49"/>
      <c r="AB734" s="49"/>
      <c r="AC734" s="49"/>
    </row>
    <row r="735" spans="1:29">
      <c r="A735" s="43"/>
      <c r="B735" s="43"/>
      <c r="C735" s="43"/>
      <c r="D735" s="43"/>
      <c r="E735" s="43"/>
      <c r="F735" s="43"/>
      <c r="G735" s="43"/>
      <c r="H735" s="43"/>
      <c r="I735" s="43"/>
      <c r="J735" s="43"/>
      <c r="K735" s="43"/>
      <c r="L735" s="43"/>
      <c r="M735" s="43"/>
      <c r="N735" s="43"/>
      <c r="O735" s="43"/>
      <c r="P735" s="43"/>
      <c r="Q735" s="43"/>
      <c r="R735" s="49"/>
      <c r="S735" s="49"/>
      <c r="T735" s="49"/>
      <c r="U735" s="49"/>
      <c r="V735" s="49"/>
      <c r="W735" s="49"/>
      <c r="X735" s="49"/>
      <c r="Y735" s="49"/>
      <c r="Z735" s="49"/>
      <c r="AA735" s="49"/>
      <c r="AB735" s="49"/>
      <c r="AC735" s="49"/>
    </row>
    <row r="736" spans="1:29">
      <c r="A736" s="43"/>
      <c r="B736" s="43"/>
      <c r="C736" s="43"/>
      <c r="D736" s="43"/>
      <c r="E736" s="43"/>
      <c r="F736" s="43"/>
      <c r="G736" s="43"/>
      <c r="H736" s="43"/>
      <c r="I736" s="43"/>
      <c r="J736" s="43"/>
      <c r="K736" s="43"/>
      <c r="L736" s="43"/>
      <c r="M736" s="43"/>
      <c r="N736" s="43"/>
      <c r="O736" s="43"/>
      <c r="P736" s="43"/>
      <c r="Q736" s="43"/>
      <c r="R736" s="49"/>
      <c r="S736" s="49"/>
      <c r="T736" s="49"/>
      <c r="U736" s="49"/>
      <c r="V736" s="49"/>
      <c r="W736" s="49"/>
      <c r="X736" s="49"/>
      <c r="Y736" s="49"/>
      <c r="Z736" s="49"/>
      <c r="AA736" s="49"/>
      <c r="AB736" s="49"/>
      <c r="AC736" s="49"/>
    </row>
    <row r="737" spans="1:29">
      <c r="A737" s="43"/>
      <c r="B737" s="43"/>
      <c r="C737" s="43"/>
      <c r="D737" s="43"/>
      <c r="E737" s="43"/>
      <c r="F737" s="43"/>
      <c r="G737" s="43"/>
      <c r="H737" s="43"/>
      <c r="I737" s="43"/>
      <c r="J737" s="43"/>
      <c r="K737" s="43"/>
      <c r="L737" s="43"/>
      <c r="M737" s="43"/>
      <c r="N737" s="43"/>
      <c r="O737" s="43"/>
      <c r="P737" s="43"/>
      <c r="Q737" s="43"/>
      <c r="R737" s="49"/>
      <c r="S737" s="49"/>
      <c r="T737" s="49"/>
      <c r="U737" s="49"/>
      <c r="V737" s="49"/>
      <c r="W737" s="49"/>
      <c r="X737" s="49"/>
      <c r="Y737" s="49"/>
      <c r="Z737" s="49"/>
      <c r="AA737" s="49"/>
      <c r="AB737" s="49"/>
      <c r="AC737" s="49"/>
    </row>
    <row r="738" spans="1:29">
      <c r="A738" s="43"/>
      <c r="B738" s="43"/>
      <c r="C738" s="43"/>
      <c r="D738" s="43"/>
      <c r="E738" s="43"/>
      <c r="F738" s="43"/>
      <c r="G738" s="43"/>
      <c r="H738" s="43"/>
      <c r="I738" s="43"/>
      <c r="J738" s="43"/>
      <c r="K738" s="43"/>
      <c r="L738" s="43"/>
      <c r="M738" s="43"/>
      <c r="N738" s="43"/>
      <c r="O738" s="43"/>
      <c r="P738" s="43"/>
      <c r="Q738" s="43"/>
      <c r="R738" s="49"/>
      <c r="S738" s="49"/>
      <c r="T738" s="49"/>
      <c r="U738" s="49"/>
      <c r="V738" s="49"/>
      <c r="W738" s="49"/>
      <c r="X738" s="49"/>
      <c r="Y738" s="49"/>
      <c r="Z738" s="49"/>
      <c r="AA738" s="49"/>
      <c r="AB738" s="49"/>
      <c r="AC738" s="49"/>
    </row>
    <row r="739" spans="1:29">
      <c r="A739" s="43"/>
      <c r="B739" s="43"/>
      <c r="C739" s="43"/>
      <c r="D739" s="43"/>
      <c r="E739" s="43"/>
      <c r="F739" s="43"/>
      <c r="G739" s="43"/>
      <c r="H739" s="43"/>
      <c r="I739" s="43"/>
      <c r="J739" s="43"/>
      <c r="K739" s="43"/>
      <c r="L739" s="43"/>
      <c r="M739" s="43"/>
      <c r="N739" s="43"/>
      <c r="O739" s="43"/>
      <c r="P739" s="43"/>
      <c r="Q739" s="43"/>
      <c r="R739" s="49"/>
      <c r="S739" s="49"/>
      <c r="T739" s="49"/>
      <c r="U739" s="49"/>
      <c r="V739" s="49"/>
      <c r="W739" s="49"/>
      <c r="X739" s="49"/>
      <c r="Y739" s="49"/>
      <c r="Z739" s="49"/>
      <c r="AA739" s="49"/>
      <c r="AB739" s="49"/>
      <c r="AC739" s="49"/>
    </row>
    <row r="740" spans="1:29">
      <c r="A740" s="43"/>
      <c r="B740" s="43"/>
      <c r="C740" s="43"/>
      <c r="D740" s="43"/>
      <c r="E740" s="43"/>
      <c r="F740" s="43"/>
      <c r="G740" s="43"/>
      <c r="H740" s="43"/>
      <c r="I740" s="43"/>
      <c r="J740" s="43"/>
      <c r="K740" s="43"/>
      <c r="L740" s="43"/>
      <c r="M740" s="43"/>
      <c r="N740" s="43"/>
      <c r="O740" s="43"/>
      <c r="P740" s="43"/>
      <c r="Q740" s="43"/>
      <c r="R740" s="49"/>
      <c r="S740" s="49"/>
      <c r="T740" s="49"/>
      <c r="U740" s="49"/>
      <c r="V740" s="49"/>
      <c r="W740" s="49"/>
      <c r="X740" s="49"/>
      <c r="Y740" s="49"/>
      <c r="Z740" s="49"/>
      <c r="AA740" s="49"/>
      <c r="AB740" s="49"/>
      <c r="AC740" s="49"/>
    </row>
    <row r="741" spans="1:29">
      <c r="A741" s="43"/>
      <c r="B741" s="43"/>
      <c r="C741" s="43"/>
      <c r="D741" s="43"/>
      <c r="E741" s="43"/>
      <c r="F741" s="43"/>
      <c r="G741" s="43"/>
      <c r="H741" s="43"/>
      <c r="I741" s="43"/>
      <c r="J741" s="43"/>
      <c r="K741" s="43"/>
      <c r="L741" s="43"/>
      <c r="M741" s="43"/>
      <c r="N741" s="43"/>
      <c r="O741" s="43"/>
      <c r="P741" s="43"/>
      <c r="Q741" s="43"/>
      <c r="R741" s="49"/>
      <c r="S741" s="49"/>
      <c r="T741" s="49"/>
      <c r="U741" s="49"/>
      <c r="V741" s="49"/>
      <c r="W741" s="49"/>
      <c r="X741" s="49"/>
      <c r="Y741" s="49"/>
      <c r="Z741" s="49"/>
      <c r="AA741" s="49"/>
      <c r="AB741" s="49"/>
      <c r="AC741" s="49"/>
    </row>
    <row r="742" spans="1:29">
      <c r="A742" s="43"/>
      <c r="B742" s="43"/>
      <c r="C742" s="43"/>
      <c r="D742" s="43"/>
      <c r="E742" s="43"/>
      <c r="F742" s="43"/>
      <c r="G742" s="43"/>
      <c r="H742" s="43"/>
      <c r="I742" s="43"/>
      <c r="J742" s="43"/>
      <c r="K742" s="43"/>
      <c r="L742" s="43"/>
      <c r="M742" s="43"/>
      <c r="N742" s="43"/>
      <c r="O742" s="43"/>
      <c r="P742" s="43"/>
      <c r="Q742" s="43"/>
      <c r="R742" s="49"/>
      <c r="S742" s="49"/>
      <c r="T742" s="49"/>
      <c r="U742" s="49"/>
      <c r="V742" s="49"/>
      <c r="W742" s="49"/>
      <c r="X742" s="49"/>
      <c r="Y742" s="49"/>
      <c r="Z742" s="49"/>
      <c r="AA742" s="49"/>
      <c r="AB742" s="49"/>
      <c r="AC742" s="49"/>
    </row>
    <row r="743" spans="1:29">
      <c r="A743" s="43"/>
      <c r="B743" s="43"/>
      <c r="C743" s="43"/>
      <c r="D743" s="43"/>
      <c r="E743" s="43"/>
      <c r="F743" s="43"/>
      <c r="G743" s="43"/>
      <c r="H743" s="43"/>
      <c r="I743" s="43"/>
      <c r="J743" s="43"/>
      <c r="K743" s="43"/>
      <c r="L743" s="43"/>
      <c r="M743" s="43"/>
      <c r="N743" s="43"/>
      <c r="O743" s="43"/>
      <c r="P743" s="43"/>
      <c r="Q743" s="43"/>
      <c r="R743" s="49"/>
      <c r="S743" s="49"/>
      <c r="T743" s="49"/>
      <c r="U743" s="49"/>
      <c r="V743" s="49"/>
      <c r="W743" s="49"/>
      <c r="X743" s="49"/>
      <c r="Y743" s="49"/>
      <c r="Z743" s="49"/>
      <c r="AA743" s="49"/>
      <c r="AB743" s="49"/>
      <c r="AC743" s="49"/>
    </row>
    <row r="744" spans="1:29">
      <c r="A744" s="43"/>
      <c r="B744" s="43"/>
      <c r="C744" s="43"/>
      <c r="D744" s="43"/>
      <c r="E744" s="43"/>
      <c r="F744" s="43"/>
      <c r="G744" s="43"/>
      <c r="H744" s="43"/>
      <c r="I744" s="43"/>
      <c r="J744" s="43"/>
      <c r="K744" s="43"/>
      <c r="L744" s="43"/>
      <c r="M744" s="43"/>
      <c r="N744" s="43"/>
      <c r="O744" s="43"/>
      <c r="P744" s="43"/>
      <c r="Q744" s="43"/>
      <c r="R744" s="49"/>
      <c r="S744" s="49"/>
      <c r="T744" s="49"/>
      <c r="U744" s="49"/>
      <c r="V744" s="49"/>
      <c r="W744" s="49"/>
      <c r="X744" s="49"/>
      <c r="Y744" s="49"/>
      <c r="Z744" s="49"/>
      <c r="AA744" s="49"/>
      <c r="AB744" s="49"/>
      <c r="AC744" s="49"/>
    </row>
    <row r="745" spans="1:29">
      <c r="A745" s="43"/>
      <c r="B745" s="43"/>
      <c r="C745" s="43"/>
      <c r="D745" s="43"/>
      <c r="E745" s="43"/>
      <c r="F745" s="43"/>
      <c r="G745" s="43"/>
      <c r="H745" s="43"/>
      <c r="I745" s="43"/>
      <c r="J745" s="43"/>
      <c r="K745" s="43"/>
      <c r="L745" s="43"/>
      <c r="M745" s="43"/>
      <c r="N745" s="43"/>
      <c r="O745" s="43"/>
      <c r="P745" s="43"/>
      <c r="Q745" s="43"/>
      <c r="R745" s="49"/>
      <c r="S745" s="49"/>
      <c r="T745" s="49"/>
      <c r="U745" s="49"/>
      <c r="V745" s="49"/>
      <c r="W745" s="49"/>
      <c r="X745" s="49"/>
      <c r="Y745" s="49"/>
      <c r="Z745" s="49"/>
      <c r="AA745" s="49"/>
      <c r="AB745" s="49"/>
      <c r="AC745" s="49"/>
    </row>
    <row r="746" spans="1:29">
      <c r="A746" s="43"/>
      <c r="B746" s="43"/>
      <c r="C746" s="43"/>
      <c r="D746" s="43"/>
      <c r="E746" s="43"/>
      <c r="F746" s="43"/>
      <c r="G746" s="43"/>
      <c r="H746" s="43"/>
      <c r="I746" s="43"/>
      <c r="J746" s="43"/>
      <c r="K746" s="43"/>
      <c r="L746" s="43"/>
      <c r="M746" s="43"/>
      <c r="N746" s="43"/>
      <c r="O746" s="43"/>
      <c r="P746" s="43"/>
      <c r="Q746" s="43"/>
      <c r="R746" s="49"/>
      <c r="S746" s="49"/>
      <c r="T746" s="49"/>
      <c r="U746" s="49"/>
      <c r="V746" s="49"/>
      <c r="W746" s="49"/>
      <c r="X746" s="49"/>
      <c r="Y746" s="49"/>
      <c r="Z746" s="49"/>
      <c r="AA746" s="49"/>
      <c r="AB746" s="49"/>
      <c r="AC746" s="49"/>
    </row>
    <row r="747" spans="1:29">
      <c r="A747" s="43"/>
      <c r="B747" s="43"/>
      <c r="C747" s="43"/>
      <c r="D747" s="43"/>
      <c r="E747" s="43"/>
      <c r="F747" s="43"/>
      <c r="G747" s="43"/>
      <c r="H747" s="43"/>
      <c r="I747" s="43"/>
      <c r="J747" s="43"/>
      <c r="K747" s="43"/>
      <c r="L747" s="43"/>
      <c r="M747" s="43"/>
      <c r="N747" s="43"/>
      <c r="O747" s="43"/>
      <c r="P747" s="43"/>
      <c r="Q747" s="43"/>
      <c r="R747" s="49"/>
      <c r="S747" s="49"/>
      <c r="T747" s="49"/>
      <c r="U747" s="49"/>
      <c r="V747" s="49"/>
      <c r="W747" s="49"/>
      <c r="X747" s="49"/>
      <c r="Y747" s="49"/>
      <c r="Z747" s="49"/>
      <c r="AA747" s="49"/>
      <c r="AB747" s="49"/>
      <c r="AC747" s="49"/>
    </row>
    <row r="748" spans="1:29">
      <c r="A748" s="43"/>
      <c r="B748" s="43"/>
      <c r="C748" s="43"/>
      <c r="D748" s="43"/>
      <c r="E748" s="43"/>
      <c r="F748" s="43"/>
      <c r="G748" s="43"/>
      <c r="H748" s="43"/>
      <c r="I748" s="43"/>
      <c r="J748" s="43"/>
      <c r="K748" s="43"/>
      <c r="L748" s="43"/>
      <c r="M748" s="43"/>
      <c r="N748" s="43"/>
      <c r="O748" s="43"/>
      <c r="P748" s="43"/>
      <c r="Q748" s="43"/>
      <c r="R748" s="49"/>
      <c r="S748" s="49"/>
      <c r="T748" s="49"/>
      <c r="U748" s="49"/>
      <c r="V748" s="49"/>
      <c r="W748" s="49"/>
      <c r="X748" s="49"/>
      <c r="Y748" s="49"/>
      <c r="Z748" s="49"/>
      <c r="AA748" s="49"/>
      <c r="AB748" s="49"/>
      <c r="AC748" s="49"/>
    </row>
    <row r="749" spans="1:29">
      <c r="A749" s="43"/>
      <c r="B749" s="43"/>
      <c r="C749" s="43"/>
      <c r="D749" s="43"/>
      <c r="E749" s="43"/>
      <c r="F749" s="43"/>
      <c r="G749" s="43"/>
      <c r="H749" s="43"/>
      <c r="I749" s="43"/>
      <c r="J749" s="43"/>
      <c r="K749" s="43"/>
      <c r="L749" s="43"/>
      <c r="M749" s="43"/>
      <c r="N749" s="43"/>
      <c r="O749" s="43"/>
      <c r="P749" s="43"/>
      <c r="Q749" s="43"/>
      <c r="R749" s="49"/>
      <c r="S749" s="49"/>
      <c r="T749" s="49"/>
      <c r="U749" s="49"/>
      <c r="V749" s="49"/>
      <c r="W749" s="49"/>
      <c r="X749" s="49"/>
      <c r="Y749" s="49"/>
      <c r="Z749" s="49"/>
      <c r="AA749" s="49"/>
      <c r="AB749" s="49"/>
      <c r="AC749" s="49"/>
    </row>
    <row r="750" spans="1:29">
      <c r="A750" s="43"/>
      <c r="B750" s="43"/>
      <c r="C750" s="43"/>
      <c r="D750" s="43"/>
      <c r="E750" s="43"/>
      <c r="F750" s="43"/>
      <c r="G750" s="43"/>
      <c r="H750" s="43"/>
      <c r="I750" s="43"/>
      <c r="J750" s="43"/>
      <c r="K750" s="43"/>
      <c r="L750" s="43"/>
      <c r="M750" s="43"/>
      <c r="N750" s="43"/>
      <c r="O750" s="43"/>
      <c r="P750" s="43"/>
      <c r="Q750" s="43"/>
      <c r="R750" s="49"/>
      <c r="S750" s="49"/>
      <c r="T750" s="49"/>
      <c r="U750" s="49"/>
      <c r="V750" s="49"/>
      <c r="W750" s="49"/>
      <c r="X750" s="49"/>
      <c r="Y750" s="49"/>
      <c r="Z750" s="49"/>
      <c r="AA750" s="49"/>
      <c r="AB750" s="49"/>
      <c r="AC750" s="49"/>
    </row>
    <row r="751" spans="1:29">
      <c r="A751" s="43"/>
      <c r="B751" s="43"/>
      <c r="C751" s="43"/>
      <c r="D751" s="43"/>
      <c r="E751" s="43"/>
      <c r="F751" s="43"/>
      <c r="G751" s="43"/>
      <c r="H751" s="43"/>
      <c r="I751" s="43"/>
      <c r="J751" s="43"/>
      <c r="K751" s="43"/>
      <c r="L751" s="43"/>
      <c r="M751" s="43"/>
      <c r="N751" s="43"/>
      <c r="O751" s="43"/>
      <c r="P751" s="43"/>
      <c r="Q751" s="43"/>
      <c r="R751" s="49"/>
      <c r="S751" s="49"/>
      <c r="T751" s="49"/>
      <c r="U751" s="49"/>
      <c r="V751" s="49"/>
      <c r="W751" s="49"/>
      <c r="X751" s="49"/>
      <c r="Y751" s="49"/>
      <c r="Z751" s="49"/>
      <c r="AA751" s="49"/>
      <c r="AB751" s="49"/>
      <c r="AC751" s="49"/>
    </row>
    <row r="752" spans="1:29">
      <c r="A752" s="43"/>
      <c r="B752" s="43"/>
      <c r="C752" s="43"/>
      <c r="D752" s="43"/>
      <c r="E752" s="43"/>
      <c r="F752" s="43"/>
      <c r="G752" s="43"/>
      <c r="H752" s="43"/>
      <c r="I752" s="43"/>
      <c r="J752" s="43"/>
      <c r="K752" s="43"/>
      <c r="L752" s="43"/>
      <c r="M752" s="43"/>
      <c r="N752" s="43"/>
      <c r="O752" s="43"/>
      <c r="P752" s="43"/>
      <c r="Q752" s="43"/>
      <c r="R752" s="49"/>
      <c r="S752" s="49"/>
      <c r="T752" s="49"/>
      <c r="U752" s="49"/>
      <c r="V752" s="49"/>
      <c r="W752" s="49"/>
      <c r="X752" s="49"/>
      <c r="Y752" s="49"/>
      <c r="Z752" s="49"/>
      <c r="AA752" s="49"/>
      <c r="AB752" s="49"/>
      <c r="AC752" s="49"/>
    </row>
    <row r="753" spans="1:29">
      <c r="A753" s="43"/>
      <c r="B753" s="43"/>
      <c r="C753" s="43"/>
      <c r="D753" s="43"/>
      <c r="E753" s="43"/>
      <c r="F753" s="43"/>
      <c r="G753" s="43"/>
      <c r="H753" s="43"/>
      <c r="I753" s="43"/>
      <c r="J753" s="43"/>
      <c r="K753" s="43"/>
      <c r="L753" s="43"/>
      <c r="M753" s="43"/>
      <c r="N753" s="43"/>
      <c r="O753" s="43"/>
      <c r="P753" s="43"/>
      <c r="Q753" s="43"/>
      <c r="R753" s="49"/>
      <c r="S753" s="49"/>
      <c r="T753" s="49"/>
      <c r="U753" s="49"/>
      <c r="V753" s="49"/>
      <c r="W753" s="49"/>
      <c r="X753" s="49"/>
      <c r="Y753" s="49"/>
      <c r="Z753" s="49"/>
      <c r="AA753" s="49"/>
      <c r="AB753" s="49"/>
      <c r="AC753" s="49"/>
    </row>
    <row r="754" spans="1:29">
      <c r="A754" s="43"/>
      <c r="B754" s="43"/>
      <c r="C754" s="43"/>
      <c r="D754" s="43"/>
      <c r="E754" s="43"/>
      <c r="F754" s="43"/>
      <c r="G754" s="43"/>
      <c r="H754" s="43"/>
      <c r="I754" s="43"/>
      <c r="J754" s="43"/>
      <c r="K754" s="43"/>
      <c r="L754" s="43"/>
      <c r="M754" s="43"/>
      <c r="N754" s="43"/>
      <c r="O754" s="43"/>
      <c r="P754" s="43"/>
      <c r="Q754" s="43"/>
      <c r="R754" s="49"/>
      <c r="S754" s="49"/>
      <c r="T754" s="49"/>
      <c r="U754" s="49"/>
      <c r="V754" s="49"/>
      <c r="W754" s="49"/>
      <c r="X754" s="49"/>
      <c r="Y754" s="49"/>
      <c r="Z754" s="49"/>
      <c r="AA754" s="49"/>
      <c r="AB754" s="49"/>
      <c r="AC754" s="49"/>
    </row>
    <row r="755" spans="1:29">
      <c r="A755" s="43"/>
      <c r="B755" s="43"/>
      <c r="C755" s="43"/>
      <c r="D755" s="43"/>
      <c r="E755" s="43"/>
      <c r="F755" s="43"/>
      <c r="G755" s="43"/>
      <c r="H755" s="43"/>
      <c r="I755" s="43"/>
      <c r="J755" s="43"/>
      <c r="K755" s="43"/>
      <c r="L755" s="43"/>
      <c r="M755" s="43"/>
      <c r="N755" s="43"/>
      <c r="O755" s="43"/>
      <c r="P755" s="43"/>
      <c r="Q755" s="43"/>
      <c r="R755" s="49"/>
      <c r="S755" s="49"/>
      <c r="T755" s="49"/>
      <c r="U755" s="49"/>
      <c r="V755" s="49"/>
      <c r="W755" s="49"/>
      <c r="X755" s="49"/>
      <c r="Y755" s="49"/>
      <c r="Z755" s="49"/>
      <c r="AA755" s="49"/>
      <c r="AB755" s="49"/>
      <c r="AC755" s="49"/>
    </row>
    <row r="756" spans="1:29">
      <c r="A756" s="43"/>
      <c r="B756" s="43"/>
      <c r="C756" s="43"/>
      <c r="D756" s="43"/>
      <c r="E756" s="43"/>
      <c r="F756" s="43"/>
      <c r="G756" s="43"/>
      <c r="H756" s="43"/>
      <c r="I756" s="43"/>
      <c r="J756" s="43"/>
      <c r="K756" s="43"/>
      <c r="L756" s="43"/>
      <c r="M756" s="43"/>
      <c r="N756" s="43"/>
      <c r="O756" s="43"/>
      <c r="P756" s="43"/>
      <c r="Q756" s="43"/>
      <c r="R756" s="49"/>
      <c r="S756" s="49"/>
      <c r="T756" s="49"/>
      <c r="U756" s="49"/>
      <c r="V756" s="49"/>
      <c r="W756" s="49"/>
      <c r="X756" s="49"/>
      <c r="Y756" s="49"/>
      <c r="Z756" s="49"/>
      <c r="AA756" s="49"/>
      <c r="AB756" s="49"/>
      <c r="AC756" s="49"/>
    </row>
    <row r="757" spans="1:29">
      <c r="A757" s="43"/>
      <c r="B757" s="43"/>
      <c r="C757" s="43"/>
      <c r="D757" s="43"/>
      <c r="E757" s="43"/>
      <c r="F757" s="43"/>
      <c r="G757" s="43"/>
      <c r="H757" s="43"/>
      <c r="I757" s="43"/>
      <c r="J757" s="43"/>
      <c r="K757" s="43"/>
      <c r="L757" s="43"/>
      <c r="M757" s="43"/>
      <c r="N757" s="43"/>
      <c r="O757" s="43"/>
      <c r="P757" s="43"/>
      <c r="Q757" s="43"/>
      <c r="R757" s="49"/>
      <c r="S757" s="49"/>
      <c r="T757" s="49"/>
      <c r="U757" s="49"/>
      <c r="V757" s="49"/>
      <c r="W757" s="49"/>
      <c r="X757" s="49"/>
      <c r="Y757" s="49"/>
      <c r="Z757" s="49"/>
      <c r="AA757" s="49"/>
      <c r="AB757" s="49"/>
      <c r="AC757" s="49"/>
    </row>
    <row r="758" spans="1:29">
      <c r="A758" s="43"/>
      <c r="B758" s="43"/>
      <c r="C758" s="43"/>
      <c r="D758" s="43"/>
      <c r="E758" s="43"/>
      <c r="F758" s="43"/>
      <c r="G758" s="43"/>
      <c r="H758" s="43"/>
      <c r="I758" s="43"/>
      <c r="J758" s="43"/>
      <c r="K758" s="43"/>
      <c r="L758" s="43"/>
      <c r="M758" s="43"/>
      <c r="N758" s="43"/>
      <c r="O758" s="43"/>
      <c r="P758" s="43"/>
      <c r="Q758" s="43"/>
      <c r="R758" s="49"/>
      <c r="S758" s="49"/>
      <c r="T758" s="49"/>
      <c r="U758" s="49"/>
      <c r="V758" s="49"/>
      <c r="W758" s="49"/>
      <c r="X758" s="49"/>
      <c r="Y758" s="49"/>
      <c r="Z758" s="49"/>
      <c r="AA758" s="49"/>
      <c r="AB758" s="49"/>
      <c r="AC758" s="49"/>
    </row>
    <row r="759" spans="1:29">
      <c r="A759" s="43"/>
      <c r="B759" s="43"/>
      <c r="C759" s="43"/>
      <c r="D759" s="43"/>
      <c r="E759" s="43"/>
      <c r="F759" s="43"/>
      <c r="G759" s="43"/>
      <c r="H759" s="43"/>
      <c r="I759" s="43"/>
      <c r="J759" s="43"/>
      <c r="K759" s="43"/>
      <c r="L759" s="43"/>
      <c r="M759" s="43"/>
      <c r="N759" s="43"/>
      <c r="O759" s="43"/>
      <c r="P759" s="43"/>
      <c r="Q759" s="43"/>
      <c r="R759" s="49"/>
      <c r="S759" s="49"/>
      <c r="T759" s="49"/>
      <c r="U759" s="49"/>
      <c r="V759" s="49"/>
      <c r="W759" s="49"/>
      <c r="X759" s="49"/>
      <c r="Y759" s="49"/>
      <c r="Z759" s="49"/>
      <c r="AA759" s="49"/>
      <c r="AB759" s="49"/>
      <c r="AC759" s="49"/>
    </row>
    <row r="760" spans="1:29">
      <c r="A760" s="43"/>
      <c r="B760" s="43"/>
      <c r="C760" s="43"/>
      <c r="D760" s="43"/>
      <c r="E760" s="43"/>
      <c r="F760" s="43"/>
      <c r="G760" s="43"/>
      <c r="H760" s="43"/>
      <c r="I760" s="43"/>
      <c r="J760" s="43"/>
      <c r="K760" s="43"/>
      <c r="L760" s="43"/>
      <c r="M760" s="43"/>
      <c r="N760" s="43"/>
      <c r="O760" s="43"/>
      <c r="P760" s="43"/>
      <c r="Q760" s="43"/>
      <c r="R760" s="49"/>
      <c r="S760" s="49"/>
      <c r="T760" s="49"/>
      <c r="U760" s="49"/>
      <c r="V760" s="49"/>
      <c r="W760" s="49"/>
      <c r="X760" s="49"/>
      <c r="Y760" s="49"/>
      <c r="Z760" s="49"/>
      <c r="AA760" s="49"/>
      <c r="AB760" s="49"/>
      <c r="AC760" s="49"/>
    </row>
    <row r="761" spans="1:29">
      <c r="A761" s="43"/>
      <c r="B761" s="43"/>
      <c r="C761" s="43"/>
      <c r="D761" s="43"/>
      <c r="E761" s="43"/>
      <c r="F761" s="43"/>
      <c r="G761" s="43"/>
      <c r="H761" s="43"/>
      <c r="I761" s="43"/>
      <c r="J761" s="43"/>
      <c r="K761" s="43"/>
      <c r="L761" s="43"/>
      <c r="M761" s="43"/>
      <c r="N761" s="43"/>
      <c r="O761" s="43"/>
      <c r="P761" s="43"/>
      <c r="Q761" s="43"/>
      <c r="R761" s="49"/>
      <c r="S761" s="49"/>
      <c r="T761" s="49"/>
      <c r="U761" s="49"/>
      <c r="V761" s="49"/>
      <c r="W761" s="49"/>
      <c r="X761" s="49"/>
      <c r="Y761" s="49"/>
      <c r="Z761" s="49"/>
      <c r="AA761" s="49"/>
      <c r="AB761" s="49"/>
      <c r="AC761" s="49"/>
    </row>
    <row r="762" spans="1:29">
      <c r="A762" s="43"/>
      <c r="B762" s="43"/>
      <c r="C762" s="43"/>
      <c r="D762" s="43"/>
      <c r="E762" s="43"/>
      <c r="F762" s="43"/>
      <c r="G762" s="43"/>
      <c r="H762" s="43"/>
      <c r="I762" s="43"/>
      <c r="J762" s="43"/>
      <c r="K762" s="43"/>
      <c r="L762" s="43"/>
      <c r="M762" s="43"/>
      <c r="N762" s="43"/>
      <c r="O762" s="43"/>
      <c r="P762" s="43"/>
      <c r="Q762" s="43"/>
      <c r="R762" s="49"/>
      <c r="S762" s="49"/>
      <c r="T762" s="49"/>
      <c r="U762" s="49"/>
      <c r="V762" s="49"/>
      <c r="W762" s="49"/>
      <c r="X762" s="49"/>
      <c r="Y762" s="49"/>
      <c r="Z762" s="49"/>
      <c r="AA762" s="49"/>
      <c r="AB762" s="49"/>
      <c r="AC762" s="49"/>
    </row>
    <row r="763" spans="1:29">
      <c r="A763" s="43"/>
      <c r="B763" s="43"/>
      <c r="C763" s="43"/>
      <c r="D763" s="43"/>
      <c r="E763" s="43"/>
      <c r="F763" s="43"/>
      <c r="G763" s="43"/>
      <c r="H763" s="43"/>
      <c r="I763" s="43"/>
      <c r="J763" s="43"/>
      <c r="K763" s="43"/>
      <c r="L763" s="43"/>
      <c r="M763" s="43"/>
      <c r="N763" s="43"/>
      <c r="O763" s="43"/>
      <c r="P763" s="43"/>
      <c r="Q763" s="43"/>
      <c r="R763" s="49"/>
      <c r="S763" s="49"/>
      <c r="T763" s="49"/>
      <c r="U763" s="49"/>
      <c r="V763" s="49"/>
      <c r="W763" s="49"/>
      <c r="X763" s="49"/>
      <c r="Y763" s="49"/>
      <c r="Z763" s="49"/>
      <c r="AA763" s="49"/>
      <c r="AB763" s="49"/>
      <c r="AC763" s="49"/>
    </row>
    <row r="764" spans="1:29">
      <c r="A764" s="43"/>
      <c r="B764" s="43"/>
      <c r="C764" s="43"/>
      <c r="D764" s="43"/>
      <c r="E764" s="43"/>
      <c r="F764" s="43"/>
      <c r="G764" s="43"/>
      <c r="H764" s="43"/>
      <c r="I764" s="43"/>
      <c r="J764" s="43"/>
      <c r="K764" s="43"/>
      <c r="L764" s="43"/>
      <c r="M764" s="43"/>
      <c r="N764" s="43"/>
      <c r="O764" s="43"/>
      <c r="P764" s="43"/>
      <c r="Q764" s="43"/>
      <c r="R764" s="49"/>
      <c r="S764" s="49"/>
      <c r="T764" s="49"/>
      <c r="U764" s="49"/>
      <c r="V764" s="49"/>
      <c r="W764" s="49"/>
      <c r="X764" s="49"/>
      <c r="Y764" s="49"/>
      <c r="Z764" s="49"/>
      <c r="AA764" s="49"/>
      <c r="AB764" s="49"/>
      <c r="AC764" s="49"/>
    </row>
    <row r="765" spans="1:29">
      <c r="A765" s="43"/>
      <c r="B765" s="43"/>
      <c r="C765" s="43"/>
      <c r="D765" s="43"/>
      <c r="E765" s="43"/>
      <c r="F765" s="43"/>
      <c r="G765" s="43"/>
      <c r="H765" s="43"/>
      <c r="I765" s="43"/>
      <c r="J765" s="43"/>
      <c r="K765" s="43"/>
      <c r="L765" s="43"/>
      <c r="M765" s="43"/>
      <c r="N765" s="43"/>
      <c r="O765" s="43"/>
      <c r="P765" s="43"/>
      <c r="Q765" s="43"/>
      <c r="R765" s="49"/>
      <c r="S765" s="49"/>
      <c r="T765" s="49"/>
      <c r="U765" s="49"/>
      <c r="V765" s="49"/>
      <c r="W765" s="49"/>
      <c r="X765" s="49"/>
      <c r="Y765" s="49"/>
      <c r="Z765" s="49"/>
      <c r="AA765" s="49"/>
      <c r="AB765" s="49"/>
      <c r="AC765" s="49"/>
    </row>
    <row r="766" spans="1:29">
      <c r="A766" s="43"/>
      <c r="B766" s="43"/>
      <c r="C766" s="43"/>
      <c r="D766" s="43"/>
      <c r="E766" s="43"/>
      <c r="F766" s="43"/>
      <c r="G766" s="43"/>
      <c r="H766" s="43"/>
      <c r="I766" s="43"/>
      <c r="J766" s="43"/>
      <c r="K766" s="43"/>
      <c r="L766" s="43"/>
      <c r="M766" s="43"/>
      <c r="N766" s="43"/>
      <c r="O766" s="43"/>
      <c r="P766" s="43"/>
      <c r="Q766" s="43"/>
      <c r="R766" s="49"/>
      <c r="S766" s="49"/>
      <c r="T766" s="49"/>
      <c r="U766" s="49"/>
      <c r="V766" s="49"/>
      <c r="W766" s="49"/>
      <c r="X766" s="49"/>
      <c r="Y766" s="49"/>
      <c r="Z766" s="49"/>
      <c r="AA766" s="49"/>
      <c r="AB766" s="49"/>
      <c r="AC766" s="49"/>
    </row>
    <row r="767" spans="1:29">
      <c r="A767" s="43"/>
      <c r="B767" s="43"/>
      <c r="C767" s="43"/>
      <c r="D767" s="43"/>
      <c r="E767" s="43"/>
      <c r="F767" s="43"/>
      <c r="G767" s="43"/>
      <c r="H767" s="43"/>
      <c r="I767" s="43"/>
      <c r="J767" s="43"/>
      <c r="K767" s="43"/>
      <c r="L767" s="43"/>
      <c r="M767" s="43"/>
      <c r="N767" s="43"/>
      <c r="O767" s="43"/>
      <c r="P767" s="43"/>
      <c r="Q767" s="43"/>
      <c r="R767" s="49"/>
      <c r="S767" s="49"/>
      <c r="T767" s="49"/>
      <c r="U767" s="49"/>
      <c r="V767" s="49"/>
      <c r="W767" s="49"/>
      <c r="X767" s="49"/>
      <c r="Y767" s="49"/>
      <c r="Z767" s="49"/>
      <c r="AA767" s="49"/>
      <c r="AB767" s="49"/>
      <c r="AC767" s="49"/>
    </row>
    <row r="768" spans="1:29">
      <c r="A768" s="43"/>
      <c r="B768" s="43"/>
      <c r="C768" s="43"/>
      <c r="D768" s="43"/>
      <c r="E768" s="43"/>
      <c r="F768" s="43"/>
      <c r="G768" s="43"/>
      <c r="H768" s="43"/>
      <c r="I768" s="43"/>
      <c r="J768" s="43"/>
      <c r="K768" s="43"/>
      <c r="L768" s="43"/>
      <c r="M768" s="43"/>
      <c r="N768" s="43"/>
      <c r="O768" s="43"/>
      <c r="P768" s="43"/>
      <c r="Q768" s="43"/>
      <c r="R768" s="49"/>
      <c r="S768" s="49"/>
      <c r="T768" s="49"/>
      <c r="U768" s="49"/>
      <c r="V768" s="49"/>
      <c r="W768" s="49"/>
      <c r="X768" s="49"/>
      <c r="Y768" s="49"/>
      <c r="Z768" s="49"/>
      <c r="AA768" s="49"/>
      <c r="AB768" s="49"/>
      <c r="AC768" s="49"/>
    </row>
    <row r="769" spans="1:29">
      <c r="A769" s="43"/>
      <c r="B769" s="43"/>
      <c r="C769" s="43"/>
      <c r="D769" s="43"/>
      <c r="E769" s="43"/>
      <c r="F769" s="43"/>
      <c r="G769" s="43"/>
      <c r="H769" s="43"/>
      <c r="I769" s="43"/>
      <c r="J769" s="43"/>
      <c r="K769" s="43"/>
      <c r="L769" s="43"/>
      <c r="M769" s="43"/>
      <c r="N769" s="43"/>
      <c r="O769" s="43"/>
      <c r="P769" s="43"/>
      <c r="Q769" s="43"/>
      <c r="R769" s="49"/>
      <c r="S769" s="49"/>
      <c r="T769" s="49"/>
      <c r="U769" s="49"/>
      <c r="V769" s="49"/>
      <c r="W769" s="49"/>
      <c r="X769" s="49"/>
      <c r="Y769" s="49"/>
      <c r="Z769" s="49"/>
      <c r="AA769" s="49"/>
      <c r="AB769" s="49"/>
      <c r="AC769" s="49"/>
    </row>
    <row r="770" spans="1:29">
      <c r="A770" s="43"/>
      <c r="B770" s="43"/>
      <c r="C770" s="43"/>
      <c r="D770" s="43"/>
      <c r="E770" s="43"/>
      <c r="F770" s="43"/>
      <c r="G770" s="43"/>
      <c r="H770" s="43"/>
      <c r="I770" s="43"/>
      <c r="J770" s="43"/>
      <c r="K770" s="43"/>
      <c r="L770" s="43"/>
      <c r="M770" s="43"/>
      <c r="N770" s="43"/>
      <c r="O770" s="43"/>
      <c r="P770" s="43"/>
      <c r="Q770" s="43"/>
      <c r="R770" s="49"/>
      <c r="S770" s="49"/>
      <c r="T770" s="49"/>
      <c r="U770" s="49"/>
      <c r="V770" s="49"/>
      <c r="W770" s="49"/>
      <c r="X770" s="49"/>
      <c r="Y770" s="49"/>
      <c r="Z770" s="49"/>
      <c r="AA770" s="49"/>
      <c r="AB770" s="49"/>
      <c r="AC770" s="49"/>
    </row>
    <row r="771" spans="1:29">
      <c r="A771" s="43"/>
      <c r="B771" s="43"/>
      <c r="C771" s="43"/>
      <c r="D771" s="43"/>
      <c r="E771" s="43"/>
      <c r="F771" s="43"/>
      <c r="G771" s="43"/>
      <c r="H771" s="43"/>
      <c r="I771" s="43"/>
      <c r="J771" s="43"/>
      <c r="K771" s="43"/>
      <c r="L771" s="43"/>
      <c r="M771" s="43"/>
      <c r="N771" s="43"/>
      <c r="O771" s="43"/>
      <c r="P771" s="43"/>
      <c r="Q771" s="43"/>
      <c r="R771" s="49"/>
      <c r="S771" s="49"/>
      <c r="T771" s="49"/>
      <c r="U771" s="49"/>
      <c r="V771" s="49"/>
      <c r="W771" s="49"/>
      <c r="X771" s="49"/>
      <c r="Y771" s="49"/>
      <c r="Z771" s="49"/>
      <c r="AA771" s="49"/>
      <c r="AB771" s="49"/>
      <c r="AC771" s="49"/>
    </row>
    <row r="772" spans="1:29">
      <c r="A772" s="43"/>
      <c r="B772" s="43"/>
      <c r="C772" s="43"/>
      <c r="D772" s="43"/>
      <c r="E772" s="43"/>
      <c r="F772" s="43"/>
      <c r="G772" s="43"/>
      <c r="H772" s="43"/>
      <c r="I772" s="43"/>
      <c r="J772" s="43"/>
      <c r="K772" s="43"/>
      <c r="L772" s="43"/>
      <c r="M772" s="43"/>
      <c r="N772" s="43"/>
      <c r="O772" s="43"/>
      <c r="P772" s="43"/>
      <c r="Q772" s="43"/>
      <c r="R772" s="49"/>
      <c r="S772" s="49"/>
      <c r="T772" s="49"/>
      <c r="U772" s="49"/>
      <c r="V772" s="49"/>
      <c r="W772" s="49"/>
      <c r="X772" s="49"/>
      <c r="Y772" s="49"/>
      <c r="Z772" s="49"/>
      <c r="AA772" s="49"/>
      <c r="AB772" s="49"/>
      <c r="AC772" s="49"/>
    </row>
    <row r="773" spans="1:29">
      <c r="A773" s="43"/>
      <c r="B773" s="43"/>
      <c r="C773" s="43"/>
      <c r="D773" s="43"/>
      <c r="E773" s="43"/>
      <c r="F773" s="43"/>
      <c r="G773" s="43"/>
      <c r="H773" s="43"/>
      <c r="I773" s="43"/>
      <c r="J773" s="43"/>
      <c r="K773" s="43"/>
      <c r="L773" s="43"/>
      <c r="M773" s="43"/>
      <c r="N773" s="43"/>
      <c r="O773" s="43"/>
      <c r="P773" s="43"/>
      <c r="Q773" s="43"/>
      <c r="R773" s="49"/>
      <c r="S773" s="49"/>
      <c r="T773" s="49"/>
      <c r="U773" s="49"/>
      <c r="V773" s="49"/>
      <c r="W773" s="49"/>
      <c r="X773" s="49"/>
      <c r="Y773" s="49"/>
      <c r="Z773" s="49"/>
      <c r="AA773" s="49"/>
      <c r="AB773" s="49"/>
      <c r="AC773" s="49"/>
    </row>
    <row r="774" spans="1:29">
      <c r="A774" s="43"/>
      <c r="B774" s="43"/>
      <c r="C774" s="43"/>
      <c r="D774" s="43"/>
      <c r="E774" s="43"/>
      <c r="F774" s="43"/>
      <c r="G774" s="43"/>
      <c r="H774" s="43"/>
      <c r="I774" s="43"/>
      <c r="J774" s="43"/>
      <c r="K774" s="43"/>
      <c r="L774" s="43"/>
      <c r="M774" s="43"/>
      <c r="N774" s="43"/>
      <c r="O774" s="43"/>
      <c r="P774" s="43"/>
      <c r="Q774" s="43"/>
      <c r="R774" s="49"/>
      <c r="S774" s="49"/>
      <c r="T774" s="49"/>
      <c r="U774" s="49"/>
      <c r="V774" s="49"/>
      <c r="W774" s="49"/>
      <c r="X774" s="49"/>
      <c r="Y774" s="49"/>
      <c r="Z774" s="49"/>
      <c r="AA774" s="49"/>
      <c r="AB774" s="49"/>
      <c r="AC774" s="49"/>
    </row>
    <row r="775" spans="1:29">
      <c r="A775" s="43"/>
      <c r="B775" s="43"/>
      <c r="C775" s="43"/>
      <c r="D775" s="43"/>
      <c r="E775" s="43"/>
      <c r="F775" s="43"/>
      <c r="G775" s="43"/>
      <c r="H775" s="43"/>
      <c r="I775" s="43"/>
      <c r="J775" s="43"/>
      <c r="K775" s="43"/>
      <c r="L775" s="43"/>
      <c r="M775" s="43"/>
      <c r="N775" s="43"/>
      <c r="O775" s="43"/>
      <c r="P775" s="43"/>
      <c r="Q775" s="43"/>
      <c r="R775" s="49"/>
      <c r="S775" s="49"/>
      <c r="T775" s="49"/>
      <c r="U775" s="49"/>
      <c r="V775" s="49"/>
      <c r="W775" s="49"/>
      <c r="X775" s="49"/>
      <c r="Y775" s="49"/>
      <c r="Z775" s="49"/>
      <c r="AA775" s="49"/>
      <c r="AB775" s="49"/>
      <c r="AC775" s="49"/>
    </row>
    <row r="776" spans="1:29">
      <c r="A776" s="43"/>
      <c r="B776" s="43"/>
      <c r="C776" s="43"/>
      <c r="D776" s="43"/>
      <c r="E776" s="43"/>
      <c r="F776" s="43"/>
      <c r="G776" s="43"/>
      <c r="H776" s="43"/>
      <c r="I776" s="43"/>
      <c r="J776" s="43"/>
      <c r="K776" s="43"/>
      <c r="L776" s="43"/>
      <c r="M776" s="43"/>
      <c r="N776" s="43"/>
      <c r="O776" s="43"/>
      <c r="P776" s="43"/>
      <c r="Q776" s="43"/>
      <c r="R776" s="49"/>
      <c r="S776" s="49"/>
      <c r="T776" s="49"/>
      <c r="U776" s="49"/>
      <c r="V776" s="49"/>
      <c r="W776" s="49"/>
      <c r="X776" s="49"/>
      <c r="Y776" s="49"/>
      <c r="Z776" s="49"/>
      <c r="AA776" s="49"/>
      <c r="AB776" s="49"/>
      <c r="AC776" s="49"/>
    </row>
    <row r="777" spans="1:29">
      <c r="A777" s="43"/>
      <c r="B777" s="43"/>
      <c r="C777" s="43"/>
      <c r="D777" s="43"/>
      <c r="E777" s="43"/>
      <c r="F777" s="43"/>
      <c r="G777" s="43"/>
      <c r="H777" s="43"/>
      <c r="I777" s="43"/>
      <c r="J777" s="43"/>
      <c r="K777" s="43"/>
      <c r="L777" s="43"/>
      <c r="M777" s="43"/>
      <c r="N777" s="43"/>
      <c r="O777" s="43"/>
      <c r="P777" s="43"/>
      <c r="Q777" s="43"/>
      <c r="R777" s="49"/>
      <c r="S777" s="49"/>
      <c r="T777" s="49"/>
      <c r="U777" s="49"/>
      <c r="V777" s="49"/>
      <c r="W777" s="49"/>
      <c r="X777" s="49"/>
      <c r="Y777" s="49"/>
      <c r="Z777" s="49"/>
      <c r="AA777" s="49"/>
      <c r="AB777" s="49"/>
      <c r="AC777" s="49"/>
    </row>
    <row r="778" spans="1:29">
      <c r="A778" s="43"/>
      <c r="B778" s="43"/>
      <c r="C778" s="43"/>
      <c r="D778" s="43"/>
      <c r="E778" s="43"/>
      <c r="F778" s="43"/>
      <c r="G778" s="43"/>
      <c r="H778" s="43"/>
      <c r="I778" s="43"/>
      <c r="J778" s="43"/>
      <c r="K778" s="43"/>
      <c r="L778" s="43"/>
      <c r="M778" s="43"/>
      <c r="N778" s="43"/>
      <c r="O778" s="43"/>
      <c r="P778" s="43"/>
      <c r="Q778" s="43"/>
      <c r="R778" s="49"/>
      <c r="S778" s="49"/>
      <c r="T778" s="49"/>
      <c r="U778" s="49"/>
      <c r="V778" s="49"/>
      <c r="W778" s="49"/>
      <c r="X778" s="49"/>
      <c r="Y778" s="49"/>
      <c r="Z778" s="49"/>
      <c r="AA778" s="49"/>
      <c r="AB778" s="49"/>
      <c r="AC778" s="49"/>
    </row>
    <row r="779" spans="1:29">
      <c r="A779" s="43"/>
      <c r="B779" s="43"/>
      <c r="C779" s="43"/>
      <c r="D779" s="43"/>
      <c r="E779" s="43"/>
      <c r="F779" s="43"/>
      <c r="G779" s="43"/>
      <c r="H779" s="43"/>
      <c r="I779" s="43"/>
      <c r="J779" s="43"/>
      <c r="K779" s="43"/>
      <c r="L779" s="43"/>
      <c r="M779" s="43"/>
      <c r="N779" s="43"/>
      <c r="O779" s="43"/>
      <c r="P779" s="43"/>
      <c r="Q779" s="43"/>
      <c r="R779" s="49"/>
      <c r="S779" s="49"/>
      <c r="T779" s="49"/>
      <c r="U779" s="49"/>
      <c r="V779" s="49"/>
      <c r="W779" s="49"/>
      <c r="X779" s="49"/>
      <c r="Y779" s="49"/>
      <c r="Z779" s="49"/>
      <c r="AA779" s="49"/>
      <c r="AB779" s="49"/>
      <c r="AC779" s="49"/>
    </row>
    <row r="780" spans="1:29">
      <c r="A780" s="43"/>
      <c r="B780" s="43"/>
      <c r="C780" s="43"/>
      <c r="D780" s="43"/>
      <c r="E780" s="43"/>
      <c r="F780" s="43"/>
      <c r="G780" s="43"/>
      <c r="H780" s="43"/>
      <c r="I780" s="43"/>
      <c r="J780" s="43"/>
      <c r="K780" s="43"/>
      <c r="L780" s="43"/>
      <c r="M780" s="43"/>
      <c r="N780" s="43"/>
      <c r="O780" s="43"/>
      <c r="P780" s="43"/>
      <c r="Q780" s="43"/>
      <c r="R780" s="49"/>
      <c r="S780" s="49"/>
      <c r="T780" s="49"/>
      <c r="U780" s="49"/>
      <c r="V780" s="49"/>
      <c r="W780" s="49"/>
      <c r="X780" s="49"/>
      <c r="Y780" s="49"/>
      <c r="Z780" s="49"/>
      <c r="AA780" s="49"/>
      <c r="AB780" s="49"/>
      <c r="AC780" s="49"/>
    </row>
    <row r="781" spans="1:29">
      <c r="A781" s="43"/>
      <c r="B781" s="43"/>
      <c r="C781" s="43"/>
      <c r="D781" s="43"/>
      <c r="E781" s="43"/>
      <c r="F781" s="43"/>
      <c r="G781" s="43"/>
      <c r="H781" s="43"/>
      <c r="I781" s="43"/>
      <c r="J781" s="43"/>
      <c r="K781" s="43"/>
      <c r="L781" s="43"/>
      <c r="M781" s="43"/>
      <c r="N781" s="43"/>
      <c r="O781" s="43"/>
      <c r="P781" s="43"/>
      <c r="Q781" s="43"/>
      <c r="R781" s="49"/>
      <c r="S781" s="49"/>
      <c r="T781" s="49"/>
      <c r="U781" s="49"/>
      <c r="V781" s="49"/>
      <c r="W781" s="49"/>
      <c r="X781" s="49"/>
      <c r="Y781" s="49"/>
      <c r="Z781" s="49"/>
      <c r="AA781" s="49"/>
      <c r="AB781" s="49"/>
      <c r="AC781" s="49"/>
    </row>
    <row r="782" spans="1:29">
      <c r="A782" s="43"/>
      <c r="B782" s="43"/>
      <c r="C782" s="43"/>
      <c r="D782" s="43"/>
      <c r="E782" s="43"/>
      <c r="F782" s="43"/>
      <c r="G782" s="43"/>
      <c r="H782" s="43"/>
      <c r="I782" s="43"/>
      <c r="J782" s="43"/>
      <c r="K782" s="43"/>
      <c r="L782" s="43"/>
      <c r="M782" s="43"/>
      <c r="N782" s="43"/>
      <c r="O782" s="43"/>
      <c r="P782" s="43"/>
      <c r="Q782" s="43"/>
      <c r="R782" s="49"/>
      <c r="S782" s="49"/>
      <c r="T782" s="49"/>
      <c r="U782" s="49"/>
      <c r="V782" s="49"/>
      <c r="W782" s="49"/>
      <c r="X782" s="49"/>
      <c r="Y782" s="49"/>
      <c r="Z782" s="49"/>
      <c r="AA782" s="49"/>
      <c r="AB782" s="49"/>
      <c r="AC782" s="49"/>
    </row>
    <row r="783" spans="1:29">
      <c r="A783" s="43"/>
      <c r="B783" s="43"/>
      <c r="C783" s="43"/>
      <c r="D783" s="43"/>
      <c r="E783" s="43"/>
      <c r="F783" s="43"/>
      <c r="G783" s="43"/>
      <c r="H783" s="43"/>
      <c r="I783" s="43"/>
      <c r="J783" s="43"/>
      <c r="K783" s="43"/>
      <c r="L783" s="43"/>
      <c r="M783" s="43"/>
      <c r="N783" s="43"/>
      <c r="O783" s="43"/>
      <c r="P783" s="43"/>
      <c r="Q783" s="43"/>
      <c r="R783" s="49"/>
      <c r="S783" s="49"/>
      <c r="T783" s="49"/>
      <c r="U783" s="49"/>
      <c r="V783" s="49"/>
      <c r="W783" s="49"/>
      <c r="X783" s="49"/>
      <c r="Y783" s="49"/>
      <c r="Z783" s="49"/>
      <c r="AA783" s="49"/>
      <c r="AB783" s="49"/>
      <c r="AC783" s="49"/>
    </row>
    <row r="784" spans="1:29">
      <c r="A784" s="43"/>
      <c r="B784" s="43"/>
      <c r="C784" s="43"/>
      <c r="D784" s="43"/>
      <c r="E784" s="43"/>
      <c r="F784" s="43"/>
      <c r="G784" s="43"/>
      <c r="H784" s="43"/>
      <c r="I784" s="43"/>
      <c r="J784" s="43"/>
      <c r="K784" s="43"/>
      <c r="L784" s="43"/>
      <c r="M784" s="43"/>
      <c r="N784" s="43"/>
      <c r="O784" s="43"/>
      <c r="P784" s="43"/>
      <c r="Q784" s="43"/>
      <c r="R784" s="49"/>
      <c r="S784" s="49"/>
      <c r="T784" s="49"/>
      <c r="U784" s="49"/>
      <c r="V784" s="49"/>
      <c r="W784" s="49"/>
      <c r="X784" s="49"/>
      <c r="Y784" s="49"/>
      <c r="Z784" s="49"/>
      <c r="AA784" s="49"/>
      <c r="AB784" s="49"/>
      <c r="AC784" s="49"/>
    </row>
    <row r="785" spans="1:29">
      <c r="A785" s="43"/>
      <c r="B785" s="43"/>
      <c r="C785" s="43"/>
      <c r="D785" s="43"/>
      <c r="E785" s="43"/>
      <c r="F785" s="43"/>
      <c r="G785" s="43"/>
      <c r="H785" s="43"/>
      <c r="I785" s="43"/>
      <c r="J785" s="43"/>
      <c r="K785" s="43"/>
      <c r="L785" s="43"/>
      <c r="M785" s="43"/>
      <c r="N785" s="43"/>
      <c r="O785" s="43"/>
      <c r="P785" s="43"/>
      <c r="Q785" s="43"/>
      <c r="R785" s="49"/>
      <c r="S785" s="49"/>
      <c r="T785" s="49"/>
      <c r="U785" s="49"/>
      <c r="V785" s="49"/>
      <c r="W785" s="49"/>
      <c r="X785" s="49"/>
      <c r="Y785" s="49"/>
      <c r="Z785" s="49"/>
      <c r="AA785" s="49"/>
      <c r="AB785" s="49"/>
      <c r="AC785" s="49"/>
    </row>
    <row r="786" spans="1:29">
      <c r="A786" s="43"/>
      <c r="B786" s="43"/>
      <c r="C786" s="43"/>
      <c r="D786" s="43"/>
      <c r="E786" s="43"/>
      <c r="F786" s="43"/>
      <c r="G786" s="43"/>
      <c r="H786" s="43"/>
      <c r="I786" s="43"/>
      <c r="J786" s="43"/>
      <c r="K786" s="43"/>
      <c r="L786" s="43"/>
      <c r="M786" s="43"/>
      <c r="N786" s="43"/>
      <c r="O786" s="43"/>
      <c r="P786" s="43"/>
      <c r="Q786" s="43"/>
      <c r="R786" s="49"/>
      <c r="S786" s="49"/>
      <c r="T786" s="49"/>
      <c r="U786" s="49"/>
      <c r="V786" s="49"/>
      <c r="W786" s="49"/>
      <c r="X786" s="49"/>
      <c r="Y786" s="49"/>
      <c r="Z786" s="49"/>
      <c r="AA786" s="49"/>
      <c r="AB786" s="49"/>
      <c r="AC786" s="49"/>
    </row>
    <row r="787" spans="1:29">
      <c r="A787" s="43"/>
      <c r="B787" s="43"/>
      <c r="C787" s="43"/>
      <c r="D787" s="43"/>
      <c r="E787" s="43"/>
      <c r="F787" s="43"/>
      <c r="G787" s="43"/>
      <c r="H787" s="43"/>
      <c r="I787" s="43"/>
      <c r="J787" s="43"/>
      <c r="K787" s="43"/>
      <c r="L787" s="43"/>
      <c r="M787" s="43"/>
      <c r="N787" s="43"/>
      <c r="O787" s="43"/>
      <c r="P787" s="43"/>
      <c r="Q787" s="43"/>
      <c r="R787" s="49"/>
      <c r="S787" s="49"/>
      <c r="T787" s="49"/>
      <c r="U787" s="49"/>
      <c r="V787" s="49"/>
      <c r="W787" s="49"/>
      <c r="X787" s="49"/>
      <c r="Y787" s="49"/>
      <c r="Z787" s="49"/>
      <c r="AA787" s="49"/>
      <c r="AB787" s="49"/>
      <c r="AC787" s="49"/>
    </row>
    <row r="788" spans="1:29">
      <c r="A788" s="43"/>
      <c r="B788" s="43"/>
      <c r="C788" s="43"/>
      <c r="D788" s="43"/>
      <c r="E788" s="43"/>
      <c r="F788" s="43"/>
      <c r="G788" s="43"/>
      <c r="H788" s="43"/>
      <c r="I788" s="43"/>
      <c r="J788" s="43"/>
      <c r="K788" s="43"/>
      <c r="L788" s="43"/>
      <c r="M788" s="43"/>
      <c r="N788" s="43"/>
      <c r="O788" s="43"/>
      <c r="P788" s="43"/>
      <c r="Q788" s="43"/>
      <c r="R788" s="49"/>
      <c r="S788" s="49"/>
      <c r="T788" s="49"/>
      <c r="U788" s="49"/>
      <c r="V788" s="49"/>
      <c r="W788" s="49"/>
      <c r="X788" s="49"/>
      <c r="Y788" s="49"/>
      <c r="Z788" s="49"/>
      <c r="AA788" s="49"/>
      <c r="AB788" s="49"/>
      <c r="AC788" s="49"/>
    </row>
    <row r="789" spans="1:29">
      <c r="A789" s="43"/>
      <c r="B789" s="43"/>
      <c r="C789" s="43"/>
      <c r="D789" s="43"/>
      <c r="E789" s="43"/>
      <c r="F789" s="43"/>
      <c r="G789" s="43"/>
      <c r="H789" s="43"/>
      <c r="I789" s="43"/>
      <c r="J789" s="43"/>
      <c r="K789" s="43"/>
      <c r="L789" s="43"/>
      <c r="M789" s="43"/>
      <c r="N789" s="43"/>
      <c r="O789" s="43"/>
      <c r="P789" s="43"/>
      <c r="Q789" s="43"/>
      <c r="R789" s="49"/>
      <c r="S789" s="49"/>
      <c r="T789" s="49"/>
      <c r="U789" s="49"/>
      <c r="V789" s="49"/>
      <c r="W789" s="49"/>
      <c r="X789" s="49"/>
      <c r="Y789" s="49"/>
      <c r="Z789" s="49"/>
      <c r="AA789" s="49"/>
      <c r="AB789" s="49"/>
      <c r="AC789" s="49"/>
    </row>
    <row r="790" spans="1:29">
      <c r="A790" s="43"/>
      <c r="B790" s="43"/>
      <c r="C790" s="43"/>
      <c r="D790" s="43"/>
      <c r="E790" s="43"/>
      <c r="F790" s="43"/>
      <c r="G790" s="43"/>
      <c r="H790" s="43"/>
      <c r="I790" s="43"/>
      <c r="J790" s="43"/>
      <c r="K790" s="43"/>
      <c r="L790" s="43"/>
      <c r="M790" s="43"/>
      <c r="N790" s="43"/>
      <c r="O790" s="43"/>
      <c r="P790" s="43"/>
      <c r="Q790" s="43"/>
      <c r="R790" s="49"/>
      <c r="S790" s="49"/>
      <c r="T790" s="49"/>
      <c r="U790" s="49"/>
      <c r="V790" s="49"/>
      <c r="W790" s="49"/>
      <c r="X790" s="49"/>
      <c r="Y790" s="49"/>
      <c r="Z790" s="49"/>
      <c r="AA790" s="49"/>
      <c r="AB790" s="49"/>
      <c r="AC790" s="49"/>
    </row>
    <row r="791" spans="1:29">
      <c r="A791" s="43"/>
      <c r="B791" s="43"/>
      <c r="C791" s="43"/>
      <c r="D791" s="43"/>
      <c r="E791" s="43"/>
      <c r="F791" s="43"/>
      <c r="G791" s="43"/>
      <c r="H791" s="43"/>
      <c r="I791" s="43"/>
      <c r="J791" s="43"/>
      <c r="K791" s="43"/>
      <c r="L791" s="43"/>
      <c r="M791" s="43"/>
      <c r="N791" s="43"/>
      <c r="O791" s="43"/>
      <c r="P791" s="43"/>
      <c r="Q791" s="43"/>
      <c r="R791" s="49"/>
      <c r="S791" s="49"/>
      <c r="T791" s="49"/>
      <c r="U791" s="49"/>
      <c r="V791" s="49"/>
      <c r="W791" s="49"/>
      <c r="X791" s="49"/>
      <c r="Y791" s="49"/>
      <c r="Z791" s="49"/>
      <c r="AA791" s="49"/>
      <c r="AB791" s="49"/>
      <c r="AC791" s="49"/>
    </row>
    <row r="792" spans="1:29">
      <c r="A792" s="43"/>
      <c r="B792" s="43"/>
      <c r="C792" s="43"/>
      <c r="D792" s="43"/>
      <c r="E792" s="43"/>
      <c r="F792" s="43"/>
      <c r="G792" s="43"/>
      <c r="H792" s="43"/>
      <c r="I792" s="43"/>
      <c r="J792" s="43"/>
      <c r="K792" s="43"/>
      <c r="L792" s="43"/>
      <c r="M792" s="43"/>
      <c r="N792" s="43"/>
      <c r="O792" s="43"/>
      <c r="P792" s="43"/>
      <c r="Q792" s="43"/>
      <c r="R792" s="49"/>
      <c r="S792" s="49"/>
      <c r="T792" s="49"/>
      <c r="U792" s="49"/>
      <c r="V792" s="49"/>
      <c r="W792" s="49"/>
      <c r="X792" s="49"/>
      <c r="Y792" s="49"/>
      <c r="Z792" s="49"/>
      <c r="AA792" s="49"/>
      <c r="AB792" s="49"/>
      <c r="AC792" s="49"/>
    </row>
    <row r="793" spans="1:29">
      <c r="A793" s="43"/>
      <c r="B793" s="43"/>
      <c r="C793" s="43"/>
      <c r="D793" s="43"/>
      <c r="E793" s="43"/>
      <c r="F793" s="43"/>
      <c r="G793" s="43"/>
      <c r="H793" s="43"/>
      <c r="I793" s="43"/>
      <c r="J793" s="43"/>
      <c r="K793" s="43"/>
      <c r="L793" s="43"/>
      <c r="M793" s="43"/>
      <c r="N793" s="43"/>
      <c r="O793" s="43"/>
      <c r="P793" s="43"/>
      <c r="Q793" s="43"/>
      <c r="R793" s="49"/>
      <c r="S793" s="49"/>
      <c r="T793" s="49"/>
      <c r="U793" s="49"/>
      <c r="V793" s="49"/>
      <c r="W793" s="49"/>
      <c r="X793" s="49"/>
      <c r="Y793" s="49"/>
      <c r="Z793" s="49"/>
      <c r="AA793" s="49"/>
      <c r="AB793" s="49"/>
      <c r="AC793" s="49"/>
    </row>
    <row r="794" spans="1:29">
      <c r="A794" s="43"/>
      <c r="B794" s="43"/>
      <c r="C794" s="43"/>
      <c r="D794" s="43"/>
      <c r="E794" s="43"/>
      <c r="F794" s="43"/>
      <c r="G794" s="43"/>
      <c r="H794" s="43"/>
      <c r="I794" s="43"/>
      <c r="J794" s="43"/>
      <c r="K794" s="43"/>
      <c r="L794" s="43"/>
      <c r="M794" s="43"/>
      <c r="N794" s="43"/>
      <c r="O794" s="43"/>
      <c r="P794" s="43"/>
      <c r="Q794" s="43"/>
      <c r="R794" s="49"/>
      <c r="S794" s="49"/>
      <c r="T794" s="49"/>
      <c r="U794" s="49"/>
      <c r="V794" s="49"/>
      <c r="W794" s="49"/>
      <c r="X794" s="49"/>
      <c r="Y794" s="49"/>
      <c r="Z794" s="49"/>
      <c r="AA794" s="49"/>
      <c r="AB794" s="49"/>
      <c r="AC794" s="49"/>
    </row>
    <row r="795" spans="1:29">
      <c r="A795" s="43"/>
      <c r="B795" s="43"/>
      <c r="C795" s="43"/>
      <c r="D795" s="43"/>
      <c r="E795" s="43"/>
      <c r="F795" s="43"/>
      <c r="G795" s="43"/>
      <c r="H795" s="43"/>
      <c r="I795" s="43"/>
      <c r="J795" s="43"/>
      <c r="K795" s="43"/>
      <c r="L795" s="43"/>
      <c r="M795" s="43"/>
      <c r="N795" s="43"/>
      <c r="O795" s="43"/>
      <c r="P795" s="43"/>
      <c r="Q795" s="43"/>
      <c r="R795" s="49"/>
      <c r="S795" s="49"/>
      <c r="T795" s="49"/>
      <c r="U795" s="49"/>
      <c r="V795" s="49"/>
      <c r="W795" s="49"/>
      <c r="X795" s="49"/>
      <c r="Y795" s="49"/>
      <c r="Z795" s="49"/>
      <c r="AA795" s="49"/>
      <c r="AB795" s="49"/>
      <c r="AC795" s="49"/>
    </row>
    <row r="796" spans="1:29">
      <c r="A796" s="43"/>
      <c r="B796" s="43"/>
      <c r="C796" s="43"/>
      <c r="D796" s="43"/>
      <c r="E796" s="43"/>
      <c r="F796" s="43"/>
      <c r="G796" s="43"/>
      <c r="H796" s="43"/>
      <c r="I796" s="43"/>
      <c r="J796" s="43"/>
      <c r="K796" s="43"/>
      <c r="L796" s="43"/>
      <c r="M796" s="43"/>
      <c r="N796" s="43"/>
      <c r="O796" s="43"/>
      <c r="P796" s="43"/>
      <c r="Q796" s="43"/>
      <c r="R796" s="49"/>
      <c r="S796" s="49"/>
      <c r="T796" s="49"/>
      <c r="U796" s="49"/>
      <c r="V796" s="49"/>
      <c r="W796" s="49"/>
      <c r="X796" s="49"/>
      <c r="Y796" s="49"/>
      <c r="Z796" s="49"/>
      <c r="AA796" s="49"/>
      <c r="AB796" s="49"/>
      <c r="AC796" s="49"/>
    </row>
    <row r="797" spans="1:29">
      <c r="A797" s="43"/>
      <c r="B797" s="43"/>
      <c r="C797" s="43"/>
      <c r="D797" s="43"/>
      <c r="E797" s="43"/>
      <c r="F797" s="43"/>
      <c r="G797" s="43"/>
      <c r="H797" s="43"/>
      <c r="I797" s="43"/>
      <c r="J797" s="43"/>
      <c r="K797" s="43"/>
      <c r="L797" s="43"/>
      <c r="M797" s="43"/>
      <c r="N797" s="43"/>
      <c r="O797" s="43"/>
      <c r="P797" s="43"/>
      <c r="Q797" s="43"/>
      <c r="R797" s="49"/>
      <c r="S797" s="49"/>
      <c r="T797" s="49"/>
      <c r="U797" s="49"/>
      <c r="V797" s="49"/>
      <c r="W797" s="49"/>
      <c r="X797" s="49"/>
      <c r="Y797" s="49"/>
      <c r="Z797" s="49"/>
      <c r="AA797" s="49"/>
      <c r="AB797" s="49"/>
      <c r="AC797" s="49"/>
    </row>
    <row r="798" spans="1:29">
      <c r="A798" s="43"/>
      <c r="B798" s="43"/>
      <c r="C798" s="43"/>
      <c r="D798" s="43"/>
      <c r="E798" s="43"/>
      <c r="F798" s="43"/>
      <c r="G798" s="43"/>
      <c r="H798" s="43"/>
      <c r="I798" s="43"/>
      <c r="J798" s="43"/>
      <c r="K798" s="43"/>
      <c r="L798" s="43"/>
      <c r="M798" s="43"/>
      <c r="N798" s="43"/>
      <c r="O798" s="43"/>
      <c r="P798" s="43"/>
      <c r="Q798" s="43"/>
      <c r="R798" s="49"/>
      <c r="S798" s="49"/>
      <c r="T798" s="49"/>
      <c r="U798" s="49"/>
      <c r="V798" s="49"/>
      <c r="W798" s="49"/>
      <c r="X798" s="49"/>
      <c r="Y798" s="49"/>
      <c r="Z798" s="49"/>
      <c r="AA798" s="49"/>
      <c r="AB798" s="49"/>
      <c r="AC798" s="49"/>
    </row>
    <row r="799" spans="1:29">
      <c r="A799" s="43"/>
      <c r="B799" s="43"/>
      <c r="C799" s="43"/>
      <c r="D799" s="43"/>
      <c r="E799" s="43"/>
      <c r="F799" s="43"/>
      <c r="G799" s="43"/>
      <c r="H799" s="43"/>
      <c r="I799" s="43"/>
      <c r="J799" s="43"/>
      <c r="K799" s="43"/>
      <c r="L799" s="43"/>
      <c r="M799" s="43"/>
      <c r="N799" s="43"/>
      <c r="O799" s="43"/>
      <c r="P799" s="43"/>
      <c r="Q799" s="43"/>
      <c r="R799" s="49"/>
      <c r="S799" s="49"/>
      <c r="T799" s="49"/>
      <c r="U799" s="49"/>
      <c r="V799" s="49"/>
      <c r="W799" s="49"/>
      <c r="X799" s="49"/>
      <c r="Y799" s="49"/>
      <c r="Z799" s="49"/>
      <c r="AA799" s="49"/>
      <c r="AB799" s="49"/>
      <c r="AC799" s="49"/>
    </row>
    <row r="800" spans="1:29">
      <c r="A800" s="43"/>
      <c r="B800" s="43"/>
      <c r="C800" s="43"/>
      <c r="D800" s="43"/>
      <c r="E800" s="43"/>
      <c r="F800" s="43"/>
      <c r="G800" s="43"/>
      <c r="H800" s="43"/>
      <c r="I800" s="43"/>
      <c r="J800" s="43"/>
      <c r="K800" s="43"/>
      <c r="L800" s="43"/>
      <c r="M800" s="43"/>
      <c r="N800" s="43"/>
      <c r="O800" s="43"/>
      <c r="P800" s="43"/>
      <c r="Q800" s="43"/>
      <c r="R800" s="49"/>
      <c r="S800" s="49"/>
      <c r="T800" s="49"/>
      <c r="U800" s="49"/>
      <c r="V800" s="49"/>
      <c r="W800" s="49"/>
      <c r="X800" s="49"/>
      <c r="Y800" s="49"/>
      <c r="Z800" s="49"/>
      <c r="AA800" s="49"/>
      <c r="AB800" s="49"/>
      <c r="AC800" s="49"/>
    </row>
    <row r="801" spans="1:29">
      <c r="A801" s="43"/>
      <c r="B801" s="43"/>
      <c r="C801" s="43"/>
      <c r="D801" s="43"/>
      <c r="E801" s="43"/>
      <c r="F801" s="43"/>
      <c r="G801" s="43"/>
      <c r="H801" s="43"/>
      <c r="I801" s="43"/>
      <c r="J801" s="43"/>
      <c r="K801" s="43"/>
      <c r="L801" s="43"/>
      <c r="M801" s="43"/>
      <c r="N801" s="43"/>
      <c r="O801" s="43"/>
      <c r="P801" s="43"/>
      <c r="Q801" s="43"/>
      <c r="R801" s="49"/>
      <c r="S801" s="49"/>
      <c r="T801" s="49"/>
      <c r="U801" s="49"/>
      <c r="V801" s="49"/>
      <c r="W801" s="49"/>
      <c r="X801" s="49"/>
      <c r="Y801" s="49"/>
      <c r="Z801" s="49"/>
      <c r="AA801" s="49"/>
      <c r="AB801" s="49"/>
      <c r="AC801" s="49"/>
    </row>
    <row r="802" spans="1:29">
      <c r="A802" s="43"/>
      <c r="B802" s="43"/>
      <c r="C802" s="43"/>
      <c r="D802" s="43"/>
      <c r="E802" s="43"/>
      <c r="F802" s="43"/>
      <c r="G802" s="43"/>
      <c r="H802" s="43"/>
      <c r="I802" s="43"/>
      <c r="J802" s="43"/>
      <c r="K802" s="43"/>
      <c r="L802" s="43"/>
      <c r="M802" s="43"/>
      <c r="N802" s="43"/>
      <c r="O802" s="43"/>
      <c r="P802" s="43"/>
      <c r="Q802" s="43"/>
      <c r="R802" s="49"/>
      <c r="S802" s="49"/>
      <c r="T802" s="49"/>
      <c r="U802" s="49"/>
      <c r="V802" s="49"/>
      <c r="W802" s="49"/>
      <c r="X802" s="49"/>
      <c r="Y802" s="49"/>
      <c r="Z802" s="49"/>
      <c r="AA802" s="49"/>
      <c r="AB802" s="49"/>
      <c r="AC802" s="49"/>
    </row>
    <row r="803" spans="1:29">
      <c r="A803" s="43"/>
      <c r="B803" s="43"/>
      <c r="C803" s="43"/>
      <c r="D803" s="43"/>
      <c r="E803" s="43"/>
      <c r="F803" s="43"/>
      <c r="G803" s="43"/>
      <c r="H803" s="43"/>
      <c r="I803" s="43"/>
      <c r="J803" s="43"/>
      <c r="K803" s="43"/>
      <c r="L803" s="43"/>
      <c r="M803" s="43"/>
      <c r="N803" s="43"/>
      <c r="O803" s="43"/>
      <c r="P803" s="43"/>
      <c r="Q803" s="43"/>
      <c r="R803" s="49"/>
      <c r="S803" s="49"/>
      <c r="T803" s="49"/>
      <c r="U803" s="49"/>
      <c r="V803" s="49"/>
      <c r="W803" s="49"/>
      <c r="X803" s="49"/>
      <c r="Y803" s="49"/>
      <c r="Z803" s="49"/>
      <c r="AA803" s="49"/>
      <c r="AB803" s="49"/>
      <c r="AC803" s="49"/>
    </row>
    <row r="804" spans="1:29">
      <c r="A804" s="43"/>
      <c r="B804" s="43"/>
      <c r="C804" s="43"/>
      <c r="D804" s="43"/>
      <c r="E804" s="43"/>
      <c r="F804" s="43"/>
      <c r="G804" s="43"/>
      <c r="H804" s="43"/>
      <c r="I804" s="43"/>
      <c r="J804" s="43"/>
      <c r="K804" s="43"/>
      <c r="L804" s="43"/>
      <c r="M804" s="43"/>
      <c r="N804" s="43"/>
      <c r="O804" s="43"/>
      <c r="P804" s="43"/>
      <c r="Q804" s="43"/>
      <c r="R804" s="49"/>
      <c r="S804" s="49"/>
      <c r="T804" s="49"/>
      <c r="U804" s="49"/>
      <c r="V804" s="49"/>
      <c r="W804" s="49"/>
      <c r="X804" s="49"/>
      <c r="Y804" s="49"/>
      <c r="Z804" s="49"/>
      <c r="AA804" s="49"/>
      <c r="AB804" s="49"/>
      <c r="AC804" s="49"/>
    </row>
    <row r="805" spans="1:29">
      <c r="A805" s="43"/>
      <c r="B805" s="43"/>
      <c r="C805" s="43"/>
      <c r="D805" s="43"/>
      <c r="E805" s="43"/>
      <c r="F805" s="43"/>
      <c r="G805" s="43"/>
      <c r="H805" s="43"/>
      <c r="I805" s="43"/>
      <c r="J805" s="43"/>
      <c r="K805" s="43"/>
      <c r="L805" s="43"/>
      <c r="M805" s="43"/>
      <c r="N805" s="43"/>
      <c r="O805" s="43"/>
      <c r="P805" s="43"/>
      <c r="Q805" s="43"/>
      <c r="R805" s="49"/>
      <c r="S805" s="49"/>
      <c r="T805" s="49"/>
      <c r="U805" s="49"/>
      <c r="V805" s="49"/>
      <c r="W805" s="49"/>
      <c r="X805" s="49"/>
      <c r="Y805" s="49"/>
      <c r="Z805" s="49"/>
      <c r="AA805" s="49"/>
      <c r="AB805" s="49"/>
      <c r="AC805" s="49"/>
    </row>
    <row r="806" spans="1:29">
      <c r="A806" s="43"/>
      <c r="B806" s="43"/>
      <c r="C806" s="43"/>
      <c r="D806" s="43"/>
      <c r="E806" s="43"/>
      <c r="F806" s="43"/>
      <c r="G806" s="43"/>
      <c r="H806" s="43"/>
      <c r="I806" s="43"/>
      <c r="J806" s="43"/>
      <c r="K806" s="43"/>
      <c r="L806" s="43"/>
      <c r="M806" s="43"/>
      <c r="N806" s="43"/>
      <c r="O806" s="43"/>
      <c r="P806" s="43"/>
      <c r="Q806" s="43"/>
      <c r="R806" s="49"/>
      <c r="S806" s="49"/>
      <c r="T806" s="49"/>
      <c r="U806" s="49"/>
      <c r="V806" s="49"/>
      <c r="W806" s="49"/>
      <c r="X806" s="49"/>
      <c r="Y806" s="49"/>
      <c r="Z806" s="49"/>
      <c r="AA806" s="49"/>
      <c r="AB806" s="49"/>
      <c r="AC806" s="49"/>
    </row>
    <row r="807" spans="1:29">
      <c r="A807" s="43"/>
      <c r="B807" s="43"/>
      <c r="C807" s="43"/>
      <c r="D807" s="43"/>
      <c r="E807" s="43"/>
      <c r="F807" s="43"/>
      <c r="G807" s="43"/>
      <c r="H807" s="43"/>
      <c r="I807" s="43"/>
      <c r="J807" s="43"/>
      <c r="K807" s="43"/>
      <c r="L807" s="43"/>
      <c r="M807" s="43"/>
      <c r="N807" s="43"/>
      <c r="O807" s="43"/>
      <c r="P807" s="43"/>
      <c r="Q807" s="43"/>
      <c r="R807" s="49"/>
      <c r="S807" s="49"/>
      <c r="T807" s="49"/>
      <c r="U807" s="49"/>
      <c r="V807" s="49"/>
      <c r="W807" s="49"/>
      <c r="X807" s="49"/>
      <c r="Y807" s="49"/>
      <c r="Z807" s="49"/>
      <c r="AA807" s="49"/>
      <c r="AB807" s="49"/>
      <c r="AC807" s="49"/>
    </row>
    <row r="808" spans="1:29">
      <c r="A808" s="43"/>
      <c r="B808" s="43"/>
      <c r="C808" s="43"/>
      <c r="D808" s="43"/>
      <c r="E808" s="43"/>
      <c r="F808" s="43"/>
      <c r="G808" s="43"/>
      <c r="H808" s="43"/>
      <c r="I808" s="43"/>
      <c r="J808" s="43"/>
      <c r="K808" s="43"/>
      <c r="L808" s="43"/>
      <c r="M808" s="43"/>
      <c r="N808" s="43"/>
      <c r="O808" s="43"/>
      <c r="P808" s="43"/>
      <c r="Q808" s="43"/>
      <c r="R808" s="49"/>
      <c r="S808" s="49"/>
      <c r="T808" s="49"/>
      <c r="U808" s="49"/>
      <c r="V808" s="49"/>
      <c r="W808" s="49"/>
      <c r="X808" s="49"/>
      <c r="Y808" s="49"/>
      <c r="Z808" s="49"/>
      <c r="AA808" s="49"/>
      <c r="AB808" s="49"/>
      <c r="AC808" s="49"/>
    </row>
    <row r="809" spans="1:29">
      <c r="A809" s="43"/>
      <c r="B809" s="43"/>
      <c r="C809" s="43"/>
      <c r="D809" s="43"/>
      <c r="E809" s="43"/>
      <c r="F809" s="43"/>
      <c r="G809" s="43"/>
      <c r="H809" s="43"/>
      <c r="I809" s="43"/>
      <c r="J809" s="43"/>
      <c r="K809" s="43"/>
      <c r="L809" s="43"/>
      <c r="M809" s="43"/>
      <c r="N809" s="43"/>
      <c r="O809" s="43"/>
      <c r="P809" s="43"/>
      <c r="Q809" s="43"/>
      <c r="R809" s="49"/>
      <c r="S809" s="49"/>
      <c r="T809" s="49"/>
      <c r="U809" s="49"/>
      <c r="V809" s="49"/>
      <c r="W809" s="49"/>
      <c r="X809" s="49"/>
      <c r="Y809" s="49"/>
      <c r="Z809" s="49"/>
      <c r="AA809" s="49"/>
      <c r="AB809" s="49"/>
      <c r="AC809" s="49"/>
    </row>
    <row r="810" spans="1:29">
      <c r="A810" s="43"/>
      <c r="B810" s="43"/>
      <c r="C810" s="43"/>
      <c r="D810" s="43"/>
      <c r="E810" s="43"/>
      <c r="F810" s="43"/>
      <c r="G810" s="43"/>
      <c r="H810" s="43"/>
      <c r="I810" s="43"/>
      <c r="J810" s="43"/>
      <c r="K810" s="43"/>
      <c r="L810" s="43"/>
      <c r="M810" s="43"/>
      <c r="N810" s="43"/>
      <c r="O810" s="43"/>
      <c r="P810" s="43"/>
      <c r="Q810" s="43"/>
      <c r="R810" s="49"/>
      <c r="S810" s="49"/>
      <c r="T810" s="49"/>
      <c r="U810" s="49"/>
      <c r="V810" s="49"/>
      <c r="W810" s="49"/>
      <c r="X810" s="49"/>
      <c r="Y810" s="49"/>
      <c r="Z810" s="49"/>
      <c r="AA810" s="49"/>
      <c r="AB810" s="49"/>
      <c r="AC810" s="49"/>
    </row>
    <row r="811" spans="1:29">
      <c r="A811" s="43"/>
      <c r="B811" s="43"/>
      <c r="C811" s="43"/>
      <c r="D811" s="43"/>
      <c r="E811" s="43"/>
      <c r="F811" s="43"/>
      <c r="G811" s="43"/>
      <c r="H811" s="43"/>
      <c r="I811" s="43"/>
      <c r="J811" s="43"/>
      <c r="K811" s="43"/>
      <c r="L811" s="43"/>
      <c r="M811" s="43"/>
      <c r="N811" s="43"/>
      <c r="O811" s="43"/>
      <c r="P811" s="43"/>
      <c r="Q811" s="43"/>
      <c r="R811" s="49"/>
      <c r="S811" s="49"/>
      <c r="T811" s="49"/>
      <c r="U811" s="49"/>
      <c r="V811" s="49"/>
      <c r="W811" s="49"/>
      <c r="X811" s="49"/>
      <c r="Y811" s="49"/>
      <c r="Z811" s="49"/>
      <c r="AA811" s="49"/>
      <c r="AB811" s="49"/>
      <c r="AC811" s="49"/>
    </row>
    <row r="812" spans="1:29">
      <c r="A812" s="43"/>
      <c r="B812" s="43"/>
      <c r="C812" s="43"/>
      <c r="D812" s="43"/>
      <c r="E812" s="43"/>
      <c r="F812" s="43"/>
      <c r="G812" s="43"/>
      <c r="H812" s="43"/>
      <c r="I812" s="43"/>
      <c r="J812" s="43"/>
      <c r="K812" s="43"/>
      <c r="L812" s="43"/>
      <c r="M812" s="43"/>
      <c r="N812" s="43"/>
      <c r="O812" s="43"/>
      <c r="P812" s="43"/>
      <c r="Q812" s="43"/>
      <c r="R812" s="49"/>
      <c r="S812" s="49"/>
      <c r="T812" s="49"/>
      <c r="U812" s="49"/>
      <c r="V812" s="49"/>
      <c r="W812" s="49"/>
      <c r="X812" s="49"/>
      <c r="Y812" s="49"/>
      <c r="Z812" s="49"/>
      <c r="AA812" s="49"/>
      <c r="AB812" s="49"/>
      <c r="AC812" s="49"/>
    </row>
    <row r="813" spans="1:29">
      <c r="A813" s="43"/>
      <c r="B813" s="43"/>
      <c r="C813" s="43"/>
      <c r="D813" s="43"/>
      <c r="E813" s="43"/>
      <c r="F813" s="43"/>
      <c r="G813" s="43"/>
      <c r="H813" s="43"/>
      <c r="I813" s="43"/>
      <c r="J813" s="43"/>
      <c r="K813" s="43"/>
      <c r="L813" s="43"/>
      <c r="M813" s="43"/>
      <c r="N813" s="43"/>
      <c r="O813" s="43"/>
      <c r="P813" s="43"/>
      <c r="Q813" s="43"/>
      <c r="R813" s="49"/>
      <c r="S813" s="49"/>
      <c r="T813" s="49"/>
      <c r="U813" s="49"/>
      <c r="V813" s="49"/>
      <c r="W813" s="49"/>
      <c r="X813" s="49"/>
      <c r="Y813" s="49"/>
      <c r="Z813" s="49"/>
      <c r="AA813" s="49"/>
      <c r="AB813" s="49"/>
      <c r="AC813" s="49"/>
    </row>
    <row r="814" spans="1:29">
      <c r="A814" s="43"/>
      <c r="B814" s="43"/>
      <c r="C814" s="43"/>
      <c r="D814" s="43"/>
      <c r="E814" s="43"/>
      <c r="F814" s="43"/>
      <c r="G814" s="43"/>
      <c r="H814" s="43"/>
      <c r="I814" s="43"/>
      <c r="J814" s="43"/>
      <c r="K814" s="43"/>
      <c r="L814" s="43"/>
      <c r="M814" s="43"/>
      <c r="N814" s="43"/>
      <c r="O814" s="43"/>
      <c r="P814" s="43"/>
      <c r="Q814" s="43"/>
      <c r="R814" s="49"/>
      <c r="S814" s="49"/>
      <c r="T814" s="49"/>
      <c r="U814" s="49"/>
      <c r="V814" s="49"/>
      <c r="W814" s="49"/>
      <c r="X814" s="49"/>
      <c r="Y814" s="49"/>
      <c r="Z814" s="49"/>
      <c r="AA814" s="49"/>
      <c r="AB814" s="49"/>
      <c r="AC814" s="49"/>
    </row>
    <row r="815" spans="1:29">
      <c r="A815" s="43"/>
      <c r="B815" s="43"/>
      <c r="C815" s="43"/>
      <c r="D815" s="43"/>
      <c r="E815" s="43"/>
      <c r="F815" s="43"/>
      <c r="G815" s="43"/>
      <c r="H815" s="43"/>
      <c r="I815" s="43"/>
      <c r="J815" s="43"/>
      <c r="K815" s="43"/>
      <c r="L815" s="43"/>
      <c r="M815" s="43"/>
      <c r="N815" s="43"/>
      <c r="O815" s="43"/>
      <c r="P815" s="43"/>
      <c r="Q815" s="43"/>
      <c r="R815" s="49"/>
      <c r="S815" s="49"/>
      <c r="T815" s="49"/>
      <c r="U815" s="49"/>
      <c r="V815" s="49"/>
      <c r="W815" s="49"/>
      <c r="X815" s="49"/>
      <c r="Y815" s="49"/>
      <c r="Z815" s="49"/>
      <c r="AA815" s="49"/>
      <c r="AB815" s="49"/>
      <c r="AC815" s="49"/>
    </row>
    <row r="816" spans="1:29">
      <c r="A816" s="43"/>
      <c r="B816" s="43"/>
      <c r="C816" s="43"/>
      <c r="D816" s="43"/>
      <c r="E816" s="43"/>
      <c r="F816" s="43"/>
      <c r="G816" s="43"/>
      <c r="H816" s="43"/>
      <c r="I816" s="43"/>
      <c r="J816" s="43"/>
      <c r="K816" s="43"/>
      <c r="L816" s="43"/>
      <c r="M816" s="43"/>
      <c r="N816" s="43"/>
      <c r="O816" s="43"/>
      <c r="P816" s="43"/>
      <c r="Q816" s="43"/>
      <c r="R816" s="49"/>
      <c r="S816" s="49"/>
      <c r="T816" s="49"/>
      <c r="U816" s="49"/>
      <c r="V816" s="49"/>
      <c r="W816" s="49"/>
      <c r="X816" s="49"/>
      <c r="Y816" s="49"/>
      <c r="Z816" s="49"/>
      <c r="AA816" s="49"/>
      <c r="AB816" s="49"/>
      <c r="AC816" s="49"/>
    </row>
    <row r="817" spans="1:29">
      <c r="A817" s="43"/>
      <c r="B817" s="43"/>
      <c r="C817" s="43"/>
      <c r="D817" s="43"/>
      <c r="E817" s="43"/>
      <c r="F817" s="43"/>
      <c r="G817" s="43"/>
      <c r="H817" s="43"/>
      <c r="I817" s="43"/>
      <c r="J817" s="43"/>
      <c r="K817" s="43"/>
      <c r="L817" s="43"/>
      <c r="M817" s="43"/>
      <c r="N817" s="43"/>
      <c r="O817" s="43"/>
      <c r="P817" s="43"/>
      <c r="Q817" s="43"/>
      <c r="R817" s="49"/>
      <c r="S817" s="49"/>
      <c r="T817" s="49"/>
      <c r="U817" s="49"/>
      <c r="V817" s="49"/>
      <c r="W817" s="49"/>
      <c r="X817" s="49"/>
      <c r="Y817" s="49"/>
      <c r="Z817" s="49"/>
      <c r="AA817" s="49"/>
      <c r="AB817" s="49"/>
      <c r="AC817" s="49"/>
    </row>
    <row r="818" spans="1:29">
      <c r="A818" s="43"/>
      <c r="B818" s="43"/>
      <c r="C818" s="43"/>
      <c r="D818" s="43"/>
      <c r="E818" s="43"/>
      <c r="F818" s="43"/>
      <c r="G818" s="43"/>
      <c r="H818" s="43"/>
      <c r="I818" s="43"/>
      <c r="J818" s="43"/>
      <c r="K818" s="43"/>
      <c r="L818" s="43"/>
      <c r="M818" s="43"/>
      <c r="N818" s="43"/>
      <c r="O818" s="43"/>
      <c r="P818" s="43"/>
      <c r="Q818" s="43"/>
      <c r="R818" s="49"/>
      <c r="S818" s="49"/>
      <c r="T818" s="49"/>
      <c r="U818" s="49"/>
      <c r="V818" s="49"/>
      <c r="W818" s="49"/>
      <c r="X818" s="49"/>
      <c r="Y818" s="49"/>
      <c r="Z818" s="49"/>
      <c r="AA818" s="49"/>
      <c r="AB818" s="49"/>
      <c r="AC818" s="49"/>
    </row>
    <row r="819" spans="1:29">
      <c r="A819" s="43"/>
      <c r="B819" s="43"/>
      <c r="C819" s="43"/>
      <c r="D819" s="43"/>
      <c r="E819" s="43"/>
      <c r="F819" s="43"/>
      <c r="G819" s="43"/>
      <c r="H819" s="43"/>
      <c r="I819" s="43"/>
      <c r="J819" s="43"/>
      <c r="K819" s="43"/>
      <c r="L819" s="43"/>
      <c r="M819" s="43"/>
      <c r="N819" s="43"/>
      <c r="O819" s="43"/>
      <c r="P819" s="43"/>
      <c r="Q819" s="43"/>
      <c r="R819" s="49"/>
      <c r="S819" s="49"/>
      <c r="T819" s="49"/>
      <c r="U819" s="49"/>
      <c r="V819" s="49"/>
      <c r="W819" s="49"/>
      <c r="X819" s="49"/>
      <c r="Y819" s="49"/>
      <c r="Z819" s="49"/>
      <c r="AA819" s="49"/>
      <c r="AB819" s="49"/>
      <c r="AC819" s="49"/>
    </row>
    <row r="820" spans="1:29">
      <c r="A820" s="43"/>
      <c r="B820" s="43"/>
      <c r="C820" s="43"/>
      <c r="D820" s="43"/>
      <c r="E820" s="43"/>
      <c r="F820" s="43"/>
      <c r="G820" s="43"/>
      <c r="H820" s="43"/>
      <c r="I820" s="43"/>
      <c r="J820" s="43"/>
      <c r="K820" s="43"/>
      <c r="L820" s="43"/>
      <c r="M820" s="43"/>
      <c r="N820" s="43"/>
      <c r="O820" s="43"/>
      <c r="P820" s="43"/>
      <c r="Q820" s="43"/>
      <c r="R820" s="49"/>
      <c r="S820" s="49"/>
      <c r="T820" s="49"/>
      <c r="U820" s="49"/>
      <c r="V820" s="49"/>
      <c r="W820" s="49"/>
      <c r="X820" s="49"/>
      <c r="Y820" s="49"/>
      <c r="Z820" s="49"/>
      <c r="AA820" s="49"/>
      <c r="AB820" s="49"/>
      <c r="AC820" s="49"/>
    </row>
    <row r="821" spans="1:29">
      <c r="A821" s="43"/>
      <c r="B821" s="43"/>
      <c r="C821" s="43"/>
      <c r="D821" s="43"/>
      <c r="E821" s="43"/>
      <c r="F821" s="43"/>
      <c r="G821" s="43"/>
      <c r="H821" s="43"/>
      <c r="I821" s="43"/>
      <c r="J821" s="43"/>
      <c r="K821" s="43"/>
      <c r="L821" s="43"/>
      <c r="M821" s="43"/>
      <c r="N821" s="43"/>
      <c r="O821" s="43"/>
      <c r="P821" s="43"/>
      <c r="Q821" s="43"/>
      <c r="R821" s="49"/>
      <c r="S821" s="49"/>
      <c r="T821" s="49"/>
      <c r="U821" s="49"/>
      <c r="V821" s="49"/>
      <c r="W821" s="49"/>
      <c r="X821" s="49"/>
      <c r="Y821" s="49"/>
      <c r="Z821" s="49"/>
      <c r="AA821" s="49"/>
      <c r="AB821" s="49"/>
      <c r="AC821" s="49"/>
    </row>
    <row r="822" spans="1:29">
      <c r="A822" s="43"/>
      <c r="B822" s="43"/>
      <c r="C822" s="43"/>
      <c r="D822" s="43"/>
      <c r="E822" s="43"/>
      <c r="F822" s="43"/>
      <c r="G822" s="43"/>
      <c r="H822" s="43"/>
      <c r="I822" s="43"/>
      <c r="J822" s="43"/>
      <c r="K822" s="43"/>
      <c r="L822" s="43"/>
      <c r="M822" s="43"/>
      <c r="N822" s="43"/>
      <c r="O822" s="43"/>
      <c r="P822" s="43"/>
      <c r="Q822" s="43"/>
      <c r="R822" s="49"/>
      <c r="S822" s="49"/>
      <c r="T822" s="49"/>
      <c r="U822" s="49"/>
      <c r="V822" s="49"/>
      <c r="W822" s="49"/>
      <c r="X822" s="49"/>
      <c r="Y822" s="49"/>
      <c r="Z822" s="49"/>
      <c r="AA822" s="49"/>
      <c r="AB822" s="49"/>
      <c r="AC822" s="49"/>
    </row>
    <row r="823" spans="1:29">
      <c r="A823" s="43"/>
      <c r="B823" s="43"/>
      <c r="C823" s="43"/>
      <c r="D823" s="43"/>
      <c r="E823" s="43"/>
      <c r="F823" s="43"/>
      <c r="G823" s="43"/>
      <c r="H823" s="43"/>
      <c r="I823" s="43"/>
      <c r="J823" s="43"/>
      <c r="K823" s="43"/>
      <c r="L823" s="43"/>
      <c r="M823" s="43"/>
      <c r="N823" s="43"/>
      <c r="O823" s="43"/>
      <c r="P823" s="43"/>
      <c r="Q823" s="43"/>
      <c r="R823" s="49"/>
      <c r="S823" s="49"/>
      <c r="T823" s="49"/>
      <c r="U823" s="49"/>
      <c r="V823" s="49"/>
      <c r="W823" s="49"/>
      <c r="X823" s="49"/>
      <c r="Y823" s="49"/>
      <c r="Z823" s="49"/>
      <c r="AA823" s="49"/>
      <c r="AB823" s="49"/>
      <c r="AC823" s="49"/>
    </row>
    <row r="824" spans="1:29">
      <c r="A824" s="43"/>
      <c r="B824" s="43"/>
      <c r="C824" s="43"/>
      <c r="D824" s="43"/>
      <c r="E824" s="43"/>
      <c r="F824" s="43"/>
      <c r="G824" s="43"/>
      <c r="H824" s="43"/>
      <c r="I824" s="43"/>
      <c r="J824" s="43"/>
      <c r="K824" s="43"/>
      <c r="L824" s="43"/>
      <c r="M824" s="43"/>
      <c r="N824" s="43"/>
      <c r="O824" s="43"/>
      <c r="P824" s="43"/>
      <c r="Q824" s="43"/>
      <c r="R824" s="49"/>
      <c r="S824" s="49"/>
      <c r="T824" s="49"/>
      <c r="U824" s="49"/>
      <c r="V824" s="49"/>
      <c r="W824" s="49"/>
      <c r="X824" s="49"/>
      <c r="Y824" s="49"/>
      <c r="Z824" s="49"/>
      <c r="AA824" s="49"/>
      <c r="AB824" s="49"/>
      <c r="AC824" s="49"/>
    </row>
    <row r="825" spans="1:29">
      <c r="A825" s="43"/>
      <c r="B825" s="43"/>
      <c r="C825" s="43"/>
      <c r="D825" s="43"/>
      <c r="E825" s="43"/>
      <c r="F825" s="43"/>
      <c r="G825" s="43"/>
      <c r="H825" s="43"/>
      <c r="I825" s="43"/>
      <c r="J825" s="43"/>
      <c r="K825" s="43"/>
      <c r="L825" s="43"/>
      <c r="M825" s="43"/>
      <c r="N825" s="43"/>
      <c r="O825" s="43"/>
      <c r="P825" s="43"/>
      <c r="Q825" s="43"/>
      <c r="R825" s="49"/>
      <c r="S825" s="49"/>
      <c r="T825" s="49"/>
      <c r="U825" s="49"/>
      <c r="V825" s="49"/>
      <c r="W825" s="49"/>
      <c r="X825" s="49"/>
      <c r="Y825" s="49"/>
      <c r="Z825" s="49"/>
      <c r="AA825" s="49"/>
      <c r="AB825" s="49"/>
      <c r="AC825" s="49"/>
    </row>
    <row r="826" spans="1:29">
      <c r="A826" s="43"/>
      <c r="B826" s="43"/>
      <c r="C826" s="43"/>
      <c r="D826" s="43"/>
      <c r="E826" s="43"/>
      <c r="F826" s="43"/>
      <c r="G826" s="43"/>
      <c r="H826" s="43"/>
      <c r="I826" s="43"/>
      <c r="J826" s="43"/>
      <c r="K826" s="43"/>
      <c r="L826" s="43"/>
      <c r="M826" s="43"/>
      <c r="N826" s="43"/>
      <c r="O826" s="43"/>
      <c r="P826" s="43"/>
      <c r="Q826" s="43"/>
      <c r="R826" s="49"/>
      <c r="S826" s="49"/>
      <c r="T826" s="49"/>
      <c r="U826" s="49"/>
      <c r="V826" s="49"/>
      <c r="W826" s="49"/>
      <c r="X826" s="49"/>
      <c r="Y826" s="49"/>
      <c r="Z826" s="49"/>
      <c r="AA826" s="49"/>
      <c r="AB826" s="49"/>
      <c r="AC826" s="49"/>
    </row>
    <row r="827" spans="1:29">
      <c r="A827" s="43"/>
      <c r="B827" s="43"/>
      <c r="C827" s="43"/>
      <c r="D827" s="43"/>
      <c r="E827" s="43"/>
      <c r="F827" s="43"/>
      <c r="G827" s="43"/>
      <c r="H827" s="43"/>
      <c r="I827" s="43"/>
      <c r="J827" s="43"/>
      <c r="K827" s="43"/>
      <c r="L827" s="43"/>
      <c r="M827" s="43"/>
      <c r="N827" s="43"/>
      <c r="O827" s="43"/>
      <c r="P827" s="43"/>
      <c r="Q827" s="43"/>
      <c r="R827" s="49"/>
      <c r="S827" s="49"/>
      <c r="T827" s="49"/>
      <c r="U827" s="49"/>
      <c r="V827" s="49"/>
      <c r="W827" s="49"/>
      <c r="X827" s="49"/>
      <c r="Y827" s="49"/>
      <c r="Z827" s="49"/>
      <c r="AA827" s="49"/>
      <c r="AB827" s="49"/>
      <c r="AC827" s="49"/>
    </row>
    <row r="828" spans="1:29">
      <c r="A828" s="43"/>
      <c r="B828" s="43"/>
      <c r="C828" s="43"/>
      <c r="D828" s="43"/>
      <c r="E828" s="43"/>
      <c r="F828" s="43"/>
      <c r="G828" s="43"/>
      <c r="H828" s="43"/>
      <c r="I828" s="43"/>
      <c r="J828" s="43"/>
      <c r="K828" s="43"/>
      <c r="L828" s="43"/>
      <c r="M828" s="43"/>
      <c r="N828" s="43"/>
      <c r="O828" s="43"/>
      <c r="P828" s="43"/>
      <c r="Q828" s="43"/>
      <c r="R828" s="49"/>
      <c r="S828" s="49"/>
      <c r="T828" s="49"/>
      <c r="U828" s="49"/>
      <c r="V828" s="49"/>
      <c r="W828" s="49"/>
      <c r="X828" s="49"/>
      <c r="Y828" s="49"/>
      <c r="Z828" s="49"/>
      <c r="AA828" s="49"/>
      <c r="AB828" s="49"/>
      <c r="AC828" s="49"/>
    </row>
    <row r="829" spans="1:29">
      <c r="A829" s="43"/>
      <c r="B829" s="43"/>
      <c r="C829" s="43"/>
      <c r="D829" s="43"/>
      <c r="E829" s="43"/>
      <c r="F829" s="43"/>
      <c r="G829" s="43"/>
      <c r="H829" s="43"/>
      <c r="I829" s="43"/>
      <c r="J829" s="43"/>
      <c r="K829" s="43"/>
      <c r="L829" s="43"/>
      <c r="M829" s="43"/>
      <c r="N829" s="43"/>
      <c r="O829" s="43"/>
      <c r="P829" s="43"/>
      <c r="Q829" s="43"/>
      <c r="R829" s="49"/>
      <c r="S829" s="49"/>
      <c r="T829" s="49"/>
      <c r="U829" s="49"/>
      <c r="V829" s="49"/>
      <c r="W829" s="49"/>
      <c r="X829" s="49"/>
      <c r="Y829" s="49"/>
      <c r="Z829" s="49"/>
      <c r="AA829" s="49"/>
      <c r="AB829" s="49"/>
      <c r="AC829" s="49"/>
    </row>
    <row r="830" spans="1:29">
      <c r="A830" s="43"/>
      <c r="B830" s="43"/>
      <c r="C830" s="43"/>
      <c r="D830" s="43"/>
      <c r="E830" s="43"/>
      <c r="F830" s="43"/>
      <c r="G830" s="43"/>
      <c r="H830" s="43"/>
      <c r="I830" s="43"/>
      <c r="J830" s="43"/>
      <c r="K830" s="43"/>
      <c r="L830" s="43"/>
      <c r="M830" s="43"/>
      <c r="N830" s="43"/>
      <c r="O830" s="43"/>
      <c r="P830" s="43"/>
      <c r="Q830" s="43"/>
      <c r="R830" s="49"/>
      <c r="S830" s="49"/>
      <c r="T830" s="49"/>
      <c r="U830" s="49"/>
      <c r="V830" s="49"/>
      <c r="W830" s="49"/>
      <c r="X830" s="49"/>
      <c r="Y830" s="49"/>
      <c r="Z830" s="49"/>
      <c r="AA830" s="49"/>
      <c r="AB830" s="49"/>
      <c r="AC830" s="49"/>
    </row>
    <row r="831" spans="1:29">
      <c r="A831" s="43"/>
      <c r="B831" s="43"/>
      <c r="C831" s="43"/>
      <c r="D831" s="43"/>
      <c r="E831" s="43"/>
      <c r="F831" s="43"/>
      <c r="G831" s="43"/>
      <c r="H831" s="43"/>
      <c r="I831" s="43"/>
      <c r="J831" s="43"/>
      <c r="K831" s="43"/>
      <c r="L831" s="43"/>
      <c r="M831" s="43"/>
      <c r="N831" s="43"/>
      <c r="O831" s="43"/>
      <c r="P831" s="43"/>
      <c r="Q831" s="43"/>
      <c r="R831" s="49"/>
      <c r="S831" s="49"/>
      <c r="T831" s="49"/>
      <c r="U831" s="49"/>
      <c r="V831" s="49"/>
      <c r="W831" s="49"/>
      <c r="X831" s="49"/>
      <c r="Y831" s="49"/>
      <c r="Z831" s="49"/>
      <c r="AA831" s="49"/>
      <c r="AB831" s="49"/>
      <c r="AC831" s="49"/>
    </row>
    <row r="832" spans="1:29">
      <c r="A832" s="43"/>
      <c r="B832" s="43"/>
      <c r="C832" s="43"/>
      <c r="D832" s="43"/>
      <c r="E832" s="43"/>
      <c r="F832" s="43"/>
      <c r="G832" s="43"/>
      <c r="H832" s="43"/>
      <c r="I832" s="43"/>
      <c r="J832" s="43"/>
      <c r="K832" s="43"/>
      <c r="L832" s="43"/>
      <c r="M832" s="43"/>
      <c r="N832" s="43"/>
      <c r="O832" s="43"/>
      <c r="P832" s="43"/>
      <c r="Q832" s="43"/>
      <c r="R832" s="49"/>
      <c r="S832" s="49"/>
      <c r="T832" s="49"/>
      <c r="U832" s="49"/>
      <c r="V832" s="49"/>
      <c r="W832" s="49"/>
      <c r="X832" s="49"/>
      <c r="Y832" s="49"/>
      <c r="Z832" s="49"/>
      <c r="AA832" s="49"/>
      <c r="AB832" s="49"/>
      <c r="AC832" s="49"/>
    </row>
    <row r="833" spans="1:29">
      <c r="A833" s="43"/>
      <c r="B833" s="43"/>
      <c r="C833" s="43"/>
      <c r="D833" s="43"/>
      <c r="E833" s="43"/>
      <c r="F833" s="43"/>
      <c r="G833" s="43"/>
      <c r="H833" s="43"/>
      <c r="I833" s="43"/>
      <c r="J833" s="43"/>
      <c r="K833" s="43"/>
      <c r="L833" s="43"/>
      <c r="M833" s="43"/>
      <c r="N833" s="43"/>
      <c r="O833" s="43"/>
      <c r="P833" s="43"/>
      <c r="Q833" s="43"/>
      <c r="R833" s="49"/>
      <c r="S833" s="49"/>
      <c r="T833" s="49"/>
      <c r="U833" s="49"/>
      <c r="V833" s="49"/>
      <c r="W833" s="49"/>
      <c r="X833" s="49"/>
      <c r="Y833" s="49"/>
      <c r="Z833" s="49"/>
      <c r="AA833" s="49"/>
      <c r="AB833" s="49"/>
      <c r="AC833" s="49"/>
    </row>
    <row r="834" spans="1:29">
      <c r="A834" s="43"/>
      <c r="B834" s="43"/>
      <c r="C834" s="43"/>
      <c r="D834" s="43"/>
      <c r="E834" s="43"/>
      <c r="F834" s="43"/>
      <c r="G834" s="43"/>
      <c r="H834" s="43"/>
      <c r="I834" s="43"/>
      <c r="J834" s="43"/>
      <c r="K834" s="43"/>
      <c r="L834" s="43"/>
      <c r="M834" s="43"/>
      <c r="N834" s="43"/>
      <c r="O834" s="43"/>
      <c r="P834" s="43"/>
      <c r="Q834" s="43"/>
      <c r="R834" s="49"/>
      <c r="S834" s="49"/>
      <c r="T834" s="49"/>
      <c r="U834" s="49"/>
      <c r="V834" s="49"/>
      <c r="W834" s="49"/>
      <c r="X834" s="49"/>
      <c r="Y834" s="49"/>
      <c r="Z834" s="49"/>
      <c r="AA834" s="49"/>
      <c r="AB834" s="49"/>
      <c r="AC834" s="49"/>
    </row>
    <row r="835" spans="1:29">
      <c r="A835" s="43"/>
      <c r="B835" s="43"/>
      <c r="C835" s="43"/>
      <c r="D835" s="43"/>
      <c r="E835" s="43"/>
      <c r="F835" s="43"/>
      <c r="G835" s="43"/>
      <c r="H835" s="43"/>
      <c r="I835" s="43"/>
      <c r="J835" s="43"/>
      <c r="K835" s="43"/>
      <c r="L835" s="43"/>
      <c r="M835" s="43"/>
      <c r="N835" s="43"/>
      <c r="O835" s="43"/>
      <c r="P835" s="43"/>
      <c r="Q835" s="43"/>
      <c r="R835" s="49"/>
      <c r="S835" s="49"/>
      <c r="T835" s="49"/>
      <c r="U835" s="49"/>
      <c r="V835" s="49"/>
      <c r="W835" s="49"/>
      <c r="X835" s="49"/>
      <c r="Y835" s="49"/>
      <c r="Z835" s="49"/>
      <c r="AA835" s="49"/>
      <c r="AB835" s="49"/>
      <c r="AC835" s="49"/>
    </row>
    <row r="836" spans="1:29">
      <c r="A836" s="43"/>
      <c r="B836" s="43"/>
      <c r="C836" s="43"/>
      <c r="D836" s="43"/>
      <c r="E836" s="43"/>
      <c r="F836" s="43"/>
      <c r="G836" s="43"/>
      <c r="H836" s="43"/>
      <c r="I836" s="43"/>
      <c r="J836" s="43"/>
      <c r="K836" s="43"/>
      <c r="L836" s="43"/>
      <c r="M836" s="43"/>
      <c r="N836" s="43"/>
      <c r="O836" s="43"/>
      <c r="P836" s="43"/>
      <c r="Q836" s="43"/>
      <c r="R836" s="49"/>
      <c r="S836" s="49"/>
      <c r="T836" s="49"/>
      <c r="U836" s="49"/>
      <c r="V836" s="49"/>
      <c r="W836" s="49"/>
      <c r="X836" s="49"/>
      <c r="Y836" s="49"/>
      <c r="Z836" s="49"/>
      <c r="AA836" s="49"/>
      <c r="AB836" s="49"/>
      <c r="AC836" s="49"/>
    </row>
    <row r="837" spans="1:29">
      <c r="A837" s="43"/>
      <c r="B837" s="43"/>
      <c r="C837" s="43"/>
      <c r="D837" s="43"/>
      <c r="E837" s="43"/>
      <c r="F837" s="43"/>
      <c r="G837" s="43"/>
      <c r="H837" s="43"/>
      <c r="I837" s="43"/>
      <c r="J837" s="43"/>
      <c r="K837" s="43"/>
      <c r="L837" s="43"/>
      <c r="M837" s="43"/>
      <c r="N837" s="43"/>
      <c r="O837" s="43"/>
      <c r="P837" s="43"/>
      <c r="Q837" s="43"/>
      <c r="R837" s="49"/>
      <c r="S837" s="49"/>
      <c r="T837" s="49"/>
      <c r="U837" s="49"/>
      <c r="V837" s="49"/>
      <c r="W837" s="49"/>
      <c r="X837" s="49"/>
      <c r="Y837" s="49"/>
      <c r="Z837" s="49"/>
      <c r="AA837" s="49"/>
      <c r="AB837" s="49"/>
      <c r="AC837" s="49"/>
    </row>
    <row r="838" spans="1:29">
      <c r="A838" s="43"/>
      <c r="B838" s="43"/>
      <c r="C838" s="43"/>
      <c r="D838" s="43"/>
      <c r="E838" s="43"/>
      <c r="F838" s="43"/>
      <c r="G838" s="43"/>
      <c r="H838" s="43"/>
      <c r="I838" s="43"/>
      <c r="J838" s="43"/>
      <c r="K838" s="43"/>
      <c r="L838" s="43"/>
      <c r="M838" s="43"/>
      <c r="N838" s="43"/>
      <c r="O838" s="43"/>
      <c r="P838" s="43"/>
      <c r="Q838" s="43"/>
      <c r="R838" s="49"/>
      <c r="S838" s="49"/>
      <c r="T838" s="49"/>
      <c r="U838" s="49"/>
      <c r="V838" s="49"/>
      <c r="W838" s="49"/>
      <c r="X838" s="49"/>
      <c r="Y838" s="49"/>
      <c r="Z838" s="49"/>
      <c r="AA838" s="49"/>
      <c r="AB838" s="49"/>
      <c r="AC838" s="49"/>
    </row>
    <row r="839" spans="1:29">
      <c r="A839" s="43"/>
      <c r="B839" s="43"/>
      <c r="C839" s="43"/>
      <c r="D839" s="43"/>
      <c r="E839" s="43"/>
      <c r="F839" s="43"/>
      <c r="G839" s="43"/>
      <c r="H839" s="43"/>
      <c r="I839" s="43"/>
      <c r="J839" s="43"/>
      <c r="K839" s="43"/>
      <c r="L839" s="43"/>
      <c r="M839" s="43"/>
      <c r="N839" s="43"/>
      <c r="O839" s="43"/>
      <c r="P839" s="43"/>
      <c r="Q839" s="43"/>
      <c r="R839" s="49"/>
      <c r="S839" s="49"/>
      <c r="T839" s="49"/>
      <c r="U839" s="49"/>
      <c r="V839" s="49"/>
      <c r="W839" s="49"/>
      <c r="X839" s="49"/>
      <c r="Y839" s="49"/>
      <c r="Z839" s="49"/>
      <c r="AA839" s="49"/>
      <c r="AB839" s="49"/>
      <c r="AC839" s="49"/>
    </row>
    <row r="840" spans="1:29">
      <c r="A840" s="43"/>
      <c r="B840" s="43"/>
      <c r="C840" s="43"/>
      <c r="D840" s="43"/>
      <c r="E840" s="43"/>
      <c r="F840" s="43"/>
      <c r="G840" s="43"/>
      <c r="H840" s="43"/>
      <c r="I840" s="43"/>
      <c r="J840" s="43"/>
      <c r="K840" s="43"/>
      <c r="L840" s="43"/>
      <c r="M840" s="43"/>
      <c r="N840" s="43"/>
      <c r="O840" s="43"/>
      <c r="P840" s="43"/>
      <c r="Q840" s="43"/>
      <c r="R840" s="49"/>
      <c r="S840" s="49"/>
      <c r="T840" s="49"/>
      <c r="U840" s="49"/>
      <c r="V840" s="49"/>
      <c r="W840" s="49"/>
      <c r="X840" s="49"/>
      <c r="Y840" s="49"/>
      <c r="Z840" s="49"/>
      <c r="AA840" s="49"/>
      <c r="AB840" s="49"/>
      <c r="AC840" s="49"/>
    </row>
    <row r="841" spans="1:29">
      <c r="A841" s="43"/>
      <c r="B841" s="43"/>
      <c r="C841" s="43"/>
      <c r="D841" s="43"/>
      <c r="E841" s="43"/>
      <c r="F841" s="43"/>
      <c r="G841" s="43"/>
      <c r="H841" s="43"/>
      <c r="I841" s="43"/>
      <c r="J841" s="43"/>
      <c r="K841" s="43"/>
      <c r="L841" s="43"/>
      <c r="M841" s="43"/>
      <c r="N841" s="43"/>
      <c r="O841" s="43"/>
      <c r="P841" s="43"/>
      <c r="Q841" s="43"/>
      <c r="R841" s="49"/>
      <c r="S841" s="49"/>
      <c r="T841" s="49"/>
      <c r="U841" s="49"/>
      <c r="V841" s="49"/>
      <c r="W841" s="49"/>
      <c r="X841" s="49"/>
      <c r="Y841" s="49"/>
      <c r="Z841" s="49"/>
      <c r="AA841" s="49"/>
      <c r="AB841" s="49"/>
      <c r="AC841" s="49"/>
    </row>
    <row r="842" spans="1:29">
      <c r="A842" s="43"/>
      <c r="B842" s="43"/>
      <c r="C842" s="43"/>
      <c r="D842" s="43"/>
      <c r="E842" s="43"/>
      <c r="F842" s="43"/>
      <c r="G842" s="43"/>
      <c r="H842" s="43"/>
      <c r="I842" s="43"/>
      <c r="J842" s="43"/>
      <c r="K842" s="43"/>
      <c r="L842" s="43"/>
      <c r="M842" s="43"/>
      <c r="N842" s="43"/>
      <c r="O842" s="43"/>
      <c r="P842" s="43"/>
      <c r="Q842" s="43"/>
      <c r="R842" s="49"/>
      <c r="S842" s="49"/>
      <c r="T842" s="49"/>
      <c r="U842" s="49"/>
      <c r="V842" s="49"/>
      <c r="W842" s="49"/>
      <c r="X842" s="49"/>
      <c r="Y842" s="49"/>
      <c r="Z842" s="49"/>
      <c r="AA842" s="49"/>
      <c r="AB842" s="49"/>
      <c r="AC842" s="49"/>
    </row>
    <row r="843" spans="1:29">
      <c r="A843" s="43"/>
      <c r="B843" s="43"/>
      <c r="C843" s="43"/>
      <c r="D843" s="43"/>
      <c r="E843" s="43"/>
      <c r="F843" s="43"/>
      <c r="G843" s="43"/>
      <c r="H843" s="43"/>
      <c r="I843" s="43"/>
      <c r="J843" s="43"/>
      <c r="K843" s="43"/>
      <c r="L843" s="43"/>
      <c r="M843" s="43"/>
      <c r="N843" s="43"/>
      <c r="O843" s="43"/>
      <c r="P843" s="43"/>
      <c r="Q843" s="43"/>
      <c r="R843" s="49"/>
      <c r="S843" s="49"/>
      <c r="T843" s="49"/>
      <c r="U843" s="49"/>
      <c r="V843" s="49"/>
      <c r="W843" s="49"/>
      <c r="X843" s="49"/>
      <c r="Y843" s="49"/>
      <c r="Z843" s="49"/>
      <c r="AA843" s="49"/>
      <c r="AB843" s="49"/>
      <c r="AC843" s="49"/>
    </row>
    <row r="844" spans="1:29">
      <c r="A844" s="43"/>
      <c r="B844" s="43"/>
      <c r="C844" s="43"/>
      <c r="D844" s="43"/>
      <c r="E844" s="43"/>
      <c r="F844" s="43"/>
      <c r="G844" s="43"/>
      <c r="H844" s="43"/>
      <c r="I844" s="43"/>
      <c r="J844" s="43"/>
      <c r="K844" s="43"/>
      <c r="L844" s="43"/>
      <c r="M844" s="43"/>
      <c r="N844" s="43"/>
      <c r="O844" s="43"/>
      <c r="P844" s="43"/>
      <c r="Q844" s="43"/>
      <c r="R844" s="49"/>
      <c r="S844" s="49"/>
      <c r="T844" s="49"/>
      <c r="U844" s="49"/>
      <c r="V844" s="49"/>
      <c r="W844" s="49"/>
      <c r="X844" s="49"/>
      <c r="Y844" s="49"/>
      <c r="Z844" s="49"/>
      <c r="AA844" s="49"/>
      <c r="AB844" s="49"/>
      <c r="AC844" s="49"/>
    </row>
    <row r="845" spans="1:29">
      <c r="A845" s="43"/>
      <c r="B845" s="43"/>
      <c r="C845" s="43"/>
      <c r="D845" s="43"/>
      <c r="E845" s="43"/>
      <c r="F845" s="43"/>
      <c r="G845" s="43"/>
      <c r="H845" s="43"/>
      <c r="I845" s="43"/>
      <c r="J845" s="43"/>
      <c r="K845" s="43"/>
      <c r="L845" s="43"/>
      <c r="M845" s="43"/>
      <c r="N845" s="43"/>
      <c r="O845" s="43"/>
      <c r="P845" s="43"/>
      <c r="Q845" s="43"/>
      <c r="R845" s="49"/>
      <c r="S845" s="49"/>
      <c r="T845" s="49"/>
      <c r="U845" s="49"/>
      <c r="V845" s="49"/>
      <c r="W845" s="49"/>
      <c r="X845" s="49"/>
      <c r="Y845" s="49"/>
      <c r="Z845" s="49"/>
      <c r="AA845" s="49"/>
      <c r="AB845" s="49"/>
      <c r="AC845" s="49"/>
    </row>
    <row r="846" spans="1:29">
      <c r="A846" s="43"/>
      <c r="B846" s="43"/>
      <c r="C846" s="43"/>
      <c r="D846" s="43"/>
      <c r="E846" s="43"/>
      <c r="F846" s="43"/>
      <c r="G846" s="43"/>
      <c r="H846" s="43"/>
      <c r="I846" s="43"/>
      <c r="J846" s="43"/>
      <c r="K846" s="43"/>
      <c r="L846" s="43"/>
      <c r="M846" s="43"/>
      <c r="N846" s="43"/>
      <c r="O846" s="43"/>
      <c r="P846" s="43"/>
      <c r="Q846" s="43"/>
      <c r="R846" s="49"/>
      <c r="S846" s="49"/>
      <c r="T846" s="49"/>
      <c r="U846" s="49"/>
      <c r="V846" s="49"/>
      <c r="W846" s="49"/>
      <c r="X846" s="49"/>
      <c r="Y846" s="49"/>
      <c r="Z846" s="49"/>
      <c r="AA846" s="49"/>
      <c r="AB846" s="49"/>
      <c r="AC846" s="49"/>
    </row>
    <row r="847" spans="1:29">
      <c r="A847" s="43"/>
      <c r="B847" s="43"/>
      <c r="C847" s="43"/>
      <c r="D847" s="43"/>
      <c r="E847" s="43"/>
      <c r="F847" s="43"/>
      <c r="G847" s="43"/>
      <c r="H847" s="43"/>
      <c r="I847" s="43"/>
      <c r="J847" s="43"/>
      <c r="K847" s="43"/>
      <c r="L847" s="43"/>
      <c r="M847" s="43"/>
      <c r="N847" s="43"/>
      <c r="O847" s="43"/>
      <c r="P847" s="43"/>
      <c r="Q847" s="43"/>
      <c r="R847" s="49"/>
      <c r="S847" s="49"/>
      <c r="T847" s="49"/>
      <c r="U847" s="49"/>
      <c r="V847" s="49"/>
      <c r="W847" s="49"/>
      <c r="X847" s="49"/>
      <c r="Y847" s="49"/>
      <c r="Z847" s="49"/>
      <c r="AA847" s="49"/>
      <c r="AB847" s="49"/>
      <c r="AC847" s="49"/>
    </row>
    <row r="848" spans="1:29">
      <c r="A848" s="43"/>
      <c r="B848" s="43"/>
      <c r="C848" s="43"/>
      <c r="D848" s="43"/>
      <c r="E848" s="43"/>
      <c r="F848" s="43"/>
      <c r="G848" s="43"/>
      <c r="H848" s="43"/>
      <c r="I848" s="43"/>
      <c r="J848" s="43"/>
      <c r="K848" s="43"/>
      <c r="L848" s="43"/>
      <c r="M848" s="43"/>
      <c r="N848" s="43"/>
      <c r="O848" s="43"/>
      <c r="P848" s="43"/>
      <c r="Q848" s="43"/>
      <c r="R848" s="49"/>
      <c r="S848" s="49"/>
      <c r="T848" s="49"/>
      <c r="U848" s="49"/>
      <c r="V848" s="49"/>
      <c r="W848" s="49"/>
      <c r="X848" s="49"/>
      <c r="Y848" s="49"/>
      <c r="Z848" s="49"/>
      <c r="AA848" s="49"/>
      <c r="AB848" s="49"/>
      <c r="AC848" s="49"/>
    </row>
    <row r="849" spans="1:29">
      <c r="A849" s="43"/>
      <c r="B849" s="43"/>
      <c r="C849" s="43"/>
      <c r="D849" s="43"/>
      <c r="E849" s="43"/>
      <c r="F849" s="43"/>
      <c r="G849" s="43"/>
      <c r="H849" s="43"/>
      <c r="I849" s="43"/>
      <c r="J849" s="43"/>
      <c r="K849" s="43"/>
      <c r="L849" s="43"/>
      <c r="M849" s="43"/>
      <c r="N849" s="43"/>
      <c r="O849" s="43"/>
      <c r="P849" s="43"/>
      <c r="Q849" s="43"/>
      <c r="R849" s="49"/>
      <c r="S849" s="49"/>
      <c r="T849" s="49"/>
      <c r="U849" s="49"/>
      <c r="V849" s="49"/>
      <c r="W849" s="49"/>
      <c r="X849" s="49"/>
      <c r="Y849" s="49"/>
      <c r="Z849" s="49"/>
      <c r="AA849" s="49"/>
      <c r="AB849" s="49"/>
      <c r="AC849" s="49"/>
    </row>
    <row r="850" spans="1:29">
      <c r="A850" s="43"/>
      <c r="B850" s="43"/>
      <c r="C850" s="43"/>
      <c r="D850" s="43"/>
      <c r="E850" s="43"/>
      <c r="F850" s="43"/>
      <c r="G850" s="43"/>
      <c r="H850" s="43"/>
      <c r="I850" s="43"/>
      <c r="J850" s="43"/>
      <c r="K850" s="43"/>
      <c r="L850" s="43"/>
      <c r="M850" s="43"/>
      <c r="N850" s="43"/>
      <c r="O850" s="43"/>
      <c r="P850" s="43"/>
      <c r="Q850" s="43"/>
      <c r="R850" s="49"/>
      <c r="S850" s="49"/>
      <c r="T850" s="49"/>
      <c r="U850" s="49"/>
      <c r="V850" s="49"/>
      <c r="W850" s="49"/>
      <c r="X850" s="49"/>
      <c r="Y850" s="49"/>
      <c r="Z850" s="49"/>
      <c r="AA850" s="49"/>
      <c r="AB850" s="49"/>
      <c r="AC850" s="49"/>
    </row>
    <row r="851" spans="1:29">
      <c r="A851" s="43"/>
      <c r="B851" s="43"/>
      <c r="C851" s="43"/>
      <c r="D851" s="43"/>
      <c r="E851" s="43"/>
      <c r="F851" s="43"/>
      <c r="G851" s="43"/>
      <c r="H851" s="43"/>
      <c r="I851" s="43"/>
      <c r="J851" s="43"/>
      <c r="K851" s="43"/>
      <c r="L851" s="43"/>
      <c r="M851" s="43"/>
      <c r="N851" s="43"/>
      <c r="O851" s="43"/>
      <c r="P851" s="43"/>
      <c r="Q851" s="43"/>
      <c r="R851" s="49"/>
      <c r="S851" s="49"/>
      <c r="T851" s="49"/>
      <c r="U851" s="49"/>
      <c r="V851" s="49"/>
      <c r="W851" s="49"/>
      <c r="X851" s="49"/>
      <c r="Y851" s="49"/>
      <c r="Z851" s="49"/>
      <c r="AA851" s="49"/>
      <c r="AB851" s="49"/>
      <c r="AC851" s="49"/>
    </row>
    <row r="852" spans="1:29">
      <c r="A852" s="43"/>
      <c r="B852" s="43"/>
      <c r="C852" s="43"/>
      <c r="D852" s="43"/>
      <c r="E852" s="43"/>
      <c r="F852" s="43"/>
      <c r="G852" s="43"/>
      <c r="H852" s="43"/>
      <c r="I852" s="43"/>
      <c r="J852" s="43"/>
      <c r="K852" s="43"/>
      <c r="L852" s="43"/>
      <c r="M852" s="43"/>
      <c r="N852" s="43"/>
      <c r="O852" s="43"/>
      <c r="P852" s="43"/>
      <c r="Q852" s="43"/>
      <c r="R852" s="49"/>
      <c r="S852" s="49"/>
      <c r="T852" s="49"/>
      <c r="U852" s="49"/>
      <c r="V852" s="49"/>
      <c r="W852" s="49"/>
      <c r="X852" s="49"/>
      <c r="Y852" s="49"/>
      <c r="Z852" s="49"/>
      <c r="AA852" s="49"/>
      <c r="AB852" s="49"/>
      <c r="AC852" s="49"/>
    </row>
    <row r="853" spans="1:29">
      <c r="A853" s="43"/>
      <c r="B853" s="43"/>
      <c r="C853" s="43"/>
      <c r="D853" s="43"/>
      <c r="E853" s="43"/>
      <c r="F853" s="43"/>
      <c r="G853" s="43"/>
      <c r="H853" s="43"/>
      <c r="I853" s="43"/>
      <c r="J853" s="43"/>
      <c r="K853" s="43"/>
      <c r="L853" s="43"/>
      <c r="M853" s="43"/>
      <c r="N853" s="43"/>
      <c r="O853" s="43"/>
      <c r="P853" s="43"/>
      <c r="Q853" s="43"/>
      <c r="R853" s="49"/>
      <c r="S853" s="49"/>
      <c r="T853" s="49"/>
      <c r="U853" s="49"/>
      <c r="V853" s="49"/>
      <c r="W853" s="49"/>
      <c r="X853" s="49"/>
      <c r="Y853" s="49"/>
      <c r="Z853" s="49"/>
      <c r="AA853" s="49"/>
      <c r="AB853" s="49"/>
      <c r="AC853" s="49"/>
    </row>
    <row r="854" spans="1:29">
      <c r="A854" s="43"/>
      <c r="B854" s="43"/>
      <c r="C854" s="43"/>
      <c r="D854" s="43"/>
      <c r="E854" s="43"/>
      <c r="F854" s="43"/>
      <c r="G854" s="43"/>
      <c r="H854" s="43"/>
      <c r="I854" s="43"/>
      <c r="J854" s="43"/>
      <c r="K854" s="43"/>
      <c r="L854" s="43"/>
      <c r="M854" s="43"/>
      <c r="N854" s="43"/>
      <c r="O854" s="43"/>
      <c r="P854" s="43"/>
      <c r="Q854" s="43"/>
      <c r="R854" s="49"/>
      <c r="S854" s="49"/>
      <c r="T854" s="49"/>
      <c r="U854" s="49"/>
      <c r="V854" s="49"/>
      <c r="W854" s="49"/>
      <c r="X854" s="49"/>
      <c r="Y854" s="49"/>
      <c r="Z854" s="49"/>
      <c r="AA854" s="49"/>
      <c r="AB854" s="49"/>
      <c r="AC854" s="49"/>
    </row>
    <row r="855" spans="1:29">
      <c r="A855" s="43"/>
      <c r="B855" s="43"/>
      <c r="C855" s="43"/>
      <c r="D855" s="43"/>
      <c r="E855" s="43"/>
      <c r="F855" s="43"/>
      <c r="G855" s="43"/>
      <c r="H855" s="43"/>
      <c r="I855" s="43"/>
      <c r="J855" s="43"/>
      <c r="K855" s="43"/>
      <c r="L855" s="43"/>
      <c r="M855" s="43"/>
      <c r="N855" s="43"/>
      <c r="O855" s="43"/>
      <c r="P855" s="43"/>
      <c r="Q855" s="43"/>
      <c r="R855" s="49"/>
      <c r="S855" s="49"/>
      <c r="T855" s="49"/>
      <c r="U855" s="49"/>
      <c r="V855" s="49"/>
      <c r="W855" s="49"/>
      <c r="X855" s="49"/>
      <c r="Y855" s="49"/>
      <c r="Z855" s="49"/>
      <c r="AA855" s="49"/>
      <c r="AB855" s="49"/>
      <c r="AC855" s="49"/>
    </row>
    <row r="856" spans="1:29">
      <c r="A856" s="43"/>
      <c r="B856" s="43"/>
      <c r="C856" s="43"/>
      <c r="D856" s="43"/>
      <c r="E856" s="43"/>
      <c r="F856" s="43"/>
      <c r="G856" s="43"/>
      <c r="H856" s="43"/>
      <c r="I856" s="43"/>
      <c r="J856" s="43"/>
      <c r="K856" s="43"/>
      <c r="L856" s="43"/>
      <c r="M856" s="43"/>
      <c r="N856" s="43"/>
      <c r="O856" s="43"/>
      <c r="P856" s="43"/>
      <c r="Q856" s="43"/>
      <c r="R856" s="49"/>
      <c r="S856" s="49"/>
      <c r="T856" s="49"/>
      <c r="U856" s="49"/>
      <c r="V856" s="49"/>
      <c r="W856" s="49"/>
      <c r="X856" s="49"/>
      <c r="Y856" s="49"/>
      <c r="Z856" s="49"/>
      <c r="AA856" s="49"/>
      <c r="AB856" s="49"/>
      <c r="AC856" s="49"/>
    </row>
    <row r="857" spans="1:29">
      <c r="A857" s="43"/>
      <c r="B857" s="43"/>
      <c r="C857" s="43"/>
      <c r="D857" s="43"/>
      <c r="E857" s="43"/>
      <c r="F857" s="43"/>
      <c r="G857" s="43"/>
      <c r="H857" s="43"/>
      <c r="I857" s="43"/>
      <c r="J857" s="43"/>
      <c r="K857" s="43"/>
      <c r="L857" s="43"/>
      <c r="M857" s="43"/>
      <c r="N857" s="43"/>
      <c r="O857" s="43"/>
      <c r="P857" s="43"/>
      <c r="Q857" s="43"/>
      <c r="R857" s="49"/>
      <c r="S857" s="49"/>
      <c r="T857" s="49"/>
      <c r="U857" s="49"/>
      <c r="V857" s="49"/>
      <c r="W857" s="49"/>
      <c r="X857" s="49"/>
      <c r="Y857" s="49"/>
      <c r="Z857" s="49"/>
      <c r="AA857" s="49"/>
      <c r="AB857" s="49"/>
      <c r="AC857" s="49"/>
    </row>
    <row r="858" spans="1:29">
      <c r="A858" s="43"/>
      <c r="B858" s="43"/>
      <c r="C858" s="43"/>
      <c r="D858" s="43"/>
      <c r="E858" s="43"/>
      <c r="F858" s="43"/>
      <c r="G858" s="43"/>
      <c r="H858" s="43"/>
      <c r="I858" s="43"/>
      <c r="J858" s="43"/>
      <c r="K858" s="43"/>
      <c r="L858" s="43"/>
      <c r="M858" s="43"/>
      <c r="N858" s="43"/>
      <c r="O858" s="43"/>
      <c r="P858" s="43"/>
      <c r="Q858" s="43"/>
      <c r="R858" s="49"/>
      <c r="S858" s="49"/>
      <c r="T858" s="49"/>
      <c r="U858" s="49"/>
      <c r="V858" s="49"/>
      <c r="W858" s="49"/>
      <c r="X858" s="49"/>
      <c r="Y858" s="49"/>
      <c r="Z858" s="49"/>
      <c r="AA858" s="49"/>
      <c r="AB858" s="49"/>
      <c r="AC858" s="49"/>
    </row>
    <row r="859" spans="1:29">
      <c r="A859" s="43"/>
      <c r="B859" s="43"/>
      <c r="C859" s="43"/>
      <c r="D859" s="43"/>
      <c r="E859" s="43"/>
      <c r="F859" s="43"/>
      <c r="G859" s="43"/>
      <c r="H859" s="43"/>
      <c r="I859" s="43"/>
      <c r="J859" s="43"/>
      <c r="K859" s="43"/>
      <c r="L859" s="43"/>
      <c r="M859" s="43"/>
      <c r="N859" s="43"/>
      <c r="O859" s="43"/>
      <c r="P859" s="43"/>
      <c r="Q859" s="43"/>
      <c r="R859" s="49"/>
      <c r="S859" s="49"/>
      <c r="T859" s="49"/>
      <c r="U859" s="49"/>
      <c r="V859" s="49"/>
      <c r="W859" s="49"/>
      <c r="X859" s="49"/>
      <c r="Y859" s="49"/>
      <c r="Z859" s="49"/>
      <c r="AA859" s="49"/>
      <c r="AB859" s="49"/>
      <c r="AC859" s="49"/>
    </row>
    <row r="860" spans="1:29">
      <c r="A860" s="43"/>
      <c r="B860" s="43"/>
      <c r="C860" s="43"/>
      <c r="D860" s="43"/>
      <c r="E860" s="43"/>
      <c r="F860" s="43"/>
      <c r="G860" s="43"/>
      <c r="H860" s="43"/>
      <c r="I860" s="43"/>
      <c r="J860" s="43"/>
      <c r="K860" s="43"/>
      <c r="L860" s="43"/>
      <c r="M860" s="43"/>
      <c r="N860" s="43"/>
      <c r="O860" s="43"/>
      <c r="P860" s="43"/>
      <c r="Q860" s="43"/>
      <c r="R860" s="49"/>
      <c r="S860" s="49"/>
      <c r="T860" s="49"/>
      <c r="U860" s="49"/>
      <c r="V860" s="49"/>
      <c r="W860" s="49"/>
      <c r="X860" s="49"/>
      <c r="Y860" s="49"/>
      <c r="Z860" s="49"/>
      <c r="AA860" s="49"/>
      <c r="AB860" s="49"/>
      <c r="AC860" s="49"/>
    </row>
    <row r="861" spans="1:29">
      <c r="A861" s="43"/>
      <c r="B861" s="43"/>
      <c r="C861" s="43"/>
      <c r="D861" s="43"/>
      <c r="E861" s="43"/>
      <c r="F861" s="43"/>
      <c r="G861" s="43"/>
      <c r="H861" s="43"/>
      <c r="I861" s="43"/>
      <c r="J861" s="43"/>
      <c r="K861" s="43"/>
      <c r="L861" s="43"/>
      <c r="M861" s="43"/>
      <c r="N861" s="43"/>
      <c r="O861" s="43"/>
      <c r="P861" s="43"/>
      <c r="Q861" s="43"/>
      <c r="R861" s="49"/>
      <c r="S861" s="49"/>
      <c r="T861" s="49"/>
      <c r="U861" s="49"/>
      <c r="V861" s="49"/>
      <c r="W861" s="49"/>
      <c r="X861" s="49"/>
      <c r="Y861" s="49"/>
      <c r="Z861" s="49"/>
      <c r="AA861" s="49"/>
      <c r="AB861" s="49"/>
      <c r="AC861" s="49"/>
    </row>
    <row r="862" spans="1:29">
      <c r="A862" s="43"/>
      <c r="B862" s="43"/>
      <c r="C862" s="43"/>
      <c r="D862" s="43"/>
      <c r="E862" s="43"/>
      <c r="F862" s="43"/>
      <c r="G862" s="43"/>
      <c r="H862" s="43"/>
      <c r="I862" s="43"/>
      <c r="J862" s="43"/>
      <c r="K862" s="43"/>
      <c r="L862" s="43"/>
      <c r="M862" s="43"/>
      <c r="N862" s="43"/>
      <c r="O862" s="43"/>
      <c r="P862" s="43"/>
      <c r="Q862" s="43"/>
      <c r="R862" s="49"/>
      <c r="S862" s="49"/>
      <c r="T862" s="49"/>
      <c r="U862" s="49"/>
      <c r="V862" s="49"/>
      <c r="W862" s="49"/>
      <c r="X862" s="49"/>
      <c r="Y862" s="49"/>
      <c r="Z862" s="49"/>
      <c r="AA862" s="49"/>
      <c r="AB862" s="49"/>
      <c r="AC862" s="49"/>
    </row>
    <row r="863" spans="1:29">
      <c r="A863" s="43"/>
      <c r="B863" s="43"/>
      <c r="C863" s="43"/>
      <c r="D863" s="43"/>
      <c r="E863" s="43"/>
      <c r="F863" s="43"/>
      <c r="G863" s="43"/>
      <c r="H863" s="43"/>
      <c r="I863" s="43"/>
      <c r="J863" s="43"/>
      <c r="K863" s="43"/>
      <c r="L863" s="43"/>
      <c r="M863" s="43"/>
      <c r="N863" s="43"/>
      <c r="O863" s="43"/>
      <c r="P863" s="43"/>
      <c r="Q863" s="43"/>
      <c r="R863" s="49"/>
      <c r="S863" s="49"/>
      <c r="T863" s="49"/>
      <c r="U863" s="49"/>
      <c r="V863" s="49"/>
      <c r="W863" s="49"/>
      <c r="X863" s="49"/>
      <c r="Y863" s="49"/>
      <c r="Z863" s="49"/>
      <c r="AA863" s="49"/>
      <c r="AB863" s="49"/>
      <c r="AC863" s="49"/>
    </row>
    <row r="864" spans="1:29">
      <c r="A864" s="43"/>
      <c r="B864" s="43"/>
      <c r="C864" s="43"/>
      <c r="D864" s="43"/>
      <c r="E864" s="43"/>
      <c r="F864" s="43"/>
      <c r="G864" s="43"/>
      <c r="H864" s="43"/>
      <c r="I864" s="43"/>
      <c r="J864" s="43"/>
      <c r="K864" s="43"/>
      <c r="L864" s="43"/>
      <c r="M864" s="43"/>
      <c r="N864" s="43"/>
      <c r="O864" s="43"/>
      <c r="P864" s="43"/>
      <c r="Q864" s="43"/>
      <c r="R864" s="49"/>
      <c r="S864" s="49"/>
      <c r="T864" s="49"/>
      <c r="U864" s="49"/>
      <c r="V864" s="49"/>
      <c r="W864" s="49"/>
      <c r="X864" s="49"/>
      <c r="Y864" s="49"/>
      <c r="Z864" s="49"/>
      <c r="AA864" s="49"/>
      <c r="AB864" s="49"/>
      <c r="AC864" s="49"/>
    </row>
    <row r="865" spans="1:29">
      <c r="A865" s="43"/>
      <c r="B865" s="43"/>
      <c r="C865" s="43"/>
      <c r="D865" s="43"/>
      <c r="E865" s="43"/>
      <c r="F865" s="43"/>
      <c r="G865" s="43"/>
      <c r="H865" s="43"/>
      <c r="I865" s="43"/>
      <c r="J865" s="43"/>
      <c r="K865" s="43"/>
      <c r="L865" s="43"/>
      <c r="M865" s="43"/>
      <c r="N865" s="43"/>
      <c r="O865" s="43"/>
      <c r="P865" s="43"/>
      <c r="Q865" s="43"/>
      <c r="R865" s="49"/>
      <c r="S865" s="49"/>
      <c r="T865" s="49"/>
      <c r="U865" s="49"/>
      <c r="V865" s="49"/>
      <c r="W865" s="49"/>
      <c r="X865" s="49"/>
      <c r="Y865" s="49"/>
      <c r="Z865" s="49"/>
      <c r="AA865" s="49"/>
      <c r="AB865" s="49"/>
      <c r="AC865" s="49"/>
    </row>
    <row r="866" spans="1:29">
      <c r="A866" s="43"/>
      <c r="B866" s="43"/>
      <c r="C866" s="43"/>
      <c r="D866" s="43"/>
      <c r="E866" s="43"/>
      <c r="F866" s="43"/>
      <c r="G866" s="43"/>
      <c r="H866" s="43"/>
      <c r="I866" s="43"/>
      <c r="J866" s="43"/>
      <c r="K866" s="43"/>
      <c r="L866" s="43"/>
      <c r="M866" s="43"/>
      <c r="N866" s="43"/>
      <c r="O866" s="43"/>
      <c r="P866" s="43"/>
      <c r="Q866" s="43"/>
      <c r="R866" s="49"/>
      <c r="S866" s="49"/>
      <c r="T866" s="49"/>
      <c r="U866" s="49"/>
      <c r="V866" s="49"/>
      <c r="W866" s="49"/>
      <c r="X866" s="49"/>
      <c r="Y866" s="49"/>
      <c r="Z866" s="49"/>
      <c r="AA866" s="49"/>
      <c r="AB866" s="49"/>
      <c r="AC866" s="49"/>
    </row>
    <row r="867" spans="1:29">
      <c r="A867" s="43"/>
      <c r="B867" s="43"/>
      <c r="C867" s="43"/>
      <c r="D867" s="43"/>
      <c r="E867" s="43"/>
      <c r="F867" s="43"/>
      <c r="G867" s="43"/>
      <c r="H867" s="43"/>
      <c r="I867" s="43"/>
      <c r="J867" s="43"/>
      <c r="K867" s="43"/>
      <c r="L867" s="43"/>
      <c r="M867" s="43"/>
      <c r="N867" s="43"/>
      <c r="O867" s="43"/>
      <c r="P867" s="43"/>
      <c r="Q867" s="43"/>
      <c r="R867" s="49"/>
      <c r="S867" s="49"/>
      <c r="T867" s="49"/>
      <c r="U867" s="49"/>
      <c r="V867" s="49"/>
      <c r="W867" s="49"/>
      <c r="X867" s="49"/>
      <c r="Y867" s="49"/>
      <c r="Z867" s="49"/>
      <c r="AA867" s="49"/>
      <c r="AB867" s="49"/>
      <c r="AC867" s="49"/>
    </row>
    <row r="868" spans="1:29">
      <c r="A868" s="43"/>
      <c r="B868" s="43"/>
      <c r="C868" s="43"/>
      <c r="D868" s="43"/>
      <c r="E868" s="43"/>
      <c r="F868" s="43"/>
      <c r="G868" s="43"/>
      <c r="H868" s="43"/>
      <c r="I868" s="43"/>
      <c r="J868" s="43"/>
      <c r="K868" s="43"/>
      <c r="L868" s="43"/>
      <c r="M868" s="43"/>
      <c r="N868" s="43"/>
      <c r="O868" s="43"/>
      <c r="P868" s="43"/>
      <c r="Q868" s="43"/>
      <c r="R868" s="49"/>
      <c r="S868" s="49"/>
      <c r="T868" s="49"/>
      <c r="U868" s="49"/>
      <c r="V868" s="49"/>
      <c r="W868" s="49"/>
      <c r="X868" s="49"/>
      <c r="Y868" s="49"/>
      <c r="Z868" s="49"/>
      <c r="AA868" s="49"/>
      <c r="AB868" s="49"/>
      <c r="AC868" s="49"/>
    </row>
    <row r="869" spans="1:29">
      <c r="A869" s="43"/>
      <c r="B869" s="43"/>
      <c r="C869" s="43"/>
      <c r="D869" s="43"/>
      <c r="E869" s="43"/>
      <c r="F869" s="43"/>
      <c r="G869" s="43"/>
      <c r="H869" s="43"/>
      <c r="I869" s="43"/>
      <c r="J869" s="43"/>
      <c r="K869" s="43"/>
      <c r="L869" s="43"/>
      <c r="M869" s="43"/>
      <c r="N869" s="43"/>
      <c r="O869" s="43"/>
      <c r="P869" s="43"/>
      <c r="Q869" s="43"/>
      <c r="R869" s="49"/>
      <c r="S869" s="49"/>
      <c r="T869" s="49"/>
      <c r="U869" s="49"/>
      <c r="V869" s="49"/>
      <c r="W869" s="49"/>
      <c r="X869" s="49"/>
      <c r="Y869" s="49"/>
      <c r="Z869" s="49"/>
      <c r="AA869" s="49"/>
      <c r="AB869" s="49"/>
      <c r="AC869" s="49"/>
    </row>
    <row r="870" spans="1:29">
      <c r="A870" s="43"/>
      <c r="B870" s="43"/>
      <c r="C870" s="43"/>
      <c r="D870" s="43"/>
      <c r="E870" s="43"/>
      <c r="F870" s="43"/>
      <c r="G870" s="43"/>
      <c r="H870" s="43"/>
      <c r="I870" s="43"/>
      <c r="J870" s="43"/>
      <c r="K870" s="43"/>
      <c r="L870" s="43"/>
      <c r="M870" s="43"/>
      <c r="N870" s="43"/>
      <c r="O870" s="43"/>
      <c r="P870" s="43"/>
      <c r="Q870" s="43"/>
      <c r="R870" s="49"/>
      <c r="S870" s="49"/>
      <c r="T870" s="49"/>
      <c r="U870" s="49"/>
      <c r="V870" s="49"/>
      <c r="W870" s="49"/>
      <c r="X870" s="49"/>
      <c r="Y870" s="49"/>
      <c r="Z870" s="49"/>
      <c r="AA870" s="49"/>
      <c r="AB870" s="49"/>
      <c r="AC870" s="49"/>
    </row>
    <row r="871" spans="1:29">
      <c r="A871" s="43"/>
      <c r="B871" s="43"/>
      <c r="C871" s="43"/>
      <c r="D871" s="43"/>
      <c r="E871" s="43"/>
      <c r="F871" s="43"/>
      <c r="G871" s="43"/>
      <c r="H871" s="43"/>
      <c r="I871" s="43"/>
      <c r="J871" s="43"/>
      <c r="K871" s="43"/>
      <c r="L871" s="43"/>
      <c r="M871" s="43"/>
      <c r="N871" s="43"/>
      <c r="O871" s="43"/>
      <c r="P871" s="43"/>
      <c r="Q871" s="43"/>
      <c r="R871" s="49"/>
      <c r="S871" s="49"/>
      <c r="T871" s="49"/>
      <c r="U871" s="49"/>
      <c r="V871" s="49"/>
      <c r="W871" s="49"/>
      <c r="X871" s="49"/>
      <c r="Y871" s="49"/>
      <c r="Z871" s="49"/>
      <c r="AA871" s="49"/>
      <c r="AB871" s="49"/>
      <c r="AC871" s="49"/>
    </row>
    <row r="872" spans="1:29">
      <c r="A872" s="43"/>
      <c r="B872" s="43"/>
      <c r="C872" s="43"/>
      <c r="D872" s="43"/>
      <c r="E872" s="43"/>
      <c r="F872" s="43"/>
      <c r="G872" s="43"/>
      <c r="H872" s="43"/>
      <c r="I872" s="43"/>
      <c r="J872" s="43"/>
      <c r="K872" s="43"/>
      <c r="L872" s="43"/>
      <c r="M872" s="43"/>
      <c r="N872" s="43"/>
      <c r="O872" s="43"/>
      <c r="P872" s="43"/>
      <c r="Q872" s="43"/>
      <c r="R872" s="49"/>
      <c r="S872" s="49"/>
      <c r="T872" s="49"/>
      <c r="U872" s="49"/>
      <c r="V872" s="49"/>
      <c r="W872" s="49"/>
      <c r="X872" s="49"/>
      <c r="Y872" s="49"/>
      <c r="Z872" s="49"/>
      <c r="AA872" s="49"/>
      <c r="AB872" s="49"/>
      <c r="AC872" s="49"/>
    </row>
    <row r="873" spans="1:29">
      <c r="A873" s="43"/>
      <c r="B873" s="43"/>
      <c r="C873" s="43"/>
      <c r="D873" s="43"/>
      <c r="E873" s="43"/>
      <c r="F873" s="43"/>
      <c r="G873" s="43"/>
      <c r="H873" s="43"/>
      <c r="I873" s="43"/>
      <c r="J873" s="43"/>
      <c r="K873" s="43"/>
      <c r="L873" s="43"/>
      <c r="M873" s="43"/>
      <c r="N873" s="43"/>
      <c r="O873" s="43"/>
      <c r="P873" s="43"/>
      <c r="Q873" s="43"/>
      <c r="R873" s="49"/>
      <c r="S873" s="49"/>
      <c r="T873" s="49"/>
      <c r="U873" s="49"/>
      <c r="V873" s="49"/>
      <c r="W873" s="49"/>
      <c r="X873" s="49"/>
      <c r="Y873" s="49"/>
      <c r="Z873" s="49"/>
      <c r="AA873" s="49"/>
      <c r="AB873" s="49"/>
      <c r="AC873" s="49"/>
    </row>
    <row r="874" spans="1:29">
      <c r="A874" s="43"/>
      <c r="B874" s="43"/>
      <c r="C874" s="43"/>
      <c r="D874" s="43"/>
      <c r="E874" s="43"/>
      <c r="F874" s="43"/>
      <c r="G874" s="43"/>
      <c r="H874" s="43"/>
      <c r="I874" s="43"/>
      <c r="J874" s="43"/>
      <c r="K874" s="43"/>
      <c r="L874" s="43"/>
      <c r="M874" s="43"/>
      <c r="N874" s="43"/>
      <c r="O874" s="43"/>
      <c r="P874" s="43"/>
      <c r="Q874" s="43"/>
      <c r="R874" s="49"/>
      <c r="S874" s="49"/>
      <c r="T874" s="49"/>
      <c r="U874" s="49"/>
      <c r="V874" s="49"/>
      <c r="W874" s="49"/>
      <c r="X874" s="49"/>
      <c r="Y874" s="49"/>
      <c r="Z874" s="49"/>
      <c r="AA874" s="49"/>
      <c r="AB874" s="49"/>
      <c r="AC874" s="49"/>
    </row>
    <row r="875" spans="1:29">
      <c r="A875" s="43"/>
      <c r="B875" s="43"/>
      <c r="C875" s="43"/>
      <c r="D875" s="43"/>
      <c r="E875" s="43"/>
      <c r="F875" s="43"/>
      <c r="G875" s="43"/>
      <c r="H875" s="43"/>
      <c r="I875" s="43"/>
      <c r="J875" s="43"/>
      <c r="K875" s="43"/>
      <c r="L875" s="43"/>
      <c r="M875" s="43"/>
      <c r="N875" s="43"/>
      <c r="O875" s="43"/>
      <c r="P875" s="43"/>
      <c r="Q875" s="43"/>
      <c r="R875" s="49"/>
      <c r="S875" s="49"/>
      <c r="T875" s="49"/>
      <c r="U875" s="49"/>
      <c r="V875" s="49"/>
      <c r="W875" s="49"/>
      <c r="X875" s="49"/>
      <c r="Y875" s="49"/>
      <c r="Z875" s="49"/>
      <c r="AA875" s="49"/>
      <c r="AB875" s="49"/>
      <c r="AC875" s="49"/>
    </row>
    <row r="876" spans="1:29">
      <c r="A876" s="43"/>
      <c r="B876" s="43"/>
      <c r="C876" s="43"/>
      <c r="D876" s="43"/>
      <c r="E876" s="43"/>
      <c r="F876" s="43"/>
      <c r="G876" s="43"/>
      <c r="H876" s="43"/>
      <c r="I876" s="43"/>
      <c r="J876" s="43"/>
      <c r="K876" s="43"/>
      <c r="L876" s="43"/>
      <c r="M876" s="43"/>
      <c r="N876" s="43"/>
      <c r="O876" s="43"/>
      <c r="P876" s="43"/>
      <c r="Q876" s="43"/>
      <c r="R876" s="49"/>
      <c r="S876" s="49"/>
      <c r="T876" s="49"/>
      <c r="U876" s="49"/>
      <c r="V876" s="49"/>
      <c r="W876" s="49"/>
      <c r="X876" s="49"/>
      <c r="Y876" s="49"/>
      <c r="Z876" s="49"/>
      <c r="AA876" s="49"/>
      <c r="AB876" s="49"/>
      <c r="AC876" s="49"/>
    </row>
    <row r="877" spans="1:29">
      <c r="A877" s="43"/>
      <c r="B877" s="43"/>
      <c r="C877" s="43"/>
      <c r="D877" s="43"/>
      <c r="E877" s="43"/>
      <c r="F877" s="43"/>
      <c r="G877" s="43"/>
      <c r="H877" s="43"/>
      <c r="I877" s="43"/>
      <c r="J877" s="43"/>
      <c r="K877" s="43"/>
      <c r="L877" s="43"/>
      <c r="M877" s="43"/>
      <c r="N877" s="43"/>
      <c r="O877" s="43"/>
      <c r="P877" s="43"/>
      <c r="Q877" s="43"/>
      <c r="R877" s="49"/>
      <c r="S877" s="49"/>
      <c r="T877" s="49"/>
      <c r="U877" s="49"/>
      <c r="V877" s="49"/>
      <c r="W877" s="49"/>
      <c r="X877" s="49"/>
      <c r="Y877" s="49"/>
      <c r="Z877" s="49"/>
      <c r="AA877" s="49"/>
      <c r="AB877" s="49"/>
      <c r="AC877" s="49"/>
    </row>
    <row r="878" spans="1:29">
      <c r="A878" s="43"/>
      <c r="B878" s="43"/>
      <c r="C878" s="43"/>
      <c r="D878" s="43"/>
      <c r="E878" s="43"/>
      <c r="F878" s="43"/>
      <c r="G878" s="43"/>
      <c r="H878" s="43"/>
      <c r="I878" s="43"/>
      <c r="J878" s="43"/>
      <c r="K878" s="43"/>
      <c r="L878" s="43"/>
      <c r="M878" s="43"/>
      <c r="N878" s="43"/>
      <c r="O878" s="43"/>
      <c r="P878" s="43"/>
      <c r="Q878" s="43"/>
      <c r="R878" s="49"/>
      <c r="S878" s="49"/>
      <c r="T878" s="49"/>
      <c r="U878" s="49"/>
      <c r="V878" s="49"/>
      <c r="W878" s="49"/>
      <c r="X878" s="49"/>
      <c r="Y878" s="49"/>
      <c r="Z878" s="49"/>
      <c r="AA878" s="49"/>
      <c r="AB878" s="49"/>
      <c r="AC878" s="49"/>
    </row>
    <row r="879" spans="1:29">
      <c r="A879" s="43"/>
      <c r="B879" s="43"/>
      <c r="C879" s="43"/>
      <c r="D879" s="43"/>
      <c r="E879" s="43"/>
      <c r="F879" s="43"/>
      <c r="G879" s="43"/>
      <c r="H879" s="43"/>
      <c r="I879" s="43"/>
      <c r="J879" s="43"/>
      <c r="K879" s="43"/>
      <c r="L879" s="43"/>
      <c r="M879" s="43"/>
      <c r="N879" s="43"/>
      <c r="O879" s="43"/>
      <c r="P879" s="43"/>
      <c r="Q879" s="43"/>
      <c r="R879" s="49"/>
      <c r="S879" s="49"/>
      <c r="T879" s="49"/>
      <c r="U879" s="49"/>
      <c r="V879" s="49"/>
      <c r="W879" s="49"/>
      <c r="X879" s="49"/>
      <c r="Y879" s="49"/>
      <c r="Z879" s="49"/>
      <c r="AA879" s="49"/>
      <c r="AB879" s="49"/>
      <c r="AC879" s="49"/>
    </row>
    <row r="880" spans="1:29">
      <c r="A880" s="43"/>
      <c r="B880" s="43"/>
      <c r="C880" s="43"/>
      <c r="D880" s="43"/>
      <c r="E880" s="43"/>
      <c r="F880" s="43"/>
      <c r="G880" s="43"/>
      <c r="H880" s="43"/>
      <c r="I880" s="43"/>
      <c r="J880" s="43"/>
      <c r="K880" s="43"/>
      <c r="L880" s="43"/>
      <c r="M880" s="43"/>
      <c r="N880" s="43"/>
      <c r="O880" s="43"/>
      <c r="P880" s="43"/>
      <c r="Q880" s="43"/>
      <c r="R880" s="49"/>
      <c r="S880" s="49"/>
      <c r="T880" s="49"/>
      <c r="U880" s="49"/>
      <c r="V880" s="49"/>
      <c r="W880" s="49"/>
      <c r="X880" s="49"/>
      <c r="Y880" s="49"/>
      <c r="Z880" s="49"/>
      <c r="AA880" s="49"/>
      <c r="AB880" s="49"/>
      <c r="AC880" s="49"/>
    </row>
    <row r="881" spans="1:29">
      <c r="A881" s="43"/>
      <c r="B881" s="43"/>
      <c r="C881" s="43"/>
      <c r="D881" s="43"/>
      <c r="E881" s="43"/>
      <c r="F881" s="43"/>
      <c r="G881" s="43"/>
      <c r="H881" s="43"/>
      <c r="I881" s="43"/>
      <c r="J881" s="43"/>
      <c r="K881" s="43"/>
      <c r="L881" s="43"/>
      <c r="M881" s="43"/>
      <c r="N881" s="43"/>
      <c r="O881" s="43"/>
      <c r="P881" s="43"/>
      <c r="Q881" s="43"/>
      <c r="R881" s="49"/>
      <c r="S881" s="49"/>
      <c r="T881" s="49"/>
      <c r="U881" s="49"/>
      <c r="V881" s="49"/>
      <c r="W881" s="49"/>
      <c r="X881" s="49"/>
      <c r="Y881" s="49"/>
      <c r="Z881" s="49"/>
      <c r="AA881" s="49"/>
      <c r="AB881" s="49"/>
      <c r="AC881" s="49"/>
    </row>
    <row r="882" spans="1:29">
      <c r="A882" s="43"/>
      <c r="B882" s="43"/>
      <c r="C882" s="43"/>
      <c r="D882" s="43"/>
      <c r="E882" s="43"/>
      <c r="F882" s="43"/>
      <c r="G882" s="43"/>
      <c r="H882" s="43"/>
      <c r="I882" s="43"/>
      <c r="J882" s="43"/>
      <c r="K882" s="43"/>
      <c r="L882" s="43"/>
      <c r="M882" s="43"/>
      <c r="N882" s="43"/>
      <c r="O882" s="43"/>
      <c r="P882" s="43"/>
      <c r="Q882" s="43"/>
      <c r="R882" s="49"/>
      <c r="S882" s="49"/>
      <c r="T882" s="49"/>
      <c r="U882" s="49"/>
      <c r="V882" s="49"/>
      <c r="W882" s="49"/>
      <c r="X882" s="49"/>
      <c r="Y882" s="49"/>
      <c r="Z882" s="49"/>
      <c r="AA882" s="49"/>
      <c r="AB882" s="49"/>
      <c r="AC882" s="49"/>
    </row>
    <row r="883" spans="1:29">
      <c r="A883" s="43"/>
      <c r="B883" s="43"/>
      <c r="C883" s="43"/>
      <c r="D883" s="43"/>
      <c r="E883" s="43"/>
      <c r="F883" s="43"/>
      <c r="G883" s="43"/>
      <c r="H883" s="43"/>
      <c r="I883" s="43"/>
      <c r="J883" s="43"/>
      <c r="K883" s="43"/>
      <c r="L883" s="43"/>
      <c r="M883" s="43"/>
      <c r="N883" s="43"/>
      <c r="O883" s="43"/>
      <c r="P883" s="43"/>
      <c r="Q883" s="43"/>
      <c r="R883" s="49"/>
      <c r="S883" s="49"/>
      <c r="T883" s="49"/>
      <c r="U883" s="49"/>
      <c r="V883" s="49"/>
      <c r="W883" s="49"/>
      <c r="X883" s="49"/>
      <c r="Y883" s="49"/>
      <c r="Z883" s="49"/>
      <c r="AA883" s="49"/>
      <c r="AB883" s="49"/>
      <c r="AC883" s="49"/>
    </row>
    <row r="884" spans="1:29">
      <c r="A884" s="43"/>
      <c r="B884" s="43"/>
      <c r="C884" s="43"/>
      <c r="D884" s="43"/>
      <c r="E884" s="43"/>
      <c r="F884" s="43"/>
      <c r="G884" s="43"/>
      <c r="H884" s="43"/>
      <c r="I884" s="43"/>
      <c r="J884" s="43"/>
      <c r="K884" s="43"/>
      <c r="L884" s="43"/>
      <c r="M884" s="43"/>
      <c r="N884" s="43"/>
      <c r="O884" s="43"/>
      <c r="P884" s="43"/>
      <c r="Q884" s="43"/>
      <c r="R884" s="49"/>
      <c r="S884" s="49"/>
      <c r="T884" s="49"/>
      <c r="U884" s="49"/>
      <c r="V884" s="49"/>
      <c r="W884" s="49"/>
      <c r="X884" s="49"/>
      <c r="Y884" s="49"/>
      <c r="Z884" s="49"/>
      <c r="AA884" s="49"/>
      <c r="AB884" s="49"/>
      <c r="AC884" s="49"/>
    </row>
    <row r="885" spans="1:29">
      <c r="A885" s="43"/>
      <c r="B885" s="43"/>
      <c r="C885" s="43"/>
      <c r="D885" s="43"/>
      <c r="E885" s="43"/>
      <c r="F885" s="43"/>
      <c r="G885" s="43"/>
      <c r="H885" s="43"/>
      <c r="I885" s="43"/>
      <c r="J885" s="43"/>
      <c r="K885" s="43"/>
      <c r="L885" s="43"/>
      <c r="M885" s="43"/>
      <c r="N885" s="43"/>
      <c r="O885" s="43"/>
      <c r="P885" s="43"/>
      <c r="Q885" s="43"/>
      <c r="R885" s="49"/>
      <c r="S885" s="49"/>
      <c r="T885" s="49"/>
      <c r="U885" s="49"/>
      <c r="V885" s="49"/>
      <c r="W885" s="49"/>
      <c r="X885" s="49"/>
      <c r="Y885" s="49"/>
      <c r="Z885" s="49"/>
      <c r="AA885" s="49"/>
      <c r="AB885" s="49"/>
      <c r="AC885" s="49"/>
    </row>
    <row r="886" spans="1:29">
      <c r="A886" s="43"/>
      <c r="B886" s="43"/>
      <c r="C886" s="43"/>
      <c r="D886" s="43"/>
      <c r="E886" s="43"/>
      <c r="F886" s="43"/>
      <c r="G886" s="43"/>
      <c r="H886" s="43"/>
      <c r="I886" s="43"/>
      <c r="J886" s="43"/>
      <c r="K886" s="43"/>
      <c r="L886" s="43"/>
      <c r="M886" s="43"/>
      <c r="N886" s="43"/>
      <c r="O886" s="43"/>
      <c r="P886" s="43"/>
      <c r="Q886" s="43"/>
      <c r="R886" s="49"/>
      <c r="S886" s="49"/>
      <c r="T886" s="49"/>
      <c r="U886" s="49"/>
      <c r="V886" s="49"/>
      <c r="W886" s="49"/>
      <c r="X886" s="49"/>
      <c r="Y886" s="49"/>
      <c r="Z886" s="49"/>
      <c r="AA886" s="49"/>
      <c r="AB886" s="49"/>
      <c r="AC886" s="49"/>
    </row>
    <row r="887" spans="1:29">
      <c r="A887" s="43"/>
      <c r="B887" s="43"/>
      <c r="C887" s="43"/>
      <c r="D887" s="43"/>
      <c r="E887" s="43"/>
      <c r="F887" s="43"/>
      <c r="G887" s="43"/>
      <c r="H887" s="43"/>
      <c r="I887" s="43"/>
      <c r="J887" s="43"/>
      <c r="K887" s="43"/>
      <c r="L887" s="43"/>
      <c r="M887" s="43"/>
      <c r="N887" s="43"/>
      <c r="O887" s="43"/>
      <c r="P887" s="43"/>
      <c r="Q887" s="43"/>
      <c r="R887" s="49"/>
      <c r="S887" s="49"/>
      <c r="T887" s="49"/>
      <c r="U887" s="49"/>
      <c r="V887" s="49"/>
      <c r="W887" s="49"/>
      <c r="X887" s="49"/>
      <c r="Y887" s="49"/>
      <c r="Z887" s="49"/>
      <c r="AA887" s="49"/>
      <c r="AB887" s="49"/>
      <c r="AC887" s="49"/>
    </row>
    <row r="888" spans="1:29">
      <c r="A888" s="43"/>
      <c r="B888" s="43"/>
      <c r="C888" s="43"/>
      <c r="D888" s="43"/>
      <c r="E888" s="43"/>
      <c r="F888" s="43"/>
      <c r="G888" s="43"/>
      <c r="H888" s="43"/>
      <c r="I888" s="43"/>
      <c r="J888" s="43"/>
      <c r="K888" s="43"/>
      <c r="L888" s="43"/>
      <c r="M888" s="43"/>
      <c r="N888" s="43"/>
      <c r="O888" s="43"/>
      <c r="P888" s="43"/>
      <c r="Q888" s="43"/>
      <c r="R888" s="49"/>
      <c r="S888" s="49"/>
      <c r="T888" s="49"/>
      <c r="U888" s="49"/>
      <c r="V888" s="49"/>
      <c r="W888" s="49"/>
      <c r="X888" s="49"/>
      <c r="Y888" s="49"/>
      <c r="Z888" s="49"/>
      <c r="AA888" s="49"/>
      <c r="AB888" s="49"/>
      <c r="AC888" s="49"/>
    </row>
    <row r="889" spans="1:29">
      <c r="A889" s="43"/>
      <c r="B889" s="43"/>
      <c r="C889" s="43"/>
      <c r="D889" s="43"/>
      <c r="E889" s="43"/>
      <c r="F889" s="43"/>
      <c r="G889" s="43"/>
      <c r="H889" s="43"/>
      <c r="I889" s="43"/>
      <c r="J889" s="43"/>
      <c r="K889" s="43"/>
      <c r="L889" s="43"/>
      <c r="M889" s="43"/>
      <c r="N889" s="43"/>
      <c r="O889" s="43"/>
      <c r="P889" s="43"/>
      <c r="Q889" s="43"/>
      <c r="R889" s="49"/>
      <c r="S889" s="49"/>
      <c r="T889" s="49"/>
      <c r="U889" s="49"/>
      <c r="V889" s="49"/>
      <c r="W889" s="49"/>
      <c r="X889" s="49"/>
      <c r="Y889" s="49"/>
      <c r="Z889" s="49"/>
      <c r="AA889" s="49"/>
      <c r="AB889" s="49"/>
      <c r="AC889" s="49"/>
    </row>
    <row r="890" spans="1:29">
      <c r="A890" s="43"/>
      <c r="B890" s="43"/>
      <c r="C890" s="43"/>
      <c r="D890" s="43"/>
      <c r="E890" s="43"/>
      <c r="F890" s="43"/>
      <c r="G890" s="43"/>
      <c r="H890" s="43"/>
      <c r="I890" s="43"/>
      <c r="J890" s="43"/>
      <c r="K890" s="43"/>
      <c r="L890" s="43"/>
      <c r="M890" s="43"/>
      <c r="N890" s="43"/>
      <c r="O890" s="43"/>
      <c r="P890" s="43"/>
      <c r="Q890" s="43"/>
      <c r="R890" s="49"/>
      <c r="S890" s="49"/>
      <c r="T890" s="49"/>
      <c r="U890" s="49"/>
      <c r="V890" s="49"/>
      <c r="W890" s="49"/>
      <c r="X890" s="49"/>
      <c r="Y890" s="49"/>
      <c r="Z890" s="49"/>
      <c r="AA890" s="49"/>
      <c r="AB890" s="49"/>
      <c r="AC890" s="49"/>
    </row>
    <row r="891" spans="1:29">
      <c r="A891" s="43"/>
      <c r="B891" s="43"/>
      <c r="C891" s="43"/>
      <c r="D891" s="43"/>
      <c r="E891" s="43"/>
      <c r="F891" s="43"/>
      <c r="G891" s="43"/>
      <c r="H891" s="43"/>
      <c r="I891" s="43"/>
      <c r="J891" s="43"/>
      <c r="K891" s="43"/>
      <c r="L891" s="43"/>
      <c r="M891" s="43"/>
      <c r="N891" s="43"/>
      <c r="O891" s="43"/>
      <c r="P891" s="43"/>
      <c r="Q891" s="43"/>
      <c r="R891" s="49"/>
      <c r="S891" s="49"/>
      <c r="T891" s="49"/>
      <c r="U891" s="49"/>
      <c r="V891" s="49"/>
      <c r="W891" s="49"/>
      <c r="X891" s="49"/>
      <c r="Y891" s="49"/>
      <c r="Z891" s="49"/>
      <c r="AA891" s="49"/>
      <c r="AB891" s="49"/>
      <c r="AC891" s="49"/>
    </row>
    <row r="892" spans="1:29">
      <c r="A892" s="43"/>
      <c r="B892" s="43"/>
      <c r="C892" s="43"/>
      <c r="D892" s="43"/>
      <c r="E892" s="43"/>
      <c r="F892" s="43"/>
      <c r="G892" s="43"/>
      <c r="H892" s="43"/>
      <c r="I892" s="43"/>
      <c r="J892" s="43"/>
      <c r="K892" s="43"/>
      <c r="L892" s="43"/>
      <c r="M892" s="43"/>
      <c r="N892" s="43"/>
      <c r="O892" s="43"/>
      <c r="P892" s="43"/>
      <c r="Q892" s="43"/>
      <c r="R892" s="49"/>
      <c r="S892" s="49"/>
      <c r="T892" s="49"/>
      <c r="U892" s="49"/>
      <c r="V892" s="49"/>
      <c r="W892" s="49"/>
      <c r="X892" s="49"/>
      <c r="Y892" s="49"/>
      <c r="Z892" s="49"/>
      <c r="AA892" s="49"/>
      <c r="AB892" s="49"/>
      <c r="AC892" s="49"/>
    </row>
    <row r="893" spans="1:29">
      <c r="A893" s="43"/>
      <c r="B893" s="43"/>
      <c r="C893" s="43"/>
      <c r="D893" s="43"/>
      <c r="E893" s="43"/>
      <c r="F893" s="43"/>
      <c r="G893" s="43"/>
      <c r="H893" s="43"/>
      <c r="I893" s="43"/>
      <c r="J893" s="43"/>
      <c r="K893" s="43"/>
      <c r="L893" s="43"/>
      <c r="M893" s="43"/>
      <c r="N893" s="43"/>
      <c r="O893" s="43"/>
      <c r="P893" s="43"/>
      <c r="Q893" s="43"/>
      <c r="R893" s="49"/>
      <c r="S893" s="49"/>
      <c r="T893" s="49"/>
      <c r="U893" s="49"/>
      <c r="V893" s="49"/>
      <c r="W893" s="49"/>
      <c r="X893" s="49"/>
      <c r="Y893" s="49"/>
      <c r="Z893" s="49"/>
      <c r="AA893" s="49"/>
      <c r="AB893" s="49"/>
      <c r="AC893" s="49"/>
    </row>
    <row r="894" spans="1:29">
      <c r="A894" s="43"/>
      <c r="B894" s="43"/>
      <c r="C894" s="43"/>
      <c r="D894" s="43"/>
      <c r="E894" s="43"/>
      <c r="F894" s="43"/>
      <c r="G894" s="43"/>
      <c r="H894" s="43"/>
      <c r="I894" s="43"/>
      <c r="J894" s="43"/>
      <c r="K894" s="43"/>
      <c r="L894" s="43"/>
      <c r="M894" s="43"/>
      <c r="N894" s="43"/>
      <c r="O894" s="43"/>
      <c r="P894" s="43"/>
      <c r="Q894" s="43"/>
      <c r="R894" s="49"/>
      <c r="S894" s="49"/>
      <c r="T894" s="49"/>
      <c r="U894" s="49"/>
      <c r="V894" s="49"/>
      <c r="W894" s="49"/>
      <c r="X894" s="49"/>
      <c r="Y894" s="49"/>
      <c r="Z894" s="49"/>
      <c r="AA894" s="49"/>
      <c r="AB894" s="49"/>
      <c r="AC894" s="49"/>
    </row>
    <row r="895" spans="1:29">
      <c r="A895" s="43"/>
      <c r="B895" s="43"/>
      <c r="C895" s="43"/>
      <c r="D895" s="43"/>
      <c r="E895" s="43"/>
      <c r="F895" s="43"/>
      <c r="G895" s="43"/>
      <c r="H895" s="43"/>
      <c r="I895" s="43"/>
      <c r="J895" s="43"/>
      <c r="K895" s="43"/>
      <c r="L895" s="43"/>
      <c r="M895" s="43"/>
      <c r="N895" s="43"/>
      <c r="O895" s="43"/>
      <c r="P895" s="43"/>
      <c r="Q895" s="43"/>
      <c r="R895" s="49"/>
      <c r="S895" s="49"/>
      <c r="T895" s="49"/>
      <c r="U895" s="49"/>
      <c r="V895" s="49"/>
      <c r="W895" s="49"/>
      <c r="X895" s="49"/>
      <c r="Y895" s="49"/>
      <c r="Z895" s="49"/>
      <c r="AA895" s="49"/>
      <c r="AB895" s="49"/>
      <c r="AC895" s="49"/>
    </row>
    <row r="896" spans="1:29">
      <c r="A896" s="43"/>
      <c r="B896" s="43"/>
      <c r="C896" s="43"/>
      <c r="D896" s="43"/>
      <c r="E896" s="43"/>
      <c r="F896" s="43"/>
      <c r="G896" s="43"/>
      <c r="H896" s="43"/>
      <c r="I896" s="43"/>
      <c r="J896" s="43"/>
      <c r="K896" s="43"/>
      <c r="L896" s="43"/>
      <c r="M896" s="43"/>
      <c r="N896" s="43"/>
      <c r="O896" s="43"/>
      <c r="P896" s="43"/>
      <c r="Q896" s="43"/>
      <c r="R896" s="49"/>
      <c r="S896" s="49"/>
      <c r="T896" s="49"/>
      <c r="U896" s="49"/>
      <c r="V896" s="49"/>
      <c r="W896" s="49"/>
      <c r="X896" s="49"/>
      <c r="Y896" s="49"/>
      <c r="Z896" s="49"/>
      <c r="AA896" s="49"/>
      <c r="AB896" s="49"/>
      <c r="AC896" s="49"/>
    </row>
    <row r="897" spans="1:29">
      <c r="A897" s="43"/>
      <c r="B897" s="43"/>
      <c r="C897" s="43"/>
      <c r="D897" s="43"/>
      <c r="E897" s="43"/>
      <c r="F897" s="43"/>
      <c r="G897" s="43"/>
      <c r="H897" s="43"/>
      <c r="I897" s="43"/>
      <c r="J897" s="43"/>
      <c r="K897" s="43"/>
      <c r="L897" s="43"/>
      <c r="M897" s="43"/>
      <c r="N897" s="43"/>
      <c r="O897" s="43"/>
      <c r="P897" s="43"/>
      <c r="Q897" s="43"/>
      <c r="R897" s="49"/>
      <c r="S897" s="49"/>
      <c r="T897" s="49"/>
      <c r="U897" s="49"/>
      <c r="V897" s="49"/>
      <c r="W897" s="49"/>
      <c r="X897" s="49"/>
      <c r="Y897" s="49"/>
      <c r="Z897" s="49"/>
      <c r="AA897" s="49"/>
      <c r="AB897" s="49"/>
      <c r="AC897" s="49"/>
    </row>
    <row r="898" spans="1:29">
      <c r="A898" s="43"/>
      <c r="B898" s="43"/>
      <c r="C898" s="43"/>
      <c r="D898" s="43"/>
      <c r="E898" s="43"/>
      <c r="F898" s="43"/>
      <c r="G898" s="43"/>
      <c r="H898" s="43"/>
      <c r="I898" s="43"/>
      <c r="J898" s="43"/>
      <c r="K898" s="43"/>
      <c r="L898" s="43"/>
      <c r="M898" s="43"/>
      <c r="N898" s="43"/>
      <c r="O898" s="43"/>
      <c r="P898" s="43"/>
      <c r="Q898" s="43"/>
      <c r="R898" s="49"/>
      <c r="S898" s="49"/>
      <c r="T898" s="49"/>
      <c r="U898" s="49"/>
      <c r="V898" s="49"/>
      <c r="W898" s="49"/>
      <c r="X898" s="49"/>
      <c r="Y898" s="49"/>
      <c r="Z898" s="49"/>
      <c r="AA898" s="49"/>
      <c r="AB898" s="49"/>
      <c r="AC898" s="49"/>
    </row>
    <row r="899" spans="1:29">
      <c r="A899" s="43"/>
      <c r="B899" s="43"/>
      <c r="C899" s="43"/>
      <c r="D899" s="43"/>
      <c r="E899" s="43"/>
      <c r="F899" s="43"/>
      <c r="G899" s="43"/>
      <c r="H899" s="43"/>
      <c r="I899" s="43"/>
      <c r="J899" s="43"/>
      <c r="K899" s="43"/>
      <c r="L899" s="43"/>
      <c r="M899" s="43"/>
      <c r="N899" s="43"/>
      <c r="O899" s="43"/>
      <c r="P899" s="43"/>
      <c r="Q899" s="43"/>
      <c r="R899" s="49"/>
      <c r="S899" s="49"/>
      <c r="T899" s="49"/>
      <c r="U899" s="49"/>
      <c r="V899" s="49"/>
      <c r="W899" s="49"/>
      <c r="X899" s="49"/>
      <c r="Y899" s="49"/>
      <c r="Z899" s="49"/>
      <c r="AA899" s="49"/>
      <c r="AB899" s="49"/>
      <c r="AC899" s="49"/>
    </row>
    <row r="900" spans="1:29">
      <c r="A900" s="43"/>
      <c r="B900" s="43"/>
      <c r="C900" s="43"/>
      <c r="D900" s="43"/>
      <c r="E900" s="43"/>
      <c r="F900" s="43"/>
      <c r="G900" s="43"/>
      <c r="H900" s="43"/>
      <c r="I900" s="43"/>
      <c r="J900" s="43"/>
      <c r="K900" s="43"/>
      <c r="L900" s="43"/>
      <c r="M900" s="43"/>
      <c r="N900" s="43"/>
      <c r="O900" s="43"/>
      <c r="P900" s="43"/>
      <c r="Q900" s="43"/>
      <c r="R900" s="49"/>
      <c r="S900" s="49"/>
      <c r="T900" s="49"/>
      <c r="U900" s="49"/>
      <c r="V900" s="49"/>
      <c r="W900" s="49"/>
      <c r="X900" s="49"/>
      <c r="Y900" s="49"/>
      <c r="Z900" s="49"/>
      <c r="AA900" s="49"/>
      <c r="AB900" s="49"/>
      <c r="AC900" s="49"/>
    </row>
    <row r="901" spans="1:29">
      <c r="A901" s="43"/>
      <c r="B901" s="43"/>
      <c r="C901" s="43"/>
      <c r="D901" s="43"/>
      <c r="E901" s="43"/>
      <c r="F901" s="43"/>
      <c r="G901" s="43"/>
      <c r="H901" s="43"/>
      <c r="I901" s="43"/>
      <c r="J901" s="43"/>
      <c r="K901" s="43"/>
      <c r="L901" s="43"/>
      <c r="M901" s="43"/>
      <c r="N901" s="43"/>
      <c r="O901" s="43"/>
      <c r="P901" s="43"/>
      <c r="Q901" s="43"/>
      <c r="R901" s="49"/>
      <c r="S901" s="49"/>
      <c r="T901" s="49"/>
      <c r="U901" s="49"/>
      <c r="V901" s="49"/>
      <c r="W901" s="49"/>
      <c r="X901" s="49"/>
      <c r="Y901" s="49"/>
      <c r="Z901" s="49"/>
      <c r="AA901" s="49"/>
      <c r="AB901" s="49"/>
      <c r="AC901" s="49"/>
    </row>
    <row r="902" spans="1:29">
      <c r="A902" s="43"/>
      <c r="B902" s="43"/>
      <c r="C902" s="43"/>
      <c r="D902" s="43"/>
      <c r="E902" s="43"/>
      <c r="F902" s="43"/>
      <c r="G902" s="43"/>
      <c r="H902" s="43"/>
      <c r="I902" s="43"/>
      <c r="J902" s="43"/>
      <c r="K902" s="43"/>
      <c r="L902" s="43"/>
      <c r="M902" s="43"/>
      <c r="N902" s="43"/>
      <c r="O902" s="43"/>
      <c r="P902" s="43"/>
      <c r="Q902" s="43"/>
      <c r="R902" s="49"/>
      <c r="S902" s="49"/>
      <c r="T902" s="49"/>
      <c r="U902" s="49"/>
      <c r="V902" s="49"/>
      <c r="W902" s="49"/>
      <c r="X902" s="49"/>
      <c r="Y902" s="49"/>
      <c r="Z902" s="49"/>
      <c r="AA902" s="49"/>
      <c r="AB902" s="49"/>
      <c r="AC902" s="49"/>
    </row>
    <row r="903" spans="1:29">
      <c r="A903" s="43"/>
      <c r="B903" s="43"/>
      <c r="C903" s="43"/>
      <c r="D903" s="43"/>
      <c r="E903" s="43"/>
      <c r="F903" s="43"/>
      <c r="G903" s="43"/>
      <c r="H903" s="43"/>
      <c r="I903" s="43"/>
      <c r="J903" s="43"/>
      <c r="K903" s="43"/>
      <c r="L903" s="43"/>
      <c r="M903" s="43"/>
      <c r="N903" s="43"/>
      <c r="O903" s="43"/>
      <c r="P903" s="43"/>
      <c r="Q903" s="43"/>
      <c r="R903" s="49"/>
      <c r="S903" s="49"/>
      <c r="T903" s="49"/>
      <c r="U903" s="49"/>
      <c r="V903" s="49"/>
      <c r="W903" s="49"/>
      <c r="X903" s="49"/>
      <c r="Y903" s="49"/>
      <c r="Z903" s="49"/>
      <c r="AA903" s="49"/>
      <c r="AB903" s="49"/>
      <c r="AC903" s="49"/>
    </row>
    <row r="904" spans="1:29">
      <c r="A904" s="43"/>
      <c r="B904" s="43"/>
      <c r="C904" s="43"/>
      <c r="D904" s="43"/>
      <c r="E904" s="43"/>
      <c r="F904" s="43"/>
      <c r="G904" s="43"/>
      <c r="H904" s="43"/>
      <c r="I904" s="43"/>
      <c r="J904" s="43"/>
      <c r="K904" s="43"/>
      <c r="L904" s="43"/>
      <c r="M904" s="43"/>
      <c r="N904" s="43"/>
      <c r="O904" s="43"/>
      <c r="P904" s="43"/>
      <c r="Q904" s="43"/>
      <c r="R904" s="49"/>
      <c r="S904" s="49"/>
      <c r="T904" s="49"/>
      <c r="U904" s="49"/>
      <c r="V904" s="49"/>
      <c r="W904" s="49"/>
      <c r="X904" s="49"/>
      <c r="Y904" s="49"/>
      <c r="Z904" s="49"/>
      <c r="AA904" s="49"/>
      <c r="AB904" s="49"/>
      <c r="AC904" s="49"/>
    </row>
    <row r="905" spans="1:29">
      <c r="A905" s="43"/>
      <c r="B905" s="43"/>
      <c r="C905" s="43"/>
      <c r="D905" s="43"/>
      <c r="E905" s="43"/>
      <c r="F905" s="43"/>
      <c r="G905" s="43"/>
      <c r="H905" s="43"/>
      <c r="I905" s="43"/>
      <c r="J905" s="43"/>
      <c r="K905" s="43"/>
      <c r="L905" s="43"/>
      <c r="M905" s="43"/>
      <c r="N905" s="43"/>
      <c r="O905" s="43"/>
      <c r="P905" s="43"/>
      <c r="Q905" s="43"/>
      <c r="R905" s="49"/>
      <c r="S905" s="49"/>
      <c r="T905" s="49"/>
      <c r="U905" s="49"/>
      <c r="V905" s="49"/>
      <c r="W905" s="49"/>
      <c r="X905" s="49"/>
      <c r="Y905" s="49"/>
      <c r="Z905" s="49"/>
      <c r="AA905" s="49"/>
      <c r="AB905" s="49"/>
      <c r="AC905" s="49"/>
    </row>
    <row r="906" spans="1:29">
      <c r="A906" s="43"/>
      <c r="B906" s="43"/>
      <c r="C906" s="43"/>
      <c r="D906" s="43"/>
      <c r="E906" s="43"/>
      <c r="F906" s="43"/>
      <c r="G906" s="43"/>
      <c r="H906" s="43"/>
      <c r="I906" s="43"/>
      <c r="J906" s="43"/>
      <c r="K906" s="43"/>
      <c r="L906" s="43"/>
      <c r="M906" s="43"/>
      <c r="N906" s="43"/>
      <c r="O906" s="43"/>
      <c r="P906" s="43"/>
      <c r="Q906" s="43"/>
      <c r="R906" s="49"/>
      <c r="S906" s="49"/>
      <c r="T906" s="49"/>
      <c r="U906" s="49"/>
      <c r="V906" s="49"/>
      <c r="W906" s="49"/>
      <c r="X906" s="49"/>
      <c r="Y906" s="49"/>
      <c r="Z906" s="49"/>
      <c r="AA906" s="49"/>
      <c r="AB906" s="49"/>
      <c r="AC906" s="49"/>
    </row>
    <row r="907" spans="1:29">
      <c r="A907" s="43"/>
      <c r="B907" s="43"/>
      <c r="C907" s="43"/>
      <c r="D907" s="43"/>
      <c r="E907" s="43"/>
      <c r="F907" s="43"/>
      <c r="G907" s="43"/>
      <c r="H907" s="43"/>
      <c r="I907" s="43"/>
      <c r="J907" s="43"/>
      <c r="K907" s="43"/>
      <c r="L907" s="43"/>
      <c r="M907" s="43"/>
      <c r="N907" s="43"/>
      <c r="O907" s="43"/>
      <c r="P907" s="43"/>
      <c r="Q907" s="43"/>
      <c r="R907" s="49"/>
      <c r="S907" s="49"/>
      <c r="T907" s="49"/>
      <c r="U907" s="49"/>
      <c r="V907" s="49"/>
      <c r="W907" s="49"/>
      <c r="X907" s="49"/>
      <c r="Y907" s="49"/>
      <c r="Z907" s="49"/>
      <c r="AA907" s="49"/>
      <c r="AB907" s="49"/>
      <c r="AC907" s="49"/>
    </row>
    <row r="908" spans="1:29">
      <c r="A908" s="43"/>
      <c r="B908" s="43"/>
      <c r="C908" s="43"/>
      <c r="D908" s="43"/>
      <c r="E908" s="43"/>
      <c r="F908" s="43"/>
      <c r="G908" s="43"/>
      <c r="H908" s="43"/>
      <c r="I908" s="43"/>
      <c r="J908" s="43"/>
      <c r="K908" s="43"/>
      <c r="L908" s="43"/>
      <c r="M908" s="43"/>
      <c r="N908" s="43"/>
      <c r="O908" s="43"/>
      <c r="P908" s="43"/>
      <c r="Q908" s="43"/>
      <c r="R908" s="49"/>
      <c r="S908" s="49"/>
      <c r="T908" s="49"/>
      <c r="U908" s="49"/>
      <c r="V908" s="49"/>
      <c r="W908" s="49"/>
      <c r="X908" s="49"/>
      <c r="Y908" s="49"/>
      <c r="Z908" s="49"/>
      <c r="AA908" s="49"/>
      <c r="AB908" s="49"/>
      <c r="AC908" s="49"/>
    </row>
    <row r="909" spans="1:29">
      <c r="A909" s="43"/>
      <c r="B909" s="43"/>
      <c r="C909" s="43"/>
      <c r="D909" s="43"/>
      <c r="E909" s="43"/>
      <c r="F909" s="43"/>
      <c r="G909" s="43"/>
      <c r="H909" s="43"/>
      <c r="I909" s="43"/>
      <c r="J909" s="43"/>
      <c r="K909" s="43"/>
      <c r="L909" s="43"/>
      <c r="M909" s="43"/>
      <c r="N909" s="43"/>
      <c r="O909" s="43"/>
      <c r="P909" s="43"/>
      <c r="Q909" s="43"/>
      <c r="R909" s="49"/>
      <c r="S909" s="49"/>
      <c r="T909" s="49"/>
      <c r="U909" s="49"/>
      <c r="V909" s="49"/>
      <c r="W909" s="49"/>
      <c r="X909" s="49"/>
      <c r="Y909" s="49"/>
      <c r="Z909" s="49"/>
      <c r="AA909" s="49"/>
      <c r="AB909" s="49"/>
      <c r="AC909" s="49"/>
    </row>
    <row r="910" spans="1:29">
      <c r="A910" s="43"/>
      <c r="B910" s="43"/>
      <c r="C910" s="43"/>
      <c r="D910" s="43"/>
      <c r="E910" s="43"/>
      <c r="F910" s="43"/>
      <c r="G910" s="43"/>
      <c r="H910" s="43"/>
      <c r="I910" s="43"/>
      <c r="J910" s="43"/>
      <c r="K910" s="43"/>
      <c r="L910" s="43"/>
      <c r="M910" s="43"/>
      <c r="N910" s="43"/>
      <c r="O910" s="43"/>
      <c r="P910" s="43"/>
      <c r="Q910" s="43"/>
      <c r="R910" s="49"/>
      <c r="S910" s="49"/>
      <c r="T910" s="49"/>
      <c r="U910" s="49"/>
      <c r="V910" s="49"/>
      <c r="W910" s="49"/>
      <c r="X910" s="49"/>
      <c r="Y910" s="49"/>
      <c r="Z910" s="49"/>
      <c r="AA910" s="49"/>
      <c r="AB910" s="49"/>
      <c r="AC910" s="49"/>
    </row>
    <row r="911" spans="1:29">
      <c r="A911" s="43"/>
      <c r="B911" s="43"/>
      <c r="C911" s="43"/>
      <c r="D911" s="43"/>
      <c r="E911" s="43"/>
      <c r="F911" s="43"/>
      <c r="G911" s="43"/>
      <c r="H911" s="43"/>
      <c r="I911" s="43"/>
      <c r="J911" s="43"/>
      <c r="K911" s="43"/>
      <c r="L911" s="43"/>
      <c r="M911" s="43"/>
      <c r="N911" s="43"/>
      <c r="O911" s="43"/>
      <c r="P911" s="43"/>
      <c r="Q911" s="43"/>
      <c r="R911" s="49"/>
      <c r="S911" s="49"/>
      <c r="T911" s="49"/>
      <c r="U911" s="49"/>
      <c r="V911" s="49"/>
      <c r="W911" s="49"/>
      <c r="X911" s="49"/>
      <c r="Y911" s="49"/>
      <c r="Z911" s="49"/>
      <c r="AA911" s="49"/>
      <c r="AB911" s="49"/>
      <c r="AC911" s="49"/>
    </row>
    <row r="912" spans="1:29">
      <c r="A912" s="43"/>
      <c r="B912" s="43"/>
      <c r="C912" s="43"/>
      <c r="D912" s="43"/>
      <c r="E912" s="43"/>
      <c r="F912" s="43"/>
      <c r="G912" s="43"/>
      <c r="H912" s="43"/>
      <c r="I912" s="43"/>
      <c r="J912" s="43"/>
      <c r="K912" s="43"/>
      <c r="L912" s="43"/>
      <c r="M912" s="43"/>
      <c r="N912" s="43"/>
      <c r="O912" s="43"/>
      <c r="P912" s="43"/>
      <c r="Q912" s="43"/>
      <c r="R912" s="49"/>
      <c r="S912" s="49"/>
      <c r="T912" s="49"/>
      <c r="U912" s="49"/>
      <c r="V912" s="49"/>
      <c r="W912" s="49"/>
      <c r="X912" s="49"/>
      <c r="Y912" s="49"/>
      <c r="Z912" s="49"/>
      <c r="AA912" s="49"/>
      <c r="AB912" s="49"/>
      <c r="AC912" s="49"/>
    </row>
    <row r="913" spans="1:29">
      <c r="A913" s="43"/>
      <c r="B913" s="43"/>
      <c r="C913" s="43"/>
      <c r="D913" s="43"/>
      <c r="E913" s="43"/>
      <c r="F913" s="43"/>
      <c r="G913" s="43"/>
      <c r="H913" s="43"/>
      <c r="I913" s="43"/>
      <c r="J913" s="43"/>
      <c r="K913" s="43"/>
      <c r="L913" s="43"/>
      <c r="M913" s="43"/>
      <c r="N913" s="43"/>
      <c r="O913" s="43"/>
      <c r="P913" s="43"/>
      <c r="Q913" s="43"/>
      <c r="R913" s="49"/>
      <c r="S913" s="49"/>
      <c r="T913" s="49"/>
      <c r="U913" s="49"/>
      <c r="V913" s="49"/>
      <c r="W913" s="49"/>
      <c r="X913" s="49"/>
      <c r="Y913" s="49"/>
      <c r="Z913" s="49"/>
      <c r="AA913" s="49"/>
      <c r="AB913" s="49"/>
      <c r="AC913" s="49"/>
    </row>
    <row r="914" spans="1:29">
      <c r="A914" s="43"/>
      <c r="B914" s="43"/>
      <c r="C914" s="43"/>
      <c r="D914" s="43"/>
      <c r="E914" s="43"/>
      <c r="F914" s="43"/>
      <c r="G914" s="43"/>
      <c r="H914" s="43"/>
      <c r="I914" s="43"/>
      <c r="J914" s="43"/>
      <c r="K914" s="43"/>
      <c r="L914" s="43"/>
      <c r="M914" s="43"/>
      <c r="N914" s="43"/>
      <c r="O914" s="43"/>
      <c r="P914" s="43"/>
      <c r="Q914" s="43"/>
      <c r="R914" s="49"/>
      <c r="S914" s="49"/>
      <c r="T914" s="49"/>
      <c r="U914" s="49"/>
      <c r="V914" s="49"/>
      <c r="W914" s="49"/>
      <c r="X914" s="49"/>
      <c r="Y914" s="49"/>
      <c r="Z914" s="49"/>
      <c r="AA914" s="49"/>
      <c r="AB914" s="49"/>
      <c r="AC914" s="49"/>
    </row>
    <row r="915" spans="1:29">
      <c r="A915" s="43"/>
      <c r="B915" s="43"/>
      <c r="C915" s="43"/>
      <c r="D915" s="43"/>
      <c r="E915" s="43"/>
      <c r="F915" s="43"/>
      <c r="G915" s="43"/>
      <c r="H915" s="43"/>
      <c r="I915" s="43"/>
      <c r="J915" s="43"/>
      <c r="K915" s="43"/>
      <c r="L915" s="43"/>
      <c r="M915" s="43"/>
      <c r="N915" s="43"/>
      <c r="O915" s="43"/>
      <c r="P915" s="43"/>
      <c r="Q915" s="43"/>
      <c r="R915" s="49"/>
      <c r="S915" s="49"/>
      <c r="T915" s="49"/>
      <c r="U915" s="49"/>
      <c r="V915" s="49"/>
      <c r="W915" s="49"/>
      <c r="X915" s="49"/>
      <c r="Y915" s="49"/>
      <c r="Z915" s="49"/>
      <c r="AA915" s="49"/>
      <c r="AB915" s="49"/>
      <c r="AC915" s="49"/>
    </row>
    <row r="916" spans="1:29">
      <c r="A916" s="43"/>
      <c r="B916" s="43"/>
      <c r="C916" s="43"/>
      <c r="D916" s="43"/>
      <c r="E916" s="43"/>
      <c r="F916" s="43"/>
      <c r="G916" s="43"/>
      <c r="H916" s="43"/>
      <c r="I916" s="43"/>
      <c r="J916" s="43"/>
      <c r="K916" s="43"/>
      <c r="L916" s="43"/>
      <c r="M916" s="43"/>
      <c r="N916" s="43"/>
      <c r="O916" s="43"/>
      <c r="P916" s="43"/>
      <c r="Q916" s="43"/>
      <c r="R916" s="49"/>
      <c r="S916" s="49"/>
      <c r="T916" s="49"/>
      <c r="U916" s="49"/>
      <c r="V916" s="49"/>
      <c r="W916" s="49"/>
      <c r="X916" s="49"/>
      <c r="Y916" s="49"/>
      <c r="Z916" s="49"/>
      <c r="AA916" s="49"/>
      <c r="AB916" s="49"/>
      <c r="AC916" s="49"/>
    </row>
    <row r="917" spans="1:29">
      <c r="A917" s="43"/>
      <c r="B917" s="43"/>
      <c r="C917" s="43"/>
      <c r="D917" s="43"/>
      <c r="E917" s="43"/>
      <c r="F917" s="43"/>
      <c r="G917" s="43"/>
      <c r="H917" s="43"/>
      <c r="I917" s="43"/>
      <c r="J917" s="43"/>
      <c r="K917" s="43"/>
      <c r="L917" s="43"/>
      <c r="M917" s="43"/>
      <c r="N917" s="43"/>
      <c r="O917" s="43"/>
      <c r="P917" s="43"/>
      <c r="Q917" s="43"/>
      <c r="R917" s="49"/>
      <c r="S917" s="49"/>
      <c r="T917" s="49"/>
      <c r="U917" s="49"/>
      <c r="V917" s="49"/>
      <c r="W917" s="49"/>
      <c r="X917" s="49"/>
      <c r="Y917" s="49"/>
      <c r="Z917" s="49"/>
      <c r="AA917" s="49"/>
      <c r="AB917" s="49"/>
      <c r="AC917" s="49"/>
    </row>
    <row r="918" spans="1:29">
      <c r="A918" s="43"/>
      <c r="B918" s="43"/>
      <c r="C918" s="43"/>
      <c r="D918" s="43"/>
      <c r="E918" s="43"/>
      <c r="F918" s="43"/>
      <c r="G918" s="43"/>
      <c r="H918" s="43"/>
      <c r="I918" s="43"/>
      <c r="J918" s="43"/>
      <c r="K918" s="43"/>
      <c r="L918" s="43"/>
      <c r="M918" s="43"/>
      <c r="N918" s="43"/>
      <c r="O918" s="43"/>
      <c r="P918" s="43"/>
      <c r="Q918" s="43"/>
      <c r="R918" s="49"/>
      <c r="S918" s="49"/>
      <c r="T918" s="49"/>
      <c r="U918" s="49"/>
      <c r="V918" s="49"/>
      <c r="W918" s="49"/>
      <c r="X918" s="49"/>
      <c r="Y918" s="49"/>
      <c r="Z918" s="49"/>
      <c r="AA918" s="49"/>
      <c r="AB918" s="49"/>
      <c r="AC918" s="49"/>
    </row>
    <row r="919" spans="1:29">
      <c r="A919" s="43"/>
      <c r="B919" s="43"/>
      <c r="C919" s="43"/>
      <c r="D919" s="43"/>
      <c r="E919" s="43"/>
      <c r="F919" s="43"/>
      <c r="G919" s="43"/>
      <c r="H919" s="43"/>
      <c r="I919" s="43"/>
      <c r="J919" s="43"/>
      <c r="K919" s="43"/>
      <c r="L919" s="43"/>
      <c r="M919" s="43"/>
      <c r="N919" s="43"/>
      <c r="O919" s="43"/>
      <c r="P919" s="43"/>
      <c r="Q919" s="43"/>
      <c r="R919" s="49"/>
      <c r="S919" s="49"/>
      <c r="T919" s="49"/>
      <c r="U919" s="49"/>
      <c r="V919" s="49"/>
      <c r="W919" s="49"/>
      <c r="X919" s="49"/>
      <c r="Y919" s="49"/>
      <c r="Z919" s="49"/>
      <c r="AA919" s="49"/>
      <c r="AB919" s="49"/>
      <c r="AC919" s="49"/>
    </row>
    <row r="920" spans="1:29">
      <c r="A920" s="43"/>
      <c r="B920" s="43"/>
      <c r="C920" s="43"/>
      <c r="D920" s="43"/>
      <c r="E920" s="43"/>
      <c r="F920" s="43"/>
      <c r="G920" s="43"/>
      <c r="H920" s="43"/>
      <c r="I920" s="43"/>
      <c r="J920" s="43"/>
      <c r="K920" s="43"/>
      <c r="L920" s="43"/>
      <c r="M920" s="43"/>
      <c r="N920" s="43"/>
      <c r="O920" s="43"/>
      <c r="P920" s="43"/>
      <c r="Q920" s="43"/>
      <c r="R920" s="49"/>
      <c r="S920" s="49"/>
      <c r="T920" s="49"/>
      <c r="U920" s="49"/>
      <c r="V920" s="49"/>
      <c r="W920" s="49"/>
      <c r="X920" s="49"/>
      <c r="Y920" s="49"/>
      <c r="Z920" s="49"/>
      <c r="AA920" s="49"/>
      <c r="AB920" s="49"/>
      <c r="AC920" s="49"/>
    </row>
    <row r="921" spans="1:29">
      <c r="A921" s="43"/>
      <c r="B921" s="43"/>
      <c r="C921" s="43"/>
      <c r="D921" s="43"/>
      <c r="E921" s="43"/>
      <c r="F921" s="43"/>
      <c r="G921" s="43"/>
      <c r="H921" s="43"/>
      <c r="I921" s="43"/>
      <c r="J921" s="43"/>
      <c r="K921" s="43"/>
      <c r="L921" s="43"/>
      <c r="M921" s="43"/>
      <c r="N921" s="43"/>
      <c r="O921" s="43"/>
      <c r="P921" s="43"/>
      <c r="Q921" s="43"/>
      <c r="R921" s="49"/>
      <c r="S921" s="49"/>
      <c r="T921" s="49"/>
      <c r="U921" s="49"/>
      <c r="V921" s="49"/>
      <c r="W921" s="49"/>
      <c r="X921" s="49"/>
      <c r="Y921" s="49"/>
      <c r="Z921" s="49"/>
      <c r="AA921" s="49"/>
      <c r="AB921" s="49"/>
      <c r="AC921" s="49"/>
    </row>
    <row r="922" spans="1:29">
      <c r="A922" s="43"/>
      <c r="B922" s="43"/>
      <c r="C922" s="43"/>
      <c r="D922" s="43"/>
      <c r="E922" s="43"/>
      <c r="F922" s="43"/>
      <c r="G922" s="43"/>
      <c r="H922" s="43"/>
      <c r="I922" s="43"/>
      <c r="J922" s="43"/>
      <c r="K922" s="43"/>
      <c r="L922" s="43"/>
      <c r="M922" s="43"/>
      <c r="N922" s="43"/>
      <c r="O922" s="43"/>
      <c r="P922" s="43"/>
      <c r="Q922" s="43"/>
      <c r="R922" s="49"/>
      <c r="S922" s="49"/>
      <c r="T922" s="49"/>
      <c r="U922" s="49"/>
      <c r="V922" s="49"/>
      <c r="W922" s="49"/>
      <c r="X922" s="49"/>
      <c r="Y922" s="49"/>
      <c r="Z922" s="49"/>
      <c r="AA922" s="49"/>
      <c r="AB922" s="49"/>
      <c r="AC922" s="49"/>
    </row>
    <row r="923" spans="1:29">
      <c r="A923" s="43"/>
      <c r="B923" s="43"/>
      <c r="C923" s="43"/>
      <c r="D923" s="43"/>
      <c r="E923" s="43"/>
      <c r="F923" s="43"/>
      <c r="G923" s="43"/>
      <c r="H923" s="43"/>
      <c r="I923" s="43"/>
      <c r="J923" s="43"/>
      <c r="K923" s="43"/>
      <c r="L923" s="43"/>
      <c r="M923" s="43"/>
      <c r="N923" s="43"/>
      <c r="O923" s="43"/>
      <c r="P923" s="43"/>
      <c r="Q923" s="43"/>
      <c r="R923" s="49"/>
      <c r="S923" s="49"/>
      <c r="T923" s="49"/>
      <c r="U923" s="49"/>
      <c r="V923" s="49"/>
      <c r="W923" s="49"/>
      <c r="X923" s="49"/>
      <c r="Y923" s="49"/>
      <c r="Z923" s="49"/>
      <c r="AA923" s="49"/>
      <c r="AB923" s="49"/>
      <c r="AC923" s="49"/>
    </row>
    <row r="924" spans="1:29">
      <c r="A924" s="43"/>
      <c r="B924" s="43"/>
      <c r="C924" s="43"/>
      <c r="D924" s="43"/>
      <c r="E924" s="43"/>
      <c r="F924" s="43"/>
      <c r="G924" s="43"/>
      <c r="H924" s="43"/>
      <c r="I924" s="43"/>
      <c r="J924" s="43"/>
      <c r="K924" s="43"/>
      <c r="L924" s="43"/>
      <c r="M924" s="43"/>
      <c r="N924" s="43"/>
      <c r="O924" s="43"/>
      <c r="P924" s="43"/>
      <c r="Q924" s="43"/>
      <c r="R924" s="49"/>
      <c r="S924" s="49"/>
      <c r="T924" s="49"/>
      <c r="U924" s="49"/>
      <c r="V924" s="49"/>
      <c r="W924" s="49"/>
      <c r="X924" s="49"/>
      <c r="Y924" s="49"/>
      <c r="Z924" s="49"/>
      <c r="AA924" s="49"/>
      <c r="AB924" s="49"/>
      <c r="AC924" s="49"/>
    </row>
    <row r="925" spans="1:29">
      <c r="A925" s="43"/>
      <c r="B925" s="43"/>
      <c r="C925" s="43"/>
      <c r="D925" s="43"/>
      <c r="E925" s="43"/>
      <c r="F925" s="43"/>
      <c r="G925" s="43"/>
      <c r="H925" s="43"/>
      <c r="I925" s="43"/>
      <c r="J925" s="43"/>
      <c r="K925" s="43"/>
      <c r="L925" s="43"/>
      <c r="M925" s="43"/>
      <c r="N925" s="43"/>
      <c r="O925" s="43"/>
      <c r="P925" s="43"/>
      <c r="Q925" s="43"/>
      <c r="R925" s="49"/>
      <c r="S925" s="49"/>
      <c r="T925" s="49"/>
      <c r="U925" s="49"/>
      <c r="V925" s="49"/>
      <c r="W925" s="49"/>
      <c r="X925" s="49"/>
      <c r="Y925" s="49"/>
      <c r="Z925" s="49"/>
      <c r="AA925" s="49"/>
      <c r="AB925" s="49"/>
      <c r="AC925" s="49"/>
    </row>
    <row r="926" spans="1:29">
      <c r="A926" s="43"/>
      <c r="B926" s="43"/>
      <c r="C926" s="43"/>
      <c r="D926" s="43"/>
      <c r="E926" s="43"/>
      <c r="F926" s="43"/>
      <c r="G926" s="43"/>
      <c r="H926" s="43"/>
      <c r="I926" s="43"/>
      <c r="J926" s="43"/>
      <c r="K926" s="43"/>
      <c r="L926" s="43"/>
      <c r="M926" s="43"/>
      <c r="N926" s="43"/>
      <c r="O926" s="43"/>
      <c r="P926" s="43"/>
      <c r="Q926" s="43"/>
      <c r="R926" s="49"/>
      <c r="S926" s="49"/>
      <c r="T926" s="49"/>
      <c r="U926" s="49"/>
      <c r="V926" s="49"/>
      <c r="W926" s="49"/>
      <c r="X926" s="49"/>
      <c r="Y926" s="49"/>
      <c r="Z926" s="49"/>
      <c r="AA926" s="49"/>
      <c r="AB926" s="49"/>
      <c r="AC926" s="49"/>
    </row>
    <row r="927" spans="1:29">
      <c r="A927" s="43"/>
      <c r="B927" s="43"/>
      <c r="C927" s="43"/>
      <c r="D927" s="43"/>
      <c r="E927" s="43"/>
      <c r="F927" s="43"/>
      <c r="G927" s="43"/>
      <c r="H927" s="43"/>
      <c r="I927" s="43"/>
      <c r="J927" s="43"/>
      <c r="K927" s="43"/>
      <c r="L927" s="43"/>
      <c r="M927" s="43"/>
      <c r="N927" s="43"/>
      <c r="O927" s="43"/>
      <c r="P927" s="43"/>
      <c r="Q927" s="43"/>
      <c r="R927" s="49"/>
      <c r="S927" s="49"/>
      <c r="T927" s="49"/>
      <c r="U927" s="49"/>
      <c r="V927" s="49"/>
      <c r="W927" s="49"/>
      <c r="X927" s="49"/>
      <c r="Y927" s="49"/>
      <c r="Z927" s="49"/>
      <c r="AA927" s="49"/>
      <c r="AB927" s="49"/>
      <c r="AC927" s="49"/>
    </row>
    <row r="928" spans="1:29">
      <c r="A928" s="43"/>
      <c r="B928" s="43"/>
      <c r="C928" s="43"/>
      <c r="D928" s="43"/>
      <c r="E928" s="43"/>
      <c r="F928" s="43"/>
      <c r="G928" s="43"/>
      <c r="H928" s="43"/>
      <c r="I928" s="43"/>
      <c r="J928" s="43"/>
      <c r="K928" s="43"/>
      <c r="L928" s="43"/>
      <c r="M928" s="43"/>
      <c r="N928" s="43"/>
      <c r="O928" s="43"/>
      <c r="P928" s="43"/>
      <c r="Q928" s="43"/>
      <c r="R928" s="49"/>
      <c r="S928" s="49"/>
      <c r="T928" s="49"/>
      <c r="U928" s="49"/>
      <c r="V928" s="49"/>
      <c r="W928" s="49"/>
      <c r="X928" s="49"/>
      <c r="Y928" s="49"/>
      <c r="Z928" s="49"/>
      <c r="AA928" s="49"/>
      <c r="AB928" s="49"/>
      <c r="AC928" s="49"/>
    </row>
    <row r="929" spans="1:29">
      <c r="A929" s="43"/>
      <c r="B929" s="43"/>
      <c r="C929" s="43"/>
      <c r="D929" s="43"/>
      <c r="E929" s="43"/>
      <c r="F929" s="43"/>
      <c r="G929" s="43"/>
      <c r="H929" s="43"/>
      <c r="I929" s="43"/>
      <c r="J929" s="43"/>
      <c r="K929" s="43"/>
      <c r="L929" s="43"/>
      <c r="M929" s="43"/>
      <c r="N929" s="43"/>
      <c r="O929" s="43"/>
      <c r="P929" s="43"/>
      <c r="Q929" s="43"/>
      <c r="R929" s="49"/>
      <c r="S929" s="49"/>
      <c r="T929" s="49"/>
      <c r="U929" s="49"/>
      <c r="V929" s="49"/>
      <c r="W929" s="49"/>
      <c r="X929" s="49"/>
      <c r="Y929" s="49"/>
      <c r="Z929" s="49"/>
      <c r="AA929" s="49"/>
      <c r="AB929" s="49"/>
      <c r="AC929" s="49"/>
    </row>
    <row r="930" spans="1:29">
      <c r="A930" s="43"/>
      <c r="B930" s="43"/>
      <c r="C930" s="43"/>
      <c r="D930" s="43"/>
      <c r="E930" s="43"/>
      <c r="F930" s="43"/>
      <c r="G930" s="43"/>
      <c r="H930" s="43"/>
      <c r="I930" s="43"/>
      <c r="J930" s="43"/>
      <c r="K930" s="43"/>
      <c r="L930" s="43"/>
      <c r="M930" s="43"/>
      <c r="N930" s="43"/>
      <c r="O930" s="43"/>
      <c r="P930" s="43"/>
      <c r="Q930" s="43"/>
      <c r="R930" s="49"/>
      <c r="S930" s="49"/>
      <c r="T930" s="49"/>
      <c r="U930" s="49"/>
      <c r="V930" s="49"/>
      <c r="W930" s="49"/>
      <c r="X930" s="49"/>
      <c r="Y930" s="49"/>
      <c r="Z930" s="49"/>
      <c r="AA930" s="49"/>
      <c r="AB930" s="49"/>
      <c r="AC930" s="49"/>
    </row>
    <row r="931" spans="1:29">
      <c r="A931" s="43"/>
      <c r="B931" s="43"/>
      <c r="C931" s="43"/>
      <c r="D931" s="43"/>
      <c r="E931" s="43"/>
      <c r="F931" s="43"/>
      <c r="G931" s="43"/>
      <c r="H931" s="43"/>
      <c r="I931" s="43"/>
      <c r="J931" s="43"/>
      <c r="K931" s="43"/>
      <c r="L931" s="43"/>
      <c r="M931" s="43"/>
      <c r="N931" s="43"/>
      <c r="O931" s="43"/>
      <c r="P931" s="43"/>
      <c r="Q931" s="43"/>
      <c r="R931" s="49"/>
      <c r="S931" s="49"/>
      <c r="T931" s="49"/>
      <c r="U931" s="49"/>
      <c r="V931" s="49"/>
      <c r="W931" s="49"/>
      <c r="X931" s="49"/>
      <c r="Y931" s="49"/>
      <c r="Z931" s="49"/>
      <c r="AA931" s="49"/>
      <c r="AB931" s="49"/>
      <c r="AC931" s="49"/>
    </row>
    <row r="932" spans="1:29">
      <c r="A932" s="43"/>
      <c r="B932" s="43"/>
      <c r="C932" s="43"/>
      <c r="D932" s="43"/>
      <c r="E932" s="43"/>
      <c r="F932" s="43"/>
      <c r="G932" s="43"/>
      <c r="H932" s="43"/>
      <c r="I932" s="43"/>
      <c r="J932" s="43"/>
      <c r="K932" s="43"/>
      <c r="L932" s="43"/>
      <c r="M932" s="43"/>
      <c r="N932" s="43"/>
      <c r="O932" s="43"/>
      <c r="P932" s="43"/>
      <c r="Q932" s="43"/>
      <c r="R932" s="49"/>
      <c r="S932" s="49"/>
      <c r="T932" s="49"/>
      <c r="U932" s="49"/>
      <c r="V932" s="49"/>
      <c r="W932" s="49"/>
      <c r="X932" s="49"/>
      <c r="Y932" s="49"/>
      <c r="Z932" s="49"/>
      <c r="AA932" s="49"/>
      <c r="AB932" s="49"/>
      <c r="AC932" s="49"/>
    </row>
    <row r="933" spans="1:29">
      <c r="A933" s="43"/>
      <c r="B933" s="43"/>
      <c r="C933" s="43"/>
      <c r="D933" s="43"/>
      <c r="E933" s="43"/>
      <c r="F933" s="43"/>
      <c r="G933" s="43"/>
      <c r="H933" s="43"/>
      <c r="I933" s="43"/>
      <c r="J933" s="43"/>
      <c r="K933" s="43"/>
      <c r="L933" s="43"/>
      <c r="M933" s="43"/>
      <c r="N933" s="43"/>
      <c r="O933" s="43"/>
      <c r="P933" s="43"/>
      <c r="Q933" s="43"/>
      <c r="R933" s="49"/>
      <c r="S933" s="49"/>
      <c r="T933" s="49"/>
      <c r="U933" s="49"/>
      <c r="V933" s="49"/>
      <c r="W933" s="49"/>
      <c r="X933" s="49"/>
      <c r="Y933" s="49"/>
      <c r="Z933" s="49"/>
      <c r="AA933" s="49"/>
      <c r="AB933" s="49"/>
      <c r="AC933" s="49"/>
    </row>
    <row r="934" spans="1:29">
      <c r="A934" s="43"/>
      <c r="B934" s="43"/>
      <c r="C934" s="43"/>
      <c r="D934" s="43"/>
      <c r="E934" s="43"/>
      <c r="F934" s="43"/>
      <c r="G934" s="43"/>
      <c r="H934" s="43"/>
      <c r="I934" s="43"/>
      <c r="J934" s="43"/>
      <c r="K934" s="43"/>
      <c r="L934" s="43"/>
      <c r="M934" s="43"/>
      <c r="N934" s="43"/>
      <c r="O934" s="43"/>
      <c r="P934" s="43"/>
      <c r="Q934" s="43"/>
      <c r="R934" s="49"/>
      <c r="S934" s="49"/>
      <c r="T934" s="49"/>
      <c r="U934" s="49"/>
      <c r="V934" s="49"/>
      <c r="W934" s="49"/>
      <c r="X934" s="49"/>
      <c r="Y934" s="49"/>
      <c r="Z934" s="49"/>
      <c r="AA934" s="49"/>
      <c r="AB934" s="49"/>
      <c r="AC934" s="49"/>
    </row>
    <row r="935" spans="1:29">
      <c r="A935" s="43"/>
      <c r="B935" s="43"/>
      <c r="C935" s="43"/>
      <c r="D935" s="43"/>
      <c r="E935" s="43"/>
      <c r="F935" s="43"/>
      <c r="G935" s="43"/>
      <c r="H935" s="43"/>
      <c r="I935" s="43"/>
      <c r="J935" s="43"/>
      <c r="K935" s="43"/>
      <c r="L935" s="43"/>
      <c r="M935" s="43"/>
      <c r="N935" s="43"/>
      <c r="O935" s="43"/>
      <c r="P935" s="43"/>
      <c r="Q935" s="43"/>
      <c r="R935" s="49"/>
      <c r="S935" s="49"/>
      <c r="T935" s="49"/>
      <c r="U935" s="49"/>
      <c r="V935" s="49"/>
      <c r="W935" s="49"/>
      <c r="X935" s="49"/>
      <c r="Y935" s="49"/>
      <c r="Z935" s="49"/>
      <c r="AA935" s="49"/>
      <c r="AB935" s="49"/>
      <c r="AC935" s="49"/>
    </row>
    <row r="936" spans="1:29">
      <c r="A936" s="43"/>
      <c r="B936" s="43"/>
      <c r="C936" s="43"/>
      <c r="D936" s="43"/>
      <c r="E936" s="43"/>
      <c r="F936" s="43"/>
      <c r="G936" s="43"/>
      <c r="H936" s="43"/>
      <c r="I936" s="43"/>
      <c r="J936" s="43"/>
      <c r="K936" s="43"/>
      <c r="L936" s="43"/>
      <c r="M936" s="43"/>
      <c r="N936" s="43"/>
      <c r="O936" s="43"/>
      <c r="P936" s="43"/>
      <c r="Q936" s="43"/>
      <c r="R936" s="49"/>
      <c r="S936" s="49"/>
      <c r="T936" s="49"/>
      <c r="U936" s="49"/>
      <c r="V936" s="49"/>
      <c r="W936" s="49"/>
      <c r="X936" s="49"/>
      <c r="Y936" s="49"/>
      <c r="Z936" s="49"/>
      <c r="AA936" s="49"/>
      <c r="AB936" s="49"/>
      <c r="AC936" s="49"/>
    </row>
    <row r="937" spans="1:29">
      <c r="A937" s="43"/>
      <c r="B937" s="43"/>
      <c r="C937" s="43"/>
      <c r="D937" s="43"/>
      <c r="E937" s="43"/>
      <c r="F937" s="43"/>
      <c r="G937" s="43"/>
      <c r="H937" s="43"/>
      <c r="I937" s="43"/>
      <c r="J937" s="43"/>
      <c r="K937" s="43"/>
      <c r="L937" s="43"/>
      <c r="M937" s="43"/>
      <c r="N937" s="43"/>
      <c r="O937" s="43"/>
      <c r="P937" s="43"/>
      <c r="Q937" s="43"/>
      <c r="R937" s="49"/>
      <c r="S937" s="49"/>
      <c r="T937" s="49"/>
      <c r="U937" s="49"/>
      <c r="V937" s="49"/>
      <c r="W937" s="49"/>
      <c r="X937" s="49"/>
      <c r="Y937" s="49"/>
      <c r="Z937" s="49"/>
      <c r="AA937" s="49"/>
      <c r="AB937" s="49"/>
      <c r="AC937" s="49"/>
    </row>
    <row r="938" spans="1:29">
      <c r="A938" s="43"/>
      <c r="B938" s="43"/>
      <c r="C938" s="43"/>
      <c r="D938" s="43"/>
      <c r="E938" s="43"/>
      <c r="F938" s="43"/>
      <c r="G938" s="43"/>
      <c r="H938" s="43"/>
      <c r="I938" s="43"/>
      <c r="J938" s="43"/>
      <c r="K938" s="43"/>
      <c r="L938" s="43"/>
      <c r="M938" s="43"/>
      <c r="N938" s="43"/>
      <c r="O938" s="43"/>
      <c r="P938" s="43"/>
      <c r="Q938" s="43"/>
      <c r="R938" s="49"/>
      <c r="S938" s="49"/>
      <c r="T938" s="49"/>
      <c r="U938" s="49"/>
      <c r="V938" s="49"/>
      <c r="W938" s="49"/>
      <c r="X938" s="49"/>
      <c r="Y938" s="49"/>
      <c r="Z938" s="49"/>
      <c r="AA938" s="49"/>
      <c r="AB938" s="49"/>
      <c r="AC938" s="49"/>
    </row>
    <row r="939" spans="1:29">
      <c r="A939" s="43"/>
      <c r="B939" s="43"/>
      <c r="C939" s="43"/>
      <c r="D939" s="43"/>
      <c r="E939" s="43"/>
      <c r="F939" s="43"/>
      <c r="G939" s="43"/>
      <c r="H939" s="43"/>
      <c r="I939" s="43"/>
      <c r="J939" s="43"/>
      <c r="K939" s="43"/>
      <c r="L939" s="43"/>
      <c r="M939" s="43"/>
      <c r="N939" s="43"/>
      <c r="O939" s="43"/>
      <c r="P939" s="43"/>
      <c r="Q939" s="43"/>
      <c r="R939" s="49"/>
      <c r="S939" s="49"/>
      <c r="T939" s="49"/>
      <c r="U939" s="49"/>
      <c r="V939" s="49"/>
      <c r="W939" s="49"/>
      <c r="X939" s="49"/>
      <c r="Y939" s="49"/>
      <c r="Z939" s="49"/>
      <c r="AA939" s="49"/>
      <c r="AB939" s="49"/>
      <c r="AC939" s="49"/>
    </row>
    <row r="940" spans="1:29">
      <c r="A940" s="43"/>
      <c r="B940" s="43"/>
      <c r="C940" s="43"/>
      <c r="D940" s="43"/>
      <c r="E940" s="43"/>
      <c r="F940" s="43"/>
      <c r="G940" s="43"/>
      <c r="H940" s="43"/>
      <c r="I940" s="43"/>
      <c r="J940" s="43"/>
      <c r="K940" s="43"/>
      <c r="L940" s="43"/>
      <c r="M940" s="43"/>
      <c r="N940" s="43"/>
      <c r="O940" s="43"/>
      <c r="P940" s="43"/>
      <c r="Q940" s="43"/>
      <c r="R940" s="49"/>
      <c r="S940" s="49"/>
      <c r="T940" s="49"/>
      <c r="U940" s="49"/>
      <c r="V940" s="49"/>
      <c r="W940" s="49"/>
      <c r="X940" s="49"/>
      <c r="Y940" s="49"/>
      <c r="Z940" s="49"/>
      <c r="AA940" s="49"/>
      <c r="AB940" s="49"/>
      <c r="AC940" s="49"/>
    </row>
    <row r="941" spans="1:29">
      <c r="A941" s="43"/>
      <c r="B941" s="43"/>
      <c r="C941" s="43"/>
      <c r="D941" s="43"/>
      <c r="E941" s="43"/>
      <c r="F941" s="43"/>
      <c r="G941" s="43"/>
      <c r="H941" s="43"/>
      <c r="I941" s="43"/>
      <c r="J941" s="43"/>
      <c r="K941" s="43"/>
      <c r="L941" s="43"/>
      <c r="M941" s="43"/>
      <c r="N941" s="43"/>
      <c r="O941" s="43"/>
      <c r="P941" s="43"/>
      <c r="Q941" s="43"/>
      <c r="R941" s="49"/>
      <c r="S941" s="49"/>
      <c r="T941" s="49"/>
      <c r="U941" s="49"/>
      <c r="V941" s="49"/>
      <c r="W941" s="49"/>
      <c r="X941" s="49"/>
      <c r="Y941" s="49"/>
      <c r="Z941" s="49"/>
      <c r="AA941" s="49"/>
      <c r="AB941" s="49"/>
      <c r="AC941" s="49"/>
    </row>
    <row r="942" spans="1:29">
      <c r="A942" s="43"/>
      <c r="B942" s="43"/>
      <c r="C942" s="43"/>
      <c r="D942" s="43"/>
      <c r="E942" s="43"/>
      <c r="F942" s="43"/>
      <c r="G942" s="43"/>
      <c r="H942" s="43"/>
      <c r="I942" s="43"/>
      <c r="J942" s="43"/>
      <c r="K942" s="43"/>
      <c r="L942" s="43"/>
      <c r="M942" s="43"/>
      <c r="N942" s="43"/>
      <c r="O942" s="43"/>
      <c r="P942" s="43"/>
      <c r="Q942" s="43"/>
      <c r="R942" s="49"/>
      <c r="S942" s="49"/>
      <c r="T942" s="49"/>
      <c r="U942" s="49"/>
      <c r="V942" s="49"/>
      <c r="W942" s="49"/>
      <c r="X942" s="49"/>
      <c r="Y942" s="49"/>
      <c r="Z942" s="49"/>
      <c r="AA942" s="49"/>
      <c r="AB942" s="49"/>
      <c r="AC942" s="49"/>
    </row>
    <row r="943" spans="1:29">
      <c r="A943" s="43"/>
      <c r="B943" s="43"/>
      <c r="C943" s="43"/>
      <c r="D943" s="43"/>
      <c r="E943" s="43"/>
      <c r="F943" s="43"/>
      <c r="G943" s="43"/>
      <c r="H943" s="43"/>
      <c r="I943" s="43"/>
      <c r="J943" s="43"/>
      <c r="K943" s="43"/>
      <c r="L943" s="43"/>
      <c r="M943" s="43"/>
      <c r="N943" s="43"/>
      <c r="O943" s="43"/>
      <c r="P943" s="43"/>
      <c r="Q943" s="43"/>
      <c r="R943" s="49"/>
      <c r="S943" s="49"/>
      <c r="T943" s="49"/>
      <c r="U943" s="49"/>
      <c r="V943" s="49"/>
      <c r="W943" s="49"/>
      <c r="X943" s="49"/>
      <c r="Y943" s="49"/>
      <c r="Z943" s="49"/>
      <c r="AA943" s="49"/>
      <c r="AB943" s="49"/>
      <c r="AC943" s="49"/>
    </row>
    <row r="944" spans="1:29">
      <c r="A944" s="43"/>
      <c r="B944" s="43"/>
      <c r="C944" s="43"/>
      <c r="D944" s="43"/>
      <c r="E944" s="43"/>
      <c r="F944" s="43"/>
      <c r="G944" s="43"/>
      <c r="H944" s="43"/>
      <c r="I944" s="43"/>
      <c r="J944" s="43"/>
      <c r="K944" s="43"/>
      <c r="L944" s="43"/>
      <c r="M944" s="43"/>
      <c r="N944" s="43"/>
      <c r="O944" s="43"/>
      <c r="P944" s="43"/>
      <c r="Q944" s="43"/>
      <c r="R944" s="49"/>
      <c r="S944" s="49"/>
      <c r="T944" s="49"/>
      <c r="U944" s="49"/>
      <c r="V944" s="49"/>
      <c r="W944" s="49"/>
      <c r="X944" s="49"/>
      <c r="Y944" s="49"/>
      <c r="Z944" s="49"/>
      <c r="AA944" s="49"/>
      <c r="AB944" s="49"/>
      <c r="AC944" s="49"/>
    </row>
    <row r="945" spans="1:29">
      <c r="A945" s="43"/>
      <c r="B945" s="43"/>
      <c r="C945" s="43"/>
      <c r="D945" s="43"/>
      <c r="E945" s="43"/>
      <c r="F945" s="43"/>
      <c r="G945" s="43"/>
      <c r="H945" s="43"/>
      <c r="I945" s="43"/>
      <c r="J945" s="43"/>
      <c r="K945" s="43"/>
      <c r="L945" s="43"/>
      <c r="M945" s="43"/>
      <c r="N945" s="43"/>
      <c r="O945" s="43"/>
      <c r="P945" s="43"/>
      <c r="Q945" s="43"/>
      <c r="R945" s="49"/>
      <c r="S945" s="49"/>
      <c r="T945" s="49"/>
      <c r="U945" s="49"/>
      <c r="V945" s="49"/>
      <c r="W945" s="49"/>
      <c r="X945" s="49"/>
      <c r="Y945" s="49"/>
      <c r="Z945" s="49"/>
      <c r="AA945" s="49"/>
      <c r="AB945" s="49"/>
      <c r="AC945" s="49"/>
    </row>
    <row r="946" spans="1:29">
      <c r="A946" s="43"/>
      <c r="B946" s="43"/>
      <c r="C946" s="43"/>
      <c r="D946" s="43"/>
      <c r="E946" s="43"/>
      <c r="F946" s="43"/>
      <c r="G946" s="43"/>
      <c r="H946" s="43"/>
      <c r="I946" s="43"/>
      <c r="J946" s="43"/>
      <c r="K946" s="43"/>
      <c r="L946" s="43"/>
      <c r="M946" s="43"/>
      <c r="N946" s="43"/>
      <c r="O946" s="43"/>
      <c r="P946" s="43"/>
      <c r="Q946" s="43"/>
      <c r="R946" s="49"/>
      <c r="S946" s="49"/>
      <c r="T946" s="49"/>
      <c r="U946" s="49"/>
      <c r="V946" s="49"/>
      <c r="W946" s="49"/>
      <c r="X946" s="49"/>
      <c r="Y946" s="49"/>
      <c r="Z946" s="49"/>
      <c r="AA946" s="49"/>
      <c r="AB946" s="49"/>
      <c r="AC946" s="49"/>
    </row>
    <row r="947" spans="1:29">
      <c r="A947" s="43"/>
      <c r="B947" s="43"/>
      <c r="C947" s="43"/>
      <c r="D947" s="43"/>
      <c r="E947" s="43"/>
      <c r="F947" s="43"/>
      <c r="G947" s="43"/>
      <c r="H947" s="43"/>
      <c r="I947" s="43"/>
      <c r="J947" s="43"/>
      <c r="K947" s="43"/>
      <c r="L947" s="43"/>
      <c r="M947" s="43"/>
      <c r="N947" s="43"/>
      <c r="O947" s="43"/>
      <c r="P947" s="43"/>
      <c r="Q947" s="43"/>
      <c r="R947" s="49"/>
      <c r="S947" s="49"/>
      <c r="T947" s="49"/>
      <c r="U947" s="49"/>
      <c r="V947" s="49"/>
      <c r="W947" s="49"/>
      <c r="X947" s="49"/>
      <c r="Y947" s="49"/>
      <c r="Z947" s="49"/>
      <c r="AA947" s="49"/>
      <c r="AB947" s="49"/>
      <c r="AC947" s="49"/>
    </row>
    <row r="948" spans="1:29">
      <c r="A948" s="43"/>
      <c r="B948" s="43"/>
      <c r="C948" s="43"/>
      <c r="D948" s="43"/>
      <c r="E948" s="43"/>
      <c r="F948" s="43"/>
      <c r="G948" s="43"/>
      <c r="H948" s="43"/>
      <c r="I948" s="43"/>
      <c r="J948" s="43"/>
      <c r="K948" s="43"/>
      <c r="L948" s="43"/>
      <c r="M948" s="43"/>
      <c r="N948" s="43"/>
      <c r="O948" s="43"/>
      <c r="P948" s="43"/>
      <c r="Q948" s="43"/>
      <c r="R948" s="49"/>
      <c r="S948" s="49"/>
      <c r="T948" s="49"/>
      <c r="U948" s="49"/>
      <c r="V948" s="49"/>
      <c r="W948" s="49"/>
      <c r="X948" s="49"/>
      <c r="Y948" s="49"/>
      <c r="Z948" s="49"/>
      <c r="AA948" s="49"/>
      <c r="AB948" s="49"/>
      <c r="AC948" s="49"/>
    </row>
    <row r="949" spans="1:29">
      <c r="A949" s="43"/>
      <c r="B949" s="43"/>
      <c r="C949" s="43"/>
      <c r="D949" s="43"/>
      <c r="E949" s="43"/>
      <c r="F949" s="43"/>
      <c r="G949" s="43"/>
      <c r="H949" s="43"/>
      <c r="I949" s="43"/>
      <c r="J949" s="43"/>
      <c r="K949" s="43"/>
      <c r="L949" s="43"/>
      <c r="M949" s="43"/>
      <c r="N949" s="43"/>
      <c r="O949" s="43"/>
      <c r="P949" s="43"/>
      <c r="Q949" s="43"/>
      <c r="R949" s="49"/>
      <c r="S949" s="49"/>
      <c r="T949" s="49"/>
      <c r="U949" s="49"/>
      <c r="V949" s="49"/>
      <c r="W949" s="49"/>
      <c r="X949" s="49"/>
      <c r="Y949" s="49"/>
      <c r="Z949" s="49"/>
      <c r="AA949" s="49"/>
      <c r="AB949" s="49"/>
      <c r="AC949" s="49"/>
    </row>
    <row r="950" spans="1:29">
      <c r="A950" s="43"/>
      <c r="B950" s="43"/>
      <c r="C950" s="43"/>
      <c r="D950" s="43"/>
      <c r="E950" s="43"/>
      <c r="F950" s="43"/>
      <c r="G950" s="43"/>
      <c r="H950" s="43"/>
      <c r="I950" s="43"/>
      <c r="J950" s="43"/>
      <c r="K950" s="43"/>
      <c r="L950" s="43"/>
      <c r="M950" s="43"/>
      <c r="N950" s="43"/>
      <c r="O950" s="43"/>
      <c r="P950" s="43"/>
      <c r="Q950" s="43"/>
      <c r="R950" s="49"/>
      <c r="S950" s="49"/>
      <c r="T950" s="49"/>
      <c r="U950" s="49"/>
      <c r="V950" s="49"/>
      <c r="W950" s="49"/>
      <c r="X950" s="49"/>
      <c r="Y950" s="49"/>
      <c r="Z950" s="49"/>
      <c r="AA950" s="49"/>
      <c r="AB950" s="49"/>
      <c r="AC950" s="49"/>
    </row>
    <row r="951" spans="1:29">
      <c r="A951" s="43"/>
      <c r="B951" s="43"/>
      <c r="C951" s="43"/>
      <c r="D951" s="43"/>
      <c r="E951" s="43"/>
      <c r="F951" s="43"/>
      <c r="G951" s="43"/>
      <c r="H951" s="43"/>
      <c r="I951" s="43"/>
      <c r="J951" s="43"/>
      <c r="K951" s="43"/>
      <c r="L951" s="43"/>
      <c r="M951" s="43"/>
      <c r="N951" s="43"/>
      <c r="O951" s="43"/>
      <c r="P951" s="43"/>
      <c r="Q951" s="43"/>
      <c r="R951" s="49"/>
      <c r="S951" s="49"/>
      <c r="T951" s="49"/>
      <c r="U951" s="49"/>
      <c r="V951" s="49"/>
      <c r="W951" s="49"/>
      <c r="X951" s="49"/>
      <c r="Y951" s="49"/>
      <c r="Z951" s="49"/>
      <c r="AA951" s="49"/>
      <c r="AB951" s="49"/>
      <c r="AC951" s="49"/>
    </row>
    <row r="952" spans="1:29">
      <c r="A952" s="43"/>
      <c r="B952" s="43"/>
      <c r="C952" s="43"/>
      <c r="D952" s="43"/>
      <c r="E952" s="43"/>
      <c r="F952" s="43"/>
      <c r="G952" s="43"/>
      <c r="H952" s="43"/>
      <c r="I952" s="43"/>
      <c r="J952" s="43"/>
      <c r="K952" s="43"/>
      <c r="L952" s="43"/>
      <c r="M952" s="43"/>
      <c r="N952" s="43"/>
      <c r="O952" s="43"/>
      <c r="P952" s="43"/>
      <c r="Q952" s="43"/>
      <c r="R952" s="49"/>
      <c r="S952" s="49"/>
      <c r="T952" s="49"/>
      <c r="U952" s="49"/>
      <c r="V952" s="49"/>
      <c r="W952" s="49"/>
      <c r="X952" s="49"/>
      <c r="Y952" s="49"/>
      <c r="Z952" s="49"/>
      <c r="AA952" s="49"/>
      <c r="AB952" s="49"/>
      <c r="AC952" s="49"/>
    </row>
    <row r="953" spans="1:29">
      <c r="A953" s="43"/>
      <c r="B953" s="43"/>
      <c r="C953" s="43"/>
      <c r="D953" s="43"/>
      <c r="E953" s="43"/>
      <c r="F953" s="43"/>
      <c r="G953" s="43"/>
      <c r="H953" s="43"/>
      <c r="I953" s="43"/>
      <c r="J953" s="43"/>
      <c r="K953" s="43"/>
      <c r="L953" s="43"/>
      <c r="M953" s="43"/>
      <c r="N953" s="43"/>
      <c r="O953" s="43"/>
      <c r="P953" s="43"/>
      <c r="Q953" s="43"/>
      <c r="R953" s="49"/>
      <c r="S953" s="49"/>
      <c r="T953" s="49"/>
      <c r="U953" s="49"/>
      <c r="V953" s="49"/>
      <c r="W953" s="49"/>
      <c r="X953" s="49"/>
      <c r="Y953" s="49"/>
      <c r="Z953" s="49"/>
      <c r="AA953" s="49"/>
      <c r="AB953" s="49"/>
      <c r="AC953" s="49"/>
    </row>
    <row r="954" spans="1:29">
      <c r="A954" s="43"/>
      <c r="B954" s="43"/>
      <c r="C954" s="43"/>
      <c r="D954" s="43"/>
      <c r="E954" s="43"/>
      <c r="F954" s="43"/>
      <c r="G954" s="43"/>
      <c r="H954" s="43"/>
      <c r="I954" s="43"/>
      <c r="J954" s="43"/>
      <c r="K954" s="43"/>
      <c r="L954" s="43"/>
      <c r="M954" s="43"/>
      <c r="N954" s="43"/>
      <c r="O954" s="43"/>
      <c r="P954" s="43"/>
      <c r="Q954" s="43"/>
      <c r="R954" s="49"/>
      <c r="S954" s="49"/>
      <c r="T954" s="49"/>
      <c r="U954" s="49"/>
      <c r="V954" s="49"/>
      <c r="W954" s="49"/>
      <c r="X954" s="49"/>
      <c r="Y954" s="49"/>
      <c r="Z954" s="49"/>
      <c r="AA954" s="49"/>
      <c r="AB954" s="49"/>
      <c r="AC954" s="49"/>
    </row>
    <row r="955" spans="1:29">
      <c r="A955" s="43"/>
      <c r="B955" s="43"/>
      <c r="C955" s="43"/>
      <c r="D955" s="43"/>
      <c r="E955" s="43"/>
      <c r="F955" s="43"/>
      <c r="G955" s="43"/>
      <c r="H955" s="43"/>
      <c r="I955" s="43"/>
      <c r="J955" s="43"/>
      <c r="K955" s="43"/>
      <c r="L955" s="43"/>
      <c r="M955" s="43"/>
      <c r="N955" s="43"/>
      <c r="O955" s="43"/>
      <c r="P955" s="43"/>
      <c r="Q955" s="43"/>
      <c r="R955" s="49"/>
      <c r="S955" s="49"/>
      <c r="T955" s="49"/>
      <c r="U955" s="49"/>
      <c r="V955" s="49"/>
      <c r="W955" s="49"/>
      <c r="X955" s="49"/>
      <c r="Y955" s="49"/>
      <c r="Z955" s="49"/>
      <c r="AA955" s="49"/>
      <c r="AB955" s="49"/>
      <c r="AC955" s="49"/>
    </row>
    <row r="956" spans="1:29">
      <c r="A956" s="43"/>
      <c r="B956" s="43"/>
      <c r="C956" s="43"/>
      <c r="D956" s="43"/>
      <c r="E956" s="43"/>
      <c r="F956" s="43"/>
      <c r="G956" s="43"/>
      <c r="H956" s="43"/>
      <c r="I956" s="43"/>
      <c r="J956" s="43"/>
      <c r="K956" s="43"/>
      <c r="L956" s="43"/>
      <c r="M956" s="43"/>
      <c r="N956" s="43"/>
      <c r="O956" s="43"/>
      <c r="P956" s="43"/>
      <c r="Q956" s="43"/>
      <c r="R956" s="49"/>
      <c r="S956" s="49"/>
      <c r="T956" s="49"/>
      <c r="U956" s="49"/>
      <c r="V956" s="49"/>
      <c r="W956" s="49"/>
      <c r="X956" s="49"/>
      <c r="Y956" s="49"/>
      <c r="Z956" s="49"/>
      <c r="AA956" s="49"/>
      <c r="AB956" s="49"/>
      <c r="AC956" s="49"/>
    </row>
    <row r="957" spans="1:29">
      <c r="A957" s="43"/>
      <c r="B957" s="43"/>
      <c r="C957" s="43"/>
      <c r="D957" s="43"/>
      <c r="E957" s="43"/>
      <c r="F957" s="43"/>
      <c r="G957" s="43"/>
      <c r="H957" s="43"/>
      <c r="I957" s="43"/>
      <c r="J957" s="43"/>
      <c r="K957" s="43"/>
      <c r="L957" s="43"/>
      <c r="M957" s="43"/>
      <c r="N957" s="43"/>
      <c r="O957" s="43"/>
      <c r="P957" s="43"/>
      <c r="Q957" s="43"/>
      <c r="R957" s="49"/>
      <c r="S957" s="49"/>
      <c r="T957" s="49"/>
      <c r="U957" s="49"/>
      <c r="V957" s="49"/>
      <c r="W957" s="49"/>
      <c r="X957" s="49"/>
      <c r="Y957" s="49"/>
      <c r="Z957" s="49"/>
      <c r="AA957" s="49"/>
      <c r="AB957" s="49"/>
      <c r="AC957" s="49"/>
    </row>
    <row r="958" spans="1:29">
      <c r="A958" s="43"/>
      <c r="B958" s="43"/>
      <c r="C958" s="43"/>
      <c r="D958" s="43"/>
      <c r="E958" s="43"/>
      <c r="F958" s="43"/>
      <c r="G958" s="43"/>
      <c r="H958" s="43"/>
      <c r="I958" s="43"/>
      <c r="J958" s="43"/>
      <c r="K958" s="43"/>
      <c r="L958" s="43"/>
      <c r="M958" s="43"/>
      <c r="N958" s="43"/>
      <c r="O958" s="43"/>
      <c r="P958" s="43"/>
      <c r="Q958" s="43"/>
      <c r="R958" s="49"/>
      <c r="S958" s="49"/>
      <c r="T958" s="49"/>
      <c r="U958" s="49"/>
      <c r="V958" s="49"/>
      <c r="W958" s="49"/>
      <c r="X958" s="49"/>
      <c r="Y958" s="49"/>
      <c r="Z958" s="49"/>
      <c r="AA958" s="49"/>
      <c r="AB958" s="49"/>
      <c r="AC958" s="49"/>
    </row>
    <row r="959" spans="1:29">
      <c r="A959" s="43"/>
      <c r="B959" s="43"/>
      <c r="C959" s="43"/>
      <c r="D959" s="43"/>
      <c r="E959" s="43"/>
      <c r="F959" s="43"/>
      <c r="G959" s="43"/>
      <c r="H959" s="43"/>
      <c r="I959" s="43"/>
      <c r="J959" s="43"/>
      <c r="K959" s="43"/>
      <c r="L959" s="43"/>
      <c r="M959" s="43"/>
      <c r="N959" s="43"/>
      <c r="O959" s="43"/>
      <c r="P959" s="43"/>
      <c r="Q959" s="43"/>
      <c r="R959" s="49"/>
      <c r="S959" s="49"/>
      <c r="T959" s="49"/>
      <c r="U959" s="49"/>
      <c r="V959" s="49"/>
      <c r="W959" s="49"/>
      <c r="X959" s="49"/>
      <c r="Y959" s="49"/>
      <c r="Z959" s="49"/>
      <c r="AA959" s="49"/>
      <c r="AB959" s="49"/>
      <c r="AC959" s="49"/>
    </row>
    <row r="960" spans="1:29">
      <c r="A960" s="43"/>
      <c r="B960" s="43"/>
      <c r="C960" s="43"/>
      <c r="D960" s="43"/>
      <c r="E960" s="43"/>
      <c r="F960" s="43"/>
      <c r="G960" s="43"/>
      <c r="H960" s="43"/>
      <c r="I960" s="43"/>
      <c r="J960" s="43"/>
      <c r="K960" s="43"/>
      <c r="L960" s="43"/>
      <c r="M960" s="43"/>
      <c r="N960" s="43"/>
      <c r="O960" s="43"/>
      <c r="P960" s="43"/>
      <c r="Q960" s="43"/>
      <c r="R960" s="49"/>
      <c r="S960" s="49"/>
      <c r="T960" s="49"/>
      <c r="U960" s="49"/>
      <c r="V960" s="49"/>
      <c r="W960" s="49"/>
      <c r="X960" s="49"/>
      <c r="Y960" s="49"/>
      <c r="Z960" s="49"/>
      <c r="AA960" s="49"/>
      <c r="AB960" s="49"/>
      <c r="AC960" s="49"/>
    </row>
    <row r="961" spans="1:29">
      <c r="A961" s="43"/>
      <c r="B961" s="43"/>
      <c r="C961" s="43"/>
      <c r="D961" s="43"/>
      <c r="E961" s="43"/>
      <c r="F961" s="43"/>
      <c r="G961" s="43"/>
      <c r="H961" s="43"/>
      <c r="I961" s="43"/>
      <c r="J961" s="43"/>
      <c r="K961" s="43"/>
      <c r="L961" s="43"/>
      <c r="M961" s="43"/>
      <c r="N961" s="43"/>
      <c r="O961" s="43"/>
      <c r="P961" s="43"/>
      <c r="Q961" s="43"/>
      <c r="R961" s="49"/>
      <c r="S961" s="49"/>
      <c r="T961" s="49"/>
      <c r="U961" s="49"/>
      <c r="V961" s="49"/>
      <c r="W961" s="49"/>
      <c r="X961" s="49"/>
      <c r="Y961" s="49"/>
      <c r="Z961" s="49"/>
      <c r="AA961" s="49"/>
      <c r="AB961" s="49"/>
      <c r="AC961" s="49"/>
    </row>
    <row r="962" spans="1:29">
      <c r="A962" s="43"/>
      <c r="B962" s="43"/>
      <c r="C962" s="43"/>
      <c r="D962" s="43"/>
      <c r="E962" s="43"/>
      <c r="F962" s="43"/>
      <c r="G962" s="43"/>
      <c r="H962" s="43"/>
      <c r="I962" s="43"/>
      <c r="J962" s="43"/>
      <c r="K962" s="43"/>
      <c r="L962" s="43"/>
      <c r="M962" s="43"/>
      <c r="N962" s="43"/>
      <c r="O962" s="43"/>
      <c r="P962" s="43"/>
      <c r="Q962" s="43"/>
      <c r="R962" s="49"/>
      <c r="S962" s="49"/>
      <c r="T962" s="49"/>
      <c r="U962" s="49"/>
      <c r="V962" s="49"/>
      <c r="W962" s="49"/>
      <c r="X962" s="49"/>
      <c r="Y962" s="49"/>
      <c r="Z962" s="49"/>
      <c r="AA962" s="49"/>
      <c r="AB962" s="49"/>
      <c r="AC962" s="49"/>
    </row>
    <row r="963" spans="1:29">
      <c r="A963" s="43"/>
      <c r="B963" s="43"/>
      <c r="C963" s="43"/>
      <c r="D963" s="43"/>
      <c r="E963" s="43"/>
      <c r="F963" s="43"/>
      <c r="G963" s="43"/>
      <c r="H963" s="43"/>
      <c r="I963" s="43"/>
      <c r="J963" s="43"/>
      <c r="K963" s="43"/>
      <c r="L963" s="43"/>
      <c r="M963" s="43"/>
      <c r="N963" s="43"/>
      <c r="O963" s="43"/>
      <c r="P963" s="43"/>
      <c r="Q963" s="43"/>
      <c r="R963" s="49"/>
      <c r="S963" s="49"/>
      <c r="T963" s="49"/>
      <c r="U963" s="49"/>
      <c r="V963" s="49"/>
      <c r="W963" s="49"/>
      <c r="X963" s="49"/>
      <c r="Y963" s="49"/>
      <c r="Z963" s="49"/>
      <c r="AA963" s="49"/>
      <c r="AB963" s="49"/>
      <c r="AC963" s="49"/>
    </row>
    <row r="964" spans="1:29">
      <c r="A964" s="43"/>
      <c r="B964" s="43"/>
      <c r="C964" s="43"/>
      <c r="D964" s="43"/>
      <c r="E964" s="43"/>
      <c r="F964" s="43"/>
      <c r="G964" s="43"/>
      <c r="H964" s="43"/>
      <c r="I964" s="43"/>
      <c r="J964" s="43"/>
      <c r="K964" s="43"/>
      <c r="L964" s="43"/>
      <c r="M964" s="43"/>
      <c r="N964" s="43"/>
      <c r="O964" s="43"/>
      <c r="P964" s="43"/>
      <c r="Q964" s="43"/>
      <c r="R964" s="49"/>
      <c r="S964" s="49"/>
      <c r="T964" s="49"/>
      <c r="U964" s="49"/>
      <c r="V964" s="49"/>
      <c r="W964" s="49"/>
      <c r="X964" s="49"/>
      <c r="Y964" s="49"/>
      <c r="Z964" s="49"/>
      <c r="AA964" s="49"/>
      <c r="AB964" s="49"/>
      <c r="AC964" s="49"/>
    </row>
    <row r="965" spans="1:29">
      <c r="A965" s="43"/>
      <c r="B965" s="43"/>
      <c r="C965" s="43"/>
      <c r="D965" s="43"/>
      <c r="E965" s="43"/>
      <c r="F965" s="43"/>
      <c r="G965" s="43"/>
      <c r="H965" s="43"/>
      <c r="I965" s="43"/>
      <c r="J965" s="43"/>
      <c r="K965" s="43"/>
      <c r="L965" s="43"/>
      <c r="M965" s="43"/>
      <c r="N965" s="43"/>
      <c r="O965" s="43"/>
      <c r="P965" s="43"/>
      <c r="Q965" s="43"/>
      <c r="R965" s="49"/>
      <c r="S965" s="49"/>
      <c r="T965" s="49"/>
      <c r="U965" s="49"/>
      <c r="V965" s="49"/>
      <c r="W965" s="49"/>
      <c r="X965" s="49"/>
      <c r="Y965" s="49"/>
      <c r="Z965" s="49"/>
      <c r="AA965" s="49"/>
      <c r="AB965" s="49"/>
      <c r="AC965" s="49"/>
    </row>
    <row r="966" spans="1:29">
      <c r="A966" s="43"/>
      <c r="B966" s="43"/>
      <c r="C966" s="43"/>
      <c r="D966" s="43"/>
      <c r="E966" s="43"/>
      <c r="F966" s="43"/>
      <c r="G966" s="43"/>
      <c r="H966" s="43"/>
      <c r="I966" s="43"/>
      <c r="J966" s="43"/>
      <c r="K966" s="43"/>
      <c r="L966" s="43"/>
      <c r="M966" s="43"/>
      <c r="N966" s="43"/>
      <c r="O966" s="43"/>
      <c r="P966" s="43"/>
      <c r="Q966" s="43"/>
      <c r="R966" s="49"/>
      <c r="S966" s="49"/>
      <c r="T966" s="49"/>
      <c r="U966" s="49"/>
      <c r="V966" s="49"/>
      <c r="W966" s="49"/>
      <c r="X966" s="49"/>
      <c r="Y966" s="49"/>
      <c r="Z966" s="49"/>
      <c r="AA966" s="49"/>
      <c r="AB966" s="49"/>
      <c r="AC966" s="49"/>
    </row>
    <row r="967" spans="1:29">
      <c r="A967" s="43"/>
      <c r="B967" s="43"/>
      <c r="C967" s="43"/>
      <c r="D967" s="43"/>
      <c r="E967" s="43"/>
      <c r="F967" s="43"/>
      <c r="G967" s="43"/>
      <c r="H967" s="43"/>
      <c r="I967" s="43"/>
      <c r="J967" s="43"/>
      <c r="K967" s="43"/>
      <c r="L967" s="43"/>
      <c r="M967" s="43"/>
      <c r="N967" s="43"/>
      <c r="O967" s="43"/>
      <c r="P967" s="43"/>
      <c r="Q967" s="43"/>
      <c r="R967" s="49"/>
      <c r="S967" s="49"/>
      <c r="T967" s="49"/>
      <c r="U967" s="49"/>
      <c r="V967" s="49"/>
      <c r="W967" s="49"/>
      <c r="X967" s="49"/>
      <c r="Y967" s="49"/>
      <c r="Z967" s="49"/>
      <c r="AA967" s="49"/>
      <c r="AB967" s="49"/>
      <c r="AC967" s="49"/>
    </row>
    <row r="968" spans="1:29">
      <c r="A968" s="43"/>
      <c r="B968" s="43"/>
      <c r="C968" s="43"/>
      <c r="D968" s="43"/>
      <c r="E968" s="43"/>
      <c r="F968" s="43"/>
      <c r="G968" s="43"/>
      <c r="H968" s="43"/>
      <c r="I968" s="43"/>
      <c r="J968" s="43"/>
      <c r="K968" s="43"/>
      <c r="L968" s="43"/>
      <c r="M968" s="43"/>
      <c r="N968" s="43"/>
      <c r="O968" s="43"/>
      <c r="P968" s="43"/>
      <c r="Q968" s="43"/>
      <c r="R968" s="49"/>
      <c r="S968" s="49"/>
      <c r="T968" s="49"/>
      <c r="U968" s="49"/>
      <c r="V968" s="49"/>
      <c r="W968" s="49"/>
      <c r="X968" s="49"/>
      <c r="Y968" s="49"/>
      <c r="Z968" s="49"/>
      <c r="AA968" s="49"/>
      <c r="AB968" s="49"/>
      <c r="AC968" s="49"/>
    </row>
    <row r="969" spans="1:29">
      <c r="A969" s="43"/>
      <c r="B969" s="43"/>
      <c r="C969" s="43"/>
      <c r="D969" s="43"/>
      <c r="E969" s="43"/>
      <c r="F969" s="43"/>
      <c r="G969" s="43"/>
      <c r="H969" s="43"/>
      <c r="I969" s="43"/>
      <c r="J969" s="43"/>
      <c r="K969" s="43"/>
      <c r="L969" s="43"/>
      <c r="M969" s="43"/>
      <c r="N969" s="43"/>
      <c r="O969" s="43"/>
      <c r="P969" s="43"/>
      <c r="Q969" s="43"/>
      <c r="R969" s="49"/>
      <c r="S969" s="49"/>
      <c r="T969" s="49"/>
      <c r="U969" s="49"/>
      <c r="V969" s="49"/>
      <c r="W969" s="49"/>
      <c r="X969" s="49"/>
      <c r="Y969" s="49"/>
      <c r="Z969" s="49"/>
      <c r="AA969" s="49"/>
      <c r="AB969" s="49"/>
      <c r="AC969" s="49"/>
    </row>
    <row r="970" spans="1:29">
      <c r="A970" s="43"/>
      <c r="B970" s="43"/>
      <c r="C970" s="43"/>
      <c r="D970" s="43"/>
      <c r="E970" s="43"/>
      <c r="F970" s="43"/>
      <c r="G970" s="43"/>
      <c r="H970" s="43"/>
      <c r="I970" s="43"/>
      <c r="J970" s="43"/>
      <c r="K970" s="43"/>
      <c r="L970" s="43"/>
      <c r="M970" s="43"/>
      <c r="N970" s="43"/>
      <c r="O970" s="43"/>
      <c r="P970" s="43"/>
      <c r="Q970" s="43"/>
      <c r="R970" s="49"/>
      <c r="S970" s="49"/>
      <c r="T970" s="49"/>
      <c r="U970" s="49"/>
      <c r="V970" s="49"/>
      <c r="W970" s="49"/>
      <c r="X970" s="49"/>
      <c r="Y970" s="49"/>
      <c r="Z970" s="49"/>
      <c r="AA970" s="49"/>
      <c r="AB970" s="49"/>
      <c r="AC970" s="49"/>
    </row>
    <row r="971" spans="1:29">
      <c r="A971" s="43"/>
      <c r="B971" s="43"/>
      <c r="C971" s="43"/>
      <c r="D971" s="43"/>
      <c r="E971" s="43"/>
      <c r="F971" s="43"/>
      <c r="G971" s="43"/>
      <c r="H971" s="43"/>
      <c r="I971" s="43"/>
      <c r="J971" s="43"/>
      <c r="K971" s="43"/>
      <c r="L971" s="43"/>
      <c r="M971" s="43"/>
      <c r="N971" s="43"/>
      <c r="O971" s="43"/>
      <c r="P971" s="43"/>
      <c r="Q971" s="43"/>
      <c r="R971" s="49"/>
      <c r="S971" s="49"/>
      <c r="T971" s="49"/>
      <c r="U971" s="49"/>
      <c r="V971" s="49"/>
      <c r="W971" s="49"/>
      <c r="X971" s="49"/>
      <c r="Y971" s="49"/>
      <c r="Z971" s="49"/>
      <c r="AA971" s="49"/>
      <c r="AB971" s="49"/>
      <c r="AC971" s="49"/>
    </row>
    <row r="972" spans="1:29">
      <c r="A972" s="43"/>
      <c r="B972" s="43"/>
      <c r="C972" s="43"/>
      <c r="D972" s="43"/>
      <c r="E972" s="43"/>
      <c r="F972" s="43"/>
      <c r="G972" s="43"/>
      <c r="H972" s="43"/>
      <c r="I972" s="43"/>
      <c r="J972" s="43"/>
      <c r="K972" s="43"/>
      <c r="L972" s="43"/>
      <c r="M972" s="43"/>
      <c r="N972" s="43"/>
      <c r="O972" s="43"/>
      <c r="P972" s="43"/>
      <c r="Q972" s="43"/>
      <c r="R972" s="49"/>
      <c r="S972" s="49"/>
      <c r="T972" s="49"/>
      <c r="U972" s="49"/>
      <c r="V972" s="49"/>
      <c r="W972" s="49"/>
      <c r="X972" s="49"/>
      <c r="Y972" s="49"/>
      <c r="Z972" s="49"/>
      <c r="AA972" s="49"/>
      <c r="AB972" s="49"/>
      <c r="AC972" s="49"/>
    </row>
    <row r="973" spans="1:29">
      <c r="A973" s="43"/>
      <c r="B973" s="43"/>
      <c r="C973" s="43"/>
      <c r="D973" s="43"/>
      <c r="E973" s="43"/>
      <c r="F973" s="43"/>
      <c r="G973" s="43"/>
      <c r="H973" s="43"/>
      <c r="I973" s="43"/>
      <c r="J973" s="43"/>
      <c r="K973" s="43"/>
      <c r="L973" s="43"/>
      <c r="M973" s="43"/>
      <c r="N973" s="43"/>
      <c r="O973" s="43"/>
      <c r="P973" s="43"/>
      <c r="Q973" s="43"/>
      <c r="R973" s="49"/>
      <c r="S973" s="49"/>
      <c r="T973" s="49"/>
      <c r="U973" s="49"/>
      <c r="V973" s="49"/>
      <c r="W973" s="49"/>
      <c r="X973" s="49"/>
      <c r="Y973" s="49"/>
      <c r="Z973" s="49"/>
      <c r="AA973" s="49"/>
      <c r="AB973" s="49"/>
      <c r="AC973" s="49"/>
    </row>
    <row r="974" spans="1:29">
      <c r="A974" s="43"/>
      <c r="B974" s="43"/>
      <c r="C974" s="43"/>
      <c r="D974" s="43"/>
      <c r="E974" s="43"/>
      <c r="F974" s="43"/>
      <c r="G974" s="43"/>
      <c r="H974" s="43"/>
      <c r="I974" s="43"/>
      <c r="J974" s="43"/>
      <c r="K974" s="43"/>
      <c r="L974" s="43"/>
      <c r="M974" s="43"/>
      <c r="N974" s="43"/>
      <c r="O974" s="43"/>
      <c r="P974" s="43"/>
      <c r="Q974" s="43"/>
      <c r="R974" s="49"/>
      <c r="S974" s="49"/>
      <c r="T974" s="49"/>
      <c r="U974" s="49"/>
      <c r="V974" s="49"/>
      <c r="W974" s="49"/>
      <c r="X974" s="49"/>
      <c r="Y974" s="49"/>
      <c r="Z974" s="49"/>
      <c r="AA974" s="49"/>
      <c r="AB974" s="49"/>
      <c r="AC974" s="49"/>
    </row>
    <row r="975" spans="1:29">
      <c r="A975" s="43"/>
      <c r="B975" s="43"/>
      <c r="C975" s="43"/>
      <c r="D975" s="43"/>
      <c r="E975" s="43"/>
      <c r="F975" s="43"/>
      <c r="G975" s="43"/>
      <c r="H975" s="43"/>
      <c r="I975" s="43"/>
      <c r="J975" s="43"/>
      <c r="K975" s="43"/>
      <c r="L975" s="43"/>
      <c r="M975" s="43"/>
      <c r="N975" s="43"/>
      <c r="O975" s="43"/>
      <c r="P975" s="43"/>
      <c r="Q975" s="43"/>
      <c r="R975" s="49"/>
      <c r="S975" s="49"/>
      <c r="T975" s="49"/>
      <c r="U975" s="49"/>
      <c r="V975" s="49"/>
      <c r="W975" s="49"/>
      <c r="X975" s="49"/>
      <c r="Y975" s="49"/>
      <c r="Z975" s="49"/>
      <c r="AA975" s="49"/>
      <c r="AB975" s="49"/>
      <c r="AC975" s="49"/>
    </row>
    <row r="976" spans="1:29">
      <c r="A976" s="43"/>
      <c r="B976" s="43"/>
      <c r="C976" s="43"/>
      <c r="D976" s="43"/>
      <c r="E976" s="43"/>
      <c r="F976" s="43"/>
      <c r="G976" s="43"/>
      <c r="H976" s="43"/>
      <c r="I976" s="43"/>
      <c r="J976" s="43"/>
      <c r="K976" s="43"/>
      <c r="L976" s="43"/>
      <c r="M976" s="43"/>
      <c r="N976" s="43"/>
      <c r="O976" s="43"/>
      <c r="P976" s="43"/>
      <c r="Q976" s="43"/>
      <c r="R976" s="49"/>
      <c r="S976" s="49"/>
      <c r="T976" s="49"/>
      <c r="U976" s="49"/>
      <c r="V976" s="49"/>
      <c r="W976" s="49"/>
      <c r="X976" s="49"/>
      <c r="Y976" s="49"/>
      <c r="Z976" s="49"/>
      <c r="AA976" s="49"/>
      <c r="AB976" s="49"/>
      <c r="AC976" s="49"/>
    </row>
    <row r="977" spans="1:29">
      <c r="A977" s="43"/>
      <c r="B977" s="43"/>
      <c r="C977" s="43"/>
      <c r="D977" s="43"/>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row>
    <row r="978" spans="1:29">
      <c r="A978" s="43"/>
      <c r="B978" s="43"/>
      <c r="C978" s="43"/>
      <c r="D978" s="43"/>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row>
    <row r="979" spans="1:29">
      <c r="A979" s="43"/>
      <c r="B979" s="43"/>
      <c r="C979" s="43"/>
      <c r="D979" s="43"/>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row>
    <row r="980" spans="1:29">
      <c r="A980" s="43"/>
      <c r="B980" s="43"/>
      <c r="C980" s="43"/>
      <c r="D980" s="43"/>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row>
    <row r="981" spans="1:29">
      <c r="A981" s="43"/>
      <c r="B981" s="43"/>
      <c r="C981" s="43"/>
      <c r="D981" s="43"/>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row>
    <row r="982" spans="1:29">
      <c r="A982" s="43"/>
      <c r="B982" s="43"/>
      <c r="C982" s="43"/>
      <c r="D982" s="43"/>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row>
    <row r="983" spans="1:29">
      <c r="A983" s="43"/>
      <c r="B983" s="43"/>
      <c r="C983" s="43"/>
      <c r="D983" s="43"/>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row>
    <row r="984" spans="1:29">
      <c r="A984" s="43"/>
      <c r="B984" s="43"/>
      <c r="C984" s="43"/>
      <c r="D984" s="43"/>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row>
    <row r="985" spans="1:29">
      <c r="A985" s="43"/>
      <c r="B985" s="43"/>
      <c r="C985" s="43"/>
      <c r="D985" s="43"/>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row>
    <row r="986" spans="1:29">
      <c r="A986" s="43"/>
      <c r="B986" s="43"/>
      <c r="C986" s="43"/>
      <c r="D986" s="43"/>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row>
    <row r="987" spans="1:29">
      <c r="A987" s="43"/>
      <c r="B987" s="43"/>
      <c r="C987" s="43"/>
      <c r="D987" s="43"/>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row>
    <row r="988" spans="1:29">
      <c r="A988" s="43"/>
      <c r="B988" s="43"/>
      <c r="C988" s="43"/>
      <c r="D988" s="43"/>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row>
    <row r="989" spans="1:29">
      <c r="A989" s="43"/>
      <c r="B989" s="43"/>
      <c r="C989" s="43"/>
      <c r="D989" s="43"/>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row>
    <row r="990" spans="1:29">
      <c r="A990" s="43"/>
      <c r="B990" s="43"/>
      <c r="C990" s="43"/>
      <c r="D990" s="43"/>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row>
    <row r="991" spans="1:29">
      <c r="A991" s="43"/>
      <c r="B991" s="43"/>
      <c r="C991" s="43"/>
      <c r="D991" s="43"/>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row>
    <row r="992" spans="1:29">
      <c r="A992" s="43"/>
      <c r="B992" s="43"/>
      <c r="C992" s="43"/>
      <c r="D992" s="43"/>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row>
    <row r="993" spans="1:29">
      <c r="A993" s="43"/>
      <c r="B993" s="43"/>
      <c r="C993" s="43"/>
      <c r="D993" s="43"/>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row>
    <row r="994" spans="1:29">
      <c r="A994" s="43"/>
      <c r="B994" s="43"/>
      <c r="C994" s="43"/>
      <c r="D994" s="43"/>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row>
    <row r="995" spans="1:29">
      <c r="A995" s="43"/>
      <c r="B995" s="43"/>
      <c r="C995" s="43"/>
      <c r="D995" s="43"/>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row>
    <row r="996" spans="1:29">
      <c r="A996" s="43"/>
      <c r="B996" s="43"/>
      <c r="C996" s="43"/>
      <c r="D996" s="43"/>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row>
    <row r="997" spans="1:29">
      <c r="A997" s="43"/>
      <c r="B997" s="43"/>
      <c r="C997" s="43"/>
      <c r="D997" s="43"/>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row>
    <row r="998" spans="1:29">
      <c r="A998" s="43"/>
      <c r="B998" s="43"/>
      <c r="C998" s="43"/>
      <c r="D998" s="43"/>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row>
    <row r="999" spans="1:29">
      <c r="A999" s="43"/>
      <c r="B999" s="49"/>
      <c r="C999" s="49"/>
      <c r="D999" s="43"/>
      <c r="E999" s="49"/>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row>
    <row r="1000" spans="1:29">
      <c r="A1000" s="43"/>
      <c r="B1000" s="49"/>
      <c r="C1000" s="49"/>
      <c r="D1000" s="43"/>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row>
    <row r="1001" spans="1:29">
      <c r="A1001" s="43"/>
      <c r="B1001" s="49"/>
      <c r="C1001" s="49"/>
      <c r="D1001" s="43"/>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row>
    <row r="1002" spans="1:29">
      <c r="A1002" s="43"/>
      <c r="B1002" s="49"/>
      <c r="C1002" s="49"/>
      <c r="D1002" s="43"/>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c r="AA1002" s="49"/>
      <c r="AB1002" s="49"/>
      <c r="AC1002" s="49"/>
    </row>
    <row r="1003" spans="1:29">
      <c r="A1003" s="43"/>
      <c r="B1003" s="49"/>
      <c r="C1003" s="49"/>
      <c r="D1003" s="43"/>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c r="AA1003" s="49"/>
      <c r="AB1003" s="49"/>
      <c r="AC1003" s="49"/>
    </row>
    <row r="1004" spans="1:29">
      <c r="A1004" s="49"/>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c r="AA1004" s="49"/>
      <c r="AB1004" s="49"/>
      <c r="AC1004" s="49"/>
    </row>
    <row r="1005" spans="1:29">
      <c r="A1005" s="49"/>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c r="AA1005" s="49"/>
      <c r="AB1005" s="49"/>
      <c r="AC1005" s="49"/>
    </row>
    <row r="1006" spans="1:29">
      <c r="A1006" s="49"/>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c r="AA1006" s="49"/>
      <c r="AB1006" s="49"/>
      <c r="AC1006" s="49"/>
    </row>
    <row r="1007" spans="1:29">
      <c r="A1007" s="49"/>
      <c r="B1007" s="49"/>
      <c r="C1007" s="49"/>
      <c r="D1007" s="49"/>
      <c r="T1007" s="49"/>
      <c r="U1007" s="49"/>
      <c r="V1007" s="49"/>
      <c r="W1007" s="49"/>
      <c r="X1007" s="49"/>
      <c r="Y1007" s="49"/>
      <c r="Z1007" s="49"/>
      <c r="AA1007" s="49"/>
      <c r="AB1007" s="49"/>
      <c r="AC1007" s="49"/>
    </row>
  </sheetData>
  <mergeCells count="20">
    <mergeCell ref="B1:C1"/>
    <mergeCell ref="F1:Q1"/>
    <mergeCell ref="E3:E4"/>
    <mergeCell ref="F3:G3"/>
    <mergeCell ref="B12:C12"/>
    <mergeCell ref="B13:C14"/>
    <mergeCell ref="F13:G13"/>
    <mergeCell ref="F34:G34"/>
    <mergeCell ref="F35:G35"/>
    <mergeCell ref="F36:G36"/>
    <mergeCell ref="B22:C22"/>
    <mergeCell ref="F37:G37"/>
    <mergeCell ref="F39:G39"/>
    <mergeCell ref="F42:H42"/>
    <mergeCell ref="E14:E17"/>
    <mergeCell ref="E18:E22"/>
    <mergeCell ref="F30:G30"/>
    <mergeCell ref="F31:G31"/>
    <mergeCell ref="F32:G32"/>
    <mergeCell ref="F33:G33"/>
  </mergeCells>
  <pageMargins left="0.511811024" right="0.511811024" top="0.78740157499999996" bottom="0.78740157499999996"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D10:G12"/>
  <sheetViews>
    <sheetView workbookViewId="0"/>
  </sheetViews>
  <sheetFormatPr defaultColWidth="14.42578125" defaultRowHeight="15" customHeight="1"/>
  <sheetData>
    <row r="10" spans="4:7" ht="15" customHeight="1">
      <c r="D10" s="72" t="s">
        <v>39</v>
      </c>
      <c r="E10" s="72" t="s">
        <v>40</v>
      </c>
      <c r="F10" s="72" t="s">
        <v>41</v>
      </c>
      <c r="G10" s="72" t="s">
        <v>42</v>
      </c>
    </row>
    <row r="11" spans="4:7" ht="15" customHeight="1">
      <c r="D11" s="92">
        <v>50625</v>
      </c>
      <c r="E11" s="92">
        <v>66825</v>
      </c>
      <c r="F11" s="92">
        <v>89100</v>
      </c>
      <c r="G11" s="92">
        <v>121500</v>
      </c>
    </row>
    <row r="12" spans="4:7" ht="15" customHeight="1">
      <c r="E12" s="414">
        <f t="shared" ref="E12:G12" si="0">E11/D11-100%</f>
        <v>0.32000000000000006</v>
      </c>
      <c r="F12" s="414">
        <f t="shared" si="0"/>
        <v>0.33333333333333326</v>
      </c>
      <c r="G12" s="414">
        <f t="shared" si="0"/>
        <v>0.36363636363636354</v>
      </c>
    </row>
  </sheetData>
  <pageMargins left="0.511811024" right="0.511811024" top="0.78740157499999996" bottom="0.78740157499999996"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C5:R78"/>
  <sheetViews>
    <sheetView showGridLines="0" workbookViewId="0"/>
  </sheetViews>
  <sheetFormatPr defaultColWidth="14.42578125" defaultRowHeight="15" customHeight="1"/>
  <cols>
    <col min="1" max="1" width="33.28515625" customWidth="1"/>
    <col min="3" max="3" width="14.42578125" hidden="1"/>
    <col min="7" max="11" width="14.42578125" hidden="1"/>
    <col min="18" max="18" width="51.5703125" customWidth="1"/>
  </cols>
  <sheetData>
    <row r="5" spans="16:18" ht="15" customHeight="1">
      <c r="P5" s="342">
        <f t="shared" ref="P5:P78" si="0">SUM(D5,E5,F5)</f>
        <v>0</v>
      </c>
      <c r="Q5" s="415" t="e">
        <f t="shared" ref="Q5:Q78" si="1">P5/$P$78</f>
        <v>#DIV/0!</v>
      </c>
      <c r="R5" s="49">
        <f t="shared" ref="R5:R77" si="2">A5</f>
        <v>0</v>
      </c>
    </row>
    <row r="6" spans="16:18" ht="15" customHeight="1">
      <c r="P6" s="342">
        <f t="shared" si="0"/>
        <v>0</v>
      </c>
      <c r="Q6" s="415" t="e">
        <f t="shared" si="1"/>
        <v>#DIV/0!</v>
      </c>
      <c r="R6" s="49">
        <f t="shared" si="2"/>
        <v>0</v>
      </c>
    </row>
    <row r="7" spans="16:18" ht="15" customHeight="1">
      <c r="P7" s="342">
        <f t="shared" si="0"/>
        <v>0</v>
      </c>
      <c r="Q7" s="415" t="e">
        <f t="shared" si="1"/>
        <v>#DIV/0!</v>
      </c>
      <c r="R7" s="49">
        <f t="shared" si="2"/>
        <v>0</v>
      </c>
    </row>
    <row r="8" spans="16:18" ht="15" customHeight="1">
      <c r="P8" s="49">
        <f t="shared" si="0"/>
        <v>0</v>
      </c>
      <c r="Q8" s="415" t="e">
        <f t="shared" si="1"/>
        <v>#DIV/0!</v>
      </c>
      <c r="R8" s="143">
        <f t="shared" si="2"/>
        <v>0</v>
      </c>
    </row>
    <row r="9" spans="16:18" ht="15" customHeight="1">
      <c r="P9" s="342">
        <f t="shared" si="0"/>
        <v>0</v>
      </c>
      <c r="Q9" s="415" t="e">
        <f t="shared" si="1"/>
        <v>#DIV/0!</v>
      </c>
      <c r="R9" s="143">
        <f t="shared" si="2"/>
        <v>0</v>
      </c>
    </row>
    <row r="10" spans="16:18" ht="15" customHeight="1">
      <c r="P10" s="342">
        <f t="shared" si="0"/>
        <v>0</v>
      </c>
      <c r="Q10" s="415" t="e">
        <f t="shared" si="1"/>
        <v>#DIV/0!</v>
      </c>
      <c r="R10" s="49">
        <f t="shared" si="2"/>
        <v>0</v>
      </c>
    </row>
    <row r="11" spans="16:18" ht="15" customHeight="1">
      <c r="P11" s="342">
        <f t="shared" si="0"/>
        <v>0</v>
      </c>
      <c r="Q11" s="415" t="e">
        <f t="shared" si="1"/>
        <v>#DIV/0!</v>
      </c>
      <c r="R11" s="49">
        <f t="shared" si="2"/>
        <v>0</v>
      </c>
    </row>
    <row r="12" spans="16:18" ht="15" customHeight="1">
      <c r="P12" s="342">
        <f t="shared" si="0"/>
        <v>0</v>
      </c>
      <c r="Q12" s="415" t="e">
        <f t="shared" si="1"/>
        <v>#DIV/0!</v>
      </c>
      <c r="R12" s="49">
        <f t="shared" si="2"/>
        <v>0</v>
      </c>
    </row>
    <row r="13" spans="16:18" ht="15" customHeight="1">
      <c r="P13" s="342">
        <f t="shared" si="0"/>
        <v>0</v>
      </c>
      <c r="Q13" s="415" t="e">
        <f t="shared" si="1"/>
        <v>#DIV/0!</v>
      </c>
      <c r="R13" s="143">
        <f t="shared" si="2"/>
        <v>0</v>
      </c>
    </row>
    <row r="14" spans="16:18" ht="15" customHeight="1">
      <c r="P14" s="342">
        <f t="shared" si="0"/>
        <v>0</v>
      </c>
      <c r="Q14" s="415" t="e">
        <f t="shared" si="1"/>
        <v>#DIV/0!</v>
      </c>
      <c r="R14" s="143">
        <f t="shared" si="2"/>
        <v>0</v>
      </c>
    </row>
    <row r="15" spans="16:18" ht="15" customHeight="1">
      <c r="P15" s="342">
        <f t="shared" si="0"/>
        <v>0</v>
      </c>
      <c r="Q15" s="415" t="e">
        <f t="shared" si="1"/>
        <v>#DIV/0!</v>
      </c>
      <c r="R15" s="49">
        <f t="shared" si="2"/>
        <v>0</v>
      </c>
    </row>
    <row r="16" spans="16:18" ht="15" customHeight="1">
      <c r="P16" s="342">
        <f t="shared" si="0"/>
        <v>0</v>
      </c>
      <c r="Q16" s="415" t="e">
        <f t="shared" si="1"/>
        <v>#DIV/0!</v>
      </c>
      <c r="R16" s="49">
        <f t="shared" si="2"/>
        <v>0</v>
      </c>
    </row>
    <row r="17" spans="16:18" ht="15" customHeight="1">
      <c r="P17" s="342">
        <f t="shared" si="0"/>
        <v>0</v>
      </c>
      <c r="Q17" s="415" t="e">
        <f t="shared" si="1"/>
        <v>#DIV/0!</v>
      </c>
      <c r="R17" s="49">
        <f t="shared" si="2"/>
        <v>0</v>
      </c>
    </row>
    <row r="18" spans="16:18" ht="15" customHeight="1">
      <c r="P18" s="342">
        <f t="shared" si="0"/>
        <v>0</v>
      </c>
      <c r="Q18" s="415" t="e">
        <f t="shared" si="1"/>
        <v>#DIV/0!</v>
      </c>
      <c r="R18" s="143">
        <f t="shared" si="2"/>
        <v>0</v>
      </c>
    </row>
    <row r="19" spans="16:18" ht="15" customHeight="1">
      <c r="P19" s="49">
        <f t="shared" si="0"/>
        <v>0</v>
      </c>
      <c r="Q19" s="415" t="e">
        <f t="shared" si="1"/>
        <v>#DIV/0!</v>
      </c>
      <c r="R19" s="143">
        <f t="shared" si="2"/>
        <v>0</v>
      </c>
    </row>
    <row r="20" spans="16:18" ht="15" customHeight="1">
      <c r="P20" s="342">
        <f t="shared" si="0"/>
        <v>0</v>
      </c>
      <c r="Q20" s="415" t="e">
        <f t="shared" si="1"/>
        <v>#DIV/0!</v>
      </c>
      <c r="R20" s="143">
        <f t="shared" si="2"/>
        <v>0</v>
      </c>
    </row>
    <row r="21" spans="16:18" ht="15" customHeight="1">
      <c r="P21" s="342">
        <f t="shared" si="0"/>
        <v>0</v>
      </c>
      <c r="Q21" s="415" t="e">
        <f t="shared" si="1"/>
        <v>#DIV/0!</v>
      </c>
      <c r="R21" s="49">
        <f t="shared" si="2"/>
        <v>0</v>
      </c>
    </row>
    <row r="22" spans="16:18" ht="15" customHeight="1">
      <c r="P22" s="342">
        <f t="shared" si="0"/>
        <v>0</v>
      </c>
      <c r="Q22" s="415" t="e">
        <f t="shared" si="1"/>
        <v>#DIV/0!</v>
      </c>
      <c r="R22" s="49">
        <f t="shared" si="2"/>
        <v>0</v>
      </c>
    </row>
    <row r="23" spans="16:18" ht="15" customHeight="1">
      <c r="P23" s="342">
        <f t="shared" si="0"/>
        <v>0</v>
      </c>
      <c r="Q23" s="415" t="e">
        <f t="shared" si="1"/>
        <v>#DIV/0!</v>
      </c>
      <c r="R23" s="49">
        <f t="shared" si="2"/>
        <v>0</v>
      </c>
    </row>
    <row r="24" spans="16:18" ht="15" customHeight="1">
      <c r="P24" s="49">
        <f t="shared" si="0"/>
        <v>0</v>
      </c>
      <c r="Q24" s="415" t="e">
        <f t="shared" si="1"/>
        <v>#DIV/0!</v>
      </c>
      <c r="R24" s="143">
        <f t="shared" si="2"/>
        <v>0</v>
      </c>
    </row>
    <row r="25" spans="16:18" ht="15" customHeight="1">
      <c r="P25" s="342">
        <f t="shared" si="0"/>
        <v>0</v>
      </c>
      <c r="Q25" s="415" t="e">
        <f t="shared" si="1"/>
        <v>#DIV/0!</v>
      </c>
      <c r="R25" s="143">
        <f t="shared" si="2"/>
        <v>0</v>
      </c>
    </row>
    <row r="26" spans="16:18" ht="15" customHeight="1">
      <c r="P26" s="342">
        <f t="shared" si="0"/>
        <v>0</v>
      </c>
      <c r="Q26" s="415" t="e">
        <f t="shared" si="1"/>
        <v>#DIV/0!</v>
      </c>
      <c r="R26" s="49">
        <f t="shared" si="2"/>
        <v>0</v>
      </c>
    </row>
    <row r="27" spans="16:18" ht="15" customHeight="1">
      <c r="P27" s="49">
        <f t="shared" si="0"/>
        <v>0</v>
      </c>
      <c r="Q27" s="415" t="e">
        <f t="shared" si="1"/>
        <v>#DIV/0!</v>
      </c>
      <c r="R27" s="143">
        <f t="shared" si="2"/>
        <v>0</v>
      </c>
    </row>
    <row r="28" spans="16:18" ht="15" customHeight="1">
      <c r="P28" s="49">
        <f t="shared" si="0"/>
        <v>0</v>
      </c>
      <c r="Q28" s="415" t="e">
        <f t="shared" si="1"/>
        <v>#DIV/0!</v>
      </c>
      <c r="R28" s="49">
        <f t="shared" si="2"/>
        <v>0</v>
      </c>
    </row>
    <row r="29" spans="16:18" ht="15" customHeight="1">
      <c r="P29" s="49">
        <f t="shared" si="0"/>
        <v>0</v>
      </c>
      <c r="Q29" s="415" t="e">
        <f t="shared" si="1"/>
        <v>#DIV/0!</v>
      </c>
      <c r="R29" s="143">
        <f t="shared" si="2"/>
        <v>0</v>
      </c>
    </row>
    <row r="30" spans="16:18" ht="15" customHeight="1">
      <c r="P30" s="49">
        <f t="shared" si="0"/>
        <v>0</v>
      </c>
      <c r="Q30" s="415" t="e">
        <f t="shared" si="1"/>
        <v>#DIV/0!</v>
      </c>
      <c r="R30" s="49">
        <f t="shared" si="2"/>
        <v>0</v>
      </c>
    </row>
    <row r="31" spans="16:18" ht="15" customHeight="1">
      <c r="P31" s="342">
        <f t="shared" si="0"/>
        <v>0</v>
      </c>
      <c r="Q31" s="415" t="e">
        <f t="shared" si="1"/>
        <v>#DIV/0!</v>
      </c>
      <c r="R31" s="49">
        <f t="shared" si="2"/>
        <v>0</v>
      </c>
    </row>
    <row r="32" spans="16:18" ht="15" customHeight="1">
      <c r="P32" s="342">
        <f t="shared" si="0"/>
        <v>0</v>
      </c>
      <c r="Q32" s="415" t="e">
        <f t="shared" si="1"/>
        <v>#DIV/0!</v>
      </c>
      <c r="R32" s="49">
        <f t="shared" si="2"/>
        <v>0</v>
      </c>
    </row>
    <row r="33" spans="16:18" ht="15" customHeight="1">
      <c r="P33" s="49">
        <f t="shared" si="0"/>
        <v>0</v>
      </c>
      <c r="Q33" s="415" t="e">
        <f t="shared" si="1"/>
        <v>#DIV/0!</v>
      </c>
      <c r="R33" s="49">
        <f t="shared" si="2"/>
        <v>0</v>
      </c>
    </row>
    <row r="34" spans="16:18" ht="15" customHeight="1">
      <c r="P34" s="342">
        <f t="shared" si="0"/>
        <v>0</v>
      </c>
      <c r="Q34" s="415" t="e">
        <f t="shared" si="1"/>
        <v>#DIV/0!</v>
      </c>
      <c r="R34" s="49">
        <f t="shared" si="2"/>
        <v>0</v>
      </c>
    </row>
    <row r="35" spans="16:18" ht="15" customHeight="1">
      <c r="P35" s="342">
        <f t="shared" si="0"/>
        <v>0</v>
      </c>
      <c r="Q35" s="415" t="e">
        <f t="shared" si="1"/>
        <v>#DIV/0!</v>
      </c>
      <c r="R35" s="49">
        <f t="shared" si="2"/>
        <v>0</v>
      </c>
    </row>
    <row r="36" spans="16:18" ht="15" customHeight="1">
      <c r="P36" s="342">
        <f t="shared" si="0"/>
        <v>0</v>
      </c>
      <c r="Q36" s="415" t="e">
        <f t="shared" si="1"/>
        <v>#DIV/0!</v>
      </c>
      <c r="R36" s="143">
        <f t="shared" si="2"/>
        <v>0</v>
      </c>
    </row>
    <row r="37" spans="16:18" ht="15" customHeight="1">
      <c r="P37" s="342">
        <f t="shared" si="0"/>
        <v>0</v>
      </c>
      <c r="Q37" s="415" t="e">
        <f t="shared" si="1"/>
        <v>#DIV/0!</v>
      </c>
      <c r="R37" s="49">
        <f t="shared" si="2"/>
        <v>0</v>
      </c>
    </row>
    <row r="38" spans="16:18">
      <c r="P38" s="49">
        <f t="shared" si="0"/>
        <v>0</v>
      </c>
      <c r="Q38" s="415" t="e">
        <f t="shared" si="1"/>
        <v>#DIV/0!</v>
      </c>
      <c r="R38" s="49">
        <f t="shared" si="2"/>
        <v>0</v>
      </c>
    </row>
    <row r="39" spans="16:18">
      <c r="P39" s="342">
        <f t="shared" si="0"/>
        <v>0</v>
      </c>
      <c r="Q39" s="415" t="e">
        <f t="shared" si="1"/>
        <v>#DIV/0!</v>
      </c>
      <c r="R39" s="143">
        <f t="shared" si="2"/>
        <v>0</v>
      </c>
    </row>
    <row r="40" spans="16:18">
      <c r="P40" s="49">
        <f t="shared" si="0"/>
        <v>0</v>
      </c>
      <c r="Q40" s="415" t="e">
        <f t="shared" si="1"/>
        <v>#DIV/0!</v>
      </c>
      <c r="R40" s="143">
        <f t="shared" si="2"/>
        <v>0</v>
      </c>
    </row>
    <row r="41" spans="16:18">
      <c r="P41" s="342">
        <f t="shared" si="0"/>
        <v>0</v>
      </c>
      <c r="Q41" s="415" t="e">
        <f t="shared" si="1"/>
        <v>#DIV/0!</v>
      </c>
      <c r="R41" s="49">
        <f t="shared" si="2"/>
        <v>0</v>
      </c>
    </row>
    <row r="42" spans="16:18">
      <c r="P42" s="342">
        <f t="shared" si="0"/>
        <v>0</v>
      </c>
      <c r="Q42" s="415" t="e">
        <f t="shared" si="1"/>
        <v>#DIV/0!</v>
      </c>
      <c r="R42" s="49">
        <f t="shared" si="2"/>
        <v>0</v>
      </c>
    </row>
    <row r="43" spans="16:18">
      <c r="P43" s="49">
        <f t="shared" si="0"/>
        <v>0</v>
      </c>
      <c r="Q43" s="415" t="e">
        <f t="shared" si="1"/>
        <v>#DIV/0!</v>
      </c>
      <c r="R43" s="143">
        <f t="shared" si="2"/>
        <v>0</v>
      </c>
    </row>
    <row r="44" spans="16:18">
      <c r="P44" s="342">
        <f t="shared" si="0"/>
        <v>0</v>
      </c>
      <c r="Q44" s="415" t="e">
        <f t="shared" si="1"/>
        <v>#DIV/0!</v>
      </c>
      <c r="R44" s="49">
        <f t="shared" si="2"/>
        <v>0</v>
      </c>
    </row>
    <row r="45" spans="16:18">
      <c r="P45" s="49">
        <f t="shared" si="0"/>
        <v>0</v>
      </c>
      <c r="Q45" s="415" t="e">
        <f t="shared" si="1"/>
        <v>#DIV/0!</v>
      </c>
      <c r="R45" s="49">
        <f t="shared" si="2"/>
        <v>0</v>
      </c>
    </row>
    <row r="46" spans="16:18">
      <c r="P46" s="342">
        <f t="shared" si="0"/>
        <v>0</v>
      </c>
      <c r="Q46" s="415" t="e">
        <f t="shared" si="1"/>
        <v>#DIV/0!</v>
      </c>
      <c r="R46" s="143">
        <f t="shared" si="2"/>
        <v>0</v>
      </c>
    </row>
    <row r="47" spans="16:18">
      <c r="P47" s="342">
        <f t="shared" si="0"/>
        <v>0</v>
      </c>
      <c r="Q47" s="415" t="e">
        <f t="shared" si="1"/>
        <v>#DIV/0!</v>
      </c>
      <c r="R47" s="49">
        <f t="shared" si="2"/>
        <v>0</v>
      </c>
    </row>
    <row r="48" spans="16:18">
      <c r="P48" s="342">
        <f t="shared" si="0"/>
        <v>0</v>
      </c>
      <c r="Q48" s="415" t="e">
        <f t="shared" si="1"/>
        <v>#DIV/0!</v>
      </c>
      <c r="R48" s="49">
        <f t="shared" si="2"/>
        <v>0</v>
      </c>
    </row>
    <row r="49" spans="16:18">
      <c r="P49" s="49">
        <f t="shared" si="0"/>
        <v>0</v>
      </c>
      <c r="Q49" s="415" t="e">
        <f t="shared" si="1"/>
        <v>#DIV/0!</v>
      </c>
      <c r="R49" s="49">
        <f t="shared" si="2"/>
        <v>0</v>
      </c>
    </row>
    <row r="50" spans="16:18">
      <c r="P50" s="342">
        <f t="shared" si="0"/>
        <v>0</v>
      </c>
      <c r="Q50" s="415" t="e">
        <f t="shared" si="1"/>
        <v>#DIV/0!</v>
      </c>
      <c r="R50" s="49">
        <f t="shared" si="2"/>
        <v>0</v>
      </c>
    </row>
    <row r="51" spans="16:18">
      <c r="P51" s="342">
        <f t="shared" si="0"/>
        <v>0</v>
      </c>
      <c r="Q51" s="415" t="e">
        <f t="shared" si="1"/>
        <v>#DIV/0!</v>
      </c>
      <c r="R51" s="49">
        <f t="shared" si="2"/>
        <v>0</v>
      </c>
    </row>
    <row r="52" spans="16:18">
      <c r="P52" s="342">
        <f t="shared" si="0"/>
        <v>0</v>
      </c>
      <c r="Q52" s="415" t="e">
        <f t="shared" si="1"/>
        <v>#DIV/0!</v>
      </c>
      <c r="R52" s="49">
        <f t="shared" si="2"/>
        <v>0</v>
      </c>
    </row>
    <row r="53" spans="16:18">
      <c r="P53" s="342">
        <f t="shared" si="0"/>
        <v>0</v>
      </c>
      <c r="Q53" s="415" t="e">
        <f t="shared" si="1"/>
        <v>#DIV/0!</v>
      </c>
      <c r="R53" s="49">
        <f t="shared" si="2"/>
        <v>0</v>
      </c>
    </row>
    <row r="54" spans="16:18">
      <c r="P54" s="49">
        <f t="shared" si="0"/>
        <v>0</v>
      </c>
      <c r="Q54" s="415" t="e">
        <f t="shared" si="1"/>
        <v>#DIV/0!</v>
      </c>
      <c r="R54" s="143">
        <f t="shared" si="2"/>
        <v>0</v>
      </c>
    </row>
    <row r="55" spans="16:18">
      <c r="P55" s="342">
        <f t="shared" si="0"/>
        <v>0</v>
      </c>
      <c r="Q55" s="415" t="e">
        <f t="shared" si="1"/>
        <v>#DIV/0!</v>
      </c>
      <c r="R55" s="49">
        <f t="shared" si="2"/>
        <v>0</v>
      </c>
    </row>
    <row r="56" spans="16:18">
      <c r="P56" s="342">
        <f t="shared" si="0"/>
        <v>0</v>
      </c>
      <c r="Q56" s="415" t="e">
        <f t="shared" si="1"/>
        <v>#DIV/0!</v>
      </c>
      <c r="R56" s="143">
        <f t="shared" si="2"/>
        <v>0</v>
      </c>
    </row>
    <row r="57" spans="16:18">
      <c r="P57" s="49">
        <f t="shared" si="0"/>
        <v>0</v>
      </c>
      <c r="Q57" s="415" t="e">
        <f t="shared" si="1"/>
        <v>#DIV/0!</v>
      </c>
      <c r="R57" s="143">
        <f t="shared" si="2"/>
        <v>0</v>
      </c>
    </row>
    <row r="58" spans="16:18">
      <c r="P58" s="49">
        <f t="shared" si="0"/>
        <v>0</v>
      </c>
      <c r="Q58" s="415" t="e">
        <f t="shared" si="1"/>
        <v>#DIV/0!</v>
      </c>
      <c r="R58" s="49">
        <f t="shared" si="2"/>
        <v>0</v>
      </c>
    </row>
    <row r="59" spans="16:18">
      <c r="P59" s="342">
        <f t="shared" si="0"/>
        <v>0</v>
      </c>
      <c r="Q59" s="415" t="e">
        <f t="shared" si="1"/>
        <v>#DIV/0!</v>
      </c>
      <c r="R59" s="143">
        <f t="shared" si="2"/>
        <v>0</v>
      </c>
    </row>
    <row r="60" spans="16:18">
      <c r="P60" s="342">
        <f t="shared" si="0"/>
        <v>0</v>
      </c>
      <c r="Q60" s="415" t="e">
        <f t="shared" si="1"/>
        <v>#DIV/0!</v>
      </c>
      <c r="R60" s="49">
        <f t="shared" si="2"/>
        <v>0</v>
      </c>
    </row>
    <row r="61" spans="16:18">
      <c r="P61" s="342">
        <f t="shared" si="0"/>
        <v>0</v>
      </c>
      <c r="Q61" s="415" t="e">
        <f t="shared" si="1"/>
        <v>#DIV/0!</v>
      </c>
      <c r="R61" s="143">
        <f t="shared" si="2"/>
        <v>0</v>
      </c>
    </row>
    <row r="62" spans="16:18">
      <c r="P62" s="49">
        <f t="shared" si="0"/>
        <v>0</v>
      </c>
      <c r="Q62" s="415" t="e">
        <f t="shared" si="1"/>
        <v>#DIV/0!</v>
      </c>
      <c r="R62" s="49">
        <f t="shared" si="2"/>
        <v>0</v>
      </c>
    </row>
    <row r="63" spans="16:18">
      <c r="P63" s="342">
        <f t="shared" si="0"/>
        <v>0</v>
      </c>
      <c r="Q63" s="415" t="e">
        <f t="shared" si="1"/>
        <v>#DIV/0!</v>
      </c>
      <c r="R63" s="143">
        <f t="shared" si="2"/>
        <v>0</v>
      </c>
    </row>
    <row r="64" spans="16:18">
      <c r="P64" s="342">
        <f t="shared" si="0"/>
        <v>0</v>
      </c>
      <c r="Q64" s="415" t="e">
        <f t="shared" si="1"/>
        <v>#DIV/0!</v>
      </c>
      <c r="R64" s="49">
        <f t="shared" si="2"/>
        <v>0</v>
      </c>
    </row>
    <row r="65" spans="16:18">
      <c r="P65" s="342">
        <f t="shared" si="0"/>
        <v>0</v>
      </c>
      <c r="Q65" s="415" t="e">
        <f t="shared" si="1"/>
        <v>#DIV/0!</v>
      </c>
      <c r="R65" s="143">
        <f t="shared" si="2"/>
        <v>0</v>
      </c>
    </row>
    <row r="66" spans="16:18">
      <c r="P66" s="342">
        <f t="shared" si="0"/>
        <v>0</v>
      </c>
      <c r="Q66" s="415" t="e">
        <f t="shared" si="1"/>
        <v>#DIV/0!</v>
      </c>
      <c r="R66" s="49">
        <f t="shared" si="2"/>
        <v>0</v>
      </c>
    </row>
    <row r="67" spans="16:18">
      <c r="P67" s="342">
        <f t="shared" si="0"/>
        <v>0</v>
      </c>
      <c r="Q67" s="415" t="e">
        <f t="shared" si="1"/>
        <v>#DIV/0!</v>
      </c>
      <c r="R67" s="49">
        <f t="shared" si="2"/>
        <v>0</v>
      </c>
    </row>
    <row r="68" spans="16:18">
      <c r="P68" s="342">
        <f t="shared" si="0"/>
        <v>0</v>
      </c>
      <c r="Q68" s="415" t="e">
        <f t="shared" si="1"/>
        <v>#DIV/0!</v>
      </c>
      <c r="R68" s="49">
        <f t="shared" si="2"/>
        <v>0</v>
      </c>
    </row>
    <row r="69" spans="16:18">
      <c r="P69" s="342">
        <f t="shared" si="0"/>
        <v>0</v>
      </c>
      <c r="Q69" s="415" t="e">
        <f t="shared" si="1"/>
        <v>#DIV/0!</v>
      </c>
      <c r="R69" s="49">
        <f t="shared" si="2"/>
        <v>0</v>
      </c>
    </row>
    <row r="70" spans="16:18">
      <c r="P70" s="49">
        <f t="shared" si="0"/>
        <v>0</v>
      </c>
      <c r="Q70" s="415" t="e">
        <f t="shared" si="1"/>
        <v>#DIV/0!</v>
      </c>
      <c r="R70" s="49">
        <f t="shared" si="2"/>
        <v>0</v>
      </c>
    </row>
    <row r="71" spans="16:18">
      <c r="P71" s="49">
        <f t="shared" si="0"/>
        <v>0</v>
      </c>
      <c r="Q71" s="415" t="e">
        <f t="shared" si="1"/>
        <v>#DIV/0!</v>
      </c>
      <c r="R71" s="49">
        <f t="shared" si="2"/>
        <v>0</v>
      </c>
    </row>
    <row r="72" spans="16:18">
      <c r="P72" s="342">
        <f t="shared" si="0"/>
        <v>0</v>
      </c>
      <c r="Q72" s="415" t="e">
        <f t="shared" si="1"/>
        <v>#DIV/0!</v>
      </c>
      <c r="R72" s="49">
        <f t="shared" si="2"/>
        <v>0</v>
      </c>
    </row>
    <row r="73" spans="16:18">
      <c r="P73" s="342">
        <f t="shared" si="0"/>
        <v>0</v>
      </c>
      <c r="Q73" s="415" t="e">
        <f t="shared" si="1"/>
        <v>#DIV/0!</v>
      </c>
      <c r="R73" s="49">
        <f t="shared" si="2"/>
        <v>0</v>
      </c>
    </row>
    <row r="74" spans="16:18">
      <c r="P74" s="49">
        <f t="shared" si="0"/>
        <v>0</v>
      </c>
      <c r="Q74" s="415" t="e">
        <f t="shared" si="1"/>
        <v>#DIV/0!</v>
      </c>
      <c r="R74" s="49">
        <f t="shared" si="2"/>
        <v>0</v>
      </c>
    </row>
    <row r="75" spans="16:18">
      <c r="P75" s="49">
        <f t="shared" si="0"/>
        <v>0</v>
      </c>
      <c r="Q75" s="415" t="e">
        <f t="shared" si="1"/>
        <v>#DIV/0!</v>
      </c>
      <c r="R75" s="143">
        <f t="shared" si="2"/>
        <v>0</v>
      </c>
    </row>
    <row r="76" spans="16:18">
      <c r="P76" s="49">
        <f t="shared" si="0"/>
        <v>0</v>
      </c>
      <c r="Q76" s="415" t="e">
        <f t="shared" si="1"/>
        <v>#DIV/0!</v>
      </c>
      <c r="R76" s="49">
        <f t="shared" si="2"/>
        <v>0</v>
      </c>
    </row>
    <row r="77" spans="16:18">
      <c r="P77" s="49">
        <f t="shared" si="0"/>
        <v>0</v>
      </c>
      <c r="Q77" s="415" t="e">
        <f t="shared" si="1"/>
        <v>#DIV/0!</v>
      </c>
      <c r="R77" s="143">
        <f t="shared" si="2"/>
        <v>0</v>
      </c>
    </row>
    <row r="78" spans="16:18">
      <c r="P78" s="342">
        <f t="shared" si="0"/>
        <v>0</v>
      </c>
      <c r="Q78" s="415" t="e">
        <f t="shared" si="1"/>
        <v>#DIV/0!</v>
      </c>
    </row>
  </sheetData>
  <pageMargins left="0.511811024" right="0.511811024" top="0.78740157499999996" bottom="0.78740157499999996"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AE998"/>
  <sheetViews>
    <sheetView showGridLines="0" workbookViewId="0"/>
  </sheetViews>
  <sheetFormatPr defaultColWidth="14.42578125" defaultRowHeight="15" customHeight="1"/>
  <cols>
    <col min="1" max="1" width="38" customWidth="1"/>
    <col min="2" max="2" width="12.85546875" customWidth="1"/>
    <col min="3" max="3" width="11.5703125" customWidth="1"/>
    <col min="4" max="4" width="38" customWidth="1"/>
    <col min="5" max="5" width="13.5703125" customWidth="1"/>
    <col min="6" max="6" width="38" customWidth="1"/>
    <col min="9" max="9" width="37.7109375" customWidth="1"/>
    <col min="11" max="11" width="26.85546875" customWidth="1"/>
  </cols>
  <sheetData>
    <row r="1" spans="1:31" ht="15" customHeight="1">
      <c r="A1" s="416" t="s">
        <v>2144</v>
      </c>
      <c r="B1" s="417" t="s">
        <v>2145</v>
      </c>
      <c r="C1" s="418" t="s">
        <v>136</v>
      </c>
      <c r="D1" s="416" t="s">
        <v>2146</v>
      </c>
      <c r="E1" s="12"/>
      <c r="F1" s="416" t="s">
        <v>2147</v>
      </c>
      <c r="G1" s="416" t="s">
        <v>2145</v>
      </c>
      <c r="H1" s="416" t="s">
        <v>136</v>
      </c>
      <c r="I1" s="416" t="s">
        <v>77</v>
      </c>
      <c r="K1" s="416" t="s">
        <v>2148</v>
      </c>
      <c r="L1" s="416" t="s">
        <v>2149</v>
      </c>
      <c r="M1" s="416" t="s">
        <v>136</v>
      </c>
      <c r="N1" s="416" t="s">
        <v>77</v>
      </c>
    </row>
    <row r="2" spans="1:31" ht="15" customHeight="1">
      <c r="A2" s="49" t="s">
        <v>2150</v>
      </c>
      <c r="B2" s="342">
        <v>-455668.17999999993</v>
      </c>
      <c r="C2" s="419">
        <f t="shared" ref="C2:C41" si="0">B2/SUM($B$2:$B$40)</f>
        <v>0.19437966828684264</v>
      </c>
      <c r="D2" s="11" t="s">
        <v>2151</v>
      </c>
      <c r="E2" s="12"/>
      <c r="F2" s="143" t="s">
        <v>1001</v>
      </c>
      <c r="G2" s="342">
        <v>-44100</v>
      </c>
      <c r="H2" s="420">
        <f t="shared" ref="H2:H36" si="1">G2/SUM($G$2:$G$36)</f>
        <v>0.21908934940597974</v>
      </c>
      <c r="I2" s="49" t="s">
        <v>2152</v>
      </c>
      <c r="K2" s="421" t="s">
        <v>1087</v>
      </c>
      <c r="L2" s="422">
        <v>-40000</v>
      </c>
      <c r="M2" s="420">
        <f t="shared" ref="M2:M22" si="2">L2/SUM($L$2:$L$22)</f>
        <v>0.24729178402722585</v>
      </c>
    </row>
    <row r="3" spans="1:31" ht="15" customHeight="1">
      <c r="A3" s="49" t="s">
        <v>2153</v>
      </c>
      <c r="B3" s="342">
        <v>-375812.32999999984</v>
      </c>
      <c r="C3" s="419">
        <f t="shared" si="0"/>
        <v>0.16031463079889718</v>
      </c>
      <c r="D3" s="143"/>
      <c r="E3" s="143"/>
      <c r="F3" s="421" t="s">
        <v>1008</v>
      </c>
      <c r="G3" s="422">
        <v>-36000</v>
      </c>
      <c r="H3" s="420">
        <f t="shared" si="1"/>
        <v>0.17884844849467732</v>
      </c>
      <c r="I3" s="423"/>
      <c r="K3" s="421" t="s">
        <v>1487</v>
      </c>
      <c r="L3" s="422">
        <v>-15000</v>
      </c>
      <c r="M3" s="420">
        <f t="shared" si="2"/>
        <v>9.2734419010209693E-2</v>
      </c>
    </row>
    <row r="4" spans="1:31" ht="15" customHeight="1">
      <c r="A4" s="49" t="s">
        <v>2154</v>
      </c>
      <c r="B4" s="342">
        <v>-330601.62899999996</v>
      </c>
      <c r="C4" s="419">
        <f t="shared" si="0"/>
        <v>0.14102857693532567</v>
      </c>
      <c r="D4" s="143"/>
      <c r="E4" s="421"/>
      <c r="F4" s="421" t="s">
        <v>1010</v>
      </c>
      <c r="G4" s="422">
        <v>-24000</v>
      </c>
      <c r="H4" s="420">
        <f t="shared" si="1"/>
        <v>0.11923229899645155</v>
      </c>
      <c r="I4" s="423"/>
      <c r="K4" s="143" t="s">
        <v>2155</v>
      </c>
      <c r="L4" s="342">
        <v>-10000</v>
      </c>
      <c r="M4" s="420">
        <f t="shared" si="2"/>
        <v>6.1822946006806462E-2</v>
      </c>
    </row>
    <row r="5" spans="1:31" ht="15" customHeight="1">
      <c r="A5" s="49" t="s">
        <v>2156</v>
      </c>
      <c r="B5" s="342">
        <v>-200724.03999999998</v>
      </c>
      <c r="C5" s="419">
        <f t="shared" si="0"/>
        <v>8.5625185222270597E-2</v>
      </c>
      <c r="D5" s="143"/>
      <c r="E5" s="421"/>
      <c r="F5" s="421" t="s">
        <v>1006</v>
      </c>
      <c r="G5" s="422">
        <v>-18000</v>
      </c>
      <c r="H5" s="420">
        <f t="shared" si="1"/>
        <v>8.942422424733866E-2</v>
      </c>
      <c r="I5" s="423"/>
      <c r="K5" s="143" t="s">
        <v>1028</v>
      </c>
      <c r="L5" s="342">
        <v>-10000</v>
      </c>
      <c r="M5" s="420">
        <f t="shared" si="2"/>
        <v>6.1822946006806462E-2</v>
      </c>
    </row>
    <row r="6" spans="1:31" ht="15" customHeight="1">
      <c r="A6" s="49" t="s">
        <v>2157</v>
      </c>
      <c r="B6" s="342">
        <v>-146054.64000000001</v>
      </c>
      <c r="C6" s="419">
        <f t="shared" si="0"/>
        <v>6.2304224260193518E-2</v>
      </c>
      <c r="D6" s="143"/>
      <c r="E6" s="421"/>
      <c r="F6" s="143" t="s">
        <v>131</v>
      </c>
      <c r="G6" s="342">
        <v>-10220</v>
      </c>
      <c r="H6" s="420">
        <f t="shared" si="1"/>
        <v>5.0773087322655619E-2</v>
      </c>
      <c r="I6" s="49" t="s">
        <v>2158</v>
      </c>
      <c r="K6" s="143" t="s">
        <v>2159</v>
      </c>
      <c r="L6" s="342">
        <v>-8500</v>
      </c>
      <c r="M6" s="420">
        <f t="shared" si="2"/>
        <v>5.2549504105785495E-2</v>
      </c>
    </row>
    <row r="7" spans="1:31" ht="15" customHeight="1">
      <c r="A7" s="49" t="s">
        <v>2160</v>
      </c>
      <c r="B7" s="342">
        <v>-83975.67</v>
      </c>
      <c r="C7" s="419">
        <f t="shared" si="0"/>
        <v>3.5822476958486255E-2</v>
      </c>
      <c r="D7" s="143"/>
      <c r="E7" s="143"/>
      <c r="F7" s="143" t="s">
        <v>989</v>
      </c>
      <c r="G7" s="342">
        <v>-9057</v>
      </c>
      <c r="H7" s="420">
        <f t="shared" si="1"/>
        <v>4.4995288833785903E-2</v>
      </c>
      <c r="I7" s="49" t="s">
        <v>2161</v>
      </c>
      <c r="K7" s="143" t="s">
        <v>2162</v>
      </c>
      <c r="L7" s="342">
        <v>-8500</v>
      </c>
      <c r="M7" s="420">
        <f t="shared" si="2"/>
        <v>5.2549504105785495E-2</v>
      </c>
    </row>
    <row r="8" spans="1:31" ht="15" customHeight="1">
      <c r="A8" s="49" t="s">
        <v>2163</v>
      </c>
      <c r="B8" s="342">
        <v>-71934.31</v>
      </c>
      <c r="C8" s="419">
        <f t="shared" si="0"/>
        <v>3.0685854158705814E-2</v>
      </c>
      <c r="D8" s="143"/>
      <c r="E8" s="143"/>
      <c r="F8" s="143" t="s">
        <v>1305</v>
      </c>
      <c r="G8" s="342">
        <v>-9000</v>
      </c>
      <c r="H8" s="420">
        <f t="shared" si="1"/>
        <v>4.471211212366933E-2</v>
      </c>
      <c r="I8" s="49" t="s">
        <v>2164</v>
      </c>
      <c r="K8" s="143" t="s">
        <v>708</v>
      </c>
      <c r="L8" s="342">
        <v>-8000</v>
      </c>
      <c r="M8" s="420">
        <f t="shared" si="2"/>
        <v>4.9458356805445171E-2</v>
      </c>
    </row>
    <row r="9" spans="1:31" ht="15" customHeight="1">
      <c r="A9" s="49" t="s">
        <v>2165</v>
      </c>
      <c r="B9" s="342">
        <v>-71887.649999999994</v>
      </c>
      <c r="C9" s="419">
        <f t="shared" si="0"/>
        <v>3.0665949860533701E-2</v>
      </c>
      <c r="D9" s="143"/>
      <c r="E9" s="143"/>
      <c r="F9" s="143" t="s">
        <v>1323</v>
      </c>
      <c r="G9" s="342">
        <v>-7605</v>
      </c>
      <c r="H9" s="420">
        <f t="shared" si="1"/>
        <v>3.7781734744500584E-2</v>
      </c>
      <c r="I9" s="49" t="s">
        <v>2166</v>
      </c>
      <c r="K9" s="143" t="s">
        <v>984</v>
      </c>
      <c r="L9" s="342">
        <v>-8000</v>
      </c>
      <c r="M9" s="420">
        <f t="shared" si="2"/>
        <v>4.9458356805445171E-2</v>
      </c>
    </row>
    <row r="10" spans="1:31" ht="15" customHeight="1">
      <c r="A10" s="49" t="s">
        <v>2167</v>
      </c>
      <c r="B10" s="342">
        <v>-58678.91</v>
      </c>
      <c r="C10" s="419">
        <f t="shared" si="0"/>
        <v>2.5031344214628937E-2</v>
      </c>
      <c r="D10" s="143"/>
      <c r="E10" s="143"/>
      <c r="F10" s="143" t="s">
        <v>1013</v>
      </c>
      <c r="G10" s="342">
        <v>-6500</v>
      </c>
      <c r="H10" s="420">
        <f t="shared" si="1"/>
        <v>3.2292080978205628E-2</v>
      </c>
      <c r="I10" s="49" t="s">
        <v>2168</v>
      </c>
      <c r="K10" s="143" t="s">
        <v>1720</v>
      </c>
      <c r="L10" s="342">
        <v>-6500</v>
      </c>
      <c r="M10" s="420">
        <f t="shared" si="2"/>
        <v>4.0184914904424197E-2</v>
      </c>
    </row>
    <row r="11" spans="1:31" ht="15" customHeight="1">
      <c r="A11" s="49" t="s">
        <v>2169</v>
      </c>
      <c r="B11" s="342">
        <v>-58153.42</v>
      </c>
      <c r="C11" s="419">
        <f t="shared" si="0"/>
        <v>2.4807179841579988E-2</v>
      </c>
      <c r="D11" s="143"/>
      <c r="E11" s="143"/>
      <c r="F11" s="143" t="s">
        <v>1409</v>
      </c>
      <c r="G11" s="342">
        <v>-5970</v>
      </c>
      <c r="H11" s="420">
        <f t="shared" si="1"/>
        <v>2.9659034375367325E-2</v>
      </c>
      <c r="I11" s="100" t="s">
        <v>2170</v>
      </c>
      <c r="K11" s="143" t="s">
        <v>751</v>
      </c>
      <c r="L11" s="342">
        <v>-6000</v>
      </c>
      <c r="M11" s="420">
        <f t="shared" si="2"/>
        <v>3.709376760408388E-2</v>
      </c>
    </row>
    <row r="12" spans="1:31" ht="15" customHeight="1">
      <c r="A12" s="49" t="s">
        <v>2171</v>
      </c>
      <c r="B12" s="342">
        <v>-54411.600000000006</v>
      </c>
      <c r="C12" s="419">
        <f t="shared" si="0"/>
        <v>2.3210988221640517E-2</v>
      </c>
      <c r="D12" s="143"/>
      <c r="E12" s="143"/>
      <c r="F12" s="143" t="s">
        <v>1273</v>
      </c>
      <c r="G12" s="342">
        <v>-3675</v>
      </c>
      <c r="H12" s="420">
        <f t="shared" si="1"/>
        <v>1.8257445783831643E-2</v>
      </c>
      <c r="I12" s="49" t="s">
        <v>2172</v>
      </c>
      <c r="J12" s="423"/>
      <c r="K12" s="143" t="s">
        <v>307</v>
      </c>
      <c r="L12" s="342">
        <v>-6000</v>
      </c>
      <c r="M12" s="420">
        <f t="shared" si="2"/>
        <v>3.709376760408388E-2</v>
      </c>
      <c r="N12" s="423"/>
    </row>
    <row r="13" spans="1:31" ht="15" customHeight="1">
      <c r="A13" s="49" t="s">
        <v>2173</v>
      </c>
      <c r="B13" s="342">
        <v>-52374.990000000005</v>
      </c>
      <c r="C13" s="419">
        <f t="shared" si="0"/>
        <v>2.2342207838007701E-2</v>
      </c>
      <c r="D13" s="143"/>
      <c r="E13" s="143"/>
      <c r="F13" s="143" t="s">
        <v>998</v>
      </c>
      <c r="G13" s="342">
        <v>-3570</v>
      </c>
      <c r="H13" s="420">
        <f t="shared" si="1"/>
        <v>1.7735804475722167E-2</v>
      </c>
      <c r="K13" s="143" t="s">
        <v>1544</v>
      </c>
      <c r="L13" s="342">
        <v>-5652.24</v>
      </c>
      <c r="M13" s="420">
        <f t="shared" si="2"/>
        <v>3.4943812833751177E-2</v>
      </c>
      <c r="O13" s="423"/>
      <c r="P13" s="423"/>
      <c r="Q13" s="423"/>
      <c r="R13" s="423"/>
      <c r="S13" s="423"/>
      <c r="T13" s="423"/>
      <c r="U13" s="423"/>
      <c r="V13" s="423"/>
      <c r="W13" s="423"/>
      <c r="X13" s="423"/>
      <c r="Y13" s="423"/>
      <c r="Z13" s="423"/>
      <c r="AA13" s="423"/>
      <c r="AB13" s="423"/>
      <c r="AC13" s="423"/>
      <c r="AD13" s="423"/>
      <c r="AE13" s="423"/>
    </row>
    <row r="14" spans="1:31" ht="15" customHeight="1">
      <c r="A14" s="49" t="s">
        <v>2174</v>
      </c>
      <c r="B14" s="342">
        <v>-51553.899999999994</v>
      </c>
      <c r="C14" s="419">
        <f t="shared" si="0"/>
        <v>2.1991945939462038E-2</v>
      </c>
      <c r="D14" s="143"/>
      <c r="E14" s="143"/>
      <c r="F14" s="143" t="s">
        <v>1295</v>
      </c>
      <c r="G14" s="342">
        <v>-2640</v>
      </c>
      <c r="H14" s="420">
        <f t="shared" si="1"/>
        <v>1.3115552889609671E-2</v>
      </c>
      <c r="K14" s="143" t="s">
        <v>664</v>
      </c>
      <c r="L14" s="342">
        <v>-5500</v>
      </c>
      <c r="M14" s="420">
        <f t="shared" si="2"/>
        <v>3.4002620303743555E-2</v>
      </c>
    </row>
    <row r="15" spans="1:31" ht="15" customHeight="1">
      <c r="A15" s="49" t="s">
        <v>2175</v>
      </c>
      <c r="B15" s="342">
        <v>-45000</v>
      </c>
      <c r="C15" s="419">
        <f t="shared" si="0"/>
        <v>1.9196172690636244E-2</v>
      </c>
      <c r="D15" s="143"/>
      <c r="E15" s="143"/>
      <c r="F15" s="143" t="s">
        <v>698</v>
      </c>
      <c r="G15" s="342">
        <v>-2637</v>
      </c>
      <c r="H15" s="420">
        <f t="shared" si="1"/>
        <v>1.3100648852235114E-2</v>
      </c>
      <c r="J15" s="423"/>
      <c r="K15" s="143" t="s">
        <v>704</v>
      </c>
      <c r="L15" s="342">
        <v>-4000</v>
      </c>
      <c r="M15" s="420">
        <f t="shared" si="2"/>
        <v>2.4729178402722585E-2</v>
      </c>
      <c r="N15" s="423"/>
    </row>
    <row r="16" spans="1:31" ht="15" customHeight="1">
      <c r="A16" s="49" t="s">
        <v>2176</v>
      </c>
      <c r="B16" s="342">
        <v>-43523.64</v>
      </c>
      <c r="C16" s="419">
        <f t="shared" si="0"/>
        <v>1.8566384657001851E-2</v>
      </c>
      <c r="D16" s="143"/>
      <c r="E16" s="143"/>
      <c r="F16" s="143" t="s">
        <v>133</v>
      </c>
      <c r="G16" s="342">
        <v>-2610</v>
      </c>
      <c r="H16" s="420">
        <f t="shared" si="1"/>
        <v>1.2966512515864106E-2</v>
      </c>
      <c r="K16" s="143" t="s">
        <v>1727</v>
      </c>
      <c r="L16" s="342">
        <v>-3600</v>
      </c>
      <c r="M16" s="420">
        <f t="shared" si="2"/>
        <v>2.2256260562450326E-2</v>
      </c>
      <c r="O16" s="423"/>
      <c r="P16" s="423"/>
      <c r="Q16" s="423"/>
      <c r="R16" s="423"/>
      <c r="S16" s="423"/>
      <c r="T16" s="423"/>
      <c r="U16" s="423"/>
      <c r="V16" s="423"/>
      <c r="W16" s="423"/>
      <c r="X16" s="423"/>
      <c r="Y16" s="423"/>
      <c r="Z16" s="423"/>
      <c r="AA16" s="423"/>
      <c r="AB16" s="423"/>
      <c r="AC16" s="423"/>
      <c r="AD16" s="423"/>
      <c r="AE16" s="423"/>
    </row>
    <row r="17" spans="1:31" ht="15" customHeight="1">
      <c r="A17" s="49" t="s">
        <v>2177</v>
      </c>
      <c r="B17" s="342">
        <v>-36556.675000000003</v>
      </c>
      <c r="C17" s="419">
        <f t="shared" si="0"/>
        <v>1.5594405473232551E-2</v>
      </c>
      <c r="D17" s="143"/>
      <c r="E17" s="143"/>
      <c r="F17" s="143" t="s">
        <v>1098</v>
      </c>
      <c r="G17" s="342">
        <v>-1656</v>
      </c>
      <c r="H17" s="420">
        <f t="shared" si="1"/>
        <v>8.2270286307551573E-3</v>
      </c>
      <c r="K17" s="143" t="s">
        <v>725</v>
      </c>
      <c r="L17" s="342">
        <v>-3500</v>
      </c>
      <c r="M17" s="420">
        <f t="shared" si="2"/>
        <v>2.1638031102382261E-2</v>
      </c>
    </row>
    <row r="18" spans="1:31" ht="15" customHeight="1">
      <c r="A18" s="49" t="s">
        <v>2178</v>
      </c>
      <c r="B18" s="342">
        <v>-33400</v>
      </c>
      <c r="C18" s="419">
        <f t="shared" si="0"/>
        <v>1.4247825952605568E-2</v>
      </c>
      <c r="D18" s="143"/>
      <c r="E18" s="143"/>
      <c r="F18" s="143" t="s">
        <v>1326</v>
      </c>
      <c r="G18" s="342">
        <v>-1632</v>
      </c>
      <c r="H18" s="420">
        <f t="shared" si="1"/>
        <v>8.107796331758706E-3</v>
      </c>
      <c r="K18" s="143" t="s">
        <v>154</v>
      </c>
      <c r="L18" s="342">
        <v>-3500</v>
      </c>
      <c r="M18" s="420">
        <f t="shared" si="2"/>
        <v>2.1638031102382261E-2</v>
      </c>
    </row>
    <row r="19" spans="1:31" ht="15" customHeight="1">
      <c r="A19" s="49" t="s">
        <v>2179</v>
      </c>
      <c r="B19" s="342">
        <v>-24328.199999999997</v>
      </c>
      <c r="C19" s="419">
        <f t="shared" si="0"/>
        <v>1.0377962854496369E-2</v>
      </c>
      <c r="D19" s="143"/>
      <c r="E19" s="143"/>
      <c r="F19" s="143" t="s">
        <v>1490</v>
      </c>
      <c r="G19" s="342">
        <v>-1620</v>
      </c>
      <c r="H19" s="420">
        <f t="shared" si="1"/>
        <v>8.0481801822604795E-3</v>
      </c>
      <c r="K19" s="143" t="s">
        <v>685</v>
      </c>
      <c r="L19" s="342">
        <v>-3500</v>
      </c>
      <c r="M19" s="420">
        <f t="shared" si="2"/>
        <v>2.1638031102382261E-2</v>
      </c>
    </row>
    <row r="20" spans="1:31" ht="15" customHeight="1">
      <c r="A20" s="49" t="s">
        <v>2180</v>
      </c>
      <c r="B20" s="342">
        <v>-23780.16</v>
      </c>
      <c r="C20" s="419">
        <f t="shared" si="0"/>
        <v>1.0144179066021343E-2</v>
      </c>
      <c r="D20" s="143"/>
      <c r="E20" s="143"/>
      <c r="F20" s="143" t="s">
        <v>552</v>
      </c>
      <c r="G20" s="342">
        <v>-1445.5500000000002</v>
      </c>
      <c r="H20" s="420">
        <f t="shared" si="1"/>
        <v>7.1815104089300238E-3</v>
      </c>
      <c r="K20" s="143" t="s">
        <v>690</v>
      </c>
      <c r="L20" s="342">
        <v>-3000</v>
      </c>
      <c r="M20" s="420">
        <f t="shared" si="2"/>
        <v>1.854688380204194E-2</v>
      </c>
    </row>
    <row r="21" spans="1:31" ht="15" customHeight="1">
      <c r="A21" s="49" t="s">
        <v>2181</v>
      </c>
      <c r="B21" s="342">
        <v>-20000</v>
      </c>
      <c r="C21" s="419">
        <f t="shared" si="0"/>
        <v>8.5316323069494424E-3</v>
      </c>
      <c r="D21" s="143"/>
      <c r="E21" s="143"/>
      <c r="F21" s="143" t="s">
        <v>1142</v>
      </c>
      <c r="G21" s="342">
        <v>-1041</v>
      </c>
      <c r="H21" s="420">
        <f t="shared" si="1"/>
        <v>5.1717009689710861E-3</v>
      </c>
      <c r="K21" s="143" t="s">
        <v>673</v>
      </c>
      <c r="L21" s="342">
        <v>-2500</v>
      </c>
      <c r="M21" s="420">
        <f t="shared" si="2"/>
        <v>1.5455736501701615E-2</v>
      </c>
    </row>
    <row r="22" spans="1:31" ht="15" customHeight="1">
      <c r="A22" s="49" t="s">
        <v>2182</v>
      </c>
      <c r="B22" s="342">
        <v>-13500</v>
      </c>
      <c r="C22" s="419">
        <f t="shared" si="0"/>
        <v>5.7588518071908729E-3</v>
      </c>
      <c r="D22" s="143"/>
      <c r="E22" s="143"/>
      <c r="F22" s="143" t="s">
        <v>124</v>
      </c>
      <c r="G22" s="342">
        <v>-968.19</v>
      </c>
      <c r="H22" s="420">
        <f t="shared" si="1"/>
        <v>4.8099799818906016E-3</v>
      </c>
      <c r="K22" s="143" t="s">
        <v>1540</v>
      </c>
      <c r="L22" s="342">
        <v>-500</v>
      </c>
      <c r="M22" s="420">
        <f t="shared" si="2"/>
        <v>3.0911473003403232E-3</v>
      </c>
    </row>
    <row r="23" spans="1:31" ht="15" customHeight="1">
      <c r="A23" s="49" t="s">
        <v>2183</v>
      </c>
      <c r="B23" s="342">
        <v>-12916.349999999999</v>
      </c>
      <c r="C23" s="419">
        <f t="shared" si="0"/>
        <v>5.5098774473933201E-3</v>
      </c>
      <c r="D23" s="143"/>
      <c r="E23" s="143"/>
      <c r="F23" s="143" t="s">
        <v>1491</v>
      </c>
      <c r="G23" s="342">
        <v>-960</v>
      </c>
      <c r="H23" s="420">
        <f t="shared" si="1"/>
        <v>4.7692919598580621E-3</v>
      </c>
      <c r="K23" s="143"/>
      <c r="L23" s="342"/>
    </row>
    <row r="24" spans="1:31" ht="15" customHeight="1">
      <c r="A24" s="49" t="s">
        <v>2184</v>
      </c>
      <c r="B24" s="342">
        <v>-12282</v>
      </c>
      <c r="C24" s="419">
        <f t="shared" si="0"/>
        <v>5.2392753996976524E-3</v>
      </c>
      <c r="D24" s="143"/>
      <c r="E24" s="143"/>
      <c r="F24" s="143" t="s">
        <v>365</v>
      </c>
      <c r="G24" s="342">
        <v>-888.30000000000007</v>
      </c>
      <c r="H24" s="420">
        <f t="shared" si="1"/>
        <v>4.4130854666061632E-3</v>
      </c>
      <c r="J24" s="423"/>
      <c r="K24" s="143"/>
      <c r="L24" s="342"/>
      <c r="M24" s="423"/>
      <c r="N24" s="423"/>
    </row>
    <row r="25" spans="1:31" ht="15" customHeight="1">
      <c r="A25" s="49" t="s">
        <v>2185</v>
      </c>
      <c r="B25" s="342">
        <v>-9000</v>
      </c>
      <c r="C25" s="419">
        <f t="shared" si="0"/>
        <v>3.8392345381272489E-3</v>
      </c>
      <c r="D25" s="143"/>
      <c r="E25" s="143"/>
      <c r="F25" s="143" t="s">
        <v>127</v>
      </c>
      <c r="G25" s="342">
        <v>-780</v>
      </c>
      <c r="H25" s="420">
        <f t="shared" si="1"/>
        <v>3.8750497173846753E-3</v>
      </c>
      <c r="K25" s="143"/>
      <c r="O25" s="423"/>
      <c r="P25" s="423"/>
      <c r="Q25" s="423"/>
      <c r="R25" s="423"/>
      <c r="S25" s="423"/>
      <c r="T25" s="423"/>
      <c r="U25" s="423"/>
      <c r="V25" s="423"/>
      <c r="W25" s="423"/>
      <c r="X25" s="423"/>
      <c r="Y25" s="423"/>
      <c r="Z25" s="423"/>
      <c r="AA25" s="423"/>
      <c r="AB25" s="423"/>
      <c r="AC25" s="423"/>
      <c r="AD25" s="423"/>
      <c r="AE25" s="423"/>
    </row>
    <row r="26" spans="1:31" ht="15" customHeight="1">
      <c r="A26" s="49" t="s">
        <v>2186</v>
      </c>
      <c r="B26" s="342">
        <v>-8803.5300000000007</v>
      </c>
      <c r="C26" s="419">
        <f t="shared" si="0"/>
        <v>3.7554240481599312E-3</v>
      </c>
      <c r="D26" s="143"/>
      <c r="E26" s="143"/>
      <c r="F26" s="143" t="s">
        <v>1431</v>
      </c>
      <c r="G26" s="342">
        <v>-765</v>
      </c>
      <c r="H26" s="420">
        <f t="shared" si="1"/>
        <v>3.8005295305118931E-3</v>
      </c>
      <c r="K26" s="143"/>
    </row>
    <row r="27" spans="1:31" ht="15" customHeight="1">
      <c r="A27" s="49" t="s">
        <v>2187</v>
      </c>
      <c r="B27" s="342">
        <v>-7500</v>
      </c>
      <c r="C27" s="419">
        <f t="shared" si="0"/>
        <v>3.1993621151060409E-3</v>
      </c>
      <c r="D27" s="143"/>
      <c r="E27" s="143"/>
      <c r="F27" s="143" t="s">
        <v>130</v>
      </c>
      <c r="G27" s="342">
        <v>-615</v>
      </c>
      <c r="H27" s="420">
        <f t="shared" si="1"/>
        <v>3.0553276617840712E-3</v>
      </c>
      <c r="K27" s="143"/>
    </row>
    <row r="28" spans="1:31" ht="15" customHeight="1">
      <c r="A28" s="49" t="s">
        <v>2188</v>
      </c>
      <c r="B28" s="342">
        <v>-6185.37</v>
      </c>
      <c r="C28" s="419">
        <f t="shared" si="0"/>
        <v>2.6385651261217934E-3</v>
      </c>
      <c r="D28" s="143"/>
      <c r="E28" s="143"/>
      <c r="F28" s="49" t="s">
        <v>1595</v>
      </c>
      <c r="G28" s="342">
        <v>-563.70000000000005</v>
      </c>
      <c r="H28" s="420">
        <f t="shared" si="1"/>
        <v>2.800468622679156E-3</v>
      </c>
      <c r="K28" s="143"/>
    </row>
    <row r="29" spans="1:31" ht="15" customHeight="1">
      <c r="A29" s="49" t="s">
        <v>2189</v>
      </c>
      <c r="B29" s="342">
        <v>-5756.6</v>
      </c>
      <c r="C29" s="419">
        <f t="shared" si="0"/>
        <v>2.4556597269092578E-3</v>
      </c>
      <c r="D29" s="143"/>
      <c r="E29" s="143"/>
      <c r="F29" s="143" t="s">
        <v>1392</v>
      </c>
      <c r="G29" s="342">
        <v>-525</v>
      </c>
      <c r="H29" s="420">
        <f t="shared" si="1"/>
        <v>2.6082065405473778E-3</v>
      </c>
      <c r="K29" s="143"/>
    </row>
    <row r="30" spans="1:31" ht="15" customHeight="1">
      <c r="A30" s="49" t="s">
        <v>2190</v>
      </c>
      <c r="B30" s="342">
        <v>-5487</v>
      </c>
      <c r="C30" s="419">
        <f t="shared" si="0"/>
        <v>2.3406533234115795E-3</v>
      </c>
      <c r="D30" s="143"/>
      <c r="E30" s="143"/>
      <c r="F30" s="143" t="s">
        <v>1371</v>
      </c>
      <c r="G30" s="342">
        <v>-420</v>
      </c>
      <c r="H30" s="420">
        <f t="shared" si="1"/>
        <v>2.0865652324379021E-3</v>
      </c>
      <c r="K30" s="143"/>
    </row>
    <row r="31" spans="1:31" ht="15" customHeight="1">
      <c r="A31" s="49" t="s">
        <v>2191</v>
      </c>
      <c r="B31" s="342">
        <v>-4555.08</v>
      </c>
      <c r="C31" s="419">
        <f t="shared" si="0"/>
        <v>1.9431133844369632E-3</v>
      </c>
      <c r="D31" s="143"/>
      <c r="E31" s="143"/>
      <c r="F31" s="143" t="s">
        <v>1407</v>
      </c>
      <c r="G31" s="342">
        <v>-390</v>
      </c>
      <c r="H31" s="420">
        <f t="shared" si="1"/>
        <v>1.9375248586923377E-3</v>
      </c>
      <c r="K31" s="143"/>
    </row>
    <row r="32" spans="1:31" ht="15" customHeight="1">
      <c r="A32" s="49" t="s">
        <v>2192</v>
      </c>
      <c r="B32" s="342">
        <v>-3500</v>
      </c>
      <c r="C32" s="419">
        <f t="shared" si="0"/>
        <v>1.4930356537161524E-3</v>
      </c>
      <c r="D32" s="143"/>
      <c r="E32" s="143"/>
      <c r="F32" s="143" t="s">
        <v>126</v>
      </c>
      <c r="G32" s="342">
        <v>-360</v>
      </c>
      <c r="H32" s="420">
        <f t="shared" si="1"/>
        <v>1.7884844849467734E-3</v>
      </c>
      <c r="K32" s="143"/>
    </row>
    <row r="33" spans="1:8" ht="15" customHeight="1">
      <c r="A33" s="49" t="s">
        <v>2193</v>
      </c>
      <c r="B33" s="342">
        <v>-3162.66</v>
      </c>
      <c r="C33" s="419">
        <f t="shared" si="0"/>
        <v>1.349132611594836E-3</v>
      </c>
      <c r="D33" s="143"/>
      <c r="E33" s="143"/>
      <c r="F33" s="143" t="s">
        <v>1393</v>
      </c>
      <c r="G33" s="342">
        <v>-360</v>
      </c>
      <c r="H33" s="420">
        <f t="shared" si="1"/>
        <v>1.7884844849467734E-3</v>
      </c>
    </row>
    <row r="34" spans="1:8" ht="15" customHeight="1">
      <c r="A34" s="49" t="s">
        <v>2194</v>
      </c>
      <c r="B34" s="342">
        <v>-2595</v>
      </c>
      <c r="C34" s="419">
        <f t="shared" si="0"/>
        <v>1.1069792918266901E-3</v>
      </c>
      <c r="D34" s="143"/>
      <c r="E34" s="143"/>
      <c r="F34" s="143" t="s">
        <v>1370</v>
      </c>
      <c r="G34" s="342">
        <v>-333</v>
      </c>
      <c r="H34" s="420">
        <f t="shared" si="1"/>
        <v>1.6543481485757653E-3</v>
      </c>
    </row>
    <row r="35" spans="1:8" ht="15" customHeight="1">
      <c r="A35" s="49" t="s">
        <v>2195</v>
      </c>
      <c r="B35" s="342">
        <v>-2340.6000000000004</v>
      </c>
      <c r="C35" s="419">
        <f t="shared" si="0"/>
        <v>9.9845692888229334E-4</v>
      </c>
      <c r="D35" s="143"/>
      <c r="E35" s="143"/>
      <c r="F35" s="143" t="s">
        <v>1338</v>
      </c>
      <c r="G35" s="342">
        <v>-315</v>
      </c>
      <c r="H35" s="420">
        <f t="shared" si="1"/>
        <v>1.5649239243284267E-3</v>
      </c>
    </row>
    <row r="36" spans="1:8" ht="15" customHeight="1">
      <c r="A36" s="49" t="s">
        <v>2196</v>
      </c>
      <c r="B36" s="342">
        <v>-1901.16</v>
      </c>
      <c r="C36" s="419">
        <f t="shared" si="0"/>
        <v>8.1099990383400012E-4</v>
      </c>
      <c r="D36" s="143"/>
      <c r="E36" s="143"/>
      <c r="F36" s="143" t="s">
        <v>1389</v>
      </c>
      <c r="G36" s="342">
        <v>-66</v>
      </c>
      <c r="H36" s="420">
        <f t="shared" si="1"/>
        <v>3.278888222402418E-4</v>
      </c>
    </row>
    <row r="37" spans="1:8" ht="15" customHeight="1">
      <c r="A37" s="49" t="s">
        <v>2197</v>
      </c>
      <c r="B37" s="342">
        <v>-1800</v>
      </c>
      <c r="C37" s="419">
        <f t="shared" si="0"/>
        <v>7.6784690762544982E-4</v>
      </c>
    </row>
    <row r="38" spans="1:8">
      <c r="A38" s="49" t="s">
        <v>2198</v>
      </c>
      <c r="B38" s="342">
        <v>-1737</v>
      </c>
      <c r="C38" s="419">
        <f t="shared" si="0"/>
        <v>7.4097226585855902E-4</v>
      </c>
      <c r="H38" s="420"/>
    </row>
    <row r="39" spans="1:8">
      <c r="A39" s="49" t="s">
        <v>2199</v>
      </c>
      <c r="B39" s="342">
        <v>-1725</v>
      </c>
      <c r="C39" s="419">
        <f t="shared" si="0"/>
        <v>7.3585328647438931E-4</v>
      </c>
      <c r="H39" s="420"/>
    </row>
    <row r="40" spans="1:8">
      <c r="A40" s="49" t="s">
        <v>2200</v>
      </c>
      <c r="B40" s="342">
        <v>-1050</v>
      </c>
      <c r="C40" s="419">
        <f t="shared" si="0"/>
        <v>4.4791069611484571E-4</v>
      </c>
      <c r="H40" s="420"/>
    </row>
    <row r="41" spans="1:8">
      <c r="A41" s="49" t="s">
        <v>2201</v>
      </c>
      <c r="B41" s="342">
        <v>-405.15000000000003</v>
      </c>
      <c r="C41" s="419">
        <f t="shared" si="0"/>
        <v>1.7282954145802834E-4</v>
      </c>
      <c r="H41" s="420"/>
    </row>
    <row r="42" spans="1:8">
      <c r="H42" s="420"/>
    </row>
    <row r="43" spans="1:8">
      <c r="C43" s="420"/>
      <c r="H43" s="420"/>
    </row>
    <row r="44" spans="1:8">
      <c r="C44" s="420"/>
      <c r="H44" s="420"/>
    </row>
    <row r="45" spans="1:8">
      <c r="C45" s="420"/>
      <c r="H45" s="420"/>
    </row>
    <row r="46" spans="1:8">
      <c r="C46" s="420"/>
      <c r="H46" s="420"/>
    </row>
    <row r="47" spans="1:8">
      <c r="C47" s="420"/>
      <c r="H47" s="420"/>
    </row>
    <row r="48" spans="1:8">
      <c r="C48" s="420"/>
      <c r="H48" s="420"/>
    </row>
    <row r="49" spans="2:8">
      <c r="C49" s="420"/>
      <c r="H49" s="420"/>
    </row>
    <row r="50" spans="2:8">
      <c r="C50" s="420"/>
      <c r="H50" s="420"/>
    </row>
    <row r="51" spans="2:8">
      <c r="C51" s="420"/>
      <c r="H51" s="420"/>
    </row>
    <row r="52" spans="2:8">
      <c r="C52" s="420"/>
      <c r="H52" s="420"/>
    </row>
    <row r="53" spans="2:8">
      <c r="C53" s="420"/>
      <c r="H53" s="420"/>
    </row>
    <row r="54" spans="2:8">
      <c r="C54" s="420"/>
      <c r="H54" s="420"/>
    </row>
    <row r="55" spans="2:8">
      <c r="C55" s="420"/>
      <c r="H55" s="420"/>
    </row>
    <row r="56" spans="2:8">
      <c r="C56" s="420"/>
      <c r="H56" s="420"/>
    </row>
    <row r="57" spans="2:8">
      <c r="B57" s="342"/>
      <c r="C57" s="420"/>
      <c r="H57" s="420"/>
    </row>
    <row r="58" spans="2:8">
      <c r="C58" s="420"/>
      <c r="H58" s="420"/>
    </row>
    <row r="59" spans="2:8">
      <c r="C59" s="420"/>
      <c r="H59" s="420"/>
    </row>
    <row r="60" spans="2:8">
      <c r="C60" s="420"/>
      <c r="H60" s="420"/>
    </row>
    <row r="61" spans="2:8">
      <c r="B61" s="342"/>
      <c r="C61" s="420"/>
      <c r="H61" s="420"/>
    </row>
    <row r="62" spans="2:8">
      <c r="C62" s="420"/>
      <c r="H62" s="420"/>
    </row>
    <row r="63" spans="2:8">
      <c r="B63" s="342"/>
      <c r="C63" s="420"/>
      <c r="H63" s="420"/>
    </row>
    <row r="64" spans="2:8">
      <c r="C64" s="420"/>
      <c r="H64" s="420"/>
    </row>
    <row r="65" spans="3:8">
      <c r="C65" s="420"/>
      <c r="H65" s="420"/>
    </row>
    <row r="66" spans="3:8">
      <c r="C66" s="420"/>
      <c r="H66" s="420"/>
    </row>
    <row r="67" spans="3:8">
      <c r="C67" s="420"/>
      <c r="H67" s="420"/>
    </row>
    <row r="68" spans="3:8">
      <c r="C68" s="420"/>
      <c r="H68" s="420"/>
    </row>
    <row r="69" spans="3:8">
      <c r="C69" s="420"/>
      <c r="H69" s="420"/>
    </row>
    <row r="70" spans="3:8">
      <c r="C70" s="420"/>
      <c r="H70" s="420"/>
    </row>
    <row r="71" spans="3:8">
      <c r="C71" s="420"/>
      <c r="H71" s="420"/>
    </row>
    <row r="72" spans="3:8">
      <c r="C72" s="420"/>
      <c r="H72" s="420"/>
    </row>
    <row r="73" spans="3:8">
      <c r="C73" s="420"/>
      <c r="H73" s="420"/>
    </row>
    <row r="74" spans="3:8">
      <c r="C74" s="420"/>
      <c r="H74" s="420"/>
    </row>
    <row r="75" spans="3:8">
      <c r="C75" s="420"/>
      <c r="H75" s="420"/>
    </row>
    <row r="76" spans="3:8">
      <c r="C76" s="420"/>
      <c r="H76" s="420"/>
    </row>
    <row r="77" spans="3:8">
      <c r="C77" s="420"/>
      <c r="H77" s="420"/>
    </row>
    <row r="78" spans="3:8">
      <c r="C78" s="420"/>
      <c r="H78" s="420"/>
    </row>
    <row r="79" spans="3:8">
      <c r="C79" s="420"/>
      <c r="H79" s="420"/>
    </row>
    <row r="80" spans="3:8">
      <c r="C80" s="420"/>
      <c r="H80" s="420"/>
    </row>
    <row r="81" spans="3:8">
      <c r="C81" s="420"/>
      <c r="H81" s="420"/>
    </row>
    <row r="82" spans="3:8">
      <c r="C82" s="420"/>
      <c r="H82" s="420"/>
    </row>
    <row r="83" spans="3:8">
      <c r="C83" s="420"/>
      <c r="H83" s="420"/>
    </row>
    <row r="84" spans="3:8">
      <c r="C84" s="420"/>
      <c r="H84" s="420"/>
    </row>
    <row r="85" spans="3:8">
      <c r="C85" s="420"/>
      <c r="H85" s="420"/>
    </row>
    <row r="86" spans="3:8">
      <c r="C86" s="420"/>
      <c r="H86" s="420"/>
    </row>
    <row r="87" spans="3:8">
      <c r="C87" s="420"/>
      <c r="H87" s="420"/>
    </row>
    <row r="88" spans="3:8">
      <c r="C88" s="420"/>
      <c r="H88" s="420"/>
    </row>
    <row r="89" spans="3:8">
      <c r="C89" s="420"/>
      <c r="H89" s="420"/>
    </row>
    <row r="90" spans="3:8">
      <c r="C90" s="420"/>
      <c r="H90" s="420"/>
    </row>
    <row r="91" spans="3:8">
      <c r="C91" s="420"/>
      <c r="H91" s="420"/>
    </row>
    <row r="92" spans="3:8">
      <c r="C92" s="420"/>
      <c r="H92" s="420"/>
    </row>
    <row r="93" spans="3:8">
      <c r="C93" s="420"/>
      <c r="H93" s="420"/>
    </row>
    <row r="94" spans="3:8">
      <c r="C94" s="420"/>
      <c r="H94" s="420"/>
    </row>
    <row r="95" spans="3:8">
      <c r="C95" s="420"/>
      <c r="H95" s="420"/>
    </row>
    <row r="96" spans="3:8">
      <c r="C96" s="420"/>
      <c r="H96" s="420"/>
    </row>
    <row r="97" spans="3:8">
      <c r="C97" s="420"/>
      <c r="H97" s="420"/>
    </row>
    <row r="98" spans="3:8">
      <c r="C98" s="420"/>
      <c r="H98" s="420"/>
    </row>
    <row r="99" spans="3:8">
      <c r="C99" s="420"/>
      <c r="H99" s="420"/>
    </row>
    <row r="100" spans="3:8">
      <c r="C100" s="420"/>
      <c r="H100" s="420"/>
    </row>
    <row r="101" spans="3:8">
      <c r="C101" s="420"/>
      <c r="H101" s="420"/>
    </row>
    <row r="102" spans="3:8">
      <c r="C102" s="420"/>
      <c r="H102" s="420"/>
    </row>
    <row r="103" spans="3:8">
      <c r="C103" s="420"/>
      <c r="H103" s="420"/>
    </row>
    <row r="104" spans="3:8">
      <c r="C104" s="420"/>
      <c r="H104" s="420"/>
    </row>
    <row r="105" spans="3:8">
      <c r="C105" s="420"/>
      <c r="H105" s="420"/>
    </row>
    <row r="106" spans="3:8">
      <c r="C106" s="420"/>
      <c r="H106" s="420"/>
    </row>
    <row r="107" spans="3:8">
      <c r="C107" s="420"/>
      <c r="H107" s="420"/>
    </row>
    <row r="108" spans="3:8">
      <c r="C108" s="420"/>
      <c r="H108" s="420"/>
    </row>
    <row r="109" spans="3:8">
      <c r="C109" s="420"/>
      <c r="H109" s="420"/>
    </row>
    <row r="110" spans="3:8">
      <c r="C110" s="420"/>
      <c r="H110" s="420"/>
    </row>
    <row r="111" spans="3:8">
      <c r="C111" s="420"/>
      <c r="H111" s="420"/>
    </row>
    <row r="112" spans="3:8">
      <c r="C112" s="420"/>
      <c r="H112" s="420"/>
    </row>
    <row r="113" spans="3:8">
      <c r="C113" s="420"/>
      <c r="H113" s="420"/>
    </row>
    <row r="114" spans="3:8">
      <c r="C114" s="420"/>
      <c r="H114" s="420"/>
    </row>
    <row r="115" spans="3:8">
      <c r="C115" s="420"/>
      <c r="H115" s="420"/>
    </row>
    <row r="116" spans="3:8">
      <c r="C116" s="420"/>
      <c r="H116" s="420"/>
    </row>
    <row r="117" spans="3:8">
      <c r="C117" s="420"/>
      <c r="H117" s="420"/>
    </row>
    <row r="118" spans="3:8">
      <c r="C118" s="420"/>
      <c r="H118" s="420"/>
    </row>
    <row r="119" spans="3:8">
      <c r="C119" s="420"/>
      <c r="H119" s="420"/>
    </row>
    <row r="120" spans="3:8">
      <c r="C120" s="420"/>
      <c r="H120" s="420"/>
    </row>
    <row r="121" spans="3:8">
      <c r="C121" s="420"/>
      <c r="H121" s="420"/>
    </row>
    <row r="122" spans="3:8">
      <c r="C122" s="420"/>
      <c r="H122" s="420"/>
    </row>
    <row r="123" spans="3:8">
      <c r="C123" s="420"/>
      <c r="H123" s="420"/>
    </row>
    <row r="124" spans="3:8">
      <c r="C124" s="420"/>
      <c r="H124" s="420"/>
    </row>
    <row r="125" spans="3:8">
      <c r="C125" s="420"/>
      <c r="H125" s="420"/>
    </row>
    <row r="126" spans="3:8">
      <c r="C126" s="420"/>
      <c r="H126" s="420"/>
    </row>
    <row r="127" spans="3:8">
      <c r="C127" s="420"/>
      <c r="H127" s="420"/>
    </row>
    <row r="128" spans="3:8">
      <c r="C128" s="420"/>
      <c r="H128" s="420"/>
    </row>
    <row r="129" spans="3:8">
      <c r="C129" s="420"/>
      <c r="H129" s="420"/>
    </row>
    <row r="130" spans="3:8">
      <c r="C130" s="420"/>
      <c r="H130" s="420"/>
    </row>
    <row r="131" spans="3:8">
      <c r="C131" s="420"/>
      <c r="H131" s="420"/>
    </row>
    <row r="132" spans="3:8">
      <c r="C132" s="420"/>
      <c r="H132" s="420"/>
    </row>
    <row r="133" spans="3:8">
      <c r="C133" s="420"/>
      <c r="H133" s="420"/>
    </row>
    <row r="134" spans="3:8">
      <c r="C134" s="420"/>
      <c r="H134" s="420"/>
    </row>
    <row r="135" spans="3:8">
      <c r="C135" s="420"/>
      <c r="H135" s="420"/>
    </row>
    <row r="136" spans="3:8">
      <c r="C136" s="420"/>
      <c r="H136" s="420"/>
    </row>
    <row r="137" spans="3:8">
      <c r="C137" s="420"/>
      <c r="H137" s="420"/>
    </row>
    <row r="138" spans="3:8">
      <c r="C138" s="420"/>
      <c r="H138" s="420"/>
    </row>
    <row r="139" spans="3:8">
      <c r="C139" s="420"/>
      <c r="H139" s="420"/>
    </row>
    <row r="140" spans="3:8">
      <c r="C140" s="420"/>
      <c r="H140" s="420"/>
    </row>
    <row r="141" spans="3:8">
      <c r="C141" s="420"/>
      <c r="H141" s="420"/>
    </row>
    <row r="142" spans="3:8">
      <c r="C142" s="420"/>
      <c r="H142" s="420"/>
    </row>
    <row r="143" spans="3:8">
      <c r="C143" s="420"/>
      <c r="H143" s="420"/>
    </row>
    <row r="144" spans="3:8">
      <c r="C144" s="420"/>
      <c r="H144" s="420"/>
    </row>
    <row r="145" spans="3:8">
      <c r="C145" s="420"/>
      <c r="H145" s="420"/>
    </row>
    <row r="146" spans="3:8">
      <c r="C146" s="420"/>
      <c r="H146" s="420"/>
    </row>
    <row r="147" spans="3:8">
      <c r="C147" s="420"/>
      <c r="H147" s="420"/>
    </row>
    <row r="148" spans="3:8">
      <c r="C148" s="420"/>
      <c r="H148" s="420"/>
    </row>
    <row r="149" spans="3:8">
      <c r="C149" s="420"/>
      <c r="H149" s="420"/>
    </row>
    <row r="150" spans="3:8">
      <c r="C150" s="420"/>
      <c r="H150" s="420"/>
    </row>
    <row r="151" spans="3:8">
      <c r="C151" s="420"/>
      <c r="H151" s="420"/>
    </row>
    <row r="152" spans="3:8">
      <c r="C152" s="420"/>
      <c r="H152" s="420"/>
    </row>
    <row r="153" spans="3:8">
      <c r="C153" s="420"/>
      <c r="H153" s="420"/>
    </row>
    <row r="154" spans="3:8">
      <c r="C154" s="420"/>
      <c r="H154" s="420"/>
    </row>
    <row r="155" spans="3:8">
      <c r="C155" s="420"/>
      <c r="H155" s="420"/>
    </row>
    <row r="156" spans="3:8">
      <c r="C156" s="420"/>
      <c r="H156" s="420"/>
    </row>
    <row r="157" spans="3:8">
      <c r="C157" s="420"/>
      <c r="H157" s="420"/>
    </row>
    <row r="158" spans="3:8">
      <c r="C158" s="420"/>
      <c r="H158" s="420"/>
    </row>
    <row r="159" spans="3:8">
      <c r="C159" s="420"/>
      <c r="H159" s="420"/>
    </row>
    <row r="160" spans="3:8">
      <c r="C160" s="420"/>
      <c r="H160" s="420"/>
    </row>
    <row r="161" spans="3:8">
      <c r="C161" s="420"/>
      <c r="H161" s="420"/>
    </row>
    <row r="162" spans="3:8">
      <c r="C162" s="420"/>
      <c r="H162" s="420"/>
    </row>
    <row r="163" spans="3:8">
      <c r="C163" s="420"/>
      <c r="H163" s="420"/>
    </row>
    <row r="164" spans="3:8">
      <c r="C164" s="420"/>
      <c r="H164" s="420"/>
    </row>
    <row r="165" spans="3:8">
      <c r="C165" s="420"/>
      <c r="H165" s="420"/>
    </row>
    <row r="166" spans="3:8">
      <c r="C166" s="420"/>
      <c r="H166" s="420"/>
    </row>
    <row r="167" spans="3:8">
      <c r="C167" s="420"/>
      <c r="H167" s="420"/>
    </row>
    <row r="168" spans="3:8">
      <c r="C168" s="420"/>
      <c r="H168" s="420"/>
    </row>
    <row r="169" spans="3:8">
      <c r="C169" s="420"/>
      <c r="H169" s="420"/>
    </row>
    <row r="170" spans="3:8">
      <c r="C170" s="420"/>
      <c r="H170" s="420"/>
    </row>
    <row r="171" spans="3:8">
      <c r="C171" s="420"/>
      <c r="H171" s="420"/>
    </row>
    <row r="172" spans="3:8">
      <c r="C172" s="420"/>
      <c r="H172" s="420"/>
    </row>
    <row r="173" spans="3:8">
      <c r="C173" s="420"/>
      <c r="H173" s="420"/>
    </row>
    <row r="174" spans="3:8">
      <c r="C174" s="420"/>
      <c r="H174" s="420"/>
    </row>
    <row r="175" spans="3:8">
      <c r="C175" s="420"/>
      <c r="H175" s="420"/>
    </row>
    <row r="176" spans="3:8">
      <c r="C176" s="420"/>
      <c r="H176" s="420"/>
    </row>
    <row r="177" spans="3:8">
      <c r="C177" s="420"/>
      <c r="H177" s="420"/>
    </row>
    <row r="178" spans="3:8">
      <c r="C178" s="420"/>
      <c r="H178" s="420"/>
    </row>
    <row r="179" spans="3:8">
      <c r="C179" s="420"/>
      <c r="H179" s="420"/>
    </row>
    <row r="180" spans="3:8">
      <c r="C180" s="420"/>
      <c r="H180" s="420"/>
    </row>
    <row r="181" spans="3:8">
      <c r="C181" s="420"/>
      <c r="H181" s="420"/>
    </row>
    <row r="182" spans="3:8">
      <c r="C182" s="420"/>
      <c r="H182" s="420"/>
    </row>
    <row r="183" spans="3:8">
      <c r="C183" s="420"/>
      <c r="H183" s="420"/>
    </row>
    <row r="184" spans="3:8">
      <c r="C184" s="420"/>
      <c r="H184" s="420"/>
    </row>
    <row r="185" spans="3:8">
      <c r="C185" s="420"/>
      <c r="H185" s="420"/>
    </row>
    <row r="186" spans="3:8">
      <c r="C186" s="420"/>
      <c r="H186" s="420"/>
    </row>
    <row r="187" spans="3:8">
      <c r="C187" s="420"/>
      <c r="H187" s="420"/>
    </row>
    <row r="188" spans="3:8">
      <c r="C188" s="420"/>
      <c r="H188" s="420"/>
    </row>
    <row r="189" spans="3:8">
      <c r="C189" s="420"/>
      <c r="H189" s="420"/>
    </row>
    <row r="190" spans="3:8">
      <c r="C190" s="420"/>
      <c r="H190" s="420"/>
    </row>
    <row r="191" spans="3:8">
      <c r="C191" s="420"/>
      <c r="H191" s="420"/>
    </row>
    <row r="192" spans="3:8">
      <c r="C192" s="420"/>
      <c r="H192" s="420"/>
    </row>
    <row r="193" spans="3:8">
      <c r="C193" s="420"/>
      <c r="H193" s="420"/>
    </row>
    <row r="194" spans="3:8">
      <c r="C194" s="420"/>
      <c r="H194" s="420"/>
    </row>
    <row r="195" spans="3:8">
      <c r="C195" s="420"/>
      <c r="H195" s="420"/>
    </row>
    <row r="196" spans="3:8">
      <c r="C196" s="420"/>
      <c r="H196" s="420"/>
    </row>
    <row r="197" spans="3:8">
      <c r="C197" s="420"/>
      <c r="H197" s="420"/>
    </row>
    <row r="198" spans="3:8">
      <c r="C198" s="420"/>
      <c r="H198" s="420"/>
    </row>
    <row r="199" spans="3:8">
      <c r="C199" s="420"/>
      <c r="H199" s="420"/>
    </row>
    <row r="200" spans="3:8">
      <c r="C200" s="420"/>
      <c r="H200" s="420"/>
    </row>
    <row r="201" spans="3:8">
      <c r="C201" s="420"/>
      <c r="H201" s="420"/>
    </row>
    <row r="202" spans="3:8">
      <c r="C202" s="420"/>
      <c r="H202" s="420"/>
    </row>
    <row r="203" spans="3:8">
      <c r="C203" s="420"/>
      <c r="H203" s="420"/>
    </row>
    <row r="204" spans="3:8">
      <c r="C204" s="420"/>
      <c r="H204" s="420"/>
    </row>
    <row r="205" spans="3:8">
      <c r="C205" s="420"/>
      <c r="H205" s="420"/>
    </row>
    <row r="206" spans="3:8">
      <c r="C206" s="420"/>
      <c r="H206" s="420"/>
    </row>
    <row r="207" spans="3:8">
      <c r="C207" s="420"/>
      <c r="H207" s="420"/>
    </row>
    <row r="208" spans="3:8">
      <c r="C208" s="420"/>
      <c r="H208" s="420"/>
    </row>
    <row r="209" spans="3:8">
      <c r="C209" s="420"/>
      <c r="H209" s="420"/>
    </row>
    <row r="210" spans="3:8">
      <c r="C210" s="420"/>
      <c r="H210" s="420"/>
    </row>
    <row r="211" spans="3:8">
      <c r="C211" s="420"/>
      <c r="H211" s="420"/>
    </row>
    <row r="212" spans="3:8">
      <c r="C212" s="420"/>
      <c r="H212" s="420"/>
    </row>
    <row r="213" spans="3:8">
      <c r="C213" s="420"/>
      <c r="H213" s="420"/>
    </row>
    <row r="214" spans="3:8">
      <c r="C214" s="420"/>
      <c r="H214" s="420"/>
    </row>
    <row r="215" spans="3:8">
      <c r="C215" s="420"/>
      <c r="H215" s="420"/>
    </row>
    <row r="216" spans="3:8">
      <c r="C216" s="420"/>
      <c r="H216" s="420"/>
    </row>
    <row r="217" spans="3:8">
      <c r="C217" s="420"/>
      <c r="H217" s="420"/>
    </row>
    <row r="218" spans="3:8">
      <c r="C218" s="420"/>
      <c r="H218" s="420"/>
    </row>
    <row r="219" spans="3:8">
      <c r="C219" s="420"/>
      <c r="H219" s="420"/>
    </row>
    <row r="220" spans="3:8">
      <c r="C220" s="420"/>
      <c r="H220" s="420"/>
    </row>
    <row r="221" spans="3:8">
      <c r="C221" s="420"/>
      <c r="H221" s="420"/>
    </row>
    <row r="222" spans="3:8">
      <c r="C222" s="420"/>
      <c r="H222" s="420"/>
    </row>
    <row r="223" spans="3:8">
      <c r="C223" s="420"/>
      <c r="H223" s="420"/>
    </row>
    <row r="224" spans="3:8">
      <c r="C224" s="420"/>
      <c r="H224" s="420"/>
    </row>
    <row r="225" spans="3:8">
      <c r="C225" s="420"/>
      <c r="H225" s="420"/>
    </row>
    <row r="226" spans="3:8">
      <c r="C226" s="420"/>
      <c r="H226" s="420"/>
    </row>
    <row r="227" spans="3:8">
      <c r="C227" s="420"/>
      <c r="H227" s="420"/>
    </row>
    <row r="228" spans="3:8">
      <c r="C228" s="420"/>
      <c r="H228" s="420"/>
    </row>
    <row r="229" spans="3:8">
      <c r="C229" s="420"/>
      <c r="H229" s="420"/>
    </row>
    <row r="230" spans="3:8">
      <c r="C230" s="420"/>
      <c r="H230" s="420"/>
    </row>
    <row r="231" spans="3:8">
      <c r="C231" s="420"/>
      <c r="H231" s="420"/>
    </row>
    <row r="232" spans="3:8">
      <c r="C232" s="420"/>
      <c r="H232" s="420"/>
    </row>
    <row r="233" spans="3:8">
      <c r="C233" s="420"/>
      <c r="H233" s="420"/>
    </row>
    <row r="234" spans="3:8">
      <c r="C234" s="420"/>
      <c r="H234" s="420"/>
    </row>
    <row r="235" spans="3:8">
      <c r="C235" s="420"/>
      <c r="H235" s="420"/>
    </row>
    <row r="236" spans="3:8">
      <c r="C236" s="420"/>
      <c r="H236" s="420"/>
    </row>
    <row r="237" spans="3:8">
      <c r="C237" s="420"/>
      <c r="H237" s="420"/>
    </row>
    <row r="238" spans="3:8">
      <c r="C238" s="420"/>
      <c r="H238" s="420"/>
    </row>
    <row r="239" spans="3:8">
      <c r="C239" s="420"/>
      <c r="H239" s="420"/>
    </row>
    <row r="240" spans="3:8">
      <c r="C240" s="420"/>
      <c r="H240" s="420"/>
    </row>
    <row r="241" spans="3:8">
      <c r="C241" s="420"/>
      <c r="H241" s="420"/>
    </row>
    <row r="242" spans="3:8">
      <c r="C242" s="420"/>
      <c r="H242" s="420"/>
    </row>
    <row r="243" spans="3:8">
      <c r="C243" s="420"/>
      <c r="H243" s="420"/>
    </row>
    <row r="244" spans="3:8">
      <c r="C244" s="420"/>
      <c r="H244" s="420"/>
    </row>
    <row r="245" spans="3:8">
      <c r="C245" s="420"/>
      <c r="H245" s="420"/>
    </row>
    <row r="246" spans="3:8">
      <c r="C246" s="420"/>
      <c r="H246" s="420"/>
    </row>
    <row r="247" spans="3:8">
      <c r="C247" s="420"/>
      <c r="H247" s="420"/>
    </row>
    <row r="248" spans="3:8">
      <c r="C248" s="420"/>
      <c r="H248" s="420"/>
    </row>
    <row r="249" spans="3:8">
      <c r="C249" s="420"/>
      <c r="H249" s="420"/>
    </row>
    <row r="250" spans="3:8">
      <c r="C250" s="420"/>
      <c r="H250" s="420"/>
    </row>
    <row r="251" spans="3:8">
      <c r="C251" s="420"/>
      <c r="H251" s="420"/>
    </row>
    <row r="252" spans="3:8">
      <c r="C252" s="420"/>
      <c r="H252" s="420"/>
    </row>
    <row r="253" spans="3:8">
      <c r="C253" s="420"/>
      <c r="H253" s="420"/>
    </row>
    <row r="254" spans="3:8">
      <c r="C254" s="420"/>
      <c r="H254" s="420"/>
    </row>
    <row r="255" spans="3:8">
      <c r="C255" s="420"/>
      <c r="H255" s="420"/>
    </row>
    <row r="256" spans="3:8">
      <c r="C256" s="420"/>
      <c r="H256" s="420"/>
    </row>
    <row r="257" spans="3:8">
      <c r="C257" s="420"/>
      <c r="H257" s="420"/>
    </row>
    <row r="258" spans="3:8">
      <c r="C258" s="420"/>
      <c r="H258" s="420"/>
    </row>
    <row r="259" spans="3:8">
      <c r="C259" s="420"/>
      <c r="H259" s="420"/>
    </row>
    <row r="260" spans="3:8">
      <c r="C260" s="420"/>
      <c r="H260" s="420"/>
    </row>
    <row r="261" spans="3:8">
      <c r="C261" s="420"/>
      <c r="H261" s="420"/>
    </row>
    <row r="262" spans="3:8">
      <c r="C262" s="420"/>
      <c r="H262" s="420"/>
    </row>
    <row r="263" spans="3:8">
      <c r="C263" s="420"/>
      <c r="H263" s="420"/>
    </row>
    <row r="264" spans="3:8">
      <c r="C264" s="420"/>
      <c r="H264" s="420"/>
    </row>
    <row r="265" spans="3:8">
      <c r="C265" s="420"/>
      <c r="H265" s="420"/>
    </row>
    <row r="266" spans="3:8">
      <c r="C266" s="420"/>
      <c r="H266" s="420"/>
    </row>
    <row r="267" spans="3:8">
      <c r="C267" s="420"/>
      <c r="H267" s="420"/>
    </row>
    <row r="268" spans="3:8">
      <c r="C268" s="420"/>
      <c r="H268" s="420"/>
    </row>
    <row r="269" spans="3:8">
      <c r="C269" s="420"/>
      <c r="H269" s="420"/>
    </row>
    <row r="270" spans="3:8">
      <c r="C270" s="420"/>
      <c r="H270" s="420"/>
    </row>
    <row r="271" spans="3:8">
      <c r="C271" s="420"/>
      <c r="H271" s="420"/>
    </row>
    <row r="272" spans="3:8">
      <c r="C272" s="420"/>
      <c r="H272" s="420"/>
    </row>
    <row r="273" spans="3:8">
      <c r="C273" s="420"/>
      <c r="H273" s="420"/>
    </row>
    <row r="274" spans="3:8">
      <c r="C274" s="420"/>
      <c r="H274" s="420"/>
    </row>
    <row r="275" spans="3:8">
      <c r="C275" s="420"/>
      <c r="H275" s="420"/>
    </row>
    <row r="276" spans="3:8">
      <c r="C276" s="420"/>
      <c r="H276" s="420"/>
    </row>
    <row r="277" spans="3:8">
      <c r="C277" s="420"/>
      <c r="H277" s="420"/>
    </row>
    <row r="278" spans="3:8">
      <c r="C278" s="420"/>
      <c r="H278" s="420"/>
    </row>
    <row r="279" spans="3:8">
      <c r="C279" s="420"/>
      <c r="H279" s="420"/>
    </row>
    <row r="280" spans="3:8">
      <c r="C280" s="420"/>
      <c r="H280" s="420"/>
    </row>
    <row r="281" spans="3:8">
      <c r="C281" s="420"/>
      <c r="H281" s="420"/>
    </row>
    <row r="282" spans="3:8">
      <c r="C282" s="420"/>
      <c r="H282" s="420"/>
    </row>
    <row r="283" spans="3:8">
      <c r="C283" s="420"/>
      <c r="H283" s="420"/>
    </row>
    <row r="284" spans="3:8">
      <c r="C284" s="420"/>
      <c r="H284" s="420"/>
    </row>
    <row r="285" spans="3:8">
      <c r="C285" s="420"/>
      <c r="H285" s="420"/>
    </row>
    <row r="286" spans="3:8">
      <c r="C286" s="420"/>
      <c r="H286" s="420"/>
    </row>
    <row r="287" spans="3:8">
      <c r="C287" s="420"/>
      <c r="H287" s="420"/>
    </row>
    <row r="288" spans="3:8">
      <c r="C288" s="420"/>
      <c r="H288" s="420"/>
    </row>
    <row r="289" spans="3:8">
      <c r="C289" s="420"/>
      <c r="H289" s="420"/>
    </row>
    <row r="290" spans="3:8">
      <c r="C290" s="420"/>
      <c r="H290" s="420"/>
    </row>
    <row r="291" spans="3:8">
      <c r="C291" s="420"/>
      <c r="H291" s="420"/>
    </row>
    <row r="292" spans="3:8">
      <c r="C292" s="420"/>
      <c r="H292" s="420"/>
    </row>
    <row r="293" spans="3:8">
      <c r="C293" s="420"/>
      <c r="H293" s="420"/>
    </row>
    <row r="294" spans="3:8">
      <c r="C294" s="420"/>
      <c r="H294" s="420"/>
    </row>
    <row r="295" spans="3:8">
      <c r="C295" s="420"/>
      <c r="H295" s="420"/>
    </row>
    <row r="296" spans="3:8">
      <c r="C296" s="420"/>
      <c r="H296" s="420"/>
    </row>
    <row r="297" spans="3:8">
      <c r="C297" s="420"/>
      <c r="H297" s="420"/>
    </row>
    <row r="298" spans="3:8">
      <c r="C298" s="420"/>
      <c r="H298" s="420"/>
    </row>
    <row r="299" spans="3:8">
      <c r="C299" s="420"/>
      <c r="H299" s="420"/>
    </row>
    <row r="300" spans="3:8">
      <c r="C300" s="420"/>
      <c r="H300" s="420"/>
    </row>
    <row r="301" spans="3:8">
      <c r="C301" s="420"/>
      <c r="H301" s="420"/>
    </row>
    <row r="302" spans="3:8">
      <c r="C302" s="420"/>
      <c r="H302" s="420"/>
    </row>
    <row r="303" spans="3:8">
      <c r="C303" s="420"/>
      <c r="H303" s="420"/>
    </row>
    <row r="304" spans="3:8">
      <c r="C304" s="420"/>
      <c r="H304" s="420"/>
    </row>
    <row r="305" spans="3:8">
      <c r="C305" s="420"/>
      <c r="H305" s="420"/>
    </row>
    <row r="306" spans="3:8">
      <c r="C306" s="420"/>
      <c r="H306" s="420"/>
    </row>
    <row r="307" spans="3:8">
      <c r="C307" s="420"/>
      <c r="H307" s="420"/>
    </row>
    <row r="308" spans="3:8">
      <c r="C308" s="420"/>
      <c r="H308" s="420"/>
    </row>
    <row r="309" spans="3:8">
      <c r="C309" s="420"/>
      <c r="H309" s="420"/>
    </row>
    <row r="310" spans="3:8">
      <c r="C310" s="420"/>
      <c r="H310" s="420"/>
    </row>
    <row r="311" spans="3:8">
      <c r="C311" s="420"/>
      <c r="H311" s="420"/>
    </row>
    <row r="312" spans="3:8">
      <c r="C312" s="420"/>
      <c r="H312" s="420"/>
    </row>
    <row r="313" spans="3:8">
      <c r="C313" s="420"/>
      <c r="H313" s="420"/>
    </row>
    <row r="314" spans="3:8">
      <c r="C314" s="420"/>
      <c r="H314" s="420"/>
    </row>
    <row r="315" spans="3:8">
      <c r="C315" s="420"/>
      <c r="H315" s="420"/>
    </row>
    <row r="316" spans="3:8">
      <c r="C316" s="420"/>
      <c r="H316" s="420"/>
    </row>
    <row r="317" spans="3:8">
      <c r="C317" s="420"/>
      <c r="H317" s="420"/>
    </row>
    <row r="318" spans="3:8">
      <c r="C318" s="420"/>
      <c r="H318" s="420"/>
    </row>
    <row r="319" spans="3:8">
      <c r="C319" s="420"/>
      <c r="H319" s="420"/>
    </row>
    <row r="320" spans="3:8">
      <c r="C320" s="420"/>
      <c r="H320" s="420"/>
    </row>
    <row r="321" spans="3:8">
      <c r="C321" s="420"/>
      <c r="H321" s="420"/>
    </row>
    <row r="322" spans="3:8">
      <c r="C322" s="420"/>
      <c r="H322" s="420"/>
    </row>
    <row r="323" spans="3:8">
      <c r="C323" s="420"/>
      <c r="H323" s="420"/>
    </row>
    <row r="324" spans="3:8">
      <c r="C324" s="420"/>
      <c r="H324" s="420"/>
    </row>
    <row r="325" spans="3:8">
      <c r="C325" s="420"/>
      <c r="H325" s="420"/>
    </row>
    <row r="326" spans="3:8">
      <c r="C326" s="420"/>
      <c r="H326" s="420"/>
    </row>
    <row r="327" spans="3:8">
      <c r="C327" s="420"/>
      <c r="H327" s="420"/>
    </row>
    <row r="328" spans="3:8">
      <c r="C328" s="420"/>
      <c r="H328" s="420"/>
    </row>
    <row r="329" spans="3:8">
      <c r="C329" s="420"/>
      <c r="H329" s="420"/>
    </row>
    <row r="330" spans="3:8">
      <c r="C330" s="420"/>
      <c r="H330" s="420"/>
    </row>
    <row r="331" spans="3:8">
      <c r="C331" s="420"/>
      <c r="H331" s="420"/>
    </row>
    <row r="332" spans="3:8">
      <c r="C332" s="420"/>
      <c r="H332" s="420"/>
    </row>
    <row r="333" spans="3:8">
      <c r="C333" s="420"/>
      <c r="H333" s="420"/>
    </row>
    <row r="334" spans="3:8">
      <c r="C334" s="420"/>
      <c r="H334" s="420"/>
    </row>
    <row r="335" spans="3:8">
      <c r="C335" s="420"/>
      <c r="H335" s="420"/>
    </row>
    <row r="336" spans="3:8">
      <c r="C336" s="420"/>
      <c r="H336" s="420"/>
    </row>
    <row r="337" spans="3:8">
      <c r="C337" s="420"/>
      <c r="H337" s="420"/>
    </row>
    <row r="338" spans="3:8">
      <c r="C338" s="420"/>
      <c r="H338" s="420"/>
    </row>
    <row r="339" spans="3:8">
      <c r="C339" s="420"/>
      <c r="H339" s="420"/>
    </row>
    <row r="340" spans="3:8">
      <c r="C340" s="420"/>
      <c r="H340" s="420"/>
    </row>
    <row r="341" spans="3:8">
      <c r="C341" s="420"/>
      <c r="H341" s="420"/>
    </row>
    <row r="342" spans="3:8">
      <c r="C342" s="420"/>
      <c r="H342" s="420"/>
    </row>
    <row r="343" spans="3:8">
      <c r="C343" s="420"/>
      <c r="H343" s="420"/>
    </row>
    <row r="344" spans="3:8">
      <c r="C344" s="420"/>
      <c r="H344" s="420"/>
    </row>
    <row r="345" spans="3:8">
      <c r="C345" s="420"/>
      <c r="H345" s="420"/>
    </row>
    <row r="346" spans="3:8">
      <c r="C346" s="420"/>
      <c r="H346" s="420"/>
    </row>
    <row r="347" spans="3:8">
      <c r="C347" s="420"/>
      <c r="H347" s="420"/>
    </row>
    <row r="348" spans="3:8">
      <c r="C348" s="420"/>
      <c r="H348" s="420"/>
    </row>
    <row r="349" spans="3:8">
      <c r="C349" s="420"/>
      <c r="H349" s="420"/>
    </row>
    <row r="350" spans="3:8">
      <c r="C350" s="420"/>
      <c r="H350" s="420"/>
    </row>
    <row r="351" spans="3:8">
      <c r="C351" s="420"/>
      <c r="H351" s="420"/>
    </row>
    <row r="352" spans="3:8">
      <c r="C352" s="420"/>
      <c r="H352" s="420"/>
    </row>
    <row r="353" spans="3:8">
      <c r="C353" s="420"/>
      <c r="H353" s="420"/>
    </row>
    <row r="354" spans="3:8">
      <c r="C354" s="420"/>
      <c r="H354" s="420"/>
    </row>
    <row r="355" spans="3:8">
      <c r="C355" s="420"/>
      <c r="H355" s="420"/>
    </row>
    <row r="356" spans="3:8">
      <c r="C356" s="420"/>
      <c r="H356" s="420"/>
    </row>
    <row r="357" spans="3:8">
      <c r="C357" s="420"/>
      <c r="H357" s="420"/>
    </row>
    <row r="358" spans="3:8">
      <c r="C358" s="420"/>
      <c r="H358" s="420"/>
    </row>
    <row r="359" spans="3:8">
      <c r="C359" s="420"/>
      <c r="H359" s="420"/>
    </row>
    <row r="360" spans="3:8">
      <c r="C360" s="420"/>
      <c r="H360" s="420"/>
    </row>
    <row r="361" spans="3:8">
      <c r="C361" s="420"/>
      <c r="H361" s="420"/>
    </row>
    <row r="362" spans="3:8">
      <c r="C362" s="420"/>
      <c r="H362" s="420"/>
    </row>
    <row r="363" spans="3:8">
      <c r="C363" s="420"/>
      <c r="H363" s="420"/>
    </row>
    <row r="364" spans="3:8">
      <c r="C364" s="420"/>
      <c r="H364" s="420"/>
    </row>
    <row r="365" spans="3:8">
      <c r="C365" s="420"/>
      <c r="H365" s="420"/>
    </row>
    <row r="366" spans="3:8">
      <c r="C366" s="420"/>
      <c r="H366" s="420"/>
    </row>
    <row r="367" spans="3:8">
      <c r="C367" s="420"/>
      <c r="H367" s="420"/>
    </row>
    <row r="368" spans="3:8">
      <c r="C368" s="420"/>
      <c r="H368" s="420"/>
    </row>
    <row r="369" spans="3:8">
      <c r="C369" s="420"/>
      <c r="H369" s="420"/>
    </row>
    <row r="370" spans="3:8">
      <c r="C370" s="420"/>
      <c r="H370" s="420"/>
    </row>
    <row r="371" spans="3:8">
      <c r="C371" s="420"/>
      <c r="H371" s="420"/>
    </row>
    <row r="372" spans="3:8">
      <c r="C372" s="420"/>
      <c r="H372" s="420"/>
    </row>
    <row r="373" spans="3:8">
      <c r="C373" s="420"/>
      <c r="H373" s="420"/>
    </row>
    <row r="374" spans="3:8">
      <c r="C374" s="420"/>
      <c r="H374" s="420"/>
    </row>
    <row r="375" spans="3:8">
      <c r="C375" s="420"/>
      <c r="H375" s="420"/>
    </row>
    <row r="376" spans="3:8">
      <c r="C376" s="420"/>
      <c r="H376" s="420"/>
    </row>
    <row r="377" spans="3:8">
      <c r="C377" s="420"/>
      <c r="H377" s="420"/>
    </row>
    <row r="378" spans="3:8">
      <c r="C378" s="420"/>
      <c r="H378" s="420"/>
    </row>
    <row r="379" spans="3:8">
      <c r="C379" s="420"/>
      <c r="H379" s="420"/>
    </row>
    <row r="380" spans="3:8">
      <c r="C380" s="420"/>
      <c r="H380" s="420"/>
    </row>
    <row r="381" spans="3:8">
      <c r="C381" s="420"/>
      <c r="H381" s="420"/>
    </row>
    <row r="382" spans="3:8">
      <c r="C382" s="420"/>
      <c r="H382" s="420"/>
    </row>
    <row r="383" spans="3:8">
      <c r="C383" s="420"/>
      <c r="H383" s="420"/>
    </row>
    <row r="384" spans="3:8">
      <c r="C384" s="420"/>
      <c r="H384" s="420"/>
    </row>
    <row r="385" spans="3:8">
      <c r="C385" s="420"/>
      <c r="H385" s="420"/>
    </row>
    <row r="386" spans="3:8">
      <c r="C386" s="420"/>
      <c r="H386" s="420"/>
    </row>
    <row r="387" spans="3:8">
      <c r="C387" s="420"/>
      <c r="H387" s="420"/>
    </row>
    <row r="388" spans="3:8">
      <c r="C388" s="420"/>
      <c r="H388" s="420"/>
    </row>
    <row r="389" spans="3:8">
      <c r="C389" s="420"/>
      <c r="H389" s="420"/>
    </row>
    <row r="390" spans="3:8">
      <c r="C390" s="420"/>
      <c r="H390" s="420"/>
    </row>
    <row r="391" spans="3:8">
      <c r="C391" s="420"/>
      <c r="H391" s="420"/>
    </row>
    <row r="392" spans="3:8">
      <c r="C392" s="420"/>
      <c r="H392" s="420"/>
    </row>
    <row r="393" spans="3:8">
      <c r="C393" s="420"/>
      <c r="H393" s="420"/>
    </row>
    <row r="394" spans="3:8">
      <c r="C394" s="420"/>
      <c r="H394" s="420"/>
    </row>
    <row r="395" spans="3:8">
      <c r="C395" s="420"/>
      <c r="H395" s="420"/>
    </row>
    <row r="396" spans="3:8">
      <c r="C396" s="420"/>
      <c r="H396" s="420"/>
    </row>
    <row r="397" spans="3:8">
      <c r="C397" s="420"/>
      <c r="H397" s="420"/>
    </row>
    <row r="398" spans="3:8">
      <c r="C398" s="420"/>
      <c r="H398" s="420"/>
    </row>
    <row r="399" spans="3:8">
      <c r="C399" s="420"/>
      <c r="H399" s="420"/>
    </row>
    <row r="400" spans="3:8">
      <c r="C400" s="420"/>
      <c r="H400" s="420"/>
    </row>
    <row r="401" spans="3:8">
      <c r="C401" s="420"/>
      <c r="H401" s="420"/>
    </row>
    <row r="402" spans="3:8">
      <c r="C402" s="420"/>
      <c r="H402" s="420"/>
    </row>
    <row r="403" spans="3:8">
      <c r="C403" s="420"/>
      <c r="H403" s="420"/>
    </row>
    <row r="404" spans="3:8">
      <c r="C404" s="420"/>
      <c r="H404" s="420"/>
    </row>
    <row r="405" spans="3:8">
      <c r="C405" s="420"/>
      <c r="H405" s="420"/>
    </row>
    <row r="406" spans="3:8">
      <c r="C406" s="420"/>
      <c r="H406" s="420"/>
    </row>
    <row r="407" spans="3:8">
      <c r="C407" s="420"/>
      <c r="H407" s="420"/>
    </row>
    <row r="408" spans="3:8">
      <c r="C408" s="420"/>
      <c r="H408" s="420"/>
    </row>
    <row r="409" spans="3:8">
      <c r="C409" s="420"/>
      <c r="H409" s="420"/>
    </row>
    <row r="410" spans="3:8">
      <c r="C410" s="420"/>
      <c r="H410" s="420"/>
    </row>
    <row r="411" spans="3:8">
      <c r="C411" s="420"/>
      <c r="H411" s="420"/>
    </row>
    <row r="412" spans="3:8">
      <c r="C412" s="420"/>
      <c r="H412" s="420"/>
    </row>
    <row r="413" spans="3:8">
      <c r="C413" s="420"/>
      <c r="H413" s="420"/>
    </row>
    <row r="414" spans="3:8">
      <c r="C414" s="420"/>
      <c r="H414" s="420"/>
    </row>
    <row r="415" spans="3:8">
      <c r="C415" s="420"/>
      <c r="H415" s="420"/>
    </row>
    <row r="416" spans="3:8">
      <c r="C416" s="420"/>
      <c r="H416" s="420"/>
    </row>
    <row r="417" spans="3:8">
      <c r="C417" s="420"/>
      <c r="H417" s="420"/>
    </row>
    <row r="418" spans="3:8">
      <c r="C418" s="420"/>
      <c r="H418" s="420"/>
    </row>
    <row r="419" spans="3:8">
      <c r="C419" s="420"/>
      <c r="H419" s="420"/>
    </row>
    <row r="420" spans="3:8">
      <c r="C420" s="420"/>
      <c r="H420" s="420"/>
    </row>
    <row r="421" spans="3:8">
      <c r="C421" s="420"/>
      <c r="H421" s="420"/>
    </row>
    <row r="422" spans="3:8">
      <c r="C422" s="420"/>
      <c r="H422" s="420"/>
    </row>
    <row r="423" spans="3:8">
      <c r="C423" s="420"/>
      <c r="H423" s="420"/>
    </row>
    <row r="424" spans="3:8">
      <c r="C424" s="420"/>
      <c r="H424" s="420"/>
    </row>
    <row r="425" spans="3:8">
      <c r="C425" s="420"/>
      <c r="H425" s="420"/>
    </row>
    <row r="426" spans="3:8">
      <c r="C426" s="420"/>
      <c r="H426" s="420"/>
    </row>
    <row r="427" spans="3:8">
      <c r="C427" s="420"/>
      <c r="H427" s="420"/>
    </row>
    <row r="428" spans="3:8">
      <c r="C428" s="420"/>
      <c r="H428" s="420"/>
    </row>
    <row r="429" spans="3:8">
      <c r="C429" s="420"/>
      <c r="H429" s="420"/>
    </row>
    <row r="430" spans="3:8">
      <c r="C430" s="420"/>
      <c r="H430" s="420"/>
    </row>
    <row r="431" spans="3:8">
      <c r="C431" s="420"/>
      <c r="H431" s="420"/>
    </row>
    <row r="432" spans="3:8">
      <c r="C432" s="420"/>
      <c r="H432" s="420"/>
    </row>
    <row r="433" spans="3:8">
      <c r="C433" s="420"/>
      <c r="H433" s="420"/>
    </row>
    <row r="434" spans="3:8">
      <c r="C434" s="420"/>
      <c r="H434" s="420"/>
    </row>
    <row r="435" spans="3:8">
      <c r="C435" s="420"/>
      <c r="H435" s="420"/>
    </row>
    <row r="436" spans="3:8">
      <c r="C436" s="420"/>
      <c r="H436" s="420"/>
    </row>
    <row r="437" spans="3:8">
      <c r="C437" s="420"/>
      <c r="H437" s="420"/>
    </row>
    <row r="438" spans="3:8">
      <c r="C438" s="420"/>
      <c r="H438" s="420"/>
    </row>
    <row r="439" spans="3:8">
      <c r="C439" s="420"/>
      <c r="H439" s="420"/>
    </row>
    <row r="440" spans="3:8">
      <c r="C440" s="420"/>
      <c r="H440" s="420"/>
    </row>
    <row r="441" spans="3:8">
      <c r="C441" s="420"/>
      <c r="H441" s="420"/>
    </row>
    <row r="442" spans="3:8">
      <c r="C442" s="420"/>
      <c r="H442" s="420"/>
    </row>
    <row r="443" spans="3:8">
      <c r="C443" s="420"/>
      <c r="H443" s="420"/>
    </row>
    <row r="444" spans="3:8">
      <c r="C444" s="420"/>
      <c r="H444" s="420"/>
    </row>
    <row r="445" spans="3:8">
      <c r="C445" s="420"/>
      <c r="H445" s="420"/>
    </row>
    <row r="446" spans="3:8">
      <c r="C446" s="420"/>
      <c r="H446" s="420"/>
    </row>
    <row r="447" spans="3:8">
      <c r="C447" s="420"/>
      <c r="H447" s="420"/>
    </row>
    <row r="448" spans="3:8">
      <c r="C448" s="420"/>
      <c r="H448" s="420"/>
    </row>
    <row r="449" spans="3:8">
      <c r="C449" s="420"/>
      <c r="H449" s="420"/>
    </row>
    <row r="450" spans="3:8">
      <c r="C450" s="420"/>
      <c r="H450" s="420"/>
    </row>
    <row r="451" spans="3:8">
      <c r="C451" s="420"/>
      <c r="H451" s="420"/>
    </row>
    <row r="452" spans="3:8">
      <c r="C452" s="420"/>
      <c r="H452" s="420"/>
    </row>
    <row r="453" spans="3:8">
      <c r="C453" s="420"/>
      <c r="H453" s="420"/>
    </row>
    <row r="454" spans="3:8">
      <c r="C454" s="420"/>
      <c r="H454" s="420"/>
    </row>
    <row r="455" spans="3:8">
      <c r="C455" s="420"/>
      <c r="H455" s="420"/>
    </row>
    <row r="456" spans="3:8">
      <c r="C456" s="420"/>
      <c r="H456" s="420"/>
    </row>
    <row r="457" spans="3:8">
      <c r="C457" s="420"/>
      <c r="H457" s="420"/>
    </row>
    <row r="458" spans="3:8">
      <c r="C458" s="420"/>
      <c r="H458" s="420"/>
    </row>
    <row r="459" spans="3:8">
      <c r="C459" s="420"/>
      <c r="H459" s="420"/>
    </row>
    <row r="460" spans="3:8">
      <c r="C460" s="420"/>
      <c r="H460" s="420"/>
    </row>
    <row r="461" spans="3:8">
      <c r="C461" s="420"/>
      <c r="H461" s="420"/>
    </row>
    <row r="462" spans="3:8">
      <c r="C462" s="420"/>
      <c r="H462" s="420"/>
    </row>
    <row r="463" spans="3:8">
      <c r="C463" s="420"/>
      <c r="H463" s="420"/>
    </row>
    <row r="464" spans="3:8">
      <c r="C464" s="420"/>
      <c r="H464" s="420"/>
    </row>
    <row r="465" spans="3:8">
      <c r="C465" s="420"/>
      <c r="H465" s="420"/>
    </row>
    <row r="466" spans="3:8">
      <c r="C466" s="420"/>
      <c r="H466" s="420"/>
    </row>
    <row r="467" spans="3:8">
      <c r="C467" s="420"/>
      <c r="H467" s="420"/>
    </row>
    <row r="468" spans="3:8">
      <c r="C468" s="420"/>
      <c r="H468" s="420"/>
    </row>
    <row r="469" spans="3:8">
      <c r="C469" s="420"/>
      <c r="H469" s="420"/>
    </row>
    <row r="470" spans="3:8">
      <c r="C470" s="420"/>
      <c r="H470" s="420"/>
    </row>
    <row r="471" spans="3:8">
      <c r="C471" s="420"/>
      <c r="H471" s="420"/>
    </row>
    <row r="472" spans="3:8">
      <c r="C472" s="420"/>
      <c r="H472" s="420"/>
    </row>
    <row r="473" spans="3:8">
      <c r="C473" s="420"/>
      <c r="H473" s="420"/>
    </row>
    <row r="474" spans="3:8">
      <c r="C474" s="420"/>
      <c r="H474" s="420"/>
    </row>
    <row r="475" spans="3:8">
      <c r="C475" s="420"/>
      <c r="H475" s="420"/>
    </row>
    <row r="476" spans="3:8">
      <c r="C476" s="420"/>
      <c r="H476" s="420"/>
    </row>
    <row r="477" spans="3:8">
      <c r="C477" s="420"/>
      <c r="H477" s="420"/>
    </row>
    <row r="478" spans="3:8">
      <c r="C478" s="420"/>
      <c r="H478" s="420"/>
    </row>
    <row r="479" spans="3:8">
      <c r="C479" s="420"/>
      <c r="H479" s="420"/>
    </row>
    <row r="480" spans="3:8">
      <c r="C480" s="420"/>
      <c r="H480" s="420"/>
    </row>
    <row r="481" spans="3:8">
      <c r="C481" s="420"/>
      <c r="H481" s="420"/>
    </row>
    <row r="482" spans="3:8">
      <c r="C482" s="420"/>
      <c r="H482" s="420"/>
    </row>
    <row r="483" spans="3:8">
      <c r="C483" s="420"/>
      <c r="H483" s="420"/>
    </row>
    <row r="484" spans="3:8">
      <c r="C484" s="420"/>
      <c r="H484" s="420"/>
    </row>
    <row r="485" spans="3:8">
      <c r="C485" s="420"/>
      <c r="H485" s="420"/>
    </row>
    <row r="486" spans="3:8">
      <c r="C486" s="420"/>
      <c r="H486" s="420"/>
    </row>
    <row r="487" spans="3:8">
      <c r="C487" s="420"/>
      <c r="H487" s="420"/>
    </row>
    <row r="488" spans="3:8">
      <c r="C488" s="420"/>
      <c r="H488" s="420"/>
    </row>
    <row r="489" spans="3:8">
      <c r="C489" s="420"/>
      <c r="H489" s="420"/>
    </row>
    <row r="490" spans="3:8">
      <c r="C490" s="420"/>
      <c r="H490" s="420"/>
    </row>
    <row r="491" spans="3:8">
      <c r="C491" s="420"/>
      <c r="H491" s="420"/>
    </row>
    <row r="492" spans="3:8">
      <c r="C492" s="420"/>
      <c r="H492" s="420"/>
    </row>
    <row r="493" spans="3:8">
      <c r="C493" s="420"/>
      <c r="H493" s="420"/>
    </row>
    <row r="494" spans="3:8">
      <c r="C494" s="420"/>
      <c r="H494" s="420"/>
    </row>
    <row r="495" spans="3:8">
      <c r="C495" s="420"/>
      <c r="H495" s="420"/>
    </row>
    <row r="496" spans="3:8">
      <c r="C496" s="420"/>
      <c r="H496" s="420"/>
    </row>
    <row r="497" spans="3:8">
      <c r="C497" s="420"/>
      <c r="H497" s="420"/>
    </row>
    <row r="498" spans="3:8">
      <c r="C498" s="420"/>
      <c r="H498" s="420"/>
    </row>
    <row r="499" spans="3:8">
      <c r="C499" s="420"/>
      <c r="H499" s="420"/>
    </row>
    <row r="500" spans="3:8">
      <c r="C500" s="420"/>
      <c r="H500" s="420"/>
    </row>
    <row r="501" spans="3:8">
      <c r="C501" s="420"/>
      <c r="H501" s="420"/>
    </row>
    <row r="502" spans="3:8">
      <c r="C502" s="420"/>
      <c r="H502" s="420"/>
    </row>
    <row r="503" spans="3:8">
      <c r="C503" s="420"/>
      <c r="H503" s="420"/>
    </row>
    <row r="504" spans="3:8">
      <c r="C504" s="420"/>
      <c r="H504" s="420"/>
    </row>
    <row r="505" spans="3:8">
      <c r="C505" s="420"/>
      <c r="H505" s="420"/>
    </row>
    <row r="506" spans="3:8">
      <c r="C506" s="420"/>
      <c r="H506" s="420"/>
    </row>
    <row r="507" spans="3:8">
      <c r="C507" s="420"/>
      <c r="H507" s="420"/>
    </row>
    <row r="508" spans="3:8">
      <c r="C508" s="420"/>
      <c r="H508" s="420"/>
    </row>
    <row r="509" spans="3:8">
      <c r="C509" s="420"/>
      <c r="H509" s="420"/>
    </row>
    <row r="510" spans="3:8">
      <c r="C510" s="420"/>
      <c r="H510" s="420"/>
    </row>
    <row r="511" spans="3:8">
      <c r="C511" s="420"/>
      <c r="H511" s="420"/>
    </row>
    <row r="512" spans="3:8">
      <c r="C512" s="420"/>
      <c r="H512" s="420"/>
    </row>
    <row r="513" spans="3:8">
      <c r="C513" s="420"/>
      <c r="H513" s="420"/>
    </row>
    <row r="514" spans="3:8">
      <c r="C514" s="420"/>
      <c r="H514" s="420"/>
    </row>
    <row r="515" spans="3:8">
      <c r="C515" s="420"/>
      <c r="H515" s="420"/>
    </row>
    <row r="516" spans="3:8">
      <c r="C516" s="420"/>
      <c r="H516" s="420"/>
    </row>
    <row r="517" spans="3:8">
      <c r="C517" s="420"/>
      <c r="H517" s="420"/>
    </row>
    <row r="518" spans="3:8">
      <c r="C518" s="420"/>
      <c r="H518" s="420"/>
    </row>
    <row r="519" spans="3:8">
      <c r="C519" s="420"/>
      <c r="H519" s="420"/>
    </row>
    <row r="520" spans="3:8">
      <c r="C520" s="420"/>
      <c r="H520" s="420"/>
    </row>
    <row r="521" spans="3:8">
      <c r="C521" s="420"/>
      <c r="H521" s="420"/>
    </row>
    <row r="522" spans="3:8">
      <c r="C522" s="420"/>
      <c r="H522" s="420"/>
    </row>
    <row r="523" spans="3:8">
      <c r="C523" s="420"/>
      <c r="H523" s="420"/>
    </row>
    <row r="524" spans="3:8">
      <c r="C524" s="420"/>
      <c r="H524" s="420"/>
    </row>
    <row r="525" spans="3:8">
      <c r="C525" s="420"/>
      <c r="H525" s="420"/>
    </row>
    <row r="526" spans="3:8">
      <c r="C526" s="420"/>
      <c r="H526" s="420"/>
    </row>
    <row r="527" spans="3:8">
      <c r="C527" s="420"/>
      <c r="H527" s="420"/>
    </row>
    <row r="528" spans="3:8">
      <c r="C528" s="420"/>
      <c r="H528" s="420"/>
    </row>
    <row r="529" spans="3:8">
      <c r="C529" s="420"/>
      <c r="H529" s="420"/>
    </row>
    <row r="530" spans="3:8">
      <c r="C530" s="420"/>
      <c r="H530" s="420"/>
    </row>
    <row r="531" spans="3:8">
      <c r="C531" s="420"/>
      <c r="H531" s="420"/>
    </row>
    <row r="532" spans="3:8">
      <c r="C532" s="420"/>
      <c r="H532" s="420"/>
    </row>
    <row r="533" spans="3:8">
      <c r="C533" s="420"/>
      <c r="H533" s="420"/>
    </row>
    <row r="534" spans="3:8">
      <c r="C534" s="420"/>
      <c r="H534" s="420"/>
    </row>
    <row r="535" spans="3:8">
      <c r="C535" s="420"/>
      <c r="H535" s="420"/>
    </row>
    <row r="536" spans="3:8">
      <c r="C536" s="420"/>
      <c r="H536" s="420"/>
    </row>
    <row r="537" spans="3:8">
      <c r="C537" s="420"/>
      <c r="H537" s="420"/>
    </row>
    <row r="538" spans="3:8">
      <c r="C538" s="420"/>
      <c r="H538" s="420"/>
    </row>
    <row r="539" spans="3:8">
      <c r="C539" s="420"/>
      <c r="H539" s="420"/>
    </row>
    <row r="540" spans="3:8">
      <c r="C540" s="420"/>
      <c r="H540" s="420"/>
    </row>
    <row r="541" spans="3:8">
      <c r="C541" s="420"/>
      <c r="H541" s="420"/>
    </row>
    <row r="542" spans="3:8">
      <c r="C542" s="420"/>
      <c r="H542" s="420"/>
    </row>
    <row r="543" spans="3:8">
      <c r="C543" s="420"/>
      <c r="H543" s="420"/>
    </row>
    <row r="544" spans="3:8">
      <c r="C544" s="420"/>
      <c r="H544" s="420"/>
    </row>
    <row r="545" spans="3:8">
      <c r="C545" s="420"/>
      <c r="H545" s="420"/>
    </row>
    <row r="546" spans="3:8">
      <c r="C546" s="420"/>
      <c r="H546" s="420"/>
    </row>
    <row r="547" spans="3:8">
      <c r="C547" s="420"/>
      <c r="H547" s="420"/>
    </row>
    <row r="548" spans="3:8">
      <c r="C548" s="420"/>
      <c r="H548" s="420"/>
    </row>
    <row r="549" spans="3:8">
      <c r="C549" s="420"/>
      <c r="H549" s="420"/>
    </row>
    <row r="550" spans="3:8">
      <c r="C550" s="420"/>
      <c r="H550" s="420"/>
    </row>
    <row r="551" spans="3:8">
      <c r="C551" s="420"/>
      <c r="H551" s="420"/>
    </row>
    <row r="552" spans="3:8">
      <c r="C552" s="420"/>
      <c r="H552" s="420"/>
    </row>
    <row r="553" spans="3:8">
      <c r="C553" s="420"/>
      <c r="H553" s="420"/>
    </row>
    <row r="554" spans="3:8">
      <c r="C554" s="420"/>
      <c r="H554" s="420"/>
    </row>
    <row r="555" spans="3:8">
      <c r="C555" s="420"/>
      <c r="H555" s="420"/>
    </row>
    <row r="556" spans="3:8">
      <c r="C556" s="420"/>
      <c r="H556" s="420"/>
    </row>
    <row r="557" spans="3:8">
      <c r="C557" s="420"/>
      <c r="H557" s="420"/>
    </row>
    <row r="558" spans="3:8">
      <c r="C558" s="420"/>
      <c r="H558" s="420"/>
    </row>
    <row r="559" spans="3:8">
      <c r="C559" s="420"/>
      <c r="H559" s="420"/>
    </row>
    <row r="560" spans="3:8">
      <c r="C560" s="420"/>
      <c r="H560" s="420"/>
    </row>
    <row r="561" spans="3:8">
      <c r="C561" s="420"/>
      <c r="H561" s="420"/>
    </row>
    <row r="562" spans="3:8">
      <c r="C562" s="420"/>
      <c r="H562" s="420"/>
    </row>
    <row r="563" spans="3:8">
      <c r="C563" s="420"/>
      <c r="H563" s="420"/>
    </row>
    <row r="564" spans="3:8">
      <c r="C564" s="420"/>
      <c r="H564" s="420"/>
    </row>
    <row r="565" spans="3:8">
      <c r="C565" s="420"/>
      <c r="H565" s="420"/>
    </row>
    <row r="566" spans="3:8">
      <c r="C566" s="420"/>
      <c r="H566" s="420"/>
    </row>
    <row r="567" spans="3:8">
      <c r="C567" s="420"/>
      <c r="H567" s="420"/>
    </row>
    <row r="568" spans="3:8">
      <c r="C568" s="420"/>
      <c r="H568" s="420"/>
    </row>
    <row r="569" spans="3:8">
      <c r="C569" s="420"/>
      <c r="H569" s="420"/>
    </row>
    <row r="570" spans="3:8">
      <c r="C570" s="420"/>
      <c r="H570" s="420"/>
    </row>
    <row r="571" spans="3:8">
      <c r="C571" s="420"/>
      <c r="H571" s="420"/>
    </row>
    <row r="572" spans="3:8">
      <c r="C572" s="420"/>
      <c r="H572" s="420"/>
    </row>
    <row r="573" spans="3:8">
      <c r="C573" s="420"/>
      <c r="H573" s="420"/>
    </row>
    <row r="574" spans="3:8">
      <c r="C574" s="420"/>
      <c r="H574" s="420"/>
    </row>
    <row r="575" spans="3:8">
      <c r="C575" s="420"/>
      <c r="H575" s="420"/>
    </row>
    <row r="576" spans="3:8">
      <c r="C576" s="420"/>
      <c r="H576" s="420"/>
    </row>
    <row r="577" spans="3:8">
      <c r="C577" s="420"/>
      <c r="H577" s="420"/>
    </row>
    <row r="578" spans="3:8">
      <c r="C578" s="420"/>
      <c r="H578" s="420"/>
    </row>
    <row r="579" spans="3:8">
      <c r="C579" s="420"/>
      <c r="H579" s="420"/>
    </row>
    <row r="580" spans="3:8">
      <c r="C580" s="420"/>
      <c r="H580" s="420"/>
    </row>
    <row r="581" spans="3:8">
      <c r="C581" s="420"/>
      <c r="H581" s="420"/>
    </row>
    <row r="582" spans="3:8">
      <c r="C582" s="420"/>
      <c r="H582" s="420"/>
    </row>
    <row r="583" spans="3:8">
      <c r="C583" s="420"/>
      <c r="H583" s="420"/>
    </row>
    <row r="584" spans="3:8">
      <c r="C584" s="420"/>
      <c r="H584" s="420"/>
    </row>
    <row r="585" spans="3:8">
      <c r="C585" s="420"/>
      <c r="H585" s="420"/>
    </row>
    <row r="586" spans="3:8">
      <c r="C586" s="420"/>
      <c r="H586" s="420"/>
    </row>
    <row r="587" spans="3:8">
      <c r="C587" s="420"/>
      <c r="H587" s="420"/>
    </row>
    <row r="588" spans="3:8">
      <c r="C588" s="420"/>
      <c r="H588" s="420"/>
    </row>
    <row r="589" spans="3:8">
      <c r="C589" s="420"/>
      <c r="H589" s="420"/>
    </row>
    <row r="590" spans="3:8">
      <c r="C590" s="420"/>
      <c r="H590" s="420"/>
    </row>
    <row r="591" spans="3:8">
      <c r="C591" s="420"/>
      <c r="H591" s="420"/>
    </row>
    <row r="592" spans="3:8">
      <c r="C592" s="420"/>
      <c r="H592" s="420"/>
    </row>
    <row r="593" spans="3:8">
      <c r="C593" s="420"/>
      <c r="H593" s="420"/>
    </row>
    <row r="594" spans="3:8">
      <c r="C594" s="420"/>
      <c r="H594" s="420"/>
    </row>
    <row r="595" spans="3:8">
      <c r="C595" s="420"/>
      <c r="H595" s="420"/>
    </row>
    <row r="596" spans="3:8">
      <c r="C596" s="420"/>
      <c r="H596" s="420"/>
    </row>
    <row r="597" spans="3:8">
      <c r="C597" s="420"/>
      <c r="H597" s="420"/>
    </row>
    <row r="598" spans="3:8">
      <c r="C598" s="420"/>
      <c r="H598" s="420"/>
    </row>
    <row r="599" spans="3:8">
      <c r="C599" s="420"/>
      <c r="H599" s="420"/>
    </row>
    <row r="600" spans="3:8">
      <c r="C600" s="420"/>
      <c r="H600" s="420"/>
    </row>
    <row r="601" spans="3:8">
      <c r="C601" s="420"/>
      <c r="H601" s="420"/>
    </row>
    <row r="602" spans="3:8">
      <c r="C602" s="420"/>
      <c r="H602" s="420"/>
    </row>
    <row r="603" spans="3:8">
      <c r="C603" s="420"/>
      <c r="H603" s="420"/>
    </row>
    <row r="604" spans="3:8">
      <c r="C604" s="420"/>
      <c r="H604" s="420"/>
    </row>
    <row r="605" spans="3:8">
      <c r="C605" s="420"/>
      <c r="H605" s="420"/>
    </row>
    <row r="606" spans="3:8">
      <c r="C606" s="420"/>
      <c r="H606" s="420"/>
    </row>
    <row r="607" spans="3:8">
      <c r="C607" s="420"/>
      <c r="H607" s="420"/>
    </row>
    <row r="608" spans="3:8">
      <c r="C608" s="420"/>
      <c r="H608" s="420"/>
    </row>
    <row r="609" spans="3:8">
      <c r="C609" s="420"/>
      <c r="H609" s="420"/>
    </row>
    <row r="610" spans="3:8">
      <c r="C610" s="420"/>
      <c r="H610" s="420"/>
    </row>
    <row r="611" spans="3:8">
      <c r="C611" s="420"/>
      <c r="H611" s="420"/>
    </row>
    <row r="612" spans="3:8">
      <c r="C612" s="420"/>
      <c r="H612" s="420"/>
    </row>
    <row r="613" spans="3:8">
      <c r="C613" s="420"/>
      <c r="H613" s="420"/>
    </row>
    <row r="614" spans="3:8">
      <c r="C614" s="420"/>
      <c r="H614" s="420"/>
    </row>
    <row r="615" spans="3:8">
      <c r="C615" s="420"/>
      <c r="H615" s="420"/>
    </row>
    <row r="616" spans="3:8">
      <c r="C616" s="420"/>
      <c r="H616" s="420"/>
    </row>
    <row r="617" spans="3:8">
      <c r="C617" s="420"/>
      <c r="H617" s="420"/>
    </row>
    <row r="618" spans="3:8">
      <c r="C618" s="420"/>
      <c r="H618" s="420"/>
    </row>
    <row r="619" spans="3:8">
      <c r="C619" s="420"/>
      <c r="H619" s="420"/>
    </row>
    <row r="620" spans="3:8">
      <c r="C620" s="420"/>
      <c r="H620" s="420"/>
    </row>
    <row r="621" spans="3:8">
      <c r="C621" s="420"/>
      <c r="H621" s="420"/>
    </row>
    <row r="622" spans="3:8">
      <c r="C622" s="420"/>
      <c r="H622" s="420"/>
    </row>
    <row r="623" spans="3:8">
      <c r="C623" s="420"/>
      <c r="H623" s="420"/>
    </row>
    <row r="624" spans="3:8">
      <c r="C624" s="420"/>
      <c r="H624" s="420"/>
    </row>
    <row r="625" spans="3:8">
      <c r="C625" s="420"/>
      <c r="H625" s="420"/>
    </row>
    <row r="626" spans="3:8">
      <c r="C626" s="420"/>
      <c r="H626" s="420"/>
    </row>
    <row r="627" spans="3:8">
      <c r="C627" s="420"/>
      <c r="H627" s="420"/>
    </row>
    <row r="628" spans="3:8">
      <c r="C628" s="420"/>
      <c r="H628" s="420"/>
    </row>
    <row r="629" spans="3:8">
      <c r="C629" s="420"/>
      <c r="H629" s="420"/>
    </row>
    <row r="630" spans="3:8">
      <c r="C630" s="420"/>
      <c r="H630" s="420"/>
    </row>
    <row r="631" spans="3:8">
      <c r="C631" s="420"/>
      <c r="H631" s="420"/>
    </row>
    <row r="632" spans="3:8">
      <c r="C632" s="420"/>
      <c r="H632" s="420"/>
    </row>
    <row r="633" spans="3:8">
      <c r="C633" s="420"/>
      <c r="H633" s="420"/>
    </row>
    <row r="634" spans="3:8">
      <c r="C634" s="420"/>
      <c r="H634" s="420"/>
    </row>
    <row r="635" spans="3:8">
      <c r="C635" s="420"/>
      <c r="H635" s="420"/>
    </row>
    <row r="636" spans="3:8">
      <c r="C636" s="420"/>
      <c r="H636" s="420"/>
    </row>
    <row r="637" spans="3:8">
      <c r="C637" s="420"/>
      <c r="H637" s="420"/>
    </row>
    <row r="638" spans="3:8">
      <c r="C638" s="420"/>
      <c r="H638" s="420"/>
    </row>
    <row r="639" spans="3:8">
      <c r="C639" s="420"/>
      <c r="H639" s="420"/>
    </row>
    <row r="640" spans="3:8">
      <c r="C640" s="420"/>
      <c r="H640" s="420"/>
    </row>
    <row r="641" spans="3:8">
      <c r="C641" s="420"/>
      <c r="H641" s="420"/>
    </row>
    <row r="642" spans="3:8">
      <c r="C642" s="420"/>
      <c r="H642" s="420"/>
    </row>
    <row r="643" spans="3:8">
      <c r="C643" s="420"/>
      <c r="H643" s="420"/>
    </row>
    <row r="644" spans="3:8">
      <c r="C644" s="420"/>
      <c r="H644" s="420"/>
    </row>
    <row r="645" spans="3:8">
      <c r="C645" s="420"/>
      <c r="H645" s="420"/>
    </row>
    <row r="646" spans="3:8">
      <c r="C646" s="420"/>
      <c r="H646" s="420"/>
    </row>
    <row r="647" spans="3:8">
      <c r="C647" s="420"/>
      <c r="H647" s="420"/>
    </row>
    <row r="648" spans="3:8">
      <c r="C648" s="420"/>
      <c r="H648" s="420"/>
    </row>
    <row r="649" spans="3:8">
      <c r="C649" s="420"/>
      <c r="H649" s="420"/>
    </row>
    <row r="650" spans="3:8">
      <c r="C650" s="420"/>
      <c r="H650" s="420"/>
    </row>
    <row r="651" spans="3:8">
      <c r="C651" s="420"/>
      <c r="H651" s="420"/>
    </row>
    <row r="652" spans="3:8">
      <c r="C652" s="420"/>
      <c r="H652" s="420"/>
    </row>
    <row r="653" spans="3:8">
      <c r="C653" s="420"/>
      <c r="H653" s="420"/>
    </row>
    <row r="654" spans="3:8">
      <c r="C654" s="420"/>
      <c r="H654" s="420"/>
    </row>
    <row r="655" spans="3:8">
      <c r="C655" s="420"/>
      <c r="H655" s="420"/>
    </row>
    <row r="656" spans="3:8">
      <c r="C656" s="420"/>
      <c r="H656" s="420"/>
    </row>
    <row r="657" spans="3:8">
      <c r="C657" s="420"/>
      <c r="H657" s="420"/>
    </row>
    <row r="658" spans="3:8">
      <c r="C658" s="420"/>
      <c r="H658" s="420"/>
    </row>
    <row r="659" spans="3:8">
      <c r="C659" s="420"/>
      <c r="H659" s="420"/>
    </row>
    <row r="660" spans="3:8">
      <c r="C660" s="420"/>
      <c r="H660" s="420"/>
    </row>
    <row r="661" spans="3:8">
      <c r="C661" s="420"/>
      <c r="H661" s="420"/>
    </row>
    <row r="662" spans="3:8">
      <c r="C662" s="420"/>
      <c r="H662" s="420"/>
    </row>
    <row r="663" spans="3:8">
      <c r="C663" s="420"/>
      <c r="H663" s="420"/>
    </row>
    <row r="664" spans="3:8">
      <c r="C664" s="420"/>
      <c r="H664" s="420"/>
    </row>
    <row r="665" spans="3:8">
      <c r="C665" s="420"/>
      <c r="H665" s="420"/>
    </row>
    <row r="666" spans="3:8">
      <c r="C666" s="420"/>
      <c r="H666" s="420"/>
    </row>
    <row r="667" spans="3:8">
      <c r="C667" s="420"/>
      <c r="H667" s="420"/>
    </row>
    <row r="668" spans="3:8">
      <c r="C668" s="420"/>
      <c r="H668" s="420"/>
    </row>
    <row r="669" spans="3:8">
      <c r="C669" s="420"/>
      <c r="H669" s="420"/>
    </row>
    <row r="670" spans="3:8">
      <c r="C670" s="420"/>
      <c r="H670" s="420"/>
    </row>
    <row r="671" spans="3:8">
      <c r="C671" s="420"/>
      <c r="H671" s="420"/>
    </row>
    <row r="672" spans="3:8">
      <c r="C672" s="420"/>
      <c r="H672" s="420"/>
    </row>
    <row r="673" spans="3:8">
      <c r="C673" s="420"/>
      <c r="H673" s="420"/>
    </row>
    <row r="674" spans="3:8">
      <c r="C674" s="420"/>
      <c r="H674" s="420"/>
    </row>
    <row r="675" spans="3:8">
      <c r="C675" s="420"/>
      <c r="H675" s="420"/>
    </row>
    <row r="676" spans="3:8">
      <c r="C676" s="420"/>
      <c r="H676" s="420"/>
    </row>
    <row r="677" spans="3:8">
      <c r="C677" s="420"/>
      <c r="H677" s="420"/>
    </row>
    <row r="678" spans="3:8">
      <c r="C678" s="420"/>
      <c r="H678" s="420"/>
    </row>
    <row r="679" spans="3:8">
      <c r="C679" s="420"/>
      <c r="H679" s="420"/>
    </row>
    <row r="680" spans="3:8">
      <c r="C680" s="420"/>
      <c r="H680" s="420"/>
    </row>
    <row r="681" spans="3:8">
      <c r="C681" s="420"/>
      <c r="H681" s="420"/>
    </row>
    <row r="682" spans="3:8">
      <c r="C682" s="420"/>
      <c r="H682" s="420"/>
    </row>
    <row r="683" spans="3:8">
      <c r="C683" s="420"/>
      <c r="H683" s="420"/>
    </row>
    <row r="684" spans="3:8">
      <c r="C684" s="420"/>
      <c r="H684" s="420"/>
    </row>
    <row r="685" spans="3:8">
      <c r="C685" s="420"/>
      <c r="H685" s="420"/>
    </row>
    <row r="686" spans="3:8">
      <c r="C686" s="420"/>
      <c r="H686" s="420"/>
    </row>
    <row r="687" spans="3:8">
      <c r="C687" s="420"/>
      <c r="H687" s="420"/>
    </row>
    <row r="688" spans="3:8">
      <c r="C688" s="420"/>
      <c r="H688" s="420"/>
    </row>
    <row r="689" spans="3:8">
      <c r="C689" s="420"/>
      <c r="H689" s="420"/>
    </row>
    <row r="690" spans="3:8">
      <c r="C690" s="420"/>
      <c r="H690" s="420"/>
    </row>
    <row r="691" spans="3:8">
      <c r="C691" s="420"/>
      <c r="H691" s="420"/>
    </row>
    <row r="692" spans="3:8">
      <c r="C692" s="420"/>
      <c r="H692" s="420"/>
    </row>
    <row r="693" spans="3:8">
      <c r="C693" s="420"/>
      <c r="H693" s="420"/>
    </row>
    <row r="694" spans="3:8">
      <c r="C694" s="420"/>
      <c r="H694" s="420"/>
    </row>
    <row r="695" spans="3:8">
      <c r="C695" s="420"/>
      <c r="H695" s="420"/>
    </row>
    <row r="696" spans="3:8">
      <c r="C696" s="420"/>
      <c r="H696" s="420"/>
    </row>
    <row r="697" spans="3:8">
      <c r="C697" s="420"/>
      <c r="H697" s="420"/>
    </row>
    <row r="698" spans="3:8">
      <c r="C698" s="420"/>
      <c r="H698" s="420"/>
    </row>
    <row r="699" spans="3:8">
      <c r="C699" s="420"/>
      <c r="H699" s="420"/>
    </row>
    <row r="700" spans="3:8">
      <c r="C700" s="420"/>
      <c r="H700" s="420"/>
    </row>
    <row r="701" spans="3:8">
      <c r="C701" s="420"/>
      <c r="H701" s="420"/>
    </row>
    <row r="702" spans="3:8">
      <c r="C702" s="420"/>
      <c r="H702" s="420"/>
    </row>
    <row r="703" spans="3:8">
      <c r="C703" s="420"/>
      <c r="H703" s="420"/>
    </row>
    <row r="704" spans="3:8">
      <c r="C704" s="420"/>
      <c r="H704" s="420"/>
    </row>
    <row r="705" spans="3:8">
      <c r="C705" s="420"/>
      <c r="H705" s="420"/>
    </row>
    <row r="706" spans="3:8">
      <c r="C706" s="420"/>
      <c r="H706" s="420"/>
    </row>
    <row r="707" spans="3:8">
      <c r="C707" s="420"/>
      <c r="H707" s="420"/>
    </row>
    <row r="708" spans="3:8">
      <c r="C708" s="420"/>
      <c r="H708" s="420"/>
    </row>
    <row r="709" spans="3:8">
      <c r="C709" s="420"/>
      <c r="H709" s="420"/>
    </row>
    <row r="710" spans="3:8">
      <c r="C710" s="420"/>
      <c r="H710" s="420"/>
    </row>
    <row r="711" spans="3:8">
      <c r="C711" s="420"/>
      <c r="H711" s="420"/>
    </row>
    <row r="712" spans="3:8">
      <c r="C712" s="420"/>
      <c r="H712" s="420"/>
    </row>
    <row r="713" spans="3:8">
      <c r="C713" s="420"/>
      <c r="H713" s="420"/>
    </row>
    <row r="714" spans="3:8">
      <c r="C714" s="420"/>
      <c r="H714" s="420"/>
    </row>
    <row r="715" spans="3:8">
      <c r="C715" s="420"/>
      <c r="H715" s="420"/>
    </row>
    <row r="716" spans="3:8">
      <c r="C716" s="420"/>
      <c r="H716" s="420"/>
    </row>
    <row r="717" spans="3:8">
      <c r="C717" s="420"/>
      <c r="H717" s="420"/>
    </row>
    <row r="718" spans="3:8">
      <c r="C718" s="420"/>
      <c r="H718" s="420"/>
    </row>
    <row r="719" spans="3:8">
      <c r="C719" s="420"/>
      <c r="H719" s="420"/>
    </row>
    <row r="720" spans="3:8">
      <c r="C720" s="420"/>
      <c r="H720" s="420"/>
    </row>
    <row r="721" spans="3:8">
      <c r="C721" s="420"/>
      <c r="H721" s="420"/>
    </row>
    <row r="722" spans="3:8">
      <c r="C722" s="420"/>
      <c r="H722" s="420"/>
    </row>
    <row r="723" spans="3:8">
      <c r="C723" s="420"/>
      <c r="H723" s="420"/>
    </row>
    <row r="724" spans="3:8">
      <c r="C724" s="420"/>
      <c r="H724" s="420"/>
    </row>
    <row r="725" spans="3:8">
      <c r="C725" s="420"/>
      <c r="H725" s="420"/>
    </row>
    <row r="726" spans="3:8">
      <c r="C726" s="420"/>
      <c r="H726" s="420"/>
    </row>
    <row r="727" spans="3:8">
      <c r="C727" s="420"/>
      <c r="H727" s="420"/>
    </row>
    <row r="728" spans="3:8">
      <c r="C728" s="420"/>
      <c r="H728" s="420"/>
    </row>
    <row r="729" spans="3:8">
      <c r="C729" s="420"/>
      <c r="H729" s="420"/>
    </row>
    <row r="730" spans="3:8">
      <c r="C730" s="420"/>
      <c r="H730" s="420"/>
    </row>
    <row r="731" spans="3:8">
      <c r="C731" s="420"/>
      <c r="H731" s="420"/>
    </row>
    <row r="732" spans="3:8">
      <c r="C732" s="420"/>
      <c r="H732" s="420"/>
    </row>
    <row r="733" spans="3:8">
      <c r="C733" s="420"/>
      <c r="H733" s="420"/>
    </row>
    <row r="734" spans="3:8">
      <c r="C734" s="420"/>
      <c r="H734" s="420"/>
    </row>
    <row r="735" spans="3:8">
      <c r="C735" s="420"/>
      <c r="H735" s="420"/>
    </row>
    <row r="736" spans="3:8">
      <c r="C736" s="420"/>
      <c r="H736" s="420"/>
    </row>
    <row r="737" spans="3:8">
      <c r="C737" s="420"/>
      <c r="H737" s="420"/>
    </row>
    <row r="738" spans="3:8">
      <c r="C738" s="420"/>
      <c r="H738" s="420"/>
    </row>
    <row r="739" spans="3:8">
      <c r="C739" s="420"/>
      <c r="H739" s="420"/>
    </row>
    <row r="740" spans="3:8">
      <c r="C740" s="420"/>
      <c r="H740" s="420"/>
    </row>
    <row r="741" spans="3:8">
      <c r="C741" s="420"/>
      <c r="H741" s="420"/>
    </row>
    <row r="742" spans="3:8">
      <c r="C742" s="420"/>
      <c r="H742" s="420"/>
    </row>
    <row r="743" spans="3:8">
      <c r="C743" s="420"/>
      <c r="H743" s="420"/>
    </row>
    <row r="744" spans="3:8">
      <c r="C744" s="420"/>
      <c r="H744" s="420"/>
    </row>
    <row r="745" spans="3:8">
      <c r="C745" s="420"/>
      <c r="H745" s="420"/>
    </row>
    <row r="746" spans="3:8">
      <c r="C746" s="420"/>
      <c r="H746" s="420"/>
    </row>
    <row r="747" spans="3:8">
      <c r="C747" s="420"/>
      <c r="H747" s="420"/>
    </row>
    <row r="748" spans="3:8">
      <c r="C748" s="420"/>
      <c r="H748" s="420"/>
    </row>
    <row r="749" spans="3:8">
      <c r="C749" s="420"/>
      <c r="H749" s="420"/>
    </row>
    <row r="750" spans="3:8">
      <c r="C750" s="420"/>
      <c r="H750" s="420"/>
    </row>
    <row r="751" spans="3:8">
      <c r="C751" s="420"/>
      <c r="H751" s="420"/>
    </row>
    <row r="752" spans="3:8">
      <c r="C752" s="420"/>
      <c r="H752" s="420"/>
    </row>
    <row r="753" spans="3:8">
      <c r="C753" s="420"/>
      <c r="H753" s="420"/>
    </row>
    <row r="754" spans="3:8">
      <c r="C754" s="420"/>
      <c r="H754" s="420"/>
    </row>
    <row r="755" spans="3:8">
      <c r="C755" s="420"/>
      <c r="H755" s="420"/>
    </row>
    <row r="756" spans="3:8">
      <c r="C756" s="420"/>
      <c r="H756" s="420"/>
    </row>
    <row r="757" spans="3:8">
      <c r="C757" s="420"/>
      <c r="H757" s="420"/>
    </row>
    <row r="758" spans="3:8">
      <c r="C758" s="420"/>
      <c r="H758" s="420"/>
    </row>
    <row r="759" spans="3:8">
      <c r="C759" s="420"/>
      <c r="H759" s="420"/>
    </row>
    <row r="760" spans="3:8">
      <c r="C760" s="420"/>
      <c r="H760" s="420"/>
    </row>
    <row r="761" spans="3:8">
      <c r="C761" s="420"/>
      <c r="H761" s="420"/>
    </row>
    <row r="762" spans="3:8">
      <c r="C762" s="420"/>
      <c r="H762" s="420"/>
    </row>
    <row r="763" spans="3:8">
      <c r="C763" s="420"/>
      <c r="H763" s="420"/>
    </row>
    <row r="764" spans="3:8">
      <c r="C764" s="420"/>
      <c r="H764" s="420"/>
    </row>
    <row r="765" spans="3:8">
      <c r="C765" s="420"/>
      <c r="H765" s="420"/>
    </row>
    <row r="766" spans="3:8">
      <c r="C766" s="420"/>
      <c r="H766" s="420"/>
    </row>
    <row r="767" spans="3:8">
      <c r="C767" s="420"/>
      <c r="H767" s="420"/>
    </row>
    <row r="768" spans="3:8">
      <c r="C768" s="420"/>
      <c r="H768" s="420"/>
    </row>
    <row r="769" spans="3:8">
      <c r="C769" s="420"/>
      <c r="H769" s="420"/>
    </row>
    <row r="770" spans="3:8">
      <c r="C770" s="420"/>
      <c r="H770" s="420"/>
    </row>
    <row r="771" spans="3:8">
      <c r="C771" s="420"/>
      <c r="H771" s="420"/>
    </row>
    <row r="772" spans="3:8">
      <c r="C772" s="420"/>
      <c r="H772" s="420"/>
    </row>
    <row r="773" spans="3:8">
      <c r="C773" s="420"/>
      <c r="H773" s="420"/>
    </row>
    <row r="774" spans="3:8">
      <c r="C774" s="420"/>
      <c r="H774" s="420"/>
    </row>
    <row r="775" spans="3:8">
      <c r="C775" s="420"/>
      <c r="H775" s="420"/>
    </row>
    <row r="776" spans="3:8">
      <c r="C776" s="420"/>
      <c r="H776" s="420"/>
    </row>
    <row r="777" spans="3:8">
      <c r="C777" s="420"/>
      <c r="H777" s="420"/>
    </row>
    <row r="778" spans="3:8">
      <c r="C778" s="420"/>
      <c r="H778" s="420"/>
    </row>
    <row r="779" spans="3:8">
      <c r="C779" s="420"/>
      <c r="H779" s="420"/>
    </row>
    <row r="780" spans="3:8">
      <c r="C780" s="420"/>
      <c r="H780" s="420"/>
    </row>
    <row r="781" spans="3:8">
      <c r="C781" s="420"/>
      <c r="H781" s="420"/>
    </row>
    <row r="782" spans="3:8">
      <c r="C782" s="420"/>
      <c r="H782" s="420"/>
    </row>
    <row r="783" spans="3:8">
      <c r="C783" s="420"/>
      <c r="H783" s="420"/>
    </row>
    <row r="784" spans="3:8">
      <c r="C784" s="420"/>
      <c r="H784" s="420"/>
    </row>
    <row r="785" spans="3:8">
      <c r="C785" s="420"/>
      <c r="H785" s="420"/>
    </row>
    <row r="786" spans="3:8">
      <c r="C786" s="420"/>
      <c r="H786" s="420"/>
    </row>
    <row r="787" spans="3:8">
      <c r="C787" s="420"/>
      <c r="H787" s="420"/>
    </row>
    <row r="788" spans="3:8">
      <c r="C788" s="420"/>
      <c r="H788" s="420"/>
    </row>
    <row r="789" spans="3:8">
      <c r="C789" s="420"/>
      <c r="H789" s="420"/>
    </row>
    <row r="790" spans="3:8">
      <c r="C790" s="420"/>
      <c r="H790" s="420"/>
    </row>
    <row r="791" spans="3:8">
      <c r="C791" s="420"/>
      <c r="H791" s="420"/>
    </row>
    <row r="792" spans="3:8">
      <c r="C792" s="420"/>
      <c r="H792" s="420"/>
    </row>
    <row r="793" spans="3:8">
      <c r="C793" s="420"/>
      <c r="H793" s="420"/>
    </row>
    <row r="794" spans="3:8">
      <c r="C794" s="420"/>
      <c r="H794" s="420"/>
    </row>
    <row r="795" spans="3:8">
      <c r="C795" s="420"/>
      <c r="H795" s="420"/>
    </row>
    <row r="796" spans="3:8">
      <c r="C796" s="420"/>
      <c r="H796" s="420"/>
    </row>
    <row r="797" spans="3:8">
      <c r="C797" s="420"/>
      <c r="H797" s="420"/>
    </row>
    <row r="798" spans="3:8">
      <c r="C798" s="420"/>
      <c r="H798" s="420"/>
    </row>
    <row r="799" spans="3:8">
      <c r="C799" s="420"/>
      <c r="H799" s="420"/>
    </row>
    <row r="800" spans="3:8">
      <c r="C800" s="420"/>
      <c r="H800" s="420"/>
    </row>
    <row r="801" spans="3:8">
      <c r="C801" s="420"/>
      <c r="H801" s="420"/>
    </row>
    <row r="802" spans="3:8">
      <c r="C802" s="420"/>
      <c r="H802" s="420"/>
    </row>
    <row r="803" spans="3:8">
      <c r="C803" s="420"/>
      <c r="H803" s="420"/>
    </row>
    <row r="804" spans="3:8">
      <c r="C804" s="420"/>
      <c r="H804" s="420"/>
    </row>
    <row r="805" spans="3:8">
      <c r="C805" s="420"/>
      <c r="H805" s="420"/>
    </row>
    <row r="806" spans="3:8">
      <c r="C806" s="420"/>
      <c r="H806" s="420"/>
    </row>
    <row r="807" spans="3:8">
      <c r="C807" s="420"/>
      <c r="H807" s="420"/>
    </row>
    <row r="808" spans="3:8">
      <c r="C808" s="420"/>
      <c r="H808" s="420"/>
    </row>
    <row r="809" spans="3:8">
      <c r="C809" s="420"/>
      <c r="H809" s="420"/>
    </row>
    <row r="810" spans="3:8">
      <c r="C810" s="420"/>
      <c r="H810" s="420"/>
    </row>
    <row r="811" spans="3:8">
      <c r="C811" s="420"/>
      <c r="H811" s="420"/>
    </row>
    <row r="812" spans="3:8">
      <c r="C812" s="420"/>
      <c r="H812" s="420"/>
    </row>
    <row r="813" spans="3:8">
      <c r="C813" s="420"/>
      <c r="H813" s="420"/>
    </row>
    <row r="814" spans="3:8">
      <c r="C814" s="420"/>
      <c r="H814" s="420"/>
    </row>
    <row r="815" spans="3:8">
      <c r="C815" s="420"/>
      <c r="H815" s="420"/>
    </row>
    <row r="816" spans="3:8">
      <c r="C816" s="420"/>
      <c r="H816" s="420"/>
    </row>
    <row r="817" spans="3:8">
      <c r="C817" s="420"/>
      <c r="H817" s="420"/>
    </row>
    <row r="818" spans="3:8">
      <c r="C818" s="420"/>
      <c r="H818" s="420"/>
    </row>
    <row r="819" spans="3:8">
      <c r="C819" s="420"/>
      <c r="H819" s="420"/>
    </row>
    <row r="820" spans="3:8">
      <c r="C820" s="420"/>
      <c r="H820" s="420"/>
    </row>
    <row r="821" spans="3:8">
      <c r="C821" s="420"/>
      <c r="H821" s="420"/>
    </row>
    <row r="822" spans="3:8">
      <c r="C822" s="420"/>
      <c r="H822" s="420"/>
    </row>
    <row r="823" spans="3:8">
      <c r="C823" s="420"/>
      <c r="H823" s="420"/>
    </row>
    <row r="824" spans="3:8">
      <c r="C824" s="420"/>
      <c r="H824" s="420"/>
    </row>
    <row r="825" spans="3:8">
      <c r="C825" s="420"/>
      <c r="H825" s="420"/>
    </row>
    <row r="826" spans="3:8">
      <c r="C826" s="420"/>
      <c r="H826" s="420"/>
    </row>
    <row r="827" spans="3:8">
      <c r="C827" s="420"/>
      <c r="H827" s="420"/>
    </row>
    <row r="828" spans="3:8">
      <c r="C828" s="420"/>
      <c r="H828" s="420"/>
    </row>
    <row r="829" spans="3:8">
      <c r="C829" s="420"/>
      <c r="H829" s="420"/>
    </row>
    <row r="830" spans="3:8">
      <c r="C830" s="420"/>
      <c r="H830" s="420"/>
    </row>
    <row r="831" spans="3:8">
      <c r="C831" s="420"/>
      <c r="H831" s="420"/>
    </row>
    <row r="832" spans="3:8">
      <c r="C832" s="420"/>
      <c r="H832" s="420"/>
    </row>
    <row r="833" spans="3:8">
      <c r="C833" s="420"/>
      <c r="H833" s="420"/>
    </row>
    <row r="834" spans="3:8">
      <c r="C834" s="420"/>
      <c r="H834" s="420"/>
    </row>
    <row r="835" spans="3:8">
      <c r="C835" s="420"/>
      <c r="H835" s="420"/>
    </row>
    <row r="836" spans="3:8">
      <c r="C836" s="420"/>
      <c r="H836" s="420"/>
    </row>
    <row r="837" spans="3:8">
      <c r="C837" s="420"/>
      <c r="H837" s="420"/>
    </row>
    <row r="838" spans="3:8">
      <c r="C838" s="420"/>
      <c r="H838" s="420"/>
    </row>
    <row r="839" spans="3:8">
      <c r="C839" s="420"/>
      <c r="H839" s="420"/>
    </row>
    <row r="840" spans="3:8">
      <c r="C840" s="420"/>
      <c r="H840" s="420"/>
    </row>
    <row r="841" spans="3:8">
      <c r="C841" s="420"/>
      <c r="H841" s="420"/>
    </row>
    <row r="842" spans="3:8">
      <c r="C842" s="420"/>
      <c r="H842" s="420"/>
    </row>
    <row r="843" spans="3:8">
      <c r="C843" s="420"/>
      <c r="H843" s="420"/>
    </row>
    <row r="844" spans="3:8">
      <c r="C844" s="420"/>
      <c r="H844" s="420"/>
    </row>
    <row r="845" spans="3:8">
      <c r="C845" s="420"/>
      <c r="H845" s="420"/>
    </row>
    <row r="846" spans="3:8">
      <c r="C846" s="420"/>
      <c r="H846" s="420"/>
    </row>
    <row r="847" spans="3:8">
      <c r="C847" s="420"/>
      <c r="H847" s="420"/>
    </row>
    <row r="848" spans="3:8">
      <c r="C848" s="420"/>
      <c r="H848" s="420"/>
    </row>
    <row r="849" spans="3:8">
      <c r="C849" s="420"/>
      <c r="H849" s="420"/>
    </row>
    <row r="850" spans="3:8">
      <c r="C850" s="420"/>
      <c r="H850" s="420"/>
    </row>
    <row r="851" spans="3:8">
      <c r="C851" s="420"/>
      <c r="H851" s="420"/>
    </row>
    <row r="852" spans="3:8">
      <c r="C852" s="420"/>
      <c r="H852" s="420"/>
    </row>
    <row r="853" spans="3:8">
      <c r="C853" s="420"/>
      <c r="H853" s="420"/>
    </row>
    <row r="854" spans="3:8">
      <c r="C854" s="420"/>
      <c r="H854" s="420"/>
    </row>
    <row r="855" spans="3:8">
      <c r="C855" s="420"/>
      <c r="H855" s="420"/>
    </row>
    <row r="856" spans="3:8">
      <c r="C856" s="420"/>
      <c r="H856" s="420"/>
    </row>
    <row r="857" spans="3:8">
      <c r="C857" s="420"/>
      <c r="H857" s="420"/>
    </row>
    <row r="858" spans="3:8">
      <c r="C858" s="420"/>
      <c r="H858" s="420"/>
    </row>
    <row r="859" spans="3:8">
      <c r="C859" s="420"/>
      <c r="H859" s="420"/>
    </row>
    <row r="860" spans="3:8">
      <c r="C860" s="420"/>
      <c r="H860" s="420"/>
    </row>
    <row r="861" spans="3:8">
      <c r="C861" s="420"/>
      <c r="H861" s="420"/>
    </row>
    <row r="862" spans="3:8">
      <c r="C862" s="420"/>
      <c r="H862" s="420"/>
    </row>
    <row r="863" spans="3:8">
      <c r="C863" s="420"/>
      <c r="H863" s="420"/>
    </row>
    <row r="864" spans="3:8">
      <c r="C864" s="420"/>
      <c r="H864" s="420"/>
    </row>
    <row r="865" spans="3:8">
      <c r="C865" s="420"/>
      <c r="H865" s="420"/>
    </row>
    <row r="866" spans="3:8">
      <c r="C866" s="420"/>
      <c r="H866" s="420"/>
    </row>
    <row r="867" spans="3:8">
      <c r="C867" s="420"/>
      <c r="H867" s="420"/>
    </row>
    <row r="868" spans="3:8">
      <c r="C868" s="420"/>
      <c r="H868" s="420"/>
    </row>
    <row r="869" spans="3:8">
      <c r="C869" s="420"/>
      <c r="H869" s="420"/>
    </row>
    <row r="870" spans="3:8">
      <c r="C870" s="420"/>
      <c r="H870" s="420"/>
    </row>
    <row r="871" spans="3:8">
      <c r="C871" s="420"/>
      <c r="H871" s="420"/>
    </row>
    <row r="872" spans="3:8">
      <c r="C872" s="420"/>
      <c r="H872" s="420"/>
    </row>
    <row r="873" spans="3:8">
      <c r="C873" s="420"/>
      <c r="H873" s="420"/>
    </row>
    <row r="874" spans="3:8">
      <c r="C874" s="420"/>
      <c r="H874" s="420"/>
    </row>
    <row r="875" spans="3:8">
      <c r="C875" s="420"/>
      <c r="H875" s="420"/>
    </row>
    <row r="876" spans="3:8">
      <c r="C876" s="420"/>
      <c r="H876" s="420"/>
    </row>
    <row r="877" spans="3:8">
      <c r="C877" s="420"/>
      <c r="H877" s="420"/>
    </row>
    <row r="878" spans="3:8">
      <c r="C878" s="420"/>
      <c r="H878" s="420"/>
    </row>
    <row r="879" spans="3:8">
      <c r="C879" s="420"/>
      <c r="H879" s="420"/>
    </row>
    <row r="880" spans="3:8">
      <c r="C880" s="420"/>
      <c r="H880" s="420"/>
    </row>
    <row r="881" spans="3:8">
      <c r="C881" s="420"/>
      <c r="H881" s="420"/>
    </row>
    <row r="882" spans="3:8">
      <c r="C882" s="420"/>
      <c r="H882" s="420"/>
    </row>
    <row r="883" spans="3:8">
      <c r="C883" s="420"/>
      <c r="H883" s="420"/>
    </row>
    <row r="884" spans="3:8">
      <c r="C884" s="420"/>
      <c r="H884" s="420"/>
    </row>
    <row r="885" spans="3:8">
      <c r="C885" s="420"/>
      <c r="H885" s="420"/>
    </row>
    <row r="886" spans="3:8">
      <c r="C886" s="420"/>
      <c r="H886" s="420"/>
    </row>
    <row r="887" spans="3:8">
      <c r="C887" s="420"/>
      <c r="H887" s="420"/>
    </row>
    <row r="888" spans="3:8">
      <c r="C888" s="420"/>
      <c r="H888" s="420"/>
    </row>
    <row r="889" spans="3:8">
      <c r="C889" s="420"/>
      <c r="H889" s="420"/>
    </row>
    <row r="890" spans="3:8">
      <c r="C890" s="420"/>
      <c r="H890" s="420"/>
    </row>
    <row r="891" spans="3:8">
      <c r="C891" s="420"/>
      <c r="H891" s="420"/>
    </row>
    <row r="892" spans="3:8">
      <c r="C892" s="420"/>
      <c r="H892" s="420"/>
    </row>
    <row r="893" spans="3:8">
      <c r="C893" s="420"/>
      <c r="H893" s="420"/>
    </row>
    <row r="894" spans="3:8">
      <c r="C894" s="420"/>
      <c r="H894" s="420"/>
    </row>
    <row r="895" spans="3:8">
      <c r="C895" s="420"/>
      <c r="H895" s="420"/>
    </row>
    <row r="896" spans="3:8">
      <c r="C896" s="420"/>
      <c r="H896" s="420"/>
    </row>
    <row r="897" spans="3:8">
      <c r="C897" s="420"/>
      <c r="H897" s="420"/>
    </row>
    <row r="898" spans="3:8">
      <c r="C898" s="420"/>
      <c r="H898" s="420"/>
    </row>
    <row r="899" spans="3:8">
      <c r="C899" s="420"/>
      <c r="H899" s="420"/>
    </row>
    <row r="900" spans="3:8">
      <c r="C900" s="420"/>
      <c r="H900" s="420"/>
    </row>
    <row r="901" spans="3:8">
      <c r="C901" s="420"/>
      <c r="H901" s="420"/>
    </row>
    <row r="902" spans="3:8">
      <c r="C902" s="420"/>
      <c r="H902" s="420"/>
    </row>
    <row r="903" spans="3:8">
      <c r="C903" s="420"/>
      <c r="H903" s="420"/>
    </row>
    <row r="904" spans="3:8">
      <c r="C904" s="420"/>
      <c r="H904" s="420"/>
    </row>
    <row r="905" spans="3:8">
      <c r="C905" s="420"/>
      <c r="H905" s="420"/>
    </row>
    <row r="906" spans="3:8">
      <c r="C906" s="420"/>
      <c r="H906" s="420"/>
    </row>
    <row r="907" spans="3:8">
      <c r="C907" s="420"/>
      <c r="H907" s="420"/>
    </row>
    <row r="908" spans="3:8">
      <c r="C908" s="420"/>
      <c r="H908" s="420"/>
    </row>
    <row r="909" spans="3:8">
      <c r="C909" s="420"/>
      <c r="H909" s="420"/>
    </row>
    <row r="910" spans="3:8">
      <c r="C910" s="420"/>
      <c r="H910" s="420"/>
    </row>
    <row r="911" spans="3:8">
      <c r="C911" s="420"/>
      <c r="H911" s="420"/>
    </row>
    <row r="912" spans="3:8">
      <c r="C912" s="420"/>
      <c r="H912" s="420"/>
    </row>
    <row r="913" spans="3:8">
      <c r="C913" s="420"/>
      <c r="H913" s="420"/>
    </row>
    <row r="914" spans="3:8">
      <c r="C914" s="420"/>
      <c r="H914" s="420"/>
    </row>
    <row r="915" spans="3:8">
      <c r="C915" s="420"/>
      <c r="H915" s="420"/>
    </row>
    <row r="916" spans="3:8">
      <c r="C916" s="420"/>
      <c r="H916" s="420"/>
    </row>
    <row r="917" spans="3:8">
      <c r="C917" s="420"/>
      <c r="H917" s="420"/>
    </row>
    <row r="918" spans="3:8">
      <c r="C918" s="420"/>
      <c r="H918" s="420"/>
    </row>
    <row r="919" spans="3:8">
      <c r="C919" s="420"/>
      <c r="H919" s="420"/>
    </row>
    <row r="920" spans="3:8">
      <c r="C920" s="420"/>
      <c r="H920" s="420"/>
    </row>
    <row r="921" spans="3:8">
      <c r="C921" s="420"/>
      <c r="H921" s="420"/>
    </row>
    <row r="922" spans="3:8">
      <c r="C922" s="420"/>
      <c r="H922" s="420"/>
    </row>
    <row r="923" spans="3:8">
      <c r="C923" s="420"/>
      <c r="H923" s="420"/>
    </row>
    <row r="924" spans="3:8">
      <c r="C924" s="420"/>
      <c r="H924" s="420"/>
    </row>
    <row r="925" spans="3:8">
      <c r="C925" s="420"/>
      <c r="H925" s="420"/>
    </row>
    <row r="926" spans="3:8">
      <c r="C926" s="420"/>
      <c r="H926" s="420"/>
    </row>
    <row r="927" spans="3:8">
      <c r="C927" s="420"/>
      <c r="H927" s="420"/>
    </row>
    <row r="928" spans="3:8">
      <c r="C928" s="420"/>
      <c r="H928" s="420"/>
    </row>
    <row r="929" spans="3:8">
      <c r="C929" s="420"/>
      <c r="H929" s="420"/>
    </row>
    <row r="930" spans="3:8">
      <c r="C930" s="420"/>
      <c r="H930" s="420"/>
    </row>
    <row r="931" spans="3:8">
      <c r="C931" s="420"/>
      <c r="H931" s="420"/>
    </row>
    <row r="932" spans="3:8">
      <c r="C932" s="420"/>
      <c r="H932" s="420"/>
    </row>
    <row r="933" spans="3:8">
      <c r="C933" s="420"/>
      <c r="H933" s="420"/>
    </row>
    <row r="934" spans="3:8">
      <c r="C934" s="420"/>
      <c r="H934" s="420"/>
    </row>
    <row r="935" spans="3:8">
      <c r="C935" s="420"/>
      <c r="H935" s="420"/>
    </row>
    <row r="936" spans="3:8">
      <c r="C936" s="420"/>
      <c r="H936" s="420"/>
    </row>
    <row r="937" spans="3:8">
      <c r="C937" s="420"/>
      <c r="H937" s="420"/>
    </row>
    <row r="938" spans="3:8">
      <c r="C938" s="420"/>
      <c r="H938" s="420"/>
    </row>
    <row r="939" spans="3:8">
      <c r="C939" s="420"/>
      <c r="H939" s="420"/>
    </row>
    <row r="940" spans="3:8">
      <c r="C940" s="420"/>
      <c r="H940" s="420"/>
    </row>
    <row r="941" spans="3:8">
      <c r="C941" s="420"/>
      <c r="H941" s="420"/>
    </row>
    <row r="942" spans="3:8">
      <c r="C942" s="420"/>
      <c r="H942" s="420"/>
    </row>
    <row r="943" spans="3:8">
      <c r="C943" s="420"/>
      <c r="H943" s="420"/>
    </row>
    <row r="944" spans="3:8">
      <c r="C944" s="420"/>
      <c r="H944" s="420"/>
    </row>
    <row r="945" spans="3:8">
      <c r="C945" s="420"/>
      <c r="H945" s="420"/>
    </row>
    <row r="946" spans="3:8">
      <c r="C946" s="420"/>
      <c r="H946" s="420"/>
    </row>
    <row r="947" spans="3:8">
      <c r="C947" s="420"/>
      <c r="H947" s="420"/>
    </row>
    <row r="948" spans="3:8">
      <c r="C948" s="420"/>
      <c r="H948" s="420"/>
    </row>
    <row r="949" spans="3:8">
      <c r="C949" s="420"/>
      <c r="H949" s="420"/>
    </row>
    <row r="950" spans="3:8">
      <c r="C950" s="420"/>
      <c r="H950" s="420"/>
    </row>
    <row r="951" spans="3:8">
      <c r="C951" s="420"/>
      <c r="H951" s="420"/>
    </row>
    <row r="952" spans="3:8">
      <c r="C952" s="420"/>
      <c r="H952" s="420"/>
    </row>
    <row r="953" spans="3:8">
      <c r="C953" s="420"/>
      <c r="H953" s="420"/>
    </row>
    <row r="954" spans="3:8">
      <c r="C954" s="420"/>
      <c r="H954" s="420"/>
    </row>
    <row r="955" spans="3:8">
      <c r="C955" s="420"/>
      <c r="H955" s="420"/>
    </row>
    <row r="956" spans="3:8">
      <c r="C956" s="420"/>
      <c r="H956" s="420"/>
    </row>
    <row r="957" spans="3:8">
      <c r="C957" s="420"/>
      <c r="H957" s="420"/>
    </row>
    <row r="958" spans="3:8">
      <c r="C958" s="420"/>
      <c r="H958" s="420"/>
    </row>
    <row r="959" spans="3:8">
      <c r="C959" s="420"/>
      <c r="H959" s="420"/>
    </row>
    <row r="960" spans="3:8">
      <c r="C960" s="420"/>
      <c r="H960" s="420"/>
    </row>
    <row r="961" spans="3:8">
      <c r="C961" s="420"/>
      <c r="H961" s="420"/>
    </row>
    <row r="962" spans="3:8">
      <c r="C962" s="420"/>
      <c r="H962" s="420"/>
    </row>
    <row r="963" spans="3:8">
      <c r="C963" s="420"/>
      <c r="H963" s="420"/>
    </row>
    <row r="964" spans="3:8">
      <c r="C964" s="420"/>
      <c r="H964" s="420"/>
    </row>
    <row r="965" spans="3:8">
      <c r="C965" s="420"/>
      <c r="H965" s="420"/>
    </row>
    <row r="966" spans="3:8">
      <c r="C966" s="420"/>
      <c r="H966" s="420"/>
    </row>
    <row r="967" spans="3:8">
      <c r="C967" s="420"/>
      <c r="H967" s="420"/>
    </row>
    <row r="968" spans="3:8">
      <c r="C968" s="420"/>
      <c r="H968" s="420"/>
    </row>
    <row r="969" spans="3:8">
      <c r="C969" s="420"/>
      <c r="H969" s="420"/>
    </row>
    <row r="970" spans="3:8">
      <c r="C970" s="420"/>
      <c r="H970" s="420"/>
    </row>
    <row r="971" spans="3:8">
      <c r="C971" s="420"/>
      <c r="H971" s="420"/>
    </row>
    <row r="972" spans="3:8">
      <c r="C972" s="420"/>
      <c r="H972" s="420"/>
    </row>
    <row r="973" spans="3:8">
      <c r="C973" s="420"/>
      <c r="H973" s="420"/>
    </row>
    <row r="974" spans="3:8">
      <c r="C974" s="420"/>
      <c r="H974" s="420"/>
    </row>
    <row r="975" spans="3:8">
      <c r="C975" s="420"/>
      <c r="H975" s="420"/>
    </row>
    <row r="976" spans="3:8">
      <c r="C976" s="420"/>
      <c r="H976" s="420"/>
    </row>
    <row r="977" spans="3:8">
      <c r="C977" s="420"/>
      <c r="H977" s="420"/>
    </row>
    <row r="978" spans="3:8">
      <c r="C978" s="420"/>
      <c r="H978" s="420"/>
    </row>
    <row r="979" spans="3:8">
      <c r="C979" s="420"/>
      <c r="H979" s="420"/>
    </row>
    <row r="980" spans="3:8">
      <c r="C980" s="420"/>
      <c r="H980" s="420"/>
    </row>
    <row r="981" spans="3:8">
      <c r="C981" s="420"/>
      <c r="H981" s="420"/>
    </row>
    <row r="982" spans="3:8">
      <c r="C982" s="420"/>
      <c r="H982" s="420"/>
    </row>
    <row r="983" spans="3:8">
      <c r="C983" s="420"/>
      <c r="H983" s="420"/>
    </row>
    <row r="984" spans="3:8">
      <c r="C984" s="420"/>
      <c r="H984" s="420"/>
    </row>
    <row r="985" spans="3:8">
      <c r="C985" s="420"/>
      <c r="H985" s="420"/>
    </row>
    <row r="986" spans="3:8">
      <c r="C986" s="420"/>
      <c r="H986" s="420"/>
    </row>
    <row r="987" spans="3:8">
      <c r="C987" s="420"/>
      <c r="H987" s="420"/>
    </row>
    <row r="988" spans="3:8">
      <c r="C988" s="420"/>
      <c r="H988" s="420"/>
    </row>
    <row r="989" spans="3:8">
      <c r="C989" s="420"/>
      <c r="H989" s="420"/>
    </row>
    <row r="990" spans="3:8">
      <c r="C990" s="420"/>
      <c r="H990" s="420"/>
    </row>
    <row r="991" spans="3:8">
      <c r="C991" s="420"/>
      <c r="H991" s="420"/>
    </row>
    <row r="992" spans="3:8">
      <c r="C992" s="420"/>
      <c r="H992" s="420"/>
    </row>
    <row r="993" spans="3:8">
      <c r="C993" s="420"/>
      <c r="H993" s="420"/>
    </row>
    <row r="994" spans="3:8">
      <c r="C994" s="420"/>
      <c r="H994" s="420"/>
    </row>
    <row r="995" spans="3:8">
      <c r="C995" s="420"/>
      <c r="H995" s="420"/>
    </row>
    <row r="996" spans="3:8">
      <c r="C996" s="420"/>
      <c r="H996" s="420"/>
    </row>
    <row r="997" spans="3:8">
      <c r="C997" s="420"/>
      <c r="H997" s="420"/>
    </row>
    <row r="998" spans="3:8">
      <c r="C998" s="420"/>
      <c r="H998" s="420"/>
    </row>
  </sheetData>
  <pageMargins left="0.511811024" right="0.511811024" top="0.78740157499999996" bottom="0.78740157499999996" header="0" footer="0"/>
  <pageSetup orientation="landscape"/>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M1008"/>
  <sheetViews>
    <sheetView showGridLines="0" workbookViewId="0"/>
  </sheetViews>
  <sheetFormatPr defaultColWidth="14.42578125" defaultRowHeight="15" customHeight="1" outlineLevelCol="1"/>
  <cols>
    <col min="1" max="1" width="3.7109375" customWidth="1"/>
    <col min="2" max="2" width="21.28515625" customWidth="1"/>
    <col min="5" max="5" width="4" customWidth="1"/>
    <col min="6" max="6" width="34.42578125" customWidth="1"/>
    <col min="8" max="8" width="14.42578125" collapsed="1"/>
    <col min="9" max="10" width="14.42578125" hidden="1" outlineLevel="1"/>
  </cols>
  <sheetData>
    <row r="1" spans="1:11" ht="15" customHeight="1">
      <c r="A1" s="424"/>
      <c r="B1" s="425" t="s">
        <v>1874</v>
      </c>
      <c r="C1" s="426">
        <f>SUM(C2,C17,C22)</f>
        <v>-238323.41</v>
      </c>
      <c r="D1" s="154"/>
      <c r="E1" s="425"/>
      <c r="F1" s="425" t="s">
        <v>1874</v>
      </c>
      <c r="G1" s="426">
        <f>SUM(G2,G15,G26)</f>
        <v>109443.81</v>
      </c>
      <c r="K1" s="150">
        <f>SUM(C1,G1)</f>
        <v>-128879.6</v>
      </c>
    </row>
    <row r="2" spans="1:11" ht="15" customHeight="1">
      <c r="A2" s="154" t="s">
        <v>2202</v>
      </c>
      <c r="B2" s="154"/>
      <c r="C2" s="155">
        <f>SUM(C3:C13)</f>
        <v>-43350.149999999994</v>
      </c>
      <c r="D2" s="154"/>
      <c r="E2" s="154" t="s">
        <v>2203</v>
      </c>
      <c r="F2" s="154"/>
      <c r="G2" s="155">
        <f>SUM(G3:G13)</f>
        <v>62013.8</v>
      </c>
      <c r="I2" s="49" t="s">
        <v>2204</v>
      </c>
      <c r="J2" s="150">
        <f>28000+50000+35000+40000+50000+50000+35000</f>
        <v>288000</v>
      </c>
    </row>
    <row r="3" spans="1:11" ht="15" customHeight="1">
      <c r="B3" s="343" t="s">
        <v>1196</v>
      </c>
      <c r="C3" s="344">
        <f>-4500*2</f>
        <v>-9000</v>
      </c>
      <c r="F3" s="49" t="s">
        <v>1934</v>
      </c>
      <c r="G3" s="150">
        <v>15000</v>
      </c>
    </row>
    <row r="4" spans="1:11" ht="15" customHeight="1">
      <c r="B4" s="49" t="s">
        <v>2205</v>
      </c>
      <c r="C4" s="150">
        <f>-2100*2</f>
        <v>-4200</v>
      </c>
      <c r="F4" s="49" t="s">
        <v>2206</v>
      </c>
      <c r="G4" s="150">
        <f>6976.18+4305.45</f>
        <v>11281.630000000001</v>
      </c>
    </row>
    <row r="5" spans="1:11" ht="15" customHeight="1">
      <c r="B5" s="49" t="s">
        <v>1618</v>
      </c>
      <c r="C5" s="150">
        <f>-500*2</f>
        <v>-1000</v>
      </c>
      <c r="F5" s="49" t="s">
        <v>2207</v>
      </c>
      <c r="G5" s="150">
        <v>13000</v>
      </c>
    </row>
    <row r="6" spans="1:11" ht="15" customHeight="1">
      <c r="B6" s="49" t="s">
        <v>2208</v>
      </c>
      <c r="C6" s="150">
        <f>-3885.12*2</f>
        <v>-7770.24</v>
      </c>
      <c r="F6" s="49" t="s">
        <v>2209</v>
      </c>
      <c r="G6" s="150">
        <v>1866.67</v>
      </c>
    </row>
    <row r="7" spans="1:11" ht="15" customHeight="1">
      <c r="B7" s="49" t="s">
        <v>2210</v>
      </c>
      <c r="C7" s="150">
        <f>-2300*2</f>
        <v>-4600</v>
      </c>
      <c r="F7" s="100" t="s">
        <v>2211</v>
      </c>
      <c r="G7" s="427">
        <v>1297.5</v>
      </c>
    </row>
    <row r="8" spans="1:11" ht="15" customHeight="1">
      <c r="B8" s="49" t="s">
        <v>2212</v>
      </c>
      <c r="C8" s="150">
        <f>-3500*2</f>
        <v>-7000</v>
      </c>
      <c r="F8" s="49" t="s">
        <v>129</v>
      </c>
      <c r="G8" s="150">
        <v>3068</v>
      </c>
    </row>
    <row r="9" spans="1:11" ht="15" customHeight="1">
      <c r="B9" s="49" t="s">
        <v>2213</v>
      </c>
      <c r="C9" s="150">
        <v>-1000</v>
      </c>
      <c r="F9" s="343" t="s">
        <v>2214</v>
      </c>
      <c r="G9" s="344">
        <v>4000</v>
      </c>
    </row>
    <row r="10" spans="1:11" ht="15" customHeight="1">
      <c r="B10" s="49" t="s">
        <v>2215</v>
      </c>
      <c r="C10" s="150">
        <v>-4500</v>
      </c>
      <c r="F10" s="100"/>
      <c r="G10" s="427"/>
    </row>
    <row r="11" spans="1:11" ht="15" customHeight="1">
      <c r="B11" s="49" t="s">
        <v>62</v>
      </c>
      <c r="C11" s="150">
        <v>-479.92</v>
      </c>
      <c r="F11" s="100" t="s">
        <v>1896</v>
      </c>
      <c r="G11" s="427">
        <v>6000</v>
      </c>
    </row>
    <row r="12" spans="1:11" ht="15" customHeight="1">
      <c r="B12" s="49" t="s">
        <v>2216</v>
      </c>
      <c r="C12" s="150">
        <v>-1800</v>
      </c>
      <c r="F12" s="100" t="s">
        <v>2217</v>
      </c>
      <c r="G12" s="427">
        <v>6500</v>
      </c>
    </row>
    <row r="13" spans="1:11" ht="15" customHeight="1">
      <c r="A13" s="49"/>
      <c r="B13" s="49" t="s">
        <v>2218</v>
      </c>
      <c r="C13" s="150">
        <v>-1999.99</v>
      </c>
      <c r="F13" s="49" t="s">
        <v>2219</v>
      </c>
      <c r="G13" s="150"/>
      <c r="H13" s="49" t="s">
        <v>2220</v>
      </c>
    </row>
    <row r="14" spans="1:11" ht="15" customHeight="1">
      <c r="A14" s="49"/>
      <c r="B14" s="49" t="s">
        <v>2221</v>
      </c>
      <c r="C14" s="297"/>
      <c r="G14" s="150"/>
    </row>
    <row r="15" spans="1:11" ht="15" customHeight="1">
      <c r="A15" s="49"/>
      <c r="B15" s="49" t="s">
        <v>2222</v>
      </c>
      <c r="C15" s="297"/>
      <c r="E15" s="154" t="s">
        <v>2223</v>
      </c>
      <c r="G15" s="155">
        <f>SUM(G16:G24)</f>
        <v>21538.1</v>
      </c>
    </row>
    <row r="16" spans="1:11" ht="15" customHeight="1">
      <c r="C16" s="150"/>
      <c r="F16" s="49" t="s">
        <v>2224</v>
      </c>
      <c r="G16" s="150">
        <v>654.29999999999995</v>
      </c>
    </row>
    <row r="17" spans="1:7" ht="15" customHeight="1">
      <c r="A17" s="154" t="s">
        <v>2225</v>
      </c>
      <c r="C17" s="155">
        <f>SUM(C18:C20)</f>
        <v>-18800</v>
      </c>
      <c r="F17" s="49" t="s">
        <v>2226</v>
      </c>
      <c r="G17" s="150">
        <v>1500</v>
      </c>
    </row>
    <row r="18" spans="1:7" ht="15" customHeight="1">
      <c r="A18" s="49"/>
      <c r="B18" s="49" t="s">
        <v>2042</v>
      </c>
      <c r="C18" s="150">
        <v>-10500</v>
      </c>
      <c r="F18" s="49" t="s">
        <v>2227</v>
      </c>
      <c r="G18" s="150">
        <v>1673</v>
      </c>
    </row>
    <row r="19" spans="1:7" ht="15" customHeight="1">
      <c r="A19" s="49"/>
      <c r="B19" s="49" t="s">
        <v>2228</v>
      </c>
      <c r="C19" s="150">
        <v>-7500</v>
      </c>
      <c r="F19" s="49" t="s">
        <v>1912</v>
      </c>
      <c r="G19" s="150">
        <f>872.3+241.5</f>
        <v>1113.8</v>
      </c>
    </row>
    <row r="20" spans="1:7" ht="15" customHeight="1">
      <c r="A20" s="49"/>
      <c r="B20" s="49" t="s">
        <v>1358</v>
      </c>
      <c r="C20" s="150">
        <v>-800</v>
      </c>
      <c r="F20" s="49" t="s">
        <v>2229</v>
      </c>
      <c r="G20" s="150">
        <v>400</v>
      </c>
    </row>
    <row r="21" spans="1:7" ht="15" customHeight="1">
      <c r="A21" s="49"/>
      <c r="C21" s="150"/>
      <c r="F21" s="49" t="s">
        <v>2230</v>
      </c>
      <c r="G21" s="150">
        <f>3250*2</f>
        <v>6500</v>
      </c>
    </row>
    <row r="22" spans="1:7" ht="15" customHeight="1">
      <c r="A22" s="154" t="s">
        <v>2231</v>
      </c>
      <c r="C22" s="155">
        <f>SUM(C23:C42)</f>
        <v>-176173.26</v>
      </c>
      <c r="F22" s="49" t="s">
        <v>359</v>
      </c>
      <c r="G22" s="150">
        <v>1200</v>
      </c>
    </row>
    <row r="23" spans="1:7" ht="15" customHeight="1">
      <c r="B23" s="49" t="s">
        <v>1559</v>
      </c>
      <c r="C23" s="150">
        <f>-7324.86-3978.06</f>
        <v>-11302.92</v>
      </c>
      <c r="F23" s="49" t="s">
        <v>2232</v>
      </c>
      <c r="G23" s="150">
        <v>1997</v>
      </c>
    </row>
    <row r="24" spans="1:7" ht="15" customHeight="1">
      <c r="B24" s="49" t="s">
        <v>1482</v>
      </c>
      <c r="C24" s="150">
        <f>-899.5-723.34-2100-2500-1625-1065-2100</f>
        <v>-11012.84</v>
      </c>
      <c r="F24" s="297" t="s">
        <v>1538</v>
      </c>
      <c r="G24" s="148">
        <v>6500</v>
      </c>
    </row>
    <row r="25" spans="1:7" ht="15" customHeight="1">
      <c r="B25" s="49" t="s">
        <v>301</v>
      </c>
      <c r="C25" s="150">
        <f>-2237.75-2717.24</f>
        <v>-4954.99</v>
      </c>
    </row>
    <row r="26" spans="1:7" ht="15" customHeight="1">
      <c r="B26" s="49" t="s">
        <v>1381</v>
      </c>
      <c r="C26" s="150">
        <f>-1314.32-4724.98-1724.31</f>
        <v>-7763.6099999999988</v>
      </c>
      <c r="E26" s="154" t="s">
        <v>2233</v>
      </c>
      <c r="G26" s="155">
        <f>SUM(G27:G33)</f>
        <v>25891.91</v>
      </c>
    </row>
    <row r="27" spans="1:7" ht="15" customHeight="1">
      <c r="B27" s="49" t="s">
        <v>190</v>
      </c>
      <c r="C27" s="150">
        <v>-660</v>
      </c>
      <c r="F27" s="49" t="s">
        <v>1264</v>
      </c>
      <c r="G27" s="150">
        <f>1799*2</f>
        <v>3598</v>
      </c>
    </row>
    <row r="28" spans="1:7" ht="15" customHeight="1">
      <c r="B28" s="49" t="s">
        <v>2234</v>
      </c>
      <c r="C28" s="150">
        <v>-65</v>
      </c>
      <c r="F28" s="49" t="s">
        <v>1523</v>
      </c>
      <c r="G28" s="150">
        <v>2953.91</v>
      </c>
    </row>
    <row r="29" spans="1:7" ht="15" customHeight="1">
      <c r="B29" s="49" t="s">
        <v>2235</v>
      </c>
      <c r="C29" s="150">
        <v>-2576.04</v>
      </c>
      <c r="F29" s="49" t="s">
        <v>2236</v>
      </c>
      <c r="G29" s="150">
        <v>4090</v>
      </c>
    </row>
    <row r="30" spans="1:7" ht="15" customHeight="1">
      <c r="B30" s="49" t="s">
        <v>2237</v>
      </c>
      <c r="C30" s="150">
        <v>-35886.879999999997</v>
      </c>
      <c r="F30" s="49" t="s">
        <v>1339</v>
      </c>
      <c r="G30" s="150">
        <v>4200</v>
      </c>
    </row>
    <row r="31" spans="1:7" ht="15" customHeight="1">
      <c r="B31" s="49" t="s">
        <v>18</v>
      </c>
      <c r="C31" s="150">
        <f>-7949.42+3500</f>
        <v>-4449.42</v>
      </c>
      <c r="F31" s="49" t="s">
        <v>288</v>
      </c>
      <c r="G31" s="150">
        <v>4200</v>
      </c>
    </row>
    <row r="32" spans="1:7" ht="15" customHeight="1">
      <c r="B32" s="49" t="s">
        <v>2238</v>
      </c>
      <c r="C32" s="150">
        <v>-2531.54</v>
      </c>
      <c r="F32" s="49" t="s">
        <v>1546</v>
      </c>
      <c r="G32" s="150">
        <v>5000</v>
      </c>
    </row>
    <row r="33" spans="2:13" ht="15" customHeight="1">
      <c r="B33" s="49" t="s">
        <v>1594</v>
      </c>
      <c r="C33" s="150">
        <f>-40000-5098</f>
        <v>-45098</v>
      </c>
      <c r="F33" s="49" t="s">
        <v>1375</v>
      </c>
      <c r="G33" s="150">
        <v>1850</v>
      </c>
    </row>
    <row r="34" spans="2:13" ht="15" customHeight="1">
      <c r="B34" s="49" t="s">
        <v>1010</v>
      </c>
      <c r="C34" s="150">
        <v>-6000</v>
      </c>
      <c r="G34" s="150"/>
    </row>
    <row r="35" spans="2:13" ht="15" customHeight="1">
      <c r="B35" s="49" t="s">
        <v>1667</v>
      </c>
      <c r="C35" s="150">
        <v>-9000</v>
      </c>
      <c r="G35" s="150"/>
    </row>
    <row r="36" spans="2:13">
      <c r="B36" s="49" t="s">
        <v>2239</v>
      </c>
      <c r="C36" s="150">
        <v>-18000</v>
      </c>
      <c r="G36" s="150"/>
    </row>
    <row r="37" spans="2:13">
      <c r="B37" s="49" t="s">
        <v>90</v>
      </c>
      <c r="C37" s="150">
        <f>-3421.98+2702.3</f>
        <v>-719.67999999999984</v>
      </c>
      <c r="G37" s="150"/>
    </row>
    <row r="38" spans="2:13">
      <c r="B38" s="49" t="s">
        <v>1480</v>
      </c>
      <c r="C38" s="150">
        <f>-500-175-130-140-227.73-260-255</f>
        <v>-1687.73</v>
      </c>
      <c r="G38" s="150"/>
    </row>
    <row r="39" spans="2:13">
      <c r="B39" s="49" t="s">
        <v>2240</v>
      </c>
      <c r="C39" s="150">
        <v>-5726.92</v>
      </c>
      <c r="G39" s="150"/>
    </row>
    <row r="40" spans="2:13">
      <c r="B40" s="49" t="s">
        <v>1434</v>
      </c>
      <c r="C40" s="150">
        <v>-1518.36</v>
      </c>
      <c r="G40" s="150"/>
      <c r="K40" s="49" t="s">
        <v>2241</v>
      </c>
      <c r="L40" s="150">
        <v>-27334.3</v>
      </c>
      <c r="M40" s="49" t="s">
        <v>2242</v>
      </c>
    </row>
    <row r="41" spans="2:13">
      <c r="B41" s="49" t="s">
        <v>1061</v>
      </c>
      <c r="C41" s="150">
        <v>-3028.1</v>
      </c>
      <c r="G41" s="150"/>
    </row>
    <row r="42" spans="2:13">
      <c r="B42" s="49" t="s">
        <v>122</v>
      </c>
      <c r="C42" s="150">
        <v>-4191.2299999999996</v>
      </c>
      <c r="G42" s="150"/>
    </row>
    <row r="43" spans="2:13">
      <c r="B43" s="49" t="s">
        <v>2243</v>
      </c>
      <c r="G43" s="150"/>
    </row>
    <row r="44" spans="2:13">
      <c r="G44" s="150"/>
    </row>
    <row r="45" spans="2:13">
      <c r="G45" s="150"/>
    </row>
    <row r="46" spans="2:13">
      <c r="C46" s="150"/>
      <c r="G46" s="150"/>
    </row>
    <row r="47" spans="2:13">
      <c r="C47" s="150"/>
      <c r="G47" s="150"/>
    </row>
    <row r="48" spans="2:13">
      <c r="C48" s="150"/>
      <c r="G48" s="150"/>
    </row>
    <row r="49" spans="3:7">
      <c r="C49" s="150"/>
      <c r="G49" s="150"/>
    </row>
    <row r="50" spans="3:7">
      <c r="C50" s="150"/>
      <c r="G50" s="150"/>
    </row>
    <row r="51" spans="3:7">
      <c r="C51" s="150"/>
      <c r="G51" s="150"/>
    </row>
    <row r="52" spans="3:7">
      <c r="C52" s="150"/>
      <c r="G52" s="150"/>
    </row>
    <row r="53" spans="3:7">
      <c r="C53" s="150"/>
      <c r="G53" s="150"/>
    </row>
    <row r="54" spans="3:7">
      <c r="C54" s="150"/>
      <c r="G54" s="150"/>
    </row>
    <row r="55" spans="3:7">
      <c r="C55" s="150"/>
      <c r="G55" s="150"/>
    </row>
    <row r="56" spans="3:7">
      <c r="C56" s="150"/>
      <c r="G56" s="150"/>
    </row>
    <row r="57" spans="3:7">
      <c r="C57" s="150"/>
      <c r="G57" s="150"/>
    </row>
    <row r="58" spans="3:7">
      <c r="C58" s="150"/>
      <c r="G58" s="150"/>
    </row>
    <row r="59" spans="3:7">
      <c r="G59" s="150"/>
    </row>
    <row r="60" spans="3:7">
      <c r="C60" s="150"/>
      <c r="G60" s="150"/>
    </row>
    <row r="61" spans="3:7">
      <c r="C61" s="150"/>
      <c r="G61" s="150"/>
    </row>
    <row r="62" spans="3:7">
      <c r="C62" s="150"/>
      <c r="G62" s="150"/>
    </row>
    <row r="63" spans="3:7">
      <c r="C63" s="150"/>
      <c r="G63" s="150"/>
    </row>
    <row r="64" spans="3:7">
      <c r="C64" s="150"/>
      <c r="G64" s="150"/>
    </row>
    <row r="65" spans="3:7">
      <c r="C65" s="150"/>
      <c r="G65" s="150"/>
    </row>
    <row r="66" spans="3:7">
      <c r="C66" s="150"/>
      <c r="G66" s="150"/>
    </row>
    <row r="67" spans="3:7">
      <c r="C67" s="150"/>
      <c r="G67" s="150"/>
    </row>
    <row r="68" spans="3:7">
      <c r="C68" s="150"/>
      <c r="G68" s="150"/>
    </row>
    <row r="69" spans="3:7">
      <c r="C69" s="150"/>
      <c r="G69" s="150"/>
    </row>
    <row r="70" spans="3:7">
      <c r="C70" s="150"/>
      <c r="G70" s="150"/>
    </row>
    <row r="71" spans="3:7">
      <c r="C71" s="150"/>
      <c r="G71" s="150"/>
    </row>
    <row r="72" spans="3:7">
      <c r="C72" s="150"/>
      <c r="G72" s="150"/>
    </row>
    <row r="73" spans="3:7">
      <c r="C73" s="150"/>
      <c r="G73" s="150"/>
    </row>
    <row r="74" spans="3:7">
      <c r="C74" s="150"/>
      <c r="G74" s="150"/>
    </row>
    <row r="75" spans="3:7">
      <c r="C75" s="150"/>
      <c r="G75" s="150"/>
    </row>
    <row r="76" spans="3:7">
      <c r="C76" s="150"/>
      <c r="G76" s="150"/>
    </row>
    <row r="77" spans="3:7">
      <c r="C77" s="150"/>
      <c r="G77" s="150"/>
    </row>
    <row r="78" spans="3:7">
      <c r="C78" s="150"/>
      <c r="G78" s="150"/>
    </row>
    <row r="79" spans="3:7">
      <c r="C79" s="150"/>
      <c r="G79" s="150"/>
    </row>
    <row r="80" spans="3:7">
      <c r="C80" s="150"/>
      <c r="G80" s="150"/>
    </row>
    <row r="81" spans="3:7">
      <c r="C81" s="150"/>
      <c r="G81" s="150"/>
    </row>
    <row r="82" spans="3:7">
      <c r="C82" s="150"/>
      <c r="G82" s="150"/>
    </row>
    <row r="83" spans="3:7">
      <c r="C83" s="150"/>
      <c r="G83" s="150"/>
    </row>
    <row r="84" spans="3:7">
      <c r="C84" s="150"/>
      <c r="G84" s="150"/>
    </row>
    <row r="85" spans="3:7">
      <c r="C85" s="150"/>
      <c r="G85" s="150"/>
    </row>
    <row r="86" spans="3:7">
      <c r="C86" s="150"/>
      <c r="G86" s="150"/>
    </row>
    <row r="87" spans="3:7">
      <c r="C87" s="150"/>
      <c r="G87" s="150"/>
    </row>
    <row r="88" spans="3:7">
      <c r="C88" s="150"/>
      <c r="G88" s="150"/>
    </row>
    <row r="89" spans="3:7">
      <c r="C89" s="150"/>
      <c r="G89" s="150"/>
    </row>
    <row r="90" spans="3:7">
      <c r="C90" s="150"/>
      <c r="G90" s="150"/>
    </row>
    <row r="91" spans="3:7">
      <c r="C91" s="150"/>
      <c r="G91" s="150"/>
    </row>
    <row r="92" spans="3:7">
      <c r="C92" s="150"/>
      <c r="G92" s="150"/>
    </row>
    <row r="93" spans="3:7">
      <c r="C93" s="150"/>
      <c r="G93" s="150"/>
    </row>
    <row r="94" spans="3:7">
      <c r="C94" s="150"/>
      <c r="G94" s="150"/>
    </row>
    <row r="95" spans="3:7">
      <c r="C95" s="150"/>
      <c r="G95" s="150"/>
    </row>
    <row r="96" spans="3:7">
      <c r="C96" s="150"/>
      <c r="G96" s="150"/>
    </row>
    <row r="97" spans="3:7">
      <c r="C97" s="150"/>
      <c r="G97" s="150"/>
    </row>
    <row r="98" spans="3:7">
      <c r="C98" s="150"/>
      <c r="G98" s="150"/>
    </row>
    <row r="99" spans="3:7">
      <c r="C99" s="150"/>
      <c r="G99" s="150"/>
    </row>
    <row r="100" spans="3:7">
      <c r="C100" s="150"/>
      <c r="G100" s="150"/>
    </row>
    <row r="101" spans="3:7">
      <c r="C101" s="150"/>
      <c r="G101" s="150"/>
    </row>
    <row r="102" spans="3:7">
      <c r="C102" s="150"/>
      <c r="G102" s="150"/>
    </row>
    <row r="103" spans="3:7">
      <c r="C103" s="150"/>
      <c r="G103" s="150"/>
    </row>
    <row r="104" spans="3:7">
      <c r="C104" s="150"/>
      <c r="G104" s="150"/>
    </row>
    <row r="105" spans="3:7">
      <c r="C105" s="150"/>
      <c r="G105" s="150"/>
    </row>
    <row r="106" spans="3:7">
      <c r="C106" s="150"/>
      <c r="G106" s="150"/>
    </row>
    <row r="107" spans="3:7">
      <c r="C107" s="150"/>
      <c r="G107" s="150"/>
    </row>
    <row r="108" spans="3:7">
      <c r="C108" s="150"/>
      <c r="G108" s="150"/>
    </row>
    <row r="109" spans="3:7">
      <c r="C109" s="150"/>
      <c r="G109" s="150"/>
    </row>
    <row r="110" spans="3:7">
      <c r="C110" s="150"/>
      <c r="G110" s="150"/>
    </row>
    <row r="111" spans="3:7">
      <c r="C111" s="150"/>
      <c r="G111" s="150"/>
    </row>
    <row r="112" spans="3:7">
      <c r="C112" s="150"/>
      <c r="G112" s="150"/>
    </row>
    <row r="113" spans="3:7">
      <c r="C113" s="150"/>
      <c r="G113" s="150"/>
    </row>
    <row r="114" spans="3:7">
      <c r="C114" s="150"/>
      <c r="G114" s="150"/>
    </row>
    <row r="115" spans="3:7">
      <c r="C115" s="150"/>
      <c r="G115" s="150"/>
    </row>
    <row r="116" spans="3:7">
      <c r="C116" s="150"/>
      <c r="G116" s="150"/>
    </row>
    <row r="117" spans="3:7">
      <c r="C117" s="150"/>
      <c r="G117" s="150"/>
    </row>
    <row r="118" spans="3:7">
      <c r="C118" s="150"/>
      <c r="G118" s="150"/>
    </row>
    <row r="119" spans="3:7">
      <c r="C119" s="150"/>
      <c r="G119" s="150"/>
    </row>
    <row r="120" spans="3:7">
      <c r="C120" s="150"/>
      <c r="G120" s="150"/>
    </row>
    <row r="121" spans="3:7">
      <c r="C121" s="150"/>
      <c r="G121" s="150"/>
    </row>
    <row r="122" spans="3:7">
      <c r="C122" s="150"/>
      <c r="G122" s="150"/>
    </row>
    <row r="123" spans="3:7">
      <c r="C123" s="150"/>
      <c r="G123" s="150"/>
    </row>
    <row r="124" spans="3:7">
      <c r="C124" s="150"/>
      <c r="G124" s="150"/>
    </row>
    <row r="125" spans="3:7">
      <c r="C125" s="150"/>
      <c r="G125" s="150"/>
    </row>
    <row r="126" spans="3:7">
      <c r="C126" s="150"/>
      <c r="G126" s="150"/>
    </row>
    <row r="127" spans="3:7">
      <c r="C127" s="150"/>
      <c r="G127" s="150"/>
    </row>
    <row r="128" spans="3:7">
      <c r="C128" s="150"/>
      <c r="G128" s="150"/>
    </row>
    <row r="129" spans="3:7">
      <c r="C129" s="150"/>
      <c r="G129" s="150"/>
    </row>
    <row r="130" spans="3:7">
      <c r="C130" s="150"/>
      <c r="G130" s="150"/>
    </row>
    <row r="131" spans="3:7">
      <c r="C131" s="150"/>
      <c r="G131" s="150"/>
    </row>
    <row r="132" spans="3:7">
      <c r="C132" s="150"/>
      <c r="G132" s="150"/>
    </row>
    <row r="133" spans="3:7">
      <c r="C133" s="150"/>
      <c r="G133" s="150"/>
    </row>
    <row r="134" spans="3:7">
      <c r="C134" s="150"/>
      <c r="G134" s="150"/>
    </row>
    <row r="135" spans="3:7">
      <c r="C135" s="150"/>
      <c r="G135" s="150"/>
    </row>
    <row r="136" spans="3:7">
      <c r="C136" s="150"/>
      <c r="G136" s="150"/>
    </row>
    <row r="137" spans="3:7">
      <c r="C137" s="150"/>
      <c r="G137" s="150"/>
    </row>
    <row r="138" spans="3:7">
      <c r="C138" s="150"/>
      <c r="G138" s="150"/>
    </row>
    <row r="139" spans="3:7">
      <c r="C139" s="150"/>
      <c r="G139" s="150"/>
    </row>
    <row r="140" spans="3:7">
      <c r="C140" s="150"/>
      <c r="G140" s="150"/>
    </row>
    <row r="141" spans="3:7">
      <c r="C141" s="150"/>
      <c r="G141" s="150"/>
    </row>
    <row r="142" spans="3:7">
      <c r="C142" s="150"/>
      <c r="G142" s="150"/>
    </row>
    <row r="143" spans="3:7">
      <c r="C143" s="150"/>
      <c r="G143" s="150"/>
    </row>
    <row r="144" spans="3:7">
      <c r="C144" s="150"/>
      <c r="G144" s="150"/>
    </row>
    <row r="145" spans="3:7">
      <c r="C145" s="150"/>
      <c r="G145" s="150"/>
    </row>
    <row r="146" spans="3:7">
      <c r="C146" s="150"/>
      <c r="G146" s="150"/>
    </row>
    <row r="147" spans="3:7">
      <c r="C147" s="150"/>
      <c r="G147" s="150"/>
    </row>
    <row r="148" spans="3:7">
      <c r="C148" s="150"/>
      <c r="G148" s="150"/>
    </row>
    <row r="149" spans="3:7">
      <c r="C149" s="150"/>
      <c r="G149" s="150"/>
    </row>
    <row r="150" spans="3:7">
      <c r="C150" s="150"/>
      <c r="G150" s="150"/>
    </row>
    <row r="151" spans="3:7">
      <c r="C151" s="150"/>
      <c r="G151" s="150"/>
    </row>
    <row r="152" spans="3:7">
      <c r="C152" s="150"/>
      <c r="G152" s="150"/>
    </row>
    <row r="153" spans="3:7">
      <c r="C153" s="150"/>
      <c r="G153" s="150"/>
    </row>
    <row r="154" spans="3:7">
      <c r="C154" s="150"/>
      <c r="G154" s="150"/>
    </row>
    <row r="155" spans="3:7">
      <c r="C155" s="150"/>
      <c r="G155" s="150"/>
    </row>
    <row r="156" spans="3:7">
      <c r="C156" s="150"/>
      <c r="G156" s="150"/>
    </row>
    <row r="157" spans="3:7">
      <c r="C157" s="150"/>
      <c r="G157" s="150"/>
    </row>
    <row r="158" spans="3:7">
      <c r="C158" s="150"/>
      <c r="G158" s="150"/>
    </row>
    <row r="159" spans="3:7">
      <c r="C159" s="150"/>
      <c r="G159" s="150"/>
    </row>
    <row r="160" spans="3:7">
      <c r="C160" s="150"/>
      <c r="G160" s="150"/>
    </row>
    <row r="161" spans="3:7">
      <c r="C161" s="150"/>
      <c r="G161" s="150"/>
    </row>
    <row r="162" spans="3:7">
      <c r="C162" s="150"/>
      <c r="G162" s="150"/>
    </row>
    <row r="163" spans="3:7">
      <c r="C163" s="150"/>
      <c r="G163" s="150"/>
    </row>
    <row r="164" spans="3:7">
      <c r="C164" s="150"/>
      <c r="G164" s="150"/>
    </row>
    <row r="165" spans="3:7">
      <c r="C165" s="150"/>
      <c r="G165" s="150"/>
    </row>
    <row r="166" spans="3:7">
      <c r="C166" s="150"/>
      <c r="G166" s="150"/>
    </row>
    <row r="167" spans="3:7">
      <c r="C167" s="150"/>
      <c r="G167" s="150"/>
    </row>
    <row r="168" spans="3:7">
      <c r="C168" s="150"/>
      <c r="G168" s="150"/>
    </row>
    <row r="169" spans="3:7">
      <c r="C169" s="150"/>
      <c r="G169" s="150"/>
    </row>
    <row r="170" spans="3:7">
      <c r="C170" s="150"/>
      <c r="G170" s="150"/>
    </row>
    <row r="171" spans="3:7">
      <c r="C171" s="150"/>
      <c r="G171" s="150"/>
    </row>
    <row r="172" spans="3:7">
      <c r="C172" s="150"/>
      <c r="G172" s="150"/>
    </row>
    <row r="173" spans="3:7">
      <c r="C173" s="150"/>
      <c r="G173" s="150"/>
    </row>
    <row r="174" spans="3:7">
      <c r="C174" s="150"/>
      <c r="G174" s="150"/>
    </row>
    <row r="175" spans="3:7">
      <c r="C175" s="150"/>
      <c r="G175" s="150"/>
    </row>
    <row r="176" spans="3:7">
      <c r="C176" s="150"/>
      <c r="G176" s="150"/>
    </row>
    <row r="177" spans="3:7">
      <c r="C177" s="150"/>
      <c r="G177" s="150"/>
    </row>
    <row r="178" spans="3:7">
      <c r="C178" s="150"/>
      <c r="G178" s="150"/>
    </row>
    <row r="179" spans="3:7">
      <c r="C179" s="150"/>
      <c r="G179" s="150"/>
    </row>
    <row r="180" spans="3:7">
      <c r="C180" s="150"/>
      <c r="G180" s="150"/>
    </row>
    <row r="181" spans="3:7">
      <c r="C181" s="150"/>
      <c r="G181" s="150"/>
    </row>
    <row r="182" spans="3:7">
      <c r="C182" s="150"/>
      <c r="G182" s="150"/>
    </row>
    <row r="183" spans="3:7">
      <c r="C183" s="150"/>
      <c r="G183" s="150"/>
    </row>
    <row r="184" spans="3:7">
      <c r="C184" s="150"/>
      <c r="G184" s="150"/>
    </row>
    <row r="185" spans="3:7">
      <c r="C185" s="150"/>
      <c r="G185" s="150"/>
    </row>
    <row r="186" spans="3:7">
      <c r="C186" s="150"/>
      <c r="G186" s="150"/>
    </row>
    <row r="187" spans="3:7">
      <c r="C187" s="150"/>
      <c r="G187" s="150"/>
    </row>
    <row r="188" spans="3:7">
      <c r="C188" s="150"/>
      <c r="G188" s="150"/>
    </row>
    <row r="189" spans="3:7">
      <c r="C189" s="150"/>
      <c r="G189" s="150"/>
    </row>
    <row r="190" spans="3:7">
      <c r="C190" s="150"/>
      <c r="G190" s="150"/>
    </row>
    <row r="191" spans="3:7">
      <c r="C191" s="150"/>
      <c r="G191" s="150"/>
    </row>
    <row r="192" spans="3:7">
      <c r="C192" s="150"/>
      <c r="G192" s="150"/>
    </row>
    <row r="193" spans="3:7">
      <c r="C193" s="150"/>
      <c r="G193" s="150"/>
    </row>
    <row r="194" spans="3:7">
      <c r="C194" s="150"/>
      <c r="G194" s="150"/>
    </row>
    <row r="195" spans="3:7">
      <c r="C195" s="150"/>
      <c r="G195" s="150"/>
    </row>
    <row r="196" spans="3:7">
      <c r="C196" s="150"/>
      <c r="G196" s="150"/>
    </row>
    <row r="197" spans="3:7">
      <c r="C197" s="150"/>
      <c r="G197" s="150"/>
    </row>
    <row r="198" spans="3:7">
      <c r="C198" s="150"/>
      <c r="G198" s="150"/>
    </row>
    <row r="199" spans="3:7">
      <c r="C199" s="150"/>
      <c r="G199" s="150"/>
    </row>
    <row r="200" spans="3:7">
      <c r="C200" s="150"/>
      <c r="G200" s="150"/>
    </row>
    <row r="201" spans="3:7">
      <c r="C201" s="150"/>
      <c r="G201" s="150"/>
    </row>
    <row r="202" spans="3:7">
      <c r="C202" s="150"/>
      <c r="G202" s="150"/>
    </row>
    <row r="203" spans="3:7">
      <c r="C203" s="150"/>
      <c r="G203" s="150"/>
    </row>
    <row r="204" spans="3:7">
      <c r="C204" s="150"/>
      <c r="G204" s="150"/>
    </row>
    <row r="205" spans="3:7">
      <c r="C205" s="150"/>
      <c r="G205" s="150"/>
    </row>
    <row r="206" spans="3:7">
      <c r="C206" s="150"/>
      <c r="G206" s="150"/>
    </row>
    <row r="207" spans="3:7">
      <c r="C207" s="150"/>
      <c r="G207" s="150"/>
    </row>
    <row r="208" spans="3:7">
      <c r="C208" s="150"/>
      <c r="G208" s="150"/>
    </row>
    <row r="209" spans="3:7">
      <c r="C209" s="150"/>
      <c r="G209" s="150"/>
    </row>
    <row r="210" spans="3:7">
      <c r="C210" s="150"/>
      <c r="G210" s="150"/>
    </row>
    <row r="211" spans="3:7">
      <c r="C211" s="150"/>
      <c r="G211" s="150"/>
    </row>
    <row r="212" spans="3:7">
      <c r="C212" s="150"/>
      <c r="G212" s="150"/>
    </row>
    <row r="213" spans="3:7">
      <c r="C213" s="150"/>
      <c r="G213" s="150"/>
    </row>
    <row r="214" spans="3:7">
      <c r="C214" s="150"/>
      <c r="G214" s="150"/>
    </row>
    <row r="215" spans="3:7">
      <c r="C215" s="150"/>
      <c r="G215" s="150"/>
    </row>
    <row r="216" spans="3:7">
      <c r="C216" s="150"/>
      <c r="G216" s="150"/>
    </row>
    <row r="217" spans="3:7">
      <c r="C217" s="150"/>
      <c r="G217" s="150"/>
    </row>
    <row r="218" spans="3:7">
      <c r="C218" s="150"/>
      <c r="G218" s="150"/>
    </row>
    <row r="219" spans="3:7">
      <c r="C219" s="150"/>
      <c r="G219" s="150"/>
    </row>
    <row r="220" spans="3:7">
      <c r="C220" s="150"/>
      <c r="G220" s="150"/>
    </row>
    <row r="221" spans="3:7">
      <c r="C221" s="150"/>
      <c r="G221" s="150"/>
    </row>
    <row r="222" spans="3:7">
      <c r="C222" s="150"/>
      <c r="G222" s="150"/>
    </row>
    <row r="223" spans="3:7">
      <c r="C223" s="150"/>
      <c r="G223" s="150"/>
    </row>
    <row r="224" spans="3:7">
      <c r="C224" s="150"/>
      <c r="G224" s="150"/>
    </row>
    <row r="225" spans="3:7">
      <c r="C225" s="150"/>
      <c r="G225" s="150"/>
    </row>
    <row r="226" spans="3:7">
      <c r="C226" s="150"/>
      <c r="G226" s="150"/>
    </row>
    <row r="227" spans="3:7">
      <c r="C227" s="150"/>
      <c r="G227" s="150"/>
    </row>
    <row r="228" spans="3:7">
      <c r="C228" s="150"/>
      <c r="G228" s="150"/>
    </row>
    <row r="229" spans="3:7">
      <c r="C229" s="150"/>
      <c r="G229" s="150"/>
    </row>
    <row r="230" spans="3:7">
      <c r="C230" s="150"/>
      <c r="G230" s="150"/>
    </row>
    <row r="231" spans="3:7">
      <c r="C231" s="150"/>
      <c r="G231" s="150"/>
    </row>
    <row r="232" spans="3:7">
      <c r="C232" s="150"/>
      <c r="G232" s="150"/>
    </row>
    <row r="233" spans="3:7">
      <c r="C233" s="150"/>
      <c r="G233" s="150"/>
    </row>
    <row r="234" spans="3:7">
      <c r="C234" s="150"/>
      <c r="G234" s="150"/>
    </row>
    <row r="235" spans="3:7">
      <c r="C235" s="150"/>
      <c r="G235" s="150"/>
    </row>
    <row r="236" spans="3:7">
      <c r="C236" s="150"/>
      <c r="G236" s="150"/>
    </row>
    <row r="237" spans="3:7">
      <c r="C237" s="150"/>
      <c r="G237" s="150"/>
    </row>
    <row r="238" spans="3:7">
      <c r="C238" s="150"/>
      <c r="G238" s="150"/>
    </row>
    <row r="239" spans="3:7">
      <c r="C239" s="150"/>
      <c r="G239" s="150"/>
    </row>
    <row r="240" spans="3:7">
      <c r="C240" s="150"/>
      <c r="G240" s="150"/>
    </row>
    <row r="241" spans="3:7">
      <c r="C241" s="150"/>
      <c r="G241" s="150"/>
    </row>
    <row r="242" spans="3:7">
      <c r="C242" s="150"/>
      <c r="G242" s="150"/>
    </row>
    <row r="243" spans="3:7">
      <c r="C243" s="150"/>
      <c r="G243" s="150"/>
    </row>
    <row r="244" spans="3:7">
      <c r="C244" s="150"/>
      <c r="G244" s="150"/>
    </row>
    <row r="245" spans="3:7">
      <c r="C245" s="150"/>
      <c r="G245" s="150"/>
    </row>
    <row r="246" spans="3:7">
      <c r="C246" s="150"/>
      <c r="G246" s="150"/>
    </row>
    <row r="247" spans="3:7">
      <c r="C247" s="150"/>
      <c r="G247" s="150"/>
    </row>
    <row r="248" spans="3:7">
      <c r="C248" s="150"/>
      <c r="G248" s="150"/>
    </row>
    <row r="249" spans="3:7">
      <c r="C249" s="150"/>
      <c r="G249" s="150"/>
    </row>
    <row r="250" spans="3:7">
      <c r="C250" s="150"/>
      <c r="G250" s="150"/>
    </row>
    <row r="251" spans="3:7">
      <c r="C251" s="150"/>
      <c r="G251" s="150"/>
    </row>
    <row r="252" spans="3:7">
      <c r="C252" s="150"/>
      <c r="G252" s="150"/>
    </row>
    <row r="253" spans="3:7">
      <c r="C253" s="150"/>
      <c r="G253" s="150"/>
    </row>
    <row r="254" spans="3:7">
      <c r="C254" s="150"/>
      <c r="G254" s="150"/>
    </row>
    <row r="255" spans="3:7">
      <c r="C255" s="150"/>
      <c r="G255" s="150"/>
    </row>
    <row r="256" spans="3:7">
      <c r="C256" s="150"/>
      <c r="G256" s="150"/>
    </row>
    <row r="257" spans="3:7">
      <c r="C257" s="150"/>
      <c r="G257" s="150"/>
    </row>
    <row r="258" spans="3:7">
      <c r="C258" s="150"/>
      <c r="G258" s="150"/>
    </row>
    <row r="259" spans="3:7">
      <c r="C259" s="150"/>
      <c r="G259" s="150"/>
    </row>
    <row r="260" spans="3:7">
      <c r="C260" s="150"/>
      <c r="G260" s="150"/>
    </row>
    <row r="261" spans="3:7">
      <c r="C261" s="150"/>
      <c r="G261" s="150"/>
    </row>
    <row r="262" spans="3:7">
      <c r="C262" s="150"/>
      <c r="G262" s="150"/>
    </row>
    <row r="263" spans="3:7">
      <c r="C263" s="150"/>
      <c r="G263" s="150"/>
    </row>
    <row r="264" spans="3:7">
      <c r="C264" s="150"/>
      <c r="G264" s="150"/>
    </row>
    <row r="265" spans="3:7">
      <c r="C265" s="150"/>
      <c r="G265" s="150"/>
    </row>
    <row r="266" spans="3:7">
      <c r="C266" s="150"/>
      <c r="G266" s="150"/>
    </row>
    <row r="267" spans="3:7">
      <c r="C267" s="150"/>
      <c r="G267" s="150"/>
    </row>
    <row r="268" spans="3:7">
      <c r="C268" s="150"/>
      <c r="G268" s="150"/>
    </row>
    <row r="269" spans="3:7">
      <c r="C269" s="150"/>
      <c r="G269" s="150"/>
    </row>
    <row r="270" spans="3:7">
      <c r="C270" s="150"/>
      <c r="G270" s="150"/>
    </row>
    <row r="271" spans="3:7">
      <c r="C271" s="150"/>
      <c r="G271" s="150"/>
    </row>
    <row r="272" spans="3:7">
      <c r="C272" s="150"/>
      <c r="G272" s="150"/>
    </row>
    <row r="273" spans="3:7">
      <c r="C273" s="150"/>
      <c r="G273" s="150"/>
    </row>
    <row r="274" spans="3:7">
      <c r="C274" s="150"/>
      <c r="G274" s="150"/>
    </row>
    <row r="275" spans="3:7">
      <c r="C275" s="150"/>
      <c r="G275" s="150"/>
    </row>
    <row r="276" spans="3:7">
      <c r="C276" s="150"/>
      <c r="G276" s="150"/>
    </row>
    <row r="277" spans="3:7">
      <c r="C277" s="150"/>
      <c r="G277" s="150"/>
    </row>
    <row r="278" spans="3:7">
      <c r="C278" s="150"/>
      <c r="G278" s="150"/>
    </row>
    <row r="279" spans="3:7">
      <c r="C279" s="150"/>
      <c r="G279" s="150"/>
    </row>
    <row r="280" spans="3:7">
      <c r="C280" s="150"/>
      <c r="G280" s="150"/>
    </row>
    <row r="281" spans="3:7">
      <c r="C281" s="150"/>
      <c r="G281" s="150"/>
    </row>
    <row r="282" spans="3:7">
      <c r="C282" s="150"/>
      <c r="G282" s="150"/>
    </row>
    <row r="283" spans="3:7">
      <c r="C283" s="150"/>
      <c r="G283" s="150"/>
    </row>
    <row r="284" spans="3:7">
      <c r="C284" s="150"/>
      <c r="G284" s="150"/>
    </row>
    <row r="285" spans="3:7">
      <c r="C285" s="150"/>
      <c r="G285" s="150"/>
    </row>
    <row r="286" spans="3:7">
      <c r="C286" s="150"/>
      <c r="G286" s="150"/>
    </row>
    <row r="287" spans="3:7">
      <c r="C287" s="150"/>
      <c r="G287" s="150"/>
    </row>
    <row r="288" spans="3:7">
      <c r="C288" s="150"/>
      <c r="G288" s="150"/>
    </row>
    <row r="289" spans="3:7">
      <c r="C289" s="150"/>
      <c r="G289" s="150"/>
    </row>
    <row r="290" spans="3:7">
      <c r="C290" s="150"/>
      <c r="G290" s="150"/>
    </row>
    <row r="291" spans="3:7">
      <c r="C291" s="150"/>
      <c r="G291" s="150"/>
    </row>
    <row r="292" spans="3:7">
      <c r="C292" s="150"/>
      <c r="G292" s="150"/>
    </row>
    <row r="293" spans="3:7">
      <c r="C293" s="150"/>
      <c r="G293" s="150"/>
    </row>
    <row r="294" spans="3:7">
      <c r="C294" s="150"/>
      <c r="G294" s="150"/>
    </row>
    <row r="295" spans="3:7">
      <c r="C295" s="150"/>
      <c r="G295" s="150"/>
    </row>
    <row r="296" spans="3:7">
      <c r="C296" s="150"/>
      <c r="G296" s="150"/>
    </row>
    <row r="297" spans="3:7">
      <c r="C297" s="150"/>
      <c r="G297" s="150"/>
    </row>
    <row r="298" spans="3:7">
      <c r="C298" s="150"/>
      <c r="G298" s="150"/>
    </row>
    <row r="299" spans="3:7">
      <c r="C299" s="150"/>
      <c r="G299" s="150"/>
    </row>
    <row r="300" spans="3:7">
      <c r="C300" s="150"/>
      <c r="G300" s="150"/>
    </row>
    <row r="301" spans="3:7">
      <c r="C301" s="150"/>
      <c r="G301" s="150"/>
    </row>
    <row r="302" spans="3:7">
      <c r="C302" s="150"/>
      <c r="G302" s="150"/>
    </row>
    <row r="303" spans="3:7">
      <c r="C303" s="150"/>
      <c r="G303" s="150"/>
    </row>
    <row r="304" spans="3:7">
      <c r="C304" s="150"/>
      <c r="G304" s="150"/>
    </row>
    <row r="305" spans="3:7">
      <c r="C305" s="150"/>
      <c r="G305" s="150"/>
    </row>
    <row r="306" spans="3:7">
      <c r="C306" s="150"/>
      <c r="G306" s="150"/>
    </row>
    <row r="307" spans="3:7">
      <c r="C307" s="150"/>
      <c r="G307" s="150"/>
    </row>
    <row r="308" spans="3:7">
      <c r="C308" s="150"/>
      <c r="G308" s="150"/>
    </row>
    <row r="309" spans="3:7">
      <c r="C309" s="150"/>
      <c r="G309" s="150"/>
    </row>
    <row r="310" spans="3:7">
      <c r="C310" s="150"/>
      <c r="G310" s="150"/>
    </row>
    <row r="311" spans="3:7">
      <c r="C311" s="150"/>
      <c r="G311" s="150"/>
    </row>
    <row r="312" spans="3:7">
      <c r="C312" s="150"/>
      <c r="G312" s="150"/>
    </row>
    <row r="313" spans="3:7">
      <c r="C313" s="150"/>
      <c r="G313" s="150"/>
    </row>
    <row r="314" spans="3:7">
      <c r="C314" s="150"/>
      <c r="G314" s="150"/>
    </row>
    <row r="315" spans="3:7">
      <c r="C315" s="150"/>
      <c r="G315" s="150"/>
    </row>
    <row r="316" spans="3:7">
      <c r="C316" s="150"/>
      <c r="G316" s="150"/>
    </row>
    <row r="317" spans="3:7">
      <c r="C317" s="150"/>
      <c r="G317" s="150"/>
    </row>
    <row r="318" spans="3:7">
      <c r="C318" s="150"/>
      <c r="G318" s="150"/>
    </row>
    <row r="319" spans="3:7">
      <c r="C319" s="150"/>
      <c r="G319" s="150"/>
    </row>
    <row r="320" spans="3:7">
      <c r="C320" s="150"/>
      <c r="G320" s="150"/>
    </row>
    <row r="321" spans="3:7">
      <c r="C321" s="150"/>
      <c r="G321" s="150"/>
    </row>
    <row r="322" spans="3:7">
      <c r="C322" s="150"/>
      <c r="G322" s="150"/>
    </row>
    <row r="323" spans="3:7">
      <c r="C323" s="150"/>
      <c r="G323" s="150"/>
    </row>
    <row r="324" spans="3:7">
      <c r="C324" s="150"/>
      <c r="G324" s="150"/>
    </row>
    <row r="325" spans="3:7">
      <c r="C325" s="150"/>
      <c r="G325" s="150"/>
    </row>
    <row r="326" spans="3:7">
      <c r="C326" s="150"/>
      <c r="G326" s="150"/>
    </row>
    <row r="327" spans="3:7">
      <c r="C327" s="150"/>
      <c r="G327" s="150"/>
    </row>
    <row r="328" spans="3:7">
      <c r="C328" s="150"/>
      <c r="G328" s="150"/>
    </row>
    <row r="329" spans="3:7">
      <c r="C329" s="150"/>
      <c r="G329" s="150"/>
    </row>
    <row r="330" spans="3:7">
      <c r="C330" s="150"/>
      <c r="G330" s="150"/>
    </row>
    <row r="331" spans="3:7">
      <c r="C331" s="150"/>
      <c r="G331" s="150"/>
    </row>
    <row r="332" spans="3:7">
      <c r="C332" s="150"/>
      <c r="G332" s="150"/>
    </row>
    <row r="333" spans="3:7">
      <c r="C333" s="150"/>
      <c r="G333" s="150"/>
    </row>
    <row r="334" spans="3:7">
      <c r="C334" s="150"/>
      <c r="G334" s="150"/>
    </row>
    <row r="335" spans="3:7">
      <c r="C335" s="150"/>
      <c r="G335" s="150"/>
    </row>
    <row r="336" spans="3:7">
      <c r="C336" s="150"/>
      <c r="G336" s="150"/>
    </row>
    <row r="337" spans="3:7">
      <c r="C337" s="150"/>
      <c r="G337" s="150"/>
    </row>
    <row r="338" spans="3:7">
      <c r="C338" s="150"/>
      <c r="G338" s="150"/>
    </row>
    <row r="339" spans="3:7">
      <c r="C339" s="150"/>
      <c r="G339" s="150"/>
    </row>
    <row r="340" spans="3:7">
      <c r="C340" s="150"/>
      <c r="G340" s="150"/>
    </row>
    <row r="341" spans="3:7">
      <c r="C341" s="150"/>
      <c r="G341" s="150"/>
    </row>
    <row r="342" spans="3:7">
      <c r="C342" s="150"/>
      <c r="G342" s="150"/>
    </row>
    <row r="343" spans="3:7">
      <c r="C343" s="150"/>
      <c r="G343" s="150"/>
    </row>
    <row r="344" spans="3:7">
      <c r="C344" s="150"/>
      <c r="G344" s="150"/>
    </row>
    <row r="345" spans="3:7">
      <c r="C345" s="150"/>
      <c r="G345" s="150"/>
    </row>
    <row r="346" spans="3:7">
      <c r="C346" s="150"/>
      <c r="G346" s="150"/>
    </row>
    <row r="347" spans="3:7">
      <c r="C347" s="150"/>
      <c r="G347" s="150"/>
    </row>
    <row r="348" spans="3:7">
      <c r="C348" s="150"/>
      <c r="G348" s="150"/>
    </row>
    <row r="349" spans="3:7">
      <c r="C349" s="150"/>
      <c r="G349" s="150"/>
    </row>
    <row r="350" spans="3:7">
      <c r="C350" s="150"/>
      <c r="G350" s="150"/>
    </row>
    <row r="351" spans="3:7">
      <c r="C351" s="150"/>
      <c r="G351" s="150"/>
    </row>
    <row r="352" spans="3:7">
      <c r="C352" s="150"/>
      <c r="G352" s="150"/>
    </row>
    <row r="353" spans="3:7">
      <c r="C353" s="150"/>
      <c r="G353" s="150"/>
    </row>
    <row r="354" spans="3:7">
      <c r="C354" s="150"/>
      <c r="G354" s="150"/>
    </row>
    <row r="355" spans="3:7">
      <c r="C355" s="150"/>
      <c r="G355" s="150"/>
    </row>
    <row r="356" spans="3:7">
      <c r="C356" s="150"/>
      <c r="G356" s="150"/>
    </row>
    <row r="357" spans="3:7">
      <c r="C357" s="150"/>
      <c r="G357" s="150"/>
    </row>
    <row r="358" spans="3:7">
      <c r="C358" s="150"/>
      <c r="G358" s="150"/>
    </row>
    <row r="359" spans="3:7">
      <c r="C359" s="150"/>
      <c r="G359" s="150"/>
    </row>
    <row r="360" spans="3:7">
      <c r="C360" s="150"/>
      <c r="G360" s="150"/>
    </row>
    <row r="361" spans="3:7">
      <c r="C361" s="150"/>
      <c r="G361" s="150"/>
    </row>
    <row r="362" spans="3:7">
      <c r="C362" s="150"/>
      <c r="G362" s="150"/>
    </row>
    <row r="363" spans="3:7">
      <c r="C363" s="150"/>
      <c r="G363" s="150"/>
    </row>
    <row r="364" spans="3:7">
      <c r="C364" s="150"/>
      <c r="G364" s="150"/>
    </row>
    <row r="365" spans="3:7">
      <c r="C365" s="150"/>
      <c r="G365" s="150"/>
    </row>
    <row r="366" spans="3:7">
      <c r="C366" s="150"/>
      <c r="G366" s="150"/>
    </row>
    <row r="367" spans="3:7">
      <c r="C367" s="150"/>
      <c r="G367" s="150"/>
    </row>
    <row r="368" spans="3:7">
      <c r="C368" s="150"/>
      <c r="G368" s="150"/>
    </row>
    <row r="369" spans="3:7">
      <c r="C369" s="150"/>
      <c r="G369" s="150"/>
    </row>
    <row r="370" spans="3:7">
      <c r="C370" s="150"/>
      <c r="G370" s="150"/>
    </row>
    <row r="371" spans="3:7">
      <c r="C371" s="150"/>
      <c r="G371" s="150"/>
    </row>
    <row r="372" spans="3:7">
      <c r="C372" s="150"/>
      <c r="G372" s="150"/>
    </row>
    <row r="373" spans="3:7">
      <c r="C373" s="150"/>
      <c r="G373" s="150"/>
    </row>
    <row r="374" spans="3:7">
      <c r="C374" s="150"/>
      <c r="G374" s="150"/>
    </row>
    <row r="375" spans="3:7">
      <c r="C375" s="150"/>
      <c r="G375" s="150"/>
    </row>
    <row r="376" spans="3:7">
      <c r="C376" s="150"/>
      <c r="G376" s="150"/>
    </row>
    <row r="377" spans="3:7">
      <c r="C377" s="150"/>
      <c r="G377" s="150"/>
    </row>
    <row r="378" spans="3:7">
      <c r="C378" s="150"/>
      <c r="G378" s="150"/>
    </row>
    <row r="379" spans="3:7">
      <c r="C379" s="150"/>
      <c r="G379" s="150"/>
    </row>
    <row r="380" spans="3:7">
      <c r="C380" s="150"/>
      <c r="G380" s="150"/>
    </row>
    <row r="381" spans="3:7">
      <c r="C381" s="150"/>
      <c r="G381" s="150"/>
    </row>
    <row r="382" spans="3:7">
      <c r="C382" s="150"/>
      <c r="G382" s="150"/>
    </row>
    <row r="383" spans="3:7">
      <c r="C383" s="150"/>
      <c r="G383" s="150"/>
    </row>
    <row r="384" spans="3:7">
      <c r="C384" s="150"/>
      <c r="G384" s="150"/>
    </row>
    <row r="385" spans="3:7">
      <c r="C385" s="150"/>
      <c r="G385" s="150"/>
    </row>
    <row r="386" spans="3:7">
      <c r="C386" s="150"/>
      <c r="G386" s="150"/>
    </row>
    <row r="387" spans="3:7">
      <c r="C387" s="150"/>
      <c r="G387" s="150"/>
    </row>
    <row r="388" spans="3:7">
      <c r="C388" s="150"/>
      <c r="G388" s="150"/>
    </row>
    <row r="389" spans="3:7">
      <c r="C389" s="150"/>
      <c r="G389" s="150"/>
    </row>
    <row r="390" spans="3:7">
      <c r="C390" s="150"/>
      <c r="G390" s="150"/>
    </row>
    <row r="391" spans="3:7">
      <c r="C391" s="150"/>
      <c r="G391" s="150"/>
    </row>
    <row r="392" spans="3:7">
      <c r="C392" s="150"/>
      <c r="G392" s="150"/>
    </row>
    <row r="393" spans="3:7">
      <c r="C393" s="150"/>
      <c r="G393" s="150"/>
    </row>
    <row r="394" spans="3:7">
      <c r="C394" s="150"/>
      <c r="G394" s="150"/>
    </row>
    <row r="395" spans="3:7">
      <c r="C395" s="150"/>
      <c r="G395" s="150"/>
    </row>
    <row r="396" spans="3:7">
      <c r="C396" s="150"/>
      <c r="G396" s="150"/>
    </row>
    <row r="397" spans="3:7">
      <c r="C397" s="150"/>
      <c r="G397" s="150"/>
    </row>
    <row r="398" spans="3:7">
      <c r="C398" s="150"/>
      <c r="G398" s="150"/>
    </row>
    <row r="399" spans="3:7">
      <c r="C399" s="150"/>
      <c r="G399" s="150"/>
    </row>
    <row r="400" spans="3:7">
      <c r="C400" s="150"/>
      <c r="G400" s="150"/>
    </row>
    <row r="401" spans="3:7">
      <c r="C401" s="150"/>
      <c r="G401" s="150"/>
    </row>
    <row r="402" spans="3:7">
      <c r="C402" s="150"/>
      <c r="G402" s="150"/>
    </row>
    <row r="403" spans="3:7">
      <c r="C403" s="150"/>
      <c r="G403" s="150"/>
    </row>
    <row r="404" spans="3:7">
      <c r="C404" s="150"/>
      <c r="G404" s="150"/>
    </row>
    <row r="405" spans="3:7">
      <c r="C405" s="150"/>
      <c r="G405" s="150"/>
    </row>
    <row r="406" spans="3:7">
      <c r="C406" s="150"/>
      <c r="G406" s="150"/>
    </row>
    <row r="407" spans="3:7">
      <c r="C407" s="150"/>
      <c r="G407" s="150"/>
    </row>
    <row r="408" spans="3:7">
      <c r="C408" s="150"/>
      <c r="G408" s="150"/>
    </row>
    <row r="409" spans="3:7">
      <c r="C409" s="150"/>
      <c r="G409" s="150"/>
    </row>
    <row r="410" spans="3:7">
      <c r="C410" s="150"/>
      <c r="G410" s="150"/>
    </row>
    <row r="411" spans="3:7">
      <c r="C411" s="150"/>
      <c r="G411" s="150"/>
    </row>
    <row r="412" spans="3:7">
      <c r="C412" s="150"/>
      <c r="G412" s="150"/>
    </row>
    <row r="413" spans="3:7">
      <c r="C413" s="150"/>
      <c r="G413" s="150"/>
    </row>
    <row r="414" spans="3:7">
      <c r="C414" s="150"/>
      <c r="G414" s="150"/>
    </row>
    <row r="415" spans="3:7">
      <c r="C415" s="150"/>
      <c r="G415" s="150"/>
    </row>
    <row r="416" spans="3:7">
      <c r="C416" s="150"/>
      <c r="G416" s="150"/>
    </row>
    <row r="417" spans="3:7">
      <c r="C417" s="150"/>
      <c r="G417" s="150"/>
    </row>
    <row r="418" spans="3:7">
      <c r="C418" s="150"/>
      <c r="G418" s="150"/>
    </row>
    <row r="419" spans="3:7">
      <c r="C419" s="150"/>
      <c r="G419" s="150"/>
    </row>
    <row r="420" spans="3:7">
      <c r="C420" s="150"/>
      <c r="G420" s="150"/>
    </row>
    <row r="421" spans="3:7">
      <c r="C421" s="150"/>
      <c r="G421" s="150"/>
    </row>
    <row r="422" spans="3:7">
      <c r="C422" s="150"/>
      <c r="G422" s="150"/>
    </row>
    <row r="423" spans="3:7">
      <c r="C423" s="150"/>
      <c r="G423" s="150"/>
    </row>
    <row r="424" spans="3:7">
      <c r="C424" s="150"/>
      <c r="G424" s="150"/>
    </row>
    <row r="425" spans="3:7">
      <c r="C425" s="150"/>
      <c r="G425" s="150"/>
    </row>
    <row r="426" spans="3:7">
      <c r="C426" s="150"/>
      <c r="G426" s="150"/>
    </row>
    <row r="427" spans="3:7">
      <c r="C427" s="150"/>
      <c r="G427" s="150"/>
    </row>
    <row r="428" spans="3:7">
      <c r="C428" s="150"/>
      <c r="G428" s="150"/>
    </row>
    <row r="429" spans="3:7">
      <c r="C429" s="150"/>
      <c r="G429" s="150"/>
    </row>
    <row r="430" spans="3:7">
      <c r="C430" s="150"/>
      <c r="G430" s="150"/>
    </row>
    <row r="431" spans="3:7">
      <c r="C431" s="150"/>
      <c r="G431" s="150"/>
    </row>
    <row r="432" spans="3:7">
      <c r="C432" s="150"/>
      <c r="G432" s="150"/>
    </row>
    <row r="433" spans="3:7">
      <c r="C433" s="150"/>
      <c r="G433" s="150"/>
    </row>
    <row r="434" spans="3:7">
      <c r="C434" s="150"/>
      <c r="G434" s="150"/>
    </row>
    <row r="435" spans="3:7">
      <c r="C435" s="150"/>
      <c r="G435" s="150"/>
    </row>
    <row r="436" spans="3:7">
      <c r="C436" s="150"/>
      <c r="G436" s="150"/>
    </row>
    <row r="437" spans="3:7">
      <c r="C437" s="150"/>
      <c r="G437" s="150"/>
    </row>
    <row r="438" spans="3:7">
      <c r="C438" s="150"/>
      <c r="G438" s="150"/>
    </row>
    <row r="439" spans="3:7">
      <c r="C439" s="150"/>
      <c r="G439" s="150"/>
    </row>
    <row r="440" spans="3:7">
      <c r="C440" s="150"/>
      <c r="G440" s="150"/>
    </row>
    <row r="441" spans="3:7">
      <c r="C441" s="150"/>
      <c r="G441" s="150"/>
    </row>
    <row r="442" spans="3:7">
      <c r="C442" s="150"/>
      <c r="G442" s="150"/>
    </row>
    <row r="443" spans="3:7">
      <c r="C443" s="150"/>
      <c r="G443" s="150"/>
    </row>
    <row r="444" spans="3:7">
      <c r="C444" s="150"/>
      <c r="G444" s="150"/>
    </row>
    <row r="445" spans="3:7">
      <c r="C445" s="150"/>
      <c r="G445" s="150"/>
    </row>
    <row r="446" spans="3:7">
      <c r="C446" s="150"/>
      <c r="G446" s="150"/>
    </row>
    <row r="447" spans="3:7">
      <c r="C447" s="150"/>
      <c r="G447" s="150"/>
    </row>
    <row r="448" spans="3:7">
      <c r="C448" s="150"/>
      <c r="G448" s="150"/>
    </row>
    <row r="449" spans="3:7">
      <c r="C449" s="150"/>
      <c r="G449" s="150"/>
    </row>
    <row r="450" spans="3:7">
      <c r="C450" s="150"/>
      <c r="G450" s="150"/>
    </row>
    <row r="451" spans="3:7">
      <c r="C451" s="150"/>
      <c r="G451" s="150"/>
    </row>
    <row r="452" spans="3:7">
      <c r="C452" s="150"/>
      <c r="G452" s="150"/>
    </row>
    <row r="453" spans="3:7">
      <c r="C453" s="150"/>
      <c r="G453" s="150"/>
    </row>
    <row r="454" spans="3:7">
      <c r="C454" s="150"/>
      <c r="G454" s="150"/>
    </row>
    <row r="455" spans="3:7">
      <c r="C455" s="150"/>
      <c r="G455" s="150"/>
    </row>
    <row r="456" spans="3:7">
      <c r="C456" s="150"/>
      <c r="G456" s="150"/>
    </row>
    <row r="457" spans="3:7">
      <c r="C457" s="150"/>
      <c r="G457" s="150"/>
    </row>
    <row r="458" spans="3:7">
      <c r="C458" s="150"/>
      <c r="G458" s="150"/>
    </row>
    <row r="459" spans="3:7">
      <c r="C459" s="150"/>
      <c r="G459" s="150"/>
    </row>
    <row r="460" spans="3:7">
      <c r="C460" s="150"/>
      <c r="G460" s="150"/>
    </row>
    <row r="461" spans="3:7">
      <c r="C461" s="150"/>
      <c r="G461" s="150"/>
    </row>
    <row r="462" spans="3:7">
      <c r="C462" s="150"/>
      <c r="G462" s="150"/>
    </row>
    <row r="463" spans="3:7">
      <c r="C463" s="150"/>
      <c r="G463" s="150"/>
    </row>
    <row r="464" spans="3:7">
      <c r="C464" s="150"/>
      <c r="G464" s="150"/>
    </row>
    <row r="465" spans="3:7">
      <c r="C465" s="150"/>
      <c r="G465" s="150"/>
    </row>
    <row r="466" spans="3:7">
      <c r="C466" s="150"/>
      <c r="G466" s="150"/>
    </row>
    <row r="467" spans="3:7">
      <c r="C467" s="150"/>
      <c r="G467" s="150"/>
    </row>
    <row r="468" spans="3:7">
      <c r="C468" s="150"/>
      <c r="G468" s="150"/>
    </row>
    <row r="469" spans="3:7">
      <c r="C469" s="150"/>
      <c r="G469" s="150"/>
    </row>
    <row r="470" spans="3:7">
      <c r="C470" s="150"/>
      <c r="G470" s="150"/>
    </row>
    <row r="471" spans="3:7">
      <c r="C471" s="150"/>
      <c r="G471" s="150"/>
    </row>
    <row r="472" spans="3:7">
      <c r="C472" s="150"/>
      <c r="G472" s="150"/>
    </row>
    <row r="473" spans="3:7">
      <c r="C473" s="150"/>
      <c r="G473" s="150"/>
    </row>
    <row r="474" spans="3:7">
      <c r="C474" s="150"/>
      <c r="G474" s="150"/>
    </row>
    <row r="475" spans="3:7">
      <c r="C475" s="150"/>
      <c r="G475" s="150"/>
    </row>
    <row r="476" spans="3:7">
      <c r="C476" s="150"/>
      <c r="G476" s="150"/>
    </row>
    <row r="477" spans="3:7">
      <c r="C477" s="150"/>
      <c r="G477" s="150"/>
    </row>
    <row r="478" spans="3:7">
      <c r="C478" s="150"/>
      <c r="G478" s="150"/>
    </row>
    <row r="479" spans="3:7">
      <c r="C479" s="150"/>
      <c r="G479" s="150"/>
    </row>
    <row r="480" spans="3:7">
      <c r="C480" s="150"/>
      <c r="G480" s="150"/>
    </row>
    <row r="481" spans="3:7">
      <c r="C481" s="150"/>
      <c r="G481" s="150"/>
    </row>
    <row r="482" spans="3:7">
      <c r="C482" s="150"/>
      <c r="G482" s="150"/>
    </row>
    <row r="483" spans="3:7">
      <c r="C483" s="150"/>
      <c r="G483" s="150"/>
    </row>
    <row r="484" spans="3:7">
      <c r="C484" s="150"/>
      <c r="G484" s="150"/>
    </row>
    <row r="485" spans="3:7">
      <c r="C485" s="150"/>
      <c r="G485" s="150"/>
    </row>
    <row r="486" spans="3:7">
      <c r="C486" s="150"/>
      <c r="G486" s="150"/>
    </row>
    <row r="487" spans="3:7">
      <c r="C487" s="150"/>
      <c r="G487" s="150"/>
    </row>
    <row r="488" spans="3:7">
      <c r="C488" s="150"/>
      <c r="G488" s="150"/>
    </row>
    <row r="489" spans="3:7">
      <c r="C489" s="150"/>
      <c r="G489" s="150"/>
    </row>
    <row r="490" spans="3:7">
      <c r="C490" s="150"/>
      <c r="G490" s="150"/>
    </row>
    <row r="491" spans="3:7">
      <c r="C491" s="150"/>
      <c r="G491" s="150"/>
    </row>
    <row r="492" spans="3:7">
      <c r="C492" s="150"/>
      <c r="G492" s="150"/>
    </row>
    <row r="493" spans="3:7">
      <c r="C493" s="150"/>
      <c r="G493" s="150"/>
    </row>
    <row r="494" spans="3:7">
      <c r="C494" s="150"/>
      <c r="G494" s="150"/>
    </row>
    <row r="495" spans="3:7">
      <c r="C495" s="150"/>
      <c r="G495" s="150"/>
    </row>
    <row r="496" spans="3:7">
      <c r="C496" s="150"/>
      <c r="G496" s="150"/>
    </row>
    <row r="497" spans="3:7">
      <c r="C497" s="150"/>
      <c r="G497" s="150"/>
    </row>
    <row r="498" spans="3:7">
      <c r="C498" s="150"/>
      <c r="G498" s="150"/>
    </row>
    <row r="499" spans="3:7">
      <c r="C499" s="150"/>
      <c r="G499" s="150"/>
    </row>
    <row r="500" spans="3:7">
      <c r="C500" s="150"/>
      <c r="G500" s="150"/>
    </row>
    <row r="501" spans="3:7">
      <c r="C501" s="150"/>
      <c r="G501" s="150"/>
    </row>
    <row r="502" spans="3:7">
      <c r="C502" s="150"/>
      <c r="G502" s="150"/>
    </row>
    <row r="503" spans="3:7">
      <c r="C503" s="150"/>
      <c r="G503" s="150"/>
    </row>
    <row r="504" spans="3:7">
      <c r="C504" s="150"/>
      <c r="G504" s="150"/>
    </row>
    <row r="505" spans="3:7">
      <c r="C505" s="150"/>
      <c r="G505" s="150"/>
    </row>
    <row r="506" spans="3:7">
      <c r="C506" s="150"/>
      <c r="G506" s="150"/>
    </row>
    <row r="507" spans="3:7">
      <c r="C507" s="150"/>
      <c r="G507" s="150"/>
    </row>
    <row r="508" spans="3:7">
      <c r="C508" s="150"/>
      <c r="G508" s="150"/>
    </row>
    <row r="509" spans="3:7">
      <c r="C509" s="150"/>
      <c r="G509" s="150"/>
    </row>
    <row r="510" spans="3:7">
      <c r="C510" s="150"/>
      <c r="G510" s="150"/>
    </row>
    <row r="511" spans="3:7">
      <c r="C511" s="150"/>
      <c r="G511" s="150"/>
    </row>
    <row r="512" spans="3:7">
      <c r="C512" s="150"/>
      <c r="G512" s="150"/>
    </row>
    <row r="513" spans="3:7">
      <c r="C513" s="150"/>
      <c r="G513" s="150"/>
    </row>
    <row r="514" spans="3:7">
      <c r="C514" s="150"/>
      <c r="G514" s="150"/>
    </row>
    <row r="515" spans="3:7">
      <c r="C515" s="150"/>
      <c r="G515" s="150"/>
    </row>
    <row r="516" spans="3:7">
      <c r="C516" s="150"/>
      <c r="G516" s="150"/>
    </row>
    <row r="517" spans="3:7">
      <c r="C517" s="150"/>
      <c r="G517" s="150"/>
    </row>
    <row r="518" spans="3:7">
      <c r="C518" s="150"/>
      <c r="G518" s="150"/>
    </row>
    <row r="519" spans="3:7">
      <c r="C519" s="150"/>
      <c r="G519" s="150"/>
    </row>
    <row r="520" spans="3:7">
      <c r="C520" s="150"/>
      <c r="G520" s="150"/>
    </row>
    <row r="521" spans="3:7">
      <c r="C521" s="150"/>
      <c r="G521" s="150"/>
    </row>
    <row r="522" spans="3:7">
      <c r="C522" s="150"/>
      <c r="G522" s="150"/>
    </row>
    <row r="523" spans="3:7">
      <c r="C523" s="150"/>
      <c r="G523" s="150"/>
    </row>
    <row r="524" spans="3:7">
      <c r="C524" s="150"/>
      <c r="G524" s="150"/>
    </row>
    <row r="525" spans="3:7">
      <c r="C525" s="150"/>
      <c r="G525" s="150"/>
    </row>
    <row r="526" spans="3:7">
      <c r="C526" s="150"/>
      <c r="G526" s="150"/>
    </row>
    <row r="527" spans="3:7">
      <c r="C527" s="150"/>
      <c r="G527" s="150"/>
    </row>
    <row r="528" spans="3:7">
      <c r="C528" s="150"/>
      <c r="G528" s="150"/>
    </row>
    <row r="529" spans="3:7">
      <c r="C529" s="150"/>
      <c r="G529" s="150"/>
    </row>
    <row r="530" spans="3:7">
      <c r="C530" s="150"/>
      <c r="G530" s="150"/>
    </row>
    <row r="531" spans="3:7">
      <c r="C531" s="150"/>
      <c r="G531" s="150"/>
    </row>
    <row r="532" spans="3:7">
      <c r="C532" s="150"/>
      <c r="G532" s="150"/>
    </row>
    <row r="533" spans="3:7">
      <c r="C533" s="150"/>
      <c r="G533" s="150"/>
    </row>
    <row r="534" spans="3:7">
      <c r="C534" s="150"/>
      <c r="G534" s="150"/>
    </row>
    <row r="535" spans="3:7">
      <c r="C535" s="150"/>
      <c r="G535" s="150"/>
    </row>
    <row r="536" spans="3:7">
      <c r="C536" s="150"/>
      <c r="G536" s="150"/>
    </row>
    <row r="537" spans="3:7">
      <c r="C537" s="150"/>
      <c r="G537" s="150"/>
    </row>
    <row r="538" spans="3:7">
      <c r="C538" s="150"/>
      <c r="G538" s="150"/>
    </row>
    <row r="539" spans="3:7">
      <c r="C539" s="150"/>
      <c r="G539" s="150"/>
    </row>
    <row r="540" spans="3:7">
      <c r="C540" s="150"/>
      <c r="G540" s="150"/>
    </row>
    <row r="541" spans="3:7">
      <c r="C541" s="150"/>
      <c r="G541" s="150"/>
    </row>
    <row r="542" spans="3:7">
      <c r="C542" s="150"/>
      <c r="G542" s="150"/>
    </row>
    <row r="543" spans="3:7">
      <c r="C543" s="150"/>
      <c r="G543" s="150"/>
    </row>
    <row r="544" spans="3:7">
      <c r="C544" s="150"/>
      <c r="G544" s="150"/>
    </row>
    <row r="545" spans="3:7">
      <c r="C545" s="150"/>
      <c r="G545" s="150"/>
    </row>
    <row r="546" spans="3:7">
      <c r="C546" s="150"/>
      <c r="G546" s="150"/>
    </row>
    <row r="547" spans="3:7">
      <c r="C547" s="150"/>
      <c r="G547" s="150"/>
    </row>
    <row r="548" spans="3:7">
      <c r="C548" s="150"/>
      <c r="G548" s="150"/>
    </row>
    <row r="549" spans="3:7">
      <c r="C549" s="150"/>
      <c r="G549" s="150"/>
    </row>
    <row r="550" spans="3:7">
      <c r="C550" s="150"/>
      <c r="G550" s="150"/>
    </row>
    <row r="551" spans="3:7">
      <c r="C551" s="150"/>
      <c r="G551" s="150"/>
    </row>
    <row r="552" spans="3:7">
      <c r="C552" s="150"/>
      <c r="G552" s="150"/>
    </row>
    <row r="553" spans="3:7">
      <c r="C553" s="150"/>
      <c r="G553" s="150"/>
    </row>
    <row r="554" spans="3:7">
      <c r="C554" s="150"/>
      <c r="G554" s="150"/>
    </row>
    <row r="555" spans="3:7">
      <c r="C555" s="150"/>
      <c r="G555" s="150"/>
    </row>
    <row r="556" spans="3:7">
      <c r="C556" s="150"/>
      <c r="G556" s="150"/>
    </row>
    <row r="557" spans="3:7">
      <c r="C557" s="150"/>
      <c r="G557" s="150"/>
    </row>
    <row r="558" spans="3:7">
      <c r="C558" s="150"/>
      <c r="G558" s="150"/>
    </row>
    <row r="559" spans="3:7">
      <c r="C559" s="150"/>
      <c r="G559" s="150"/>
    </row>
    <row r="560" spans="3:7">
      <c r="C560" s="150"/>
      <c r="G560" s="150"/>
    </row>
    <row r="561" spans="3:7">
      <c r="C561" s="150"/>
      <c r="G561" s="150"/>
    </row>
    <row r="562" spans="3:7">
      <c r="C562" s="150"/>
      <c r="G562" s="150"/>
    </row>
    <row r="563" spans="3:7">
      <c r="C563" s="150"/>
      <c r="G563" s="150"/>
    </row>
    <row r="564" spans="3:7">
      <c r="C564" s="150"/>
      <c r="G564" s="150"/>
    </row>
    <row r="565" spans="3:7">
      <c r="C565" s="150"/>
      <c r="G565" s="150"/>
    </row>
    <row r="566" spans="3:7">
      <c r="C566" s="150"/>
      <c r="G566" s="150"/>
    </row>
    <row r="567" spans="3:7">
      <c r="C567" s="150"/>
      <c r="G567" s="150"/>
    </row>
    <row r="568" spans="3:7">
      <c r="C568" s="150"/>
      <c r="G568" s="150"/>
    </row>
    <row r="569" spans="3:7">
      <c r="C569" s="150"/>
      <c r="G569" s="150"/>
    </row>
    <row r="570" spans="3:7">
      <c r="C570" s="150"/>
      <c r="G570" s="150"/>
    </row>
    <row r="571" spans="3:7">
      <c r="C571" s="150"/>
      <c r="G571" s="150"/>
    </row>
    <row r="572" spans="3:7">
      <c r="C572" s="150"/>
      <c r="G572" s="150"/>
    </row>
    <row r="573" spans="3:7">
      <c r="C573" s="150"/>
      <c r="G573" s="150"/>
    </row>
    <row r="574" spans="3:7">
      <c r="C574" s="150"/>
      <c r="G574" s="150"/>
    </row>
    <row r="575" spans="3:7">
      <c r="C575" s="150"/>
      <c r="G575" s="150"/>
    </row>
    <row r="576" spans="3:7">
      <c r="C576" s="150"/>
      <c r="G576" s="150"/>
    </row>
    <row r="577" spans="3:7">
      <c r="C577" s="150"/>
      <c r="G577" s="150"/>
    </row>
    <row r="578" spans="3:7">
      <c r="C578" s="150"/>
      <c r="G578" s="150"/>
    </row>
    <row r="579" spans="3:7">
      <c r="C579" s="150"/>
      <c r="G579" s="150"/>
    </row>
    <row r="580" spans="3:7">
      <c r="C580" s="150"/>
      <c r="G580" s="150"/>
    </row>
    <row r="581" spans="3:7">
      <c r="C581" s="150"/>
      <c r="G581" s="150"/>
    </row>
    <row r="582" spans="3:7">
      <c r="C582" s="150"/>
      <c r="G582" s="150"/>
    </row>
    <row r="583" spans="3:7">
      <c r="C583" s="150"/>
      <c r="G583" s="150"/>
    </row>
    <row r="584" spans="3:7">
      <c r="C584" s="150"/>
      <c r="G584" s="150"/>
    </row>
    <row r="585" spans="3:7">
      <c r="C585" s="150"/>
      <c r="G585" s="150"/>
    </row>
    <row r="586" spans="3:7">
      <c r="C586" s="150"/>
      <c r="G586" s="150"/>
    </row>
    <row r="587" spans="3:7">
      <c r="C587" s="150"/>
      <c r="G587" s="150"/>
    </row>
    <row r="588" spans="3:7">
      <c r="C588" s="150"/>
      <c r="G588" s="150"/>
    </row>
    <row r="589" spans="3:7">
      <c r="C589" s="150"/>
      <c r="G589" s="150"/>
    </row>
    <row r="590" spans="3:7">
      <c r="C590" s="150"/>
      <c r="G590" s="150"/>
    </row>
    <row r="591" spans="3:7">
      <c r="C591" s="150"/>
      <c r="G591" s="150"/>
    </row>
    <row r="592" spans="3:7">
      <c r="C592" s="150"/>
      <c r="G592" s="150"/>
    </row>
    <row r="593" spans="3:7">
      <c r="C593" s="150"/>
      <c r="G593" s="150"/>
    </row>
    <row r="594" spans="3:7">
      <c r="C594" s="150"/>
      <c r="G594" s="150"/>
    </row>
    <row r="595" spans="3:7">
      <c r="C595" s="150"/>
      <c r="G595" s="150"/>
    </row>
    <row r="596" spans="3:7">
      <c r="C596" s="150"/>
      <c r="G596" s="150"/>
    </row>
    <row r="597" spans="3:7">
      <c r="C597" s="150"/>
      <c r="G597" s="150"/>
    </row>
    <row r="598" spans="3:7">
      <c r="C598" s="150"/>
      <c r="G598" s="150"/>
    </row>
    <row r="599" spans="3:7">
      <c r="C599" s="150"/>
      <c r="G599" s="150"/>
    </row>
    <row r="600" spans="3:7">
      <c r="C600" s="150"/>
      <c r="G600" s="150"/>
    </row>
    <row r="601" spans="3:7">
      <c r="C601" s="150"/>
      <c r="G601" s="150"/>
    </row>
    <row r="602" spans="3:7">
      <c r="C602" s="150"/>
      <c r="G602" s="150"/>
    </row>
    <row r="603" spans="3:7">
      <c r="C603" s="150"/>
      <c r="G603" s="150"/>
    </row>
    <row r="604" spans="3:7">
      <c r="C604" s="150"/>
      <c r="G604" s="150"/>
    </row>
    <row r="605" spans="3:7">
      <c r="C605" s="150"/>
      <c r="G605" s="150"/>
    </row>
    <row r="606" spans="3:7">
      <c r="C606" s="150"/>
      <c r="G606" s="150"/>
    </row>
    <row r="607" spans="3:7">
      <c r="C607" s="150"/>
      <c r="G607" s="150"/>
    </row>
    <row r="608" spans="3:7">
      <c r="C608" s="150"/>
      <c r="G608" s="150"/>
    </row>
    <row r="609" spans="3:7">
      <c r="C609" s="150"/>
      <c r="G609" s="150"/>
    </row>
    <row r="610" spans="3:7">
      <c r="C610" s="150"/>
      <c r="G610" s="150"/>
    </row>
    <row r="611" spans="3:7">
      <c r="C611" s="150"/>
      <c r="G611" s="150"/>
    </row>
    <row r="612" spans="3:7">
      <c r="C612" s="150"/>
      <c r="G612" s="150"/>
    </row>
    <row r="613" spans="3:7">
      <c r="C613" s="150"/>
      <c r="G613" s="150"/>
    </row>
    <row r="614" spans="3:7">
      <c r="C614" s="150"/>
      <c r="G614" s="150"/>
    </row>
    <row r="615" spans="3:7">
      <c r="C615" s="150"/>
      <c r="G615" s="150"/>
    </row>
    <row r="616" spans="3:7">
      <c r="C616" s="150"/>
      <c r="G616" s="150"/>
    </row>
    <row r="617" spans="3:7">
      <c r="C617" s="150"/>
      <c r="G617" s="150"/>
    </row>
    <row r="618" spans="3:7">
      <c r="C618" s="150"/>
      <c r="G618" s="150"/>
    </row>
    <row r="619" spans="3:7">
      <c r="C619" s="150"/>
      <c r="G619" s="150"/>
    </row>
    <row r="620" spans="3:7">
      <c r="C620" s="150"/>
      <c r="G620" s="150"/>
    </row>
    <row r="621" spans="3:7">
      <c r="C621" s="150"/>
      <c r="G621" s="150"/>
    </row>
    <row r="622" spans="3:7">
      <c r="C622" s="150"/>
      <c r="G622" s="150"/>
    </row>
    <row r="623" spans="3:7">
      <c r="C623" s="150"/>
      <c r="G623" s="150"/>
    </row>
    <row r="624" spans="3:7">
      <c r="C624" s="150"/>
      <c r="G624" s="150"/>
    </row>
    <row r="625" spans="3:7">
      <c r="C625" s="150"/>
      <c r="G625" s="150"/>
    </row>
    <row r="626" spans="3:7">
      <c r="C626" s="150"/>
      <c r="G626" s="150"/>
    </row>
    <row r="627" spans="3:7">
      <c r="C627" s="150"/>
      <c r="G627" s="150"/>
    </row>
    <row r="628" spans="3:7">
      <c r="C628" s="150"/>
      <c r="G628" s="150"/>
    </row>
    <row r="629" spans="3:7">
      <c r="C629" s="150"/>
      <c r="G629" s="150"/>
    </row>
    <row r="630" spans="3:7">
      <c r="C630" s="150"/>
      <c r="G630" s="150"/>
    </row>
    <row r="631" spans="3:7">
      <c r="C631" s="150"/>
      <c r="G631" s="150"/>
    </row>
    <row r="632" spans="3:7">
      <c r="C632" s="150"/>
      <c r="G632" s="150"/>
    </row>
    <row r="633" spans="3:7">
      <c r="C633" s="150"/>
      <c r="G633" s="150"/>
    </row>
    <row r="634" spans="3:7">
      <c r="C634" s="150"/>
      <c r="G634" s="150"/>
    </row>
    <row r="635" spans="3:7">
      <c r="C635" s="150"/>
      <c r="G635" s="150"/>
    </row>
    <row r="636" spans="3:7">
      <c r="C636" s="150"/>
      <c r="G636" s="150"/>
    </row>
    <row r="637" spans="3:7">
      <c r="C637" s="150"/>
      <c r="G637" s="150"/>
    </row>
    <row r="638" spans="3:7">
      <c r="C638" s="150"/>
      <c r="G638" s="150"/>
    </row>
    <row r="639" spans="3:7">
      <c r="C639" s="150"/>
      <c r="G639" s="150"/>
    </row>
    <row r="640" spans="3:7">
      <c r="C640" s="150"/>
      <c r="G640" s="150"/>
    </row>
    <row r="641" spans="3:7">
      <c r="C641" s="150"/>
      <c r="G641" s="150"/>
    </row>
    <row r="642" spans="3:7">
      <c r="C642" s="150"/>
      <c r="G642" s="150"/>
    </row>
    <row r="643" spans="3:7">
      <c r="C643" s="150"/>
      <c r="G643" s="150"/>
    </row>
    <row r="644" spans="3:7">
      <c r="C644" s="150"/>
      <c r="G644" s="150"/>
    </row>
    <row r="645" spans="3:7">
      <c r="C645" s="150"/>
      <c r="G645" s="150"/>
    </row>
    <row r="646" spans="3:7">
      <c r="C646" s="150"/>
      <c r="G646" s="150"/>
    </row>
    <row r="647" spans="3:7">
      <c r="C647" s="150"/>
      <c r="G647" s="150"/>
    </row>
    <row r="648" spans="3:7">
      <c r="C648" s="150"/>
      <c r="G648" s="150"/>
    </row>
    <row r="649" spans="3:7">
      <c r="C649" s="150"/>
      <c r="G649" s="150"/>
    </row>
    <row r="650" spans="3:7">
      <c r="C650" s="150"/>
      <c r="G650" s="150"/>
    </row>
    <row r="651" spans="3:7">
      <c r="C651" s="150"/>
      <c r="G651" s="150"/>
    </row>
    <row r="652" spans="3:7">
      <c r="C652" s="150"/>
      <c r="G652" s="150"/>
    </row>
    <row r="653" spans="3:7">
      <c r="C653" s="150"/>
      <c r="G653" s="150"/>
    </row>
    <row r="654" spans="3:7">
      <c r="C654" s="150"/>
      <c r="G654" s="150"/>
    </row>
    <row r="655" spans="3:7">
      <c r="C655" s="150"/>
      <c r="G655" s="150"/>
    </row>
    <row r="656" spans="3:7">
      <c r="C656" s="150"/>
      <c r="G656" s="150"/>
    </row>
    <row r="657" spans="3:7">
      <c r="C657" s="150"/>
      <c r="G657" s="150"/>
    </row>
    <row r="658" spans="3:7">
      <c r="C658" s="150"/>
      <c r="G658" s="150"/>
    </row>
    <row r="659" spans="3:7">
      <c r="C659" s="150"/>
      <c r="G659" s="150"/>
    </row>
    <row r="660" spans="3:7">
      <c r="C660" s="150"/>
      <c r="G660" s="150"/>
    </row>
    <row r="661" spans="3:7">
      <c r="C661" s="150"/>
      <c r="G661" s="150"/>
    </row>
    <row r="662" spans="3:7">
      <c r="C662" s="150"/>
      <c r="G662" s="150"/>
    </row>
    <row r="663" spans="3:7">
      <c r="C663" s="150"/>
      <c r="G663" s="150"/>
    </row>
    <row r="664" spans="3:7">
      <c r="C664" s="150"/>
      <c r="G664" s="150"/>
    </row>
    <row r="665" spans="3:7">
      <c r="C665" s="150"/>
      <c r="G665" s="150"/>
    </row>
    <row r="666" spans="3:7">
      <c r="C666" s="150"/>
      <c r="G666" s="150"/>
    </row>
    <row r="667" spans="3:7">
      <c r="C667" s="150"/>
      <c r="G667" s="150"/>
    </row>
    <row r="668" spans="3:7">
      <c r="C668" s="150"/>
      <c r="G668" s="150"/>
    </row>
    <row r="669" spans="3:7">
      <c r="C669" s="150"/>
      <c r="G669" s="150"/>
    </row>
    <row r="670" spans="3:7">
      <c r="C670" s="150"/>
      <c r="G670" s="150"/>
    </row>
    <row r="671" spans="3:7">
      <c r="C671" s="150"/>
      <c r="G671" s="150"/>
    </row>
    <row r="672" spans="3:7">
      <c r="C672" s="150"/>
      <c r="G672" s="150"/>
    </row>
    <row r="673" spans="3:7">
      <c r="C673" s="150"/>
      <c r="G673" s="150"/>
    </row>
    <row r="674" spans="3:7">
      <c r="C674" s="150"/>
      <c r="G674" s="150"/>
    </row>
    <row r="675" spans="3:7">
      <c r="C675" s="150"/>
      <c r="G675" s="150"/>
    </row>
    <row r="676" spans="3:7">
      <c r="C676" s="150"/>
      <c r="G676" s="150"/>
    </row>
    <row r="677" spans="3:7">
      <c r="C677" s="150"/>
      <c r="G677" s="150"/>
    </row>
    <row r="678" spans="3:7">
      <c r="C678" s="150"/>
      <c r="G678" s="150"/>
    </row>
    <row r="679" spans="3:7">
      <c r="C679" s="150"/>
      <c r="G679" s="150"/>
    </row>
    <row r="680" spans="3:7">
      <c r="C680" s="150"/>
      <c r="G680" s="150"/>
    </row>
    <row r="681" spans="3:7">
      <c r="C681" s="150"/>
      <c r="G681" s="150"/>
    </row>
    <row r="682" spans="3:7">
      <c r="C682" s="150"/>
      <c r="G682" s="150"/>
    </row>
    <row r="683" spans="3:7">
      <c r="C683" s="150"/>
      <c r="G683" s="150"/>
    </row>
    <row r="684" spans="3:7">
      <c r="C684" s="150"/>
      <c r="G684" s="150"/>
    </row>
    <row r="685" spans="3:7">
      <c r="C685" s="150"/>
      <c r="G685" s="150"/>
    </row>
    <row r="686" spans="3:7">
      <c r="C686" s="150"/>
      <c r="G686" s="150"/>
    </row>
    <row r="687" spans="3:7">
      <c r="C687" s="150"/>
      <c r="G687" s="150"/>
    </row>
    <row r="688" spans="3:7">
      <c r="C688" s="150"/>
      <c r="G688" s="150"/>
    </row>
    <row r="689" spans="3:7">
      <c r="C689" s="150"/>
      <c r="G689" s="150"/>
    </row>
    <row r="690" spans="3:7">
      <c r="C690" s="150"/>
      <c r="G690" s="150"/>
    </row>
    <row r="691" spans="3:7">
      <c r="C691" s="150"/>
      <c r="G691" s="150"/>
    </row>
    <row r="692" spans="3:7">
      <c r="C692" s="150"/>
      <c r="G692" s="150"/>
    </row>
    <row r="693" spans="3:7">
      <c r="C693" s="150"/>
      <c r="G693" s="150"/>
    </row>
    <row r="694" spans="3:7">
      <c r="C694" s="150"/>
      <c r="G694" s="150"/>
    </row>
    <row r="695" spans="3:7">
      <c r="C695" s="150"/>
      <c r="G695" s="150"/>
    </row>
    <row r="696" spans="3:7">
      <c r="C696" s="150"/>
      <c r="G696" s="150"/>
    </row>
    <row r="697" spans="3:7">
      <c r="C697" s="150"/>
      <c r="G697" s="150"/>
    </row>
    <row r="698" spans="3:7">
      <c r="C698" s="150"/>
      <c r="G698" s="150"/>
    </row>
    <row r="699" spans="3:7">
      <c r="C699" s="150"/>
      <c r="G699" s="150"/>
    </row>
    <row r="700" spans="3:7">
      <c r="C700" s="150"/>
      <c r="G700" s="150"/>
    </row>
    <row r="701" spans="3:7">
      <c r="C701" s="150"/>
      <c r="G701" s="150"/>
    </row>
    <row r="702" spans="3:7">
      <c r="C702" s="150"/>
      <c r="G702" s="150"/>
    </row>
    <row r="703" spans="3:7">
      <c r="C703" s="150"/>
      <c r="G703" s="150"/>
    </row>
    <row r="704" spans="3:7">
      <c r="C704" s="150"/>
      <c r="G704" s="150"/>
    </row>
    <row r="705" spans="3:7">
      <c r="C705" s="150"/>
      <c r="G705" s="150"/>
    </row>
    <row r="706" spans="3:7">
      <c r="C706" s="150"/>
      <c r="G706" s="150"/>
    </row>
    <row r="707" spans="3:7">
      <c r="C707" s="150"/>
      <c r="G707" s="150"/>
    </row>
    <row r="708" spans="3:7">
      <c r="C708" s="150"/>
      <c r="G708" s="150"/>
    </row>
    <row r="709" spans="3:7">
      <c r="C709" s="150"/>
      <c r="G709" s="150"/>
    </row>
    <row r="710" spans="3:7">
      <c r="C710" s="150"/>
      <c r="G710" s="150"/>
    </row>
    <row r="711" spans="3:7">
      <c r="C711" s="150"/>
      <c r="G711" s="150"/>
    </row>
    <row r="712" spans="3:7">
      <c r="C712" s="150"/>
      <c r="G712" s="150"/>
    </row>
    <row r="713" spans="3:7">
      <c r="C713" s="150"/>
      <c r="G713" s="150"/>
    </row>
    <row r="714" spans="3:7">
      <c r="C714" s="150"/>
      <c r="G714" s="150"/>
    </row>
    <row r="715" spans="3:7">
      <c r="C715" s="150"/>
      <c r="G715" s="150"/>
    </row>
    <row r="716" spans="3:7">
      <c r="C716" s="150"/>
      <c r="G716" s="150"/>
    </row>
    <row r="717" spans="3:7">
      <c r="C717" s="150"/>
      <c r="G717" s="150"/>
    </row>
    <row r="718" spans="3:7">
      <c r="C718" s="150"/>
      <c r="G718" s="150"/>
    </row>
    <row r="719" spans="3:7">
      <c r="C719" s="150"/>
      <c r="G719" s="150"/>
    </row>
    <row r="720" spans="3:7">
      <c r="C720" s="150"/>
      <c r="G720" s="150"/>
    </row>
    <row r="721" spans="3:7">
      <c r="C721" s="150"/>
      <c r="G721" s="150"/>
    </row>
    <row r="722" spans="3:7">
      <c r="C722" s="150"/>
      <c r="G722" s="150"/>
    </row>
    <row r="723" spans="3:7">
      <c r="C723" s="150"/>
      <c r="G723" s="150"/>
    </row>
    <row r="724" spans="3:7">
      <c r="C724" s="150"/>
      <c r="G724" s="150"/>
    </row>
    <row r="725" spans="3:7">
      <c r="C725" s="150"/>
      <c r="G725" s="150"/>
    </row>
    <row r="726" spans="3:7">
      <c r="C726" s="150"/>
      <c r="G726" s="150"/>
    </row>
    <row r="727" spans="3:7">
      <c r="C727" s="150"/>
      <c r="G727" s="150"/>
    </row>
    <row r="728" spans="3:7">
      <c r="C728" s="150"/>
      <c r="G728" s="150"/>
    </row>
    <row r="729" spans="3:7">
      <c r="C729" s="150"/>
      <c r="G729" s="150"/>
    </row>
    <row r="730" spans="3:7">
      <c r="C730" s="150"/>
      <c r="G730" s="150"/>
    </row>
    <row r="731" spans="3:7">
      <c r="C731" s="150"/>
      <c r="G731" s="150"/>
    </row>
    <row r="732" spans="3:7">
      <c r="C732" s="150"/>
      <c r="G732" s="150"/>
    </row>
    <row r="733" spans="3:7">
      <c r="C733" s="150"/>
      <c r="G733" s="150"/>
    </row>
    <row r="734" spans="3:7">
      <c r="C734" s="150"/>
      <c r="G734" s="150"/>
    </row>
    <row r="735" spans="3:7">
      <c r="C735" s="150"/>
      <c r="G735" s="150"/>
    </row>
    <row r="736" spans="3:7">
      <c r="C736" s="150"/>
      <c r="G736" s="150"/>
    </row>
    <row r="737" spans="3:7">
      <c r="C737" s="150"/>
      <c r="G737" s="150"/>
    </row>
    <row r="738" spans="3:7">
      <c r="C738" s="150"/>
      <c r="G738" s="150"/>
    </row>
    <row r="739" spans="3:7">
      <c r="C739" s="150"/>
      <c r="G739" s="150"/>
    </row>
    <row r="740" spans="3:7">
      <c r="C740" s="150"/>
      <c r="G740" s="150"/>
    </row>
    <row r="741" spans="3:7">
      <c r="C741" s="150"/>
      <c r="G741" s="150"/>
    </row>
    <row r="742" spans="3:7">
      <c r="C742" s="150"/>
      <c r="G742" s="150"/>
    </row>
    <row r="743" spans="3:7">
      <c r="C743" s="150"/>
      <c r="G743" s="150"/>
    </row>
    <row r="744" spans="3:7">
      <c r="C744" s="150"/>
      <c r="G744" s="150"/>
    </row>
    <row r="745" spans="3:7">
      <c r="C745" s="150"/>
      <c r="G745" s="150"/>
    </row>
    <row r="746" spans="3:7">
      <c r="C746" s="150"/>
      <c r="G746" s="150"/>
    </row>
    <row r="747" spans="3:7">
      <c r="C747" s="150"/>
      <c r="G747" s="150"/>
    </row>
    <row r="748" spans="3:7">
      <c r="C748" s="150"/>
      <c r="G748" s="150"/>
    </row>
    <row r="749" spans="3:7">
      <c r="C749" s="150"/>
      <c r="G749" s="150"/>
    </row>
    <row r="750" spans="3:7">
      <c r="C750" s="150"/>
      <c r="G750" s="150"/>
    </row>
    <row r="751" spans="3:7">
      <c r="C751" s="150"/>
      <c r="G751" s="150"/>
    </row>
    <row r="752" spans="3:7">
      <c r="C752" s="150"/>
      <c r="G752" s="150"/>
    </row>
    <row r="753" spans="3:7">
      <c r="C753" s="150"/>
      <c r="G753" s="150"/>
    </row>
    <row r="754" spans="3:7">
      <c r="C754" s="150"/>
      <c r="G754" s="150"/>
    </row>
    <row r="755" spans="3:7">
      <c r="C755" s="150"/>
      <c r="G755" s="150"/>
    </row>
    <row r="756" spans="3:7">
      <c r="C756" s="150"/>
      <c r="G756" s="150"/>
    </row>
    <row r="757" spans="3:7">
      <c r="C757" s="150"/>
      <c r="G757" s="150"/>
    </row>
    <row r="758" spans="3:7">
      <c r="C758" s="150"/>
      <c r="G758" s="150"/>
    </row>
    <row r="759" spans="3:7">
      <c r="C759" s="150"/>
      <c r="G759" s="150"/>
    </row>
    <row r="760" spans="3:7">
      <c r="C760" s="150"/>
      <c r="G760" s="150"/>
    </row>
    <row r="761" spans="3:7">
      <c r="C761" s="150"/>
      <c r="G761" s="150"/>
    </row>
    <row r="762" spans="3:7">
      <c r="C762" s="150"/>
      <c r="G762" s="150"/>
    </row>
    <row r="763" spans="3:7">
      <c r="C763" s="150"/>
      <c r="G763" s="150"/>
    </row>
    <row r="764" spans="3:7">
      <c r="C764" s="150"/>
      <c r="G764" s="150"/>
    </row>
    <row r="765" spans="3:7">
      <c r="C765" s="150"/>
      <c r="G765" s="150"/>
    </row>
    <row r="766" spans="3:7">
      <c r="C766" s="150"/>
      <c r="G766" s="150"/>
    </row>
    <row r="767" spans="3:7">
      <c r="C767" s="150"/>
      <c r="G767" s="150"/>
    </row>
    <row r="768" spans="3:7">
      <c r="C768" s="150"/>
      <c r="G768" s="150"/>
    </row>
    <row r="769" spans="3:7">
      <c r="C769" s="150"/>
      <c r="G769" s="150"/>
    </row>
    <row r="770" spans="3:7">
      <c r="C770" s="150"/>
      <c r="G770" s="150"/>
    </row>
    <row r="771" spans="3:7">
      <c r="C771" s="150"/>
      <c r="G771" s="150"/>
    </row>
    <row r="772" spans="3:7">
      <c r="C772" s="150"/>
      <c r="G772" s="150"/>
    </row>
    <row r="773" spans="3:7">
      <c r="C773" s="150"/>
      <c r="G773" s="150"/>
    </row>
    <row r="774" spans="3:7">
      <c r="C774" s="150"/>
      <c r="G774" s="150"/>
    </row>
    <row r="775" spans="3:7">
      <c r="C775" s="150"/>
      <c r="G775" s="150"/>
    </row>
    <row r="776" spans="3:7">
      <c r="C776" s="150"/>
      <c r="G776" s="150"/>
    </row>
    <row r="777" spans="3:7">
      <c r="C777" s="150"/>
      <c r="G777" s="150"/>
    </row>
    <row r="778" spans="3:7">
      <c r="C778" s="150"/>
      <c r="G778" s="150"/>
    </row>
    <row r="779" spans="3:7">
      <c r="C779" s="150"/>
      <c r="G779" s="150"/>
    </row>
    <row r="780" spans="3:7">
      <c r="C780" s="150"/>
      <c r="G780" s="150"/>
    </row>
    <row r="781" spans="3:7">
      <c r="C781" s="150"/>
      <c r="G781" s="150"/>
    </row>
    <row r="782" spans="3:7">
      <c r="C782" s="150"/>
      <c r="G782" s="150"/>
    </row>
    <row r="783" spans="3:7">
      <c r="C783" s="150"/>
      <c r="G783" s="150"/>
    </row>
    <row r="784" spans="3:7">
      <c r="C784" s="150"/>
      <c r="G784" s="150"/>
    </row>
    <row r="785" spans="3:7">
      <c r="C785" s="150"/>
      <c r="G785" s="150"/>
    </row>
    <row r="786" spans="3:7">
      <c r="C786" s="150"/>
      <c r="G786" s="150"/>
    </row>
    <row r="787" spans="3:7">
      <c r="C787" s="150"/>
      <c r="G787" s="150"/>
    </row>
    <row r="788" spans="3:7">
      <c r="C788" s="150"/>
      <c r="G788" s="150"/>
    </row>
    <row r="789" spans="3:7">
      <c r="C789" s="150"/>
      <c r="G789" s="150"/>
    </row>
    <row r="790" spans="3:7">
      <c r="C790" s="150"/>
      <c r="G790" s="150"/>
    </row>
    <row r="791" spans="3:7">
      <c r="C791" s="150"/>
      <c r="G791" s="150"/>
    </row>
    <row r="792" spans="3:7">
      <c r="C792" s="150"/>
      <c r="G792" s="150"/>
    </row>
    <row r="793" spans="3:7">
      <c r="C793" s="150"/>
      <c r="G793" s="150"/>
    </row>
    <row r="794" spans="3:7">
      <c r="C794" s="150"/>
      <c r="G794" s="150"/>
    </row>
    <row r="795" spans="3:7">
      <c r="C795" s="150"/>
      <c r="G795" s="150"/>
    </row>
    <row r="796" spans="3:7">
      <c r="C796" s="150"/>
      <c r="G796" s="150"/>
    </row>
    <row r="797" spans="3:7">
      <c r="C797" s="150"/>
      <c r="G797" s="150"/>
    </row>
    <row r="798" spans="3:7">
      <c r="C798" s="150"/>
      <c r="G798" s="150"/>
    </row>
    <row r="799" spans="3:7">
      <c r="C799" s="150"/>
      <c r="G799" s="150"/>
    </row>
    <row r="800" spans="3:7">
      <c r="C800" s="150"/>
      <c r="G800" s="150"/>
    </row>
    <row r="801" spans="3:7">
      <c r="C801" s="150"/>
      <c r="G801" s="150"/>
    </row>
    <row r="802" spans="3:7">
      <c r="C802" s="150"/>
      <c r="G802" s="150"/>
    </row>
    <row r="803" spans="3:7">
      <c r="C803" s="150"/>
      <c r="G803" s="150"/>
    </row>
    <row r="804" spans="3:7">
      <c r="C804" s="150"/>
      <c r="G804" s="150"/>
    </row>
    <row r="805" spans="3:7">
      <c r="C805" s="150"/>
      <c r="G805" s="150"/>
    </row>
    <row r="806" spans="3:7">
      <c r="C806" s="150"/>
      <c r="G806" s="150"/>
    </row>
    <row r="807" spans="3:7">
      <c r="C807" s="150"/>
      <c r="G807" s="150"/>
    </row>
    <row r="808" spans="3:7">
      <c r="C808" s="150"/>
      <c r="G808" s="150"/>
    </row>
    <row r="809" spans="3:7">
      <c r="C809" s="150"/>
      <c r="G809" s="150"/>
    </row>
    <row r="810" spans="3:7">
      <c r="C810" s="150"/>
      <c r="G810" s="150"/>
    </row>
    <row r="811" spans="3:7">
      <c r="C811" s="150"/>
      <c r="G811" s="150"/>
    </row>
    <row r="812" spans="3:7">
      <c r="C812" s="150"/>
      <c r="G812" s="150"/>
    </row>
    <row r="813" spans="3:7">
      <c r="C813" s="150"/>
      <c r="G813" s="150"/>
    </row>
    <row r="814" spans="3:7">
      <c r="C814" s="150"/>
      <c r="G814" s="150"/>
    </row>
    <row r="815" spans="3:7">
      <c r="C815" s="150"/>
      <c r="G815" s="150"/>
    </row>
    <row r="816" spans="3:7">
      <c r="C816" s="150"/>
      <c r="G816" s="150"/>
    </row>
    <row r="817" spans="3:7">
      <c r="C817" s="150"/>
      <c r="G817" s="150"/>
    </row>
    <row r="818" spans="3:7">
      <c r="C818" s="150"/>
      <c r="G818" s="150"/>
    </row>
    <row r="819" spans="3:7">
      <c r="C819" s="150"/>
      <c r="G819" s="150"/>
    </row>
    <row r="820" spans="3:7">
      <c r="C820" s="150"/>
      <c r="G820" s="150"/>
    </row>
    <row r="821" spans="3:7">
      <c r="C821" s="150"/>
      <c r="G821" s="150"/>
    </row>
    <row r="822" spans="3:7">
      <c r="C822" s="150"/>
      <c r="G822" s="150"/>
    </row>
    <row r="823" spans="3:7">
      <c r="C823" s="150"/>
      <c r="G823" s="150"/>
    </row>
    <row r="824" spans="3:7">
      <c r="C824" s="150"/>
      <c r="G824" s="150"/>
    </row>
    <row r="825" spans="3:7">
      <c r="C825" s="150"/>
      <c r="G825" s="150"/>
    </row>
    <row r="826" spans="3:7">
      <c r="C826" s="150"/>
      <c r="G826" s="150"/>
    </row>
    <row r="827" spans="3:7">
      <c r="C827" s="150"/>
      <c r="G827" s="150"/>
    </row>
    <row r="828" spans="3:7">
      <c r="C828" s="150"/>
      <c r="G828" s="150"/>
    </row>
    <row r="829" spans="3:7">
      <c r="C829" s="150"/>
      <c r="G829" s="150"/>
    </row>
    <row r="830" spans="3:7">
      <c r="C830" s="150"/>
      <c r="G830" s="150"/>
    </row>
    <row r="831" spans="3:7">
      <c r="C831" s="150"/>
      <c r="G831" s="150"/>
    </row>
    <row r="832" spans="3:7">
      <c r="C832" s="150"/>
      <c r="G832" s="150"/>
    </row>
    <row r="833" spans="3:7">
      <c r="C833" s="150"/>
      <c r="G833" s="150"/>
    </row>
    <row r="834" spans="3:7">
      <c r="C834" s="150"/>
      <c r="G834" s="150"/>
    </row>
    <row r="835" spans="3:7">
      <c r="C835" s="150"/>
      <c r="G835" s="150"/>
    </row>
    <row r="836" spans="3:7">
      <c r="C836" s="150"/>
      <c r="G836" s="150"/>
    </row>
    <row r="837" spans="3:7">
      <c r="C837" s="150"/>
      <c r="G837" s="150"/>
    </row>
    <row r="838" spans="3:7">
      <c r="C838" s="150"/>
      <c r="G838" s="150"/>
    </row>
    <row r="839" spans="3:7">
      <c r="C839" s="150"/>
      <c r="G839" s="150"/>
    </row>
    <row r="840" spans="3:7">
      <c r="C840" s="150"/>
      <c r="G840" s="150"/>
    </row>
    <row r="841" spans="3:7">
      <c r="C841" s="150"/>
      <c r="G841" s="150"/>
    </row>
    <row r="842" spans="3:7">
      <c r="C842" s="150"/>
      <c r="G842" s="150"/>
    </row>
    <row r="843" spans="3:7">
      <c r="C843" s="150"/>
      <c r="G843" s="150"/>
    </row>
    <row r="844" spans="3:7">
      <c r="C844" s="150"/>
      <c r="G844" s="150"/>
    </row>
    <row r="845" spans="3:7">
      <c r="C845" s="150"/>
      <c r="G845" s="150"/>
    </row>
    <row r="846" spans="3:7">
      <c r="C846" s="150"/>
      <c r="G846" s="150"/>
    </row>
    <row r="847" spans="3:7">
      <c r="C847" s="150"/>
      <c r="G847" s="150"/>
    </row>
    <row r="848" spans="3:7">
      <c r="C848" s="150"/>
      <c r="G848" s="150"/>
    </row>
    <row r="849" spans="3:7">
      <c r="C849" s="150"/>
      <c r="G849" s="150"/>
    </row>
    <row r="850" spans="3:7">
      <c r="C850" s="150"/>
      <c r="G850" s="150"/>
    </row>
    <row r="851" spans="3:7">
      <c r="C851" s="150"/>
      <c r="G851" s="150"/>
    </row>
    <row r="852" spans="3:7">
      <c r="C852" s="150"/>
      <c r="G852" s="150"/>
    </row>
    <row r="853" spans="3:7">
      <c r="C853" s="150"/>
      <c r="G853" s="150"/>
    </row>
    <row r="854" spans="3:7">
      <c r="C854" s="150"/>
      <c r="G854" s="150"/>
    </row>
    <row r="855" spans="3:7">
      <c r="C855" s="150"/>
      <c r="G855" s="150"/>
    </row>
    <row r="856" spans="3:7">
      <c r="C856" s="150"/>
      <c r="G856" s="150"/>
    </row>
    <row r="857" spans="3:7">
      <c r="C857" s="150"/>
      <c r="G857" s="150"/>
    </row>
    <row r="858" spans="3:7">
      <c r="C858" s="150"/>
      <c r="G858" s="150"/>
    </row>
    <row r="859" spans="3:7">
      <c r="C859" s="150"/>
      <c r="G859" s="150"/>
    </row>
    <row r="860" spans="3:7">
      <c r="C860" s="150"/>
      <c r="G860" s="150"/>
    </row>
    <row r="861" spans="3:7">
      <c r="C861" s="150"/>
      <c r="G861" s="150"/>
    </row>
    <row r="862" spans="3:7">
      <c r="C862" s="150"/>
      <c r="G862" s="150"/>
    </row>
    <row r="863" spans="3:7">
      <c r="C863" s="150"/>
      <c r="G863" s="150"/>
    </row>
    <row r="864" spans="3:7">
      <c r="C864" s="150"/>
      <c r="G864" s="150"/>
    </row>
    <row r="865" spans="3:7">
      <c r="C865" s="150"/>
      <c r="G865" s="150"/>
    </row>
    <row r="866" spans="3:7">
      <c r="C866" s="150"/>
      <c r="G866" s="150"/>
    </row>
    <row r="867" spans="3:7">
      <c r="C867" s="150"/>
      <c r="G867" s="150"/>
    </row>
    <row r="868" spans="3:7">
      <c r="C868" s="150"/>
      <c r="G868" s="150"/>
    </row>
    <row r="869" spans="3:7">
      <c r="C869" s="150"/>
      <c r="G869" s="150"/>
    </row>
    <row r="870" spans="3:7">
      <c r="C870" s="150"/>
      <c r="G870" s="150"/>
    </row>
    <row r="871" spans="3:7">
      <c r="C871" s="150"/>
      <c r="G871" s="150"/>
    </row>
    <row r="872" spans="3:7">
      <c r="C872" s="150"/>
      <c r="G872" s="150"/>
    </row>
    <row r="873" spans="3:7">
      <c r="C873" s="150"/>
      <c r="G873" s="150"/>
    </row>
    <row r="874" spans="3:7">
      <c r="C874" s="150"/>
      <c r="G874" s="150"/>
    </row>
    <row r="875" spans="3:7">
      <c r="C875" s="150"/>
      <c r="G875" s="150"/>
    </row>
    <row r="876" spans="3:7">
      <c r="C876" s="150"/>
      <c r="G876" s="150"/>
    </row>
    <row r="877" spans="3:7">
      <c r="C877" s="150"/>
      <c r="G877" s="150"/>
    </row>
    <row r="878" spans="3:7">
      <c r="C878" s="150"/>
      <c r="G878" s="150"/>
    </row>
    <row r="879" spans="3:7">
      <c r="C879" s="150"/>
      <c r="G879" s="150"/>
    </row>
    <row r="880" spans="3:7">
      <c r="C880" s="150"/>
      <c r="G880" s="150"/>
    </row>
    <row r="881" spans="3:7">
      <c r="C881" s="150"/>
      <c r="G881" s="150"/>
    </row>
    <row r="882" spans="3:7">
      <c r="C882" s="150"/>
      <c r="G882" s="150"/>
    </row>
    <row r="883" spans="3:7">
      <c r="C883" s="150"/>
      <c r="G883" s="150"/>
    </row>
    <row r="884" spans="3:7">
      <c r="C884" s="150"/>
      <c r="G884" s="150"/>
    </row>
    <row r="885" spans="3:7">
      <c r="C885" s="150"/>
      <c r="G885" s="150"/>
    </row>
    <row r="886" spans="3:7">
      <c r="C886" s="150"/>
      <c r="G886" s="150"/>
    </row>
    <row r="887" spans="3:7">
      <c r="C887" s="150"/>
      <c r="G887" s="150"/>
    </row>
    <row r="888" spans="3:7">
      <c r="C888" s="150"/>
      <c r="G888" s="150"/>
    </row>
    <row r="889" spans="3:7">
      <c r="C889" s="150"/>
      <c r="G889" s="150"/>
    </row>
    <row r="890" spans="3:7">
      <c r="C890" s="150"/>
      <c r="G890" s="150"/>
    </row>
    <row r="891" spans="3:7">
      <c r="C891" s="150"/>
      <c r="G891" s="150"/>
    </row>
    <row r="892" spans="3:7">
      <c r="C892" s="150"/>
      <c r="G892" s="150"/>
    </row>
    <row r="893" spans="3:7">
      <c r="C893" s="150"/>
      <c r="G893" s="150"/>
    </row>
    <row r="894" spans="3:7">
      <c r="C894" s="150"/>
      <c r="G894" s="150"/>
    </row>
    <row r="895" spans="3:7">
      <c r="C895" s="150"/>
      <c r="G895" s="150"/>
    </row>
    <row r="896" spans="3:7">
      <c r="C896" s="150"/>
      <c r="G896" s="150"/>
    </row>
    <row r="897" spans="3:7">
      <c r="C897" s="150"/>
      <c r="G897" s="150"/>
    </row>
    <row r="898" spans="3:7">
      <c r="C898" s="150"/>
      <c r="G898" s="150"/>
    </row>
    <row r="899" spans="3:7">
      <c r="C899" s="150"/>
      <c r="G899" s="150"/>
    </row>
    <row r="900" spans="3:7">
      <c r="C900" s="150"/>
      <c r="G900" s="150"/>
    </row>
    <row r="901" spans="3:7">
      <c r="C901" s="150"/>
      <c r="G901" s="150"/>
    </row>
    <row r="902" spans="3:7">
      <c r="C902" s="150"/>
      <c r="G902" s="150"/>
    </row>
    <row r="903" spans="3:7">
      <c r="C903" s="150"/>
      <c r="G903" s="150"/>
    </row>
    <row r="904" spans="3:7">
      <c r="C904" s="150"/>
      <c r="G904" s="150"/>
    </row>
    <row r="905" spans="3:7">
      <c r="C905" s="150"/>
      <c r="G905" s="150"/>
    </row>
    <row r="906" spans="3:7">
      <c r="C906" s="150"/>
      <c r="G906" s="150"/>
    </row>
    <row r="907" spans="3:7">
      <c r="C907" s="150"/>
      <c r="G907" s="150"/>
    </row>
    <row r="908" spans="3:7">
      <c r="C908" s="150"/>
      <c r="G908" s="150"/>
    </row>
    <row r="909" spans="3:7">
      <c r="C909" s="150"/>
      <c r="G909" s="150"/>
    </row>
    <row r="910" spans="3:7">
      <c r="C910" s="150"/>
      <c r="G910" s="150"/>
    </row>
    <row r="911" spans="3:7">
      <c r="C911" s="150"/>
      <c r="G911" s="150"/>
    </row>
    <row r="912" spans="3:7">
      <c r="C912" s="150"/>
      <c r="G912" s="150"/>
    </row>
    <row r="913" spans="3:7">
      <c r="C913" s="150"/>
      <c r="G913" s="150"/>
    </row>
    <row r="914" spans="3:7">
      <c r="C914" s="150"/>
      <c r="G914" s="150"/>
    </row>
    <row r="915" spans="3:7">
      <c r="C915" s="150"/>
      <c r="G915" s="150"/>
    </row>
    <row r="916" spans="3:7">
      <c r="C916" s="150"/>
      <c r="G916" s="150"/>
    </row>
    <row r="917" spans="3:7">
      <c r="C917" s="150"/>
      <c r="G917" s="150"/>
    </row>
    <row r="918" spans="3:7">
      <c r="C918" s="150"/>
      <c r="G918" s="150"/>
    </row>
    <row r="919" spans="3:7">
      <c r="C919" s="150"/>
      <c r="G919" s="150"/>
    </row>
    <row r="920" spans="3:7">
      <c r="C920" s="150"/>
      <c r="G920" s="150"/>
    </row>
    <row r="921" spans="3:7">
      <c r="C921" s="150"/>
      <c r="G921" s="150"/>
    </row>
    <row r="922" spans="3:7">
      <c r="C922" s="150"/>
      <c r="G922" s="150"/>
    </row>
    <row r="923" spans="3:7">
      <c r="C923" s="150"/>
      <c r="G923" s="150"/>
    </row>
    <row r="924" spans="3:7">
      <c r="C924" s="150"/>
      <c r="G924" s="150"/>
    </row>
    <row r="925" spans="3:7">
      <c r="C925" s="150"/>
      <c r="G925" s="150"/>
    </row>
    <row r="926" spans="3:7">
      <c r="C926" s="150"/>
      <c r="G926" s="150"/>
    </row>
    <row r="927" spans="3:7">
      <c r="C927" s="150"/>
      <c r="G927" s="150"/>
    </row>
    <row r="928" spans="3:7">
      <c r="C928" s="150"/>
      <c r="G928" s="150"/>
    </row>
    <row r="929" spans="3:7">
      <c r="C929" s="150"/>
      <c r="G929" s="150"/>
    </row>
    <row r="930" spans="3:7">
      <c r="C930" s="150"/>
      <c r="G930" s="150"/>
    </row>
    <row r="931" spans="3:7">
      <c r="C931" s="150"/>
      <c r="G931" s="150"/>
    </row>
    <row r="932" spans="3:7">
      <c r="C932" s="150"/>
      <c r="G932" s="150"/>
    </row>
    <row r="933" spans="3:7">
      <c r="C933" s="150"/>
      <c r="G933" s="150"/>
    </row>
    <row r="934" spans="3:7">
      <c r="C934" s="150"/>
      <c r="G934" s="150"/>
    </row>
    <row r="935" spans="3:7">
      <c r="C935" s="150"/>
      <c r="G935" s="150"/>
    </row>
    <row r="936" spans="3:7">
      <c r="C936" s="150"/>
      <c r="G936" s="150"/>
    </row>
    <row r="937" spans="3:7">
      <c r="C937" s="150"/>
      <c r="G937" s="150"/>
    </row>
    <row r="938" spans="3:7">
      <c r="C938" s="150"/>
      <c r="G938" s="150"/>
    </row>
    <row r="939" spans="3:7">
      <c r="C939" s="150"/>
      <c r="G939" s="150"/>
    </row>
    <row r="940" spans="3:7">
      <c r="C940" s="150"/>
      <c r="G940" s="150"/>
    </row>
    <row r="941" spans="3:7">
      <c r="C941" s="150"/>
      <c r="G941" s="150"/>
    </row>
    <row r="942" spans="3:7">
      <c r="C942" s="150"/>
      <c r="G942" s="150"/>
    </row>
    <row r="943" spans="3:7">
      <c r="C943" s="150"/>
      <c r="G943" s="150"/>
    </row>
    <row r="944" spans="3:7">
      <c r="C944" s="150"/>
      <c r="G944" s="150"/>
    </row>
    <row r="945" spans="3:7">
      <c r="C945" s="150"/>
      <c r="G945" s="150"/>
    </row>
    <row r="946" spans="3:7">
      <c r="C946" s="150"/>
      <c r="G946" s="150"/>
    </row>
    <row r="947" spans="3:7">
      <c r="C947" s="150"/>
      <c r="G947" s="150"/>
    </row>
    <row r="948" spans="3:7">
      <c r="C948" s="150"/>
      <c r="G948" s="150"/>
    </row>
    <row r="949" spans="3:7">
      <c r="C949" s="150"/>
      <c r="G949" s="150"/>
    </row>
    <row r="950" spans="3:7">
      <c r="C950" s="150"/>
      <c r="G950" s="150"/>
    </row>
    <row r="951" spans="3:7">
      <c r="C951" s="150"/>
      <c r="G951" s="150"/>
    </row>
    <row r="952" spans="3:7">
      <c r="C952" s="150"/>
      <c r="G952" s="150"/>
    </row>
    <row r="953" spans="3:7">
      <c r="C953" s="150"/>
      <c r="G953" s="150"/>
    </row>
    <row r="954" spans="3:7">
      <c r="C954" s="150"/>
      <c r="G954" s="150"/>
    </row>
    <row r="955" spans="3:7">
      <c r="C955" s="150"/>
      <c r="G955" s="150"/>
    </row>
    <row r="956" spans="3:7">
      <c r="C956" s="150"/>
      <c r="G956" s="150"/>
    </row>
    <row r="957" spans="3:7">
      <c r="C957" s="150"/>
      <c r="G957" s="150"/>
    </row>
    <row r="958" spans="3:7">
      <c r="C958" s="150"/>
      <c r="G958" s="150"/>
    </row>
    <row r="959" spans="3:7">
      <c r="C959" s="150"/>
      <c r="G959" s="150"/>
    </row>
    <row r="960" spans="3:7">
      <c r="C960" s="150"/>
      <c r="G960" s="150"/>
    </row>
    <row r="961" spans="3:7">
      <c r="C961" s="150"/>
      <c r="G961" s="150"/>
    </row>
    <row r="962" spans="3:7">
      <c r="C962" s="150"/>
      <c r="G962" s="150"/>
    </row>
    <row r="963" spans="3:7">
      <c r="C963" s="150"/>
      <c r="G963" s="150"/>
    </row>
    <row r="964" spans="3:7">
      <c r="C964" s="150"/>
      <c r="G964" s="150"/>
    </row>
    <row r="965" spans="3:7">
      <c r="C965" s="150"/>
      <c r="G965" s="150"/>
    </row>
    <row r="966" spans="3:7">
      <c r="C966" s="150"/>
      <c r="G966" s="150"/>
    </row>
    <row r="967" spans="3:7">
      <c r="C967" s="150"/>
      <c r="G967" s="150"/>
    </row>
    <row r="968" spans="3:7">
      <c r="C968" s="150"/>
      <c r="G968" s="150"/>
    </row>
    <row r="969" spans="3:7">
      <c r="C969" s="150"/>
      <c r="G969" s="150"/>
    </row>
    <row r="970" spans="3:7">
      <c r="C970" s="150"/>
      <c r="G970" s="150"/>
    </row>
    <row r="971" spans="3:7">
      <c r="C971" s="150"/>
      <c r="G971" s="150"/>
    </row>
    <row r="972" spans="3:7">
      <c r="C972" s="150"/>
      <c r="G972" s="150"/>
    </row>
    <row r="973" spans="3:7">
      <c r="C973" s="150"/>
      <c r="G973" s="150"/>
    </row>
    <row r="974" spans="3:7">
      <c r="C974" s="150"/>
      <c r="G974" s="150"/>
    </row>
    <row r="975" spans="3:7">
      <c r="C975" s="150"/>
      <c r="G975" s="150"/>
    </row>
    <row r="976" spans="3:7">
      <c r="C976" s="150"/>
      <c r="G976" s="150"/>
    </row>
    <row r="977" spans="3:7">
      <c r="C977" s="150"/>
      <c r="G977" s="150"/>
    </row>
    <row r="978" spans="3:7">
      <c r="C978" s="150"/>
      <c r="G978" s="150"/>
    </row>
    <row r="979" spans="3:7">
      <c r="C979" s="150"/>
      <c r="G979" s="150"/>
    </row>
    <row r="980" spans="3:7">
      <c r="C980" s="150"/>
      <c r="G980" s="150"/>
    </row>
    <row r="981" spans="3:7">
      <c r="C981" s="150"/>
      <c r="G981" s="150"/>
    </row>
    <row r="982" spans="3:7">
      <c r="C982" s="150"/>
      <c r="G982" s="150"/>
    </row>
    <row r="983" spans="3:7">
      <c r="C983" s="150"/>
      <c r="G983" s="150"/>
    </row>
    <row r="984" spans="3:7">
      <c r="C984" s="150"/>
      <c r="G984" s="150"/>
    </row>
    <row r="985" spans="3:7">
      <c r="C985" s="150"/>
      <c r="G985" s="150"/>
    </row>
    <row r="986" spans="3:7">
      <c r="C986" s="150"/>
      <c r="G986" s="150"/>
    </row>
    <row r="987" spans="3:7">
      <c r="C987" s="150"/>
      <c r="G987" s="150"/>
    </row>
    <row r="988" spans="3:7">
      <c r="C988" s="150"/>
      <c r="G988" s="150"/>
    </row>
    <row r="989" spans="3:7">
      <c r="C989" s="150"/>
      <c r="G989" s="150"/>
    </row>
    <row r="990" spans="3:7">
      <c r="C990" s="150"/>
      <c r="G990" s="150"/>
    </row>
    <row r="991" spans="3:7">
      <c r="C991" s="150"/>
      <c r="G991" s="150"/>
    </row>
    <row r="992" spans="3:7">
      <c r="C992" s="150"/>
      <c r="G992" s="150"/>
    </row>
    <row r="993" spans="3:7">
      <c r="C993" s="150"/>
      <c r="G993" s="150"/>
    </row>
    <row r="994" spans="3:7">
      <c r="C994" s="150"/>
      <c r="G994" s="150"/>
    </row>
    <row r="995" spans="3:7">
      <c r="C995" s="150"/>
      <c r="G995" s="150"/>
    </row>
    <row r="996" spans="3:7">
      <c r="C996" s="150"/>
      <c r="G996" s="150"/>
    </row>
    <row r="997" spans="3:7">
      <c r="C997" s="150"/>
      <c r="G997" s="150"/>
    </row>
    <row r="998" spans="3:7">
      <c r="C998" s="150"/>
      <c r="G998" s="150"/>
    </row>
    <row r="999" spans="3:7">
      <c r="C999" s="150"/>
      <c r="G999" s="150"/>
    </row>
    <row r="1000" spans="3:7">
      <c r="C1000" s="150"/>
      <c r="G1000" s="150"/>
    </row>
    <row r="1001" spans="3:7">
      <c r="C1001" s="150"/>
      <c r="G1001" s="150"/>
    </row>
    <row r="1002" spans="3:7">
      <c r="C1002" s="150"/>
      <c r="G1002" s="150"/>
    </row>
    <row r="1003" spans="3:7">
      <c r="C1003" s="150"/>
      <c r="G1003" s="150"/>
    </row>
    <row r="1004" spans="3:7">
      <c r="C1004" s="150"/>
      <c r="G1004" s="150"/>
    </row>
    <row r="1005" spans="3:7">
      <c r="C1005" s="150"/>
      <c r="G1005" s="150"/>
    </row>
    <row r="1006" spans="3:7">
      <c r="C1006" s="150"/>
      <c r="G1006" s="150"/>
    </row>
    <row r="1007" spans="3:7">
      <c r="C1007" s="150"/>
      <c r="G1007" s="150"/>
    </row>
    <row r="1008" spans="3:7">
      <c r="C1008" s="150"/>
      <c r="G1008" s="150"/>
    </row>
  </sheetData>
  <pageMargins left="0.511811024" right="0.511811024" top="0.78740157499999996" bottom="0.78740157499999996" header="0" footer="0"/>
  <pageSetup orientation="landscape"/>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D983"/>
  <sheetViews>
    <sheetView workbookViewId="0"/>
  </sheetViews>
  <sheetFormatPr defaultColWidth="14.42578125" defaultRowHeight="15" customHeight="1"/>
  <sheetData>
    <row r="1" spans="1:4" ht="15" customHeight="1">
      <c r="C1" s="150"/>
    </row>
    <row r="2" spans="1:4" ht="15" customHeight="1">
      <c r="C2" s="150"/>
    </row>
    <row r="3" spans="1:4" ht="15" customHeight="1">
      <c r="B3" s="49" t="s">
        <v>1594</v>
      </c>
      <c r="C3" s="150"/>
    </row>
    <row r="4" spans="1:4" ht="15" customHeight="1">
      <c r="A4" s="276">
        <v>45597</v>
      </c>
      <c r="B4" s="49" t="s">
        <v>1563</v>
      </c>
      <c r="C4" s="150">
        <f>1824.33+2069.89</f>
        <v>3894.22</v>
      </c>
      <c r="D4" s="49"/>
    </row>
    <row r="5" spans="1:4" ht="15" customHeight="1">
      <c r="A5" s="276">
        <v>45633</v>
      </c>
      <c r="B5" s="49" t="s">
        <v>1563</v>
      </c>
      <c r="C5" s="150">
        <v>596</v>
      </c>
    </row>
    <row r="6" spans="1:4" ht="15" customHeight="1">
      <c r="C6" s="150"/>
    </row>
    <row r="7" spans="1:4" ht="15" customHeight="1">
      <c r="C7" s="150"/>
    </row>
    <row r="8" spans="1:4" ht="15" customHeight="1">
      <c r="C8" s="150"/>
    </row>
    <row r="9" spans="1:4" ht="15" customHeight="1">
      <c r="C9" s="150"/>
    </row>
    <row r="10" spans="1:4" ht="15" customHeight="1">
      <c r="C10" s="150"/>
    </row>
    <row r="11" spans="1:4" ht="15" customHeight="1">
      <c r="C11" s="150"/>
    </row>
    <row r="12" spans="1:4" ht="15" customHeight="1">
      <c r="C12" s="150"/>
    </row>
    <row r="13" spans="1:4" ht="15" customHeight="1">
      <c r="C13" s="150"/>
    </row>
    <row r="14" spans="1:4" ht="15" customHeight="1">
      <c r="C14" s="150"/>
    </row>
    <row r="15" spans="1:4" ht="15" customHeight="1">
      <c r="C15" s="150"/>
    </row>
    <row r="16" spans="1:4" ht="15" customHeight="1">
      <c r="C16" s="150"/>
    </row>
    <row r="17" spans="3:3" ht="15" customHeight="1">
      <c r="C17" s="150"/>
    </row>
    <row r="18" spans="3:3" ht="15" customHeight="1">
      <c r="C18" s="150"/>
    </row>
    <row r="19" spans="3:3" ht="15" customHeight="1">
      <c r="C19" s="150"/>
    </row>
    <row r="20" spans="3:3" ht="15" customHeight="1">
      <c r="C20" s="150"/>
    </row>
    <row r="21" spans="3:3" ht="15" customHeight="1">
      <c r="C21" s="150"/>
    </row>
    <row r="22" spans="3:3" ht="15" customHeight="1">
      <c r="C22" s="150"/>
    </row>
    <row r="23" spans="3:3" ht="15" customHeight="1">
      <c r="C23" s="150"/>
    </row>
    <row r="24" spans="3:3" ht="15" customHeight="1">
      <c r="C24" s="150"/>
    </row>
    <row r="25" spans="3:3" ht="15" customHeight="1">
      <c r="C25" s="150"/>
    </row>
    <row r="26" spans="3:3" ht="15" customHeight="1">
      <c r="C26" s="150"/>
    </row>
    <row r="27" spans="3:3" ht="15" customHeight="1">
      <c r="C27" s="150"/>
    </row>
    <row r="28" spans="3:3" ht="15" customHeight="1">
      <c r="C28" s="150"/>
    </row>
    <row r="29" spans="3:3" ht="15" customHeight="1">
      <c r="C29" s="150"/>
    </row>
    <row r="30" spans="3:3" ht="15" customHeight="1">
      <c r="C30" s="150"/>
    </row>
    <row r="31" spans="3:3" ht="15" customHeight="1">
      <c r="C31" s="150"/>
    </row>
    <row r="32" spans="3:3" ht="15" customHeight="1">
      <c r="C32" s="150"/>
    </row>
    <row r="33" spans="3:3" ht="15" customHeight="1">
      <c r="C33" s="150"/>
    </row>
    <row r="34" spans="3:3" ht="15" customHeight="1">
      <c r="C34" s="150"/>
    </row>
    <row r="35" spans="3:3" ht="15" customHeight="1">
      <c r="C35" s="150"/>
    </row>
    <row r="36" spans="3:3" ht="15" customHeight="1">
      <c r="C36" s="150"/>
    </row>
    <row r="37" spans="3:3" ht="15" customHeight="1">
      <c r="C37" s="150"/>
    </row>
    <row r="38" spans="3:3">
      <c r="C38" s="150"/>
    </row>
    <row r="39" spans="3:3">
      <c r="C39" s="150"/>
    </row>
    <row r="40" spans="3:3">
      <c r="C40" s="150"/>
    </row>
    <row r="41" spans="3:3">
      <c r="C41" s="150"/>
    </row>
    <row r="42" spans="3:3">
      <c r="C42" s="150"/>
    </row>
    <row r="43" spans="3:3">
      <c r="C43" s="150"/>
    </row>
    <row r="44" spans="3:3">
      <c r="C44" s="150"/>
    </row>
    <row r="45" spans="3:3">
      <c r="C45" s="150"/>
    </row>
    <row r="46" spans="3:3">
      <c r="C46" s="150"/>
    </row>
    <row r="47" spans="3:3">
      <c r="C47" s="150"/>
    </row>
    <row r="48" spans="3:3">
      <c r="C48" s="150"/>
    </row>
    <row r="49" spans="3:3">
      <c r="C49" s="150"/>
    </row>
    <row r="50" spans="3:3">
      <c r="C50" s="150"/>
    </row>
    <row r="51" spans="3:3">
      <c r="C51" s="150"/>
    </row>
    <row r="52" spans="3:3">
      <c r="C52" s="150"/>
    </row>
    <row r="53" spans="3:3">
      <c r="C53" s="150"/>
    </row>
    <row r="54" spans="3:3">
      <c r="C54" s="150"/>
    </row>
    <row r="55" spans="3:3">
      <c r="C55" s="150"/>
    </row>
    <row r="56" spans="3:3">
      <c r="C56" s="150"/>
    </row>
    <row r="57" spans="3:3">
      <c r="C57" s="150"/>
    </row>
    <row r="58" spans="3:3">
      <c r="C58" s="150"/>
    </row>
    <row r="59" spans="3:3">
      <c r="C59" s="150"/>
    </row>
    <row r="60" spans="3:3">
      <c r="C60" s="150"/>
    </row>
    <row r="61" spans="3:3">
      <c r="C61" s="150"/>
    </row>
    <row r="62" spans="3:3">
      <c r="C62" s="150"/>
    </row>
    <row r="63" spans="3:3">
      <c r="C63" s="150"/>
    </row>
    <row r="64" spans="3:3">
      <c r="C64" s="150"/>
    </row>
    <row r="65" spans="3:3">
      <c r="C65" s="150"/>
    </row>
    <row r="66" spans="3:3">
      <c r="C66" s="150"/>
    </row>
    <row r="67" spans="3:3">
      <c r="C67" s="150"/>
    </row>
    <row r="68" spans="3:3">
      <c r="C68" s="150"/>
    </row>
    <row r="69" spans="3:3">
      <c r="C69" s="150"/>
    </row>
    <row r="70" spans="3:3">
      <c r="C70" s="150"/>
    </row>
    <row r="71" spans="3:3">
      <c r="C71" s="150"/>
    </row>
    <row r="72" spans="3:3">
      <c r="C72" s="150"/>
    </row>
    <row r="73" spans="3:3">
      <c r="C73" s="150"/>
    </row>
    <row r="74" spans="3:3">
      <c r="C74" s="150"/>
    </row>
    <row r="75" spans="3:3">
      <c r="C75" s="150"/>
    </row>
    <row r="76" spans="3:3">
      <c r="C76" s="150"/>
    </row>
    <row r="77" spans="3:3">
      <c r="C77" s="150"/>
    </row>
    <row r="78" spans="3:3">
      <c r="C78" s="150"/>
    </row>
    <row r="79" spans="3:3">
      <c r="C79" s="150"/>
    </row>
    <row r="80" spans="3:3">
      <c r="C80" s="150"/>
    </row>
    <row r="81" spans="3:3">
      <c r="C81" s="150"/>
    </row>
    <row r="82" spans="3:3">
      <c r="C82" s="150"/>
    </row>
    <row r="83" spans="3:3">
      <c r="C83" s="150"/>
    </row>
    <row r="84" spans="3:3">
      <c r="C84" s="150"/>
    </row>
    <row r="85" spans="3:3">
      <c r="C85" s="150"/>
    </row>
    <row r="86" spans="3:3">
      <c r="C86" s="150"/>
    </row>
    <row r="87" spans="3:3">
      <c r="C87" s="150"/>
    </row>
    <row r="88" spans="3:3">
      <c r="C88" s="150"/>
    </row>
    <row r="89" spans="3:3">
      <c r="C89" s="150"/>
    </row>
    <row r="90" spans="3:3">
      <c r="C90" s="150"/>
    </row>
    <row r="91" spans="3:3">
      <c r="C91" s="150"/>
    </row>
    <row r="92" spans="3:3">
      <c r="C92" s="150"/>
    </row>
    <row r="93" spans="3:3">
      <c r="C93" s="150"/>
    </row>
    <row r="94" spans="3:3">
      <c r="C94" s="150"/>
    </row>
    <row r="95" spans="3:3">
      <c r="C95" s="150"/>
    </row>
    <row r="96" spans="3:3">
      <c r="C96" s="150"/>
    </row>
    <row r="97" spans="3:3">
      <c r="C97" s="150"/>
    </row>
    <row r="98" spans="3:3">
      <c r="C98" s="150"/>
    </row>
    <row r="99" spans="3:3">
      <c r="C99" s="150"/>
    </row>
    <row r="100" spans="3:3">
      <c r="C100" s="150"/>
    </row>
    <row r="101" spans="3:3">
      <c r="C101" s="150"/>
    </row>
    <row r="102" spans="3:3">
      <c r="C102" s="150"/>
    </row>
    <row r="103" spans="3:3">
      <c r="C103" s="150"/>
    </row>
    <row r="104" spans="3:3">
      <c r="C104" s="150"/>
    </row>
    <row r="105" spans="3:3">
      <c r="C105" s="150"/>
    </row>
    <row r="106" spans="3:3">
      <c r="C106" s="150"/>
    </row>
    <row r="107" spans="3:3">
      <c r="C107" s="150"/>
    </row>
    <row r="108" spans="3:3">
      <c r="C108" s="150"/>
    </row>
    <row r="109" spans="3:3">
      <c r="C109" s="150"/>
    </row>
    <row r="110" spans="3:3">
      <c r="C110" s="150"/>
    </row>
    <row r="111" spans="3:3">
      <c r="C111" s="150"/>
    </row>
    <row r="112" spans="3:3">
      <c r="C112" s="150"/>
    </row>
    <row r="113" spans="3:3">
      <c r="C113" s="150"/>
    </row>
    <row r="114" spans="3:3">
      <c r="C114" s="150"/>
    </row>
    <row r="115" spans="3:3">
      <c r="C115" s="150"/>
    </row>
    <row r="116" spans="3:3">
      <c r="C116" s="150"/>
    </row>
    <row r="117" spans="3:3">
      <c r="C117" s="150"/>
    </row>
    <row r="118" spans="3:3">
      <c r="C118" s="150"/>
    </row>
    <row r="119" spans="3:3">
      <c r="C119" s="150"/>
    </row>
    <row r="120" spans="3:3">
      <c r="C120" s="150"/>
    </row>
    <row r="121" spans="3:3">
      <c r="C121" s="150"/>
    </row>
    <row r="122" spans="3:3">
      <c r="C122" s="150"/>
    </row>
    <row r="123" spans="3:3">
      <c r="C123" s="150"/>
    </row>
    <row r="124" spans="3:3">
      <c r="C124" s="150"/>
    </row>
    <row r="125" spans="3:3">
      <c r="C125" s="150"/>
    </row>
    <row r="126" spans="3:3">
      <c r="C126" s="150"/>
    </row>
    <row r="127" spans="3:3">
      <c r="C127" s="150"/>
    </row>
    <row r="128" spans="3:3">
      <c r="C128" s="150"/>
    </row>
    <row r="129" spans="3:3">
      <c r="C129" s="150"/>
    </row>
    <row r="130" spans="3:3">
      <c r="C130" s="150"/>
    </row>
    <row r="131" spans="3:3">
      <c r="C131" s="150"/>
    </row>
    <row r="132" spans="3:3">
      <c r="C132" s="150"/>
    </row>
    <row r="133" spans="3:3">
      <c r="C133" s="150"/>
    </row>
    <row r="134" spans="3:3">
      <c r="C134" s="150"/>
    </row>
    <row r="135" spans="3:3">
      <c r="C135" s="150"/>
    </row>
    <row r="136" spans="3:3">
      <c r="C136" s="150"/>
    </row>
    <row r="137" spans="3:3">
      <c r="C137" s="150"/>
    </row>
    <row r="138" spans="3:3">
      <c r="C138" s="150"/>
    </row>
    <row r="139" spans="3:3">
      <c r="C139" s="150"/>
    </row>
    <row r="140" spans="3:3">
      <c r="C140" s="150"/>
    </row>
    <row r="141" spans="3:3">
      <c r="C141" s="150"/>
    </row>
    <row r="142" spans="3:3">
      <c r="C142" s="150"/>
    </row>
    <row r="143" spans="3:3">
      <c r="C143" s="150"/>
    </row>
    <row r="144" spans="3:3">
      <c r="C144" s="150"/>
    </row>
    <row r="145" spans="3:3">
      <c r="C145" s="150"/>
    </row>
    <row r="146" spans="3:3">
      <c r="C146" s="150"/>
    </row>
    <row r="147" spans="3:3">
      <c r="C147" s="150"/>
    </row>
    <row r="148" spans="3:3">
      <c r="C148" s="150"/>
    </row>
    <row r="149" spans="3:3">
      <c r="C149" s="150"/>
    </row>
    <row r="150" spans="3:3">
      <c r="C150" s="150"/>
    </row>
    <row r="151" spans="3:3">
      <c r="C151" s="150"/>
    </row>
    <row r="152" spans="3:3">
      <c r="C152" s="150"/>
    </row>
    <row r="153" spans="3:3">
      <c r="C153" s="150"/>
    </row>
    <row r="154" spans="3:3">
      <c r="C154" s="150"/>
    </row>
    <row r="155" spans="3:3">
      <c r="C155" s="150"/>
    </row>
    <row r="156" spans="3:3">
      <c r="C156" s="150"/>
    </row>
    <row r="157" spans="3:3">
      <c r="C157" s="150"/>
    </row>
    <row r="158" spans="3:3">
      <c r="C158" s="150"/>
    </row>
    <row r="159" spans="3:3">
      <c r="C159" s="150"/>
    </row>
    <row r="160" spans="3:3">
      <c r="C160" s="150"/>
    </row>
    <row r="161" spans="3:3">
      <c r="C161" s="150"/>
    </row>
    <row r="162" spans="3:3">
      <c r="C162" s="150"/>
    </row>
    <row r="163" spans="3:3">
      <c r="C163" s="150"/>
    </row>
    <row r="164" spans="3:3">
      <c r="C164" s="150"/>
    </row>
    <row r="165" spans="3:3">
      <c r="C165" s="150"/>
    </row>
    <row r="166" spans="3:3">
      <c r="C166" s="150"/>
    </row>
    <row r="167" spans="3:3">
      <c r="C167" s="150"/>
    </row>
    <row r="168" spans="3:3">
      <c r="C168" s="150"/>
    </row>
    <row r="169" spans="3:3">
      <c r="C169" s="150"/>
    </row>
    <row r="170" spans="3:3">
      <c r="C170" s="150"/>
    </row>
    <row r="171" spans="3:3">
      <c r="C171" s="150"/>
    </row>
    <row r="172" spans="3:3">
      <c r="C172" s="150"/>
    </row>
    <row r="173" spans="3:3">
      <c r="C173" s="150"/>
    </row>
    <row r="174" spans="3:3">
      <c r="C174" s="150"/>
    </row>
    <row r="175" spans="3:3">
      <c r="C175" s="150"/>
    </row>
    <row r="176" spans="3:3">
      <c r="C176" s="150"/>
    </row>
    <row r="177" spans="3:3">
      <c r="C177" s="150"/>
    </row>
    <row r="178" spans="3:3">
      <c r="C178" s="150"/>
    </row>
    <row r="179" spans="3:3">
      <c r="C179" s="150"/>
    </row>
    <row r="180" spans="3:3">
      <c r="C180" s="150"/>
    </row>
    <row r="181" spans="3:3">
      <c r="C181" s="150"/>
    </row>
    <row r="182" spans="3:3">
      <c r="C182" s="150"/>
    </row>
    <row r="183" spans="3:3">
      <c r="C183" s="150"/>
    </row>
    <row r="184" spans="3:3">
      <c r="C184" s="150"/>
    </row>
    <row r="185" spans="3:3">
      <c r="C185" s="150"/>
    </row>
    <row r="186" spans="3:3">
      <c r="C186" s="150"/>
    </row>
    <row r="187" spans="3:3">
      <c r="C187" s="150"/>
    </row>
    <row r="188" spans="3:3">
      <c r="C188" s="150"/>
    </row>
    <row r="189" spans="3:3">
      <c r="C189" s="150"/>
    </row>
    <row r="190" spans="3:3">
      <c r="C190" s="150"/>
    </row>
    <row r="191" spans="3:3">
      <c r="C191" s="150"/>
    </row>
    <row r="192" spans="3:3">
      <c r="C192" s="150"/>
    </row>
    <row r="193" spans="3:3">
      <c r="C193" s="150"/>
    </row>
    <row r="194" spans="3:3">
      <c r="C194" s="150"/>
    </row>
    <row r="195" spans="3:3">
      <c r="C195" s="150"/>
    </row>
    <row r="196" spans="3:3">
      <c r="C196" s="150"/>
    </row>
    <row r="197" spans="3:3">
      <c r="C197" s="150"/>
    </row>
    <row r="198" spans="3:3">
      <c r="C198" s="150"/>
    </row>
    <row r="199" spans="3:3">
      <c r="C199" s="150"/>
    </row>
    <row r="200" spans="3:3">
      <c r="C200" s="150"/>
    </row>
    <row r="201" spans="3:3">
      <c r="C201" s="150"/>
    </row>
    <row r="202" spans="3:3">
      <c r="C202" s="150"/>
    </row>
    <row r="203" spans="3:3">
      <c r="C203" s="150"/>
    </row>
    <row r="204" spans="3:3">
      <c r="C204" s="150"/>
    </row>
    <row r="205" spans="3:3">
      <c r="C205" s="150"/>
    </row>
    <row r="206" spans="3:3">
      <c r="C206" s="150"/>
    </row>
    <row r="207" spans="3:3">
      <c r="C207" s="150"/>
    </row>
    <row r="208" spans="3:3">
      <c r="C208" s="150"/>
    </row>
    <row r="209" spans="3:3">
      <c r="C209" s="150"/>
    </row>
    <row r="210" spans="3:3">
      <c r="C210" s="150"/>
    </row>
    <row r="211" spans="3:3">
      <c r="C211" s="150"/>
    </row>
    <row r="212" spans="3:3">
      <c r="C212" s="150"/>
    </row>
    <row r="213" spans="3:3">
      <c r="C213" s="150"/>
    </row>
    <row r="214" spans="3:3">
      <c r="C214" s="150"/>
    </row>
    <row r="215" spans="3:3">
      <c r="C215" s="150"/>
    </row>
    <row r="216" spans="3:3">
      <c r="C216" s="150"/>
    </row>
    <row r="217" spans="3:3">
      <c r="C217" s="150"/>
    </row>
    <row r="218" spans="3:3">
      <c r="C218" s="150"/>
    </row>
    <row r="219" spans="3:3">
      <c r="C219" s="150"/>
    </row>
    <row r="220" spans="3:3">
      <c r="C220" s="150"/>
    </row>
    <row r="221" spans="3:3">
      <c r="C221" s="150"/>
    </row>
    <row r="222" spans="3:3">
      <c r="C222" s="150"/>
    </row>
    <row r="223" spans="3:3">
      <c r="C223" s="150"/>
    </row>
    <row r="224" spans="3:3">
      <c r="C224" s="150"/>
    </row>
    <row r="225" spans="3:3">
      <c r="C225" s="150"/>
    </row>
    <row r="226" spans="3:3">
      <c r="C226" s="150"/>
    </row>
    <row r="227" spans="3:3">
      <c r="C227" s="150"/>
    </row>
    <row r="228" spans="3:3">
      <c r="C228" s="150"/>
    </row>
    <row r="229" spans="3:3">
      <c r="C229" s="150"/>
    </row>
    <row r="230" spans="3:3">
      <c r="C230" s="150"/>
    </row>
    <row r="231" spans="3:3">
      <c r="C231" s="150"/>
    </row>
    <row r="232" spans="3:3">
      <c r="C232" s="150"/>
    </row>
    <row r="233" spans="3:3">
      <c r="C233" s="150"/>
    </row>
    <row r="234" spans="3:3">
      <c r="C234" s="150"/>
    </row>
    <row r="235" spans="3:3">
      <c r="C235" s="150"/>
    </row>
    <row r="236" spans="3:3">
      <c r="C236" s="150"/>
    </row>
    <row r="237" spans="3:3">
      <c r="C237" s="150"/>
    </row>
    <row r="238" spans="3:3">
      <c r="C238" s="150"/>
    </row>
    <row r="239" spans="3:3">
      <c r="C239" s="150"/>
    </row>
    <row r="240" spans="3:3">
      <c r="C240" s="150"/>
    </row>
    <row r="241" spans="3:3">
      <c r="C241" s="150"/>
    </row>
    <row r="242" spans="3:3">
      <c r="C242" s="150"/>
    </row>
    <row r="243" spans="3:3">
      <c r="C243" s="150"/>
    </row>
    <row r="244" spans="3:3">
      <c r="C244" s="150"/>
    </row>
    <row r="245" spans="3:3">
      <c r="C245" s="150"/>
    </row>
    <row r="246" spans="3:3">
      <c r="C246" s="150"/>
    </row>
    <row r="247" spans="3:3">
      <c r="C247" s="150"/>
    </row>
    <row r="248" spans="3:3">
      <c r="C248" s="150"/>
    </row>
    <row r="249" spans="3:3">
      <c r="C249" s="150"/>
    </row>
    <row r="250" spans="3:3">
      <c r="C250" s="150"/>
    </row>
    <row r="251" spans="3:3">
      <c r="C251" s="150"/>
    </row>
    <row r="252" spans="3:3">
      <c r="C252" s="150"/>
    </row>
    <row r="253" spans="3:3">
      <c r="C253" s="150"/>
    </row>
    <row r="254" spans="3:3">
      <c r="C254" s="150"/>
    </row>
    <row r="255" spans="3:3">
      <c r="C255" s="150"/>
    </row>
    <row r="256" spans="3:3">
      <c r="C256" s="150"/>
    </row>
    <row r="257" spans="3:3">
      <c r="C257" s="150"/>
    </row>
    <row r="258" spans="3:3">
      <c r="C258" s="150"/>
    </row>
    <row r="259" spans="3:3">
      <c r="C259" s="150"/>
    </row>
    <row r="260" spans="3:3">
      <c r="C260" s="150"/>
    </row>
    <row r="261" spans="3:3">
      <c r="C261" s="150"/>
    </row>
    <row r="262" spans="3:3">
      <c r="C262" s="150"/>
    </row>
    <row r="263" spans="3:3">
      <c r="C263" s="150"/>
    </row>
    <row r="264" spans="3:3">
      <c r="C264" s="150"/>
    </row>
    <row r="265" spans="3:3">
      <c r="C265" s="150"/>
    </row>
    <row r="266" spans="3:3">
      <c r="C266" s="150"/>
    </row>
    <row r="267" spans="3:3">
      <c r="C267" s="150"/>
    </row>
    <row r="268" spans="3:3">
      <c r="C268" s="150"/>
    </row>
    <row r="269" spans="3:3">
      <c r="C269" s="150"/>
    </row>
    <row r="270" spans="3:3">
      <c r="C270" s="150"/>
    </row>
    <row r="271" spans="3:3">
      <c r="C271" s="150"/>
    </row>
    <row r="272" spans="3:3">
      <c r="C272" s="150"/>
    </row>
    <row r="273" spans="3:3">
      <c r="C273" s="150"/>
    </row>
    <row r="274" spans="3:3">
      <c r="C274" s="150"/>
    </row>
    <row r="275" spans="3:3">
      <c r="C275" s="150"/>
    </row>
    <row r="276" spans="3:3">
      <c r="C276" s="150"/>
    </row>
    <row r="277" spans="3:3">
      <c r="C277" s="150"/>
    </row>
    <row r="278" spans="3:3">
      <c r="C278" s="150"/>
    </row>
    <row r="279" spans="3:3">
      <c r="C279" s="150"/>
    </row>
    <row r="280" spans="3:3">
      <c r="C280" s="150"/>
    </row>
    <row r="281" spans="3:3">
      <c r="C281" s="150"/>
    </row>
    <row r="282" spans="3:3">
      <c r="C282" s="150"/>
    </row>
    <row r="283" spans="3:3">
      <c r="C283" s="150"/>
    </row>
    <row r="284" spans="3:3">
      <c r="C284" s="150"/>
    </row>
    <row r="285" spans="3:3">
      <c r="C285" s="150"/>
    </row>
    <row r="286" spans="3:3">
      <c r="C286" s="150"/>
    </row>
    <row r="287" spans="3:3">
      <c r="C287" s="150"/>
    </row>
    <row r="288" spans="3:3">
      <c r="C288" s="150"/>
    </row>
    <row r="289" spans="3:3">
      <c r="C289" s="150"/>
    </row>
    <row r="290" spans="3:3">
      <c r="C290" s="150"/>
    </row>
    <row r="291" spans="3:3">
      <c r="C291" s="150"/>
    </row>
    <row r="292" spans="3:3">
      <c r="C292" s="150"/>
    </row>
    <row r="293" spans="3:3">
      <c r="C293" s="150"/>
    </row>
    <row r="294" spans="3:3">
      <c r="C294" s="150"/>
    </row>
    <row r="295" spans="3:3">
      <c r="C295" s="150"/>
    </row>
    <row r="296" spans="3:3">
      <c r="C296" s="150"/>
    </row>
    <row r="297" spans="3:3">
      <c r="C297" s="150"/>
    </row>
    <row r="298" spans="3:3">
      <c r="C298" s="150"/>
    </row>
    <row r="299" spans="3:3">
      <c r="C299" s="150"/>
    </row>
    <row r="300" spans="3:3">
      <c r="C300" s="150"/>
    </row>
    <row r="301" spans="3:3">
      <c r="C301" s="150"/>
    </row>
    <row r="302" spans="3:3">
      <c r="C302" s="150"/>
    </row>
    <row r="303" spans="3:3">
      <c r="C303" s="150"/>
    </row>
    <row r="304" spans="3:3">
      <c r="C304" s="150"/>
    </row>
    <row r="305" spans="3:3">
      <c r="C305" s="150"/>
    </row>
    <row r="306" spans="3:3">
      <c r="C306" s="150"/>
    </row>
    <row r="307" spans="3:3">
      <c r="C307" s="150"/>
    </row>
    <row r="308" spans="3:3">
      <c r="C308" s="150"/>
    </row>
    <row r="309" spans="3:3">
      <c r="C309" s="150"/>
    </row>
    <row r="310" spans="3:3">
      <c r="C310" s="150"/>
    </row>
    <row r="311" spans="3:3">
      <c r="C311" s="150"/>
    </row>
    <row r="312" spans="3:3">
      <c r="C312" s="150"/>
    </row>
    <row r="313" spans="3:3">
      <c r="C313" s="150"/>
    </row>
    <row r="314" spans="3:3">
      <c r="C314" s="150"/>
    </row>
    <row r="315" spans="3:3">
      <c r="C315" s="150"/>
    </row>
    <row r="316" spans="3:3">
      <c r="C316" s="150"/>
    </row>
    <row r="317" spans="3:3">
      <c r="C317" s="150"/>
    </row>
    <row r="318" spans="3:3">
      <c r="C318" s="150"/>
    </row>
    <row r="319" spans="3:3">
      <c r="C319" s="150"/>
    </row>
    <row r="320" spans="3:3">
      <c r="C320" s="150"/>
    </row>
    <row r="321" spans="3:3">
      <c r="C321" s="150"/>
    </row>
    <row r="322" spans="3:3">
      <c r="C322" s="150"/>
    </row>
    <row r="323" spans="3:3">
      <c r="C323" s="150"/>
    </row>
    <row r="324" spans="3:3">
      <c r="C324" s="150"/>
    </row>
    <row r="325" spans="3:3">
      <c r="C325" s="150"/>
    </row>
    <row r="326" spans="3:3">
      <c r="C326" s="150"/>
    </row>
    <row r="327" spans="3:3">
      <c r="C327" s="150"/>
    </row>
    <row r="328" spans="3:3">
      <c r="C328" s="150"/>
    </row>
    <row r="329" spans="3:3">
      <c r="C329" s="150"/>
    </row>
    <row r="330" spans="3:3">
      <c r="C330" s="150"/>
    </row>
    <row r="331" spans="3:3">
      <c r="C331" s="150"/>
    </row>
    <row r="332" spans="3:3">
      <c r="C332" s="150"/>
    </row>
    <row r="333" spans="3:3">
      <c r="C333" s="150"/>
    </row>
    <row r="334" spans="3:3">
      <c r="C334" s="150"/>
    </row>
    <row r="335" spans="3:3">
      <c r="C335" s="150"/>
    </row>
    <row r="336" spans="3:3">
      <c r="C336" s="150"/>
    </row>
    <row r="337" spans="3:3">
      <c r="C337" s="150"/>
    </row>
    <row r="338" spans="3:3">
      <c r="C338" s="150"/>
    </row>
    <row r="339" spans="3:3">
      <c r="C339" s="150"/>
    </row>
    <row r="340" spans="3:3">
      <c r="C340" s="150"/>
    </row>
    <row r="341" spans="3:3">
      <c r="C341" s="150"/>
    </row>
    <row r="342" spans="3:3">
      <c r="C342" s="150"/>
    </row>
    <row r="343" spans="3:3">
      <c r="C343" s="150"/>
    </row>
    <row r="344" spans="3:3">
      <c r="C344" s="150"/>
    </row>
    <row r="345" spans="3:3">
      <c r="C345" s="150"/>
    </row>
    <row r="346" spans="3:3">
      <c r="C346" s="150"/>
    </row>
    <row r="347" spans="3:3">
      <c r="C347" s="150"/>
    </row>
    <row r="348" spans="3:3">
      <c r="C348" s="150"/>
    </row>
    <row r="349" spans="3:3">
      <c r="C349" s="150"/>
    </row>
    <row r="350" spans="3:3">
      <c r="C350" s="150"/>
    </row>
    <row r="351" spans="3:3">
      <c r="C351" s="150"/>
    </row>
    <row r="352" spans="3:3">
      <c r="C352" s="150"/>
    </row>
    <row r="353" spans="3:3">
      <c r="C353" s="150"/>
    </row>
    <row r="354" spans="3:3">
      <c r="C354" s="150"/>
    </row>
    <row r="355" spans="3:3">
      <c r="C355" s="150"/>
    </row>
    <row r="356" spans="3:3">
      <c r="C356" s="150"/>
    </row>
    <row r="357" spans="3:3">
      <c r="C357" s="150"/>
    </row>
    <row r="358" spans="3:3">
      <c r="C358" s="150"/>
    </row>
    <row r="359" spans="3:3">
      <c r="C359" s="150"/>
    </row>
    <row r="360" spans="3:3">
      <c r="C360" s="150"/>
    </row>
    <row r="361" spans="3:3">
      <c r="C361" s="150"/>
    </row>
    <row r="362" spans="3:3">
      <c r="C362" s="150"/>
    </row>
    <row r="363" spans="3:3">
      <c r="C363" s="150"/>
    </row>
    <row r="364" spans="3:3">
      <c r="C364" s="150"/>
    </row>
    <row r="365" spans="3:3">
      <c r="C365" s="150"/>
    </row>
    <row r="366" spans="3:3">
      <c r="C366" s="150"/>
    </row>
    <row r="367" spans="3:3">
      <c r="C367" s="150"/>
    </row>
    <row r="368" spans="3:3">
      <c r="C368" s="150"/>
    </row>
    <row r="369" spans="3:3">
      <c r="C369" s="150"/>
    </row>
    <row r="370" spans="3:3">
      <c r="C370" s="150"/>
    </row>
    <row r="371" spans="3:3">
      <c r="C371" s="150"/>
    </row>
    <row r="372" spans="3:3">
      <c r="C372" s="150"/>
    </row>
    <row r="373" spans="3:3">
      <c r="C373" s="150"/>
    </row>
    <row r="374" spans="3:3">
      <c r="C374" s="150"/>
    </row>
    <row r="375" spans="3:3">
      <c r="C375" s="150"/>
    </row>
    <row r="376" spans="3:3">
      <c r="C376" s="150"/>
    </row>
    <row r="377" spans="3:3">
      <c r="C377" s="150"/>
    </row>
    <row r="378" spans="3:3">
      <c r="C378" s="150"/>
    </row>
    <row r="379" spans="3:3">
      <c r="C379" s="150"/>
    </row>
    <row r="380" spans="3:3">
      <c r="C380" s="150"/>
    </row>
    <row r="381" spans="3:3">
      <c r="C381" s="150"/>
    </row>
    <row r="382" spans="3:3">
      <c r="C382" s="150"/>
    </row>
    <row r="383" spans="3:3">
      <c r="C383" s="150"/>
    </row>
    <row r="384" spans="3:3">
      <c r="C384" s="150"/>
    </row>
    <row r="385" spans="3:3">
      <c r="C385" s="150"/>
    </row>
    <row r="386" spans="3:3">
      <c r="C386" s="150"/>
    </row>
    <row r="387" spans="3:3">
      <c r="C387" s="150"/>
    </row>
    <row r="388" spans="3:3">
      <c r="C388" s="150"/>
    </row>
    <row r="389" spans="3:3">
      <c r="C389" s="150"/>
    </row>
    <row r="390" spans="3:3">
      <c r="C390" s="150"/>
    </row>
    <row r="391" spans="3:3">
      <c r="C391" s="150"/>
    </row>
    <row r="392" spans="3:3">
      <c r="C392" s="150"/>
    </row>
    <row r="393" spans="3:3">
      <c r="C393" s="150"/>
    </row>
    <row r="394" spans="3:3">
      <c r="C394" s="150"/>
    </row>
    <row r="395" spans="3:3">
      <c r="C395" s="150"/>
    </row>
    <row r="396" spans="3:3">
      <c r="C396" s="150"/>
    </row>
    <row r="397" spans="3:3">
      <c r="C397" s="150"/>
    </row>
    <row r="398" spans="3:3">
      <c r="C398" s="150"/>
    </row>
    <row r="399" spans="3:3">
      <c r="C399" s="150"/>
    </row>
    <row r="400" spans="3:3">
      <c r="C400" s="150"/>
    </row>
    <row r="401" spans="3:3">
      <c r="C401" s="150"/>
    </row>
    <row r="402" spans="3:3">
      <c r="C402" s="150"/>
    </row>
    <row r="403" spans="3:3">
      <c r="C403" s="150"/>
    </row>
    <row r="404" spans="3:3">
      <c r="C404" s="150"/>
    </row>
    <row r="405" spans="3:3">
      <c r="C405" s="150"/>
    </row>
    <row r="406" spans="3:3">
      <c r="C406" s="150"/>
    </row>
    <row r="407" spans="3:3">
      <c r="C407" s="150"/>
    </row>
    <row r="408" spans="3:3">
      <c r="C408" s="150"/>
    </row>
    <row r="409" spans="3:3">
      <c r="C409" s="150"/>
    </row>
    <row r="410" spans="3:3">
      <c r="C410" s="150"/>
    </row>
    <row r="411" spans="3:3">
      <c r="C411" s="150"/>
    </row>
    <row r="412" spans="3:3">
      <c r="C412" s="150"/>
    </row>
    <row r="413" spans="3:3">
      <c r="C413" s="150"/>
    </row>
    <row r="414" spans="3:3">
      <c r="C414" s="150"/>
    </row>
    <row r="415" spans="3:3">
      <c r="C415" s="150"/>
    </row>
    <row r="416" spans="3:3">
      <c r="C416" s="150"/>
    </row>
    <row r="417" spans="3:3">
      <c r="C417" s="150"/>
    </row>
    <row r="418" spans="3:3">
      <c r="C418" s="150"/>
    </row>
    <row r="419" spans="3:3">
      <c r="C419" s="150"/>
    </row>
    <row r="420" spans="3:3">
      <c r="C420" s="150"/>
    </row>
    <row r="421" spans="3:3">
      <c r="C421" s="150"/>
    </row>
    <row r="422" spans="3:3">
      <c r="C422" s="150"/>
    </row>
    <row r="423" spans="3:3">
      <c r="C423" s="150"/>
    </row>
    <row r="424" spans="3:3">
      <c r="C424" s="150"/>
    </row>
    <row r="425" spans="3:3">
      <c r="C425" s="150"/>
    </row>
    <row r="426" spans="3:3">
      <c r="C426" s="150"/>
    </row>
    <row r="427" spans="3:3">
      <c r="C427" s="150"/>
    </row>
    <row r="428" spans="3:3">
      <c r="C428" s="150"/>
    </row>
    <row r="429" spans="3:3">
      <c r="C429" s="150"/>
    </row>
    <row r="430" spans="3:3">
      <c r="C430" s="150"/>
    </row>
    <row r="431" spans="3:3">
      <c r="C431" s="150"/>
    </row>
    <row r="432" spans="3:3">
      <c r="C432" s="150"/>
    </row>
    <row r="433" spans="3:3">
      <c r="C433" s="150"/>
    </row>
    <row r="434" spans="3:3">
      <c r="C434" s="150"/>
    </row>
    <row r="435" spans="3:3">
      <c r="C435" s="150"/>
    </row>
    <row r="436" spans="3:3">
      <c r="C436" s="150"/>
    </row>
    <row r="437" spans="3:3">
      <c r="C437" s="150"/>
    </row>
    <row r="438" spans="3:3">
      <c r="C438" s="150"/>
    </row>
    <row r="439" spans="3:3">
      <c r="C439" s="150"/>
    </row>
    <row r="440" spans="3:3">
      <c r="C440" s="150"/>
    </row>
    <row r="441" spans="3:3">
      <c r="C441" s="150"/>
    </row>
    <row r="442" spans="3:3">
      <c r="C442" s="150"/>
    </row>
    <row r="443" spans="3:3">
      <c r="C443" s="150"/>
    </row>
    <row r="444" spans="3:3">
      <c r="C444" s="150"/>
    </row>
    <row r="445" spans="3:3">
      <c r="C445" s="150"/>
    </row>
    <row r="446" spans="3:3">
      <c r="C446" s="150"/>
    </row>
    <row r="447" spans="3:3">
      <c r="C447" s="150"/>
    </row>
    <row r="448" spans="3:3">
      <c r="C448" s="150"/>
    </row>
    <row r="449" spans="3:3">
      <c r="C449" s="150"/>
    </row>
    <row r="450" spans="3:3">
      <c r="C450" s="150"/>
    </row>
    <row r="451" spans="3:3">
      <c r="C451" s="150"/>
    </row>
    <row r="452" spans="3:3">
      <c r="C452" s="150"/>
    </row>
    <row r="453" spans="3:3">
      <c r="C453" s="150"/>
    </row>
    <row r="454" spans="3:3">
      <c r="C454" s="150"/>
    </row>
    <row r="455" spans="3:3">
      <c r="C455" s="150"/>
    </row>
    <row r="456" spans="3:3">
      <c r="C456" s="150"/>
    </row>
    <row r="457" spans="3:3">
      <c r="C457" s="150"/>
    </row>
    <row r="458" spans="3:3">
      <c r="C458" s="150"/>
    </row>
    <row r="459" spans="3:3">
      <c r="C459" s="150"/>
    </row>
    <row r="460" spans="3:3">
      <c r="C460" s="150"/>
    </row>
    <row r="461" spans="3:3">
      <c r="C461" s="150"/>
    </row>
    <row r="462" spans="3:3">
      <c r="C462" s="150"/>
    </row>
    <row r="463" spans="3:3">
      <c r="C463" s="150"/>
    </row>
    <row r="464" spans="3:3">
      <c r="C464" s="150"/>
    </row>
    <row r="465" spans="3:3">
      <c r="C465" s="150"/>
    </row>
    <row r="466" spans="3:3">
      <c r="C466" s="150"/>
    </row>
    <row r="467" spans="3:3">
      <c r="C467" s="150"/>
    </row>
    <row r="468" spans="3:3">
      <c r="C468" s="150"/>
    </row>
    <row r="469" spans="3:3">
      <c r="C469" s="150"/>
    </row>
    <row r="470" spans="3:3">
      <c r="C470" s="150"/>
    </row>
    <row r="471" spans="3:3">
      <c r="C471" s="150"/>
    </row>
    <row r="472" spans="3:3">
      <c r="C472" s="150"/>
    </row>
    <row r="473" spans="3:3">
      <c r="C473" s="150"/>
    </row>
    <row r="474" spans="3:3">
      <c r="C474" s="150"/>
    </row>
    <row r="475" spans="3:3">
      <c r="C475" s="150"/>
    </row>
    <row r="476" spans="3:3">
      <c r="C476" s="150"/>
    </row>
    <row r="477" spans="3:3">
      <c r="C477" s="150"/>
    </row>
    <row r="478" spans="3:3">
      <c r="C478" s="150"/>
    </row>
    <row r="479" spans="3:3">
      <c r="C479" s="150"/>
    </row>
    <row r="480" spans="3:3">
      <c r="C480" s="150"/>
    </row>
    <row r="481" spans="3:3">
      <c r="C481" s="150"/>
    </row>
    <row r="482" spans="3:3">
      <c r="C482" s="150"/>
    </row>
    <row r="483" spans="3:3">
      <c r="C483" s="150"/>
    </row>
    <row r="484" spans="3:3">
      <c r="C484" s="150"/>
    </row>
    <row r="485" spans="3:3">
      <c r="C485" s="150"/>
    </row>
    <row r="486" spans="3:3">
      <c r="C486" s="150"/>
    </row>
    <row r="487" spans="3:3">
      <c r="C487" s="150"/>
    </row>
    <row r="488" spans="3:3">
      <c r="C488" s="150"/>
    </row>
    <row r="489" spans="3:3">
      <c r="C489" s="150"/>
    </row>
    <row r="490" spans="3:3">
      <c r="C490" s="150"/>
    </row>
    <row r="491" spans="3:3">
      <c r="C491" s="150"/>
    </row>
    <row r="492" spans="3:3">
      <c r="C492" s="150"/>
    </row>
    <row r="493" spans="3:3">
      <c r="C493" s="150"/>
    </row>
    <row r="494" spans="3:3">
      <c r="C494" s="150"/>
    </row>
    <row r="495" spans="3:3">
      <c r="C495" s="150"/>
    </row>
    <row r="496" spans="3:3">
      <c r="C496" s="150"/>
    </row>
    <row r="497" spans="3:3">
      <c r="C497" s="150"/>
    </row>
    <row r="498" spans="3:3">
      <c r="C498" s="150"/>
    </row>
    <row r="499" spans="3:3">
      <c r="C499" s="150"/>
    </row>
    <row r="500" spans="3:3">
      <c r="C500" s="150"/>
    </row>
    <row r="501" spans="3:3">
      <c r="C501" s="150"/>
    </row>
    <row r="502" spans="3:3">
      <c r="C502" s="150"/>
    </row>
    <row r="503" spans="3:3">
      <c r="C503" s="150"/>
    </row>
    <row r="504" spans="3:3">
      <c r="C504" s="150"/>
    </row>
    <row r="505" spans="3:3">
      <c r="C505" s="150"/>
    </row>
    <row r="506" spans="3:3">
      <c r="C506" s="150"/>
    </row>
    <row r="507" spans="3:3">
      <c r="C507" s="150"/>
    </row>
    <row r="508" spans="3:3">
      <c r="C508" s="150"/>
    </row>
    <row r="509" spans="3:3">
      <c r="C509" s="150"/>
    </row>
    <row r="510" spans="3:3">
      <c r="C510" s="150"/>
    </row>
    <row r="511" spans="3:3">
      <c r="C511" s="150"/>
    </row>
    <row r="512" spans="3:3">
      <c r="C512" s="150"/>
    </row>
    <row r="513" spans="3:3">
      <c r="C513" s="150"/>
    </row>
    <row r="514" spans="3:3">
      <c r="C514" s="150"/>
    </row>
    <row r="515" spans="3:3">
      <c r="C515" s="150"/>
    </row>
    <row r="516" spans="3:3">
      <c r="C516" s="150"/>
    </row>
    <row r="517" spans="3:3">
      <c r="C517" s="150"/>
    </row>
    <row r="518" spans="3:3">
      <c r="C518" s="150"/>
    </row>
    <row r="519" spans="3:3">
      <c r="C519" s="150"/>
    </row>
    <row r="520" spans="3:3">
      <c r="C520" s="150"/>
    </row>
    <row r="521" spans="3:3">
      <c r="C521" s="150"/>
    </row>
    <row r="522" spans="3:3">
      <c r="C522" s="150"/>
    </row>
    <row r="523" spans="3:3">
      <c r="C523" s="150"/>
    </row>
    <row r="524" spans="3:3">
      <c r="C524" s="150"/>
    </row>
    <row r="525" spans="3:3">
      <c r="C525" s="150"/>
    </row>
    <row r="526" spans="3:3">
      <c r="C526" s="150"/>
    </row>
    <row r="527" spans="3:3">
      <c r="C527" s="150"/>
    </row>
    <row r="528" spans="3:3">
      <c r="C528" s="150"/>
    </row>
    <row r="529" spans="3:3">
      <c r="C529" s="150"/>
    </row>
    <row r="530" spans="3:3">
      <c r="C530" s="150"/>
    </row>
    <row r="531" spans="3:3">
      <c r="C531" s="150"/>
    </row>
    <row r="532" spans="3:3">
      <c r="C532" s="150"/>
    </row>
    <row r="533" spans="3:3">
      <c r="C533" s="150"/>
    </row>
    <row r="534" spans="3:3">
      <c r="C534" s="150"/>
    </row>
    <row r="535" spans="3:3">
      <c r="C535" s="150"/>
    </row>
    <row r="536" spans="3:3">
      <c r="C536" s="150"/>
    </row>
    <row r="537" spans="3:3">
      <c r="C537" s="150"/>
    </row>
    <row r="538" spans="3:3">
      <c r="C538" s="150"/>
    </row>
    <row r="539" spans="3:3">
      <c r="C539" s="150"/>
    </row>
    <row r="540" spans="3:3">
      <c r="C540" s="150"/>
    </row>
    <row r="541" spans="3:3">
      <c r="C541" s="150"/>
    </row>
    <row r="542" spans="3:3">
      <c r="C542" s="150"/>
    </row>
    <row r="543" spans="3:3">
      <c r="C543" s="150"/>
    </row>
    <row r="544" spans="3:3">
      <c r="C544" s="150"/>
    </row>
    <row r="545" spans="3:3">
      <c r="C545" s="150"/>
    </row>
    <row r="546" spans="3:3">
      <c r="C546" s="150"/>
    </row>
    <row r="547" spans="3:3">
      <c r="C547" s="150"/>
    </row>
    <row r="548" spans="3:3">
      <c r="C548" s="150"/>
    </row>
    <row r="549" spans="3:3">
      <c r="C549" s="150"/>
    </row>
    <row r="550" spans="3:3">
      <c r="C550" s="150"/>
    </row>
    <row r="551" spans="3:3">
      <c r="C551" s="150"/>
    </row>
    <row r="552" spans="3:3">
      <c r="C552" s="150"/>
    </row>
    <row r="553" spans="3:3">
      <c r="C553" s="150"/>
    </row>
    <row r="554" spans="3:3">
      <c r="C554" s="150"/>
    </row>
    <row r="555" spans="3:3">
      <c r="C555" s="150"/>
    </row>
    <row r="556" spans="3:3">
      <c r="C556" s="150"/>
    </row>
    <row r="557" spans="3:3">
      <c r="C557" s="150"/>
    </row>
    <row r="558" spans="3:3">
      <c r="C558" s="150"/>
    </row>
    <row r="559" spans="3:3">
      <c r="C559" s="150"/>
    </row>
    <row r="560" spans="3:3">
      <c r="C560" s="150"/>
    </row>
    <row r="561" spans="3:3">
      <c r="C561" s="150"/>
    </row>
    <row r="562" spans="3:3">
      <c r="C562" s="150"/>
    </row>
    <row r="563" spans="3:3">
      <c r="C563" s="150"/>
    </row>
    <row r="564" spans="3:3">
      <c r="C564" s="150"/>
    </row>
    <row r="565" spans="3:3">
      <c r="C565" s="150"/>
    </row>
    <row r="566" spans="3:3">
      <c r="C566" s="150"/>
    </row>
    <row r="567" spans="3:3">
      <c r="C567" s="150"/>
    </row>
    <row r="568" spans="3:3">
      <c r="C568" s="150"/>
    </row>
    <row r="569" spans="3:3">
      <c r="C569" s="150"/>
    </row>
    <row r="570" spans="3:3">
      <c r="C570" s="150"/>
    </row>
    <row r="571" spans="3:3">
      <c r="C571" s="150"/>
    </row>
    <row r="572" spans="3:3">
      <c r="C572" s="150"/>
    </row>
    <row r="573" spans="3:3">
      <c r="C573" s="150"/>
    </row>
    <row r="574" spans="3:3">
      <c r="C574" s="150"/>
    </row>
    <row r="575" spans="3:3">
      <c r="C575" s="150"/>
    </row>
    <row r="576" spans="3:3">
      <c r="C576" s="150"/>
    </row>
    <row r="577" spans="3:3">
      <c r="C577" s="150"/>
    </row>
    <row r="578" spans="3:3">
      <c r="C578" s="150"/>
    </row>
    <row r="579" spans="3:3">
      <c r="C579" s="150"/>
    </row>
    <row r="580" spans="3:3">
      <c r="C580" s="150"/>
    </row>
    <row r="581" spans="3:3">
      <c r="C581" s="150"/>
    </row>
    <row r="582" spans="3:3">
      <c r="C582" s="150"/>
    </row>
    <row r="583" spans="3:3">
      <c r="C583" s="150"/>
    </row>
    <row r="584" spans="3:3">
      <c r="C584" s="150"/>
    </row>
    <row r="585" spans="3:3">
      <c r="C585" s="150"/>
    </row>
    <row r="586" spans="3:3">
      <c r="C586" s="150"/>
    </row>
    <row r="587" spans="3:3">
      <c r="C587" s="150"/>
    </row>
    <row r="588" spans="3:3">
      <c r="C588" s="150"/>
    </row>
    <row r="589" spans="3:3">
      <c r="C589" s="150"/>
    </row>
    <row r="590" spans="3:3">
      <c r="C590" s="150"/>
    </row>
    <row r="591" spans="3:3">
      <c r="C591" s="150"/>
    </row>
    <row r="592" spans="3:3">
      <c r="C592" s="150"/>
    </row>
    <row r="593" spans="3:3">
      <c r="C593" s="150"/>
    </row>
    <row r="594" spans="3:3">
      <c r="C594" s="150"/>
    </row>
    <row r="595" spans="3:3">
      <c r="C595" s="150"/>
    </row>
    <row r="596" spans="3:3">
      <c r="C596" s="150"/>
    </row>
    <row r="597" spans="3:3">
      <c r="C597" s="150"/>
    </row>
    <row r="598" spans="3:3">
      <c r="C598" s="150"/>
    </row>
    <row r="599" spans="3:3">
      <c r="C599" s="150"/>
    </row>
    <row r="600" spans="3:3">
      <c r="C600" s="150"/>
    </row>
    <row r="601" spans="3:3">
      <c r="C601" s="150"/>
    </row>
    <row r="602" spans="3:3">
      <c r="C602" s="150"/>
    </row>
    <row r="603" spans="3:3">
      <c r="C603" s="150"/>
    </row>
    <row r="604" spans="3:3">
      <c r="C604" s="150"/>
    </row>
    <row r="605" spans="3:3">
      <c r="C605" s="150"/>
    </row>
    <row r="606" spans="3:3">
      <c r="C606" s="150"/>
    </row>
    <row r="607" spans="3:3">
      <c r="C607" s="150"/>
    </row>
    <row r="608" spans="3:3">
      <c r="C608" s="150"/>
    </row>
    <row r="609" spans="3:3">
      <c r="C609" s="150"/>
    </row>
    <row r="610" spans="3:3">
      <c r="C610" s="150"/>
    </row>
    <row r="611" spans="3:3">
      <c r="C611" s="150"/>
    </row>
    <row r="612" spans="3:3">
      <c r="C612" s="150"/>
    </row>
    <row r="613" spans="3:3">
      <c r="C613" s="150"/>
    </row>
    <row r="614" spans="3:3">
      <c r="C614" s="150"/>
    </row>
    <row r="615" spans="3:3">
      <c r="C615" s="150"/>
    </row>
    <row r="616" spans="3:3">
      <c r="C616" s="150"/>
    </row>
    <row r="617" spans="3:3">
      <c r="C617" s="150"/>
    </row>
    <row r="618" spans="3:3">
      <c r="C618" s="150"/>
    </row>
    <row r="619" spans="3:3">
      <c r="C619" s="150"/>
    </row>
    <row r="620" spans="3:3">
      <c r="C620" s="150"/>
    </row>
    <row r="621" spans="3:3">
      <c r="C621" s="150"/>
    </row>
    <row r="622" spans="3:3">
      <c r="C622" s="150"/>
    </row>
    <row r="623" spans="3:3">
      <c r="C623" s="150"/>
    </row>
    <row r="624" spans="3:3">
      <c r="C624" s="150"/>
    </row>
    <row r="625" spans="3:3">
      <c r="C625" s="150"/>
    </row>
    <row r="626" spans="3:3">
      <c r="C626" s="150"/>
    </row>
    <row r="627" spans="3:3">
      <c r="C627" s="150"/>
    </row>
    <row r="628" spans="3:3">
      <c r="C628" s="150"/>
    </row>
    <row r="629" spans="3:3">
      <c r="C629" s="150"/>
    </row>
    <row r="630" spans="3:3">
      <c r="C630" s="150"/>
    </row>
    <row r="631" spans="3:3">
      <c r="C631" s="150"/>
    </row>
    <row r="632" spans="3:3">
      <c r="C632" s="150"/>
    </row>
    <row r="633" spans="3:3">
      <c r="C633" s="150"/>
    </row>
    <row r="634" spans="3:3">
      <c r="C634" s="150"/>
    </row>
    <row r="635" spans="3:3">
      <c r="C635" s="150"/>
    </row>
    <row r="636" spans="3:3">
      <c r="C636" s="150"/>
    </row>
    <row r="637" spans="3:3">
      <c r="C637" s="150"/>
    </row>
    <row r="638" spans="3:3">
      <c r="C638" s="150"/>
    </row>
    <row r="639" spans="3:3">
      <c r="C639" s="150"/>
    </row>
    <row r="640" spans="3:3">
      <c r="C640" s="150"/>
    </row>
    <row r="641" spans="3:3">
      <c r="C641" s="150"/>
    </row>
    <row r="642" spans="3:3">
      <c r="C642" s="150"/>
    </row>
    <row r="643" spans="3:3">
      <c r="C643" s="150"/>
    </row>
    <row r="644" spans="3:3">
      <c r="C644" s="150"/>
    </row>
    <row r="645" spans="3:3">
      <c r="C645" s="150"/>
    </row>
    <row r="646" spans="3:3">
      <c r="C646" s="150"/>
    </row>
    <row r="647" spans="3:3">
      <c r="C647" s="150"/>
    </row>
    <row r="648" spans="3:3">
      <c r="C648" s="150"/>
    </row>
    <row r="649" spans="3:3">
      <c r="C649" s="150"/>
    </row>
    <row r="650" spans="3:3">
      <c r="C650" s="150"/>
    </row>
    <row r="651" spans="3:3">
      <c r="C651" s="150"/>
    </row>
    <row r="652" spans="3:3">
      <c r="C652" s="150"/>
    </row>
    <row r="653" spans="3:3">
      <c r="C653" s="150"/>
    </row>
    <row r="654" spans="3:3">
      <c r="C654" s="150"/>
    </row>
    <row r="655" spans="3:3">
      <c r="C655" s="150"/>
    </row>
    <row r="656" spans="3:3">
      <c r="C656" s="150"/>
    </row>
    <row r="657" spans="3:3">
      <c r="C657" s="150"/>
    </row>
    <row r="658" spans="3:3">
      <c r="C658" s="150"/>
    </row>
    <row r="659" spans="3:3">
      <c r="C659" s="150"/>
    </row>
    <row r="660" spans="3:3">
      <c r="C660" s="150"/>
    </row>
    <row r="661" spans="3:3">
      <c r="C661" s="150"/>
    </row>
    <row r="662" spans="3:3">
      <c r="C662" s="150"/>
    </row>
    <row r="663" spans="3:3">
      <c r="C663" s="150"/>
    </row>
    <row r="664" spans="3:3">
      <c r="C664" s="150"/>
    </row>
    <row r="665" spans="3:3">
      <c r="C665" s="150"/>
    </row>
    <row r="666" spans="3:3">
      <c r="C666" s="150"/>
    </row>
    <row r="667" spans="3:3">
      <c r="C667" s="150"/>
    </row>
    <row r="668" spans="3:3">
      <c r="C668" s="150"/>
    </row>
    <row r="669" spans="3:3">
      <c r="C669" s="150"/>
    </row>
    <row r="670" spans="3:3">
      <c r="C670" s="150"/>
    </row>
    <row r="671" spans="3:3">
      <c r="C671" s="150"/>
    </row>
    <row r="672" spans="3:3">
      <c r="C672" s="150"/>
    </row>
    <row r="673" spans="3:3">
      <c r="C673" s="150"/>
    </row>
    <row r="674" spans="3:3">
      <c r="C674" s="150"/>
    </row>
    <row r="675" spans="3:3">
      <c r="C675" s="150"/>
    </row>
    <row r="676" spans="3:3">
      <c r="C676" s="150"/>
    </row>
    <row r="677" spans="3:3">
      <c r="C677" s="150"/>
    </row>
    <row r="678" spans="3:3">
      <c r="C678" s="150"/>
    </row>
    <row r="679" spans="3:3">
      <c r="C679" s="150"/>
    </row>
    <row r="680" spans="3:3">
      <c r="C680" s="150"/>
    </row>
    <row r="681" spans="3:3">
      <c r="C681" s="150"/>
    </row>
    <row r="682" spans="3:3">
      <c r="C682" s="150"/>
    </row>
    <row r="683" spans="3:3">
      <c r="C683" s="150"/>
    </row>
    <row r="684" spans="3:3">
      <c r="C684" s="150"/>
    </row>
    <row r="685" spans="3:3">
      <c r="C685" s="150"/>
    </row>
    <row r="686" spans="3:3">
      <c r="C686" s="150"/>
    </row>
    <row r="687" spans="3:3">
      <c r="C687" s="150"/>
    </row>
    <row r="688" spans="3:3">
      <c r="C688" s="150"/>
    </row>
    <row r="689" spans="3:3">
      <c r="C689" s="150"/>
    </row>
    <row r="690" spans="3:3">
      <c r="C690" s="150"/>
    </row>
    <row r="691" spans="3:3">
      <c r="C691" s="150"/>
    </row>
    <row r="692" spans="3:3">
      <c r="C692" s="150"/>
    </row>
    <row r="693" spans="3:3">
      <c r="C693" s="150"/>
    </row>
    <row r="694" spans="3:3">
      <c r="C694" s="150"/>
    </row>
    <row r="695" spans="3:3">
      <c r="C695" s="150"/>
    </row>
    <row r="696" spans="3:3">
      <c r="C696" s="150"/>
    </row>
    <row r="697" spans="3:3">
      <c r="C697" s="150"/>
    </row>
    <row r="698" spans="3:3">
      <c r="C698" s="150"/>
    </row>
    <row r="699" spans="3:3">
      <c r="C699" s="150"/>
    </row>
    <row r="700" spans="3:3">
      <c r="C700" s="150"/>
    </row>
    <row r="701" spans="3:3">
      <c r="C701" s="150"/>
    </row>
    <row r="702" spans="3:3">
      <c r="C702" s="150"/>
    </row>
    <row r="703" spans="3:3">
      <c r="C703" s="150"/>
    </row>
    <row r="704" spans="3:3">
      <c r="C704" s="150"/>
    </row>
    <row r="705" spans="3:3">
      <c r="C705" s="150"/>
    </row>
    <row r="706" spans="3:3">
      <c r="C706" s="150"/>
    </row>
    <row r="707" spans="3:3">
      <c r="C707" s="150"/>
    </row>
    <row r="708" spans="3:3">
      <c r="C708" s="150"/>
    </row>
    <row r="709" spans="3:3">
      <c r="C709" s="150"/>
    </row>
    <row r="710" spans="3:3">
      <c r="C710" s="150"/>
    </row>
    <row r="711" spans="3:3">
      <c r="C711" s="150"/>
    </row>
    <row r="712" spans="3:3">
      <c r="C712" s="150"/>
    </row>
    <row r="713" spans="3:3">
      <c r="C713" s="150"/>
    </row>
    <row r="714" spans="3:3">
      <c r="C714" s="150"/>
    </row>
    <row r="715" spans="3:3">
      <c r="C715" s="150"/>
    </row>
    <row r="716" spans="3:3">
      <c r="C716" s="150"/>
    </row>
    <row r="717" spans="3:3">
      <c r="C717" s="150"/>
    </row>
    <row r="718" spans="3:3">
      <c r="C718" s="150"/>
    </row>
    <row r="719" spans="3:3">
      <c r="C719" s="150"/>
    </row>
    <row r="720" spans="3:3">
      <c r="C720" s="150"/>
    </row>
    <row r="721" spans="3:3">
      <c r="C721" s="150"/>
    </row>
    <row r="722" spans="3:3">
      <c r="C722" s="150"/>
    </row>
    <row r="723" spans="3:3">
      <c r="C723" s="150"/>
    </row>
    <row r="724" spans="3:3">
      <c r="C724" s="150"/>
    </row>
    <row r="725" spans="3:3">
      <c r="C725" s="150"/>
    </row>
    <row r="726" spans="3:3">
      <c r="C726" s="150"/>
    </row>
    <row r="727" spans="3:3">
      <c r="C727" s="150"/>
    </row>
    <row r="728" spans="3:3">
      <c r="C728" s="150"/>
    </row>
    <row r="729" spans="3:3">
      <c r="C729" s="150"/>
    </row>
    <row r="730" spans="3:3">
      <c r="C730" s="150"/>
    </row>
    <row r="731" spans="3:3">
      <c r="C731" s="150"/>
    </row>
    <row r="732" spans="3:3">
      <c r="C732" s="150"/>
    </row>
    <row r="733" spans="3:3">
      <c r="C733" s="150"/>
    </row>
    <row r="734" spans="3:3">
      <c r="C734" s="150"/>
    </row>
    <row r="735" spans="3:3">
      <c r="C735" s="150"/>
    </row>
    <row r="736" spans="3:3">
      <c r="C736" s="150"/>
    </row>
    <row r="737" spans="3:3">
      <c r="C737" s="150"/>
    </row>
    <row r="738" spans="3:3">
      <c r="C738" s="150"/>
    </row>
    <row r="739" spans="3:3">
      <c r="C739" s="150"/>
    </row>
    <row r="740" spans="3:3">
      <c r="C740" s="150"/>
    </row>
    <row r="741" spans="3:3">
      <c r="C741" s="150"/>
    </row>
    <row r="742" spans="3:3">
      <c r="C742" s="150"/>
    </row>
    <row r="743" spans="3:3">
      <c r="C743" s="150"/>
    </row>
    <row r="744" spans="3:3">
      <c r="C744" s="150"/>
    </row>
    <row r="745" spans="3:3">
      <c r="C745" s="150"/>
    </row>
    <row r="746" spans="3:3">
      <c r="C746" s="150"/>
    </row>
    <row r="747" spans="3:3">
      <c r="C747" s="150"/>
    </row>
    <row r="748" spans="3:3">
      <c r="C748" s="150"/>
    </row>
    <row r="749" spans="3:3">
      <c r="C749" s="150"/>
    </row>
    <row r="750" spans="3:3">
      <c r="C750" s="150"/>
    </row>
    <row r="751" spans="3:3">
      <c r="C751" s="150"/>
    </row>
    <row r="752" spans="3:3">
      <c r="C752" s="150"/>
    </row>
    <row r="753" spans="3:3">
      <c r="C753" s="150"/>
    </row>
    <row r="754" spans="3:3">
      <c r="C754" s="150"/>
    </row>
    <row r="755" spans="3:3">
      <c r="C755" s="150"/>
    </row>
    <row r="756" spans="3:3">
      <c r="C756" s="150"/>
    </row>
    <row r="757" spans="3:3">
      <c r="C757" s="150"/>
    </row>
    <row r="758" spans="3:3">
      <c r="C758" s="150"/>
    </row>
    <row r="759" spans="3:3">
      <c r="C759" s="150"/>
    </row>
    <row r="760" spans="3:3">
      <c r="C760" s="150"/>
    </row>
    <row r="761" spans="3:3">
      <c r="C761" s="150"/>
    </row>
    <row r="762" spans="3:3">
      <c r="C762" s="150"/>
    </row>
    <row r="763" spans="3:3">
      <c r="C763" s="150"/>
    </row>
    <row r="764" spans="3:3">
      <c r="C764" s="150"/>
    </row>
    <row r="765" spans="3:3">
      <c r="C765" s="150"/>
    </row>
    <row r="766" spans="3:3">
      <c r="C766" s="150"/>
    </row>
    <row r="767" spans="3:3">
      <c r="C767" s="150"/>
    </row>
    <row r="768" spans="3:3">
      <c r="C768" s="150"/>
    </row>
    <row r="769" spans="3:3">
      <c r="C769" s="150"/>
    </row>
    <row r="770" spans="3:3">
      <c r="C770" s="150"/>
    </row>
    <row r="771" spans="3:3">
      <c r="C771" s="150"/>
    </row>
    <row r="772" spans="3:3">
      <c r="C772" s="150"/>
    </row>
    <row r="773" spans="3:3">
      <c r="C773" s="150"/>
    </row>
    <row r="774" spans="3:3">
      <c r="C774" s="150"/>
    </row>
    <row r="775" spans="3:3">
      <c r="C775" s="150"/>
    </row>
    <row r="776" spans="3:3">
      <c r="C776" s="150"/>
    </row>
    <row r="777" spans="3:3">
      <c r="C777" s="150"/>
    </row>
    <row r="778" spans="3:3">
      <c r="C778" s="150"/>
    </row>
    <row r="779" spans="3:3">
      <c r="C779" s="150"/>
    </row>
    <row r="780" spans="3:3">
      <c r="C780" s="150"/>
    </row>
    <row r="781" spans="3:3">
      <c r="C781" s="150"/>
    </row>
    <row r="782" spans="3:3">
      <c r="C782" s="150"/>
    </row>
    <row r="783" spans="3:3">
      <c r="C783" s="150"/>
    </row>
    <row r="784" spans="3:3">
      <c r="C784" s="150"/>
    </row>
    <row r="785" spans="3:3">
      <c r="C785" s="150"/>
    </row>
    <row r="786" spans="3:3">
      <c r="C786" s="150"/>
    </row>
    <row r="787" spans="3:3">
      <c r="C787" s="150"/>
    </row>
    <row r="788" spans="3:3">
      <c r="C788" s="150"/>
    </row>
    <row r="789" spans="3:3">
      <c r="C789" s="150"/>
    </row>
    <row r="790" spans="3:3">
      <c r="C790" s="150"/>
    </row>
    <row r="791" spans="3:3">
      <c r="C791" s="150"/>
    </row>
    <row r="792" spans="3:3">
      <c r="C792" s="150"/>
    </row>
    <row r="793" spans="3:3">
      <c r="C793" s="150"/>
    </row>
    <row r="794" spans="3:3">
      <c r="C794" s="150"/>
    </row>
    <row r="795" spans="3:3">
      <c r="C795" s="150"/>
    </row>
    <row r="796" spans="3:3">
      <c r="C796" s="150"/>
    </row>
    <row r="797" spans="3:3">
      <c r="C797" s="150"/>
    </row>
    <row r="798" spans="3:3">
      <c r="C798" s="150"/>
    </row>
    <row r="799" spans="3:3">
      <c r="C799" s="150"/>
    </row>
    <row r="800" spans="3:3">
      <c r="C800" s="150"/>
    </row>
    <row r="801" spans="3:3">
      <c r="C801" s="150"/>
    </row>
    <row r="802" spans="3:3">
      <c r="C802" s="150"/>
    </row>
    <row r="803" spans="3:3">
      <c r="C803" s="150"/>
    </row>
    <row r="804" spans="3:3">
      <c r="C804" s="150"/>
    </row>
    <row r="805" spans="3:3">
      <c r="C805" s="150"/>
    </row>
    <row r="806" spans="3:3">
      <c r="C806" s="150"/>
    </row>
    <row r="807" spans="3:3">
      <c r="C807" s="150"/>
    </row>
    <row r="808" spans="3:3">
      <c r="C808" s="150"/>
    </row>
    <row r="809" spans="3:3">
      <c r="C809" s="150"/>
    </row>
    <row r="810" spans="3:3">
      <c r="C810" s="150"/>
    </row>
    <row r="811" spans="3:3">
      <c r="C811" s="150"/>
    </row>
    <row r="812" spans="3:3">
      <c r="C812" s="150"/>
    </row>
    <row r="813" spans="3:3">
      <c r="C813" s="150"/>
    </row>
    <row r="814" spans="3:3">
      <c r="C814" s="150"/>
    </row>
    <row r="815" spans="3:3">
      <c r="C815" s="150"/>
    </row>
    <row r="816" spans="3:3">
      <c r="C816" s="150"/>
    </row>
    <row r="817" spans="3:3">
      <c r="C817" s="150"/>
    </row>
    <row r="818" spans="3:3">
      <c r="C818" s="150"/>
    </row>
    <row r="819" spans="3:3">
      <c r="C819" s="150"/>
    </row>
    <row r="820" spans="3:3">
      <c r="C820" s="150"/>
    </row>
    <row r="821" spans="3:3">
      <c r="C821" s="150"/>
    </row>
    <row r="822" spans="3:3">
      <c r="C822" s="150"/>
    </row>
    <row r="823" spans="3:3">
      <c r="C823" s="150"/>
    </row>
    <row r="824" spans="3:3">
      <c r="C824" s="150"/>
    </row>
    <row r="825" spans="3:3">
      <c r="C825" s="150"/>
    </row>
    <row r="826" spans="3:3">
      <c r="C826" s="150"/>
    </row>
    <row r="827" spans="3:3">
      <c r="C827" s="150"/>
    </row>
    <row r="828" spans="3:3">
      <c r="C828" s="150"/>
    </row>
    <row r="829" spans="3:3">
      <c r="C829" s="150"/>
    </row>
    <row r="830" spans="3:3">
      <c r="C830" s="150"/>
    </row>
    <row r="831" spans="3:3">
      <c r="C831" s="150"/>
    </row>
    <row r="832" spans="3:3">
      <c r="C832" s="150"/>
    </row>
    <row r="833" spans="3:3">
      <c r="C833" s="150"/>
    </row>
    <row r="834" spans="3:3">
      <c r="C834" s="150"/>
    </row>
    <row r="835" spans="3:3">
      <c r="C835" s="150"/>
    </row>
    <row r="836" spans="3:3">
      <c r="C836" s="150"/>
    </row>
    <row r="837" spans="3:3">
      <c r="C837" s="150"/>
    </row>
    <row r="838" spans="3:3">
      <c r="C838" s="150"/>
    </row>
    <row r="839" spans="3:3">
      <c r="C839" s="150"/>
    </row>
    <row r="840" spans="3:3">
      <c r="C840" s="150"/>
    </row>
    <row r="841" spans="3:3">
      <c r="C841" s="150"/>
    </row>
    <row r="842" spans="3:3">
      <c r="C842" s="150"/>
    </row>
    <row r="843" spans="3:3">
      <c r="C843" s="150"/>
    </row>
    <row r="844" spans="3:3">
      <c r="C844" s="150"/>
    </row>
    <row r="845" spans="3:3">
      <c r="C845" s="150"/>
    </row>
    <row r="846" spans="3:3">
      <c r="C846" s="150"/>
    </row>
    <row r="847" spans="3:3">
      <c r="C847" s="150"/>
    </row>
    <row r="848" spans="3:3">
      <c r="C848" s="150"/>
    </row>
    <row r="849" spans="3:3">
      <c r="C849" s="150"/>
    </row>
    <row r="850" spans="3:3">
      <c r="C850" s="150"/>
    </row>
    <row r="851" spans="3:3">
      <c r="C851" s="150"/>
    </row>
    <row r="852" spans="3:3">
      <c r="C852" s="150"/>
    </row>
    <row r="853" spans="3:3">
      <c r="C853" s="150"/>
    </row>
    <row r="854" spans="3:3">
      <c r="C854" s="150"/>
    </row>
    <row r="855" spans="3:3">
      <c r="C855" s="150"/>
    </row>
    <row r="856" spans="3:3">
      <c r="C856" s="150"/>
    </row>
    <row r="857" spans="3:3">
      <c r="C857" s="150"/>
    </row>
    <row r="858" spans="3:3">
      <c r="C858" s="150"/>
    </row>
    <row r="859" spans="3:3">
      <c r="C859" s="150"/>
    </row>
    <row r="860" spans="3:3">
      <c r="C860" s="150"/>
    </row>
    <row r="861" spans="3:3">
      <c r="C861" s="150"/>
    </row>
    <row r="862" spans="3:3">
      <c r="C862" s="150"/>
    </row>
    <row r="863" spans="3:3">
      <c r="C863" s="150"/>
    </row>
    <row r="864" spans="3:3">
      <c r="C864" s="150"/>
    </row>
    <row r="865" spans="3:3">
      <c r="C865" s="150"/>
    </row>
    <row r="866" spans="3:3">
      <c r="C866" s="150"/>
    </row>
    <row r="867" spans="3:3">
      <c r="C867" s="150"/>
    </row>
    <row r="868" spans="3:3">
      <c r="C868" s="150"/>
    </row>
    <row r="869" spans="3:3">
      <c r="C869" s="150"/>
    </row>
    <row r="870" spans="3:3">
      <c r="C870" s="150"/>
    </row>
    <row r="871" spans="3:3">
      <c r="C871" s="150"/>
    </row>
    <row r="872" spans="3:3">
      <c r="C872" s="150"/>
    </row>
    <row r="873" spans="3:3">
      <c r="C873" s="150"/>
    </row>
    <row r="874" spans="3:3">
      <c r="C874" s="150"/>
    </row>
    <row r="875" spans="3:3">
      <c r="C875" s="150"/>
    </row>
    <row r="876" spans="3:3">
      <c r="C876" s="150"/>
    </row>
    <row r="877" spans="3:3">
      <c r="C877" s="150"/>
    </row>
    <row r="878" spans="3:3">
      <c r="C878" s="150"/>
    </row>
    <row r="879" spans="3:3">
      <c r="C879" s="150"/>
    </row>
    <row r="880" spans="3:3">
      <c r="C880" s="150"/>
    </row>
    <row r="881" spans="3:3">
      <c r="C881" s="150"/>
    </row>
    <row r="882" spans="3:3">
      <c r="C882" s="150"/>
    </row>
    <row r="883" spans="3:3">
      <c r="C883" s="150"/>
    </row>
    <row r="884" spans="3:3">
      <c r="C884" s="150"/>
    </row>
    <row r="885" spans="3:3">
      <c r="C885" s="150"/>
    </row>
    <row r="886" spans="3:3">
      <c r="C886" s="150"/>
    </row>
    <row r="887" spans="3:3">
      <c r="C887" s="150"/>
    </row>
    <row r="888" spans="3:3">
      <c r="C888" s="150"/>
    </row>
    <row r="889" spans="3:3">
      <c r="C889" s="150"/>
    </row>
    <row r="890" spans="3:3">
      <c r="C890" s="150"/>
    </row>
    <row r="891" spans="3:3">
      <c r="C891" s="150"/>
    </row>
    <row r="892" spans="3:3">
      <c r="C892" s="150"/>
    </row>
    <row r="893" spans="3:3">
      <c r="C893" s="150"/>
    </row>
    <row r="894" spans="3:3">
      <c r="C894" s="150"/>
    </row>
    <row r="895" spans="3:3">
      <c r="C895" s="150"/>
    </row>
    <row r="896" spans="3:3">
      <c r="C896" s="150"/>
    </row>
    <row r="897" spans="3:3">
      <c r="C897" s="150"/>
    </row>
    <row r="898" spans="3:3">
      <c r="C898" s="150"/>
    </row>
    <row r="899" spans="3:3">
      <c r="C899" s="150"/>
    </row>
    <row r="900" spans="3:3">
      <c r="C900" s="150"/>
    </row>
    <row r="901" spans="3:3">
      <c r="C901" s="150"/>
    </row>
    <row r="902" spans="3:3">
      <c r="C902" s="150"/>
    </row>
    <row r="903" spans="3:3">
      <c r="C903" s="150"/>
    </row>
    <row r="904" spans="3:3">
      <c r="C904" s="150"/>
    </row>
    <row r="905" spans="3:3">
      <c r="C905" s="150"/>
    </row>
    <row r="906" spans="3:3">
      <c r="C906" s="150"/>
    </row>
    <row r="907" spans="3:3">
      <c r="C907" s="150"/>
    </row>
    <row r="908" spans="3:3">
      <c r="C908" s="150"/>
    </row>
    <row r="909" spans="3:3">
      <c r="C909" s="150"/>
    </row>
    <row r="910" spans="3:3">
      <c r="C910" s="150"/>
    </row>
    <row r="911" spans="3:3">
      <c r="C911" s="150"/>
    </row>
    <row r="912" spans="3:3">
      <c r="C912" s="150"/>
    </row>
    <row r="913" spans="3:3">
      <c r="C913" s="150"/>
    </row>
    <row r="914" spans="3:3">
      <c r="C914" s="150"/>
    </row>
    <row r="915" spans="3:3">
      <c r="C915" s="150"/>
    </row>
    <row r="916" spans="3:3">
      <c r="C916" s="150"/>
    </row>
    <row r="917" spans="3:3">
      <c r="C917" s="150"/>
    </row>
    <row r="918" spans="3:3">
      <c r="C918" s="150"/>
    </row>
    <row r="919" spans="3:3">
      <c r="C919" s="150"/>
    </row>
    <row r="920" spans="3:3">
      <c r="C920" s="150"/>
    </row>
    <row r="921" spans="3:3">
      <c r="C921" s="150"/>
    </row>
    <row r="922" spans="3:3">
      <c r="C922" s="150"/>
    </row>
    <row r="923" spans="3:3">
      <c r="C923" s="150"/>
    </row>
    <row r="924" spans="3:3">
      <c r="C924" s="150"/>
    </row>
    <row r="925" spans="3:3">
      <c r="C925" s="150"/>
    </row>
    <row r="926" spans="3:3">
      <c r="C926" s="150"/>
    </row>
    <row r="927" spans="3:3">
      <c r="C927" s="150"/>
    </row>
    <row r="928" spans="3:3">
      <c r="C928" s="150"/>
    </row>
    <row r="929" spans="3:3">
      <c r="C929" s="150"/>
    </row>
    <row r="930" spans="3:3">
      <c r="C930" s="150"/>
    </row>
    <row r="931" spans="3:3">
      <c r="C931" s="150"/>
    </row>
    <row r="932" spans="3:3">
      <c r="C932" s="150"/>
    </row>
    <row r="933" spans="3:3">
      <c r="C933" s="150"/>
    </row>
    <row r="934" spans="3:3">
      <c r="C934" s="150"/>
    </row>
    <row r="935" spans="3:3">
      <c r="C935" s="150"/>
    </row>
    <row r="936" spans="3:3">
      <c r="C936" s="150"/>
    </row>
    <row r="937" spans="3:3">
      <c r="C937" s="150"/>
    </row>
    <row r="938" spans="3:3">
      <c r="C938" s="150"/>
    </row>
    <row r="939" spans="3:3">
      <c r="C939" s="150"/>
    </row>
    <row r="940" spans="3:3">
      <c r="C940" s="150"/>
    </row>
    <row r="941" spans="3:3">
      <c r="C941" s="150"/>
    </row>
    <row r="942" spans="3:3">
      <c r="C942" s="150"/>
    </row>
    <row r="943" spans="3:3">
      <c r="C943" s="150"/>
    </row>
    <row r="944" spans="3:3">
      <c r="C944" s="150"/>
    </row>
    <row r="945" spans="3:3">
      <c r="C945" s="150"/>
    </row>
    <row r="946" spans="3:3">
      <c r="C946" s="150"/>
    </row>
    <row r="947" spans="3:3">
      <c r="C947" s="150"/>
    </row>
    <row r="948" spans="3:3">
      <c r="C948" s="150"/>
    </row>
    <row r="949" spans="3:3">
      <c r="C949" s="150"/>
    </row>
    <row r="950" spans="3:3">
      <c r="C950" s="150"/>
    </row>
    <row r="951" spans="3:3">
      <c r="C951" s="150"/>
    </row>
    <row r="952" spans="3:3">
      <c r="C952" s="150"/>
    </row>
    <row r="953" spans="3:3">
      <c r="C953" s="150"/>
    </row>
    <row r="954" spans="3:3">
      <c r="C954" s="150"/>
    </row>
    <row r="955" spans="3:3">
      <c r="C955" s="150"/>
    </row>
    <row r="956" spans="3:3">
      <c r="C956" s="150"/>
    </row>
    <row r="957" spans="3:3">
      <c r="C957" s="150"/>
    </row>
    <row r="958" spans="3:3">
      <c r="C958" s="150"/>
    </row>
    <row r="959" spans="3:3">
      <c r="C959" s="150"/>
    </row>
    <row r="960" spans="3:3">
      <c r="C960" s="150"/>
    </row>
    <row r="961" spans="3:3">
      <c r="C961" s="150"/>
    </row>
    <row r="962" spans="3:3">
      <c r="C962" s="150"/>
    </row>
    <row r="963" spans="3:3">
      <c r="C963" s="150"/>
    </row>
    <row r="964" spans="3:3">
      <c r="C964" s="150"/>
    </row>
    <row r="965" spans="3:3">
      <c r="C965" s="150"/>
    </row>
    <row r="966" spans="3:3">
      <c r="C966" s="150"/>
    </row>
    <row r="967" spans="3:3">
      <c r="C967" s="150"/>
    </row>
    <row r="968" spans="3:3">
      <c r="C968" s="150"/>
    </row>
    <row r="969" spans="3:3">
      <c r="C969" s="150"/>
    </row>
    <row r="970" spans="3:3">
      <c r="C970" s="150"/>
    </row>
    <row r="971" spans="3:3">
      <c r="C971" s="150"/>
    </row>
    <row r="972" spans="3:3">
      <c r="C972" s="150"/>
    </row>
    <row r="973" spans="3:3">
      <c r="C973" s="150"/>
    </row>
    <row r="974" spans="3:3">
      <c r="C974" s="150"/>
    </row>
    <row r="975" spans="3:3">
      <c r="C975" s="150"/>
    </row>
    <row r="976" spans="3:3">
      <c r="C976" s="150"/>
    </row>
    <row r="977" spans="3:3">
      <c r="C977" s="150"/>
    </row>
    <row r="978" spans="3:3">
      <c r="C978" s="150"/>
    </row>
    <row r="979" spans="3:3">
      <c r="C979" s="150"/>
    </row>
    <row r="980" spans="3:3">
      <c r="C980" s="150"/>
    </row>
    <row r="981" spans="3:3">
      <c r="C981" s="150"/>
    </row>
    <row r="982" spans="3:3">
      <c r="C982" s="150"/>
    </row>
    <row r="983" spans="3:3">
      <c r="C983" s="150"/>
    </row>
  </sheetData>
  <pageMargins left="0.511811024" right="0.511811024" top="0.78740157499999996" bottom="0.78740157499999996"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D999"/>
  <sheetViews>
    <sheetView workbookViewId="0"/>
  </sheetViews>
  <sheetFormatPr defaultColWidth="14.42578125" defaultRowHeight="15" customHeight="1"/>
  <sheetData>
    <row r="1" spans="1:4" ht="15" customHeight="1">
      <c r="C1" s="150"/>
    </row>
    <row r="2" spans="1:4" ht="15" customHeight="1">
      <c r="C2" s="150"/>
    </row>
    <row r="3" spans="1:4" ht="15" customHeight="1">
      <c r="B3" s="49" t="s">
        <v>1594</v>
      </c>
      <c r="C3" s="150"/>
    </row>
    <row r="4" spans="1:4" ht="15" customHeight="1">
      <c r="A4" s="428">
        <v>45597</v>
      </c>
      <c r="B4" s="49" t="s">
        <v>1088</v>
      </c>
      <c r="C4" s="150">
        <v>1990</v>
      </c>
      <c r="D4" s="49" t="s">
        <v>2244</v>
      </c>
    </row>
    <row r="5" spans="1:4" ht="15" customHeight="1">
      <c r="A5" s="276">
        <v>45597</v>
      </c>
      <c r="B5" s="49" t="s">
        <v>1563</v>
      </c>
      <c r="C5" s="150">
        <f>1824.33+2069.89</f>
        <v>3894.22</v>
      </c>
      <c r="D5" s="49"/>
    </row>
    <row r="6" spans="1:4" ht="15" customHeight="1">
      <c r="A6" s="276">
        <v>45600</v>
      </c>
      <c r="B6" s="49" t="s">
        <v>1088</v>
      </c>
      <c r="C6" s="150">
        <v>3000</v>
      </c>
      <c r="D6" s="49" t="s">
        <v>2244</v>
      </c>
    </row>
    <row r="7" spans="1:4" ht="15" customHeight="1">
      <c r="A7" s="428">
        <v>45600</v>
      </c>
      <c r="B7" s="49" t="s">
        <v>90</v>
      </c>
      <c r="C7" s="150">
        <v>10562.33</v>
      </c>
    </row>
    <row r="8" spans="1:4" ht="15" customHeight="1">
      <c r="A8" s="428">
        <v>45604</v>
      </c>
      <c r="B8" s="49" t="s">
        <v>1088</v>
      </c>
      <c r="C8" s="150">
        <v>15000</v>
      </c>
    </row>
    <row r="9" spans="1:4" ht="15" customHeight="1">
      <c r="A9" s="428">
        <v>45607</v>
      </c>
      <c r="B9" s="49" t="s">
        <v>1088</v>
      </c>
      <c r="C9" s="150">
        <v>2500</v>
      </c>
    </row>
    <row r="10" spans="1:4" ht="15" customHeight="1">
      <c r="A10" s="428">
        <v>45610</v>
      </c>
      <c r="B10" s="49" t="s">
        <v>1088</v>
      </c>
      <c r="C10" s="150">
        <v>12500</v>
      </c>
    </row>
    <row r="11" spans="1:4" ht="15" customHeight="1">
      <c r="A11" s="428">
        <v>45610</v>
      </c>
      <c r="B11" s="49" t="s">
        <v>2245</v>
      </c>
      <c r="C11" s="150">
        <v>1975</v>
      </c>
      <c r="D11" s="49" t="s">
        <v>2246</v>
      </c>
    </row>
    <row r="12" spans="1:4" ht="15" customHeight="1">
      <c r="A12" s="428">
        <v>45615</v>
      </c>
      <c r="B12" s="49" t="s">
        <v>2245</v>
      </c>
      <c r="C12" s="150">
        <v>2176.33</v>
      </c>
      <c r="D12" s="49" t="s">
        <v>2247</v>
      </c>
    </row>
    <row r="13" spans="1:4" ht="15" customHeight="1">
      <c r="A13" s="428">
        <v>45617</v>
      </c>
      <c r="B13" s="49" t="s">
        <v>1088</v>
      </c>
      <c r="C13" s="150">
        <v>6000</v>
      </c>
    </row>
    <row r="14" spans="1:4" ht="15" customHeight="1">
      <c r="A14" s="428">
        <v>45624</v>
      </c>
      <c r="B14" s="49" t="s">
        <v>1088</v>
      </c>
      <c r="C14" s="150">
        <v>4000</v>
      </c>
    </row>
    <row r="15" spans="1:4" ht="15" customHeight="1">
      <c r="A15" s="276">
        <v>45633</v>
      </c>
      <c r="B15" s="49" t="s">
        <v>1563</v>
      </c>
      <c r="C15" s="150">
        <v>596</v>
      </c>
    </row>
    <row r="16" spans="1:4" ht="15" customHeight="1">
      <c r="A16" s="276">
        <v>45633</v>
      </c>
      <c r="B16" s="49" t="s">
        <v>90</v>
      </c>
      <c r="C16" s="150">
        <v>4502</v>
      </c>
    </row>
    <row r="17" spans="1:4" ht="15" customHeight="1">
      <c r="A17" s="276">
        <v>45633</v>
      </c>
      <c r="B17" s="49" t="s">
        <v>1088</v>
      </c>
      <c r="C17" s="150">
        <v>5000</v>
      </c>
    </row>
    <row r="18" spans="1:4" ht="15" customHeight="1">
      <c r="A18" s="428">
        <v>45636</v>
      </c>
      <c r="B18" s="49" t="s">
        <v>1088</v>
      </c>
      <c r="C18" s="150">
        <v>10000</v>
      </c>
    </row>
    <row r="19" spans="1:4" ht="15" customHeight="1">
      <c r="A19" s="428">
        <v>45638</v>
      </c>
      <c r="B19" s="49" t="s">
        <v>1088</v>
      </c>
      <c r="C19" s="150">
        <v>10000</v>
      </c>
    </row>
    <row r="20" spans="1:4" ht="15" customHeight="1">
      <c r="A20" s="428">
        <v>45639</v>
      </c>
      <c r="B20" s="49" t="s">
        <v>1088</v>
      </c>
      <c r="C20" s="150">
        <v>10000</v>
      </c>
    </row>
    <row r="21" spans="1:4" ht="15" customHeight="1">
      <c r="A21" s="429">
        <v>45643</v>
      </c>
      <c r="B21" s="343" t="s">
        <v>1088</v>
      </c>
      <c r="C21" s="344">
        <v>5000</v>
      </c>
      <c r="D21" s="343"/>
    </row>
    <row r="22" spans="1:4" ht="15" customHeight="1">
      <c r="C22" s="150"/>
    </row>
    <row r="23" spans="1:4" ht="15" customHeight="1">
      <c r="C23" s="150"/>
    </row>
    <row r="24" spans="1:4" ht="15" customHeight="1">
      <c r="C24" s="150"/>
    </row>
    <row r="25" spans="1:4" ht="15" customHeight="1">
      <c r="C25" s="150"/>
    </row>
    <row r="26" spans="1:4" ht="15" customHeight="1">
      <c r="C26" s="150"/>
    </row>
    <row r="27" spans="1:4" ht="15" customHeight="1">
      <c r="C27" s="150"/>
    </row>
    <row r="28" spans="1:4" ht="15" customHeight="1">
      <c r="C28" s="150"/>
    </row>
    <row r="29" spans="1:4" ht="15" customHeight="1">
      <c r="C29" s="150"/>
    </row>
    <row r="30" spans="1:4" ht="15" customHeight="1">
      <c r="C30" s="150"/>
    </row>
    <row r="31" spans="1:4" ht="15" customHeight="1">
      <c r="C31" s="150"/>
    </row>
    <row r="32" spans="1:4" ht="15" customHeight="1">
      <c r="C32" s="150"/>
    </row>
    <row r="33" spans="3:3" ht="15" customHeight="1">
      <c r="C33" s="150"/>
    </row>
    <row r="34" spans="3:3" ht="15" customHeight="1">
      <c r="C34" s="150"/>
    </row>
    <row r="35" spans="3:3" ht="15" customHeight="1">
      <c r="C35" s="150"/>
    </row>
    <row r="36" spans="3:3" ht="15" customHeight="1">
      <c r="C36" s="150"/>
    </row>
    <row r="37" spans="3:3" ht="15" customHeight="1">
      <c r="C37" s="150"/>
    </row>
    <row r="38" spans="3:3">
      <c r="C38" s="150"/>
    </row>
    <row r="39" spans="3:3">
      <c r="C39" s="150"/>
    </row>
    <row r="40" spans="3:3">
      <c r="C40" s="150"/>
    </row>
    <row r="41" spans="3:3">
      <c r="C41" s="150"/>
    </row>
    <row r="42" spans="3:3">
      <c r="C42" s="150"/>
    </row>
    <row r="43" spans="3:3">
      <c r="C43" s="150"/>
    </row>
    <row r="44" spans="3:3">
      <c r="C44" s="150"/>
    </row>
    <row r="45" spans="3:3">
      <c r="C45" s="150"/>
    </row>
    <row r="46" spans="3:3">
      <c r="C46" s="150"/>
    </row>
    <row r="47" spans="3:3">
      <c r="C47" s="150"/>
    </row>
    <row r="48" spans="3:3">
      <c r="C48" s="150"/>
    </row>
    <row r="49" spans="3:3">
      <c r="C49" s="150"/>
    </row>
    <row r="50" spans="3:3">
      <c r="C50" s="150"/>
    </row>
    <row r="51" spans="3:3">
      <c r="C51" s="150"/>
    </row>
    <row r="52" spans="3:3">
      <c r="C52" s="150"/>
    </row>
    <row r="53" spans="3:3">
      <c r="C53" s="150"/>
    </row>
    <row r="54" spans="3:3">
      <c r="C54" s="150"/>
    </row>
    <row r="55" spans="3:3">
      <c r="C55" s="150"/>
    </row>
    <row r="56" spans="3:3">
      <c r="C56" s="150"/>
    </row>
    <row r="57" spans="3:3">
      <c r="C57" s="150"/>
    </row>
    <row r="58" spans="3:3">
      <c r="C58" s="150"/>
    </row>
    <row r="59" spans="3:3">
      <c r="C59" s="150"/>
    </row>
    <row r="60" spans="3:3">
      <c r="C60" s="150"/>
    </row>
    <row r="61" spans="3:3">
      <c r="C61" s="150"/>
    </row>
    <row r="62" spans="3:3">
      <c r="C62" s="150"/>
    </row>
    <row r="63" spans="3:3">
      <c r="C63" s="150"/>
    </row>
    <row r="64" spans="3:3">
      <c r="C64" s="150"/>
    </row>
    <row r="65" spans="3:3">
      <c r="C65" s="150"/>
    </row>
    <row r="66" spans="3:3">
      <c r="C66" s="150"/>
    </row>
    <row r="67" spans="3:3">
      <c r="C67" s="150"/>
    </row>
    <row r="68" spans="3:3">
      <c r="C68" s="150"/>
    </row>
    <row r="69" spans="3:3">
      <c r="C69" s="150"/>
    </row>
    <row r="70" spans="3:3">
      <c r="C70" s="150"/>
    </row>
    <row r="71" spans="3:3">
      <c r="C71" s="150"/>
    </row>
    <row r="72" spans="3:3">
      <c r="C72" s="150"/>
    </row>
    <row r="73" spans="3:3">
      <c r="C73" s="150"/>
    </row>
    <row r="74" spans="3:3">
      <c r="C74" s="150"/>
    </row>
    <row r="75" spans="3:3">
      <c r="C75" s="150"/>
    </row>
    <row r="76" spans="3:3">
      <c r="C76" s="150"/>
    </row>
    <row r="77" spans="3:3">
      <c r="C77" s="150"/>
    </row>
    <row r="78" spans="3:3">
      <c r="C78" s="150"/>
    </row>
    <row r="79" spans="3:3">
      <c r="C79" s="150"/>
    </row>
    <row r="80" spans="3:3">
      <c r="C80" s="150"/>
    </row>
    <row r="81" spans="3:3">
      <c r="C81" s="150"/>
    </row>
    <row r="82" spans="3:3">
      <c r="C82" s="150"/>
    </row>
    <row r="83" spans="3:3">
      <c r="C83" s="150"/>
    </row>
    <row r="84" spans="3:3">
      <c r="C84" s="150"/>
    </row>
    <row r="85" spans="3:3">
      <c r="C85" s="150"/>
    </row>
    <row r="86" spans="3:3">
      <c r="C86" s="150"/>
    </row>
    <row r="87" spans="3:3">
      <c r="C87" s="150"/>
    </row>
    <row r="88" spans="3:3">
      <c r="C88" s="150"/>
    </row>
    <row r="89" spans="3:3">
      <c r="C89" s="150"/>
    </row>
    <row r="90" spans="3:3">
      <c r="C90" s="150"/>
    </row>
    <row r="91" spans="3:3">
      <c r="C91" s="150"/>
    </row>
    <row r="92" spans="3:3">
      <c r="C92" s="150"/>
    </row>
    <row r="93" spans="3:3">
      <c r="C93" s="150"/>
    </row>
    <row r="94" spans="3:3">
      <c r="C94" s="150"/>
    </row>
    <row r="95" spans="3:3">
      <c r="C95" s="150"/>
    </row>
    <row r="96" spans="3:3">
      <c r="C96" s="150"/>
    </row>
    <row r="97" spans="3:3">
      <c r="C97" s="150"/>
    </row>
    <row r="98" spans="3:3">
      <c r="C98" s="150"/>
    </row>
    <row r="99" spans="3:3">
      <c r="C99" s="150"/>
    </row>
    <row r="100" spans="3:3">
      <c r="C100" s="150"/>
    </row>
    <row r="101" spans="3:3">
      <c r="C101" s="150"/>
    </row>
    <row r="102" spans="3:3">
      <c r="C102" s="150"/>
    </row>
    <row r="103" spans="3:3">
      <c r="C103" s="150"/>
    </row>
    <row r="104" spans="3:3">
      <c r="C104" s="150"/>
    </row>
    <row r="105" spans="3:3">
      <c r="C105" s="150"/>
    </row>
    <row r="106" spans="3:3">
      <c r="C106" s="150"/>
    </row>
    <row r="107" spans="3:3">
      <c r="C107" s="150"/>
    </row>
    <row r="108" spans="3:3">
      <c r="C108" s="150"/>
    </row>
    <row r="109" spans="3:3">
      <c r="C109" s="150"/>
    </row>
    <row r="110" spans="3:3">
      <c r="C110" s="150"/>
    </row>
    <row r="111" spans="3:3">
      <c r="C111" s="150"/>
    </row>
    <row r="112" spans="3:3">
      <c r="C112" s="150"/>
    </row>
    <row r="113" spans="3:3">
      <c r="C113" s="150"/>
    </row>
    <row r="114" spans="3:3">
      <c r="C114" s="150"/>
    </row>
    <row r="115" spans="3:3">
      <c r="C115" s="150"/>
    </row>
    <row r="116" spans="3:3">
      <c r="C116" s="150"/>
    </row>
    <row r="117" spans="3:3">
      <c r="C117" s="150"/>
    </row>
    <row r="118" spans="3:3">
      <c r="C118" s="150"/>
    </row>
    <row r="119" spans="3:3">
      <c r="C119" s="150"/>
    </row>
    <row r="120" spans="3:3">
      <c r="C120" s="150"/>
    </row>
    <row r="121" spans="3:3">
      <c r="C121" s="150"/>
    </row>
    <row r="122" spans="3:3">
      <c r="C122" s="150"/>
    </row>
    <row r="123" spans="3:3">
      <c r="C123" s="150"/>
    </row>
    <row r="124" spans="3:3">
      <c r="C124" s="150"/>
    </row>
    <row r="125" spans="3:3">
      <c r="C125" s="150"/>
    </row>
    <row r="126" spans="3:3">
      <c r="C126" s="150"/>
    </row>
    <row r="127" spans="3:3">
      <c r="C127" s="150"/>
    </row>
    <row r="128" spans="3:3">
      <c r="C128" s="150"/>
    </row>
    <row r="129" spans="3:3">
      <c r="C129" s="150"/>
    </row>
    <row r="130" spans="3:3">
      <c r="C130" s="150"/>
    </row>
    <row r="131" spans="3:3">
      <c r="C131" s="150"/>
    </row>
    <row r="132" spans="3:3">
      <c r="C132" s="150"/>
    </row>
    <row r="133" spans="3:3">
      <c r="C133" s="150"/>
    </row>
    <row r="134" spans="3:3">
      <c r="C134" s="150"/>
    </row>
    <row r="135" spans="3:3">
      <c r="C135" s="150"/>
    </row>
    <row r="136" spans="3:3">
      <c r="C136" s="150"/>
    </row>
    <row r="137" spans="3:3">
      <c r="C137" s="150"/>
    </row>
    <row r="138" spans="3:3">
      <c r="C138" s="150"/>
    </row>
    <row r="139" spans="3:3">
      <c r="C139" s="150"/>
    </row>
    <row r="140" spans="3:3">
      <c r="C140" s="150"/>
    </row>
    <row r="141" spans="3:3">
      <c r="C141" s="150"/>
    </row>
    <row r="142" spans="3:3">
      <c r="C142" s="150"/>
    </row>
    <row r="143" spans="3:3">
      <c r="C143" s="150"/>
    </row>
    <row r="144" spans="3:3">
      <c r="C144" s="150"/>
    </row>
    <row r="145" spans="3:3">
      <c r="C145" s="150"/>
    </row>
    <row r="146" spans="3:3">
      <c r="C146" s="150"/>
    </row>
    <row r="147" spans="3:3">
      <c r="C147" s="150"/>
    </row>
    <row r="148" spans="3:3">
      <c r="C148" s="150"/>
    </row>
    <row r="149" spans="3:3">
      <c r="C149" s="150"/>
    </row>
    <row r="150" spans="3:3">
      <c r="C150" s="150"/>
    </row>
    <row r="151" spans="3:3">
      <c r="C151" s="150"/>
    </row>
    <row r="152" spans="3:3">
      <c r="C152" s="150"/>
    </row>
    <row r="153" spans="3:3">
      <c r="C153" s="150"/>
    </row>
    <row r="154" spans="3:3">
      <c r="C154" s="150"/>
    </row>
    <row r="155" spans="3:3">
      <c r="C155" s="150"/>
    </row>
    <row r="156" spans="3:3">
      <c r="C156" s="150"/>
    </row>
    <row r="157" spans="3:3">
      <c r="C157" s="150"/>
    </row>
    <row r="158" spans="3:3">
      <c r="C158" s="150"/>
    </row>
    <row r="159" spans="3:3">
      <c r="C159" s="150"/>
    </row>
    <row r="160" spans="3:3">
      <c r="C160" s="150"/>
    </row>
    <row r="161" spans="3:3">
      <c r="C161" s="150"/>
    </row>
    <row r="162" spans="3:3">
      <c r="C162" s="150"/>
    </row>
    <row r="163" spans="3:3">
      <c r="C163" s="150"/>
    </row>
    <row r="164" spans="3:3">
      <c r="C164" s="150"/>
    </row>
    <row r="165" spans="3:3">
      <c r="C165" s="150"/>
    </row>
    <row r="166" spans="3:3">
      <c r="C166" s="150"/>
    </row>
    <row r="167" spans="3:3">
      <c r="C167" s="150"/>
    </row>
    <row r="168" spans="3:3">
      <c r="C168" s="150"/>
    </row>
    <row r="169" spans="3:3">
      <c r="C169" s="150"/>
    </row>
    <row r="170" spans="3:3">
      <c r="C170" s="150"/>
    </row>
    <row r="171" spans="3:3">
      <c r="C171" s="150"/>
    </row>
    <row r="172" spans="3:3">
      <c r="C172" s="150"/>
    </row>
    <row r="173" spans="3:3">
      <c r="C173" s="150"/>
    </row>
    <row r="174" spans="3:3">
      <c r="C174" s="150"/>
    </row>
    <row r="175" spans="3:3">
      <c r="C175" s="150"/>
    </row>
    <row r="176" spans="3:3">
      <c r="C176" s="150"/>
    </row>
    <row r="177" spans="3:3">
      <c r="C177" s="150"/>
    </row>
    <row r="178" spans="3:3">
      <c r="C178" s="150"/>
    </row>
    <row r="179" spans="3:3">
      <c r="C179" s="150"/>
    </row>
    <row r="180" spans="3:3">
      <c r="C180" s="150"/>
    </row>
    <row r="181" spans="3:3">
      <c r="C181" s="150"/>
    </row>
    <row r="182" spans="3:3">
      <c r="C182" s="150"/>
    </row>
    <row r="183" spans="3:3">
      <c r="C183" s="150"/>
    </row>
    <row r="184" spans="3:3">
      <c r="C184" s="150"/>
    </row>
    <row r="185" spans="3:3">
      <c r="C185" s="150"/>
    </row>
    <row r="186" spans="3:3">
      <c r="C186" s="150"/>
    </row>
    <row r="187" spans="3:3">
      <c r="C187" s="150"/>
    </row>
    <row r="188" spans="3:3">
      <c r="C188" s="150"/>
    </row>
    <row r="189" spans="3:3">
      <c r="C189" s="150"/>
    </row>
    <row r="190" spans="3:3">
      <c r="C190" s="150"/>
    </row>
    <row r="191" spans="3:3">
      <c r="C191" s="150"/>
    </row>
    <row r="192" spans="3:3">
      <c r="C192" s="150"/>
    </row>
    <row r="193" spans="3:3">
      <c r="C193" s="150"/>
    </row>
    <row r="194" spans="3:3">
      <c r="C194" s="150"/>
    </row>
    <row r="195" spans="3:3">
      <c r="C195" s="150"/>
    </row>
    <row r="196" spans="3:3">
      <c r="C196" s="150"/>
    </row>
    <row r="197" spans="3:3">
      <c r="C197" s="150"/>
    </row>
    <row r="198" spans="3:3">
      <c r="C198" s="150"/>
    </row>
    <row r="199" spans="3:3">
      <c r="C199" s="150"/>
    </row>
    <row r="200" spans="3:3">
      <c r="C200" s="150"/>
    </row>
    <row r="201" spans="3:3">
      <c r="C201" s="150"/>
    </row>
    <row r="202" spans="3:3">
      <c r="C202" s="150"/>
    </row>
    <row r="203" spans="3:3">
      <c r="C203" s="150"/>
    </row>
    <row r="204" spans="3:3">
      <c r="C204" s="150"/>
    </row>
    <row r="205" spans="3:3">
      <c r="C205" s="150"/>
    </row>
    <row r="206" spans="3:3">
      <c r="C206" s="150"/>
    </row>
    <row r="207" spans="3:3">
      <c r="C207" s="150"/>
    </row>
    <row r="208" spans="3:3">
      <c r="C208" s="150"/>
    </row>
    <row r="209" spans="3:3">
      <c r="C209" s="150"/>
    </row>
    <row r="210" spans="3:3">
      <c r="C210" s="150"/>
    </row>
    <row r="211" spans="3:3">
      <c r="C211" s="150"/>
    </row>
    <row r="212" spans="3:3">
      <c r="C212" s="150"/>
    </row>
    <row r="213" spans="3:3">
      <c r="C213" s="150"/>
    </row>
    <row r="214" spans="3:3">
      <c r="C214" s="150"/>
    </row>
    <row r="215" spans="3:3">
      <c r="C215" s="150"/>
    </row>
    <row r="216" spans="3:3">
      <c r="C216" s="150"/>
    </row>
    <row r="217" spans="3:3">
      <c r="C217" s="150"/>
    </row>
    <row r="218" spans="3:3">
      <c r="C218" s="150"/>
    </row>
    <row r="219" spans="3:3">
      <c r="C219" s="150"/>
    </row>
    <row r="220" spans="3:3">
      <c r="C220" s="150"/>
    </row>
    <row r="221" spans="3:3">
      <c r="C221" s="150"/>
    </row>
    <row r="222" spans="3:3">
      <c r="C222" s="150"/>
    </row>
    <row r="223" spans="3:3">
      <c r="C223" s="150"/>
    </row>
    <row r="224" spans="3:3">
      <c r="C224" s="150"/>
    </row>
    <row r="225" spans="3:3">
      <c r="C225" s="150"/>
    </row>
    <row r="226" spans="3:3">
      <c r="C226" s="150"/>
    </row>
    <row r="227" spans="3:3">
      <c r="C227" s="150"/>
    </row>
    <row r="228" spans="3:3">
      <c r="C228" s="150"/>
    </row>
    <row r="229" spans="3:3">
      <c r="C229" s="150"/>
    </row>
    <row r="230" spans="3:3">
      <c r="C230" s="150"/>
    </row>
    <row r="231" spans="3:3">
      <c r="C231" s="150"/>
    </row>
    <row r="232" spans="3:3">
      <c r="C232" s="150"/>
    </row>
    <row r="233" spans="3:3">
      <c r="C233" s="150"/>
    </row>
    <row r="234" spans="3:3">
      <c r="C234" s="150"/>
    </row>
    <row r="235" spans="3:3">
      <c r="C235" s="150"/>
    </row>
    <row r="236" spans="3:3">
      <c r="C236" s="150"/>
    </row>
    <row r="237" spans="3:3">
      <c r="C237" s="150"/>
    </row>
    <row r="238" spans="3:3">
      <c r="C238" s="150"/>
    </row>
    <row r="239" spans="3:3">
      <c r="C239" s="150"/>
    </row>
    <row r="240" spans="3:3">
      <c r="C240" s="150"/>
    </row>
    <row r="241" spans="3:3">
      <c r="C241" s="150"/>
    </row>
    <row r="242" spans="3:3">
      <c r="C242" s="150"/>
    </row>
    <row r="243" spans="3:3">
      <c r="C243" s="150"/>
    </row>
    <row r="244" spans="3:3">
      <c r="C244" s="150"/>
    </row>
    <row r="245" spans="3:3">
      <c r="C245" s="150"/>
    </row>
    <row r="246" spans="3:3">
      <c r="C246" s="150"/>
    </row>
    <row r="247" spans="3:3">
      <c r="C247" s="150"/>
    </row>
    <row r="248" spans="3:3">
      <c r="C248" s="150"/>
    </row>
    <row r="249" spans="3:3">
      <c r="C249" s="150"/>
    </row>
    <row r="250" spans="3:3">
      <c r="C250" s="150"/>
    </row>
    <row r="251" spans="3:3">
      <c r="C251" s="150"/>
    </row>
    <row r="252" spans="3:3">
      <c r="C252" s="150"/>
    </row>
    <row r="253" spans="3:3">
      <c r="C253" s="150"/>
    </row>
    <row r="254" spans="3:3">
      <c r="C254" s="150"/>
    </row>
    <row r="255" spans="3:3">
      <c r="C255" s="150"/>
    </row>
    <row r="256" spans="3:3">
      <c r="C256" s="150"/>
    </row>
    <row r="257" spans="3:3">
      <c r="C257" s="150"/>
    </row>
    <row r="258" spans="3:3">
      <c r="C258" s="150"/>
    </row>
    <row r="259" spans="3:3">
      <c r="C259" s="150"/>
    </row>
    <row r="260" spans="3:3">
      <c r="C260" s="150"/>
    </row>
    <row r="261" spans="3:3">
      <c r="C261" s="150"/>
    </row>
    <row r="262" spans="3:3">
      <c r="C262" s="150"/>
    </row>
    <row r="263" spans="3:3">
      <c r="C263" s="150"/>
    </row>
    <row r="264" spans="3:3">
      <c r="C264" s="150"/>
    </row>
    <row r="265" spans="3:3">
      <c r="C265" s="150"/>
    </row>
    <row r="266" spans="3:3">
      <c r="C266" s="150"/>
    </row>
    <row r="267" spans="3:3">
      <c r="C267" s="150"/>
    </row>
    <row r="268" spans="3:3">
      <c r="C268" s="150"/>
    </row>
    <row r="269" spans="3:3">
      <c r="C269" s="150"/>
    </row>
    <row r="270" spans="3:3">
      <c r="C270" s="150"/>
    </row>
    <row r="271" spans="3:3">
      <c r="C271" s="150"/>
    </row>
    <row r="272" spans="3:3">
      <c r="C272" s="150"/>
    </row>
    <row r="273" spans="3:3">
      <c r="C273" s="150"/>
    </row>
    <row r="274" spans="3:3">
      <c r="C274" s="150"/>
    </row>
    <row r="275" spans="3:3">
      <c r="C275" s="150"/>
    </row>
    <row r="276" spans="3:3">
      <c r="C276" s="150"/>
    </row>
    <row r="277" spans="3:3">
      <c r="C277" s="150"/>
    </row>
    <row r="278" spans="3:3">
      <c r="C278" s="150"/>
    </row>
    <row r="279" spans="3:3">
      <c r="C279" s="150"/>
    </row>
    <row r="280" spans="3:3">
      <c r="C280" s="150"/>
    </row>
    <row r="281" spans="3:3">
      <c r="C281" s="150"/>
    </row>
    <row r="282" spans="3:3">
      <c r="C282" s="150"/>
    </row>
    <row r="283" spans="3:3">
      <c r="C283" s="150"/>
    </row>
    <row r="284" spans="3:3">
      <c r="C284" s="150"/>
    </row>
    <row r="285" spans="3:3">
      <c r="C285" s="150"/>
    </row>
    <row r="286" spans="3:3">
      <c r="C286" s="150"/>
    </row>
    <row r="287" spans="3:3">
      <c r="C287" s="150"/>
    </row>
    <row r="288" spans="3:3">
      <c r="C288" s="150"/>
    </row>
    <row r="289" spans="3:3">
      <c r="C289" s="150"/>
    </row>
    <row r="290" spans="3:3">
      <c r="C290" s="150"/>
    </row>
    <row r="291" spans="3:3">
      <c r="C291" s="150"/>
    </row>
    <row r="292" spans="3:3">
      <c r="C292" s="150"/>
    </row>
    <row r="293" spans="3:3">
      <c r="C293" s="150"/>
    </row>
    <row r="294" spans="3:3">
      <c r="C294" s="150"/>
    </row>
    <row r="295" spans="3:3">
      <c r="C295" s="150"/>
    </row>
    <row r="296" spans="3:3">
      <c r="C296" s="150"/>
    </row>
    <row r="297" spans="3:3">
      <c r="C297" s="150"/>
    </row>
    <row r="298" spans="3:3">
      <c r="C298" s="150"/>
    </row>
    <row r="299" spans="3:3">
      <c r="C299" s="150"/>
    </row>
    <row r="300" spans="3:3">
      <c r="C300" s="150"/>
    </row>
    <row r="301" spans="3:3">
      <c r="C301" s="150"/>
    </row>
    <row r="302" spans="3:3">
      <c r="C302" s="150"/>
    </row>
    <row r="303" spans="3:3">
      <c r="C303" s="150"/>
    </row>
    <row r="304" spans="3:3">
      <c r="C304" s="150"/>
    </row>
    <row r="305" spans="3:3">
      <c r="C305" s="150"/>
    </row>
    <row r="306" spans="3:3">
      <c r="C306" s="150"/>
    </row>
    <row r="307" spans="3:3">
      <c r="C307" s="150"/>
    </row>
    <row r="308" spans="3:3">
      <c r="C308" s="150"/>
    </row>
    <row r="309" spans="3:3">
      <c r="C309" s="150"/>
    </row>
    <row r="310" spans="3:3">
      <c r="C310" s="150"/>
    </row>
    <row r="311" spans="3:3">
      <c r="C311" s="150"/>
    </row>
    <row r="312" spans="3:3">
      <c r="C312" s="150"/>
    </row>
    <row r="313" spans="3:3">
      <c r="C313" s="150"/>
    </row>
    <row r="314" spans="3:3">
      <c r="C314" s="150"/>
    </row>
    <row r="315" spans="3:3">
      <c r="C315" s="150"/>
    </row>
    <row r="316" spans="3:3">
      <c r="C316" s="150"/>
    </row>
    <row r="317" spans="3:3">
      <c r="C317" s="150"/>
    </row>
    <row r="318" spans="3:3">
      <c r="C318" s="150"/>
    </row>
    <row r="319" spans="3:3">
      <c r="C319" s="150"/>
    </row>
    <row r="320" spans="3:3">
      <c r="C320" s="150"/>
    </row>
    <row r="321" spans="3:3">
      <c r="C321" s="150"/>
    </row>
    <row r="322" spans="3:3">
      <c r="C322" s="150"/>
    </row>
    <row r="323" spans="3:3">
      <c r="C323" s="150"/>
    </row>
    <row r="324" spans="3:3">
      <c r="C324" s="150"/>
    </row>
    <row r="325" spans="3:3">
      <c r="C325" s="150"/>
    </row>
    <row r="326" spans="3:3">
      <c r="C326" s="150"/>
    </row>
    <row r="327" spans="3:3">
      <c r="C327" s="150"/>
    </row>
    <row r="328" spans="3:3">
      <c r="C328" s="150"/>
    </row>
    <row r="329" spans="3:3">
      <c r="C329" s="150"/>
    </row>
    <row r="330" spans="3:3">
      <c r="C330" s="150"/>
    </row>
    <row r="331" spans="3:3">
      <c r="C331" s="150"/>
    </row>
    <row r="332" spans="3:3">
      <c r="C332" s="150"/>
    </row>
    <row r="333" spans="3:3">
      <c r="C333" s="150"/>
    </row>
    <row r="334" spans="3:3">
      <c r="C334" s="150"/>
    </row>
    <row r="335" spans="3:3">
      <c r="C335" s="150"/>
    </row>
    <row r="336" spans="3:3">
      <c r="C336" s="150"/>
    </row>
    <row r="337" spans="3:3">
      <c r="C337" s="150"/>
    </row>
    <row r="338" spans="3:3">
      <c r="C338" s="150"/>
    </row>
    <row r="339" spans="3:3">
      <c r="C339" s="150"/>
    </row>
    <row r="340" spans="3:3">
      <c r="C340" s="150"/>
    </row>
    <row r="341" spans="3:3">
      <c r="C341" s="150"/>
    </row>
    <row r="342" spans="3:3">
      <c r="C342" s="150"/>
    </row>
    <row r="343" spans="3:3">
      <c r="C343" s="150"/>
    </row>
    <row r="344" spans="3:3">
      <c r="C344" s="150"/>
    </row>
    <row r="345" spans="3:3">
      <c r="C345" s="150"/>
    </row>
    <row r="346" spans="3:3">
      <c r="C346" s="150"/>
    </row>
    <row r="347" spans="3:3">
      <c r="C347" s="150"/>
    </row>
    <row r="348" spans="3:3">
      <c r="C348" s="150"/>
    </row>
    <row r="349" spans="3:3">
      <c r="C349" s="150"/>
    </row>
    <row r="350" spans="3:3">
      <c r="C350" s="150"/>
    </row>
    <row r="351" spans="3:3">
      <c r="C351" s="150"/>
    </row>
    <row r="352" spans="3:3">
      <c r="C352" s="150"/>
    </row>
    <row r="353" spans="3:3">
      <c r="C353" s="150"/>
    </row>
    <row r="354" spans="3:3">
      <c r="C354" s="150"/>
    </row>
    <row r="355" spans="3:3">
      <c r="C355" s="150"/>
    </row>
    <row r="356" spans="3:3">
      <c r="C356" s="150"/>
    </row>
    <row r="357" spans="3:3">
      <c r="C357" s="150"/>
    </row>
    <row r="358" spans="3:3">
      <c r="C358" s="150"/>
    </row>
    <row r="359" spans="3:3">
      <c r="C359" s="150"/>
    </row>
    <row r="360" spans="3:3">
      <c r="C360" s="150"/>
    </row>
    <row r="361" spans="3:3">
      <c r="C361" s="150"/>
    </row>
    <row r="362" spans="3:3">
      <c r="C362" s="150"/>
    </row>
    <row r="363" spans="3:3">
      <c r="C363" s="150"/>
    </row>
    <row r="364" spans="3:3">
      <c r="C364" s="150"/>
    </row>
    <row r="365" spans="3:3">
      <c r="C365" s="150"/>
    </row>
    <row r="366" spans="3:3">
      <c r="C366" s="150"/>
    </row>
    <row r="367" spans="3:3">
      <c r="C367" s="150"/>
    </row>
    <row r="368" spans="3:3">
      <c r="C368" s="150"/>
    </row>
    <row r="369" spans="3:3">
      <c r="C369" s="150"/>
    </row>
    <row r="370" spans="3:3">
      <c r="C370" s="150"/>
    </row>
    <row r="371" spans="3:3">
      <c r="C371" s="150"/>
    </row>
    <row r="372" spans="3:3">
      <c r="C372" s="150"/>
    </row>
    <row r="373" spans="3:3">
      <c r="C373" s="150"/>
    </row>
    <row r="374" spans="3:3">
      <c r="C374" s="150"/>
    </row>
    <row r="375" spans="3:3">
      <c r="C375" s="150"/>
    </row>
    <row r="376" spans="3:3">
      <c r="C376" s="150"/>
    </row>
    <row r="377" spans="3:3">
      <c r="C377" s="150"/>
    </row>
    <row r="378" spans="3:3">
      <c r="C378" s="150"/>
    </row>
    <row r="379" spans="3:3">
      <c r="C379" s="150"/>
    </row>
    <row r="380" spans="3:3">
      <c r="C380" s="150"/>
    </row>
    <row r="381" spans="3:3">
      <c r="C381" s="150"/>
    </row>
    <row r="382" spans="3:3">
      <c r="C382" s="150"/>
    </row>
    <row r="383" spans="3:3">
      <c r="C383" s="150"/>
    </row>
    <row r="384" spans="3:3">
      <c r="C384" s="150"/>
    </row>
    <row r="385" spans="3:3">
      <c r="C385" s="150"/>
    </row>
    <row r="386" spans="3:3">
      <c r="C386" s="150"/>
    </row>
    <row r="387" spans="3:3">
      <c r="C387" s="150"/>
    </row>
    <row r="388" spans="3:3">
      <c r="C388" s="150"/>
    </row>
    <row r="389" spans="3:3">
      <c r="C389" s="150"/>
    </row>
    <row r="390" spans="3:3">
      <c r="C390" s="150"/>
    </row>
    <row r="391" spans="3:3">
      <c r="C391" s="150"/>
    </row>
    <row r="392" spans="3:3">
      <c r="C392" s="150"/>
    </row>
    <row r="393" spans="3:3">
      <c r="C393" s="150"/>
    </row>
    <row r="394" spans="3:3">
      <c r="C394" s="150"/>
    </row>
    <row r="395" spans="3:3">
      <c r="C395" s="150"/>
    </row>
    <row r="396" spans="3:3">
      <c r="C396" s="150"/>
    </row>
    <row r="397" spans="3:3">
      <c r="C397" s="150"/>
    </row>
    <row r="398" spans="3:3">
      <c r="C398" s="150"/>
    </row>
    <row r="399" spans="3:3">
      <c r="C399" s="150"/>
    </row>
    <row r="400" spans="3:3">
      <c r="C400" s="150"/>
    </row>
    <row r="401" spans="3:3">
      <c r="C401" s="150"/>
    </row>
    <row r="402" spans="3:3">
      <c r="C402" s="150"/>
    </row>
    <row r="403" spans="3:3">
      <c r="C403" s="150"/>
    </row>
    <row r="404" spans="3:3">
      <c r="C404" s="150"/>
    </row>
    <row r="405" spans="3:3">
      <c r="C405" s="150"/>
    </row>
    <row r="406" spans="3:3">
      <c r="C406" s="150"/>
    </row>
    <row r="407" spans="3:3">
      <c r="C407" s="150"/>
    </row>
    <row r="408" spans="3:3">
      <c r="C408" s="150"/>
    </row>
    <row r="409" spans="3:3">
      <c r="C409" s="150"/>
    </row>
    <row r="410" spans="3:3">
      <c r="C410" s="150"/>
    </row>
    <row r="411" spans="3:3">
      <c r="C411" s="150"/>
    </row>
    <row r="412" spans="3:3">
      <c r="C412" s="150"/>
    </row>
    <row r="413" spans="3:3">
      <c r="C413" s="150"/>
    </row>
    <row r="414" spans="3:3">
      <c r="C414" s="150"/>
    </row>
    <row r="415" spans="3:3">
      <c r="C415" s="150"/>
    </row>
    <row r="416" spans="3:3">
      <c r="C416" s="150"/>
    </row>
    <row r="417" spans="3:3">
      <c r="C417" s="150"/>
    </row>
    <row r="418" spans="3:3">
      <c r="C418" s="150"/>
    </row>
    <row r="419" spans="3:3">
      <c r="C419" s="150"/>
    </row>
    <row r="420" spans="3:3">
      <c r="C420" s="150"/>
    </row>
    <row r="421" spans="3:3">
      <c r="C421" s="150"/>
    </row>
    <row r="422" spans="3:3">
      <c r="C422" s="150"/>
    </row>
    <row r="423" spans="3:3">
      <c r="C423" s="150"/>
    </row>
    <row r="424" spans="3:3">
      <c r="C424" s="150"/>
    </row>
    <row r="425" spans="3:3">
      <c r="C425" s="150"/>
    </row>
    <row r="426" spans="3:3">
      <c r="C426" s="150"/>
    </row>
    <row r="427" spans="3:3">
      <c r="C427" s="150"/>
    </row>
    <row r="428" spans="3:3">
      <c r="C428" s="150"/>
    </row>
    <row r="429" spans="3:3">
      <c r="C429" s="150"/>
    </row>
    <row r="430" spans="3:3">
      <c r="C430" s="150"/>
    </row>
    <row r="431" spans="3:3">
      <c r="C431" s="150"/>
    </row>
    <row r="432" spans="3:3">
      <c r="C432" s="150"/>
    </row>
    <row r="433" spans="3:3">
      <c r="C433" s="150"/>
    </row>
    <row r="434" spans="3:3">
      <c r="C434" s="150"/>
    </row>
    <row r="435" spans="3:3">
      <c r="C435" s="150"/>
    </row>
    <row r="436" spans="3:3">
      <c r="C436" s="150"/>
    </row>
    <row r="437" spans="3:3">
      <c r="C437" s="150"/>
    </row>
    <row r="438" spans="3:3">
      <c r="C438" s="150"/>
    </row>
    <row r="439" spans="3:3">
      <c r="C439" s="150"/>
    </row>
    <row r="440" spans="3:3">
      <c r="C440" s="150"/>
    </row>
    <row r="441" spans="3:3">
      <c r="C441" s="150"/>
    </row>
    <row r="442" spans="3:3">
      <c r="C442" s="150"/>
    </row>
    <row r="443" spans="3:3">
      <c r="C443" s="150"/>
    </row>
    <row r="444" spans="3:3">
      <c r="C444" s="150"/>
    </row>
    <row r="445" spans="3:3">
      <c r="C445" s="150"/>
    </row>
    <row r="446" spans="3:3">
      <c r="C446" s="150"/>
    </row>
    <row r="447" spans="3:3">
      <c r="C447" s="150"/>
    </row>
    <row r="448" spans="3:3">
      <c r="C448" s="150"/>
    </row>
    <row r="449" spans="3:3">
      <c r="C449" s="150"/>
    </row>
    <row r="450" spans="3:3">
      <c r="C450" s="150"/>
    </row>
    <row r="451" spans="3:3">
      <c r="C451" s="150"/>
    </row>
    <row r="452" spans="3:3">
      <c r="C452" s="150"/>
    </row>
    <row r="453" spans="3:3">
      <c r="C453" s="150"/>
    </row>
    <row r="454" spans="3:3">
      <c r="C454" s="150"/>
    </row>
    <row r="455" spans="3:3">
      <c r="C455" s="150"/>
    </row>
    <row r="456" spans="3:3">
      <c r="C456" s="150"/>
    </row>
    <row r="457" spans="3:3">
      <c r="C457" s="150"/>
    </row>
    <row r="458" spans="3:3">
      <c r="C458" s="150"/>
    </row>
    <row r="459" spans="3:3">
      <c r="C459" s="150"/>
    </row>
    <row r="460" spans="3:3">
      <c r="C460" s="150"/>
    </row>
    <row r="461" spans="3:3">
      <c r="C461" s="150"/>
    </row>
    <row r="462" spans="3:3">
      <c r="C462" s="150"/>
    </row>
    <row r="463" spans="3:3">
      <c r="C463" s="150"/>
    </row>
    <row r="464" spans="3:3">
      <c r="C464" s="150"/>
    </row>
    <row r="465" spans="3:3">
      <c r="C465" s="150"/>
    </row>
    <row r="466" spans="3:3">
      <c r="C466" s="150"/>
    </row>
    <row r="467" spans="3:3">
      <c r="C467" s="150"/>
    </row>
    <row r="468" spans="3:3">
      <c r="C468" s="150"/>
    </row>
    <row r="469" spans="3:3">
      <c r="C469" s="150"/>
    </row>
    <row r="470" spans="3:3">
      <c r="C470" s="150"/>
    </row>
    <row r="471" spans="3:3">
      <c r="C471" s="150"/>
    </row>
    <row r="472" spans="3:3">
      <c r="C472" s="150"/>
    </row>
    <row r="473" spans="3:3">
      <c r="C473" s="150"/>
    </row>
    <row r="474" spans="3:3">
      <c r="C474" s="150"/>
    </row>
    <row r="475" spans="3:3">
      <c r="C475" s="150"/>
    </row>
    <row r="476" spans="3:3">
      <c r="C476" s="150"/>
    </row>
    <row r="477" spans="3:3">
      <c r="C477" s="150"/>
    </row>
    <row r="478" spans="3:3">
      <c r="C478" s="150"/>
    </row>
    <row r="479" spans="3:3">
      <c r="C479" s="150"/>
    </row>
    <row r="480" spans="3:3">
      <c r="C480" s="150"/>
    </row>
    <row r="481" spans="3:3">
      <c r="C481" s="150"/>
    </row>
    <row r="482" spans="3:3">
      <c r="C482" s="150"/>
    </row>
    <row r="483" spans="3:3">
      <c r="C483" s="150"/>
    </row>
    <row r="484" spans="3:3">
      <c r="C484" s="150"/>
    </row>
    <row r="485" spans="3:3">
      <c r="C485" s="150"/>
    </row>
    <row r="486" spans="3:3">
      <c r="C486" s="150"/>
    </row>
    <row r="487" spans="3:3">
      <c r="C487" s="150"/>
    </row>
    <row r="488" spans="3:3">
      <c r="C488" s="150"/>
    </row>
    <row r="489" spans="3:3">
      <c r="C489" s="150"/>
    </row>
    <row r="490" spans="3:3">
      <c r="C490" s="150"/>
    </row>
    <row r="491" spans="3:3">
      <c r="C491" s="150"/>
    </row>
    <row r="492" spans="3:3">
      <c r="C492" s="150"/>
    </row>
    <row r="493" spans="3:3">
      <c r="C493" s="150"/>
    </row>
    <row r="494" spans="3:3">
      <c r="C494" s="150"/>
    </row>
    <row r="495" spans="3:3">
      <c r="C495" s="150"/>
    </row>
    <row r="496" spans="3:3">
      <c r="C496" s="150"/>
    </row>
    <row r="497" spans="3:3">
      <c r="C497" s="150"/>
    </row>
    <row r="498" spans="3:3">
      <c r="C498" s="150"/>
    </row>
    <row r="499" spans="3:3">
      <c r="C499" s="150"/>
    </row>
    <row r="500" spans="3:3">
      <c r="C500" s="150"/>
    </row>
    <row r="501" spans="3:3">
      <c r="C501" s="150"/>
    </row>
    <row r="502" spans="3:3">
      <c r="C502" s="150"/>
    </row>
    <row r="503" spans="3:3">
      <c r="C503" s="150"/>
    </row>
    <row r="504" spans="3:3">
      <c r="C504" s="150"/>
    </row>
    <row r="505" spans="3:3">
      <c r="C505" s="150"/>
    </row>
    <row r="506" spans="3:3">
      <c r="C506" s="150"/>
    </row>
    <row r="507" spans="3:3">
      <c r="C507" s="150"/>
    </row>
    <row r="508" spans="3:3">
      <c r="C508" s="150"/>
    </row>
    <row r="509" spans="3:3">
      <c r="C509" s="150"/>
    </row>
    <row r="510" spans="3:3">
      <c r="C510" s="150"/>
    </row>
    <row r="511" spans="3:3">
      <c r="C511" s="150"/>
    </row>
    <row r="512" spans="3:3">
      <c r="C512" s="150"/>
    </row>
    <row r="513" spans="3:3">
      <c r="C513" s="150"/>
    </row>
    <row r="514" spans="3:3">
      <c r="C514" s="150"/>
    </row>
    <row r="515" spans="3:3">
      <c r="C515" s="150"/>
    </row>
    <row r="516" spans="3:3">
      <c r="C516" s="150"/>
    </row>
    <row r="517" spans="3:3">
      <c r="C517" s="150"/>
    </row>
    <row r="518" spans="3:3">
      <c r="C518" s="150"/>
    </row>
    <row r="519" spans="3:3">
      <c r="C519" s="150"/>
    </row>
    <row r="520" spans="3:3">
      <c r="C520" s="150"/>
    </row>
    <row r="521" spans="3:3">
      <c r="C521" s="150"/>
    </row>
    <row r="522" spans="3:3">
      <c r="C522" s="150"/>
    </row>
    <row r="523" spans="3:3">
      <c r="C523" s="150"/>
    </row>
    <row r="524" spans="3:3">
      <c r="C524" s="150"/>
    </row>
    <row r="525" spans="3:3">
      <c r="C525" s="150"/>
    </row>
    <row r="526" spans="3:3">
      <c r="C526" s="150"/>
    </row>
    <row r="527" spans="3:3">
      <c r="C527" s="150"/>
    </row>
    <row r="528" spans="3:3">
      <c r="C528" s="150"/>
    </row>
    <row r="529" spans="3:3">
      <c r="C529" s="150"/>
    </row>
    <row r="530" spans="3:3">
      <c r="C530" s="150"/>
    </row>
    <row r="531" spans="3:3">
      <c r="C531" s="150"/>
    </row>
    <row r="532" spans="3:3">
      <c r="C532" s="150"/>
    </row>
    <row r="533" spans="3:3">
      <c r="C533" s="150"/>
    </row>
    <row r="534" spans="3:3">
      <c r="C534" s="150"/>
    </row>
    <row r="535" spans="3:3">
      <c r="C535" s="150"/>
    </row>
    <row r="536" spans="3:3">
      <c r="C536" s="150"/>
    </row>
    <row r="537" spans="3:3">
      <c r="C537" s="150"/>
    </row>
    <row r="538" spans="3:3">
      <c r="C538" s="150"/>
    </row>
    <row r="539" spans="3:3">
      <c r="C539" s="150"/>
    </row>
    <row r="540" spans="3:3">
      <c r="C540" s="150"/>
    </row>
    <row r="541" spans="3:3">
      <c r="C541" s="150"/>
    </row>
    <row r="542" spans="3:3">
      <c r="C542" s="150"/>
    </row>
    <row r="543" spans="3:3">
      <c r="C543" s="150"/>
    </row>
    <row r="544" spans="3:3">
      <c r="C544" s="150"/>
    </row>
    <row r="545" spans="3:3">
      <c r="C545" s="150"/>
    </row>
    <row r="546" spans="3:3">
      <c r="C546" s="150"/>
    </row>
    <row r="547" spans="3:3">
      <c r="C547" s="150"/>
    </row>
    <row r="548" spans="3:3">
      <c r="C548" s="150"/>
    </row>
    <row r="549" spans="3:3">
      <c r="C549" s="150"/>
    </row>
    <row r="550" spans="3:3">
      <c r="C550" s="150"/>
    </row>
    <row r="551" spans="3:3">
      <c r="C551" s="150"/>
    </row>
    <row r="552" spans="3:3">
      <c r="C552" s="150"/>
    </row>
    <row r="553" spans="3:3">
      <c r="C553" s="150"/>
    </row>
    <row r="554" spans="3:3">
      <c r="C554" s="150"/>
    </row>
    <row r="555" spans="3:3">
      <c r="C555" s="150"/>
    </row>
    <row r="556" spans="3:3">
      <c r="C556" s="150"/>
    </row>
    <row r="557" spans="3:3">
      <c r="C557" s="150"/>
    </row>
    <row r="558" spans="3:3">
      <c r="C558" s="150"/>
    </row>
    <row r="559" spans="3:3">
      <c r="C559" s="150"/>
    </row>
    <row r="560" spans="3:3">
      <c r="C560" s="150"/>
    </row>
    <row r="561" spans="3:3">
      <c r="C561" s="150"/>
    </row>
    <row r="562" spans="3:3">
      <c r="C562" s="150"/>
    </row>
    <row r="563" spans="3:3">
      <c r="C563" s="150"/>
    </row>
    <row r="564" spans="3:3">
      <c r="C564" s="150"/>
    </row>
    <row r="565" spans="3:3">
      <c r="C565" s="150"/>
    </row>
    <row r="566" spans="3:3">
      <c r="C566" s="150"/>
    </row>
    <row r="567" spans="3:3">
      <c r="C567" s="150"/>
    </row>
    <row r="568" spans="3:3">
      <c r="C568" s="150"/>
    </row>
    <row r="569" spans="3:3">
      <c r="C569" s="150"/>
    </row>
    <row r="570" spans="3:3">
      <c r="C570" s="150"/>
    </row>
    <row r="571" spans="3:3">
      <c r="C571" s="150"/>
    </row>
    <row r="572" spans="3:3">
      <c r="C572" s="150"/>
    </row>
    <row r="573" spans="3:3">
      <c r="C573" s="150"/>
    </row>
    <row r="574" spans="3:3">
      <c r="C574" s="150"/>
    </row>
    <row r="575" spans="3:3">
      <c r="C575" s="150"/>
    </row>
    <row r="576" spans="3:3">
      <c r="C576" s="150"/>
    </row>
    <row r="577" spans="3:3">
      <c r="C577" s="150"/>
    </row>
    <row r="578" spans="3:3">
      <c r="C578" s="150"/>
    </row>
    <row r="579" spans="3:3">
      <c r="C579" s="150"/>
    </row>
    <row r="580" spans="3:3">
      <c r="C580" s="150"/>
    </row>
    <row r="581" spans="3:3">
      <c r="C581" s="150"/>
    </row>
    <row r="582" spans="3:3">
      <c r="C582" s="150"/>
    </row>
    <row r="583" spans="3:3">
      <c r="C583" s="150"/>
    </row>
    <row r="584" spans="3:3">
      <c r="C584" s="150"/>
    </row>
    <row r="585" spans="3:3">
      <c r="C585" s="150"/>
    </row>
    <row r="586" spans="3:3">
      <c r="C586" s="150"/>
    </row>
    <row r="587" spans="3:3">
      <c r="C587" s="150"/>
    </row>
    <row r="588" spans="3:3">
      <c r="C588" s="150"/>
    </row>
    <row r="589" spans="3:3">
      <c r="C589" s="150"/>
    </row>
    <row r="590" spans="3:3">
      <c r="C590" s="150"/>
    </row>
    <row r="591" spans="3:3">
      <c r="C591" s="150"/>
    </row>
    <row r="592" spans="3:3">
      <c r="C592" s="150"/>
    </row>
    <row r="593" spans="3:3">
      <c r="C593" s="150"/>
    </row>
    <row r="594" spans="3:3">
      <c r="C594" s="150"/>
    </row>
    <row r="595" spans="3:3">
      <c r="C595" s="150"/>
    </row>
    <row r="596" spans="3:3">
      <c r="C596" s="150"/>
    </row>
    <row r="597" spans="3:3">
      <c r="C597" s="150"/>
    </row>
    <row r="598" spans="3:3">
      <c r="C598" s="150"/>
    </row>
    <row r="599" spans="3:3">
      <c r="C599" s="150"/>
    </row>
    <row r="600" spans="3:3">
      <c r="C600" s="150"/>
    </row>
    <row r="601" spans="3:3">
      <c r="C601" s="150"/>
    </row>
    <row r="602" spans="3:3">
      <c r="C602" s="150"/>
    </row>
    <row r="603" spans="3:3">
      <c r="C603" s="150"/>
    </row>
    <row r="604" spans="3:3">
      <c r="C604" s="150"/>
    </row>
    <row r="605" spans="3:3">
      <c r="C605" s="150"/>
    </row>
    <row r="606" spans="3:3">
      <c r="C606" s="150"/>
    </row>
    <row r="607" spans="3:3">
      <c r="C607" s="150"/>
    </row>
    <row r="608" spans="3:3">
      <c r="C608" s="150"/>
    </row>
    <row r="609" spans="3:3">
      <c r="C609" s="150"/>
    </row>
    <row r="610" spans="3:3">
      <c r="C610" s="150"/>
    </row>
    <row r="611" spans="3:3">
      <c r="C611" s="150"/>
    </row>
    <row r="612" spans="3:3">
      <c r="C612" s="150"/>
    </row>
    <row r="613" spans="3:3">
      <c r="C613" s="150"/>
    </row>
    <row r="614" spans="3:3">
      <c r="C614" s="150"/>
    </row>
    <row r="615" spans="3:3">
      <c r="C615" s="150"/>
    </row>
    <row r="616" spans="3:3">
      <c r="C616" s="150"/>
    </row>
    <row r="617" spans="3:3">
      <c r="C617" s="150"/>
    </row>
    <row r="618" spans="3:3">
      <c r="C618" s="150"/>
    </row>
    <row r="619" spans="3:3">
      <c r="C619" s="150"/>
    </row>
    <row r="620" spans="3:3">
      <c r="C620" s="150"/>
    </row>
    <row r="621" spans="3:3">
      <c r="C621" s="150"/>
    </row>
    <row r="622" spans="3:3">
      <c r="C622" s="150"/>
    </row>
    <row r="623" spans="3:3">
      <c r="C623" s="150"/>
    </row>
    <row r="624" spans="3:3">
      <c r="C624" s="150"/>
    </row>
    <row r="625" spans="3:3">
      <c r="C625" s="150"/>
    </row>
    <row r="626" spans="3:3">
      <c r="C626" s="150"/>
    </row>
    <row r="627" spans="3:3">
      <c r="C627" s="150"/>
    </row>
    <row r="628" spans="3:3">
      <c r="C628" s="150"/>
    </row>
    <row r="629" spans="3:3">
      <c r="C629" s="150"/>
    </row>
    <row r="630" spans="3:3">
      <c r="C630" s="150"/>
    </row>
    <row r="631" spans="3:3">
      <c r="C631" s="150"/>
    </row>
    <row r="632" spans="3:3">
      <c r="C632" s="150"/>
    </row>
    <row r="633" spans="3:3">
      <c r="C633" s="150"/>
    </row>
    <row r="634" spans="3:3">
      <c r="C634" s="150"/>
    </row>
    <row r="635" spans="3:3">
      <c r="C635" s="150"/>
    </row>
    <row r="636" spans="3:3">
      <c r="C636" s="150"/>
    </row>
    <row r="637" spans="3:3">
      <c r="C637" s="150"/>
    </row>
    <row r="638" spans="3:3">
      <c r="C638" s="150"/>
    </row>
    <row r="639" spans="3:3">
      <c r="C639" s="150"/>
    </row>
    <row r="640" spans="3:3">
      <c r="C640" s="150"/>
    </row>
    <row r="641" spans="3:3">
      <c r="C641" s="150"/>
    </row>
    <row r="642" spans="3:3">
      <c r="C642" s="150"/>
    </row>
    <row r="643" spans="3:3">
      <c r="C643" s="150"/>
    </row>
    <row r="644" spans="3:3">
      <c r="C644" s="150"/>
    </row>
    <row r="645" spans="3:3">
      <c r="C645" s="150"/>
    </row>
    <row r="646" spans="3:3">
      <c r="C646" s="150"/>
    </row>
    <row r="647" spans="3:3">
      <c r="C647" s="150"/>
    </row>
    <row r="648" spans="3:3">
      <c r="C648" s="150"/>
    </row>
    <row r="649" spans="3:3">
      <c r="C649" s="150"/>
    </row>
    <row r="650" spans="3:3">
      <c r="C650" s="150"/>
    </row>
    <row r="651" spans="3:3">
      <c r="C651" s="150"/>
    </row>
    <row r="652" spans="3:3">
      <c r="C652" s="150"/>
    </row>
    <row r="653" spans="3:3">
      <c r="C653" s="150"/>
    </row>
    <row r="654" spans="3:3">
      <c r="C654" s="150"/>
    </row>
    <row r="655" spans="3:3">
      <c r="C655" s="150"/>
    </row>
    <row r="656" spans="3:3">
      <c r="C656" s="150"/>
    </row>
    <row r="657" spans="3:3">
      <c r="C657" s="150"/>
    </row>
    <row r="658" spans="3:3">
      <c r="C658" s="150"/>
    </row>
    <row r="659" spans="3:3">
      <c r="C659" s="150"/>
    </row>
    <row r="660" spans="3:3">
      <c r="C660" s="150"/>
    </row>
    <row r="661" spans="3:3">
      <c r="C661" s="150"/>
    </row>
    <row r="662" spans="3:3">
      <c r="C662" s="150"/>
    </row>
    <row r="663" spans="3:3">
      <c r="C663" s="150"/>
    </row>
    <row r="664" spans="3:3">
      <c r="C664" s="150"/>
    </row>
    <row r="665" spans="3:3">
      <c r="C665" s="150"/>
    </row>
    <row r="666" spans="3:3">
      <c r="C666" s="150"/>
    </row>
    <row r="667" spans="3:3">
      <c r="C667" s="150"/>
    </row>
    <row r="668" spans="3:3">
      <c r="C668" s="150"/>
    </row>
    <row r="669" spans="3:3">
      <c r="C669" s="150"/>
    </row>
    <row r="670" spans="3:3">
      <c r="C670" s="150"/>
    </row>
    <row r="671" spans="3:3">
      <c r="C671" s="150"/>
    </row>
    <row r="672" spans="3:3">
      <c r="C672" s="150"/>
    </row>
    <row r="673" spans="3:3">
      <c r="C673" s="150"/>
    </row>
    <row r="674" spans="3:3">
      <c r="C674" s="150"/>
    </row>
    <row r="675" spans="3:3">
      <c r="C675" s="150"/>
    </row>
    <row r="676" spans="3:3">
      <c r="C676" s="150"/>
    </row>
    <row r="677" spans="3:3">
      <c r="C677" s="150"/>
    </row>
    <row r="678" spans="3:3">
      <c r="C678" s="150"/>
    </row>
    <row r="679" spans="3:3">
      <c r="C679" s="150"/>
    </row>
    <row r="680" spans="3:3">
      <c r="C680" s="150"/>
    </row>
    <row r="681" spans="3:3">
      <c r="C681" s="150"/>
    </row>
    <row r="682" spans="3:3">
      <c r="C682" s="150"/>
    </row>
    <row r="683" spans="3:3">
      <c r="C683" s="150"/>
    </row>
    <row r="684" spans="3:3">
      <c r="C684" s="150"/>
    </row>
    <row r="685" spans="3:3">
      <c r="C685" s="150"/>
    </row>
    <row r="686" spans="3:3">
      <c r="C686" s="150"/>
    </row>
    <row r="687" spans="3:3">
      <c r="C687" s="150"/>
    </row>
    <row r="688" spans="3:3">
      <c r="C688" s="150"/>
    </row>
    <row r="689" spans="3:3">
      <c r="C689" s="150"/>
    </row>
    <row r="690" spans="3:3">
      <c r="C690" s="150"/>
    </row>
    <row r="691" spans="3:3">
      <c r="C691" s="150"/>
    </row>
    <row r="692" spans="3:3">
      <c r="C692" s="150"/>
    </row>
    <row r="693" spans="3:3">
      <c r="C693" s="150"/>
    </row>
    <row r="694" spans="3:3">
      <c r="C694" s="150"/>
    </row>
    <row r="695" spans="3:3">
      <c r="C695" s="150"/>
    </row>
    <row r="696" spans="3:3">
      <c r="C696" s="150"/>
    </row>
    <row r="697" spans="3:3">
      <c r="C697" s="150"/>
    </row>
    <row r="698" spans="3:3">
      <c r="C698" s="150"/>
    </row>
    <row r="699" spans="3:3">
      <c r="C699" s="150"/>
    </row>
    <row r="700" spans="3:3">
      <c r="C700" s="150"/>
    </row>
    <row r="701" spans="3:3">
      <c r="C701" s="150"/>
    </row>
    <row r="702" spans="3:3">
      <c r="C702" s="150"/>
    </row>
    <row r="703" spans="3:3">
      <c r="C703" s="150"/>
    </row>
    <row r="704" spans="3:3">
      <c r="C704" s="150"/>
    </row>
    <row r="705" spans="3:3">
      <c r="C705" s="150"/>
    </row>
    <row r="706" spans="3:3">
      <c r="C706" s="150"/>
    </row>
    <row r="707" spans="3:3">
      <c r="C707" s="150"/>
    </row>
    <row r="708" spans="3:3">
      <c r="C708" s="150"/>
    </row>
    <row r="709" spans="3:3">
      <c r="C709" s="150"/>
    </row>
    <row r="710" spans="3:3">
      <c r="C710" s="150"/>
    </row>
    <row r="711" spans="3:3">
      <c r="C711" s="150"/>
    </row>
    <row r="712" spans="3:3">
      <c r="C712" s="150"/>
    </row>
    <row r="713" spans="3:3">
      <c r="C713" s="150"/>
    </row>
    <row r="714" spans="3:3">
      <c r="C714" s="150"/>
    </row>
    <row r="715" spans="3:3">
      <c r="C715" s="150"/>
    </row>
    <row r="716" spans="3:3">
      <c r="C716" s="150"/>
    </row>
    <row r="717" spans="3:3">
      <c r="C717" s="150"/>
    </row>
    <row r="718" spans="3:3">
      <c r="C718" s="150"/>
    </row>
    <row r="719" spans="3:3">
      <c r="C719" s="150"/>
    </row>
    <row r="720" spans="3:3">
      <c r="C720" s="150"/>
    </row>
    <row r="721" spans="3:3">
      <c r="C721" s="150"/>
    </row>
    <row r="722" spans="3:3">
      <c r="C722" s="150"/>
    </row>
    <row r="723" spans="3:3">
      <c r="C723" s="150"/>
    </row>
    <row r="724" spans="3:3">
      <c r="C724" s="150"/>
    </row>
    <row r="725" spans="3:3">
      <c r="C725" s="150"/>
    </row>
    <row r="726" spans="3:3">
      <c r="C726" s="150"/>
    </row>
    <row r="727" spans="3:3">
      <c r="C727" s="150"/>
    </row>
    <row r="728" spans="3:3">
      <c r="C728" s="150"/>
    </row>
    <row r="729" spans="3:3">
      <c r="C729" s="150"/>
    </row>
    <row r="730" spans="3:3">
      <c r="C730" s="150"/>
    </row>
    <row r="731" spans="3:3">
      <c r="C731" s="150"/>
    </row>
    <row r="732" spans="3:3">
      <c r="C732" s="150"/>
    </row>
    <row r="733" spans="3:3">
      <c r="C733" s="150"/>
    </row>
    <row r="734" spans="3:3">
      <c r="C734" s="150"/>
    </row>
    <row r="735" spans="3:3">
      <c r="C735" s="150"/>
    </row>
    <row r="736" spans="3:3">
      <c r="C736" s="150"/>
    </row>
    <row r="737" spans="3:3">
      <c r="C737" s="150"/>
    </row>
    <row r="738" spans="3:3">
      <c r="C738" s="150"/>
    </row>
    <row r="739" spans="3:3">
      <c r="C739" s="150"/>
    </row>
    <row r="740" spans="3:3">
      <c r="C740" s="150"/>
    </row>
    <row r="741" spans="3:3">
      <c r="C741" s="150"/>
    </row>
    <row r="742" spans="3:3">
      <c r="C742" s="150"/>
    </row>
    <row r="743" spans="3:3">
      <c r="C743" s="150"/>
    </row>
    <row r="744" spans="3:3">
      <c r="C744" s="150"/>
    </row>
    <row r="745" spans="3:3">
      <c r="C745" s="150"/>
    </row>
    <row r="746" spans="3:3">
      <c r="C746" s="150"/>
    </row>
    <row r="747" spans="3:3">
      <c r="C747" s="150"/>
    </row>
    <row r="748" spans="3:3">
      <c r="C748" s="150"/>
    </row>
    <row r="749" spans="3:3">
      <c r="C749" s="150"/>
    </row>
    <row r="750" spans="3:3">
      <c r="C750" s="150"/>
    </row>
    <row r="751" spans="3:3">
      <c r="C751" s="150"/>
    </row>
    <row r="752" spans="3:3">
      <c r="C752" s="150"/>
    </row>
    <row r="753" spans="3:3">
      <c r="C753" s="150"/>
    </row>
    <row r="754" spans="3:3">
      <c r="C754" s="150"/>
    </row>
    <row r="755" spans="3:3">
      <c r="C755" s="150"/>
    </row>
    <row r="756" spans="3:3">
      <c r="C756" s="150"/>
    </row>
    <row r="757" spans="3:3">
      <c r="C757" s="150"/>
    </row>
    <row r="758" spans="3:3">
      <c r="C758" s="150"/>
    </row>
    <row r="759" spans="3:3">
      <c r="C759" s="150"/>
    </row>
    <row r="760" spans="3:3">
      <c r="C760" s="150"/>
    </row>
    <row r="761" spans="3:3">
      <c r="C761" s="150"/>
    </row>
    <row r="762" spans="3:3">
      <c r="C762" s="150"/>
    </row>
    <row r="763" spans="3:3">
      <c r="C763" s="150"/>
    </row>
    <row r="764" spans="3:3">
      <c r="C764" s="150"/>
    </row>
    <row r="765" spans="3:3">
      <c r="C765" s="150"/>
    </row>
    <row r="766" spans="3:3">
      <c r="C766" s="150"/>
    </row>
    <row r="767" spans="3:3">
      <c r="C767" s="150"/>
    </row>
    <row r="768" spans="3:3">
      <c r="C768" s="150"/>
    </row>
    <row r="769" spans="3:3">
      <c r="C769" s="150"/>
    </row>
    <row r="770" spans="3:3">
      <c r="C770" s="150"/>
    </row>
    <row r="771" spans="3:3">
      <c r="C771" s="150"/>
    </row>
    <row r="772" spans="3:3">
      <c r="C772" s="150"/>
    </row>
    <row r="773" spans="3:3">
      <c r="C773" s="150"/>
    </row>
    <row r="774" spans="3:3">
      <c r="C774" s="150"/>
    </row>
    <row r="775" spans="3:3">
      <c r="C775" s="150"/>
    </row>
    <row r="776" spans="3:3">
      <c r="C776" s="150"/>
    </row>
    <row r="777" spans="3:3">
      <c r="C777" s="150"/>
    </row>
    <row r="778" spans="3:3">
      <c r="C778" s="150"/>
    </row>
    <row r="779" spans="3:3">
      <c r="C779" s="150"/>
    </row>
    <row r="780" spans="3:3">
      <c r="C780" s="150"/>
    </row>
    <row r="781" spans="3:3">
      <c r="C781" s="150"/>
    </row>
    <row r="782" spans="3:3">
      <c r="C782" s="150"/>
    </row>
    <row r="783" spans="3:3">
      <c r="C783" s="150"/>
    </row>
    <row r="784" spans="3:3">
      <c r="C784" s="150"/>
    </row>
    <row r="785" spans="3:3">
      <c r="C785" s="150"/>
    </row>
    <row r="786" spans="3:3">
      <c r="C786" s="150"/>
    </row>
    <row r="787" spans="3:3">
      <c r="C787" s="150"/>
    </row>
    <row r="788" spans="3:3">
      <c r="C788" s="150"/>
    </row>
    <row r="789" spans="3:3">
      <c r="C789" s="150"/>
    </row>
    <row r="790" spans="3:3">
      <c r="C790" s="150"/>
    </row>
    <row r="791" spans="3:3">
      <c r="C791" s="150"/>
    </row>
    <row r="792" spans="3:3">
      <c r="C792" s="150"/>
    </row>
    <row r="793" spans="3:3">
      <c r="C793" s="150"/>
    </row>
    <row r="794" spans="3:3">
      <c r="C794" s="150"/>
    </row>
    <row r="795" spans="3:3">
      <c r="C795" s="150"/>
    </row>
    <row r="796" spans="3:3">
      <c r="C796" s="150"/>
    </row>
    <row r="797" spans="3:3">
      <c r="C797" s="150"/>
    </row>
    <row r="798" spans="3:3">
      <c r="C798" s="150"/>
    </row>
    <row r="799" spans="3:3">
      <c r="C799" s="150"/>
    </row>
    <row r="800" spans="3:3">
      <c r="C800" s="150"/>
    </row>
    <row r="801" spans="3:3">
      <c r="C801" s="150"/>
    </row>
    <row r="802" spans="3:3">
      <c r="C802" s="150"/>
    </row>
    <row r="803" spans="3:3">
      <c r="C803" s="150"/>
    </row>
    <row r="804" spans="3:3">
      <c r="C804" s="150"/>
    </row>
    <row r="805" spans="3:3">
      <c r="C805" s="150"/>
    </row>
    <row r="806" spans="3:3">
      <c r="C806" s="150"/>
    </row>
    <row r="807" spans="3:3">
      <c r="C807" s="150"/>
    </row>
    <row r="808" spans="3:3">
      <c r="C808" s="150"/>
    </row>
    <row r="809" spans="3:3">
      <c r="C809" s="150"/>
    </row>
    <row r="810" spans="3:3">
      <c r="C810" s="150"/>
    </row>
    <row r="811" spans="3:3">
      <c r="C811" s="150"/>
    </row>
    <row r="812" spans="3:3">
      <c r="C812" s="150"/>
    </row>
    <row r="813" spans="3:3">
      <c r="C813" s="150"/>
    </row>
    <row r="814" spans="3:3">
      <c r="C814" s="150"/>
    </row>
    <row r="815" spans="3:3">
      <c r="C815" s="150"/>
    </row>
    <row r="816" spans="3:3">
      <c r="C816" s="150"/>
    </row>
    <row r="817" spans="3:3">
      <c r="C817" s="150"/>
    </row>
    <row r="818" spans="3:3">
      <c r="C818" s="150"/>
    </row>
    <row r="819" spans="3:3">
      <c r="C819" s="150"/>
    </row>
    <row r="820" spans="3:3">
      <c r="C820" s="150"/>
    </row>
    <row r="821" spans="3:3">
      <c r="C821" s="150"/>
    </row>
    <row r="822" spans="3:3">
      <c r="C822" s="150"/>
    </row>
    <row r="823" spans="3:3">
      <c r="C823" s="150"/>
    </row>
    <row r="824" spans="3:3">
      <c r="C824" s="150"/>
    </row>
    <row r="825" spans="3:3">
      <c r="C825" s="150"/>
    </row>
    <row r="826" spans="3:3">
      <c r="C826" s="150"/>
    </row>
    <row r="827" spans="3:3">
      <c r="C827" s="150"/>
    </row>
    <row r="828" spans="3:3">
      <c r="C828" s="150"/>
    </row>
    <row r="829" spans="3:3">
      <c r="C829" s="150"/>
    </row>
    <row r="830" spans="3:3">
      <c r="C830" s="150"/>
    </row>
    <row r="831" spans="3:3">
      <c r="C831" s="150"/>
    </row>
    <row r="832" spans="3:3">
      <c r="C832" s="150"/>
    </row>
    <row r="833" spans="3:3">
      <c r="C833" s="150"/>
    </row>
    <row r="834" spans="3:3">
      <c r="C834" s="150"/>
    </row>
    <row r="835" spans="3:3">
      <c r="C835" s="150"/>
    </row>
    <row r="836" spans="3:3">
      <c r="C836" s="150"/>
    </row>
    <row r="837" spans="3:3">
      <c r="C837" s="150"/>
    </row>
    <row r="838" spans="3:3">
      <c r="C838" s="150"/>
    </row>
    <row r="839" spans="3:3">
      <c r="C839" s="150"/>
    </row>
    <row r="840" spans="3:3">
      <c r="C840" s="150"/>
    </row>
    <row r="841" spans="3:3">
      <c r="C841" s="150"/>
    </row>
    <row r="842" spans="3:3">
      <c r="C842" s="150"/>
    </row>
    <row r="843" spans="3:3">
      <c r="C843" s="150"/>
    </row>
    <row r="844" spans="3:3">
      <c r="C844" s="150"/>
    </row>
    <row r="845" spans="3:3">
      <c r="C845" s="150"/>
    </row>
    <row r="846" spans="3:3">
      <c r="C846" s="150"/>
    </row>
    <row r="847" spans="3:3">
      <c r="C847" s="150"/>
    </row>
    <row r="848" spans="3:3">
      <c r="C848" s="150"/>
    </row>
    <row r="849" spans="3:3">
      <c r="C849" s="150"/>
    </row>
    <row r="850" spans="3:3">
      <c r="C850" s="150"/>
    </row>
    <row r="851" spans="3:3">
      <c r="C851" s="150"/>
    </row>
    <row r="852" spans="3:3">
      <c r="C852" s="150"/>
    </row>
    <row r="853" spans="3:3">
      <c r="C853" s="150"/>
    </row>
    <row r="854" spans="3:3">
      <c r="C854" s="150"/>
    </row>
    <row r="855" spans="3:3">
      <c r="C855" s="150"/>
    </row>
    <row r="856" spans="3:3">
      <c r="C856" s="150"/>
    </row>
    <row r="857" spans="3:3">
      <c r="C857" s="150"/>
    </row>
    <row r="858" spans="3:3">
      <c r="C858" s="150"/>
    </row>
    <row r="859" spans="3:3">
      <c r="C859" s="150"/>
    </row>
    <row r="860" spans="3:3">
      <c r="C860" s="150"/>
    </row>
    <row r="861" spans="3:3">
      <c r="C861" s="150"/>
    </row>
    <row r="862" spans="3:3">
      <c r="C862" s="150"/>
    </row>
    <row r="863" spans="3:3">
      <c r="C863" s="150"/>
    </row>
    <row r="864" spans="3:3">
      <c r="C864" s="150"/>
    </row>
    <row r="865" spans="3:3">
      <c r="C865" s="150"/>
    </row>
    <row r="866" spans="3:3">
      <c r="C866" s="150"/>
    </row>
    <row r="867" spans="3:3">
      <c r="C867" s="150"/>
    </row>
    <row r="868" spans="3:3">
      <c r="C868" s="150"/>
    </row>
    <row r="869" spans="3:3">
      <c r="C869" s="150"/>
    </row>
    <row r="870" spans="3:3">
      <c r="C870" s="150"/>
    </row>
    <row r="871" spans="3:3">
      <c r="C871" s="150"/>
    </row>
    <row r="872" spans="3:3">
      <c r="C872" s="150"/>
    </row>
    <row r="873" spans="3:3">
      <c r="C873" s="150"/>
    </row>
    <row r="874" spans="3:3">
      <c r="C874" s="150"/>
    </row>
    <row r="875" spans="3:3">
      <c r="C875" s="150"/>
    </row>
    <row r="876" spans="3:3">
      <c r="C876" s="150"/>
    </row>
    <row r="877" spans="3:3">
      <c r="C877" s="150"/>
    </row>
    <row r="878" spans="3:3">
      <c r="C878" s="150"/>
    </row>
    <row r="879" spans="3:3">
      <c r="C879" s="150"/>
    </row>
    <row r="880" spans="3:3">
      <c r="C880" s="150"/>
    </row>
    <row r="881" spans="3:3">
      <c r="C881" s="150"/>
    </row>
    <row r="882" spans="3:3">
      <c r="C882" s="150"/>
    </row>
    <row r="883" spans="3:3">
      <c r="C883" s="150"/>
    </row>
    <row r="884" spans="3:3">
      <c r="C884" s="150"/>
    </row>
    <row r="885" spans="3:3">
      <c r="C885" s="150"/>
    </row>
    <row r="886" spans="3:3">
      <c r="C886" s="150"/>
    </row>
    <row r="887" spans="3:3">
      <c r="C887" s="150"/>
    </row>
    <row r="888" spans="3:3">
      <c r="C888" s="150"/>
    </row>
    <row r="889" spans="3:3">
      <c r="C889" s="150"/>
    </row>
    <row r="890" spans="3:3">
      <c r="C890" s="150"/>
    </row>
    <row r="891" spans="3:3">
      <c r="C891" s="150"/>
    </row>
    <row r="892" spans="3:3">
      <c r="C892" s="150"/>
    </row>
    <row r="893" spans="3:3">
      <c r="C893" s="150"/>
    </row>
    <row r="894" spans="3:3">
      <c r="C894" s="150"/>
    </row>
    <row r="895" spans="3:3">
      <c r="C895" s="150"/>
    </row>
    <row r="896" spans="3:3">
      <c r="C896" s="150"/>
    </row>
    <row r="897" spans="3:3">
      <c r="C897" s="150"/>
    </row>
    <row r="898" spans="3:3">
      <c r="C898" s="150"/>
    </row>
    <row r="899" spans="3:3">
      <c r="C899" s="150"/>
    </row>
    <row r="900" spans="3:3">
      <c r="C900" s="150"/>
    </row>
    <row r="901" spans="3:3">
      <c r="C901" s="150"/>
    </row>
    <row r="902" spans="3:3">
      <c r="C902" s="150"/>
    </row>
    <row r="903" spans="3:3">
      <c r="C903" s="150"/>
    </row>
    <row r="904" spans="3:3">
      <c r="C904" s="150"/>
    </row>
    <row r="905" spans="3:3">
      <c r="C905" s="150"/>
    </row>
    <row r="906" spans="3:3">
      <c r="C906" s="150"/>
    </row>
    <row r="907" spans="3:3">
      <c r="C907" s="150"/>
    </row>
    <row r="908" spans="3:3">
      <c r="C908" s="150"/>
    </row>
    <row r="909" spans="3:3">
      <c r="C909" s="150"/>
    </row>
    <row r="910" spans="3:3">
      <c r="C910" s="150"/>
    </row>
    <row r="911" spans="3:3">
      <c r="C911" s="150"/>
    </row>
    <row r="912" spans="3:3">
      <c r="C912" s="150"/>
    </row>
    <row r="913" spans="3:3">
      <c r="C913" s="150"/>
    </row>
    <row r="914" spans="3:3">
      <c r="C914" s="150"/>
    </row>
    <row r="915" spans="3:3">
      <c r="C915" s="150"/>
    </row>
    <row r="916" spans="3:3">
      <c r="C916" s="150"/>
    </row>
    <row r="917" spans="3:3">
      <c r="C917" s="150"/>
    </row>
    <row r="918" spans="3:3">
      <c r="C918" s="150"/>
    </row>
    <row r="919" spans="3:3">
      <c r="C919" s="150"/>
    </row>
    <row r="920" spans="3:3">
      <c r="C920" s="150"/>
    </row>
    <row r="921" spans="3:3">
      <c r="C921" s="150"/>
    </row>
    <row r="922" spans="3:3">
      <c r="C922" s="150"/>
    </row>
    <row r="923" spans="3:3">
      <c r="C923" s="150"/>
    </row>
    <row r="924" spans="3:3">
      <c r="C924" s="150"/>
    </row>
    <row r="925" spans="3:3">
      <c r="C925" s="150"/>
    </row>
    <row r="926" spans="3:3">
      <c r="C926" s="150"/>
    </row>
    <row r="927" spans="3:3">
      <c r="C927" s="150"/>
    </row>
    <row r="928" spans="3:3">
      <c r="C928" s="150"/>
    </row>
    <row r="929" spans="3:3">
      <c r="C929" s="150"/>
    </row>
    <row r="930" spans="3:3">
      <c r="C930" s="150"/>
    </row>
    <row r="931" spans="3:3">
      <c r="C931" s="150"/>
    </row>
    <row r="932" spans="3:3">
      <c r="C932" s="150"/>
    </row>
    <row r="933" spans="3:3">
      <c r="C933" s="150"/>
    </row>
    <row r="934" spans="3:3">
      <c r="C934" s="150"/>
    </row>
    <row r="935" spans="3:3">
      <c r="C935" s="150"/>
    </row>
    <row r="936" spans="3:3">
      <c r="C936" s="150"/>
    </row>
    <row r="937" spans="3:3">
      <c r="C937" s="150"/>
    </row>
    <row r="938" spans="3:3">
      <c r="C938" s="150"/>
    </row>
    <row r="939" spans="3:3">
      <c r="C939" s="150"/>
    </row>
    <row r="940" spans="3:3">
      <c r="C940" s="150"/>
    </row>
    <row r="941" spans="3:3">
      <c r="C941" s="150"/>
    </row>
    <row r="942" spans="3:3">
      <c r="C942" s="150"/>
    </row>
    <row r="943" spans="3:3">
      <c r="C943" s="150"/>
    </row>
    <row r="944" spans="3:3">
      <c r="C944" s="150"/>
    </row>
    <row r="945" spans="3:3">
      <c r="C945" s="150"/>
    </row>
    <row r="946" spans="3:3">
      <c r="C946" s="150"/>
    </row>
    <row r="947" spans="3:3">
      <c r="C947" s="150"/>
    </row>
    <row r="948" spans="3:3">
      <c r="C948" s="150"/>
    </row>
    <row r="949" spans="3:3">
      <c r="C949" s="150"/>
    </row>
    <row r="950" spans="3:3">
      <c r="C950" s="150"/>
    </row>
    <row r="951" spans="3:3">
      <c r="C951" s="150"/>
    </row>
    <row r="952" spans="3:3">
      <c r="C952" s="150"/>
    </row>
    <row r="953" spans="3:3">
      <c r="C953" s="150"/>
    </row>
    <row r="954" spans="3:3">
      <c r="C954" s="150"/>
    </row>
    <row r="955" spans="3:3">
      <c r="C955" s="150"/>
    </row>
    <row r="956" spans="3:3">
      <c r="C956" s="150"/>
    </row>
    <row r="957" spans="3:3">
      <c r="C957" s="150"/>
    </row>
    <row r="958" spans="3:3">
      <c r="C958" s="150"/>
    </row>
    <row r="959" spans="3:3">
      <c r="C959" s="150"/>
    </row>
    <row r="960" spans="3:3">
      <c r="C960" s="150"/>
    </row>
    <row r="961" spans="3:3">
      <c r="C961" s="150"/>
    </row>
    <row r="962" spans="3:3">
      <c r="C962" s="150"/>
    </row>
    <row r="963" spans="3:3">
      <c r="C963" s="150"/>
    </row>
    <row r="964" spans="3:3">
      <c r="C964" s="150"/>
    </row>
    <row r="965" spans="3:3">
      <c r="C965" s="150"/>
    </row>
    <row r="966" spans="3:3">
      <c r="C966" s="150"/>
    </row>
    <row r="967" spans="3:3">
      <c r="C967" s="150"/>
    </row>
    <row r="968" spans="3:3">
      <c r="C968" s="150"/>
    </row>
    <row r="969" spans="3:3">
      <c r="C969" s="150"/>
    </row>
    <row r="970" spans="3:3">
      <c r="C970" s="150"/>
    </row>
    <row r="971" spans="3:3">
      <c r="C971" s="150"/>
    </row>
    <row r="972" spans="3:3">
      <c r="C972" s="150"/>
    </row>
    <row r="973" spans="3:3">
      <c r="C973" s="150"/>
    </row>
    <row r="974" spans="3:3">
      <c r="C974" s="150"/>
    </row>
    <row r="975" spans="3:3">
      <c r="C975" s="150"/>
    </row>
    <row r="976" spans="3:3">
      <c r="C976" s="150"/>
    </row>
    <row r="977" spans="3:3">
      <c r="C977" s="150"/>
    </row>
    <row r="978" spans="3:3">
      <c r="C978" s="150"/>
    </row>
    <row r="979" spans="3:3">
      <c r="C979" s="150"/>
    </row>
    <row r="980" spans="3:3">
      <c r="C980" s="150"/>
    </row>
    <row r="981" spans="3:3">
      <c r="C981" s="150"/>
    </row>
    <row r="982" spans="3:3">
      <c r="C982" s="150"/>
    </row>
    <row r="983" spans="3:3">
      <c r="C983" s="150"/>
    </row>
    <row r="984" spans="3:3">
      <c r="C984" s="150"/>
    </row>
    <row r="985" spans="3:3">
      <c r="C985" s="150"/>
    </row>
    <row r="986" spans="3:3">
      <c r="C986" s="150"/>
    </row>
    <row r="987" spans="3:3">
      <c r="C987" s="150"/>
    </row>
    <row r="988" spans="3:3">
      <c r="C988" s="150"/>
    </row>
    <row r="989" spans="3:3">
      <c r="C989" s="150"/>
    </row>
    <row r="990" spans="3:3">
      <c r="C990" s="150"/>
    </row>
    <row r="991" spans="3:3">
      <c r="C991" s="150"/>
    </row>
    <row r="992" spans="3:3">
      <c r="C992" s="150"/>
    </row>
    <row r="993" spans="3:3">
      <c r="C993" s="150"/>
    </row>
    <row r="994" spans="3:3">
      <c r="C994" s="150"/>
    </row>
    <row r="995" spans="3:3">
      <c r="C995" s="150"/>
    </row>
    <row r="996" spans="3:3">
      <c r="C996" s="150"/>
    </row>
    <row r="997" spans="3:3">
      <c r="C997" s="150"/>
    </row>
    <row r="998" spans="3:3">
      <c r="C998" s="150"/>
    </row>
    <row r="999" spans="3:3">
      <c r="C999" s="150"/>
    </row>
  </sheetData>
  <pageMargins left="0.511811024" right="0.511811024" top="0.78740157499999996" bottom="0.78740157499999996"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M1000"/>
  <sheetViews>
    <sheetView workbookViewId="0"/>
  </sheetViews>
  <sheetFormatPr defaultColWidth="14.42578125" defaultRowHeight="15" customHeight="1" outlineLevelCol="1"/>
  <cols>
    <col min="2" max="2" width="20.28515625" customWidth="1"/>
    <col min="5" max="12" width="14.42578125" outlineLevel="1"/>
  </cols>
  <sheetData>
    <row r="1" spans="1:13" ht="15" customHeight="1">
      <c r="C1" s="150"/>
      <c r="E1" s="181">
        <v>45618</v>
      </c>
      <c r="F1" s="180" t="s">
        <v>280</v>
      </c>
      <c r="G1" s="180" t="s">
        <v>281</v>
      </c>
      <c r="H1" s="180" t="s">
        <v>282</v>
      </c>
      <c r="I1" s="186">
        <v>9000</v>
      </c>
      <c r="J1" s="49" t="s">
        <v>1113</v>
      </c>
      <c r="K1" s="49" t="s">
        <v>2248</v>
      </c>
      <c r="L1" s="49">
        <f>101043.88-4357.6</f>
        <v>96686.28</v>
      </c>
    </row>
    <row r="2" spans="1:13" ht="15" customHeight="1">
      <c r="B2" s="154" t="s">
        <v>2249</v>
      </c>
      <c r="C2" s="155">
        <f>SUM(C3:C6)</f>
        <v>17800</v>
      </c>
      <c r="E2" s="181">
        <v>45618</v>
      </c>
      <c r="F2" s="163" t="s">
        <v>1090</v>
      </c>
      <c r="G2" s="163" t="s">
        <v>281</v>
      </c>
      <c r="H2" s="163" t="s">
        <v>407</v>
      </c>
      <c r="I2" s="165">
        <v>2199</v>
      </c>
      <c r="J2" s="49" t="s">
        <v>1113</v>
      </c>
      <c r="K2" s="49" t="s">
        <v>2250</v>
      </c>
      <c r="L2" s="49">
        <f>109285.61-4357.6</f>
        <v>104928.01</v>
      </c>
    </row>
    <row r="3" spans="1:13" ht="15" customHeight="1">
      <c r="A3" s="49" t="s">
        <v>2251</v>
      </c>
      <c r="B3" s="49" t="s">
        <v>2252</v>
      </c>
      <c r="C3" s="150">
        <v>4500</v>
      </c>
      <c r="E3" s="164">
        <v>45618</v>
      </c>
      <c r="F3" s="163" t="s">
        <v>1098</v>
      </c>
      <c r="G3" s="163" t="s">
        <v>281</v>
      </c>
      <c r="H3" s="163" t="s">
        <v>199</v>
      </c>
      <c r="I3" s="168">
        <v>-552</v>
      </c>
      <c r="J3" s="49" t="s">
        <v>1113</v>
      </c>
      <c r="K3" s="49" t="s">
        <v>2253</v>
      </c>
      <c r="L3" s="49">
        <f>115000.94-4481.85-3500</f>
        <v>107019.09</v>
      </c>
      <c r="M3" s="49" t="s">
        <v>2254</v>
      </c>
    </row>
    <row r="4" spans="1:13" ht="15" customHeight="1">
      <c r="A4" s="49" t="s">
        <v>2251</v>
      </c>
      <c r="B4" s="49" t="s">
        <v>2255</v>
      </c>
      <c r="C4" s="150">
        <v>2300</v>
      </c>
      <c r="E4" s="164">
        <v>45618</v>
      </c>
      <c r="F4" s="163" t="s">
        <v>1010</v>
      </c>
      <c r="G4" s="163" t="s">
        <v>281</v>
      </c>
      <c r="H4" s="163" t="s">
        <v>199</v>
      </c>
      <c r="I4" s="168">
        <v>-2000</v>
      </c>
      <c r="J4" s="49" t="s">
        <v>1113</v>
      </c>
      <c r="M4" s="49" t="s">
        <v>2256</v>
      </c>
    </row>
    <row r="5" spans="1:13" ht="15" customHeight="1">
      <c r="A5" s="49" t="s">
        <v>2257</v>
      </c>
      <c r="B5" s="49" t="s">
        <v>2212</v>
      </c>
      <c r="C5" s="150">
        <v>3500</v>
      </c>
      <c r="E5" s="164">
        <v>45618</v>
      </c>
      <c r="F5" s="163" t="s">
        <v>1101</v>
      </c>
      <c r="G5" s="163" t="s">
        <v>281</v>
      </c>
      <c r="H5" s="163" t="s">
        <v>356</v>
      </c>
      <c r="I5" s="168">
        <f>-8.25-7.27</f>
        <v>-15.52</v>
      </c>
      <c r="J5" s="49" t="s">
        <v>1113</v>
      </c>
    </row>
    <row r="6" spans="1:13" ht="15" customHeight="1">
      <c r="A6" s="49" t="s">
        <v>2258</v>
      </c>
      <c r="B6" s="49" t="s">
        <v>2259</v>
      </c>
      <c r="C6" s="150">
        <v>7500</v>
      </c>
      <c r="E6" s="164">
        <v>45618</v>
      </c>
      <c r="F6" s="163"/>
      <c r="G6" s="163" t="s">
        <v>281</v>
      </c>
      <c r="H6" s="163" t="s">
        <v>1077</v>
      </c>
      <c r="I6" s="168">
        <f>-3-1.99</f>
        <v>-4.99</v>
      </c>
      <c r="J6" s="49" t="s">
        <v>1113</v>
      </c>
    </row>
    <row r="7" spans="1:13" ht="15" customHeight="1">
      <c r="C7" s="150"/>
      <c r="E7" s="164">
        <v>45618</v>
      </c>
      <c r="F7" s="163" t="s">
        <v>1102</v>
      </c>
      <c r="G7" s="163" t="s">
        <v>281</v>
      </c>
      <c r="H7" s="163" t="s">
        <v>356</v>
      </c>
      <c r="I7" s="168">
        <v>-150</v>
      </c>
      <c r="J7" s="49" t="s">
        <v>1113</v>
      </c>
    </row>
    <row r="8" spans="1:13" ht="15" customHeight="1">
      <c r="B8" s="154" t="s">
        <v>1960</v>
      </c>
      <c r="C8" s="155">
        <f>SUM(C9:C11)</f>
        <v>59693.7</v>
      </c>
      <c r="E8" s="164">
        <v>45618</v>
      </c>
      <c r="F8" s="163" t="s">
        <v>1103</v>
      </c>
      <c r="G8" s="163" t="s">
        <v>281</v>
      </c>
      <c r="H8" s="163" t="s">
        <v>356</v>
      </c>
      <c r="I8" s="168">
        <v>-717</v>
      </c>
      <c r="J8" s="49" t="s">
        <v>1113</v>
      </c>
    </row>
    <row r="9" spans="1:13" ht="15" customHeight="1">
      <c r="B9" s="49" t="s">
        <v>18</v>
      </c>
      <c r="C9" s="150">
        <f>L2-L1</f>
        <v>8241.7299999999959</v>
      </c>
      <c r="E9" s="164">
        <v>45618</v>
      </c>
      <c r="F9" s="163" t="s">
        <v>962</v>
      </c>
      <c r="G9" s="163" t="s">
        <v>281</v>
      </c>
      <c r="H9" s="163" t="s">
        <v>182</v>
      </c>
      <c r="I9" s="168">
        <v>-5500</v>
      </c>
      <c r="J9" s="49" t="s">
        <v>1113</v>
      </c>
    </row>
    <row r="10" spans="1:13" ht="15" customHeight="1">
      <c r="B10" s="49" t="s">
        <v>1594</v>
      </c>
      <c r="C10" s="150">
        <v>40000</v>
      </c>
      <c r="E10" s="164">
        <v>45621</v>
      </c>
      <c r="F10" s="163" t="s">
        <v>1115</v>
      </c>
      <c r="G10" s="163" t="s">
        <v>281</v>
      </c>
      <c r="H10" s="163" t="s">
        <v>407</v>
      </c>
      <c r="I10" s="195">
        <v>4390</v>
      </c>
      <c r="J10" s="49" t="s">
        <v>1113</v>
      </c>
    </row>
    <row r="11" spans="1:13" ht="15" customHeight="1">
      <c r="B11" s="49" t="s">
        <v>925</v>
      </c>
      <c r="C11" s="150">
        <v>11451.97</v>
      </c>
      <c r="E11" s="164">
        <v>45621</v>
      </c>
      <c r="F11" s="163" t="s">
        <v>1189</v>
      </c>
      <c r="G11" s="163" t="s">
        <v>281</v>
      </c>
      <c r="H11" s="163" t="s">
        <v>407</v>
      </c>
      <c r="I11" s="165">
        <v>2100</v>
      </c>
    </row>
    <row r="12" spans="1:13" ht="15" customHeight="1">
      <c r="B12" s="49" t="s">
        <v>2260</v>
      </c>
      <c r="C12" s="150">
        <v>18000</v>
      </c>
      <c r="E12" s="164">
        <v>45621</v>
      </c>
      <c r="F12" s="163" t="s">
        <v>1158</v>
      </c>
      <c r="G12" s="163" t="s">
        <v>281</v>
      </c>
      <c r="H12" s="163" t="s">
        <v>407</v>
      </c>
      <c r="I12" s="165">
        <v>3200</v>
      </c>
    </row>
    <row r="13" spans="1:13" ht="15" customHeight="1">
      <c r="C13" s="150"/>
      <c r="E13" s="164">
        <v>45621</v>
      </c>
      <c r="F13" s="163" t="s">
        <v>1123</v>
      </c>
      <c r="G13" s="163" t="s">
        <v>281</v>
      </c>
      <c r="H13" s="163" t="s">
        <v>407</v>
      </c>
      <c r="I13" s="165">
        <v>4300</v>
      </c>
      <c r="J13" s="49" t="s">
        <v>1113</v>
      </c>
    </row>
    <row r="14" spans="1:13" ht="15" customHeight="1">
      <c r="C14" s="150"/>
      <c r="E14" s="164">
        <v>45621</v>
      </c>
      <c r="F14" s="163" t="s">
        <v>1131</v>
      </c>
      <c r="G14" s="163" t="s">
        <v>281</v>
      </c>
      <c r="H14" s="163" t="s">
        <v>407</v>
      </c>
      <c r="I14" s="221"/>
      <c r="J14" s="49" t="s">
        <v>1113</v>
      </c>
    </row>
    <row r="15" spans="1:13" ht="15" customHeight="1">
      <c r="C15" s="150"/>
      <c r="E15" s="164">
        <v>45621</v>
      </c>
      <c r="F15" s="163" t="s">
        <v>1182</v>
      </c>
      <c r="G15" s="163" t="s">
        <v>281</v>
      </c>
      <c r="H15" s="163" t="s">
        <v>407</v>
      </c>
      <c r="I15" s="165">
        <v>4500</v>
      </c>
    </row>
    <row r="16" spans="1:13" ht="15" customHeight="1">
      <c r="C16" s="150"/>
      <c r="E16" s="164">
        <v>45621</v>
      </c>
      <c r="F16" s="163" t="s">
        <v>1166</v>
      </c>
      <c r="G16" s="163" t="s">
        <v>281</v>
      </c>
      <c r="H16" s="163" t="s">
        <v>407</v>
      </c>
      <c r="I16" s="165">
        <v>4199</v>
      </c>
    </row>
    <row r="17" spans="3:11" ht="15" customHeight="1">
      <c r="C17" s="150"/>
      <c r="E17" s="164">
        <v>45621</v>
      </c>
      <c r="F17" s="163" t="s">
        <v>1223</v>
      </c>
      <c r="G17" s="163" t="s">
        <v>281</v>
      </c>
      <c r="H17" s="163" t="s">
        <v>407</v>
      </c>
      <c r="I17" s="165">
        <v>3200</v>
      </c>
    </row>
    <row r="18" spans="3:11" ht="15" customHeight="1">
      <c r="C18" s="150"/>
      <c r="E18" s="164">
        <v>45621</v>
      </c>
      <c r="F18" s="163" t="s">
        <v>1196</v>
      </c>
      <c r="G18" s="163" t="s">
        <v>281</v>
      </c>
      <c r="H18" s="163" t="s">
        <v>407</v>
      </c>
      <c r="I18" s="221"/>
    </row>
    <row r="19" spans="3:11" ht="15" customHeight="1">
      <c r="C19" s="150"/>
      <c r="E19" s="164">
        <v>45621</v>
      </c>
      <c r="F19" s="163" t="s">
        <v>1205</v>
      </c>
      <c r="G19" s="163" t="s">
        <v>281</v>
      </c>
      <c r="H19" s="163" t="s">
        <v>407</v>
      </c>
      <c r="I19" s="165">
        <v>1200</v>
      </c>
    </row>
    <row r="20" spans="3:11" ht="15" customHeight="1">
      <c r="C20" s="150"/>
      <c r="E20" s="164">
        <v>45621</v>
      </c>
      <c r="F20" s="163" t="s">
        <v>1175</v>
      </c>
      <c r="G20" s="163" t="s">
        <v>281</v>
      </c>
      <c r="H20" s="163" t="s">
        <v>407</v>
      </c>
      <c r="I20" s="165">
        <v>2500</v>
      </c>
    </row>
    <row r="21" spans="3:11" ht="15" customHeight="1">
      <c r="C21" s="150"/>
      <c r="E21" s="181">
        <v>45621</v>
      </c>
      <c r="F21" s="430" t="s">
        <v>293</v>
      </c>
      <c r="G21" s="163" t="s">
        <v>281</v>
      </c>
      <c r="H21" s="163" t="s">
        <v>294</v>
      </c>
      <c r="I21" s="226">
        <v>-6068</v>
      </c>
      <c r="J21" s="49" t="s">
        <v>1113</v>
      </c>
    </row>
    <row r="22" spans="3:11" ht="15" customHeight="1">
      <c r="C22" s="150"/>
      <c r="E22" s="181">
        <v>45621</v>
      </c>
      <c r="F22" s="430" t="s">
        <v>293</v>
      </c>
      <c r="G22" s="163" t="s">
        <v>281</v>
      </c>
      <c r="H22" s="163" t="s">
        <v>294</v>
      </c>
      <c r="I22" s="226">
        <v>-1852.92</v>
      </c>
      <c r="J22" s="49" t="s">
        <v>1113</v>
      </c>
    </row>
    <row r="23" spans="3:11" ht="15" customHeight="1">
      <c r="C23" s="150"/>
      <c r="E23" s="181">
        <v>45621</v>
      </c>
      <c r="F23" s="430" t="s">
        <v>293</v>
      </c>
      <c r="G23" s="163" t="s">
        <v>281</v>
      </c>
      <c r="H23" s="163" t="s">
        <v>294</v>
      </c>
      <c r="I23" s="262">
        <v>-4828.5</v>
      </c>
      <c r="J23" s="49" t="s">
        <v>1113</v>
      </c>
    </row>
    <row r="24" spans="3:11" ht="15" customHeight="1">
      <c r="C24" s="150"/>
      <c r="E24" s="181">
        <v>45621</v>
      </c>
      <c r="F24" s="430" t="s">
        <v>293</v>
      </c>
      <c r="G24" s="163" t="s">
        <v>281</v>
      </c>
      <c r="H24" s="163" t="s">
        <v>294</v>
      </c>
      <c r="I24" s="262">
        <v>-2928.6</v>
      </c>
      <c r="J24" s="49" t="s">
        <v>1113</v>
      </c>
    </row>
    <row r="25" spans="3:11" ht="15" customHeight="1">
      <c r="C25" s="150"/>
      <c r="E25" s="181">
        <v>45621</v>
      </c>
      <c r="F25" s="430" t="s">
        <v>1139</v>
      </c>
      <c r="G25" s="163" t="s">
        <v>281</v>
      </c>
      <c r="H25" s="163" t="s">
        <v>1140</v>
      </c>
      <c r="I25" s="262">
        <v>-4050</v>
      </c>
      <c r="J25" s="49" t="s">
        <v>1113</v>
      </c>
    </row>
    <row r="26" spans="3:11" ht="15" customHeight="1">
      <c r="C26" s="150"/>
      <c r="E26" s="164">
        <v>45621</v>
      </c>
      <c r="F26" s="430" t="s">
        <v>940</v>
      </c>
      <c r="G26" s="163" t="s">
        <v>281</v>
      </c>
      <c r="H26" s="163" t="s">
        <v>308</v>
      </c>
      <c r="I26" s="262">
        <v>-418</v>
      </c>
      <c r="J26" s="49" t="s">
        <v>1113</v>
      </c>
    </row>
    <row r="27" spans="3:11" ht="15" customHeight="1">
      <c r="C27" s="150"/>
      <c r="E27" s="164">
        <v>45621</v>
      </c>
      <c r="F27" s="430" t="s">
        <v>1002</v>
      </c>
      <c r="G27" s="163" t="s">
        <v>281</v>
      </c>
      <c r="H27" s="163" t="s">
        <v>190</v>
      </c>
      <c r="I27" s="262">
        <v>-500</v>
      </c>
      <c r="J27" s="49" t="s">
        <v>1113</v>
      </c>
    </row>
    <row r="28" spans="3:11" ht="15" customHeight="1">
      <c r="C28" s="150"/>
      <c r="E28" s="164">
        <v>45621</v>
      </c>
      <c r="F28" s="430" t="s">
        <v>1002</v>
      </c>
      <c r="G28" s="163" t="s">
        <v>281</v>
      </c>
      <c r="H28" s="163" t="s">
        <v>190</v>
      </c>
      <c r="I28" s="262">
        <v>-60</v>
      </c>
      <c r="J28" s="49" t="s">
        <v>1113</v>
      </c>
    </row>
    <row r="29" spans="3:11" ht="15" customHeight="1">
      <c r="C29" s="150"/>
      <c r="E29" s="181">
        <v>45621</v>
      </c>
      <c r="F29" s="430" t="s">
        <v>1142</v>
      </c>
      <c r="G29" s="163" t="s">
        <v>281</v>
      </c>
      <c r="H29" s="163" t="s">
        <v>199</v>
      </c>
      <c r="I29" s="262">
        <v>-347</v>
      </c>
      <c r="J29" s="49" t="s">
        <v>1113</v>
      </c>
      <c r="K29" s="49">
        <v>347.24</v>
      </c>
    </row>
    <row r="30" spans="3:11" ht="15" customHeight="1">
      <c r="C30" s="150"/>
      <c r="E30" s="181">
        <v>45621</v>
      </c>
      <c r="F30" s="430" t="s">
        <v>1145</v>
      </c>
      <c r="G30" s="163" t="s">
        <v>281</v>
      </c>
      <c r="H30" s="163" t="s">
        <v>25</v>
      </c>
      <c r="I30" s="262">
        <v>-1380</v>
      </c>
      <c r="J30" s="49" t="s">
        <v>1113</v>
      </c>
      <c r="K30" s="49">
        <v>1380.81</v>
      </c>
    </row>
    <row r="31" spans="3:11" ht="15" customHeight="1">
      <c r="C31" s="150"/>
      <c r="E31" s="181">
        <v>45621</v>
      </c>
      <c r="F31" s="430" t="s">
        <v>1149</v>
      </c>
      <c r="G31" s="163" t="s">
        <v>281</v>
      </c>
      <c r="H31" s="163" t="s">
        <v>25</v>
      </c>
      <c r="I31" s="262">
        <v>-1300</v>
      </c>
      <c r="J31" s="49" t="s">
        <v>1113</v>
      </c>
    </row>
    <row r="32" spans="3:11" ht="15" customHeight="1">
      <c r="C32" s="150"/>
      <c r="E32" s="181">
        <v>45621</v>
      </c>
      <c r="F32" s="430" t="s">
        <v>1152</v>
      </c>
      <c r="G32" s="163" t="s">
        <v>281</v>
      </c>
      <c r="H32" s="163" t="s">
        <v>199</v>
      </c>
      <c r="I32" s="262">
        <v>-1990</v>
      </c>
      <c r="J32" s="49" t="s">
        <v>1113</v>
      </c>
    </row>
    <row r="33" spans="3:9" ht="15" customHeight="1">
      <c r="C33" s="150"/>
      <c r="E33" s="181">
        <v>45621</v>
      </c>
      <c r="F33" s="163" t="s">
        <v>1644</v>
      </c>
      <c r="G33" s="163" t="s">
        <v>281</v>
      </c>
      <c r="H33" s="163" t="s">
        <v>1140</v>
      </c>
      <c r="I33" s="262">
        <v>-7500</v>
      </c>
    </row>
    <row r="34" spans="3:9" ht="15" customHeight="1">
      <c r="C34" s="150"/>
      <c r="E34" s="164">
        <v>45621</v>
      </c>
      <c r="F34" s="430" t="s">
        <v>1367</v>
      </c>
      <c r="G34" s="163" t="s">
        <v>281</v>
      </c>
      <c r="H34" s="163" t="s">
        <v>372</v>
      </c>
      <c r="I34" s="262">
        <v>-654.29999999999995</v>
      </c>
    </row>
    <row r="35" spans="3:9" ht="15" customHeight="1">
      <c r="C35" s="150"/>
      <c r="E35" s="181">
        <v>45621</v>
      </c>
      <c r="F35" s="163" t="s">
        <v>2261</v>
      </c>
      <c r="G35" s="163" t="s">
        <v>281</v>
      </c>
      <c r="H35" s="163" t="s">
        <v>1288</v>
      </c>
      <c r="I35" s="262">
        <v>-6500</v>
      </c>
    </row>
    <row r="36" spans="3:9">
      <c r="C36" s="150"/>
      <c r="E36" s="164">
        <v>45621</v>
      </c>
      <c r="F36" s="430" t="s">
        <v>1155</v>
      </c>
      <c r="G36" s="163" t="s">
        <v>281</v>
      </c>
      <c r="H36" s="163" t="s">
        <v>392</v>
      </c>
      <c r="I36" s="168">
        <v>-220.8</v>
      </c>
    </row>
    <row r="37" spans="3:9">
      <c r="C37" s="150"/>
      <c r="E37" s="164">
        <v>45621</v>
      </c>
      <c r="F37" s="430" t="s">
        <v>1155</v>
      </c>
      <c r="G37" s="163" t="s">
        <v>281</v>
      </c>
      <c r="H37" s="163" t="s">
        <v>392</v>
      </c>
      <c r="I37" s="168">
        <v>-9385</v>
      </c>
    </row>
    <row r="38" spans="3:9">
      <c r="C38" s="150"/>
      <c r="E38" s="181">
        <v>45621</v>
      </c>
      <c r="F38" s="163" t="s">
        <v>952</v>
      </c>
      <c r="G38" s="163" t="s">
        <v>281</v>
      </c>
      <c r="H38" s="163" t="s">
        <v>182</v>
      </c>
      <c r="I38" s="198">
        <v>-1625</v>
      </c>
    </row>
    <row r="39" spans="3:9">
      <c r="C39" s="150"/>
      <c r="E39" s="181">
        <v>45621</v>
      </c>
      <c r="F39" s="430" t="s">
        <v>2262</v>
      </c>
      <c r="G39" s="190" t="s">
        <v>281</v>
      </c>
      <c r="H39" s="190" t="s">
        <v>199</v>
      </c>
      <c r="I39" s="228"/>
    </row>
    <row r="40" spans="3:9">
      <c r="C40" s="150"/>
      <c r="E40" s="164">
        <v>45621</v>
      </c>
      <c r="F40" s="430" t="s">
        <v>1008</v>
      </c>
      <c r="G40" s="163" t="s">
        <v>281</v>
      </c>
      <c r="H40" s="163" t="s">
        <v>199</v>
      </c>
      <c r="I40" s="198">
        <v>-3000</v>
      </c>
    </row>
    <row r="41" spans="3:9">
      <c r="C41" s="150"/>
      <c r="E41" s="164">
        <v>45621</v>
      </c>
      <c r="F41" s="430" t="s">
        <v>1295</v>
      </c>
      <c r="G41" s="163" t="s">
        <v>281</v>
      </c>
      <c r="H41" s="163" t="s">
        <v>199</v>
      </c>
      <c r="I41" s="198">
        <v>-850</v>
      </c>
    </row>
    <row r="42" spans="3:9">
      <c r="C42" s="150"/>
      <c r="E42" s="164">
        <v>45621</v>
      </c>
      <c r="F42" s="430" t="s">
        <v>1013</v>
      </c>
      <c r="G42" s="163" t="s">
        <v>281</v>
      </c>
      <c r="H42" s="163" t="s">
        <v>199</v>
      </c>
      <c r="I42" s="198">
        <v>-1000</v>
      </c>
    </row>
    <row r="43" spans="3:9">
      <c r="C43" s="150"/>
      <c r="E43" s="164">
        <v>45621</v>
      </c>
      <c r="F43" s="430" t="s">
        <v>1273</v>
      </c>
      <c r="G43" s="163" t="s">
        <v>281</v>
      </c>
      <c r="H43" s="163" t="s">
        <v>199</v>
      </c>
      <c r="I43" s="198">
        <v>-1200</v>
      </c>
    </row>
    <row r="44" spans="3:9">
      <c r="C44" s="150"/>
      <c r="E44" s="164">
        <v>45621</v>
      </c>
      <c r="F44" s="430" t="s">
        <v>1326</v>
      </c>
      <c r="G44" s="163" t="s">
        <v>281</v>
      </c>
      <c r="H44" s="163" t="s">
        <v>199</v>
      </c>
      <c r="I44" s="198">
        <v>-544</v>
      </c>
    </row>
    <row r="45" spans="3:9">
      <c r="C45" s="150"/>
      <c r="E45" s="164">
        <v>45621</v>
      </c>
      <c r="F45" s="430" t="s">
        <v>1210</v>
      </c>
      <c r="G45" s="163" t="s">
        <v>281</v>
      </c>
      <c r="H45" s="163" t="s">
        <v>196</v>
      </c>
      <c r="I45" s="198">
        <v>-266.33999999999997</v>
      </c>
    </row>
    <row r="46" spans="3:9">
      <c r="C46" s="150"/>
      <c r="E46" s="181">
        <v>45621</v>
      </c>
      <c r="F46" s="430" t="s">
        <v>919</v>
      </c>
      <c r="G46" s="163" t="s">
        <v>281</v>
      </c>
      <c r="H46" s="163" t="s">
        <v>129</v>
      </c>
      <c r="I46" s="198">
        <v>-2362</v>
      </c>
    </row>
    <row r="47" spans="3:9">
      <c r="C47" s="150"/>
      <c r="E47" s="181">
        <v>45621</v>
      </c>
      <c r="F47" s="430" t="s">
        <v>1353</v>
      </c>
      <c r="G47" s="163" t="s">
        <v>281</v>
      </c>
      <c r="H47" s="163" t="s">
        <v>760</v>
      </c>
      <c r="I47" s="198">
        <v>-390.31</v>
      </c>
    </row>
    <row r="48" spans="3:9">
      <c r="C48" s="150"/>
      <c r="E48" s="181">
        <v>45621</v>
      </c>
      <c r="F48" s="430" t="s">
        <v>1379</v>
      </c>
      <c r="G48" s="163" t="s">
        <v>281</v>
      </c>
      <c r="H48" s="163" t="s">
        <v>760</v>
      </c>
      <c r="I48" s="198">
        <v>-165.31</v>
      </c>
    </row>
    <row r="49" spans="3:9">
      <c r="C49" s="150"/>
      <c r="E49" s="181">
        <v>45621</v>
      </c>
      <c r="F49" s="163" t="s">
        <v>396</v>
      </c>
      <c r="G49" s="163" t="s">
        <v>281</v>
      </c>
      <c r="H49" s="163" t="s">
        <v>399</v>
      </c>
      <c r="I49" s="198">
        <v>-6976.18</v>
      </c>
    </row>
    <row r="50" spans="3:9">
      <c r="C50" s="150"/>
      <c r="E50" s="181">
        <v>45621</v>
      </c>
      <c r="F50" s="163" t="s">
        <v>2263</v>
      </c>
      <c r="G50" s="163" t="s">
        <v>281</v>
      </c>
      <c r="H50" s="163" t="s">
        <v>1288</v>
      </c>
      <c r="I50" s="198">
        <v>-6500</v>
      </c>
    </row>
    <row r="51" spans="3:9">
      <c r="C51" s="150"/>
      <c r="E51" s="181">
        <v>45621</v>
      </c>
      <c r="F51" s="180" t="s">
        <v>1087</v>
      </c>
      <c r="G51" s="180" t="s">
        <v>281</v>
      </c>
      <c r="H51" s="180" t="s">
        <v>1088</v>
      </c>
      <c r="I51" s="182">
        <v>-4000</v>
      </c>
    </row>
    <row r="52" spans="3:9">
      <c r="C52" s="150"/>
      <c r="E52" s="164">
        <v>45621</v>
      </c>
      <c r="F52" s="163" t="s">
        <v>346</v>
      </c>
      <c r="G52" s="163"/>
      <c r="H52" s="163"/>
      <c r="I52" s="165">
        <v>0</v>
      </c>
    </row>
    <row r="53" spans="3:9">
      <c r="C53" s="150"/>
      <c r="E53" s="164">
        <v>45622</v>
      </c>
      <c r="F53" s="163" t="s">
        <v>844</v>
      </c>
      <c r="G53" s="163" t="s">
        <v>281</v>
      </c>
      <c r="H53" s="163" t="s">
        <v>120</v>
      </c>
      <c r="I53" s="168">
        <v>-17000</v>
      </c>
    </row>
    <row r="54" spans="3:9">
      <c r="C54" s="150"/>
      <c r="E54" s="164">
        <v>45622</v>
      </c>
      <c r="F54" s="163" t="s">
        <v>1298</v>
      </c>
      <c r="G54" s="163" t="s">
        <v>281</v>
      </c>
      <c r="H54" s="163" t="s">
        <v>199</v>
      </c>
      <c r="I54" s="168">
        <v>-78.989999999999995</v>
      </c>
    </row>
    <row r="55" spans="3:9">
      <c r="C55" s="150"/>
      <c r="E55" s="164">
        <v>45622</v>
      </c>
      <c r="F55" s="163" t="s">
        <v>1296</v>
      </c>
      <c r="G55" s="163" t="s">
        <v>281</v>
      </c>
      <c r="H55" s="163" t="s">
        <v>196</v>
      </c>
      <c r="I55" s="168">
        <v>-5100</v>
      </c>
    </row>
    <row r="56" spans="3:9">
      <c r="C56" s="150"/>
      <c r="E56" s="164">
        <v>45622</v>
      </c>
      <c r="F56" s="163" t="s">
        <v>87</v>
      </c>
      <c r="G56" s="163" t="s">
        <v>281</v>
      </c>
      <c r="H56" s="163" t="s">
        <v>356</v>
      </c>
      <c r="I56" s="168">
        <v>-1500</v>
      </c>
    </row>
    <row r="57" spans="3:9">
      <c r="C57" s="150"/>
      <c r="E57" s="164">
        <v>45622</v>
      </c>
      <c r="F57" s="163" t="s">
        <v>346</v>
      </c>
      <c r="G57" s="163"/>
      <c r="H57" s="163"/>
      <c r="I57" s="165">
        <v>0</v>
      </c>
    </row>
    <row r="58" spans="3:9">
      <c r="C58" s="150"/>
      <c r="E58" s="164">
        <v>45624</v>
      </c>
      <c r="F58" s="163" t="s">
        <v>1215</v>
      </c>
      <c r="G58" s="163" t="s">
        <v>281</v>
      </c>
      <c r="H58" s="163" t="s">
        <v>407</v>
      </c>
      <c r="I58" s="165">
        <v>1750</v>
      </c>
    </row>
    <row r="59" spans="3:9">
      <c r="C59" s="150"/>
      <c r="E59" s="164">
        <v>45624</v>
      </c>
      <c r="F59" s="163" t="s">
        <v>1323</v>
      </c>
      <c r="G59" s="163" t="s">
        <v>281</v>
      </c>
      <c r="H59" s="163" t="s">
        <v>199</v>
      </c>
      <c r="I59" s="168">
        <v>-2535</v>
      </c>
    </row>
    <row r="60" spans="3:9">
      <c r="C60" s="150"/>
      <c r="E60" s="164">
        <v>45624</v>
      </c>
      <c r="F60" s="163" t="s">
        <v>989</v>
      </c>
      <c r="G60" s="163" t="s">
        <v>281</v>
      </c>
      <c r="H60" s="163" t="s">
        <v>199</v>
      </c>
      <c r="I60" s="168">
        <v>-1119</v>
      </c>
    </row>
    <row r="61" spans="3:9">
      <c r="C61" s="150"/>
      <c r="E61" s="164">
        <v>45624</v>
      </c>
      <c r="F61" s="163" t="s">
        <v>133</v>
      </c>
      <c r="G61" s="163" t="s">
        <v>281</v>
      </c>
      <c r="H61" s="163" t="s">
        <v>199</v>
      </c>
      <c r="I61" s="168">
        <v>-730</v>
      </c>
    </row>
    <row r="62" spans="3:9">
      <c r="C62" s="150"/>
      <c r="E62" s="164">
        <v>45624</v>
      </c>
      <c r="F62" s="163" t="s">
        <v>1033</v>
      </c>
      <c r="G62" s="163" t="s">
        <v>281</v>
      </c>
      <c r="H62" s="163" t="s">
        <v>120</v>
      </c>
      <c r="I62" s="168">
        <v>-6962.55</v>
      </c>
    </row>
    <row r="63" spans="3:9">
      <c r="C63" s="150"/>
      <c r="E63" s="164">
        <v>45624</v>
      </c>
      <c r="F63" s="163" t="s">
        <v>1103</v>
      </c>
      <c r="G63" s="163" t="s">
        <v>281</v>
      </c>
      <c r="H63" s="163" t="s">
        <v>356</v>
      </c>
      <c r="I63" s="168">
        <v>-1673</v>
      </c>
    </row>
    <row r="64" spans="3:9">
      <c r="C64" s="150"/>
      <c r="E64" s="164">
        <v>45624</v>
      </c>
      <c r="F64" s="163" t="s">
        <v>346</v>
      </c>
      <c r="G64" s="163"/>
      <c r="H64" s="163"/>
      <c r="I64" s="165">
        <v>0</v>
      </c>
    </row>
    <row r="65" spans="3:9">
      <c r="C65" s="150"/>
      <c r="E65" s="164">
        <v>45625</v>
      </c>
      <c r="F65" s="163" t="s">
        <v>1232</v>
      </c>
      <c r="G65" s="163" t="s">
        <v>281</v>
      </c>
      <c r="H65" s="163" t="s">
        <v>407</v>
      </c>
      <c r="I65" s="165">
        <v>1200</v>
      </c>
    </row>
    <row r="66" spans="3:9">
      <c r="C66" s="150"/>
      <c r="E66" s="164">
        <v>45625</v>
      </c>
      <c r="F66" s="163" t="s">
        <v>1616</v>
      </c>
      <c r="G66" s="163" t="s">
        <v>281</v>
      </c>
      <c r="H66" s="163" t="s">
        <v>289</v>
      </c>
      <c r="I66" s="165">
        <v>500</v>
      </c>
    </row>
    <row r="67" spans="3:9">
      <c r="C67" s="150"/>
      <c r="E67" s="164">
        <v>45625</v>
      </c>
      <c r="F67" s="163" t="s">
        <v>1632</v>
      </c>
      <c r="G67" s="163" t="s">
        <v>281</v>
      </c>
      <c r="H67" s="163" t="s">
        <v>289</v>
      </c>
      <c r="I67" s="165">
        <v>3885.12</v>
      </c>
    </row>
    <row r="68" spans="3:9">
      <c r="C68" s="150"/>
      <c r="E68" s="164">
        <v>45614</v>
      </c>
      <c r="F68" s="163" t="s">
        <v>1240</v>
      </c>
      <c r="G68" s="163" t="s">
        <v>281</v>
      </c>
      <c r="H68" s="163" t="s">
        <v>407</v>
      </c>
      <c r="I68" s="165">
        <v>5300</v>
      </c>
    </row>
    <row r="69" spans="3:9">
      <c r="C69" s="150"/>
      <c r="E69" s="164">
        <v>45621</v>
      </c>
      <c r="F69" s="163" t="s">
        <v>1279</v>
      </c>
      <c r="G69" s="163" t="s">
        <v>281</v>
      </c>
      <c r="H69" s="163" t="s">
        <v>407</v>
      </c>
      <c r="I69" s="165">
        <v>3500</v>
      </c>
    </row>
    <row r="70" spans="3:9">
      <c r="C70" s="150"/>
      <c r="E70" s="181">
        <v>45621</v>
      </c>
      <c r="F70" s="190" t="s">
        <v>1248</v>
      </c>
      <c r="G70" s="163" t="s">
        <v>281</v>
      </c>
      <c r="H70" s="163" t="s">
        <v>407</v>
      </c>
      <c r="I70" s="264">
        <v>2300</v>
      </c>
    </row>
    <row r="71" spans="3:9">
      <c r="C71" s="150"/>
      <c r="E71" s="164">
        <v>45621</v>
      </c>
      <c r="F71" s="163" t="s">
        <v>1256</v>
      </c>
      <c r="G71" s="163" t="s">
        <v>281</v>
      </c>
      <c r="H71" s="163" t="s">
        <v>407</v>
      </c>
      <c r="I71" s="264">
        <v>3500</v>
      </c>
    </row>
    <row r="72" spans="3:9">
      <c r="C72" s="150"/>
      <c r="E72" s="164">
        <v>45621</v>
      </c>
      <c r="F72" s="163" t="s">
        <v>615</v>
      </c>
      <c r="G72" s="163" t="s">
        <v>281</v>
      </c>
      <c r="H72" s="163" t="s">
        <v>407</v>
      </c>
      <c r="I72" s="264">
        <v>10500</v>
      </c>
    </row>
    <row r="73" spans="3:9">
      <c r="C73" s="150"/>
      <c r="E73" s="164">
        <v>45625</v>
      </c>
      <c r="F73" s="163" t="s">
        <v>321</v>
      </c>
      <c r="G73" s="163" t="s">
        <v>281</v>
      </c>
      <c r="H73" s="163" t="s">
        <v>121</v>
      </c>
      <c r="I73" s="168">
        <v>-159</v>
      </c>
    </row>
    <row r="74" spans="3:9">
      <c r="C74" s="150"/>
      <c r="E74" s="164">
        <v>45625</v>
      </c>
      <c r="F74" s="163" t="s">
        <v>447</v>
      </c>
      <c r="G74" s="163" t="s">
        <v>281</v>
      </c>
      <c r="H74" s="163" t="s">
        <v>121</v>
      </c>
      <c r="I74" s="168">
        <v>-244.2</v>
      </c>
    </row>
    <row r="75" spans="3:9">
      <c r="C75" s="150"/>
      <c r="E75" s="164">
        <v>45625</v>
      </c>
      <c r="F75" s="163" t="s">
        <v>451</v>
      </c>
      <c r="G75" s="163" t="s">
        <v>281</v>
      </c>
      <c r="H75" s="163" t="s">
        <v>121</v>
      </c>
      <c r="I75" s="168">
        <v>-506</v>
      </c>
    </row>
    <row r="76" spans="3:9">
      <c r="C76" s="150"/>
      <c r="E76" s="164">
        <v>45625</v>
      </c>
      <c r="F76" s="163" t="s">
        <v>463</v>
      </c>
      <c r="G76" s="163" t="s">
        <v>281</v>
      </c>
      <c r="H76" s="163" t="s">
        <v>121</v>
      </c>
      <c r="I76" s="168">
        <v>-210</v>
      </c>
    </row>
    <row r="77" spans="3:9">
      <c r="C77" s="150"/>
      <c r="E77" s="164">
        <v>45625</v>
      </c>
      <c r="F77" s="163" t="s">
        <v>469</v>
      </c>
      <c r="G77" s="163" t="s">
        <v>281</v>
      </c>
      <c r="H77" s="163" t="s">
        <v>121</v>
      </c>
      <c r="I77" s="168">
        <v>-244.2</v>
      </c>
    </row>
    <row r="78" spans="3:9">
      <c r="C78" s="150"/>
      <c r="E78" s="164">
        <v>45625</v>
      </c>
      <c r="F78" s="163" t="s">
        <v>358</v>
      </c>
      <c r="G78" s="163" t="s">
        <v>281</v>
      </c>
      <c r="H78" s="163" t="s">
        <v>121</v>
      </c>
      <c r="I78" s="168">
        <v>-220.5</v>
      </c>
    </row>
    <row r="79" spans="3:9">
      <c r="C79" s="150"/>
      <c r="E79" s="164">
        <v>45625</v>
      </c>
      <c r="F79" s="163" t="s">
        <v>131</v>
      </c>
      <c r="G79" s="163" t="s">
        <v>281</v>
      </c>
      <c r="H79" s="163" t="s">
        <v>199</v>
      </c>
      <c r="I79" s="168">
        <v>-5019.49</v>
      </c>
    </row>
    <row r="80" spans="3:9">
      <c r="C80" s="150"/>
      <c r="E80" s="164">
        <v>45625</v>
      </c>
      <c r="F80" s="163" t="s">
        <v>1870</v>
      </c>
      <c r="G80" s="163" t="s">
        <v>281</v>
      </c>
      <c r="H80" s="163" t="s">
        <v>791</v>
      </c>
      <c r="I80" s="168">
        <v>-1866.67</v>
      </c>
    </row>
    <row r="81" spans="3:9">
      <c r="C81" s="150"/>
      <c r="E81" s="164">
        <v>45625</v>
      </c>
      <c r="F81" s="163" t="s">
        <v>436</v>
      </c>
      <c r="G81" s="163" t="s">
        <v>281</v>
      </c>
      <c r="H81" s="163" t="s">
        <v>121</v>
      </c>
      <c r="I81" s="168">
        <v>-84</v>
      </c>
    </row>
    <row r="82" spans="3:9">
      <c r="C82" s="150"/>
      <c r="E82" s="164">
        <v>45625</v>
      </c>
      <c r="F82" s="163" t="s">
        <v>1287</v>
      </c>
      <c r="G82" s="163" t="s">
        <v>281</v>
      </c>
      <c r="H82" s="163" t="s">
        <v>1288</v>
      </c>
      <c r="I82" s="168">
        <v>-6500</v>
      </c>
    </row>
    <row r="83" spans="3:9">
      <c r="C83" s="150"/>
      <c r="E83" s="164">
        <v>45625</v>
      </c>
      <c r="F83" s="163" t="s">
        <v>466</v>
      </c>
      <c r="G83" s="163" t="s">
        <v>281</v>
      </c>
      <c r="H83" s="163" t="s">
        <v>121</v>
      </c>
      <c r="I83" s="168">
        <v>-241.5</v>
      </c>
    </row>
    <row r="84" spans="3:9">
      <c r="C84" s="150"/>
      <c r="E84" s="164">
        <v>45625</v>
      </c>
      <c r="F84" s="163" t="s">
        <v>501</v>
      </c>
      <c r="G84" s="163" t="s">
        <v>281</v>
      </c>
      <c r="H84" s="163" t="s">
        <v>121</v>
      </c>
      <c r="I84" s="168">
        <v>-241.5</v>
      </c>
    </row>
    <row r="85" spans="3:9">
      <c r="C85" s="150"/>
      <c r="E85" s="164">
        <v>45625</v>
      </c>
      <c r="F85" s="163" t="s">
        <v>505</v>
      </c>
      <c r="G85" s="163" t="s">
        <v>281</v>
      </c>
      <c r="H85" s="163" t="s">
        <v>121</v>
      </c>
      <c r="I85" s="168">
        <v>-241.5</v>
      </c>
    </row>
    <row r="86" spans="3:9">
      <c r="C86" s="150"/>
      <c r="E86" s="164">
        <v>45625</v>
      </c>
      <c r="F86" s="163" t="s">
        <v>1276</v>
      </c>
      <c r="G86" s="163" t="s">
        <v>281</v>
      </c>
      <c r="H86" s="163" t="s">
        <v>25</v>
      </c>
      <c r="I86" s="168">
        <v>-1297.5</v>
      </c>
    </row>
    <row r="87" spans="3:9">
      <c r="C87" s="150"/>
      <c r="E87" s="164">
        <v>45625</v>
      </c>
      <c r="F87" s="163" t="s">
        <v>1006</v>
      </c>
      <c r="G87" s="163" t="s">
        <v>281</v>
      </c>
      <c r="H87" s="163" t="s">
        <v>199</v>
      </c>
      <c r="I87" s="168">
        <v>-4692.2</v>
      </c>
    </row>
    <row r="88" spans="3:9">
      <c r="C88" s="150"/>
      <c r="E88" s="164">
        <v>45625</v>
      </c>
      <c r="F88" s="163" t="s">
        <v>484</v>
      </c>
      <c r="G88" s="163" t="s">
        <v>281</v>
      </c>
      <c r="H88" s="163" t="s">
        <v>121</v>
      </c>
      <c r="I88" s="168">
        <v>-91.3</v>
      </c>
    </row>
    <row r="89" spans="3:9">
      <c r="C89" s="150"/>
      <c r="E89" s="164">
        <v>45625</v>
      </c>
      <c r="F89" s="163" t="s">
        <v>1010</v>
      </c>
      <c r="G89" s="163" t="s">
        <v>281</v>
      </c>
      <c r="H89" s="163" t="s">
        <v>199</v>
      </c>
      <c r="I89" s="168">
        <v>-2000</v>
      </c>
    </row>
    <row r="90" spans="3:9">
      <c r="C90" s="150"/>
      <c r="E90" s="164">
        <v>45625</v>
      </c>
      <c r="F90" s="163" t="s">
        <v>484</v>
      </c>
      <c r="G90" s="163" t="s">
        <v>281</v>
      </c>
      <c r="H90" s="163" t="s">
        <v>1265</v>
      </c>
      <c r="I90" s="168">
        <v>-250</v>
      </c>
    </row>
    <row r="91" spans="3:9">
      <c r="C91" s="150"/>
      <c r="E91" s="164">
        <v>45625</v>
      </c>
      <c r="F91" s="163" t="s">
        <v>510</v>
      </c>
      <c r="G91" s="163" t="s">
        <v>281</v>
      </c>
      <c r="H91" s="163" t="s">
        <v>1265</v>
      </c>
      <c r="I91" s="168">
        <v>-312.5</v>
      </c>
    </row>
    <row r="92" spans="3:9">
      <c r="C92" s="150"/>
      <c r="E92" s="164">
        <v>45625</v>
      </c>
      <c r="F92" s="163" t="s">
        <v>513</v>
      </c>
      <c r="G92" s="163" t="s">
        <v>281</v>
      </c>
      <c r="H92" s="163" t="s">
        <v>1265</v>
      </c>
      <c r="I92" s="168">
        <v>-208.33</v>
      </c>
    </row>
    <row r="93" spans="3:9">
      <c r="C93" s="150"/>
      <c r="E93" s="164">
        <v>45625</v>
      </c>
      <c r="F93" s="163" t="s">
        <v>488</v>
      </c>
      <c r="G93" s="163" t="s">
        <v>281</v>
      </c>
      <c r="H93" s="163" t="s">
        <v>1265</v>
      </c>
      <c r="I93" s="168">
        <v>-422.5</v>
      </c>
    </row>
    <row r="94" spans="3:9">
      <c r="C94" s="150"/>
      <c r="E94" s="164">
        <v>45625</v>
      </c>
      <c r="F94" s="163" t="s">
        <v>491</v>
      </c>
      <c r="G94" s="163" t="s">
        <v>281</v>
      </c>
      <c r="H94" s="163" t="s">
        <v>1265</v>
      </c>
      <c r="I94" s="168">
        <v>-750</v>
      </c>
    </row>
    <row r="95" spans="3:9">
      <c r="C95" s="150"/>
      <c r="E95" s="164">
        <v>45625</v>
      </c>
      <c r="F95" s="163" t="s">
        <v>528</v>
      </c>
      <c r="G95" s="163" t="s">
        <v>281</v>
      </c>
      <c r="H95" s="163" t="s">
        <v>1265</v>
      </c>
      <c r="I95" s="168">
        <v>-312.5</v>
      </c>
    </row>
    <row r="96" spans="3:9">
      <c r="C96" s="150"/>
      <c r="E96" s="164">
        <v>45625</v>
      </c>
      <c r="F96" s="163" t="s">
        <v>516</v>
      </c>
      <c r="G96" s="163" t="s">
        <v>281</v>
      </c>
      <c r="H96" s="163" t="s">
        <v>1265</v>
      </c>
      <c r="I96" s="168">
        <v>-250</v>
      </c>
    </row>
    <row r="97" spans="3:9">
      <c r="C97" s="150"/>
      <c r="E97" s="164">
        <v>45625</v>
      </c>
      <c r="F97" s="163" t="s">
        <v>519</v>
      </c>
      <c r="G97" s="163" t="s">
        <v>281</v>
      </c>
      <c r="H97" s="163" t="s">
        <v>1265</v>
      </c>
      <c r="I97" s="168">
        <v>-250</v>
      </c>
    </row>
    <row r="98" spans="3:9">
      <c r="C98" s="150"/>
      <c r="E98" s="164">
        <v>45625</v>
      </c>
      <c r="F98" s="163" t="s">
        <v>522</v>
      </c>
      <c r="G98" s="163" t="s">
        <v>281</v>
      </c>
      <c r="H98" s="163" t="s">
        <v>1265</v>
      </c>
      <c r="I98" s="168">
        <v>-437.5</v>
      </c>
    </row>
    <row r="99" spans="3:9">
      <c r="C99" s="150"/>
      <c r="E99" s="164">
        <v>45625</v>
      </c>
      <c r="F99" s="163" t="s">
        <v>1266</v>
      </c>
      <c r="G99" s="163" t="s">
        <v>281</v>
      </c>
      <c r="H99" s="163" t="s">
        <v>1265</v>
      </c>
      <c r="I99" s="168">
        <v>-183.33</v>
      </c>
    </row>
    <row r="100" spans="3:9">
      <c r="C100" s="150"/>
      <c r="E100" s="164">
        <v>45625</v>
      </c>
      <c r="F100" s="163" t="s">
        <v>494</v>
      </c>
      <c r="G100" s="163" t="s">
        <v>281</v>
      </c>
      <c r="H100" s="163" t="s">
        <v>1265</v>
      </c>
      <c r="I100" s="168">
        <v>-250</v>
      </c>
    </row>
    <row r="101" spans="3:9">
      <c r="C101" s="150"/>
      <c r="E101" s="164">
        <v>45625</v>
      </c>
      <c r="F101" s="163" t="s">
        <v>525</v>
      </c>
      <c r="G101" s="163" t="s">
        <v>281</v>
      </c>
      <c r="H101" s="163" t="s">
        <v>1265</v>
      </c>
      <c r="I101" s="168">
        <v>-437.5</v>
      </c>
    </row>
    <row r="102" spans="3:9">
      <c r="C102" s="150"/>
      <c r="E102" s="164">
        <v>45625</v>
      </c>
      <c r="F102" s="163" t="s">
        <v>112</v>
      </c>
      <c r="G102" s="163" t="s">
        <v>281</v>
      </c>
      <c r="H102" s="163" t="s">
        <v>1265</v>
      </c>
      <c r="I102" s="168">
        <v>-208.33</v>
      </c>
    </row>
    <row r="103" spans="3:9">
      <c r="C103" s="150"/>
      <c r="E103" s="164">
        <v>45625</v>
      </c>
      <c r="F103" s="163" t="s">
        <v>533</v>
      </c>
      <c r="G103" s="163" t="s">
        <v>281</v>
      </c>
      <c r="H103" s="163" t="s">
        <v>1265</v>
      </c>
      <c r="I103" s="168">
        <v>-166.67</v>
      </c>
    </row>
    <row r="104" spans="3:9">
      <c r="C104" s="150"/>
      <c r="E104" s="164">
        <v>45625</v>
      </c>
      <c r="F104" s="163" t="s">
        <v>536</v>
      </c>
      <c r="G104" s="163" t="s">
        <v>281</v>
      </c>
      <c r="H104" s="163" t="s">
        <v>1265</v>
      </c>
      <c r="I104" s="168">
        <v>-250</v>
      </c>
    </row>
    <row r="105" spans="3:9">
      <c r="C105" s="150"/>
      <c r="E105" s="164">
        <v>45625</v>
      </c>
      <c r="F105" s="163" t="s">
        <v>436</v>
      </c>
      <c r="G105" s="163" t="s">
        <v>281</v>
      </c>
      <c r="H105" s="163" t="s">
        <v>1265</v>
      </c>
      <c r="I105" s="168">
        <v>-2720.64</v>
      </c>
    </row>
    <row r="106" spans="3:9">
      <c r="C106" s="150"/>
      <c r="E106" s="164">
        <v>45625</v>
      </c>
      <c r="F106" s="163" t="s">
        <v>93</v>
      </c>
      <c r="G106" s="163" t="s">
        <v>281</v>
      </c>
      <c r="H106" s="163" t="s">
        <v>1265</v>
      </c>
      <c r="I106" s="168">
        <v>-1500</v>
      </c>
    </row>
    <row r="107" spans="3:9">
      <c r="C107" s="150"/>
      <c r="E107" s="164">
        <v>45625</v>
      </c>
      <c r="F107" s="163" t="s">
        <v>321</v>
      </c>
      <c r="G107" s="163" t="s">
        <v>281</v>
      </c>
      <c r="H107" s="163" t="s">
        <v>1265</v>
      </c>
      <c r="I107" s="168">
        <v>-1204.6300000000001</v>
      </c>
    </row>
    <row r="108" spans="3:9">
      <c r="C108" s="150"/>
      <c r="E108" s="164">
        <v>45625</v>
      </c>
      <c r="F108" s="163" t="s">
        <v>451</v>
      </c>
      <c r="G108" s="163" t="s">
        <v>281</v>
      </c>
      <c r="H108" s="163" t="s">
        <v>1265</v>
      </c>
      <c r="I108" s="168">
        <v>-1089.54</v>
      </c>
    </row>
    <row r="109" spans="3:9">
      <c r="C109" s="150"/>
      <c r="E109" s="164">
        <v>45625</v>
      </c>
      <c r="F109" s="163" t="s">
        <v>358</v>
      </c>
      <c r="G109" s="163" t="s">
        <v>281</v>
      </c>
      <c r="H109" s="163" t="s">
        <v>1265</v>
      </c>
      <c r="I109" s="168">
        <v>-1007.01</v>
      </c>
    </row>
    <row r="110" spans="3:9">
      <c r="C110" s="150"/>
      <c r="E110" s="164">
        <v>45625</v>
      </c>
      <c r="F110" s="163" t="s">
        <v>669</v>
      </c>
      <c r="G110" s="163" t="s">
        <v>281</v>
      </c>
      <c r="H110" s="163" t="s">
        <v>1265</v>
      </c>
      <c r="I110" s="168">
        <v>-375</v>
      </c>
    </row>
    <row r="111" spans="3:9">
      <c r="C111" s="150"/>
      <c r="E111" s="164">
        <v>45625</v>
      </c>
      <c r="F111" s="163" t="s">
        <v>88</v>
      </c>
      <c r="G111" s="163" t="s">
        <v>281</v>
      </c>
      <c r="H111" s="163" t="s">
        <v>1265</v>
      </c>
      <c r="I111" s="168">
        <v>-1125</v>
      </c>
    </row>
    <row r="112" spans="3:9">
      <c r="C112" s="150"/>
      <c r="E112" s="164">
        <v>45625</v>
      </c>
      <c r="F112" s="163" t="s">
        <v>95</v>
      </c>
      <c r="G112" s="163" t="s">
        <v>281</v>
      </c>
      <c r="H112" s="163" t="s">
        <v>1265</v>
      </c>
      <c r="I112" s="168">
        <v>-2029.32</v>
      </c>
    </row>
    <row r="113" spans="3:9">
      <c r="C113" s="150"/>
      <c r="E113" s="164">
        <v>45625</v>
      </c>
      <c r="F113" s="163" t="s">
        <v>441</v>
      </c>
      <c r="G113" s="163" t="s">
        <v>281</v>
      </c>
      <c r="H113" s="163" t="s">
        <v>1265</v>
      </c>
      <c r="I113" s="168">
        <v>-915</v>
      </c>
    </row>
    <row r="114" spans="3:9">
      <c r="C114" s="150"/>
      <c r="E114" s="164">
        <v>45625</v>
      </c>
      <c r="F114" s="163" t="s">
        <v>433</v>
      </c>
      <c r="G114" s="163" t="s">
        <v>281</v>
      </c>
      <c r="H114" s="163" t="s">
        <v>1265</v>
      </c>
      <c r="I114" s="168">
        <v>-2720.64</v>
      </c>
    </row>
    <row r="115" spans="3:9">
      <c r="C115" s="150"/>
      <c r="E115" s="164">
        <v>45625</v>
      </c>
      <c r="F115" s="163" t="s">
        <v>543</v>
      </c>
      <c r="G115" s="163" t="s">
        <v>281</v>
      </c>
      <c r="H115" s="163" t="s">
        <v>1265</v>
      </c>
      <c r="I115" s="168">
        <v>-208.33</v>
      </c>
    </row>
    <row r="116" spans="3:9">
      <c r="C116" s="150"/>
      <c r="E116" s="164">
        <v>45625</v>
      </c>
      <c r="F116" s="163" t="s">
        <v>472</v>
      </c>
      <c r="G116" s="163" t="s">
        <v>281</v>
      </c>
      <c r="H116" s="163" t="s">
        <v>1265</v>
      </c>
      <c r="I116" s="168">
        <v>-1292.1300000000001</v>
      </c>
    </row>
    <row r="117" spans="3:9">
      <c r="C117" s="150"/>
      <c r="E117" s="164">
        <v>45625</v>
      </c>
      <c r="F117" s="163" t="s">
        <v>501</v>
      </c>
      <c r="G117" s="163" t="s">
        <v>281</v>
      </c>
      <c r="H117" s="163" t="s">
        <v>1265</v>
      </c>
      <c r="I117" s="168">
        <v>-263.12</v>
      </c>
    </row>
    <row r="118" spans="3:9">
      <c r="C118" s="150"/>
      <c r="E118" s="164">
        <v>45625</v>
      </c>
      <c r="F118" s="163" t="s">
        <v>546</v>
      </c>
      <c r="G118" s="163" t="s">
        <v>281</v>
      </c>
      <c r="H118" s="163" t="s">
        <v>1265</v>
      </c>
      <c r="I118" s="168">
        <v>-328.16</v>
      </c>
    </row>
    <row r="119" spans="3:9">
      <c r="C119" s="150"/>
      <c r="E119" s="164">
        <v>45625</v>
      </c>
      <c r="F119" s="163" t="s">
        <v>99</v>
      </c>
      <c r="G119" s="163" t="s">
        <v>281</v>
      </c>
      <c r="H119" s="163" t="s">
        <v>1265</v>
      </c>
      <c r="I119" s="168">
        <v>-1853.41</v>
      </c>
    </row>
    <row r="120" spans="3:9">
      <c r="C120" s="150"/>
      <c r="E120" s="164">
        <v>45625</v>
      </c>
      <c r="F120" s="163" t="s">
        <v>481</v>
      </c>
      <c r="G120" s="163" t="s">
        <v>281</v>
      </c>
      <c r="H120" s="163" t="s">
        <v>1265</v>
      </c>
      <c r="I120" s="168">
        <v>-666.67</v>
      </c>
    </row>
    <row r="121" spans="3:9">
      <c r="C121" s="150"/>
      <c r="E121" s="164">
        <v>45625</v>
      </c>
      <c r="F121" s="163" t="s">
        <v>457</v>
      </c>
      <c r="G121" s="163" t="s">
        <v>281</v>
      </c>
      <c r="H121" s="163" t="s">
        <v>1265</v>
      </c>
      <c r="I121" s="168">
        <v>-1161.25</v>
      </c>
    </row>
    <row r="122" spans="3:9">
      <c r="C122" s="150"/>
      <c r="E122" s="164">
        <v>45625</v>
      </c>
      <c r="F122" s="163" t="s">
        <v>362</v>
      </c>
      <c r="G122" s="163" t="s">
        <v>281</v>
      </c>
      <c r="H122" s="163" t="s">
        <v>1265</v>
      </c>
      <c r="I122" s="168">
        <v>-616.66999999999996</v>
      </c>
    </row>
    <row r="123" spans="3:9">
      <c r="C123" s="150"/>
      <c r="E123" s="164">
        <v>45625</v>
      </c>
      <c r="F123" s="163" t="s">
        <v>460</v>
      </c>
      <c r="G123" s="163" t="s">
        <v>281</v>
      </c>
      <c r="H123" s="163" t="s">
        <v>1265</v>
      </c>
      <c r="I123" s="168">
        <v>-1157</v>
      </c>
    </row>
    <row r="124" spans="3:9">
      <c r="C124" s="150"/>
      <c r="E124" s="164">
        <v>45625</v>
      </c>
      <c r="F124" s="163" t="s">
        <v>549</v>
      </c>
      <c r="G124" s="163" t="s">
        <v>281</v>
      </c>
      <c r="H124" s="163" t="s">
        <v>1265</v>
      </c>
      <c r="I124" s="168">
        <v>-541.66999999999996</v>
      </c>
    </row>
    <row r="125" spans="3:9">
      <c r="C125" s="150"/>
      <c r="E125" s="164">
        <v>45625</v>
      </c>
      <c r="F125" s="163" t="s">
        <v>463</v>
      </c>
      <c r="G125" s="163" t="s">
        <v>281</v>
      </c>
      <c r="H125" s="163" t="s">
        <v>1265</v>
      </c>
      <c r="I125" s="168">
        <v>-730.88</v>
      </c>
    </row>
    <row r="126" spans="3:9">
      <c r="C126" s="150"/>
      <c r="E126" s="164">
        <v>45625</v>
      </c>
      <c r="F126" s="163" t="s">
        <v>447</v>
      </c>
      <c r="G126" s="163" t="s">
        <v>281</v>
      </c>
      <c r="H126" s="163" t="s">
        <v>1265</v>
      </c>
      <c r="I126" s="168">
        <v>-762.5</v>
      </c>
    </row>
    <row r="127" spans="3:9">
      <c r="C127" s="150"/>
      <c r="E127" s="164">
        <v>45625</v>
      </c>
      <c r="F127" s="163" t="s">
        <v>466</v>
      </c>
      <c r="G127" s="163" t="s">
        <v>281</v>
      </c>
      <c r="H127" s="163" t="s">
        <v>1265</v>
      </c>
      <c r="I127" s="168">
        <v>-922.41</v>
      </c>
    </row>
    <row r="128" spans="3:9">
      <c r="C128" s="150"/>
      <c r="E128" s="164">
        <v>45625</v>
      </c>
      <c r="F128" s="163" t="s">
        <v>469</v>
      </c>
      <c r="G128" s="163" t="s">
        <v>281</v>
      </c>
      <c r="H128" s="163" t="s">
        <v>1265</v>
      </c>
      <c r="I128" s="168">
        <v>-1032</v>
      </c>
    </row>
    <row r="129" spans="3:9">
      <c r="C129" s="150"/>
      <c r="E129" s="164">
        <v>45625</v>
      </c>
      <c r="F129" s="163" t="s">
        <v>111</v>
      </c>
      <c r="G129" s="163" t="s">
        <v>281</v>
      </c>
      <c r="H129" s="163" t="s">
        <v>1265</v>
      </c>
      <c r="I129" s="168">
        <v>-500</v>
      </c>
    </row>
    <row r="130" spans="3:9">
      <c r="C130" s="150"/>
      <c r="E130" s="164">
        <v>45625</v>
      </c>
      <c r="F130" s="163" t="s">
        <v>87</v>
      </c>
      <c r="G130" s="163" t="s">
        <v>281</v>
      </c>
      <c r="H130" s="163" t="s">
        <v>1265</v>
      </c>
      <c r="I130" s="168">
        <v>-3808.89</v>
      </c>
    </row>
    <row r="131" spans="3:9">
      <c r="C131" s="150"/>
      <c r="E131" s="164">
        <v>45625</v>
      </c>
      <c r="F131" s="163" t="s">
        <v>505</v>
      </c>
      <c r="G131" s="163" t="s">
        <v>281</v>
      </c>
      <c r="H131" s="163" t="s">
        <v>1265</v>
      </c>
      <c r="I131" s="168">
        <v>-276.73</v>
      </c>
    </row>
    <row r="132" spans="3:9">
      <c r="C132" s="150"/>
      <c r="E132" s="164">
        <v>45625</v>
      </c>
      <c r="F132" s="163" t="s">
        <v>444</v>
      </c>
      <c r="G132" s="163" t="s">
        <v>281</v>
      </c>
      <c r="H132" s="163" t="s">
        <v>1265</v>
      </c>
      <c r="I132" s="168">
        <v>-915</v>
      </c>
    </row>
    <row r="133" spans="3:9">
      <c r="C133" s="150"/>
      <c r="E133" s="164">
        <v>45625</v>
      </c>
      <c r="F133" s="163" t="s">
        <v>794</v>
      </c>
      <c r="G133" s="163" t="s">
        <v>281</v>
      </c>
      <c r="H133" s="163" t="s">
        <v>791</v>
      </c>
      <c r="I133" s="168">
        <v>-1033.33</v>
      </c>
    </row>
    <row r="134" spans="3:9">
      <c r="C134" s="150"/>
      <c r="E134" s="164">
        <v>45625</v>
      </c>
      <c r="F134" s="163" t="s">
        <v>1001</v>
      </c>
      <c r="G134" s="163" t="s">
        <v>281</v>
      </c>
      <c r="H134" s="163" t="s">
        <v>199</v>
      </c>
      <c r="I134" s="431">
        <v>-35500</v>
      </c>
    </row>
    <row r="135" spans="3:9">
      <c r="C135" s="150"/>
      <c r="E135" s="181">
        <v>45625</v>
      </c>
      <c r="F135" s="163" t="s">
        <v>1001</v>
      </c>
      <c r="G135" s="163" t="s">
        <v>281</v>
      </c>
      <c r="H135" s="163" t="s">
        <v>199</v>
      </c>
      <c r="I135" s="168">
        <v>-2500</v>
      </c>
    </row>
    <row r="136" spans="3:9">
      <c r="C136" s="150"/>
      <c r="E136" s="164">
        <v>45625</v>
      </c>
      <c r="F136" s="163" t="s">
        <v>326</v>
      </c>
      <c r="G136" s="163" t="s">
        <v>281</v>
      </c>
      <c r="H136" s="163" t="s">
        <v>356</v>
      </c>
      <c r="I136" s="168">
        <v>-400</v>
      </c>
    </row>
    <row r="137" spans="3:9">
      <c r="C137" s="150"/>
      <c r="E137" s="181">
        <v>45625</v>
      </c>
      <c r="F137" s="163" t="s">
        <v>1269</v>
      </c>
      <c r="G137" s="163" t="s">
        <v>281</v>
      </c>
      <c r="H137" s="163" t="s">
        <v>1140</v>
      </c>
      <c r="I137" s="168">
        <v>-1997</v>
      </c>
    </row>
    <row r="138" spans="3:9">
      <c r="C138" s="150"/>
      <c r="E138" s="164">
        <v>45625</v>
      </c>
      <c r="F138" s="163" t="s">
        <v>346</v>
      </c>
      <c r="G138" s="163"/>
      <c r="H138" s="163"/>
      <c r="I138" s="165">
        <v>0</v>
      </c>
    </row>
    <row r="139" spans="3:9">
      <c r="C139" s="150"/>
      <c r="E139" s="181">
        <v>45628</v>
      </c>
      <c r="F139" s="180" t="s">
        <v>919</v>
      </c>
      <c r="G139" s="180" t="s">
        <v>281</v>
      </c>
      <c r="H139" s="180" t="s">
        <v>129</v>
      </c>
      <c r="I139" s="182">
        <v>-2362</v>
      </c>
    </row>
    <row r="140" spans="3:9">
      <c r="C140" s="150"/>
      <c r="E140" s="181">
        <v>45628</v>
      </c>
      <c r="F140" s="180" t="s">
        <v>2264</v>
      </c>
      <c r="G140" s="180" t="s">
        <v>281</v>
      </c>
      <c r="H140" s="180" t="s">
        <v>193</v>
      </c>
      <c r="I140" s="182">
        <v>-4000</v>
      </c>
    </row>
    <row r="141" spans="3:9">
      <c r="C141" s="150"/>
      <c r="E141" s="181">
        <v>45628</v>
      </c>
      <c r="F141" s="180" t="s">
        <v>2265</v>
      </c>
      <c r="G141" s="180" t="s">
        <v>281</v>
      </c>
      <c r="H141" s="180" t="s">
        <v>1552</v>
      </c>
      <c r="I141" s="182">
        <f>-6500/2</f>
        <v>-3250</v>
      </c>
    </row>
    <row r="142" spans="3:9">
      <c r="C142" s="150"/>
      <c r="E142" s="164">
        <v>45628</v>
      </c>
      <c r="F142" s="163" t="s">
        <v>209</v>
      </c>
      <c r="G142" s="163" t="s">
        <v>281</v>
      </c>
      <c r="H142" s="163" t="s">
        <v>209</v>
      </c>
      <c r="I142" s="168">
        <v>-823.14</v>
      </c>
    </row>
    <row r="143" spans="3:9">
      <c r="C143" s="150"/>
      <c r="E143" s="164">
        <v>45628</v>
      </c>
      <c r="F143" s="163" t="s">
        <v>1013</v>
      </c>
      <c r="G143" s="163" t="s">
        <v>281</v>
      </c>
      <c r="H143" s="163" t="s">
        <v>199</v>
      </c>
      <c r="I143" s="168">
        <v>-1000</v>
      </c>
    </row>
    <row r="144" spans="3:9">
      <c r="C144" s="150"/>
      <c r="E144" s="164">
        <v>45628</v>
      </c>
      <c r="F144" s="163" t="s">
        <v>1303</v>
      </c>
      <c r="G144" s="163" t="s">
        <v>281</v>
      </c>
      <c r="H144" s="163" t="s">
        <v>791</v>
      </c>
      <c r="I144" s="168">
        <v>-9005.5</v>
      </c>
    </row>
    <row r="145" spans="3:9">
      <c r="C145" s="150"/>
      <c r="E145" s="164">
        <v>45628</v>
      </c>
      <c r="F145" s="163" t="s">
        <v>351</v>
      </c>
      <c r="G145" s="163" t="s">
        <v>281</v>
      </c>
      <c r="H145" s="163" t="s">
        <v>359</v>
      </c>
      <c r="I145" s="168">
        <v>-1200</v>
      </c>
    </row>
    <row r="146" spans="3:9">
      <c r="C146" s="150"/>
      <c r="E146" s="164">
        <v>45628</v>
      </c>
      <c r="F146" s="163" t="s">
        <v>1276</v>
      </c>
      <c r="G146" s="163" t="s">
        <v>281</v>
      </c>
      <c r="H146" s="163" t="s">
        <v>25</v>
      </c>
      <c r="I146" s="168">
        <v>-1297.5</v>
      </c>
    </row>
    <row r="147" spans="3:9">
      <c r="C147" s="150"/>
      <c r="E147" s="164">
        <v>45628</v>
      </c>
      <c r="F147" s="163" t="s">
        <v>1305</v>
      </c>
      <c r="G147" s="163" t="s">
        <v>281</v>
      </c>
      <c r="H147" s="163" t="s">
        <v>199</v>
      </c>
      <c r="I147" s="168">
        <v>-3000</v>
      </c>
    </row>
    <row r="148" spans="3:9">
      <c r="C148" s="150"/>
      <c r="E148" s="164">
        <v>45628</v>
      </c>
      <c r="F148" s="163" t="s">
        <v>346</v>
      </c>
      <c r="G148" s="163"/>
      <c r="H148" s="163"/>
      <c r="I148" s="165">
        <v>0</v>
      </c>
    </row>
    <row r="149" spans="3:9">
      <c r="C149" s="150"/>
      <c r="E149" s="164">
        <v>45629</v>
      </c>
      <c r="F149" s="163" t="s">
        <v>472</v>
      </c>
      <c r="G149" s="163" t="s">
        <v>281</v>
      </c>
      <c r="H149" s="163" t="s">
        <v>1314</v>
      </c>
      <c r="I149" s="168">
        <v>-3082.69</v>
      </c>
    </row>
    <row r="150" spans="3:9">
      <c r="C150" s="150"/>
      <c r="E150" s="164">
        <v>45629</v>
      </c>
      <c r="F150" s="163" t="s">
        <v>346</v>
      </c>
      <c r="G150" s="163"/>
      <c r="H150" s="163"/>
      <c r="I150" s="165">
        <v>0</v>
      </c>
    </row>
    <row r="151" spans="3:9">
      <c r="C151" s="150"/>
      <c r="E151" s="164">
        <v>45630</v>
      </c>
      <c r="F151" s="163" t="s">
        <v>126</v>
      </c>
      <c r="G151" s="163" t="s">
        <v>281</v>
      </c>
      <c r="H151" s="163" t="s">
        <v>199</v>
      </c>
      <c r="I151" s="168">
        <v>-120</v>
      </c>
    </row>
    <row r="152" spans="3:9">
      <c r="C152" s="150"/>
      <c r="E152" s="164">
        <v>45630</v>
      </c>
      <c r="F152" s="163" t="s">
        <v>989</v>
      </c>
      <c r="G152" s="163" t="s">
        <v>281</v>
      </c>
      <c r="H152" s="163" t="s">
        <v>199</v>
      </c>
      <c r="I152" s="168">
        <v>-1500</v>
      </c>
    </row>
    <row r="153" spans="3:9">
      <c r="C153" s="150"/>
      <c r="E153" s="164">
        <v>45630</v>
      </c>
      <c r="F153" s="163" t="s">
        <v>346</v>
      </c>
      <c r="G153" s="163"/>
      <c r="H153" s="163"/>
      <c r="I153" s="165">
        <v>0</v>
      </c>
    </row>
    <row r="154" spans="3:9">
      <c r="C154" s="150"/>
      <c r="E154" s="164">
        <v>45631</v>
      </c>
      <c r="F154" s="163" t="s">
        <v>1316</v>
      </c>
      <c r="G154" s="163" t="s">
        <v>281</v>
      </c>
      <c r="H154" s="163" t="s">
        <v>407</v>
      </c>
      <c r="I154" s="165">
        <v>1000</v>
      </c>
    </row>
    <row r="155" spans="3:9">
      <c r="C155" s="150"/>
      <c r="E155" s="164">
        <v>45631</v>
      </c>
      <c r="F155" s="163" t="s">
        <v>68</v>
      </c>
      <c r="G155" s="163" t="s">
        <v>281</v>
      </c>
      <c r="H155" s="163" t="s">
        <v>407</v>
      </c>
      <c r="I155" s="165">
        <v>2500</v>
      </c>
    </row>
    <row r="156" spans="3:9">
      <c r="C156" s="150"/>
      <c r="E156" s="164">
        <v>45631</v>
      </c>
      <c r="F156" s="163" t="s">
        <v>421</v>
      </c>
      <c r="G156" s="163" t="s">
        <v>281</v>
      </c>
      <c r="H156" s="163" t="s">
        <v>407</v>
      </c>
      <c r="I156" s="165">
        <v>2800</v>
      </c>
    </row>
    <row r="157" spans="3:9">
      <c r="C157" s="150"/>
      <c r="E157" s="164">
        <v>45631</v>
      </c>
      <c r="F157" s="163" t="s">
        <v>67</v>
      </c>
      <c r="G157" s="163" t="s">
        <v>281</v>
      </c>
      <c r="H157" s="163" t="s">
        <v>407</v>
      </c>
      <c r="I157" s="165">
        <v>2950</v>
      </c>
    </row>
    <row r="158" spans="3:9">
      <c r="C158" s="150"/>
      <c r="E158" s="164">
        <v>45631</v>
      </c>
      <c r="F158" s="163" t="s">
        <v>406</v>
      </c>
      <c r="G158" s="163" t="s">
        <v>281</v>
      </c>
      <c r="H158" s="163" t="s">
        <v>407</v>
      </c>
      <c r="I158" s="165">
        <v>4200</v>
      </c>
    </row>
    <row r="159" spans="3:9">
      <c r="C159" s="150"/>
      <c r="E159" s="164">
        <v>45631</v>
      </c>
      <c r="F159" s="163" t="s">
        <v>600</v>
      </c>
      <c r="G159" s="163" t="s">
        <v>281</v>
      </c>
      <c r="H159" s="163" t="s">
        <v>407</v>
      </c>
      <c r="I159" s="165">
        <v>4500</v>
      </c>
    </row>
    <row r="160" spans="3:9">
      <c r="C160" s="150"/>
      <c r="E160" s="164">
        <v>45631</v>
      </c>
      <c r="F160" s="163" t="s">
        <v>396</v>
      </c>
      <c r="G160" s="163" t="s">
        <v>281</v>
      </c>
      <c r="H160" s="163" t="s">
        <v>196</v>
      </c>
      <c r="I160" s="168">
        <v>-9084.9599999999991</v>
      </c>
    </row>
    <row r="161" spans="3:9">
      <c r="C161" s="150"/>
      <c r="E161" s="164">
        <v>45631</v>
      </c>
      <c r="F161" s="163" t="s">
        <v>396</v>
      </c>
      <c r="G161" s="163" t="s">
        <v>281</v>
      </c>
      <c r="H161" s="163" t="s">
        <v>399</v>
      </c>
      <c r="I161" s="168">
        <v>-4305.45</v>
      </c>
    </row>
    <row r="162" spans="3:9">
      <c r="C162" s="150"/>
      <c r="E162" s="164">
        <v>45631</v>
      </c>
      <c r="F162" s="163" t="s">
        <v>391</v>
      </c>
      <c r="G162" s="163" t="s">
        <v>281</v>
      </c>
      <c r="H162" s="163" t="s">
        <v>392</v>
      </c>
      <c r="I162" s="168">
        <v>-5000</v>
      </c>
    </row>
    <row r="163" spans="3:9">
      <c r="C163" s="150"/>
      <c r="E163" s="164">
        <v>45631</v>
      </c>
      <c r="F163" s="163" t="s">
        <v>365</v>
      </c>
      <c r="G163" s="163" t="s">
        <v>281</v>
      </c>
      <c r="H163" s="163" t="s">
        <v>199</v>
      </c>
      <c r="I163" s="168">
        <v>-296.10000000000002</v>
      </c>
    </row>
    <row r="164" spans="3:9">
      <c r="C164" s="150"/>
      <c r="E164" s="164">
        <v>45631</v>
      </c>
      <c r="F164" s="163" t="s">
        <v>1370</v>
      </c>
      <c r="G164" s="163" t="s">
        <v>281</v>
      </c>
      <c r="H164" s="163" t="s">
        <v>199</v>
      </c>
      <c r="I164" s="168">
        <v>-111</v>
      </c>
    </row>
    <row r="165" spans="3:9">
      <c r="C165" s="150"/>
      <c r="E165" s="164">
        <v>45631</v>
      </c>
      <c r="F165" s="163" t="s">
        <v>346</v>
      </c>
      <c r="G165" s="163"/>
      <c r="H165" s="163"/>
      <c r="I165" s="165">
        <v>0</v>
      </c>
    </row>
    <row r="166" spans="3:9">
      <c r="C166" s="150"/>
      <c r="E166" s="164">
        <v>45632</v>
      </c>
      <c r="F166" s="163" t="s">
        <v>87</v>
      </c>
      <c r="G166" s="163" t="s">
        <v>281</v>
      </c>
      <c r="H166" s="163" t="s">
        <v>18</v>
      </c>
      <c r="I166" s="168">
        <v>-5716.59</v>
      </c>
    </row>
    <row r="167" spans="3:9">
      <c r="C167" s="150"/>
      <c r="E167" s="164">
        <v>45632</v>
      </c>
      <c r="F167" s="163" t="s">
        <v>433</v>
      </c>
      <c r="G167" s="163" t="s">
        <v>281</v>
      </c>
      <c r="H167" s="163" t="s">
        <v>18</v>
      </c>
      <c r="I167" s="168">
        <v>-3998.6</v>
      </c>
    </row>
    <row r="168" spans="3:9">
      <c r="C168" s="150"/>
      <c r="E168" s="164">
        <v>45632</v>
      </c>
      <c r="F168" s="163" t="s">
        <v>436</v>
      </c>
      <c r="G168" s="163" t="s">
        <v>281</v>
      </c>
      <c r="H168" s="163" t="s">
        <v>18</v>
      </c>
      <c r="I168" s="168">
        <v>-4139.3599999999997</v>
      </c>
    </row>
    <row r="169" spans="3:9">
      <c r="C169" s="150"/>
      <c r="E169" s="164">
        <v>45632</v>
      </c>
      <c r="F169" s="163" t="s">
        <v>95</v>
      </c>
      <c r="G169" s="163" t="s">
        <v>281</v>
      </c>
      <c r="H169" s="163" t="s">
        <v>18</v>
      </c>
      <c r="I169" s="168">
        <v>-2534.4899999999998</v>
      </c>
    </row>
    <row r="170" spans="3:9">
      <c r="C170" s="150"/>
      <c r="E170" s="164">
        <v>45632</v>
      </c>
      <c r="F170" s="163" t="s">
        <v>472</v>
      </c>
      <c r="G170" s="163" t="s">
        <v>281</v>
      </c>
      <c r="H170" s="163" t="s">
        <v>18</v>
      </c>
      <c r="I170" s="168">
        <v>-2296.1799999999998</v>
      </c>
    </row>
    <row r="171" spans="3:9">
      <c r="C171" s="150"/>
      <c r="E171" s="164">
        <v>45632</v>
      </c>
      <c r="F171" s="163" t="s">
        <v>441</v>
      </c>
      <c r="G171" s="163" t="s">
        <v>281</v>
      </c>
      <c r="H171" s="163" t="s">
        <v>18</v>
      </c>
      <c r="I171" s="168">
        <v>-1591.31</v>
      </c>
    </row>
    <row r="172" spans="3:9">
      <c r="C172" s="150"/>
      <c r="E172" s="164">
        <v>45632</v>
      </c>
      <c r="F172" s="163" t="s">
        <v>444</v>
      </c>
      <c r="G172" s="163" t="s">
        <v>281</v>
      </c>
      <c r="H172" s="163" t="s">
        <v>18</v>
      </c>
      <c r="I172" s="168">
        <v>-1686.48</v>
      </c>
    </row>
    <row r="173" spans="3:9">
      <c r="C173" s="150"/>
      <c r="E173" s="164">
        <v>45632</v>
      </c>
      <c r="F173" s="163" t="s">
        <v>447</v>
      </c>
      <c r="G173" s="163" t="s">
        <v>281</v>
      </c>
      <c r="H173" s="163" t="s">
        <v>18</v>
      </c>
      <c r="I173" s="168">
        <v>-1640.73</v>
      </c>
    </row>
    <row r="174" spans="3:9">
      <c r="C174" s="150"/>
      <c r="E174" s="164">
        <v>45632</v>
      </c>
      <c r="F174" s="163" t="s">
        <v>321</v>
      </c>
      <c r="G174" s="163" t="s">
        <v>281</v>
      </c>
      <c r="H174" s="163" t="s">
        <v>18</v>
      </c>
      <c r="I174" s="168">
        <v>-2709.85</v>
      </c>
    </row>
    <row r="175" spans="3:9">
      <c r="C175" s="150"/>
      <c r="E175" s="164">
        <v>45632</v>
      </c>
      <c r="F175" s="163" t="s">
        <v>451</v>
      </c>
      <c r="G175" s="163" t="s">
        <v>281</v>
      </c>
      <c r="H175" s="163" t="s">
        <v>18</v>
      </c>
      <c r="I175" s="168">
        <v>-1791.18</v>
      </c>
    </row>
    <row r="176" spans="3:9">
      <c r="C176" s="150"/>
      <c r="E176" s="164">
        <v>45632</v>
      </c>
      <c r="F176" s="163" t="s">
        <v>358</v>
      </c>
      <c r="G176" s="163" t="s">
        <v>281</v>
      </c>
      <c r="H176" s="163" t="s">
        <v>18</v>
      </c>
      <c r="I176" s="168">
        <v>-1733.59</v>
      </c>
    </row>
    <row r="177" spans="3:9">
      <c r="C177" s="150"/>
      <c r="E177" s="164">
        <v>45632</v>
      </c>
      <c r="F177" s="163" t="s">
        <v>99</v>
      </c>
      <c r="G177" s="163" t="s">
        <v>281</v>
      </c>
      <c r="H177" s="163" t="s">
        <v>18</v>
      </c>
      <c r="I177" s="168">
        <v>-4273.04</v>
      </c>
    </row>
    <row r="178" spans="3:9">
      <c r="C178" s="150"/>
      <c r="E178" s="164">
        <v>45632</v>
      </c>
      <c r="F178" s="163" t="s">
        <v>457</v>
      </c>
      <c r="G178" s="163" t="s">
        <v>281</v>
      </c>
      <c r="H178" s="163" t="s">
        <v>18</v>
      </c>
      <c r="I178" s="168">
        <v>-1920.87</v>
      </c>
    </row>
    <row r="179" spans="3:9">
      <c r="C179" s="150"/>
      <c r="E179" s="164">
        <v>45632</v>
      </c>
      <c r="F179" s="163" t="s">
        <v>460</v>
      </c>
      <c r="G179" s="163" t="s">
        <v>281</v>
      </c>
      <c r="H179" s="163" t="s">
        <v>18</v>
      </c>
      <c r="I179" s="168">
        <v>-2409.69</v>
      </c>
    </row>
    <row r="180" spans="3:9">
      <c r="C180" s="150"/>
      <c r="E180" s="164">
        <v>45632</v>
      </c>
      <c r="F180" s="163" t="s">
        <v>463</v>
      </c>
      <c r="G180" s="163" t="s">
        <v>281</v>
      </c>
      <c r="H180" s="163" t="s">
        <v>18</v>
      </c>
      <c r="I180" s="168">
        <v>-1648.61</v>
      </c>
    </row>
    <row r="181" spans="3:9">
      <c r="C181" s="150"/>
      <c r="E181" s="164">
        <v>45632</v>
      </c>
      <c r="F181" s="163" t="s">
        <v>469</v>
      </c>
      <c r="G181" s="163" t="s">
        <v>281</v>
      </c>
      <c r="H181" s="163" t="s">
        <v>18</v>
      </c>
      <c r="I181" s="168">
        <v>-2457.27</v>
      </c>
    </row>
    <row r="182" spans="3:9">
      <c r="C182" s="150"/>
      <c r="E182" s="164">
        <v>45632</v>
      </c>
      <c r="F182" s="163" t="s">
        <v>466</v>
      </c>
      <c r="G182" s="163" t="s">
        <v>281</v>
      </c>
      <c r="H182" s="163" t="s">
        <v>18</v>
      </c>
      <c r="I182" s="168">
        <v>-1611.17</v>
      </c>
    </row>
    <row r="183" spans="3:9">
      <c r="C183" s="150"/>
      <c r="E183" s="164">
        <v>45632</v>
      </c>
      <c r="F183" s="163" t="s">
        <v>552</v>
      </c>
      <c r="G183" s="163" t="s">
        <v>281</v>
      </c>
      <c r="H183" s="163" t="s">
        <v>199</v>
      </c>
      <c r="I183" s="168">
        <v>-357.6</v>
      </c>
    </row>
    <row r="184" spans="3:9">
      <c r="C184" s="150"/>
      <c r="E184" s="164">
        <v>45632</v>
      </c>
      <c r="F184" s="163" t="s">
        <v>476</v>
      </c>
      <c r="G184" s="163" t="s">
        <v>281</v>
      </c>
      <c r="H184" s="163" t="s">
        <v>196</v>
      </c>
      <c r="I184" s="168">
        <v>-4000</v>
      </c>
    </row>
    <row r="185" spans="3:9">
      <c r="C185" s="150"/>
      <c r="E185" s="164">
        <v>45632</v>
      </c>
      <c r="F185" s="163" t="s">
        <v>481</v>
      </c>
      <c r="G185" s="163" t="s">
        <v>281</v>
      </c>
      <c r="H185" s="163" t="s">
        <v>18</v>
      </c>
      <c r="I185" s="168">
        <v>-3487.35</v>
      </c>
    </row>
    <row r="186" spans="3:9">
      <c r="C186" s="150"/>
      <c r="E186" s="164">
        <v>45632</v>
      </c>
      <c r="F186" s="163" t="s">
        <v>484</v>
      </c>
      <c r="G186" s="163" t="s">
        <v>281</v>
      </c>
      <c r="H186" s="163" t="s">
        <v>18</v>
      </c>
      <c r="I186" s="168">
        <v>-1721.18</v>
      </c>
    </row>
    <row r="187" spans="3:9">
      <c r="C187" s="150"/>
      <c r="E187" s="164">
        <v>45632</v>
      </c>
      <c r="F187" s="163" t="s">
        <v>488</v>
      </c>
      <c r="G187" s="163" t="s">
        <v>281</v>
      </c>
      <c r="H187" s="163" t="s">
        <v>18</v>
      </c>
      <c r="I187" s="168">
        <v>-3166.15</v>
      </c>
    </row>
    <row r="188" spans="3:9">
      <c r="C188" s="150"/>
      <c r="E188" s="164">
        <v>45632</v>
      </c>
      <c r="F188" s="163" t="s">
        <v>491</v>
      </c>
      <c r="G188" s="163" t="s">
        <v>281</v>
      </c>
      <c r="H188" s="163" t="s">
        <v>18</v>
      </c>
      <c r="I188" s="168">
        <v>-3122.35</v>
      </c>
    </row>
    <row r="189" spans="3:9">
      <c r="C189" s="150"/>
      <c r="E189" s="164">
        <v>45632</v>
      </c>
      <c r="F189" s="163" t="s">
        <v>494</v>
      </c>
      <c r="G189" s="163" t="s">
        <v>281</v>
      </c>
      <c r="H189" s="163" t="s">
        <v>18</v>
      </c>
      <c r="I189" s="168">
        <v>-1841.18</v>
      </c>
    </row>
    <row r="190" spans="3:9">
      <c r="C190" s="150"/>
      <c r="E190" s="164">
        <v>45632</v>
      </c>
      <c r="F190" s="163" t="s">
        <v>501</v>
      </c>
      <c r="G190" s="163" t="s">
        <v>281</v>
      </c>
      <c r="H190" s="163" t="s">
        <v>18</v>
      </c>
      <c r="I190" s="168">
        <v>-1919.37</v>
      </c>
    </row>
    <row r="191" spans="3:9">
      <c r="C191" s="150"/>
      <c r="E191" s="164">
        <v>45632</v>
      </c>
      <c r="F191" s="163" t="s">
        <v>362</v>
      </c>
      <c r="G191" s="163" t="s">
        <v>281</v>
      </c>
      <c r="H191" s="163" t="s">
        <v>18</v>
      </c>
      <c r="I191" s="168">
        <v>-3268.35</v>
      </c>
    </row>
    <row r="192" spans="3:9">
      <c r="C192" s="150"/>
      <c r="E192" s="164">
        <v>45632</v>
      </c>
      <c r="F192" s="163" t="s">
        <v>505</v>
      </c>
      <c r="G192" s="163" t="s">
        <v>281</v>
      </c>
      <c r="H192" s="163" t="s">
        <v>18</v>
      </c>
      <c r="I192" s="168">
        <v>-2148.69</v>
      </c>
    </row>
    <row r="193" spans="3:9">
      <c r="C193" s="150"/>
      <c r="E193" s="164">
        <v>45632</v>
      </c>
      <c r="F193" s="163" t="s">
        <v>111</v>
      </c>
      <c r="G193" s="163" t="s">
        <v>281</v>
      </c>
      <c r="H193" s="163" t="s">
        <v>18</v>
      </c>
      <c r="I193" s="168">
        <v>-1887.35</v>
      </c>
    </row>
    <row r="194" spans="3:9">
      <c r="C194" s="150"/>
      <c r="E194" s="164">
        <v>45632</v>
      </c>
      <c r="F194" s="163" t="s">
        <v>510</v>
      </c>
      <c r="G194" s="163" t="s">
        <v>281</v>
      </c>
      <c r="H194" s="163" t="s">
        <v>18</v>
      </c>
      <c r="I194" s="168">
        <v>-2296.1799999999998</v>
      </c>
    </row>
    <row r="195" spans="3:9">
      <c r="C195" s="150"/>
      <c r="E195" s="164">
        <v>45632</v>
      </c>
      <c r="F195" s="163" t="s">
        <v>513</v>
      </c>
      <c r="G195" s="163" t="s">
        <v>281</v>
      </c>
      <c r="H195" s="163" t="s">
        <v>18</v>
      </c>
      <c r="I195" s="168">
        <v>-770.84</v>
      </c>
    </row>
    <row r="196" spans="3:9">
      <c r="C196" s="150"/>
      <c r="E196" s="164">
        <v>45632</v>
      </c>
      <c r="F196" s="163" t="s">
        <v>528</v>
      </c>
      <c r="G196" s="163" t="s">
        <v>281</v>
      </c>
      <c r="H196" s="163" t="s">
        <v>18</v>
      </c>
      <c r="I196" s="168">
        <v>-1841.18</v>
      </c>
    </row>
    <row r="197" spans="3:9">
      <c r="C197" s="150"/>
      <c r="E197" s="164">
        <v>45632</v>
      </c>
      <c r="F197" s="163" t="s">
        <v>516</v>
      </c>
      <c r="G197" s="163" t="s">
        <v>281</v>
      </c>
      <c r="H197" s="163" t="s">
        <v>18</v>
      </c>
      <c r="I197" s="168">
        <v>-1841.18</v>
      </c>
    </row>
    <row r="198" spans="3:9">
      <c r="C198" s="150"/>
      <c r="E198" s="164">
        <v>45632</v>
      </c>
      <c r="F198" s="163" t="s">
        <v>519</v>
      </c>
      <c r="G198" s="163" t="s">
        <v>281</v>
      </c>
      <c r="H198" s="163" t="s">
        <v>18</v>
      </c>
      <c r="I198" s="168">
        <v>-1048.3399999999999</v>
      </c>
    </row>
    <row r="199" spans="3:9">
      <c r="C199" s="150"/>
      <c r="E199" s="164">
        <v>45632</v>
      </c>
      <c r="F199" s="163" t="s">
        <v>522</v>
      </c>
      <c r="G199" s="163" t="s">
        <v>281</v>
      </c>
      <c r="H199" s="163" t="s">
        <v>18</v>
      </c>
      <c r="I199" s="168">
        <v>-1826.02</v>
      </c>
    </row>
    <row r="200" spans="3:9">
      <c r="C200" s="150"/>
      <c r="E200" s="164">
        <v>45632</v>
      </c>
      <c r="F200" s="163" t="s">
        <v>525</v>
      </c>
      <c r="G200" s="163" t="s">
        <v>281</v>
      </c>
      <c r="H200" s="163" t="s">
        <v>18</v>
      </c>
      <c r="I200" s="168">
        <v>-3122.35</v>
      </c>
    </row>
    <row r="201" spans="3:9">
      <c r="C201" s="150"/>
      <c r="E201" s="164">
        <v>45632</v>
      </c>
      <c r="F201" s="163" t="s">
        <v>112</v>
      </c>
      <c r="G201" s="163" t="s">
        <v>281</v>
      </c>
      <c r="H201" s="163" t="s">
        <v>18</v>
      </c>
      <c r="I201" s="168">
        <v>-770.84</v>
      </c>
    </row>
    <row r="202" spans="3:9">
      <c r="C202" s="150"/>
      <c r="E202" s="164">
        <v>45632</v>
      </c>
      <c r="F202" s="163" t="s">
        <v>533</v>
      </c>
      <c r="G202" s="163" t="s">
        <v>281</v>
      </c>
      <c r="H202" s="163" t="s">
        <v>18</v>
      </c>
      <c r="I202" s="168">
        <v>-431.67</v>
      </c>
    </row>
    <row r="203" spans="3:9">
      <c r="C203" s="150"/>
      <c r="E203" s="164">
        <v>45632</v>
      </c>
      <c r="F203" s="163" t="s">
        <v>536</v>
      </c>
      <c r="G203" s="163" t="s">
        <v>281</v>
      </c>
      <c r="H203" s="163" t="s">
        <v>18</v>
      </c>
      <c r="I203" s="168">
        <v>-1048.3399999999999</v>
      </c>
    </row>
    <row r="204" spans="3:9">
      <c r="C204" s="150"/>
      <c r="E204" s="164">
        <v>45632</v>
      </c>
      <c r="F204" s="163" t="s">
        <v>93</v>
      </c>
      <c r="G204" s="163" t="s">
        <v>281</v>
      </c>
      <c r="H204" s="163" t="s">
        <v>18</v>
      </c>
      <c r="I204" s="168">
        <v>-8067.08</v>
      </c>
    </row>
    <row r="205" spans="3:9">
      <c r="C205" s="150"/>
      <c r="E205" s="164">
        <v>45632</v>
      </c>
      <c r="F205" s="163" t="s">
        <v>88</v>
      </c>
      <c r="G205" s="163" t="s">
        <v>281</v>
      </c>
      <c r="H205" s="163" t="s">
        <v>18</v>
      </c>
      <c r="I205" s="168">
        <v>-3828.54</v>
      </c>
    </row>
    <row r="206" spans="3:9">
      <c r="C206" s="150"/>
      <c r="E206" s="164">
        <v>45632</v>
      </c>
      <c r="F206" s="163" t="s">
        <v>543</v>
      </c>
      <c r="G206" s="163" t="s">
        <v>281</v>
      </c>
      <c r="H206" s="163" t="s">
        <v>18</v>
      </c>
      <c r="I206" s="168">
        <v>-539.59</v>
      </c>
    </row>
    <row r="207" spans="3:9">
      <c r="C207" s="150"/>
      <c r="E207" s="164">
        <v>45632</v>
      </c>
      <c r="F207" s="163" t="s">
        <v>546</v>
      </c>
      <c r="G207" s="163" t="s">
        <v>281</v>
      </c>
      <c r="H207" s="163" t="s">
        <v>18</v>
      </c>
      <c r="I207" s="168">
        <v>-2332.73</v>
      </c>
    </row>
    <row r="208" spans="3:9">
      <c r="C208" s="150"/>
      <c r="E208" s="164">
        <v>45632</v>
      </c>
      <c r="F208" s="163" t="s">
        <v>549</v>
      </c>
      <c r="G208" s="163" t="s">
        <v>281</v>
      </c>
      <c r="H208" s="163" t="s">
        <v>18</v>
      </c>
      <c r="I208" s="168">
        <v>-200.42</v>
      </c>
    </row>
    <row r="209" spans="3:9">
      <c r="C209" s="150"/>
      <c r="E209" s="164">
        <v>45632</v>
      </c>
      <c r="F209" s="163" t="s">
        <v>1490</v>
      </c>
      <c r="G209" s="163" t="s">
        <v>281</v>
      </c>
      <c r="H209" s="163" t="s">
        <v>199</v>
      </c>
      <c r="I209" s="168">
        <v>-570</v>
      </c>
    </row>
    <row r="210" spans="3:9">
      <c r="C210" s="150"/>
      <c r="E210" s="164">
        <v>45632</v>
      </c>
      <c r="F210" s="163" t="s">
        <v>346</v>
      </c>
      <c r="G210" s="163"/>
      <c r="H210" s="163"/>
      <c r="I210" s="165">
        <v>0</v>
      </c>
    </row>
    <row r="211" spans="3:9">
      <c r="C211" s="150"/>
      <c r="E211" s="164">
        <v>45635</v>
      </c>
      <c r="F211" s="163" t="s">
        <v>385</v>
      </c>
      <c r="G211" s="163" t="s">
        <v>281</v>
      </c>
      <c r="H211" s="163" t="s">
        <v>622</v>
      </c>
      <c r="I211" s="168">
        <v>-401.64</v>
      </c>
    </row>
    <row r="212" spans="3:9">
      <c r="C212" s="150"/>
      <c r="E212" s="164">
        <v>45635</v>
      </c>
      <c r="F212" s="163" t="s">
        <v>698</v>
      </c>
      <c r="G212" s="163" t="s">
        <v>281</v>
      </c>
      <c r="H212" s="163" t="s">
        <v>199</v>
      </c>
      <c r="I212" s="168">
        <v>-879</v>
      </c>
    </row>
    <row r="213" spans="3:9">
      <c r="C213" s="150"/>
      <c r="E213" s="164">
        <v>45635</v>
      </c>
      <c r="F213" s="163" t="s">
        <v>1013</v>
      </c>
      <c r="G213" s="163" t="s">
        <v>281</v>
      </c>
      <c r="H213" s="163" t="s">
        <v>199</v>
      </c>
      <c r="I213" s="168">
        <v>-1000</v>
      </c>
    </row>
    <row r="214" spans="3:9">
      <c r="C214" s="150"/>
      <c r="E214" s="164">
        <v>45635</v>
      </c>
      <c r="F214" s="163" t="s">
        <v>181</v>
      </c>
      <c r="G214" s="163" t="s">
        <v>281</v>
      </c>
      <c r="H214" s="163" t="s">
        <v>760</v>
      </c>
      <c r="I214" s="168">
        <v>-4860.21</v>
      </c>
    </row>
    <row r="215" spans="3:9">
      <c r="C215" s="150"/>
      <c r="E215" s="164">
        <v>45635</v>
      </c>
      <c r="F215" s="163" t="s">
        <v>1269</v>
      </c>
      <c r="G215" s="163" t="s">
        <v>281</v>
      </c>
      <c r="H215" s="163" t="s">
        <v>1140</v>
      </c>
      <c r="I215" s="168">
        <v>-1997</v>
      </c>
    </row>
    <row r="216" spans="3:9">
      <c r="C216" s="150"/>
      <c r="E216" s="164">
        <v>45635</v>
      </c>
      <c r="F216" s="163" t="s">
        <v>385</v>
      </c>
      <c r="G216" s="163" t="s">
        <v>281</v>
      </c>
      <c r="H216" s="163" t="s">
        <v>622</v>
      </c>
      <c r="I216" s="168">
        <v>-110.01</v>
      </c>
    </row>
    <row r="217" spans="3:9">
      <c r="C217" s="150"/>
      <c r="E217" s="164">
        <v>45635</v>
      </c>
      <c r="F217" s="163" t="s">
        <v>385</v>
      </c>
      <c r="G217" s="163" t="s">
        <v>281</v>
      </c>
      <c r="H217" s="163" t="s">
        <v>386</v>
      </c>
      <c r="I217" s="168">
        <v>-2061.79</v>
      </c>
    </row>
    <row r="218" spans="3:9">
      <c r="C218" s="150"/>
      <c r="E218" s="164">
        <v>45635</v>
      </c>
      <c r="F218" s="163" t="s">
        <v>346</v>
      </c>
      <c r="G218" s="163"/>
      <c r="H218" s="163"/>
      <c r="I218" s="165">
        <v>0</v>
      </c>
    </row>
    <row r="219" spans="3:9">
      <c r="C219" s="150"/>
      <c r="E219" s="164">
        <v>45636</v>
      </c>
      <c r="F219" s="163" t="s">
        <v>1356</v>
      </c>
      <c r="G219" s="163" t="s">
        <v>281</v>
      </c>
      <c r="H219" s="163" t="s">
        <v>289</v>
      </c>
      <c r="I219" s="165">
        <v>800</v>
      </c>
    </row>
    <row r="220" spans="3:9">
      <c r="C220" s="150"/>
      <c r="E220" s="164">
        <v>45636</v>
      </c>
      <c r="F220" s="163" t="s">
        <v>821</v>
      </c>
      <c r="G220" s="163" t="s">
        <v>281</v>
      </c>
      <c r="H220" s="163" t="s">
        <v>407</v>
      </c>
      <c r="I220" s="165">
        <v>1950</v>
      </c>
    </row>
    <row r="221" spans="3:9">
      <c r="C221" s="150"/>
      <c r="E221" s="164">
        <v>45636</v>
      </c>
      <c r="F221" s="163" t="s">
        <v>829</v>
      </c>
      <c r="G221" s="163" t="s">
        <v>281</v>
      </c>
      <c r="H221" s="163" t="s">
        <v>407</v>
      </c>
      <c r="I221" s="165">
        <v>2000</v>
      </c>
    </row>
    <row r="222" spans="3:9">
      <c r="C222" s="150"/>
      <c r="E222" s="164">
        <v>45636</v>
      </c>
      <c r="F222" s="163" t="s">
        <v>1090</v>
      </c>
      <c r="G222" s="163" t="s">
        <v>281</v>
      </c>
      <c r="H222" s="163" t="s">
        <v>407</v>
      </c>
      <c r="I222" s="165">
        <v>2199</v>
      </c>
    </row>
    <row r="223" spans="3:9">
      <c r="C223" s="150"/>
      <c r="E223" s="164">
        <v>45636</v>
      </c>
      <c r="F223" s="163" t="s">
        <v>736</v>
      </c>
      <c r="G223" s="163" t="s">
        <v>281</v>
      </c>
      <c r="H223" s="163" t="s">
        <v>407</v>
      </c>
      <c r="I223" s="165">
        <v>3150</v>
      </c>
    </row>
    <row r="224" spans="3:9">
      <c r="C224" s="150"/>
      <c r="E224" s="164">
        <v>45636</v>
      </c>
      <c r="F224" s="163" t="s">
        <v>644</v>
      </c>
      <c r="G224" s="163" t="s">
        <v>281</v>
      </c>
      <c r="H224" s="163" t="s">
        <v>407</v>
      </c>
      <c r="I224" s="165">
        <v>3300</v>
      </c>
    </row>
    <row r="225" spans="3:9">
      <c r="C225" s="150"/>
      <c r="E225" s="164">
        <v>45636</v>
      </c>
      <c r="F225" s="163" t="s">
        <v>625</v>
      </c>
      <c r="G225" s="163" t="s">
        <v>281</v>
      </c>
      <c r="H225" s="163" t="s">
        <v>407</v>
      </c>
      <c r="I225" s="165">
        <v>4200</v>
      </c>
    </row>
    <row r="226" spans="3:9">
      <c r="C226" s="150"/>
      <c r="E226" s="164">
        <v>45636</v>
      </c>
      <c r="F226" s="163" t="s">
        <v>637</v>
      </c>
      <c r="G226" s="163" t="s">
        <v>281</v>
      </c>
      <c r="H226" s="163" t="s">
        <v>407</v>
      </c>
      <c r="I226" s="165">
        <v>4200</v>
      </c>
    </row>
    <row r="227" spans="3:9">
      <c r="C227" s="150"/>
      <c r="E227" s="164">
        <v>45636</v>
      </c>
      <c r="F227" s="163" t="s">
        <v>952</v>
      </c>
      <c r="G227" s="163" t="s">
        <v>281</v>
      </c>
      <c r="H227" s="163" t="s">
        <v>407</v>
      </c>
      <c r="I227" s="165">
        <v>5500</v>
      </c>
    </row>
    <row r="228" spans="3:9">
      <c r="C228" s="150"/>
      <c r="E228" s="164">
        <v>45636</v>
      </c>
      <c r="F228" s="163" t="s">
        <v>952</v>
      </c>
      <c r="G228" s="163" t="s">
        <v>281</v>
      </c>
      <c r="H228" s="163" t="s">
        <v>1376</v>
      </c>
      <c r="I228" s="168">
        <v>-1625</v>
      </c>
    </row>
    <row r="229" spans="3:9">
      <c r="C229" s="150"/>
      <c r="E229" s="164">
        <v>45636</v>
      </c>
      <c r="F229" s="163" t="s">
        <v>23</v>
      </c>
      <c r="G229" s="163" t="s">
        <v>281</v>
      </c>
      <c r="H229" s="163" t="s">
        <v>23</v>
      </c>
      <c r="I229" s="168">
        <v>-8109.4</v>
      </c>
    </row>
    <row r="230" spans="3:9">
      <c r="C230" s="150"/>
      <c r="E230" s="164">
        <v>45636</v>
      </c>
      <c r="F230" s="163" t="s">
        <v>664</v>
      </c>
      <c r="G230" s="163" t="s">
        <v>281</v>
      </c>
      <c r="H230" s="163" t="s">
        <v>202</v>
      </c>
      <c r="I230" s="168">
        <v>-5500</v>
      </c>
    </row>
    <row r="231" spans="3:9">
      <c r="C231" s="150"/>
      <c r="E231" s="164">
        <v>45636</v>
      </c>
      <c r="F231" s="163" t="s">
        <v>326</v>
      </c>
      <c r="G231" s="163" t="s">
        <v>281</v>
      </c>
      <c r="H231" s="163" t="s">
        <v>202</v>
      </c>
      <c r="I231" s="168">
        <v>-6500</v>
      </c>
    </row>
    <row r="232" spans="3:9">
      <c r="C232" s="150"/>
      <c r="E232" s="164">
        <v>45636</v>
      </c>
      <c r="F232" s="163" t="s">
        <v>669</v>
      </c>
      <c r="G232" s="163" t="s">
        <v>281</v>
      </c>
      <c r="H232" s="163" t="s">
        <v>202</v>
      </c>
      <c r="I232" s="168">
        <v>-3500</v>
      </c>
    </row>
    <row r="233" spans="3:9">
      <c r="C233" s="150"/>
      <c r="E233" s="164">
        <v>45636</v>
      </c>
      <c r="F233" s="163" t="s">
        <v>673</v>
      </c>
      <c r="G233" s="163" t="s">
        <v>281</v>
      </c>
      <c r="H233" s="163" t="s">
        <v>202</v>
      </c>
      <c r="I233" s="168">
        <v>-2500</v>
      </c>
    </row>
    <row r="234" spans="3:9">
      <c r="C234" s="150"/>
      <c r="E234" s="164">
        <v>45636</v>
      </c>
      <c r="F234" s="163" t="s">
        <v>677</v>
      </c>
      <c r="G234" s="163" t="s">
        <v>281</v>
      </c>
      <c r="H234" s="163" t="s">
        <v>202</v>
      </c>
      <c r="I234" s="168">
        <v>-3500</v>
      </c>
    </row>
    <row r="235" spans="3:9">
      <c r="C235" s="150"/>
      <c r="E235" s="164">
        <v>45636</v>
      </c>
      <c r="F235" s="163" t="s">
        <v>840</v>
      </c>
      <c r="G235" s="163" t="s">
        <v>281</v>
      </c>
      <c r="H235" s="163" t="s">
        <v>841</v>
      </c>
      <c r="I235" s="168">
        <v>-1829</v>
      </c>
    </row>
    <row r="236" spans="3:9">
      <c r="C236" s="150"/>
      <c r="E236" s="164">
        <v>45636</v>
      </c>
      <c r="F236" s="163" t="s">
        <v>756</v>
      </c>
      <c r="G236" s="163" t="s">
        <v>281</v>
      </c>
      <c r="H236" s="163" t="s">
        <v>791</v>
      </c>
      <c r="I236" s="168">
        <v>-2266.66</v>
      </c>
    </row>
    <row r="237" spans="3:9">
      <c r="C237" s="150"/>
      <c r="E237" s="164">
        <v>45636</v>
      </c>
      <c r="F237" s="163" t="s">
        <v>681</v>
      </c>
      <c r="G237" s="163" t="s">
        <v>281</v>
      </c>
      <c r="H237" s="163" t="s">
        <v>202</v>
      </c>
      <c r="I237" s="168">
        <v>-3600</v>
      </c>
    </row>
    <row r="238" spans="3:9">
      <c r="C238" s="150"/>
      <c r="E238" s="164">
        <v>45636</v>
      </c>
      <c r="F238" s="163" t="s">
        <v>685</v>
      </c>
      <c r="G238" s="163" t="s">
        <v>281</v>
      </c>
      <c r="H238" s="163" t="s">
        <v>202</v>
      </c>
      <c r="I238" s="168">
        <v>-3500</v>
      </c>
    </row>
    <row r="239" spans="3:9">
      <c r="C239" s="150"/>
      <c r="E239" s="164">
        <v>45636</v>
      </c>
      <c r="F239" s="163" t="s">
        <v>690</v>
      </c>
      <c r="G239" s="163" t="s">
        <v>281</v>
      </c>
      <c r="H239" s="163" t="s">
        <v>202</v>
      </c>
      <c r="I239" s="168">
        <v>-3000</v>
      </c>
    </row>
    <row r="240" spans="3:9">
      <c r="C240" s="150"/>
      <c r="E240" s="164">
        <v>45636</v>
      </c>
      <c r="F240" s="163" t="s">
        <v>312</v>
      </c>
      <c r="G240" s="163" t="s">
        <v>281</v>
      </c>
      <c r="H240" s="163" t="s">
        <v>791</v>
      </c>
      <c r="I240" s="168">
        <v>-6000</v>
      </c>
    </row>
    <row r="241" spans="3:9">
      <c r="C241" s="150"/>
      <c r="E241" s="164">
        <v>45636</v>
      </c>
      <c r="F241" s="163" t="s">
        <v>751</v>
      </c>
      <c r="G241" s="163" t="s">
        <v>281</v>
      </c>
      <c r="H241" s="163" t="s">
        <v>202</v>
      </c>
      <c r="I241" s="168">
        <v>-6000</v>
      </c>
    </row>
    <row r="242" spans="3:9">
      <c r="C242" s="150"/>
      <c r="E242" s="164">
        <v>45636</v>
      </c>
      <c r="F242" s="163" t="s">
        <v>307</v>
      </c>
      <c r="G242" s="163" t="s">
        <v>281</v>
      </c>
      <c r="H242" s="163" t="s">
        <v>202</v>
      </c>
      <c r="I242" s="168">
        <v>-6000</v>
      </c>
    </row>
    <row r="243" spans="3:9">
      <c r="C243" s="150"/>
      <c r="E243" s="164">
        <v>45636</v>
      </c>
      <c r="F243" s="163" t="s">
        <v>725</v>
      </c>
      <c r="G243" s="163" t="s">
        <v>281</v>
      </c>
      <c r="H243" s="163" t="s">
        <v>202</v>
      </c>
      <c r="I243" s="168">
        <v>-3500</v>
      </c>
    </row>
    <row r="244" spans="3:9">
      <c r="C244" s="150"/>
      <c r="E244" s="164">
        <v>45636</v>
      </c>
      <c r="F244" s="163" t="s">
        <v>154</v>
      </c>
      <c r="G244" s="163" t="s">
        <v>281</v>
      </c>
      <c r="H244" s="163" t="s">
        <v>202</v>
      </c>
      <c r="I244" s="168">
        <v>-3500</v>
      </c>
    </row>
    <row r="245" spans="3:9">
      <c r="C245" s="150"/>
      <c r="E245" s="164">
        <v>45636</v>
      </c>
      <c r="F245" s="163" t="s">
        <v>704</v>
      </c>
      <c r="G245" s="163" t="s">
        <v>281</v>
      </c>
      <c r="H245" s="163" t="s">
        <v>202</v>
      </c>
      <c r="I245" s="168">
        <v>-4000</v>
      </c>
    </row>
    <row r="246" spans="3:9">
      <c r="C246" s="150"/>
      <c r="E246" s="164">
        <v>45636</v>
      </c>
      <c r="F246" s="163" t="s">
        <v>790</v>
      </c>
      <c r="G246" s="163" t="s">
        <v>281</v>
      </c>
      <c r="H246" s="163" t="s">
        <v>791</v>
      </c>
      <c r="I246" s="168">
        <v>-7500</v>
      </c>
    </row>
    <row r="247" spans="3:9">
      <c r="C247" s="150"/>
      <c r="E247" s="164">
        <v>45636</v>
      </c>
      <c r="F247" s="163" t="s">
        <v>708</v>
      </c>
      <c r="G247" s="163" t="s">
        <v>281</v>
      </c>
      <c r="H247" s="163" t="s">
        <v>202</v>
      </c>
      <c r="I247" s="168">
        <v>-8000</v>
      </c>
    </row>
    <row r="248" spans="3:9">
      <c r="C248" s="150"/>
      <c r="E248" s="164">
        <v>45636</v>
      </c>
      <c r="F248" s="163" t="s">
        <v>799</v>
      </c>
      <c r="G248" s="163" t="s">
        <v>281</v>
      </c>
      <c r="H248" s="163" t="s">
        <v>791</v>
      </c>
      <c r="I248" s="168">
        <v>-4900</v>
      </c>
    </row>
    <row r="249" spans="3:9">
      <c r="C249" s="150"/>
      <c r="E249" s="164">
        <v>45636</v>
      </c>
      <c r="F249" s="163" t="s">
        <v>804</v>
      </c>
      <c r="G249" s="163" t="s">
        <v>281</v>
      </c>
      <c r="H249" s="163" t="s">
        <v>791</v>
      </c>
      <c r="I249" s="168">
        <v>-2200</v>
      </c>
    </row>
    <row r="250" spans="3:9">
      <c r="C250" s="150"/>
      <c r="E250" s="164">
        <v>45636</v>
      </c>
      <c r="F250" s="163" t="s">
        <v>346</v>
      </c>
      <c r="G250" s="163"/>
      <c r="H250" s="163"/>
      <c r="I250" s="165">
        <v>0</v>
      </c>
    </row>
    <row r="251" spans="3:9">
      <c r="C251" s="150"/>
      <c r="E251" s="164">
        <v>45637</v>
      </c>
      <c r="F251" s="163" t="s">
        <v>773</v>
      </c>
      <c r="G251" s="163" t="s">
        <v>281</v>
      </c>
      <c r="H251" s="163" t="s">
        <v>760</v>
      </c>
      <c r="I251" s="168">
        <v>-915</v>
      </c>
    </row>
    <row r="252" spans="3:9">
      <c r="C252" s="150"/>
      <c r="E252" s="164">
        <v>45637</v>
      </c>
      <c r="F252" s="163" t="s">
        <v>1353</v>
      </c>
      <c r="G252" s="163" t="s">
        <v>281</v>
      </c>
      <c r="H252" s="163" t="s">
        <v>760</v>
      </c>
      <c r="I252" s="168">
        <v>-390.31</v>
      </c>
    </row>
    <row r="253" spans="3:9">
      <c r="C253" s="150"/>
      <c r="E253" s="164">
        <v>45637</v>
      </c>
      <c r="F253" s="163" t="s">
        <v>1379</v>
      </c>
      <c r="G253" s="163" t="s">
        <v>281</v>
      </c>
      <c r="H253" s="163" t="s">
        <v>760</v>
      </c>
      <c r="I253" s="168">
        <v>-165.31</v>
      </c>
    </row>
    <row r="254" spans="3:9">
      <c r="C254" s="150"/>
      <c r="E254" s="164">
        <v>45637</v>
      </c>
      <c r="F254" s="163" t="s">
        <v>346</v>
      </c>
      <c r="G254" s="163"/>
      <c r="H254" s="163"/>
      <c r="I254" s="165">
        <v>0</v>
      </c>
    </row>
    <row r="255" spans="3:9">
      <c r="C255" s="150"/>
      <c r="E255" s="164">
        <v>45638</v>
      </c>
      <c r="F255" s="163" t="s">
        <v>778</v>
      </c>
      <c r="G255" s="163" t="s">
        <v>281</v>
      </c>
      <c r="H255" s="163" t="s">
        <v>760</v>
      </c>
      <c r="I255" s="168">
        <v>-2076.31</v>
      </c>
    </row>
    <row r="256" spans="3:9">
      <c r="C256" s="150"/>
      <c r="E256" s="164">
        <v>45638</v>
      </c>
      <c r="F256" s="163" t="s">
        <v>183</v>
      </c>
      <c r="G256" s="163" t="s">
        <v>281</v>
      </c>
      <c r="H256" s="163" t="s">
        <v>760</v>
      </c>
      <c r="I256" s="168">
        <v>-720.16</v>
      </c>
    </row>
    <row r="257" spans="3:9">
      <c r="C257" s="150"/>
      <c r="E257" s="164">
        <v>45638</v>
      </c>
      <c r="F257" s="163" t="s">
        <v>765</v>
      </c>
      <c r="G257" s="163" t="s">
        <v>281</v>
      </c>
      <c r="H257" s="163" t="s">
        <v>760</v>
      </c>
      <c r="I257" s="168">
        <v>-1140.1600000000001</v>
      </c>
    </row>
    <row r="258" spans="3:9">
      <c r="C258" s="150"/>
      <c r="E258" s="164">
        <v>45638</v>
      </c>
      <c r="F258" s="163" t="s">
        <v>769</v>
      </c>
      <c r="G258" s="163" t="s">
        <v>281</v>
      </c>
      <c r="H258" s="163" t="s">
        <v>760</v>
      </c>
      <c r="I258" s="168">
        <v>-1446.16</v>
      </c>
    </row>
    <row r="259" spans="3:9">
      <c r="C259" s="150"/>
      <c r="E259" s="164">
        <v>45638</v>
      </c>
      <c r="F259" s="163" t="s">
        <v>848</v>
      </c>
      <c r="G259" s="163" t="s">
        <v>281</v>
      </c>
      <c r="H259" s="163" t="s">
        <v>791</v>
      </c>
      <c r="I259" s="168">
        <v>-1266.67</v>
      </c>
    </row>
    <row r="260" spans="3:9">
      <c r="C260" s="150"/>
      <c r="E260" s="164">
        <v>45638</v>
      </c>
      <c r="F260" s="163" t="s">
        <v>346</v>
      </c>
      <c r="G260" s="163"/>
      <c r="H260" s="163"/>
      <c r="I260" s="165">
        <v>0</v>
      </c>
    </row>
    <row r="261" spans="3:9">
      <c r="C261" s="150"/>
      <c r="E261" s="164">
        <v>45639</v>
      </c>
      <c r="F261" s="163" t="s">
        <v>183</v>
      </c>
      <c r="G261" s="163" t="s">
        <v>281</v>
      </c>
      <c r="H261" s="163" t="s">
        <v>634</v>
      </c>
      <c r="I261" s="165">
        <v>314.92</v>
      </c>
    </row>
    <row r="262" spans="3:9">
      <c r="C262" s="150"/>
      <c r="E262" s="164">
        <v>45639</v>
      </c>
      <c r="F262" s="163" t="s">
        <v>183</v>
      </c>
      <c r="G262" s="163" t="s">
        <v>1388</v>
      </c>
      <c r="H262" s="163" t="s">
        <v>634</v>
      </c>
      <c r="I262" s="165">
        <v>165</v>
      </c>
    </row>
    <row r="263" spans="3:9">
      <c r="C263" s="150"/>
      <c r="E263" s="164">
        <v>45639</v>
      </c>
      <c r="F263" s="163" t="s">
        <v>1389</v>
      </c>
      <c r="G263" s="163" t="s">
        <v>281</v>
      </c>
      <c r="H263" s="163" t="s">
        <v>199</v>
      </c>
      <c r="I263" s="168">
        <v>-22</v>
      </c>
    </row>
    <row r="264" spans="3:9">
      <c r="C264" s="150"/>
      <c r="E264" s="164">
        <v>45639</v>
      </c>
      <c r="F264" s="163" t="s">
        <v>1393</v>
      </c>
      <c r="G264" s="163" t="s">
        <v>281</v>
      </c>
      <c r="H264" s="163" t="s">
        <v>199</v>
      </c>
      <c r="I264" s="168">
        <v>-120</v>
      </c>
    </row>
    <row r="265" spans="3:9">
      <c r="C265" s="150"/>
      <c r="E265" s="164">
        <v>45639</v>
      </c>
      <c r="F265" s="163" t="s">
        <v>346</v>
      </c>
      <c r="G265" s="163"/>
      <c r="H265" s="163"/>
      <c r="I265" s="165">
        <v>0</v>
      </c>
    </row>
    <row r="266" spans="3:9">
      <c r="C266" s="150"/>
      <c r="E266" s="164">
        <v>45642</v>
      </c>
      <c r="F266" s="163" t="s">
        <v>1037</v>
      </c>
      <c r="G266" s="163" t="s">
        <v>281</v>
      </c>
      <c r="H266" s="163" t="s">
        <v>407</v>
      </c>
      <c r="I266" s="165">
        <v>1800</v>
      </c>
    </row>
    <row r="267" spans="3:9">
      <c r="C267" s="150"/>
      <c r="E267" s="164">
        <v>45642</v>
      </c>
      <c r="F267" s="163" t="s">
        <v>1248</v>
      </c>
      <c r="G267" s="163" t="s">
        <v>281</v>
      </c>
      <c r="H267" s="163" t="s">
        <v>407</v>
      </c>
      <c r="I267" s="165">
        <v>2300</v>
      </c>
    </row>
    <row r="268" spans="3:9">
      <c r="C268" s="150"/>
      <c r="E268" s="164">
        <v>45642</v>
      </c>
      <c r="F268" s="163" t="s">
        <v>969</v>
      </c>
      <c r="G268" s="163" t="s">
        <v>281</v>
      </c>
      <c r="H268" s="163" t="s">
        <v>407</v>
      </c>
      <c r="I268" s="165">
        <v>3150</v>
      </c>
    </row>
    <row r="269" spans="3:9">
      <c r="C269" s="150"/>
      <c r="E269" s="164">
        <v>45642</v>
      </c>
      <c r="F269" s="163" t="s">
        <v>1240</v>
      </c>
      <c r="G269" s="163" t="s">
        <v>281</v>
      </c>
      <c r="H269" s="163" t="s">
        <v>407</v>
      </c>
      <c r="I269" s="165">
        <v>5300</v>
      </c>
    </row>
    <row r="270" spans="3:9">
      <c r="C270" s="150"/>
      <c r="E270" s="164">
        <v>45642</v>
      </c>
      <c r="F270" s="163" t="s">
        <v>962</v>
      </c>
      <c r="G270" s="163" t="s">
        <v>281</v>
      </c>
      <c r="H270" s="163" t="s">
        <v>407</v>
      </c>
      <c r="I270" s="165">
        <v>10000</v>
      </c>
    </row>
    <row r="271" spans="3:9">
      <c r="C271" s="150"/>
      <c r="E271" s="181">
        <v>45642</v>
      </c>
      <c r="F271" s="180" t="s">
        <v>1408</v>
      </c>
      <c r="G271" s="180" t="s">
        <v>281</v>
      </c>
      <c r="H271" s="180" t="s">
        <v>993</v>
      </c>
      <c r="I271" s="182">
        <v>-7000</v>
      </c>
    </row>
    <row r="272" spans="3:9">
      <c r="C272" s="150"/>
      <c r="E272" s="164">
        <v>45642</v>
      </c>
      <c r="F272" s="163" t="s">
        <v>293</v>
      </c>
      <c r="G272" s="163" t="s">
        <v>281</v>
      </c>
      <c r="H272" s="163" t="s">
        <v>294</v>
      </c>
      <c r="I272" s="168">
        <v>-6068</v>
      </c>
    </row>
    <row r="273" spans="3:9">
      <c r="C273" s="150"/>
      <c r="E273" s="164">
        <v>45642</v>
      </c>
      <c r="F273" s="163" t="s">
        <v>293</v>
      </c>
      <c r="G273" s="163" t="s">
        <v>281</v>
      </c>
      <c r="H273" s="163" t="s">
        <v>294</v>
      </c>
      <c r="I273" s="168">
        <v>-7081.8</v>
      </c>
    </row>
    <row r="274" spans="3:9">
      <c r="C274" s="150"/>
      <c r="E274" s="164">
        <v>45642</v>
      </c>
      <c r="F274" s="163" t="s">
        <v>998</v>
      </c>
      <c r="G274" s="163" t="s">
        <v>281</v>
      </c>
      <c r="H274" s="163" t="s">
        <v>199</v>
      </c>
      <c r="I274" s="168">
        <v>-1190</v>
      </c>
    </row>
    <row r="275" spans="3:9">
      <c r="C275" s="150"/>
      <c r="E275" s="164">
        <v>45642</v>
      </c>
      <c r="F275" s="163" t="s">
        <v>293</v>
      </c>
      <c r="G275" s="163" t="s">
        <v>281</v>
      </c>
      <c r="H275" s="163" t="s">
        <v>294</v>
      </c>
      <c r="I275" s="168">
        <v>-2928.6</v>
      </c>
    </row>
    <row r="276" spans="3:9">
      <c r="C276" s="150"/>
      <c r="E276" s="164">
        <v>45642</v>
      </c>
      <c r="F276" s="163" t="s">
        <v>293</v>
      </c>
      <c r="G276" s="163" t="s">
        <v>281</v>
      </c>
      <c r="H276" s="163" t="s">
        <v>294</v>
      </c>
      <c r="I276" s="168">
        <v>-2058.8000000000002</v>
      </c>
    </row>
    <row r="277" spans="3:9">
      <c r="C277" s="150"/>
      <c r="E277" s="164">
        <v>45642</v>
      </c>
      <c r="F277" s="163" t="s">
        <v>1013</v>
      </c>
      <c r="G277" s="163" t="s">
        <v>281</v>
      </c>
      <c r="H277" s="163" t="s">
        <v>199</v>
      </c>
      <c r="I277" s="168">
        <v>-1000</v>
      </c>
    </row>
    <row r="278" spans="3:9">
      <c r="C278" s="150"/>
      <c r="E278" s="164">
        <v>45642</v>
      </c>
      <c r="F278" s="163" t="s">
        <v>130</v>
      </c>
      <c r="G278" s="163" t="s">
        <v>281</v>
      </c>
      <c r="H278" s="163" t="s">
        <v>199</v>
      </c>
      <c r="I278" s="168">
        <v>-200</v>
      </c>
    </row>
    <row r="279" spans="3:9">
      <c r="C279" s="150"/>
      <c r="E279" s="164">
        <v>45642</v>
      </c>
      <c r="F279" s="163" t="s">
        <v>1409</v>
      </c>
      <c r="G279" s="163" t="s">
        <v>281</v>
      </c>
      <c r="H279" s="163" t="s">
        <v>199</v>
      </c>
      <c r="I279" s="168">
        <v>-1990</v>
      </c>
    </row>
    <row r="280" spans="3:9">
      <c r="C280" s="150"/>
      <c r="E280" s="164">
        <v>45642</v>
      </c>
      <c r="F280" s="163" t="s">
        <v>919</v>
      </c>
      <c r="G280" s="163" t="s">
        <v>281</v>
      </c>
      <c r="H280" s="163" t="s">
        <v>129</v>
      </c>
      <c r="I280" s="168">
        <v>-2362</v>
      </c>
    </row>
    <row r="281" spans="3:9">
      <c r="C281" s="150"/>
      <c r="E281" s="164">
        <v>45642</v>
      </c>
      <c r="F281" s="163" t="s">
        <v>992</v>
      </c>
      <c r="G281" s="163" t="s">
        <v>281</v>
      </c>
      <c r="H281" s="163" t="s">
        <v>993</v>
      </c>
      <c r="I281" s="168">
        <v>-1737.53</v>
      </c>
    </row>
    <row r="282" spans="3:9">
      <c r="C282" s="150"/>
      <c r="E282" s="164">
        <v>45642</v>
      </c>
      <c r="F282" s="163" t="s">
        <v>1002</v>
      </c>
      <c r="G282" s="163" t="s">
        <v>281</v>
      </c>
      <c r="H282" s="163" t="s">
        <v>190</v>
      </c>
      <c r="I282" s="168">
        <v>-225</v>
      </c>
    </row>
    <row r="283" spans="3:9">
      <c r="C283" s="150"/>
      <c r="E283" s="164">
        <v>45642</v>
      </c>
      <c r="F283" s="163" t="s">
        <v>987</v>
      </c>
      <c r="G283" s="163" t="s">
        <v>281</v>
      </c>
      <c r="H283" s="163" t="s">
        <v>986</v>
      </c>
      <c r="I283" s="168">
        <v>-81.400000000000006</v>
      </c>
    </row>
    <row r="284" spans="3:9">
      <c r="C284" s="150"/>
      <c r="E284" s="164">
        <v>45642</v>
      </c>
      <c r="F284" s="163" t="s">
        <v>919</v>
      </c>
      <c r="G284" s="163" t="s">
        <v>281</v>
      </c>
      <c r="H284" s="163" t="s">
        <v>129</v>
      </c>
      <c r="I284" s="168">
        <v>-1412</v>
      </c>
    </row>
    <row r="285" spans="3:9">
      <c r="C285" s="150"/>
      <c r="E285" s="164">
        <v>45642</v>
      </c>
      <c r="F285" s="163" t="s">
        <v>919</v>
      </c>
      <c r="G285" s="163" t="s">
        <v>281</v>
      </c>
      <c r="H285" s="163" t="s">
        <v>129</v>
      </c>
      <c r="I285" s="168">
        <v>-875</v>
      </c>
    </row>
    <row r="286" spans="3:9">
      <c r="C286" s="150"/>
      <c r="E286" s="164">
        <v>45642</v>
      </c>
      <c r="F286" s="163" t="s">
        <v>346</v>
      </c>
      <c r="G286" s="163"/>
      <c r="H286" s="163"/>
      <c r="I286" s="165">
        <v>0</v>
      </c>
    </row>
    <row r="287" spans="3:9">
      <c r="C287" s="150"/>
      <c r="E287" s="164">
        <v>45643</v>
      </c>
      <c r="F287" s="163" t="s">
        <v>95</v>
      </c>
      <c r="G287" s="163" t="s">
        <v>281</v>
      </c>
      <c r="H287" s="163" t="s">
        <v>1314</v>
      </c>
      <c r="I287" s="168">
        <v>-2386.6</v>
      </c>
    </row>
    <row r="288" spans="3:9">
      <c r="C288" s="150"/>
      <c r="E288" s="164">
        <v>45643</v>
      </c>
      <c r="F288" s="163" t="s">
        <v>346</v>
      </c>
      <c r="G288" s="163"/>
      <c r="H288" s="163"/>
      <c r="I288" s="165">
        <v>0</v>
      </c>
    </row>
    <row r="289" spans="3:9">
      <c r="C289" s="150"/>
      <c r="E289" s="164">
        <v>45644</v>
      </c>
      <c r="F289" s="163" t="s">
        <v>1142</v>
      </c>
      <c r="G289" s="163" t="s">
        <v>281</v>
      </c>
      <c r="H289" s="163" t="s">
        <v>199</v>
      </c>
      <c r="I289" s="168">
        <v>-347</v>
      </c>
    </row>
    <row r="290" spans="3:9">
      <c r="C290" s="150"/>
      <c r="E290" s="164">
        <v>45644</v>
      </c>
      <c r="F290" s="163" t="s">
        <v>346</v>
      </c>
      <c r="G290" s="163"/>
      <c r="H290" s="163"/>
      <c r="I290" s="165">
        <v>0</v>
      </c>
    </row>
    <row r="291" spans="3:9">
      <c r="C291" s="150"/>
      <c r="E291" s="164">
        <v>45646</v>
      </c>
      <c r="F291" s="163" t="s">
        <v>1292</v>
      </c>
      <c r="G291" s="163" t="s">
        <v>281</v>
      </c>
      <c r="H291" s="163" t="s">
        <v>289</v>
      </c>
      <c r="I291" s="165">
        <v>1999.99</v>
      </c>
    </row>
    <row r="292" spans="3:9">
      <c r="C292" s="150"/>
      <c r="E292" s="164">
        <v>45646</v>
      </c>
      <c r="F292" s="163" t="s">
        <v>1106</v>
      </c>
      <c r="G292" s="163" t="s">
        <v>281</v>
      </c>
      <c r="H292" s="163" t="s">
        <v>407</v>
      </c>
      <c r="I292" s="165">
        <v>1950</v>
      </c>
    </row>
    <row r="293" spans="3:9">
      <c r="C293" s="150"/>
      <c r="E293" s="164">
        <v>45646</v>
      </c>
      <c r="F293" s="163" t="s">
        <v>1078</v>
      </c>
      <c r="G293" s="163" t="s">
        <v>281</v>
      </c>
      <c r="H293" s="163" t="s">
        <v>407</v>
      </c>
      <c r="I293" s="221"/>
    </row>
    <row r="294" spans="3:9">
      <c r="C294" s="150"/>
      <c r="E294" s="164">
        <v>45646</v>
      </c>
      <c r="F294" s="163" t="s">
        <v>1054</v>
      </c>
      <c r="G294" s="163" t="s">
        <v>281</v>
      </c>
      <c r="H294" s="163" t="s">
        <v>407</v>
      </c>
      <c r="I294" s="221"/>
    </row>
    <row r="295" spans="3:9">
      <c r="C295" s="150"/>
      <c r="E295" s="164">
        <v>45646</v>
      </c>
      <c r="F295" s="163" t="s">
        <v>72</v>
      </c>
      <c r="G295" s="163" t="s">
        <v>281</v>
      </c>
      <c r="H295" s="163" t="s">
        <v>407</v>
      </c>
      <c r="I295" s="165">
        <v>2950</v>
      </c>
    </row>
    <row r="296" spans="3:9">
      <c r="C296" s="150"/>
      <c r="E296" s="164">
        <v>45646</v>
      </c>
      <c r="F296" s="163" t="s">
        <v>1018</v>
      </c>
      <c r="G296" s="163" t="s">
        <v>281</v>
      </c>
      <c r="H296" s="163" t="s">
        <v>407</v>
      </c>
      <c r="I296" s="165">
        <v>4199</v>
      </c>
    </row>
    <row r="297" spans="3:9">
      <c r="C297" s="150"/>
      <c r="E297" s="164">
        <v>45646</v>
      </c>
      <c r="F297" s="163" t="s">
        <v>385</v>
      </c>
      <c r="G297" s="163" t="s">
        <v>281</v>
      </c>
      <c r="H297" s="163" t="s">
        <v>1061</v>
      </c>
      <c r="I297" s="168">
        <v>-5564.75</v>
      </c>
    </row>
    <row r="298" spans="3:9">
      <c r="C298" s="150"/>
      <c r="E298" s="164">
        <v>45646</v>
      </c>
      <c r="F298" s="163" t="s">
        <v>351</v>
      </c>
      <c r="G298" s="163" t="s">
        <v>281</v>
      </c>
      <c r="H298" s="163" t="s">
        <v>122</v>
      </c>
      <c r="I298" s="168">
        <v>-10316.65</v>
      </c>
    </row>
    <row r="299" spans="3:9">
      <c r="C299" s="150"/>
      <c r="E299" s="164">
        <v>45646</v>
      </c>
      <c r="F299" s="163" t="s">
        <v>1073</v>
      </c>
      <c r="G299" s="163" t="s">
        <v>281</v>
      </c>
      <c r="H299" s="163" t="s">
        <v>1074</v>
      </c>
      <c r="I299" s="168">
        <v>-579</v>
      </c>
    </row>
    <row r="300" spans="3:9">
      <c r="C300" s="150"/>
      <c r="E300" s="164">
        <v>45646</v>
      </c>
      <c r="F300" s="163" t="s">
        <v>95</v>
      </c>
      <c r="G300" s="163" t="s">
        <v>281</v>
      </c>
      <c r="H300" s="163" t="s">
        <v>1031</v>
      </c>
      <c r="I300" s="168">
        <v>-1240.44</v>
      </c>
    </row>
    <row r="301" spans="3:9">
      <c r="C301" s="150"/>
      <c r="E301" s="164">
        <v>45646</v>
      </c>
      <c r="F301" s="163" t="s">
        <v>358</v>
      </c>
      <c r="G301" s="163" t="s">
        <v>281</v>
      </c>
      <c r="H301" s="163" t="s">
        <v>1031</v>
      </c>
      <c r="I301" s="168">
        <v>-1021.1</v>
      </c>
    </row>
    <row r="302" spans="3:9">
      <c r="C302" s="150"/>
      <c r="E302" s="164">
        <v>45646</v>
      </c>
      <c r="F302" s="163" t="s">
        <v>457</v>
      </c>
      <c r="G302" s="163" t="s">
        <v>281</v>
      </c>
      <c r="H302" s="163" t="s">
        <v>1031</v>
      </c>
      <c r="I302" s="168">
        <v>-1021.1</v>
      </c>
    </row>
    <row r="303" spans="3:9">
      <c r="C303" s="150"/>
      <c r="E303" s="164">
        <v>45646</v>
      </c>
      <c r="F303" s="163" t="s">
        <v>466</v>
      </c>
      <c r="G303" s="163" t="s">
        <v>281</v>
      </c>
      <c r="H303" s="163" t="s">
        <v>1031</v>
      </c>
      <c r="I303" s="168">
        <v>-1021.1</v>
      </c>
    </row>
    <row r="304" spans="3:9">
      <c r="C304" s="150"/>
      <c r="E304" s="164">
        <v>45646</v>
      </c>
      <c r="F304" s="163" t="s">
        <v>1425</v>
      </c>
      <c r="G304" s="163" t="s">
        <v>281</v>
      </c>
      <c r="H304" s="163" t="s">
        <v>1426</v>
      </c>
      <c r="I304" s="168">
        <v>-36513.660000000003</v>
      </c>
    </row>
    <row r="305" spans="3:9">
      <c r="C305" s="150"/>
      <c r="E305" s="164">
        <v>45646</v>
      </c>
      <c r="F305" s="163" t="s">
        <v>124</v>
      </c>
      <c r="G305" s="163" t="s">
        <v>281</v>
      </c>
      <c r="H305" s="163" t="s">
        <v>199</v>
      </c>
      <c r="I305" s="168">
        <v>-95</v>
      </c>
    </row>
    <row r="306" spans="3:9">
      <c r="C306" s="150"/>
      <c r="E306" s="164">
        <v>45646</v>
      </c>
      <c r="F306" s="163" t="s">
        <v>1644</v>
      </c>
      <c r="G306" s="163" t="s">
        <v>281</v>
      </c>
      <c r="H306" s="163" t="s">
        <v>1140</v>
      </c>
      <c r="I306" s="168">
        <v>-7500</v>
      </c>
    </row>
    <row r="307" spans="3:9">
      <c r="C307" s="150"/>
      <c r="E307" s="164">
        <v>45646</v>
      </c>
      <c r="F307" s="163" t="s">
        <v>451</v>
      </c>
      <c r="G307" s="163" t="s">
        <v>281</v>
      </c>
      <c r="H307" s="163" t="s">
        <v>1031</v>
      </c>
      <c r="I307" s="168">
        <v>-1021.1</v>
      </c>
    </row>
    <row r="308" spans="3:9">
      <c r="C308" s="150"/>
      <c r="E308" s="164">
        <v>45646</v>
      </c>
      <c r="F308" s="163" t="s">
        <v>111</v>
      </c>
      <c r="G308" s="163" t="s">
        <v>281</v>
      </c>
      <c r="H308" s="163" t="s">
        <v>1031</v>
      </c>
      <c r="I308" s="168">
        <v>-1600</v>
      </c>
    </row>
    <row r="309" spans="3:9">
      <c r="C309" s="150"/>
      <c r="E309" s="164">
        <v>45646</v>
      </c>
      <c r="F309" s="163" t="s">
        <v>93</v>
      </c>
      <c r="G309" s="163" t="s">
        <v>281</v>
      </c>
      <c r="H309" s="163" t="s">
        <v>1031</v>
      </c>
      <c r="I309" s="168">
        <v>-4800</v>
      </c>
    </row>
    <row r="310" spans="3:9">
      <c r="C310" s="150"/>
      <c r="E310" s="164">
        <v>45646</v>
      </c>
      <c r="F310" s="163" t="s">
        <v>501</v>
      </c>
      <c r="G310" s="163" t="s">
        <v>281</v>
      </c>
      <c r="H310" s="163" t="s">
        <v>1031</v>
      </c>
      <c r="I310" s="168">
        <v>-813.52</v>
      </c>
    </row>
    <row r="311" spans="3:9">
      <c r="C311" s="150"/>
      <c r="E311" s="164">
        <v>45646</v>
      </c>
      <c r="F311" s="163" t="s">
        <v>546</v>
      </c>
      <c r="G311" s="163" t="s">
        <v>281</v>
      </c>
      <c r="H311" s="163" t="s">
        <v>1031</v>
      </c>
      <c r="I311" s="168">
        <v>-1021.1</v>
      </c>
    </row>
    <row r="312" spans="3:9">
      <c r="C312" s="150"/>
      <c r="E312" s="164">
        <v>45646</v>
      </c>
      <c r="F312" s="163" t="s">
        <v>484</v>
      </c>
      <c r="G312" s="163" t="s">
        <v>281</v>
      </c>
      <c r="H312" s="163" t="s">
        <v>1031</v>
      </c>
      <c r="I312" s="168">
        <v>-400</v>
      </c>
    </row>
    <row r="313" spans="3:9">
      <c r="C313" s="150"/>
      <c r="E313" s="164">
        <v>45646</v>
      </c>
      <c r="F313" s="163" t="s">
        <v>491</v>
      </c>
      <c r="G313" s="163" t="s">
        <v>281</v>
      </c>
      <c r="H313" s="163" t="s">
        <v>1031</v>
      </c>
      <c r="I313" s="168">
        <v>-1200</v>
      </c>
    </row>
    <row r="314" spans="3:9">
      <c r="C314" s="150"/>
      <c r="E314" s="164">
        <v>45646</v>
      </c>
      <c r="F314" s="163" t="s">
        <v>516</v>
      </c>
      <c r="G314" s="163" t="s">
        <v>281</v>
      </c>
      <c r="H314" s="163" t="s">
        <v>1031</v>
      </c>
      <c r="I314" s="168">
        <v>-400</v>
      </c>
    </row>
    <row r="315" spans="3:9">
      <c r="C315" s="150"/>
      <c r="E315" s="164">
        <v>45646</v>
      </c>
      <c r="F315" s="163" t="s">
        <v>525</v>
      </c>
      <c r="G315" s="163" t="s">
        <v>281</v>
      </c>
      <c r="H315" s="163" t="s">
        <v>1031</v>
      </c>
      <c r="I315" s="168">
        <v>-700</v>
      </c>
    </row>
    <row r="316" spans="3:9">
      <c r="C316" s="150"/>
      <c r="E316" s="164">
        <v>45646</v>
      </c>
      <c r="F316" s="163" t="s">
        <v>1066</v>
      </c>
      <c r="G316" s="163" t="s">
        <v>281</v>
      </c>
      <c r="H316" s="163" t="s">
        <v>356</v>
      </c>
      <c r="I316" s="168">
        <v>-900</v>
      </c>
    </row>
    <row r="317" spans="3:9">
      <c r="C317" s="150"/>
      <c r="E317" s="181">
        <v>45646</v>
      </c>
      <c r="F317" s="180" t="s">
        <v>1033</v>
      </c>
      <c r="G317" s="180" t="s">
        <v>281</v>
      </c>
      <c r="H317" s="180" t="s">
        <v>120</v>
      </c>
      <c r="I317" s="182">
        <v>-7540</v>
      </c>
    </row>
    <row r="318" spans="3:9">
      <c r="C318" s="150"/>
      <c r="E318" s="164">
        <v>45646</v>
      </c>
      <c r="F318" s="163" t="s">
        <v>346</v>
      </c>
      <c r="G318" s="163"/>
      <c r="H318" s="163"/>
      <c r="I318" s="165">
        <v>0</v>
      </c>
    </row>
    <row r="319" spans="3:9">
      <c r="C319" s="150"/>
      <c r="E319" s="164">
        <v>45649</v>
      </c>
      <c r="F319" s="163" t="s">
        <v>1437</v>
      </c>
      <c r="G319" s="163" t="s">
        <v>281</v>
      </c>
      <c r="H319" s="163" t="s">
        <v>407</v>
      </c>
      <c r="I319" s="165">
        <v>5500</v>
      </c>
    </row>
    <row r="320" spans="3:9">
      <c r="C320" s="150"/>
      <c r="E320" s="164">
        <v>45649</v>
      </c>
      <c r="F320" s="163" t="s">
        <v>1210</v>
      </c>
      <c r="G320" s="163" t="s">
        <v>281</v>
      </c>
      <c r="H320" s="163" t="s">
        <v>196</v>
      </c>
      <c r="I320" s="168">
        <v>-266.33999999999997</v>
      </c>
    </row>
    <row r="321" spans="3:9">
      <c r="C321" s="150"/>
      <c r="E321" s="164">
        <v>45649</v>
      </c>
      <c r="F321" s="163" t="s">
        <v>1013</v>
      </c>
      <c r="G321" s="163" t="s">
        <v>281</v>
      </c>
      <c r="H321" s="163" t="s">
        <v>199</v>
      </c>
      <c r="I321" s="168">
        <v>-1000</v>
      </c>
    </row>
    <row r="322" spans="3:9">
      <c r="C322" s="150"/>
      <c r="E322" s="164">
        <v>45649</v>
      </c>
      <c r="F322" s="163" t="s">
        <v>1273</v>
      </c>
      <c r="G322" s="163" t="s">
        <v>281</v>
      </c>
      <c r="H322" s="163" t="s">
        <v>199</v>
      </c>
      <c r="I322" s="168">
        <v>-1200</v>
      </c>
    </row>
    <row r="323" spans="3:9">
      <c r="C323" s="150"/>
      <c r="E323" s="164">
        <v>45649</v>
      </c>
      <c r="F323" s="163" t="s">
        <v>1098</v>
      </c>
      <c r="G323" s="163" t="s">
        <v>281</v>
      </c>
      <c r="H323" s="163" t="s">
        <v>199</v>
      </c>
      <c r="I323" s="168">
        <v>-552</v>
      </c>
    </row>
    <row r="324" spans="3:9">
      <c r="C324" s="150"/>
      <c r="E324" s="164">
        <v>45649</v>
      </c>
      <c r="F324" s="163" t="s">
        <v>1326</v>
      </c>
      <c r="G324" s="163" t="s">
        <v>281</v>
      </c>
      <c r="H324" s="163" t="s">
        <v>199</v>
      </c>
      <c r="I324" s="168">
        <v>-544</v>
      </c>
    </row>
    <row r="325" spans="3:9">
      <c r="C325" s="150"/>
      <c r="E325" s="164">
        <v>45649</v>
      </c>
      <c r="F325" s="163" t="s">
        <v>346</v>
      </c>
      <c r="G325" s="163"/>
      <c r="H325" s="163"/>
      <c r="I325" s="165">
        <v>0</v>
      </c>
    </row>
    <row r="326" spans="3:9">
      <c r="C326" s="150"/>
      <c r="E326" s="164">
        <v>45650</v>
      </c>
      <c r="F326" s="163" t="s">
        <v>1442</v>
      </c>
      <c r="G326" s="163" t="s">
        <v>281</v>
      </c>
      <c r="H326" s="163" t="s">
        <v>1442</v>
      </c>
      <c r="I326" s="168">
        <v>-1054.22</v>
      </c>
    </row>
    <row r="327" spans="3:9">
      <c r="C327" s="150"/>
      <c r="E327" s="164">
        <v>45650</v>
      </c>
      <c r="F327" s="163" t="s">
        <v>1444</v>
      </c>
      <c r="G327" s="163" t="s">
        <v>281</v>
      </c>
      <c r="H327" s="163" t="s">
        <v>1444</v>
      </c>
      <c r="I327" s="168">
        <v>-6025.52</v>
      </c>
    </row>
    <row r="328" spans="3:9">
      <c r="C328" s="150"/>
      <c r="E328" s="164">
        <v>45650</v>
      </c>
      <c r="F328" s="163" t="s">
        <v>1367</v>
      </c>
      <c r="G328" s="163" t="s">
        <v>281</v>
      </c>
      <c r="H328" s="163" t="s">
        <v>372</v>
      </c>
      <c r="I328" s="168">
        <v>-654.29999999999995</v>
      </c>
    </row>
    <row r="329" spans="3:9">
      <c r="C329" s="150"/>
      <c r="E329" s="164">
        <v>45650</v>
      </c>
      <c r="F329" s="163" t="s">
        <v>346</v>
      </c>
      <c r="G329" s="163"/>
      <c r="H329" s="163"/>
      <c r="I329" s="165">
        <v>0</v>
      </c>
    </row>
    <row r="330" spans="3:9">
      <c r="C330" s="150"/>
      <c r="E330" s="164">
        <v>45652</v>
      </c>
      <c r="F330" s="163" t="s">
        <v>1205</v>
      </c>
      <c r="G330" s="163" t="s">
        <v>281</v>
      </c>
      <c r="H330" s="163" t="s">
        <v>407</v>
      </c>
      <c r="I330" s="165">
        <v>1200</v>
      </c>
    </row>
    <row r="331" spans="3:9">
      <c r="C331" s="150"/>
      <c r="E331" s="164">
        <v>45652</v>
      </c>
      <c r="F331" s="163" t="s">
        <v>1189</v>
      </c>
      <c r="G331" s="163" t="s">
        <v>281</v>
      </c>
      <c r="H331" s="163" t="s">
        <v>407</v>
      </c>
      <c r="I331" s="165">
        <v>2100</v>
      </c>
    </row>
    <row r="332" spans="3:9">
      <c r="C332" s="150"/>
      <c r="E332" s="164">
        <v>45652</v>
      </c>
      <c r="F332" s="163" t="s">
        <v>1175</v>
      </c>
      <c r="G332" s="163" t="s">
        <v>281</v>
      </c>
      <c r="H332" s="163" t="s">
        <v>407</v>
      </c>
      <c r="I332" s="165">
        <v>2500</v>
      </c>
    </row>
    <row r="333" spans="3:9">
      <c r="C333" s="150"/>
      <c r="E333" s="164">
        <v>45652</v>
      </c>
      <c r="F333" s="163" t="s">
        <v>1158</v>
      </c>
      <c r="G333" s="163" t="s">
        <v>281</v>
      </c>
      <c r="H333" s="163" t="s">
        <v>407</v>
      </c>
      <c r="I333" s="165">
        <v>3200</v>
      </c>
    </row>
    <row r="334" spans="3:9">
      <c r="C334" s="150"/>
      <c r="E334" s="164">
        <v>45652</v>
      </c>
      <c r="F334" s="163" t="s">
        <v>1223</v>
      </c>
      <c r="G334" s="163" t="s">
        <v>281</v>
      </c>
      <c r="H334" s="163" t="s">
        <v>407</v>
      </c>
      <c r="I334" s="165">
        <v>3200</v>
      </c>
    </row>
    <row r="335" spans="3:9">
      <c r="C335" s="150"/>
      <c r="E335" s="164">
        <v>45652</v>
      </c>
      <c r="F335" s="163" t="s">
        <v>1279</v>
      </c>
      <c r="G335" s="163" t="s">
        <v>281</v>
      </c>
      <c r="H335" s="163" t="s">
        <v>407</v>
      </c>
      <c r="I335" s="165">
        <v>3500</v>
      </c>
    </row>
    <row r="336" spans="3:9">
      <c r="C336" s="150"/>
      <c r="E336" s="164">
        <v>45652</v>
      </c>
      <c r="F336" s="163" t="s">
        <v>1256</v>
      </c>
      <c r="G336" s="163" t="s">
        <v>281</v>
      </c>
      <c r="H336" s="163" t="s">
        <v>407</v>
      </c>
      <c r="I336" s="165">
        <v>3500</v>
      </c>
    </row>
    <row r="337" spans="3:9">
      <c r="C337" s="150"/>
      <c r="E337" s="164">
        <v>45652</v>
      </c>
      <c r="F337" s="163" t="s">
        <v>1166</v>
      </c>
      <c r="G337" s="163" t="s">
        <v>281</v>
      </c>
      <c r="H337" s="163" t="s">
        <v>407</v>
      </c>
      <c r="I337" s="165">
        <v>4199</v>
      </c>
    </row>
    <row r="338" spans="3:9">
      <c r="C338" s="150"/>
      <c r="E338" s="164">
        <v>45652</v>
      </c>
      <c r="F338" s="163" t="s">
        <v>1123</v>
      </c>
      <c r="G338" s="163" t="s">
        <v>281</v>
      </c>
      <c r="H338" s="163" t="s">
        <v>407</v>
      </c>
      <c r="I338" s="165">
        <v>4300</v>
      </c>
    </row>
    <row r="339" spans="3:9">
      <c r="C339" s="150"/>
      <c r="E339" s="164">
        <v>45652</v>
      </c>
      <c r="F339" s="163" t="s">
        <v>1115</v>
      </c>
      <c r="G339" s="163" t="s">
        <v>281</v>
      </c>
      <c r="H339" s="163" t="s">
        <v>407</v>
      </c>
      <c r="I339" s="165">
        <v>4390</v>
      </c>
    </row>
    <row r="340" spans="3:9">
      <c r="C340" s="150"/>
      <c r="E340" s="164">
        <v>45652</v>
      </c>
      <c r="F340" s="163" t="s">
        <v>1196</v>
      </c>
      <c r="G340" s="163" t="s">
        <v>281</v>
      </c>
      <c r="H340" s="163" t="s">
        <v>407</v>
      </c>
      <c r="I340" s="165">
        <v>4500</v>
      </c>
    </row>
    <row r="341" spans="3:9">
      <c r="C341" s="150"/>
      <c r="E341" s="164">
        <v>45652</v>
      </c>
      <c r="F341" s="163" t="s">
        <v>1182</v>
      </c>
      <c r="G341" s="163" t="s">
        <v>281</v>
      </c>
      <c r="H341" s="163" t="s">
        <v>407</v>
      </c>
      <c r="I341" s="165">
        <v>4500</v>
      </c>
    </row>
    <row r="342" spans="3:9">
      <c r="C342" s="150"/>
      <c r="E342" s="164">
        <v>45652</v>
      </c>
      <c r="F342" s="163" t="s">
        <v>1131</v>
      </c>
      <c r="G342" s="163" t="s">
        <v>281</v>
      </c>
      <c r="H342" s="163" t="s">
        <v>407</v>
      </c>
      <c r="I342" s="221"/>
    </row>
    <row r="343" spans="3:9">
      <c r="C343" s="150"/>
      <c r="E343" s="164">
        <v>45652</v>
      </c>
      <c r="F343" s="163" t="s">
        <v>615</v>
      </c>
      <c r="G343" s="163" t="s">
        <v>281</v>
      </c>
      <c r="H343" s="163" t="s">
        <v>407</v>
      </c>
      <c r="I343" s="165">
        <v>10500</v>
      </c>
    </row>
    <row r="344" spans="3:9">
      <c r="C344" s="150"/>
      <c r="E344" s="164">
        <v>45652</v>
      </c>
      <c r="F344" s="163" t="s">
        <v>1002</v>
      </c>
      <c r="G344" s="163" t="s">
        <v>281</v>
      </c>
      <c r="H344" s="163" t="s">
        <v>190</v>
      </c>
      <c r="I344" s="168">
        <v>-500</v>
      </c>
    </row>
    <row r="345" spans="3:9">
      <c r="C345" s="150"/>
      <c r="E345" s="164">
        <v>45652</v>
      </c>
      <c r="F345" s="163" t="s">
        <v>844</v>
      </c>
      <c r="G345" s="163" t="s">
        <v>281</v>
      </c>
      <c r="H345" s="163" t="s">
        <v>120</v>
      </c>
      <c r="I345" s="168">
        <v>-17000</v>
      </c>
    </row>
    <row r="346" spans="3:9">
      <c r="C346" s="150"/>
      <c r="E346" s="164">
        <v>45652</v>
      </c>
      <c r="F346" s="163" t="s">
        <v>1295</v>
      </c>
      <c r="G346" s="163" t="s">
        <v>281</v>
      </c>
      <c r="H346" s="163" t="s">
        <v>199</v>
      </c>
      <c r="I346" s="168">
        <v>-850</v>
      </c>
    </row>
    <row r="347" spans="3:9">
      <c r="C347" s="150"/>
      <c r="E347" s="164">
        <v>45652</v>
      </c>
      <c r="F347" s="163" t="s">
        <v>1155</v>
      </c>
      <c r="G347" s="163" t="s">
        <v>281</v>
      </c>
      <c r="H347" s="163" t="s">
        <v>392</v>
      </c>
      <c r="I347" s="168">
        <v>-9385</v>
      </c>
    </row>
    <row r="348" spans="3:9">
      <c r="C348" s="150"/>
      <c r="E348" s="164">
        <v>45652</v>
      </c>
      <c r="F348" s="163" t="s">
        <v>346</v>
      </c>
      <c r="G348" s="163"/>
      <c r="H348" s="163"/>
      <c r="I348" s="165">
        <v>0</v>
      </c>
    </row>
    <row r="349" spans="3:9">
      <c r="C349" s="150"/>
      <c r="E349" s="164">
        <v>45653</v>
      </c>
      <c r="F349" s="163" t="s">
        <v>1232</v>
      </c>
      <c r="G349" s="163" t="s">
        <v>281</v>
      </c>
      <c r="H349" s="163" t="s">
        <v>407</v>
      </c>
      <c r="I349" s="165">
        <v>1200</v>
      </c>
    </row>
    <row r="350" spans="3:9">
      <c r="C350" s="150"/>
      <c r="E350" s="164">
        <v>45653</v>
      </c>
      <c r="F350" s="163" t="s">
        <v>989</v>
      </c>
      <c r="G350" s="163" t="s">
        <v>281</v>
      </c>
      <c r="H350" s="163" t="s">
        <v>199</v>
      </c>
      <c r="I350" s="168">
        <v>-1119</v>
      </c>
    </row>
    <row r="351" spans="3:9">
      <c r="C351" s="150"/>
      <c r="E351" s="164">
        <v>45653</v>
      </c>
      <c r="F351" s="163" t="s">
        <v>1287</v>
      </c>
      <c r="G351" s="163" t="s">
        <v>281</v>
      </c>
      <c r="H351" s="163" t="s">
        <v>1288</v>
      </c>
      <c r="I351" s="168">
        <v>-6500</v>
      </c>
    </row>
    <row r="352" spans="3:9">
      <c r="C352" s="150"/>
      <c r="E352" s="164">
        <v>45653</v>
      </c>
      <c r="F352" s="163" t="s">
        <v>346</v>
      </c>
      <c r="G352" s="163"/>
      <c r="H352" s="163"/>
      <c r="I352" s="165">
        <v>0</v>
      </c>
    </row>
    <row r="353" spans="3:9">
      <c r="C353" s="150"/>
      <c r="E353" s="164">
        <v>45656</v>
      </c>
      <c r="F353" s="163" t="s">
        <v>1616</v>
      </c>
      <c r="G353" s="163" t="s">
        <v>281</v>
      </c>
      <c r="H353" s="163" t="s">
        <v>289</v>
      </c>
      <c r="I353" s="165">
        <v>500</v>
      </c>
    </row>
    <row r="354" spans="3:9">
      <c r="C354" s="150"/>
      <c r="E354" s="164">
        <v>45656</v>
      </c>
      <c r="F354" s="163" t="s">
        <v>1215</v>
      </c>
      <c r="G354" s="163" t="s">
        <v>281</v>
      </c>
      <c r="H354" s="163" t="s">
        <v>407</v>
      </c>
      <c r="I354" s="165">
        <v>1750</v>
      </c>
    </row>
    <row r="355" spans="3:9">
      <c r="C355" s="150"/>
      <c r="E355" s="164">
        <v>45656</v>
      </c>
      <c r="F355" s="163" t="s">
        <v>1632</v>
      </c>
      <c r="G355" s="163" t="s">
        <v>281</v>
      </c>
      <c r="H355" s="163" t="s">
        <v>289</v>
      </c>
      <c r="I355" s="165">
        <v>3885.12</v>
      </c>
    </row>
    <row r="356" spans="3:9">
      <c r="C356" s="150"/>
      <c r="E356" s="164">
        <v>45656</v>
      </c>
      <c r="F356" s="163" t="s">
        <v>321</v>
      </c>
      <c r="G356" s="163" t="s">
        <v>281</v>
      </c>
      <c r="H356" s="163" t="s">
        <v>121</v>
      </c>
      <c r="I356" s="168">
        <v>-159</v>
      </c>
    </row>
    <row r="357" spans="3:9">
      <c r="C357" s="150"/>
      <c r="E357" s="164">
        <v>45656</v>
      </c>
      <c r="F357" s="163" t="s">
        <v>447</v>
      </c>
      <c r="G357" s="163" t="s">
        <v>281</v>
      </c>
      <c r="H357" s="163" t="s">
        <v>121</v>
      </c>
      <c r="I357" s="168">
        <v>-244.2</v>
      </c>
    </row>
    <row r="358" spans="3:9">
      <c r="C358" s="150"/>
      <c r="E358" s="164">
        <v>45656</v>
      </c>
      <c r="F358" s="163" t="s">
        <v>451</v>
      </c>
      <c r="G358" s="163" t="s">
        <v>281</v>
      </c>
      <c r="H358" s="163" t="s">
        <v>121</v>
      </c>
      <c r="I358" s="168">
        <v>-506</v>
      </c>
    </row>
    <row r="359" spans="3:9">
      <c r="C359" s="150"/>
      <c r="E359" s="164">
        <v>45656</v>
      </c>
      <c r="F359" s="163" t="s">
        <v>463</v>
      </c>
      <c r="G359" s="163" t="s">
        <v>281</v>
      </c>
      <c r="H359" s="163" t="s">
        <v>121</v>
      </c>
      <c r="I359" s="168">
        <v>-210</v>
      </c>
    </row>
    <row r="360" spans="3:9">
      <c r="C360" s="150"/>
      <c r="E360" s="164">
        <v>45656</v>
      </c>
      <c r="F360" s="163" t="s">
        <v>469</v>
      </c>
      <c r="G360" s="163" t="s">
        <v>281</v>
      </c>
      <c r="H360" s="163" t="s">
        <v>121</v>
      </c>
      <c r="I360" s="168">
        <v>-244.2</v>
      </c>
    </row>
    <row r="361" spans="3:9">
      <c r="C361" s="150"/>
      <c r="E361" s="164">
        <v>45656</v>
      </c>
      <c r="F361" s="163" t="s">
        <v>1323</v>
      </c>
      <c r="G361" s="163" t="s">
        <v>281</v>
      </c>
      <c r="H361" s="163" t="s">
        <v>199</v>
      </c>
      <c r="I361" s="168">
        <v>-2535</v>
      </c>
    </row>
    <row r="362" spans="3:9">
      <c r="C362" s="150"/>
      <c r="E362" s="164">
        <v>45656</v>
      </c>
      <c r="F362" s="163" t="s">
        <v>358</v>
      </c>
      <c r="G362" s="163" t="s">
        <v>281</v>
      </c>
      <c r="H362" s="163" t="s">
        <v>121</v>
      </c>
      <c r="I362" s="168">
        <v>-220.5</v>
      </c>
    </row>
    <row r="363" spans="3:9">
      <c r="C363" s="150"/>
      <c r="E363" s="164">
        <v>45656</v>
      </c>
      <c r="F363" s="163" t="s">
        <v>133</v>
      </c>
      <c r="G363" s="163" t="s">
        <v>281</v>
      </c>
      <c r="H363" s="163" t="s">
        <v>199</v>
      </c>
      <c r="I363" s="168">
        <v>-730</v>
      </c>
    </row>
    <row r="364" spans="3:9">
      <c r="C364" s="150"/>
      <c r="E364" s="164">
        <v>45656</v>
      </c>
      <c r="F364" s="163" t="s">
        <v>1013</v>
      </c>
      <c r="G364" s="163" t="s">
        <v>281</v>
      </c>
      <c r="H364" s="163" t="s">
        <v>199</v>
      </c>
      <c r="I364" s="168">
        <v>-1000</v>
      </c>
    </row>
    <row r="365" spans="3:9">
      <c r="C365" s="150"/>
      <c r="E365" s="164">
        <v>45656</v>
      </c>
      <c r="F365" s="163" t="s">
        <v>1006</v>
      </c>
      <c r="G365" s="163" t="s">
        <v>281</v>
      </c>
      <c r="H365" s="163" t="s">
        <v>199</v>
      </c>
      <c r="I365" s="168">
        <v>-6000</v>
      </c>
    </row>
    <row r="366" spans="3:9">
      <c r="C366" s="150"/>
      <c r="E366" s="164">
        <v>45656</v>
      </c>
      <c r="F366" s="163" t="s">
        <v>1033</v>
      </c>
      <c r="G366" s="163" t="s">
        <v>281</v>
      </c>
      <c r="H366" s="163" t="s">
        <v>120</v>
      </c>
      <c r="I366" s="168">
        <v>-6962.55</v>
      </c>
    </row>
    <row r="367" spans="3:9">
      <c r="C367" s="150"/>
      <c r="E367" s="164">
        <v>45656</v>
      </c>
      <c r="F367" s="163" t="s">
        <v>346</v>
      </c>
      <c r="G367" s="163"/>
      <c r="H367" s="163"/>
      <c r="I367" s="165">
        <v>0</v>
      </c>
    </row>
    <row r="368" spans="3:9">
      <c r="C368" s="150"/>
      <c r="E368" s="164">
        <v>45657</v>
      </c>
      <c r="F368" s="163" t="s">
        <v>131</v>
      </c>
      <c r="G368" s="163" t="s">
        <v>281</v>
      </c>
      <c r="H368" s="163" t="s">
        <v>199</v>
      </c>
      <c r="I368" s="168">
        <v>-5019.49</v>
      </c>
    </row>
    <row r="369" spans="3:9">
      <c r="C369" s="150"/>
      <c r="E369" s="164">
        <v>45657</v>
      </c>
      <c r="F369" s="163" t="s">
        <v>436</v>
      </c>
      <c r="G369" s="163" t="s">
        <v>281</v>
      </c>
      <c r="H369" s="163" t="s">
        <v>121</v>
      </c>
      <c r="I369" s="168">
        <v>-84</v>
      </c>
    </row>
    <row r="370" spans="3:9">
      <c r="C370" s="150"/>
      <c r="E370" s="164">
        <v>45657</v>
      </c>
      <c r="F370" s="163" t="s">
        <v>466</v>
      </c>
      <c r="G370" s="163" t="s">
        <v>281</v>
      </c>
      <c r="H370" s="163" t="s">
        <v>121</v>
      </c>
      <c r="I370" s="168">
        <v>-241.5</v>
      </c>
    </row>
    <row r="371" spans="3:9">
      <c r="C371" s="150"/>
      <c r="E371" s="164">
        <v>45657</v>
      </c>
      <c r="F371" s="163" t="s">
        <v>501</v>
      </c>
      <c r="G371" s="163" t="s">
        <v>281</v>
      </c>
      <c r="H371" s="163" t="s">
        <v>121</v>
      </c>
      <c r="I371" s="168">
        <v>-241.5</v>
      </c>
    </row>
    <row r="372" spans="3:9">
      <c r="C372" s="150"/>
      <c r="E372" s="164">
        <v>45657</v>
      </c>
      <c r="F372" s="163" t="s">
        <v>505</v>
      </c>
      <c r="G372" s="163" t="s">
        <v>281</v>
      </c>
      <c r="H372" s="163" t="s">
        <v>121</v>
      </c>
      <c r="I372" s="168">
        <v>-241.5</v>
      </c>
    </row>
    <row r="373" spans="3:9">
      <c r="C373" s="150"/>
      <c r="E373" s="164">
        <v>45657</v>
      </c>
      <c r="F373" s="163" t="s">
        <v>484</v>
      </c>
      <c r="G373" s="163" t="s">
        <v>281</v>
      </c>
      <c r="H373" s="163" t="s">
        <v>121</v>
      </c>
      <c r="I373" s="168">
        <v>-91.3</v>
      </c>
    </row>
    <row r="374" spans="3:9">
      <c r="C374" s="150"/>
      <c r="E374" s="164">
        <v>45657</v>
      </c>
      <c r="F374" s="163" t="s">
        <v>1305</v>
      </c>
      <c r="G374" s="163" t="s">
        <v>281</v>
      </c>
      <c r="H374" s="163" t="s">
        <v>199</v>
      </c>
      <c r="I374" s="168">
        <v>-3000</v>
      </c>
    </row>
    <row r="375" spans="3:9">
      <c r="C375" s="150"/>
      <c r="E375" s="181">
        <v>45657</v>
      </c>
      <c r="F375" s="180" t="s">
        <v>919</v>
      </c>
      <c r="G375" s="180" t="s">
        <v>281</v>
      </c>
      <c r="H375" s="180" t="s">
        <v>129</v>
      </c>
      <c r="I375" s="182">
        <v>-1534</v>
      </c>
    </row>
    <row r="376" spans="3:9">
      <c r="C376" s="150"/>
      <c r="E376" s="181">
        <v>45659</v>
      </c>
      <c r="F376" s="180" t="s">
        <v>2264</v>
      </c>
      <c r="G376" s="180" t="s">
        <v>281</v>
      </c>
      <c r="H376" s="180" t="s">
        <v>193</v>
      </c>
      <c r="I376" s="182">
        <v>-4000</v>
      </c>
    </row>
    <row r="377" spans="3:9">
      <c r="C377" s="150"/>
      <c r="E377" s="181">
        <v>45659</v>
      </c>
      <c r="F377" s="180" t="s">
        <v>2265</v>
      </c>
      <c r="G377" s="180" t="s">
        <v>281</v>
      </c>
      <c r="H377" s="180" t="s">
        <v>1552</v>
      </c>
      <c r="I377" s="182">
        <f>-6500/2</f>
        <v>-3250</v>
      </c>
    </row>
    <row r="378" spans="3:9">
      <c r="C378" s="150"/>
      <c r="E378" s="49"/>
      <c r="F378" s="49"/>
      <c r="G378" s="49"/>
      <c r="H378" s="49"/>
      <c r="I378" s="49"/>
    </row>
    <row r="379" spans="3:9">
      <c r="C379" s="150"/>
      <c r="E379" s="432"/>
      <c r="F379" s="180"/>
      <c r="G379" s="180"/>
      <c r="H379" s="180"/>
      <c r="I379" s="215"/>
    </row>
    <row r="380" spans="3:9">
      <c r="C380" s="150"/>
      <c r="E380" s="181">
        <v>45659</v>
      </c>
      <c r="F380" s="180" t="s">
        <v>2266</v>
      </c>
      <c r="G380" s="180" t="s">
        <v>281</v>
      </c>
      <c r="H380" s="180" t="s">
        <v>212</v>
      </c>
      <c r="I380" s="182">
        <f>-8885.12*(1-16.33%)</f>
        <v>-7434.1799040000005</v>
      </c>
    </row>
    <row r="381" spans="3:9">
      <c r="C381" s="150"/>
      <c r="E381" s="181">
        <v>45659</v>
      </c>
      <c r="F381" s="180" t="s">
        <v>2267</v>
      </c>
      <c r="G381" s="180" t="s">
        <v>281</v>
      </c>
      <c r="H381" s="180" t="s">
        <v>212</v>
      </c>
      <c r="I381" s="182">
        <f>-14253.38</f>
        <v>-14253.38</v>
      </c>
    </row>
    <row r="382" spans="3:9">
      <c r="C382" s="150"/>
      <c r="E382" s="181">
        <v>45706</v>
      </c>
      <c r="F382" s="180" t="s">
        <v>2268</v>
      </c>
      <c r="G382" s="180" t="s">
        <v>281</v>
      </c>
      <c r="H382" s="180" t="s">
        <v>212</v>
      </c>
      <c r="I382" s="182">
        <v>-13805.55</v>
      </c>
    </row>
    <row r="383" spans="3:9">
      <c r="C383" s="150"/>
      <c r="E383" s="181">
        <v>45672</v>
      </c>
      <c r="F383" s="163" t="s">
        <v>1356</v>
      </c>
      <c r="G383" s="163" t="s">
        <v>281</v>
      </c>
      <c r="H383" s="163" t="s">
        <v>289</v>
      </c>
      <c r="I383" s="165">
        <v>800</v>
      </c>
    </row>
    <row r="384" spans="3:9">
      <c r="C384" s="150"/>
      <c r="E384" s="181">
        <v>45672</v>
      </c>
      <c r="F384" s="163" t="s">
        <v>1624</v>
      </c>
      <c r="G384" s="163" t="s">
        <v>281</v>
      </c>
      <c r="H384" s="163" t="s">
        <v>407</v>
      </c>
      <c r="I384" s="165">
        <v>7500</v>
      </c>
    </row>
    <row r="385" spans="3:9">
      <c r="C385" s="150"/>
      <c r="E385" s="164">
        <v>45621</v>
      </c>
      <c r="F385" s="163" t="s">
        <v>1442</v>
      </c>
      <c r="G385" s="163" t="s">
        <v>281</v>
      </c>
      <c r="H385" s="163" t="s">
        <v>1442</v>
      </c>
      <c r="I385" s="168">
        <v>-1305.53</v>
      </c>
    </row>
    <row r="386" spans="3:9">
      <c r="C386" s="150"/>
      <c r="E386" s="164">
        <v>45621</v>
      </c>
      <c r="F386" s="163" t="s">
        <v>1444</v>
      </c>
      <c r="G386" s="163" t="s">
        <v>281</v>
      </c>
      <c r="H386" s="163" t="s">
        <v>1444</v>
      </c>
      <c r="I386" s="168">
        <v>-6025.52</v>
      </c>
    </row>
    <row r="387" spans="3:9">
      <c r="C387" s="150"/>
    </row>
    <row r="388" spans="3:9">
      <c r="C388" s="150"/>
    </row>
    <row r="389" spans="3:9">
      <c r="C389" s="150"/>
    </row>
    <row r="390" spans="3:9">
      <c r="C390" s="150"/>
    </row>
    <row r="391" spans="3:9">
      <c r="C391" s="150"/>
    </row>
    <row r="392" spans="3:9">
      <c r="C392" s="150"/>
    </row>
    <row r="393" spans="3:9">
      <c r="C393" s="150"/>
    </row>
    <row r="394" spans="3:9">
      <c r="C394" s="150"/>
    </row>
    <row r="395" spans="3:9">
      <c r="C395" s="150"/>
    </row>
    <row r="396" spans="3:9">
      <c r="C396" s="150"/>
    </row>
    <row r="397" spans="3:9">
      <c r="C397" s="150"/>
    </row>
    <row r="398" spans="3:9">
      <c r="C398" s="150"/>
    </row>
    <row r="399" spans="3:9">
      <c r="C399" s="150"/>
    </row>
    <row r="400" spans="3:9">
      <c r="C400" s="150"/>
    </row>
    <row r="401" spans="3:3">
      <c r="C401" s="150"/>
    </row>
    <row r="402" spans="3:3">
      <c r="C402" s="150"/>
    </row>
    <row r="403" spans="3:3">
      <c r="C403" s="150"/>
    </row>
    <row r="404" spans="3:3">
      <c r="C404" s="150"/>
    </row>
    <row r="405" spans="3:3">
      <c r="C405" s="150"/>
    </row>
    <row r="406" spans="3:3">
      <c r="C406" s="150"/>
    </row>
    <row r="407" spans="3:3">
      <c r="C407" s="150"/>
    </row>
    <row r="408" spans="3:3">
      <c r="C408" s="150"/>
    </row>
    <row r="409" spans="3:3">
      <c r="C409" s="150"/>
    </row>
    <row r="410" spans="3:3">
      <c r="C410" s="150"/>
    </row>
    <row r="411" spans="3:3">
      <c r="C411" s="150"/>
    </row>
    <row r="412" spans="3:3">
      <c r="C412" s="150"/>
    </row>
    <row r="413" spans="3:3">
      <c r="C413" s="150"/>
    </row>
    <row r="414" spans="3:3">
      <c r="C414" s="150"/>
    </row>
    <row r="415" spans="3:3">
      <c r="C415" s="150"/>
    </row>
    <row r="416" spans="3:3">
      <c r="C416" s="150"/>
    </row>
    <row r="417" spans="3:3">
      <c r="C417" s="150"/>
    </row>
    <row r="418" spans="3:3">
      <c r="C418" s="150"/>
    </row>
    <row r="419" spans="3:3">
      <c r="C419" s="150"/>
    </row>
    <row r="420" spans="3:3">
      <c r="C420" s="150"/>
    </row>
    <row r="421" spans="3:3">
      <c r="C421" s="150"/>
    </row>
    <row r="422" spans="3:3">
      <c r="C422" s="150"/>
    </row>
    <row r="423" spans="3:3">
      <c r="C423" s="150"/>
    </row>
    <row r="424" spans="3:3">
      <c r="C424" s="150"/>
    </row>
    <row r="425" spans="3:3">
      <c r="C425" s="150"/>
    </row>
    <row r="426" spans="3:3">
      <c r="C426" s="150"/>
    </row>
    <row r="427" spans="3:3">
      <c r="C427" s="150"/>
    </row>
    <row r="428" spans="3:3">
      <c r="C428" s="150"/>
    </row>
    <row r="429" spans="3:3">
      <c r="C429" s="150"/>
    </row>
    <row r="430" spans="3:3">
      <c r="C430" s="150"/>
    </row>
    <row r="431" spans="3:3">
      <c r="C431" s="150"/>
    </row>
    <row r="432" spans="3:3">
      <c r="C432" s="150"/>
    </row>
    <row r="433" spans="3:3">
      <c r="C433" s="150"/>
    </row>
    <row r="434" spans="3:3">
      <c r="C434" s="150"/>
    </row>
    <row r="435" spans="3:3">
      <c r="C435" s="150"/>
    </row>
    <row r="436" spans="3:3">
      <c r="C436" s="150"/>
    </row>
    <row r="437" spans="3:3">
      <c r="C437" s="150"/>
    </row>
    <row r="438" spans="3:3">
      <c r="C438" s="150"/>
    </row>
    <row r="439" spans="3:3">
      <c r="C439" s="150"/>
    </row>
    <row r="440" spans="3:3">
      <c r="C440" s="150"/>
    </row>
    <row r="441" spans="3:3">
      <c r="C441" s="150"/>
    </row>
    <row r="442" spans="3:3">
      <c r="C442" s="150"/>
    </row>
    <row r="443" spans="3:3">
      <c r="C443" s="150"/>
    </row>
    <row r="444" spans="3:3">
      <c r="C444" s="150"/>
    </row>
    <row r="445" spans="3:3">
      <c r="C445" s="150"/>
    </row>
    <row r="446" spans="3:3">
      <c r="C446" s="150"/>
    </row>
    <row r="447" spans="3:3">
      <c r="C447" s="150"/>
    </row>
    <row r="448" spans="3:3">
      <c r="C448" s="150"/>
    </row>
    <row r="449" spans="3:3">
      <c r="C449" s="150"/>
    </row>
    <row r="450" spans="3:3">
      <c r="C450" s="150"/>
    </row>
    <row r="451" spans="3:3">
      <c r="C451" s="150"/>
    </row>
    <row r="452" spans="3:3">
      <c r="C452" s="150"/>
    </row>
    <row r="453" spans="3:3">
      <c r="C453" s="150"/>
    </row>
    <row r="454" spans="3:3">
      <c r="C454" s="150"/>
    </row>
    <row r="455" spans="3:3">
      <c r="C455" s="150"/>
    </row>
    <row r="456" spans="3:3">
      <c r="C456" s="150"/>
    </row>
    <row r="457" spans="3:3">
      <c r="C457" s="150"/>
    </row>
    <row r="458" spans="3:3">
      <c r="C458" s="150"/>
    </row>
    <row r="459" spans="3:3">
      <c r="C459" s="150"/>
    </row>
    <row r="460" spans="3:3">
      <c r="C460" s="150"/>
    </row>
    <row r="461" spans="3:3">
      <c r="C461" s="150"/>
    </row>
    <row r="462" spans="3:3">
      <c r="C462" s="150"/>
    </row>
    <row r="463" spans="3:3">
      <c r="C463" s="150"/>
    </row>
    <row r="464" spans="3:3">
      <c r="C464" s="150"/>
    </row>
    <row r="465" spans="3:3">
      <c r="C465" s="150"/>
    </row>
    <row r="466" spans="3:3">
      <c r="C466" s="150"/>
    </row>
    <row r="467" spans="3:3">
      <c r="C467" s="150"/>
    </row>
    <row r="468" spans="3:3">
      <c r="C468" s="150"/>
    </row>
    <row r="469" spans="3:3">
      <c r="C469" s="150"/>
    </row>
    <row r="470" spans="3:3">
      <c r="C470" s="150"/>
    </row>
    <row r="471" spans="3:3">
      <c r="C471" s="150"/>
    </row>
    <row r="472" spans="3:3">
      <c r="C472" s="150"/>
    </row>
    <row r="473" spans="3:3">
      <c r="C473" s="150"/>
    </row>
    <row r="474" spans="3:3">
      <c r="C474" s="150"/>
    </row>
    <row r="475" spans="3:3">
      <c r="C475" s="150"/>
    </row>
    <row r="476" spans="3:3">
      <c r="C476" s="150"/>
    </row>
    <row r="477" spans="3:3">
      <c r="C477" s="150"/>
    </row>
    <row r="478" spans="3:3">
      <c r="C478" s="150"/>
    </row>
    <row r="479" spans="3:3">
      <c r="C479" s="150"/>
    </row>
    <row r="480" spans="3:3">
      <c r="C480" s="150"/>
    </row>
    <row r="481" spans="3:3">
      <c r="C481" s="150"/>
    </row>
    <row r="482" spans="3:3">
      <c r="C482" s="150"/>
    </row>
    <row r="483" spans="3:3">
      <c r="C483" s="150"/>
    </row>
    <row r="484" spans="3:3">
      <c r="C484" s="150"/>
    </row>
    <row r="485" spans="3:3">
      <c r="C485" s="150"/>
    </row>
    <row r="486" spans="3:3">
      <c r="C486" s="150"/>
    </row>
    <row r="487" spans="3:3">
      <c r="C487" s="150"/>
    </row>
    <row r="488" spans="3:3">
      <c r="C488" s="150"/>
    </row>
    <row r="489" spans="3:3">
      <c r="C489" s="150"/>
    </row>
    <row r="490" spans="3:3">
      <c r="C490" s="150"/>
    </row>
    <row r="491" spans="3:3">
      <c r="C491" s="150"/>
    </row>
    <row r="492" spans="3:3">
      <c r="C492" s="150"/>
    </row>
    <row r="493" spans="3:3">
      <c r="C493" s="150"/>
    </row>
    <row r="494" spans="3:3">
      <c r="C494" s="150"/>
    </row>
    <row r="495" spans="3:3">
      <c r="C495" s="150"/>
    </row>
    <row r="496" spans="3:3">
      <c r="C496" s="150"/>
    </row>
    <row r="497" spans="3:3">
      <c r="C497" s="150"/>
    </row>
    <row r="498" spans="3:3">
      <c r="C498" s="150"/>
    </row>
    <row r="499" spans="3:3">
      <c r="C499" s="150"/>
    </row>
    <row r="500" spans="3:3">
      <c r="C500" s="150"/>
    </row>
    <row r="501" spans="3:3">
      <c r="C501" s="150"/>
    </row>
    <row r="502" spans="3:3">
      <c r="C502" s="150"/>
    </row>
    <row r="503" spans="3:3">
      <c r="C503" s="150"/>
    </row>
    <row r="504" spans="3:3">
      <c r="C504" s="150"/>
    </row>
    <row r="505" spans="3:3">
      <c r="C505" s="150"/>
    </row>
    <row r="506" spans="3:3">
      <c r="C506" s="150"/>
    </row>
    <row r="507" spans="3:3">
      <c r="C507" s="150"/>
    </row>
    <row r="508" spans="3:3">
      <c r="C508" s="150"/>
    </row>
    <row r="509" spans="3:3">
      <c r="C509" s="150"/>
    </row>
    <row r="510" spans="3:3">
      <c r="C510" s="150"/>
    </row>
    <row r="511" spans="3:3">
      <c r="C511" s="150"/>
    </row>
    <row r="512" spans="3:3">
      <c r="C512" s="150"/>
    </row>
    <row r="513" spans="3:3">
      <c r="C513" s="150"/>
    </row>
    <row r="514" spans="3:3">
      <c r="C514" s="150"/>
    </row>
    <row r="515" spans="3:3">
      <c r="C515" s="150"/>
    </row>
    <row r="516" spans="3:3">
      <c r="C516" s="150"/>
    </row>
    <row r="517" spans="3:3">
      <c r="C517" s="150"/>
    </row>
    <row r="518" spans="3:3">
      <c r="C518" s="150"/>
    </row>
    <row r="519" spans="3:3">
      <c r="C519" s="150"/>
    </row>
    <row r="520" spans="3:3">
      <c r="C520" s="150"/>
    </row>
    <row r="521" spans="3:3">
      <c r="C521" s="150"/>
    </row>
    <row r="522" spans="3:3">
      <c r="C522" s="150"/>
    </row>
    <row r="523" spans="3:3">
      <c r="C523" s="150"/>
    </row>
    <row r="524" spans="3:3">
      <c r="C524" s="150"/>
    </row>
    <row r="525" spans="3:3">
      <c r="C525" s="150"/>
    </row>
    <row r="526" spans="3:3">
      <c r="C526" s="150"/>
    </row>
    <row r="527" spans="3:3">
      <c r="C527" s="150"/>
    </row>
    <row r="528" spans="3:3">
      <c r="C528" s="150"/>
    </row>
    <row r="529" spans="3:3">
      <c r="C529" s="150"/>
    </row>
    <row r="530" spans="3:3">
      <c r="C530" s="150"/>
    </row>
    <row r="531" spans="3:3">
      <c r="C531" s="150"/>
    </row>
    <row r="532" spans="3:3">
      <c r="C532" s="150"/>
    </row>
    <row r="533" spans="3:3">
      <c r="C533" s="150"/>
    </row>
    <row r="534" spans="3:3">
      <c r="C534" s="150"/>
    </row>
    <row r="535" spans="3:3">
      <c r="C535" s="150"/>
    </row>
    <row r="536" spans="3:3">
      <c r="C536" s="150"/>
    </row>
    <row r="537" spans="3:3">
      <c r="C537" s="150"/>
    </row>
    <row r="538" spans="3:3">
      <c r="C538" s="150"/>
    </row>
    <row r="539" spans="3:3">
      <c r="C539" s="150"/>
    </row>
    <row r="540" spans="3:3">
      <c r="C540" s="150"/>
    </row>
    <row r="541" spans="3:3">
      <c r="C541" s="150"/>
    </row>
    <row r="542" spans="3:3">
      <c r="C542" s="150"/>
    </row>
    <row r="543" spans="3:3">
      <c r="C543" s="150"/>
    </row>
    <row r="544" spans="3:3">
      <c r="C544" s="150"/>
    </row>
    <row r="545" spans="3:3">
      <c r="C545" s="150"/>
    </row>
    <row r="546" spans="3:3">
      <c r="C546" s="150"/>
    </row>
    <row r="547" spans="3:3">
      <c r="C547" s="150"/>
    </row>
    <row r="548" spans="3:3">
      <c r="C548" s="150"/>
    </row>
    <row r="549" spans="3:3">
      <c r="C549" s="150"/>
    </row>
    <row r="550" spans="3:3">
      <c r="C550" s="150"/>
    </row>
    <row r="551" spans="3:3">
      <c r="C551" s="150"/>
    </row>
    <row r="552" spans="3:3">
      <c r="C552" s="150"/>
    </row>
    <row r="553" spans="3:3">
      <c r="C553" s="150"/>
    </row>
    <row r="554" spans="3:3">
      <c r="C554" s="150"/>
    </row>
    <row r="555" spans="3:3">
      <c r="C555" s="150"/>
    </row>
    <row r="556" spans="3:3">
      <c r="C556" s="150"/>
    </row>
    <row r="557" spans="3:3">
      <c r="C557" s="150"/>
    </row>
    <row r="558" spans="3:3">
      <c r="C558" s="150"/>
    </row>
    <row r="559" spans="3:3">
      <c r="C559" s="150"/>
    </row>
    <row r="560" spans="3:3">
      <c r="C560" s="150"/>
    </row>
    <row r="561" spans="3:3">
      <c r="C561" s="150"/>
    </row>
    <row r="562" spans="3:3">
      <c r="C562" s="150"/>
    </row>
    <row r="563" spans="3:3">
      <c r="C563" s="150"/>
    </row>
    <row r="564" spans="3:3">
      <c r="C564" s="150"/>
    </row>
    <row r="565" spans="3:3">
      <c r="C565" s="150"/>
    </row>
    <row r="566" spans="3:3">
      <c r="C566" s="150"/>
    </row>
    <row r="567" spans="3:3">
      <c r="C567" s="150"/>
    </row>
    <row r="568" spans="3:3">
      <c r="C568" s="150"/>
    </row>
    <row r="569" spans="3:3">
      <c r="C569" s="150"/>
    </row>
    <row r="570" spans="3:3">
      <c r="C570" s="150"/>
    </row>
    <row r="571" spans="3:3">
      <c r="C571" s="150"/>
    </row>
    <row r="572" spans="3:3">
      <c r="C572" s="150"/>
    </row>
    <row r="573" spans="3:3">
      <c r="C573" s="150"/>
    </row>
    <row r="574" spans="3:3">
      <c r="C574" s="150"/>
    </row>
    <row r="575" spans="3:3">
      <c r="C575" s="150"/>
    </row>
    <row r="576" spans="3:3">
      <c r="C576" s="150"/>
    </row>
    <row r="577" spans="3:3">
      <c r="C577" s="150"/>
    </row>
    <row r="578" spans="3:3">
      <c r="C578" s="150"/>
    </row>
    <row r="579" spans="3:3">
      <c r="C579" s="150"/>
    </row>
    <row r="580" spans="3:3">
      <c r="C580" s="150"/>
    </row>
    <row r="581" spans="3:3">
      <c r="C581" s="150"/>
    </row>
    <row r="582" spans="3:3">
      <c r="C582" s="150"/>
    </row>
    <row r="583" spans="3:3">
      <c r="C583" s="150"/>
    </row>
    <row r="584" spans="3:3">
      <c r="C584" s="150"/>
    </row>
    <row r="585" spans="3:3">
      <c r="C585" s="150"/>
    </row>
    <row r="586" spans="3:3">
      <c r="C586" s="150"/>
    </row>
    <row r="587" spans="3:3">
      <c r="C587" s="150"/>
    </row>
    <row r="588" spans="3:3">
      <c r="C588" s="150"/>
    </row>
    <row r="589" spans="3:3">
      <c r="C589" s="150"/>
    </row>
    <row r="590" spans="3:3">
      <c r="C590" s="150"/>
    </row>
    <row r="591" spans="3:3">
      <c r="C591" s="150"/>
    </row>
    <row r="592" spans="3:3">
      <c r="C592" s="150"/>
    </row>
    <row r="593" spans="3:3">
      <c r="C593" s="150"/>
    </row>
    <row r="594" spans="3:3">
      <c r="C594" s="150"/>
    </row>
    <row r="595" spans="3:3">
      <c r="C595" s="150"/>
    </row>
    <row r="596" spans="3:3">
      <c r="C596" s="150"/>
    </row>
    <row r="597" spans="3:3">
      <c r="C597" s="150"/>
    </row>
    <row r="598" spans="3:3">
      <c r="C598" s="150"/>
    </row>
    <row r="599" spans="3:3">
      <c r="C599" s="150"/>
    </row>
    <row r="600" spans="3:3">
      <c r="C600" s="150"/>
    </row>
    <row r="601" spans="3:3">
      <c r="C601" s="150"/>
    </row>
    <row r="602" spans="3:3">
      <c r="C602" s="150"/>
    </row>
    <row r="603" spans="3:3">
      <c r="C603" s="150"/>
    </row>
    <row r="604" spans="3:3">
      <c r="C604" s="150"/>
    </row>
    <row r="605" spans="3:3">
      <c r="C605" s="150"/>
    </row>
    <row r="606" spans="3:3">
      <c r="C606" s="150"/>
    </row>
    <row r="607" spans="3:3">
      <c r="C607" s="150"/>
    </row>
    <row r="608" spans="3:3">
      <c r="C608" s="150"/>
    </row>
    <row r="609" spans="3:3">
      <c r="C609" s="150"/>
    </row>
    <row r="610" spans="3:3">
      <c r="C610" s="150"/>
    </row>
    <row r="611" spans="3:3">
      <c r="C611" s="150"/>
    </row>
    <row r="612" spans="3:3">
      <c r="C612" s="150"/>
    </row>
    <row r="613" spans="3:3">
      <c r="C613" s="150"/>
    </row>
    <row r="614" spans="3:3">
      <c r="C614" s="150"/>
    </row>
    <row r="615" spans="3:3">
      <c r="C615" s="150"/>
    </row>
    <row r="616" spans="3:3">
      <c r="C616" s="150"/>
    </row>
    <row r="617" spans="3:3">
      <c r="C617" s="150"/>
    </row>
    <row r="618" spans="3:3">
      <c r="C618" s="150"/>
    </row>
    <row r="619" spans="3:3">
      <c r="C619" s="150"/>
    </row>
    <row r="620" spans="3:3">
      <c r="C620" s="150"/>
    </row>
    <row r="621" spans="3:3">
      <c r="C621" s="150"/>
    </row>
    <row r="622" spans="3:3">
      <c r="C622" s="150"/>
    </row>
    <row r="623" spans="3:3">
      <c r="C623" s="150"/>
    </row>
    <row r="624" spans="3:3">
      <c r="C624" s="150"/>
    </row>
    <row r="625" spans="3:3">
      <c r="C625" s="150"/>
    </row>
    <row r="626" spans="3:3">
      <c r="C626" s="150"/>
    </row>
    <row r="627" spans="3:3">
      <c r="C627" s="150"/>
    </row>
    <row r="628" spans="3:3">
      <c r="C628" s="150"/>
    </row>
    <row r="629" spans="3:3">
      <c r="C629" s="150"/>
    </row>
    <row r="630" spans="3:3">
      <c r="C630" s="150"/>
    </row>
    <row r="631" spans="3:3">
      <c r="C631" s="150"/>
    </row>
    <row r="632" spans="3:3">
      <c r="C632" s="150"/>
    </row>
    <row r="633" spans="3:3">
      <c r="C633" s="150"/>
    </row>
    <row r="634" spans="3:3">
      <c r="C634" s="150"/>
    </row>
    <row r="635" spans="3:3">
      <c r="C635" s="150"/>
    </row>
    <row r="636" spans="3:3">
      <c r="C636" s="150"/>
    </row>
    <row r="637" spans="3:3">
      <c r="C637" s="150"/>
    </row>
    <row r="638" spans="3:3">
      <c r="C638" s="150"/>
    </row>
    <row r="639" spans="3:3">
      <c r="C639" s="150"/>
    </row>
    <row r="640" spans="3:3">
      <c r="C640" s="150"/>
    </row>
    <row r="641" spans="3:3">
      <c r="C641" s="150"/>
    </row>
    <row r="642" spans="3:3">
      <c r="C642" s="150"/>
    </row>
    <row r="643" spans="3:3">
      <c r="C643" s="150"/>
    </row>
    <row r="644" spans="3:3">
      <c r="C644" s="150"/>
    </row>
    <row r="645" spans="3:3">
      <c r="C645" s="150"/>
    </row>
    <row r="646" spans="3:3">
      <c r="C646" s="150"/>
    </row>
    <row r="647" spans="3:3">
      <c r="C647" s="150"/>
    </row>
    <row r="648" spans="3:3">
      <c r="C648" s="150"/>
    </row>
    <row r="649" spans="3:3">
      <c r="C649" s="150"/>
    </row>
    <row r="650" spans="3:3">
      <c r="C650" s="150"/>
    </row>
    <row r="651" spans="3:3">
      <c r="C651" s="150"/>
    </row>
    <row r="652" spans="3:3">
      <c r="C652" s="150"/>
    </row>
    <row r="653" spans="3:3">
      <c r="C653" s="150"/>
    </row>
    <row r="654" spans="3:3">
      <c r="C654" s="150"/>
    </row>
    <row r="655" spans="3:3">
      <c r="C655" s="150"/>
    </row>
    <row r="656" spans="3:3">
      <c r="C656" s="150"/>
    </row>
    <row r="657" spans="3:3">
      <c r="C657" s="150"/>
    </row>
    <row r="658" spans="3:3">
      <c r="C658" s="150"/>
    </row>
    <row r="659" spans="3:3">
      <c r="C659" s="150"/>
    </row>
    <row r="660" spans="3:3">
      <c r="C660" s="150"/>
    </row>
    <row r="661" spans="3:3">
      <c r="C661" s="150"/>
    </row>
    <row r="662" spans="3:3">
      <c r="C662" s="150"/>
    </row>
    <row r="663" spans="3:3">
      <c r="C663" s="150"/>
    </row>
    <row r="664" spans="3:3">
      <c r="C664" s="150"/>
    </row>
    <row r="665" spans="3:3">
      <c r="C665" s="150"/>
    </row>
    <row r="666" spans="3:3">
      <c r="C666" s="150"/>
    </row>
    <row r="667" spans="3:3">
      <c r="C667" s="150"/>
    </row>
    <row r="668" spans="3:3">
      <c r="C668" s="150"/>
    </row>
    <row r="669" spans="3:3">
      <c r="C669" s="150"/>
    </row>
    <row r="670" spans="3:3">
      <c r="C670" s="150"/>
    </row>
    <row r="671" spans="3:3">
      <c r="C671" s="150"/>
    </row>
    <row r="672" spans="3:3">
      <c r="C672" s="150"/>
    </row>
    <row r="673" spans="3:3">
      <c r="C673" s="150"/>
    </row>
    <row r="674" spans="3:3">
      <c r="C674" s="150"/>
    </row>
    <row r="675" spans="3:3">
      <c r="C675" s="150"/>
    </row>
    <row r="676" spans="3:3">
      <c r="C676" s="150"/>
    </row>
    <row r="677" spans="3:3">
      <c r="C677" s="150"/>
    </row>
    <row r="678" spans="3:3">
      <c r="C678" s="150"/>
    </row>
    <row r="679" spans="3:3">
      <c r="C679" s="150"/>
    </row>
    <row r="680" spans="3:3">
      <c r="C680" s="150"/>
    </row>
    <row r="681" spans="3:3">
      <c r="C681" s="150"/>
    </row>
    <row r="682" spans="3:3">
      <c r="C682" s="150"/>
    </row>
    <row r="683" spans="3:3">
      <c r="C683" s="150"/>
    </row>
    <row r="684" spans="3:3">
      <c r="C684" s="150"/>
    </row>
    <row r="685" spans="3:3">
      <c r="C685" s="150"/>
    </row>
    <row r="686" spans="3:3">
      <c r="C686" s="150"/>
    </row>
    <row r="687" spans="3:3">
      <c r="C687" s="150"/>
    </row>
    <row r="688" spans="3:3">
      <c r="C688" s="150"/>
    </row>
    <row r="689" spans="3:3">
      <c r="C689" s="150"/>
    </row>
    <row r="690" spans="3:3">
      <c r="C690" s="150"/>
    </row>
    <row r="691" spans="3:3">
      <c r="C691" s="150"/>
    </row>
    <row r="692" spans="3:3">
      <c r="C692" s="150"/>
    </row>
    <row r="693" spans="3:3">
      <c r="C693" s="150"/>
    </row>
    <row r="694" spans="3:3">
      <c r="C694" s="150"/>
    </row>
    <row r="695" spans="3:3">
      <c r="C695" s="150"/>
    </row>
    <row r="696" spans="3:3">
      <c r="C696" s="150"/>
    </row>
    <row r="697" spans="3:3">
      <c r="C697" s="150"/>
    </row>
    <row r="698" spans="3:3">
      <c r="C698" s="150"/>
    </row>
    <row r="699" spans="3:3">
      <c r="C699" s="150"/>
    </row>
    <row r="700" spans="3:3">
      <c r="C700" s="150"/>
    </row>
    <row r="701" spans="3:3">
      <c r="C701" s="150"/>
    </row>
    <row r="702" spans="3:3">
      <c r="C702" s="150"/>
    </row>
    <row r="703" spans="3:3">
      <c r="C703" s="150"/>
    </row>
    <row r="704" spans="3:3">
      <c r="C704" s="150"/>
    </row>
    <row r="705" spans="3:3">
      <c r="C705" s="150"/>
    </row>
    <row r="706" spans="3:3">
      <c r="C706" s="150"/>
    </row>
    <row r="707" spans="3:3">
      <c r="C707" s="150"/>
    </row>
    <row r="708" spans="3:3">
      <c r="C708" s="150"/>
    </row>
    <row r="709" spans="3:3">
      <c r="C709" s="150"/>
    </row>
    <row r="710" spans="3:3">
      <c r="C710" s="150"/>
    </row>
    <row r="711" spans="3:3">
      <c r="C711" s="150"/>
    </row>
    <row r="712" spans="3:3">
      <c r="C712" s="150"/>
    </row>
    <row r="713" spans="3:3">
      <c r="C713" s="150"/>
    </row>
    <row r="714" spans="3:3">
      <c r="C714" s="150"/>
    </row>
    <row r="715" spans="3:3">
      <c r="C715" s="150"/>
    </row>
    <row r="716" spans="3:3">
      <c r="C716" s="150"/>
    </row>
    <row r="717" spans="3:3">
      <c r="C717" s="150"/>
    </row>
    <row r="718" spans="3:3">
      <c r="C718" s="150"/>
    </row>
    <row r="719" spans="3:3">
      <c r="C719" s="150"/>
    </row>
    <row r="720" spans="3:3">
      <c r="C720" s="150"/>
    </row>
    <row r="721" spans="3:3">
      <c r="C721" s="150"/>
    </row>
    <row r="722" spans="3:3">
      <c r="C722" s="150"/>
    </row>
    <row r="723" spans="3:3">
      <c r="C723" s="150"/>
    </row>
    <row r="724" spans="3:3">
      <c r="C724" s="150"/>
    </row>
    <row r="725" spans="3:3">
      <c r="C725" s="150"/>
    </row>
    <row r="726" spans="3:3">
      <c r="C726" s="150"/>
    </row>
    <row r="727" spans="3:3">
      <c r="C727" s="150"/>
    </row>
    <row r="728" spans="3:3">
      <c r="C728" s="150"/>
    </row>
    <row r="729" spans="3:3">
      <c r="C729" s="150"/>
    </row>
    <row r="730" spans="3:3">
      <c r="C730" s="150"/>
    </row>
    <row r="731" spans="3:3">
      <c r="C731" s="150"/>
    </row>
    <row r="732" spans="3:3">
      <c r="C732" s="150"/>
    </row>
    <row r="733" spans="3:3">
      <c r="C733" s="150"/>
    </row>
    <row r="734" spans="3:3">
      <c r="C734" s="150"/>
    </row>
    <row r="735" spans="3:3">
      <c r="C735" s="150"/>
    </row>
    <row r="736" spans="3:3">
      <c r="C736" s="150"/>
    </row>
    <row r="737" spans="3:3">
      <c r="C737" s="150"/>
    </row>
    <row r="738" spans="3:3">
      <c r="C738" s="150"/>
    </row>
    <row r="739" spans="3:3">
      <c r="C739" s="150"/>
    </row>
    <row r="740" spans="3:3">
      <c r="C740" s="150"/>
    </row>
    <row r="741" spans="3:3">
      <c r="C741" s="150"/>
    </row>
    <row r="742" spans="3:3">
      <c r="C742" s="150"/>
    </row>
    <row r="743" spans="3:3">
      <c r="C743" s="150"/>
    </row>
    <row r="744" spans="3:3">
      <c r="C744" s="150"/>
    </row>
    <row r="745" spans="3:3">
      <c r="C745" s="150"/>
    </row>
    <row r="746" spans="3:3">
      <c r="C746" s="150"/>
    </row>
    <row r="747" spans="3:3">
      <c r="C747" s="150"/>
    </row>
    <row r="748" spans="3:3">
      <c r="C748" s="150"/>
    </row>
    <row r="749" spans="3:3">
      <c r="C749" s="150"/>
    </row>
    <row r="750" spans="3:3">
      <c r="C750" s="150"/>
    </row>
    <row r="751" spans="3:3">
      <c r="C751" s="150"/>
    </row>
    <row r="752" spans="3:3">
      <c r="C752" s="150"/>
    </row>
    <row r="753" spans="3:3">
      <c r="C753" s="150"/>
    </row>
    <row r="754" spans="3:3">
      <c r="C754" s="150"/>
    </row>
    <row r="755" spans="3:3">
      <c r="C755" s="150"/>
    </row>
    <row r="756" spans="3:3">
      <c r="C756" s="150"/>
    </row>
    <row r="757" spans="3:3">
      <c r="C757" s="150"/>
    </row>
    <row r="758" spans="3:3">
      <c r="C758" s="150"/>
    </row>
    <row r="759" spans="3:3">
      <c r="C759" s="150"/>
    </row>
    <row r="760" spans="3:3">
      <c r="C760" s="150"/>
    </row>
    <row r="761" spans="3:3">
      <c r="C761" s="150"/>
    </row>
    <row r="762" spans="3:3">
      <c r="C762" s="150"/>
    </row>
    <row r="763" spans="3:3">
      <c r="C763" s="150"/>
    </row>
    <row r="764" spans="3:3">
      <c r="C764" s="150"/>
    </row>
    <row r="765" spans="3:3">
      <c r="C765" s="150"/>
    </row>
    <row r="766" spans="3:3">
      <c r="C766" s="150"/>
    </row>
    <row r="767" spans="3:3">
      <c r="C767" s="150"/>
    </row>
    <row r="768" spans="3:3">
      <c r="C768" s="150"/>
    </row>
    <row r="769" spans="3:3">
      <c r="C769" s="150"/>
    </row>
    <row r="770" spans="3:3">
      <c r="C770" s="150"/>
    </row>
    <row r="771" spans="3:3">
      <c r="C771" s="150"/>
    </row>
    <row r="772" spans="3:3">
      <c r="C772" s="150"/>
    </row>
    <row r="773" spans="3:3">
      <c r="C773" s="150"/>
    </row>
    <row r="774" spans="3:3">
      <c r="C774" s="150"/>
    </row>
    <row r="775" spans="3:3">
      <c r="C775" s="150"/>
    </row>
    <row r="776" spans="3:3">
      <c r="C776" s="150"/>
    </row>
    <row r="777" spans="3:3">
      <c r="C777" s="150"/>
    </row>
    <row r="778" spans="3:3">
      <c r="C778" s="150"/>
    </row>
    <row r="779" spans="3:3">
      <c r="C779" s="150"/>
    </row>
    <row r="780" spans="3:3">
      <c r="C780" s="150"/>
    </row>
    <row r="781" spans="3:3">
      <c r="C781" s="150"/>
    </row>
    <row r="782" spans="3:3">
      <c r="C782" s="150"/>
    </row>
    <row r="783" spans="3:3">
      <c r="C783" s="150"/>
    </row>
    <row r="784" spans="3:3">
      <c r="C784" s="150"/>
    </row>
    <row r="785" spans="3:3">
      <c r="C785" s="150"/>
    </row>
    <row r="786" spans="3:3">
      <c r="C786" s="150"/>
    </row>
    <row r="787" spans="3:3">
      <c r="C787" s="150"/>
    </row>
    <row r="788" spans="3:3">
      <c r="C788" s="150"/>
    </row>
    <row r="789" spans="3:3">
      <c r="C789" s="150"/>
    </row>
    <row r="790" spans="3:3">
      <c r="C790" s="150"/>
    </row>
    <row r="791" spans="3:3">
      <c r="C791" s="150"/>
    </row>
    <row r="792" spans="3:3">
      <c r="C792" s="150"/>
    </row>
    <row r="793" spans="3:3">
      <c r="C793" s="150"/>
    </row>
    <row r="794" spans="3:3">
      <c r="C794" s="150"/>
    </row>
    <row r="795" spans="3:3">
      <c r="C795" s="150"/>
    </row>
    <row r="796" spans="3:3">
      <c r="C796" s="150"/>
    </row>
    <row r="797" spans="3:3">
      <c r="C797" s="150"/>
    </row>
    <row r="798" spans="3:3">
      <c r="C798" s="150"/>
    </row>
    <row r="799" spans="3:3">
      <c r="C799" s="150"/>
    </row>
    <row r="800" spans="3:3">
      <c r="C800" s="150"/>
    </row>
    <row r="801" spans="3:3">
      <c r="C801" s="150"/>
    </row>
    <row r="802" spans="3:3">
      <c r="C802" s="150"/>
    </row>
    <row r="803" spans="3:3">
      <c r="C803" s="150"/>
    </row>
    <row r="804" spans="3:3">
      <c r="C804" s="150"/>
    </row>
    <row r="805" spans="3:3">
      <c r="C805" s="150"/>
    </row>
    <row r="806" spans="3:3">
      <c r="C806" s="150"/>
    </row>
    <row r="807" spans="3:3">
      <c r="C807" s="150"/>
    </row>
    <row r="808" spans="3:3">
      <c r="C808" s="150"/>
    </row>
    <row r="809" spans="3:3">
      <c r="C809" s="150"/>
    </row>
    <row r="810" spans="3:3">
      <c r="C810" s="150"/>
    </row>
    <row r="811" spans="3:3">
      <c r="C811" s="150"/>
    </row>
    <row r="812" spans="3:3">
      <c r="C812" s="150"/>
    </row>
    <row r="813" spans="3:3">
      <c r="C813" s="150"/>
    </row>
    <row r="814" spans="3:3">
      <c r="C814" s="150"/>
    </row>
    <row r="815" spans="3:3">
      <c r="C815" s="150"/>
    </row>
    <row r="816" spans="3:3">
      <c r="C816" s="150"/>
    </row>
    <row r="817" spans="3:3">
      <c r="C817" s="150"/>
    </row>
    <row r="818" spans="3:3">
      <c r="C818" s="150"/>
    </row>
    <row r="819" spans="3:3">
      <c r="C819" s="150"/>
    </row>
    <row r="820" spans="3:3">
      <c r="C820" s="150"/>
    </row>
    <row r="821" spans="3:3">
      <c r="C821" s="150"/>
    </row>
    <row r="822" spans="3:3">
      <c r="C822" s="150"/>
    </row>
    <row r="823" spans="3:3">
      <c r="C823" s="150"/>
    </row>
    <row r="824" spans="3:3">
      <c r="C824" s="150"/>
    </row>
    <row r="825" spans="3:3">
      <c r="C825" s="150"/>
    </row>
    <row r="826" spans="3:3">
      <c r="C826" s="150"/>
    </row>
    <row r="827" spans="3:3">
      <c r="C827" s="150"/>
    </row>
    <row r="828" spans="3:3">
      <c r="C828" s="150"/>
    </row>
    <row r="829" spans="3:3">
      <c r="C829" s="150"/>
    </row>
    <row r="830" spans="3:3">
      <c r="C830" s="150"/>
    </row>
    <row r="831" spans="3:3">
      <c r="C831" s="150"/>
    </row>
    <row r="832" spans="3:3">
      <c r="C832" s="150"/>
    </row>
    <row r="833" spans="3:3">
      <c r="C833" s="150"/>
    </row>
    <row r="834" spans="3:3">
      <c r="C834" s="150"/>
    </row>
    <row r="835" spans="3:3">
      <c r="C835" s="150"/>
    </row>
    <row r="836" spans="3:3">
      <c r="C836" s="150"/>
    </row>
    <row r="837" spans="3:3">
      <c r="C837" s="150"/>
    </row>
    <row r="838" spans="3:3">
      <c r="C838" s="150"/>
    </row>
    <row r="839" spans="3:3">
      <c r="C839" s="150"/>
    </row>
    <row r="840" spans="3:3">
      <c r="C840" s="150"/>
    </row>
    <row r="841" spans="3:3">
      <c r="C841" s="150"/>
    </row>
    <row r="842" spans="3:3">
      <c r="C842" s="150"/>
    </row>
    <row r="843" spans="3:3">
      <c r="C843" s="150"/>
    </row>
    <row r="844" spans="3:3">
      <c r="C844" s="150"/>
    </row>
    <row r="845" spans="3:3">
      <c r="C845" s="150"/>
    </row>
    <row r="846" spans="3:3">
      <c r="C846" s="150"/>
    </row>
    <row r="847" spans="3:3">
      <c r="C847" s="150"/>
    </row>
    <row r="848" spans="3:3">
      <c r="C848" s="150"/>
    </row>
    <row r="849" spans="3:3">
      <c r="C849" s="150"/>
    </row>
    <row r="850" spans="3:3">
      <c r="C850" s="150"/>
    </row>
    <row r="851" spans="3:3">
      <c r="C851" s="150"/>
    </row>
    <row r="852" spans="3:3">
      <c r="C852" s="150"/>
    </row>
    <row r="853" spans="3:3">
      <c r="C853" s="150"/>
    </row>
    <row r="854" spans="3:3">
      <c r="C854" s="150"/>
    </row>
    <row r="855" spans="3:3">
      <c r="C855" s="150"/>
    </row>
    <row r="856" spans="3:3">
      <c r="C856" s="150"/>
    </row>
    <row r="857" spans="3:3">
      <c r="C857" s="150"/>
    </row>
    <row r="858" spans="3:3">
      <c r="C858" s="150"/>
    </row>
    <row r="859" spans="3:3">
      <c r="C859" s="150"/>
    </row>
    <row r="860" spans="3:3">
      <c r="C860" s="150"/>
    </row>
    <row r="861" spans="3:3">
      <c r="C861" s="150"/>
    </row>
    <row r="862" spans="3:3">
      <c r="C862" s="150"/>
    </row>
    <row r="863" spans="3:3">
      <c r="C863" s="150"/>
    </row>
    <row r="864" spans="3:3">
      <c r="C864" s="150"/>
    </row>
    <row r="865" spans="3:3">
      <c r="C865" s="150"/>
    </row>
    <row r="866" spans="3:3">
      <c r="C866" s="150"/>
    </row>
    <row r="867" spans="3:3">
      <c r="C867" s="150"/>
    </row>
    <row r="868" spans="3:3">
      <c r="C868" s="150"/>
    </row>
    <row r="869" spans="3:3">
      <c r="C869" s="150"/>
    </row>
    <row r="870" spans="3:3">
      <c r="C870" s="150"/>
    </row>
    <row r="871" spans="3:3">
      <c r="C871" s="150"/>
    </row>
    <row r="872" spans="3:3">
      <c r="C872" s="150"/>
    </row>
    <row r="873" spans="3:3">
      <c r="C873" s="150"/>
    </row>
    <row r="874" spans="3:3">
      <c r="C874" s="150"/>
    </row>
    <row r="875" spans="3:3">
      <c r="C875" s="150"/>
    </row>
    <row r="876" spans="3:3">
      <c r="C876" s="150"/>
    </row>
    <row r="877" spans="3:3">
      <c r="C877" s="150"/>
    </row>
    <row r="878" spans="3:3">
      <c r="C878" s="150"/>
    </row>
    <row r="879" spans="3:3">
      <c r="C879" s="150"/>
    </row>
    <row r="880" spans="3:3">
      <c r="C880" s="150"/>
    </row>
    <row r="881" spans="3:3">
      <c r="C881" s="150"/>
    </row>
    <row r="882" spans="3:3">
      <c r="C882" s="150"/>
    </row>
    <row r="883" spans="3:3">
      <c r="C883" s="150"/>
    </row>
    <row r="884" spans="3:3">
      <c r="C884" s="150"/>
    </row>
    <row r="885" spans="3:3">
      <c r="C885" s="150"/>
    </row>
    <row r="886" spans="3:3">
      <c r="C886" s="150"/>
    </row>
    <row r="887" spans="3:3">
      <c r="C887" s="150"/>
    </row>
    <row r="888" spans="3:3">
      <c r="C888" s="150"/>
    </row>
    <row r="889" spans="3:3">
      <c r="C889" s="150"/>
    </row>
    <row r="890" spans="3:3">
      <c r="C890" s="150"/>
    </row>
    <row r="891" spans="3:3">
      <c r="C891" s="150"/>
    </row>
    <row r="892" spans="3:3">
      <c r="C892" s="150"/>
    </row>
    <row r="893" spans="3:3">
      <c r="C893" s="150"/>
    </row>
    <row r="894" spans="3:3">
      <c r="C894" s="150"/>
    </row>
    <row r="895" spans="3:3">
      <c r="C895" s="150"/>
    </row>
    <row r="896" spans="3:3">
      <c r="C896" s="150"/>
    </row>
    <row r="897" spans="3:3">
      <c r="C897" s="150"/>
    </row>
    <row r="898" spans="3:3">
      <c r="C898" s="150"/>
    </row>
    <row r="899" spans="3:3">
      <c r="C899" s="150"/>
    </row>
    <row r="900" spans="3:3">
      <c r="C900" s="150"/>
    </row>
    <row r="901" spans="3:3">
      <c r="C901" s="150"/>
    </row>
    <row r="902" spans="3:3">
      <c r="C902" s="150"/>
    </row>
    <row r="903" spans="3:3">
      <c r="C903" s="150"/>
    </row>
    <row r="904" spans="3:3">
      <c r="C904" s="150"/>
    </row>
    <row r="905" spans="3:3">
      <c r="C905" s="150"/>
    </row>
    <row r="906" spans="3:3">
      <c r="C906" s="150"/>
    </row>
    <row r="907" spans="3:3">
      <c r="C907" s="150"/>
    </row>
    <row r="908" spans="3:3">
      <c r="C908" s="150"/>
    </row>
    <row r="909" spans="3:3">
      <c r="C909" s="150"/>
    </row>
    <row r="910" spans="3:3">
      <c r="C910" s="150"/>
    </row>
    <row r="911" spans="3:3">
      <c r="C911" s="150"/>
    </row>
    <row r="912" spans="3:3">
      <c r="C912" s="150"/>
    </row>
    <row r="913" spans="3:3">
      <c r="C913" s="150"/>
    </row>
    <row r="914" spans="3:3">
      <c r="C914" s="150"/>
    </row>
    <row r="915" spans="3:3">
      <c r="C915" s="150"/>
    </row>
    <row r="916" spans="3:3">
      <c r="C916" s="150"/>
    </row>
    <row r="917" spans="3:3">
      <c r="C917" s="150"/>
    </row>
    <row r="918" spans="3:3">
      <c r="C918" s="150"/>
    </row>
    <row r="919" spans="3:3">
      <c r="C919" s="150"/>
    </row>
    <row r="920" spans="3:3">
      <c r="C920" s="150"/>
    </row>
    <row r="921" spans="3:3">
      <c r="C921" s="150"/>
    </row>
    <row r="922" spans="3:3">
      <c r="C922" s="150"/>
    </row>
    <row r="923" spans="3:3">
      <c r="C923" s="150"/>
    </row>
    <row r="924" spans="3:3">
      <c r="C924" s="150"/>
    </row>
    <row r="925" spans="3:3">
      <c r="C925" s="150"/>
    </row>
    <row r="926" spans="3:3">
      <c r="C926" s="150"/>
    </row>
    <row r="927" spans="3:3">
      <c r="C927" s="150"/>
    </row>
    <row r="928" spans="3:3">
      <c r="C928" s="150"/>
    </row>
    <row r="929" spans="3:3">
      <c r="C929" s="150"/>
    </row>
    <row r="930" spans="3:3">
      <c r="C930" s="150"/>
    </row>
    <row r="931" spans="3:3">
      <c r="C931" s="150"/>
    </row>
    <row r="932" spans="3:3">
      <c r="C932" s="150"/>
    </row>
    <row r="933" spans="3:3">
      <c r="C933" s="150"/>
    </row>
    <row r="934" spans="3:3">
      <c r="C934" s="150"/>
    </row>
    <row r="935" spans="3:3">
      <c r="C935" s="150"/>
    </row>
    <row r="936" spans="3:3">
      <c r="C936" s="150"/>
    </row>
    <row r="937" spans="3:3">
      <c r="C937" s="150"/>
    </row>
    <row r="938" spans="3:3">
      <c r="C938" s="150"/>
    </row>
    <row r="939" spans="3:3">
      <c r="C939" s="150"/>
    </row>
    <row r="940" spans="3:3">
      <c r="C940" s="150"/>
    </row>
    <row r="941" spans="3:3">
      <c r="C941" s="150"/>
    </row>
    <row r="942" spans="3:3">
      <c r="C942" s="150"/>
    </row>
    <row r="943" spans="3:3">
      <c r="C943" s="150"/>
    </row>
    <row r="944" spans="3:3">
      <c r="C944" s="150"/>
    </row>
    <row r="945" spans="3:3">
      <c r="C945" s="150"/>
    </row>
    <row r="946" spans="3:3">
      <c r="C946" s="150"/>
    </row>
    <row r="947" spans="3:3">
      <c r="C947" s="150"/>
    </row>
    <row r="948" spans="3:3">
      <c r="C948" s="150"/>
    </row>
    <row r="949" spans="3:3">
      <c r="C949" s="150"/>
    </row>
    <row r="950" spans="3:3">
      <c r="C950" s="150"/>
    </row>
    <row r="951" spans="3:3">
      <c r="C951" s="150"/>
    </row>
    <row r="952" spans="3:3">
      <c r="C952" s="150"/>
    </row>
    <row r="953" spans="3:3">
      <c r="C953" s="150"/>
    </row>
    <row r="954" spans="3:3">
      <c r="C954" s="150"/>
    </row>
    <row r="955" spans="3:3">
      <c r="C955" s="150"/>
    </row>
    <row r="956" spans="3:3">
      <c r="C956" s="150"/>
    </row>
    <row r="957" spans="3:3">
      <c r="C957" s="150"/>
    </row>
    <row r="958" spans="3:3">
      <c r="C958" s="150"/>
    </row>
    <row r="959" spans="3:3">
      <c r="C959" s="150"/>
    </row>
    <row r="960" spans="3:3">
      <c r="C960" s="150"/>
    </row>
    <row r="961" spans="3:3">
      <c r="C961" s="150"/>
    </row>
    <row r="962" spans="3:3">
      <c r="C962" s="150"/>
    </row>
    <row r="963" spans="3:3">
      <c r="C963" s="150"/>
    </row>
    <row r="964" spans="3:3">
      <c r="C964" s="150"/>
    </row>
    <row r="965" spans="3:3">
      <c r="C965" s="150"/>
    </row>
    <row r="966" spans="3:3">
      <c r="C966" s="150"/>
    </row>
    <row r="967" spans="3:3">
      <c r="C967" s="150"/>
    </row>
    <row r="968" spans="3:3">
      <c r="C968" s="150"/>
    </row>
    <row r="969" spans="3:3">
      <c r="C969" s="150"/>
    </row>
    <row r="970" spans="3:3">
      <c r="C970" s="150"/>
    </row>
    <row r="971" spans="3:3">
      <c r="C971" s="150"/>
    </row>
    <row r="972" spans="3:3">
      <c r="C972" s="150"/>
    </row>
    <row r="973" spans="3:3">
      <c r="C973" s="150"/>
    </row>
    <row r="974" spans="3:3">
      <c r="C974" s="150"/>
    </row>
    <row r="975" spans="3:3">
      <c r="C975" s="150"/>
    </row>
    <row r="976" spans="3:3">
      <c r="C976" s="150"/>
    </row>
    <row r="977" spans="3:3">
      <c r="C977" s="150"/>
    </row>
    <row r="978" spans="3:3">
      <c r="C978" s="150"/>
    </row>
    <row r="979" spans="3:3">
      <c r="C979" s="150"/>
    </row>
    <row r="980" spans="3:3">
      <c r="C980" s="150"/>
    </row>
    <row r="981" spans="3:3">
      <c r="C981" s="150"/>
    </row>
    <row r="982" spans="3:3">
      <c r="C982" s="150"/>
    </row>
    <row r="983" spans="3:3">
      <c r="C983" s="150"/>
    </row>
    <row r="984" spans="3:3">
      <c r="C984" s="150"/>
    </row>
    <row r="985" spans="3:3">
      <c r="C985" s="150"/>
    </row>
    <row r="986" spans="3:3">
      <c r="C986" s="150"/>
    </row>
    <row r="987" spans="3:3">
      <c r="C987" s="150"/>
    </row>
    <row r="988" spans="3:3">
      <c r="C988" s="150"/>
    </row>
    <row r="989" spans="3:3">
      <c r="C989" s="150"/>
    </row>
    <row r="990" spans="3:3">
      <c r="C990" s="150"/>
    </row>
    <row r="991" spans="3:3">
      <c r="C991" s="150"/>
    </row>
    <row r="992" spans="3:3">
      <c r="C992" s="150"/>
    </row>
    <row r="993" spans="3:3">
      <c r="C993" s="150"/>
    </row>
    <row r="994" spans="3:3">
      <c r="C994" s="150"/>
    </row>
    <row r="995" spans="3:3">
      <c r="C995" s="150"/>
    </row>
    <row r="996" spans="3:3">
      <c r="C996" s="150"/>
    </row>
    <row r="997" spans="3:3">
      <c r="C997" s="150"/>
    </row>
    <row r="998" spans="3:3">
      <c r="C998" s="150"/>
    </row>
    <row r="999" spans="3:3">
      <c r="C999" s="150"/>
    </row>
    <row r="1000" spans="3:3">
      <c r="C1000" s="150"/>
    </row>
  </sheetData>
  <pageMargins left="0.511811024" right="0.511811024" top="0.78740157499999996" bottom="0.78740157499999996"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H9"/>
  <sheetViews>
    <sheetView workbookViewId="0"/>
  </sheetViews>
  <sheetFormatPr defaultColWidth="14.42578125" defaultRowHeight="15" customHeight="1"/>
  <sheetData>
    <row r="1" spans="1:8">
      <c r="A1" s="49" t="s">
        <v>2269</v>
      </c>
    </row>
    <row r="2" spans="1:8">
      <c r="A2" s="49" t="s">
        <v>2270</v>
      </c>
      <c r="B2" s="49" t="s">
        <v>2271</v>
      </c>
      <c r="C2" s="49" t="s">
        <v>2272</v>
      </c>
      <c r="D2" s="49" t="s">
        <v>85</v>
      </c>
      <c r="E2" s="49"/>
      <c r="F2" s="49"/>
      <c r="G2" s="49" t="s">
        <v>2273</v>
      </c>
      <c r="H2" s="49" t="s">
        <v>2273</v>
      </c>
    </row>
    <row r="3" spans="1:8" hidden="1">
      <c r="A3" s="49">
        <v>1</v>
      </c>
      <c r="B3" s="49" t="s">
        <v>1594</v>
      </c>
      <c r="C3" s="49" t="s">
        <v>2274</v>
      </c>
      <c r="D3" s="49">
        <v>1060</v>
      </c>
      <c r="E3" s="49"/>
      <c r="F3" s="49"/>
      <c r="G3" s="49" t="s">
        <v>1336</v>
      </c>
      <c r="H3" s="49" t="s">
        <v>1336</v>
      </c>
    </row>
    <row r="4" spans="1:8">
      <c r="A4" s="49">
        <v>2</v>
      </c>
      <c r="B4" s="49" t="s">
        <v>2275</v>
      </c>
      <c r="C4" s="49" t="s">
        <v>2276</v>
      </c>
      <c r="D4" s="43">
        <v>1750</v>
      </c>
      <c r="E4" s="313">
        <f t="shared" ref="E4:E9" si="0">D4/2</f>
        <v>875</v>
      </c>
      <c r="F4" s="313">
        <f t="shared" ref="F4:F5" si="1">D4/2</f>
        <v>875</v>
      </c>
      <c r="G4" s="428">
        <v>45610</v>
      </c>
      <c r="H4" s="428">
        <v>45642</v>
      </c>
    </row>
    <row r="5" spans="1:8">
      <c r="A5" s="49">
        <v>3</v>
      </c>
      <c r="B5" s="49" t="s">
        <v>2275</v>
      </c>
      <c r="C5" s="49" t="s">
        <v>2277</v>
      </c>
      <c r="D5" s="43">
        <v>2200</v>
      </c>
      <c r="E5" s="313">
        <f t="shared" si="0"/>
        <v>1100</v>
      </c>
      <c r="F5" s="313">
        <f t="shared" si="1"/>
        <v>1100</v>
      </c>
      <c r="G5" s="428">
        <v>45610</v>
      </c>
      <c r="H5" s="428">
        <v>45642</v>
      </c>
    </row>
    <row r="6" spans="1:8" hidden="1">
      <c r="A6" s="49">
        <v>4</v>
      </c>
      <c r="B6" s="49" t="s">
        <v>1594</v>
      </c>
      <c r="C6" s="49" t="s">
        <v>2278</v>
      </c>
      <c r="D6" s="43">
        <v>1750</v>
      </c>
      <c r="E6" s="313">
        <f t="shared" si="0"/>
        <v>875</v>
      </c>
      <c r="F6" s="313"/>
      <c r="G6" s="49" t="s">
        <v>1336</v>
      </c>
      <c r="H6" s="428">
        <v>45642</v>
      </c>
    </row>
    <row r="7" spans="1:8" hidden="1">
      <c r="A7" s="49">
        <v>5</v>
      </c>
      <c r="B7" s="49" t="s">
        <v>1795</v>
      </c>
      <c r="C7" s="49" t="s">
        <v>2279</v>
      </c>
      <c r="D7" s="43">
        <v>2200</v>
      </c>
      <c r="E7" s="313">
        <f t="shared" si="0"/>
        <v>1100</v>
      </c>
      <c r="F7" s="313"/>
      <c r="G7" s="49" t="s">
        <v>1336</v>
      </c>
      <c r="H7" s="428">
        <v>45642</v>
      </c>
    </row>
    <row r="8" spans="1:8">
      <c r="A8" s="49">
        <v>6</v>
      </c>
      <c r="B8" s="49" t="s">
        <v>2280</v>
      </c>
      <c r="C8" s="49" t="s">
        <v>2281</v>
      </c>
      <c r="D8" s="43">
        <v>1750</v>
      </c>
      <c r="E8" s="313">
        <f t="shared" si="0"/>
        <v>875</v>
      </c>
      <c r="F8" s="313">
        <f t="shared" ref="F8:F9" si="2">D8/2</f>
        <v>875</v>
      </c>
      <c r="G8" s="428">
        <v>45610</v>
      </c>
      <c r="H8" s="428">
        <v>45642</v>
      </c>
    </row>
    <row r="9" spans="1:8">
      <c r="A9" s="49">
        <v>7</v>
      </c>
      <c r="B9" s="49" t="s">
        <v>1541</v>
      </c>
      <c r="C9" s="49" t="s">
        <v>1541</v>
      </c>
      <c r="D9" s="43">
        <v>1750</v>
      </c>
      <c r="E9" s="307">
        <f t="shared" si="0"/>
        <v>875</v>
      </c>
      <c r="F9" s="307">
        <f t="shared" si="2"/>
        <v>875</v>
      </c>
      <c r="G9" s="428">
        <v>45628</v>
      </c>
      <c r="H9" s="428">
        <v>45642</v>
      </c>
    </row>
  </sheetData>
  <pageMargins left="0.511811024" right="0.511811024" top="0.78740157499999996" bottom="0.78740157499999996"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B1:E74"/>
  <sheetViews>
    <sheetView showGridLines="0" workbookViewId="0"/>
  </sheetViews>
  <sheetFormatPr defaultColWidth="14.42578125" defaultRowHeight="15" customHeight="1" outlineLevelRow="1"/>
  <cols>
    <col min="2" max="2" width="50.5703125" customWidth="1"/>
    <col min="4" max="4" width="48.140625" customWidth="1"/>
  </cols>
  <sheetData>
    <row r="1" spans="2:5">
      <c r="B1" s="433">
        <v>45621</v>
      </c>
      <c r="C1" s="154"/>
    </row>
    <row r="2" spans="2:5">
      <c r="B2" s="434" t="s">
        <v>1961</v>
      </c>
      <c r="C2" s="435">
        <v>2511.98</v>
      </c>
    </row>
    <row r="3" spans="2:5">
      <c r="B3" s="315"/>
      <c r="C3" s="315"/>
    </row>
    <row r="4" spans="2:5">
      <c r="B4" s="436" t="s">
        <v>2282</v>
      </c>
      <c r="C4" s="437">
        <f>SUM(C5:C8)</f>
        <v>56639</v>
      </c>
    </row>
    <row r="5" spans="2:5">
      <c r="B5" s="49" t="s">
        <v>2283</v>
      </c>
      <c r="C5" s="150">
        <v>10640</v>
      </c>
    </row>
    <row r="6" spans="2:5">
      <c r="B6" s="49" t="s">
        <v>2284</v>
      </c>
      <c r="C6" s="150">
        <v>16499</v>
      </c>
      <c r="D6" s="49" t="s">
        <v>2285</v>
      </c>
      <c r="E6" s="150"/>
    </row>
    <row r="7" spans="2:5">
      <c r="B7" s="49" t="s">
        <v>2286</v>
      </c>
      <c r="C7" s="150">
        <v>24200</v>
      </c>
      <c r="D7" s="49" t="s">
        <v>2287</v>
      </c>
      <c r="E7" s="438" t="s">
        <v>2288</v>
      </c>
    </row>
    <row r="8" spans="2:5">
      <c r="B8" s="49" t="s">
        <v>2289</v>
      </c>
      <c r="C8" s="150">
        <v>5300</v>
      </c>
      <c r="D8" s="49" t="s">
        <v>2290</v>
      </c>
    </row>
    <row r="9" spans="2:5">
      <c r="B9" s="154" t="s">
        <v>2291</v>
      </c>
      <c r="C9" s="155">
        <v>28000</v>
      </c>
    </row>
    <row r="11" spans="2:5">
      <c r="B11" s="156" t="s">
        <v>2292</v>
      </c>
      <c r="C11" s="157">
        <f>SUM(C12:C13)</f>
        <v>52090.68</v>
      </c>
    </row>
    <row r="12" spans="2:5">
      <c r="B12" s="49" t="s">
        <v>2293</v>
      </c>
      <c r="C12" s="150">
        <v>35336.54</v>
      </c>
      <c r="D12" s="49" t="s">
        <v>2294</v>
      </c>
    </row>
    <row r="13" spans="2:5">
      <c r="B13" s="49" t="s">
        <v>2295</v>
      </c>
      <c r="C13" s="150">
        <v>16754.14</v>
      </c>
      <c r="D13" s="49" t="s">
        <v>2296</v>
      </c>
    </row>
    <row r="15" spans="2:5">
      <c r="B15" s="433">
        <v>45622</v>
      </c>
      <c r="C15" s="154"/>
    </row>
    <row r="16" spans="2:5">
      <c r="B16" s="434" t="s">
        <v>1961</v>
      </c>
      <c r="C16" s="435">
        <v>5822.37</v>
      </c>
    </row>
    <row r="17" spans="2:4">
      <c r="B17" s="315"/>
      <c r="C17" s="315"/>
    </row>
    <row r="18" spans="2:4">
      <c r="B18" s="436" t="s">
        <v>2282</v>
      </c>
      <c r="C18" s="437">
        <f>SUM(C19:C22)</f>
        <v>25399</v>
      </c>
    </row>
    <row r="19" spans="2:4">
      <c r="B19" s="49" t="s">
        <v>2283</v>
      </c>
      <c r="C19" s="150">
        <v>16499</v>
      </c>
    </row>
    <row r="20" spans="2:4" collapsed="1">
      <c r="B20" s="49" t="s">
        <v>2297</v>
      </c>
      <c r="C20" s="150">
        <v>4400</v>
      </c>
      <c r="D20" s="49" t="s">
        <v>2298</v>
      </c>
    </row>
    <row r="21" spans="2:4" hidden="1" outlineLevel="1">
      <c r="B21" s="49" t="s">
        <v>2286</v>
      </c>
      <c r="C21" s="150"/>
    </row>
    <row r="22" spans="2:4" collapsed="1">
      <c r="B22" s="49" t="s">
        <v>2289</v>
      </c>
      <c r="C22" s="150">
        <v>4500</v>
      </c>
      <c r="D22" s="49" t="s">
        <v>2299</v>
      </c>
    </row>
    <row r="23" spans="2:4" hidden="1" outlineLevel="1">
      <c r="B23" s="154" t="s">
        <v>2291</v>
      </c>
      <c r="C23" s="155"/>
    </row>
    <row r="25" spans="2:4">
      <c r="B25" s="156" t="s">
        <v>2292</v>
      </c>
      <c r="C25" s="157">
        <f>SUM(C26:C27)</f>
        <v>34856.81</v>
      </c>
    </row>
    <row r="26" spans="2:4">
      <c r="B26" s="49" t="s">
        <v>2300</v>
      </c>
      <c r="C26" s="150">
        <f>32494.81-1500</f>
        <v>30994.81</v>
      </c>
      <c r="D26" s="49" t="s">
        <v>2301</v>
      </c>
    </row>
    <row r="27" spans="2:4">
      <c r="B27" s="49" t="s">
        <v>2302</v>
      </c>
      <c r="C27" s="150">
        <f>2362+1500</f>
        <v>3862</v>
      </c>
      <c r="D27" s="49" t="s">
        <v>2303</v>
      </c>
    </row>
    <row r="30" spans="2:4">
      <c r="B30" s="433">
        <v>45622</v>
      </c>
      <c r="C30" s="154"/>
    </row>
    <row r="31" spans="2:4">
      <c r="B31" s="434" t="s">
        <v>1961</v>
      </c>
      <c r="C31" s="435">
        <v>5822.37</v>
      </c>
    </row>
    <row r="32" spans="2:4">
      <c r="B32" s="315"/>
      <c r="C32" s="315"/>
    </row>
    <row r="33" spans="2:4">
      <c r="B33" s="436" t="s">
        <v>2282</v>
      </c>
      <c r="C33" s="437">
        <f>SUM(C34:C35)</f>
        <v>20899</v>
      </c>
    </row>
    <row r="34" spans="2:4">
      <c r="B34" s="49" t="s">
        <v>2283</v>
      </c>
      <c r="C34" s="150">
        <v>17699</v>
      </c>
    </row>
    <row r="35" spans="2:4">
      <c r="B35" s="49" t="s">
        <v>2286</v>
      </c>
      <c r="C35" s="150">
        <v>3200</v>
      </c>
      <c r="D35" s="49" t="s">
        <v>2304</v>
      </c>
    </row>
    <row r="37" spans="2:4">
      <c r="B37" s="156" t="s">
        <v>2292</v>
      </c>
      <c r="C37" s="157">
        <f>SUM(C38:C39)</f>
        <v>45001.490000000005</v>
      </c>
    </row>
    <row r="38" spans="2:4">
      <c r="B38" s="49" t="s">
        <v>2293</v>
      </c>
      <c r="C38" s="150">
        <v>23334.7</v>
      </c>
      <c r="D38" s="49" t="s">
        <v>2305</v>
      </c>
    </row>
    <row r="39" spans="2:4">
      <c r="B39" s="49" t="s">
        <v>2295</v>
      </c>
      <c r="C39" s="150">
        <v>21666.79</v>
      </c>
      <c r="D39" s="49" t="s">
        <v>2306</v>
      </c>
    </row>
    <row r="41" spans="2:4">
      <c r="B41" s="433">
        <v>45623</v>
      </c>
      <c r="C41" s="154"/>
    </row>
    <row r="42" spans="2:4">
      <c r="B42" s="434" t="s">
        <v>1961</v>
      </c>
      <c r="C42" s="435">
        <v>186.67</v>
      </c>
    </row>
    <row r="43" spans="2:4">
      <c r="B43" s="315"/>
      <c r="C43" s="315"/>
    </row>
    <row r="44" spans="2:4">
      <c r="B44" s="436" t="s">
        <v>2282</v>
      </c>
      <c r="C44" s="437">
        <f>SUM(C45:C46)</f>
        <v>3200</v>
      </c>
    </row>
    <row r="45" spans="2:4">
      <c r="B45" s="49" t="s">
        <v>2283</v>
      </c>
      <c r="C45" s="150">
        <v>0</v>
      </c>
    </row>
    <row r="46" spans="2:4">
      <c r="B46" s="49" t="s">
        <v>2307</v>
      </c>
      <c r="C46" s="150">
        <v>3200</v>
      </c>
      <c r="D46" s="49" t="s">
        <v>2308</v>
      </c>
    </row>
    <row r="48" spans="2:4">
      <c r="B48" s="156" t="s">
        <v>2292</v>
      </c>
      <c r="C48" s="157">
        <f>SUM(C49:C50)</f>
        <v>22631.11</v>
      </c>
    </row>
    <row r="49" spans="2:4">
      <c r="B49" s="49" t="s">
        <v>2300</v>
      </c>
      <c r="C49" s="150">
        <v>2964.32</v>
      </c>
      <c r="D49" s="49" t="s">
        <v>2309</v>
      </c>
    </row>
    <row r="50" spans="2:4">
      <c r="B50" s="49" t="s">
        <v>2310</v>
      </c>
      <c r="C50" s="150">
        <v>19666.79</v>
      </c>
      <c r="D50" s="49" t="s">
        <v>2311</v>
      </c>
    </row>
    <row r="52" spans="2:4">
      <c r="B52" s="433">
        <v>45625</v>
      </c>
      <c r="C52" s="154"/>
    </row>
    <row r="53" spans="2:4">
      <c r="B53" s="434" t="s">
        <v>1961</v>
      </c>
      <c r="C53" s="439">
        <v>48648.170000000013</v>
      </c>
    </row>
    <row r="54" spans="2:4">
      <c r="B54" s="315"/>
      <c r="C54" s="315"/>
    </row>
    <row r="55" spans="2:4">
      <c r="B55" s="436" t="s">
        <v>2282</v>
      </c>
      <c r="C55" s="437">
        <f>SUM(C56:C58)</f>
        <v>26389</v>
      </c>
    </row>
    <row r="56" spans="2:4">
      <c r="B56" s="49" t="s">
        <v>2283</v>
      </c>
      <c r="C56" s="150">
        <v>8299</v>
      </c>
    </row>
    <row r="57" spans="2:4">
      <c r="B57" s="49" t="s">
        <v>2312</v>
      </c>
      <c r="C57" s="150">
        <v>3500</v>
      </c>
      <c r="D57" s="49"/>
    </row>
    <row r="58" spans="2:4">
      <c r="B58" s="49" t="s">
        <v>2295</v>
      </c>
      <c r="C58" s="150">
        <v>14590</v>
      </c>
      <c r="D58" s="49" t="s">
        <v>2313</v>
      </c>
    </row>
    <row r="59" spans="2:4">
      <c r="B59" s="154" t="s">
        <v>2291</v>
      </c>
      <c r="C59" s="155">
        <v>35000</v>
      </c>
      <c r="D59" s="154" t="s">
        <v>2314</v>
      </c>
    </row>
    <row r="61" spans="2:4">
      <c r="B61" s="156" t="s">
        <v>2292</v>
      </c>
      <c r="C61" s="157">
        <f>SUM(C62:C63)</f>
        <v>120238.48000000001</v>
      </c>
    </row>
    <row r="62" spans="2:4">
      <c r="B62" s="49" t="s">
        <v>2293</v>
      </c>
      <c r="C62" s="150">
        <v>89251.82</v>
      </c>
      <c r="D62" s="49" t="s">
        <v>2315</v>
      </c>
    </row>
    <row r="63" spans="2:4">
      <c r="B63" s="49" t="s">
        <v>2295</v>
      </c>
      <c r="C63" s="150">
        <v>30986.66</v>
      </c>
      <c r="D63" s="49" t="s">
        <v>2316</v>
      </c>
    </row>
    <row r="65" spans="2:4">
      <c r="B65" s="433">
        <v>45628</v>
      </c>
      <c r="C65" s="154"/>
    </row>
    <row r="66" spans="2:4">
      <c r="B66" s="434" t="s">
        <v>1961</v>
      </c>
      <c r="C66" s="439">
        <v>2695.9500000000044</v>
      </c>
    </row>
    <row r="67" spans="2:4">
      <c r="B67" s="315"/>
      <c r="C67" s="315"/>
    </row>
    <row r="68" spans="2:4">
      <c r="B68" s="436" t="s">
        <v>2282</v>
      </c>
      <c r="C68" s="437">
        <f>SUM(C69:C70)</f>
        <v>14000</v>
      </c>
    </row>
    <row r="69" spans="2:4">
      <c r="B69" s="49" t="s">
        <v>2283</v>
      </c>
      <c r="C69" s="150">
        <v>3500</v>
      </c>
    </row>
    <row r="70" spans="2:4">
      <c r="B70" s="49" t="s">
        <v>2307</v>
      </c>
      <c r="C70" s="150">
        <v>10500</v>
      </c>
      <c r="D70" s="49" t="s">
        <v>2042</v>
      </c>
    </row>
    <row r="72" spans="2:4">
      <c r="B72" s="156" t="s">
        <v>2292</v>
      </c>
      <c r="C72" s="157">
        <f>SUM(C73:C74)</f>
        <v>22631.11</v>
      </c>
    </row>
    <row r="73" spans="2:4">
      <c r="B73" s="49" t="s">
        <v>2300</v>
      </c>
      <c r="C73" s="150">
        <v>2964.32</v>
      </c>
      <c r="D73" s="49" t="s">
        <v>2317</v>
      </c>
    </row>
    <row r="74" spans="2:4">
      <c r="B74" s="49" t="s">
        <v>2310</v>
      </c>
      <c r="C74" s="150">
        <v>19666.79</v>
      </c>
      <c r="D74" s="49" t="s">
        <v>2318</v>
      </c>
    </row>
  </sheetData>
  <pageMargins left="0.511811024" right="0.511811024" top="0.78740157499999996" bottom="0.78740157499999996"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9900"/>
    <outlinePr summaryBelow="0" summaryRight="0"/>
  </sheetPr>
  <dimension ref="A1:Z997"/>
  <sheetViews>
    <sheetView workbookViewId="0">
      <selection activeCell="E11" sqref="E11"/>
    </sheetView>
  </sheetViews>
  <sheetFormatPr defaultColWidth="14.42578125" defaultRowHeight="15" customHeight="1"/>
  <cols>
    <col min="3" max="3" width="46.7109375" customWidth="1"/>
    <col min="4" max="4" width="14.5703125" customWidth="1"/>
    <col min="7" max="7" width="19.7109375" customWidth="1"/>
  </cols>
  <sheetData>
    <row r="1" spans="1:26" ht="39" customHeight="1">
      <c r="A1" s="43"/>
      <c r="B1" s="43"/>
      <c r="C1" s="43"/>
      <c r="D1" s="95"/>
      <c r="E1" s="43"/>
      <c r="F1" s="43"/>
      <c r="G1" s="43"/>
      <c r="H1" s="43"/>
      <c r="I1" s="43"/>
      <c r="J1" s="43"/>
      <c r="K1" s="43"/>
      <c r="L1" s="43"/>
      <c r="M1" s="43"/>
      <c r="N1" s="43"/>
      <c r="O1" s="43"/>
      <c r="P1" s="43"/>
      <c r="Q1" s="43"/>
      <c r="R1" s="43"/>
      <c r="S1" s="43"/>
      <c r="T1" s="43"/>
      <c r="U1" s="49"/>
      <c r="V1" s="49"/>
      <c r="W1" s="49"/>
      <c r="X1" s="49"/>
      <c r="Y1" s="49"/>
      <c r="Z1" s="49"/>
    </row>
    <row r="2" spans="1:26">
      <c r="A2" s="43"/>
      <c r="B2" s="43"/>
      <c r="C2" s="132" t="s">
        <v>137</v>
      </c>
      <c r="D2" s="133">
        <v>4500000</v>
      </c>
      <c r="E2" s="76"/>
      <c r="F2" s="43"/>
      <c r="G2" s="43"/>
      <c r="H2" s="43"/>
      <c r="I2" s="43"/>
      <c r="J2" s="43"/>
      <c r="K2" s="43"/>
      <c r="L2" s="43"/>
      <c r="M2" s="43"/>
      <c r="N2" s="43"/>
      <c r="O2" s="43"/>
      <c r="P2" s="43"/>
      <c r="Q2" s="43"/>
      <c r="R2" s="43"/>
      <c r="S2" s="43"/>
      <c r="T2" s="43"/>
      <c r="U2" s="49"/>
      <c r="V2" s="49"/>
      <c r="W2" s="49"/>
      <c r="X2" s="49"/>
      <c r="Y2" s="49"/>
      <c r="Z2" s="49"/>
    </row>
    <row r="3" spans="1:26">
      <c r="A3" s="43"/>
      <c r="B3" s="43"/>
      <c r="C3" s="578" t="s">
        <v>2460</v>
      </c>
      <c r="D3" s="134">
        <v>0.85</v>
      </c>
      <c r="E3" s="43"/>
      <c r="F3" s="43"/>
      <c r="G3" s="43"/>
      <c r="H3" s="43"/>
      <c r="I3" s="43"/>
      <c r="J3" s="43"/>
      <c r="K3" s="43"/>
      <c r="L3" s="43"/>
      <c r="M3" s="43"/>
      <c r="N3" s="43"/>
      <c r="O3" s="43"/>
      <c r="P3" s="43"/>
      <c r="Q3" s="43"/>
      <c r="R3" s="43"/>
      <c r="S3" s="43"/>
      <c r="T3" s="43"/>
      <c r="U3" s="49"/>
      <c r="V3" s="49"/>
      <c r="W3" s="49"/>
      <c r="X3" s="49"/>
      <c r="Y3" s="49"/>
      <c r="Z3" s="49"/>
    </row>
    <row r="4" spans="1:26">
      <c r="A4" s="43"/>
      <c r="B4" s="43"/>
      <c r="C4" s="578" t="s">
        <v>2461</v>
      </c>
      <c r="D4" s="134">
        <v>0.1</v>
      </c>
      <c r="E4" s="43"/>
      <c r="F4" s="43"/>
      <c r="G4" s="106"/>
      <c r="H4" s="43"/>
      <c r="I4" s="43"/>
      <c r="J4" s="43"/>
      <c r="K4" s="43"/>
      <c r="L4" s="43"/>
      <c r="M4" s="43"/>
      <c r="N4" s="43"/>
      <c r="O4" s="43"/>
      <c r="P4" s="43"/>
      <c r="Q4" s="43"/>
      <c r="R4" s="43"/>
      <c r="S4" s="43"/>
      <c r="T4" s="43"/>
      <c r="U4" s="49"/>
      <c r="V4" s="49"/>
      <c r="W4" s="49"/>
      <c r="X4" s="49"/>
      <c r="Y4" s="49"/>
      <c r="Z4" s="49"/>
    </row>
    <row r="5" spans="1:26">
      <c r="A5" s="448"/>
      <c r="B5" s="448"/>
      <c r="C5" s="450" t="s">
        <v>2403</v>
      </c>
      <c r="D5" s="579">
        <v>0.05</v>
      </c>
      <c r="E5" s="448"/>
      <c r="F5" s="448"/>
      <c r="G5" s="449"/>
      <c r="H5" s="448"/>
      <c r="I5" s="448"/>
      <c r="J5" s="448"/>
      <c r="K5" s="448"/>
      <c r="L5" s="448"/>
      <c r="M5" s="448"/>
      <c r="N5" s="448"/>
      <c r="O5" s="448"/>
      <c r="P5" s="448"/>
      <c r="Q5" s="448"/>
      <c r="R5" s="448"/>
      <c r="S5" s="448"/>
      <c r="T5" s="448"/>
      <c r="U5" s="49"/>
      <c r="V5" s="49"/>
      <c r="W5" s="49"/>
      <c r="X5" s="49"/>
      <c r="Y5" s="49"/>
      <c r="Z5" s="49"/>
    </row>
    <row r="6" spans="1:26" ht="5.25" customHeight="1">
      <c r="A6" s="448"/>
      <c r="B6" s="448"/>
      <c r="C6" s="450"/>
      <c r="D6" s="579"/>
      <c r="E6" s="448"/>
      <c r="F6" s="448"/>
      <c r="G6" s="449"/>
      <c r="H6" s="448"/>
      <c r="I6" s="448"/>
      <c r="J6" s="448"/>
      <c r="K6" s="448"/>
      <c r="L6" s="448"/>
      <c r="M6" s="448"/>
      <c r="N6" s="448"/>
      <c r="O6" s="448"/>
      <c r="P6" s="448"/>
      <c r="Q6" s="448"/>
      <c r="R6" s="448"/>
      <c r="S6" s="448"/>
      <c r="T6" s="448"/>
      <c r="U6" s="49"/>
      <c r="V6" s="49"/>
      <c r="W6" s="49"/>
      <c r="X6" s="49"/>
      <c r="Y6" s="49"/>
      <c r="Z6" s="49"/>
    </row>
    <row r="7" spans="1:26">
      <c r="A7" s="43"/>
      <c r="B7" s="43"/>
      <c r="C7" s="136" t="s">
        <v>138</v>
      </c>
      <c r="D7" s="137">
        <v>500000</v>
      </c>
      <c r="E7" s="76"/>
      <c r="F7" s="43"/>
      <c r="G7" s="106"/>
      <c r="H7" s="43"/>
      <c r="I7" s="43"/>
      <c r="J7" s="43"/>
      <c r="K7" s="43"/>
      <c r="L7" s="43"/>
      <c r="M7" s="43"/>
      <c r="N7" s="43"/>
      <c r="O7" s="43"/>
      <c r="P7" s="43"/>
      <c r="Q7" s="43"/>
      <c r="R7" s="43"/>
      <c r="S7" s="43"/>
      <c r="T7" s="43"/>
      <c r="U7" s="49"/>
      <c r="V7" s="49"/>
      <c r="W7" s="49"/>
      <c r="X7" s="49"/>
      <c r="Y7" s="49"/>
      <c r="Z7" s="49"/>
    </row>
    <row r="8" spans="1:26">
      <c r="A8" s="43"/>
      <c r="B8" s="43"/>
      <c r="C8" s="43" t="s">
        <v>139</v>
      </c>
      <c r="D8" s="138">
        <f>SUM(D7,D2)</f>
        <v>5000000</v>
      </c>
      <c r="E8" s="43"/>
      <c r="F8" s="43"/>
      <c r="G8" s="106"/>
      <c r="H8" s="43"/>
      <c r="I8" s="43"/>
      <c r="J8" s="43"/>
      <c r="K8" s="43"/>
      <c r="L8" s="43"/>
      <c r="M8" s="43"/>
      <c r="N8" s="43"/>
      <c r="O8" s="43"/>
      <c r="P8" s="43"/>
      <c r="Q8" s="43"/>
      <c r="R8" s="43"/>
      <c r="S8" s="43"/>
      <c r="T8" s="43"/>
      <c r="U8" s="49"/>
      <c r="V8" s="49"/>
      <c r="W8" s="49"/>
      <c r="X8" s="49"/>
      <c r="Y8" s="49"/>
      <c r="Z8" s="49"/>
    </row>
    <row r="9" spans="1:26">
      <c r="A9" s="43"/>
      <c r="B9" s="43"/>
      <c r="C9" s="43" t="s">
        <v>140</v>
      </c>
      <c r="D9" s="135">
        <v>0.1</v>
      </c>
      <c r="E9" s="43"/>
      <c r="F9" s="43"/>
      <c r="G9" s="106"/>
      <c r="H9" s="43"/>
      <c r="I9" s="43"/>
      <c r="J9" s="43"/>
      <c r="K9" s="43"/>
      <c r="L9" s="43"/>
      <c r="M9" s="43"/>
      <c r="N9" s="43"/>
      <c r="O9" s="43"/>
      <c r="P9" s="43"/>
      <c r="Q9" s="43"/>
      <c r="R9" s="43"/>
      <c r="S9" s="43"/>
      <c r="T9" s="43"/>
      <c r="U9" s="49"/>
      <c r="V9" s="49"/>
      <c r="W9" s="49"/>
      <c r="X9" s="49"/>
      <c r="Y9" s="49"/>
      <c r="Z9" s="49"/>
    </row>
    <row r="10" spans="1:26" ht="7.5" customHeight="1">
      <c r="A10" s="43"/>
      <c r="B10" s="43"/>
      <c r="C10" s="43"/>
      <c r="D10" s="95"/>
      <c r="E10" s="43"/>
      <c r="F10" s="43"/>
      <c r="G10" s="106"/>
      <c r="H10" s="43"/>
      <c r="I10" s="43"/>
      <c r="J10" s="43"/>
      <c r="K10" s="43"/>
      <c r="L10" s="43"/>
      <c r="M10" s="43"/>
      <c r="N10" s="43"/>
      <c r="O10" s="43"/>
      <c r="P10" s="43"/>
      <c r="Q10" s="43"/>
      <c r="R10" s="43"/>
      <c r="S10" s="43"/>
      <c r="T10" s="43"/>
      <c r="U10" s="49"/>
      <c r="V10" s="49"/>
      <c r="W10" s="49"/>
      <c r="X10" s="49"/>
      <c r="Y10" s="49"/>
      <c r="Z10" s="49"/>
    </row>
    <row r="11" spans="1:26">
      <c r="A11" s="43"/>
      <c r="B11" s="43"/>
      <c r="C11" s="670" t="s">
        <v>141</v>
      </c>
      <c r="D11" s="638"/>
      <c r="E11" s="76"/>
      <c r="F11" s="43"/>
      <c r="G11" s="43"/>
      <c r="H11" s="43"/>
      <c r="I11" s="43"/>
      <c r="J11" s="43"/>
      <c r="K11" s="43"/>
      <c r="L11" s="43"/>
      <c r="M11" s="43"/>
      <c r="N11" s="43"/>
      <c r="O11" s="43"/>
      <c r="P11" s="43"/>
      <c r="Q11" s="43"/>
      <c r="R11" s="43"/>
      <c r="S11" s="43"/>
      <c r="T11" s="43"/>
      <c r="U11" s="49"/>
      <c r="V11" s="49"/>
      <c r="W11" s="49"/>
      <c r="X11" s="49"/>
      <c r="Y11" s="49"/>
      <c r="Z11" s="49"/>
    </row>
    <row r="12" spans="1:26">
      <c r="A12" s="43"/>
      <c r="B12" s="43"/>
      <c r="C12" s="578" t="s">
        <v>2460</v>
      </c>
      <c r="D12" s="134">
        <v>0.65</v>
      </c>
      <c r="E12" s="43"/>
      <c r="F12" s="43"/>
      <c r="G12" s="43"/>
      <c r="H12" s="43"/>
      <c r="I12" s="43"/>
      <c r="J12" s="43"/>
      <c r="K12" s="43"/>
      <c r="L12" s="43"/>
      <c r="M12" s="43"/>
      <c r="N12" s="43"/>
      <c r="O12" s="43"/>
      <c r="P12" s="43"/>
      <c r="Q12" s="43"/>
      <c r="R12" s="43"/>
      <c r="S12" s="43"/>
      <c r="T12" s="43"/>
      <c r="U12" s="49"/>
      <c r="V12" s="49"/>
      <c r="W12" s="49"/>
      <c r="X12" s="49"/>
      <c r="Y12" s="49"/>
      <c r="Z12" s="49"/>
    </row>
    <row r="13" spans="1:26">
      <c r="A13" s="43"/>
      <c r="B13" s="43"/>
      <c r="C13" s="578" t="s">
        <v>2461</v>
      </c>
      <c r="D13" s="134">
        <v>0.1</v>
      </c>
      <c r="E13" s="43"/>
      <c r="F13" s="43"/>
      <c r="G13" s="106"/>
      <c r="H13" s="43"/>
      <c r="I13" s="43"/>
      <c r="J13" s="43"/>
      <c r="K13" s="43"/>
      <c r="L13" s="43"/>
      <c r="M13" s="43"/>
      <c r="N13" s="43"/>
      <c r="O13" s="43"/>
      <c r="P13" s="43"/>
      <c r="Q13" s="43"/>
      <c r="R13" s="43"/>
      <c r="S13" s="43"/>
      <c r="T13" s="43"/>
      <c r="U13" s="49"/>
      <c r="V13" s="49"/>
      <c r="W13" s="49"/>
      <c r="X13" s="49"/>
      <c r="Y13" s="49"/>
      <c r="Z13" s="49"/>
    </row>
    <row r="14" spans="1:26">
      <c r="A14" s="448"/>
      <c r="B14" s="448"/>
      <c r="C14" s="450" t="s">
        <v>2403</v>
      </c>
      <c r="D14" s="579">
        <v>0.05</v>
      </c>
      <c r="E14" s="448"/>
      <c r="F14" s="448"/>
      <c r="G14" s="449"/>
      <c r="H14" s="448"/>
      <c r="I14" s="448"/>
      <c r="J14" s="448"/>
      <c r="K14" s="448"/>
      <c r="L14" s="448"/>
      <c r="M14" s="448"/>
      <c r="N14" s="448"/>
      <c r="O14" s="448"/>
      <c r="P14" s="448"/>
      <c r="Q14" s="448"/>
      <c r="R14" s="448"/>
      <c r="S14" s="448"/>
      <c r="T14" s="448"/>
      <c r="U14" s="49"/>
      <c r="V14" s="49"/>
      <c r="W14" s="49"/>
      <c r="X14" s="49"/>
      <c r="Y14" s="49"/>
      <c r="Z14" s="49"/>
    </row>
    <row r="15" spans="1:26">
      <c r="A15" s="43"/>
      <c r="B15" s="77"/>
      <c r="C15" s="139" t="s">
        <v>142</v>
      </c>
      <c r="D15" s="140">
        <v>0.1</v>
      </c>
      <c r="E15" s="76"/>
      <c r="F15" s="43"/>
      <c r="G15" s="43"/>
      <c r="H15" s="43"/>
      <c r="I15" s="43"/>
      <c r="J15" s="43"/>
      <c r="K15" s="43"/>
      <c r="L15" s="43"/>
      <c r="M15" s="43"/>
      <c r="N15" s="43"/>
      <c r="O15" s="43"/>
      <c r="P15" s="43"/>
      <c r="Q15" s="43"/>
      <c r="R15" s="43"/>
      <c r="S15" s="43"/>
      <c r="T15" s="43"/>
      <c r="U15" s="49"/>
      <c r="V15" s="49"/>
      <c r="W15" s="49"/>
      <c r="X15" s="49"/>
      <c r="Y15" s="49"/>
      <c r="Z15" s="49"/>
    </row>
    <row r="16" spans="1:26">
      <c r="A16" s="43"/>
      <c r="B16" s="43"/>
      <c r="C16" s="81"/>
      <c r="D16" s="81"/>
      <c r="E16" s="43"/>
      <c r="F16" s="43"/>
      <c r="G16" s="43"/>
      <c r="H16" s="43"/>
      <c r="I16" s="43"/>
      <c r="J16" s="43"/>
      <c r="K16" s="43"/>
      <c r="L16" s="43"/>
      <c r="M16" s="43"/>
      <c r="N16" s="43"/>
      <c r="O16" s="43"/>
      <c r="P16" s="43"/>
      <c r="Q16" s="43"/>
      <c r="R16" s="43"/>
      <c r="S16" s="43"/>
      <c r="T16" s="43"/>
      <c r="U16" s="49"/>
      <c r="V16" s="49"/>
      <c r="W16" s="49"/>
      <c r="X16" s="49"/>
      <c r="Y16" s="49"/>
      <c r="Z16" s="49"/>
    </row>
    <row r="17" spans="1:26">
      <c r="A17" s="43"/>
      <c r="B17" s="43"/>
      <c r="C17" s="43"/>
      <c r="D17" s="43"/>
      <c r="E17" s="43"/>
      <c r="F17" s="43"/>
      <c r="G17" s="43"/>
      <c r="H17" s="43"/>
      <c r="I17" s="43"/>
      <c r="J17" s="43"/>
      <c r="K17" s="43"/>
      <c r="L17" s="43"/>
      <c r="M17" s="43"/>
      <c r="N17" s="43"/>
      <c r="O17" s="43"/>
      <c r="P17" s="43"/>
      <c r="Q17" s="43"/>
      <c r="R17" s="43"/>
      <c r="S17" s="43"/>
      <c r="T17" s="43"/>
      <c r="U17" s="49"/>
      <c r="V17" s="49"/>
      <c r="W17" s="49"/>
      <c r="X17" s="49"/>
      <c r="Y17" s="49"/>
      <c r="Z17" s="49"/>
    </row>
    <row r="18" spans="1:26">
      <c r="A18" s="43"/>
      <c r="B18" s="43"/>
      <c r="C18" s="43"/>
      <c r="D18" s="43"/>
      <c r="E18" s="43"/>
      <c r="F18" s="43"/>
      <c r="G18" s="43"/>
      <c r="H18" s="43"/>
      <c r="I18" s="43"/>
      <c r="J18" s="43"/>
      <c r="K18" s="43"/>
      <c r="L18" s="43"/>
      <c r="M18" s="43"/>
      <c r="N18" s="43"/>
      <c r="O18" s="43"/>
      <c r="P18" s="43"/>
      <c r="Q18" s="43"/>
      <c r="R18" s="43"/>
      <c r="S18" s="43"/>
      <c r="T18" s="43"/>
      <c r="U18" s="49"/>
      <c r="V18" s="49"/>
      <c r="W18" s="49"/>
      <c r="X18" s="49"/>
      <c r="Y18" s="49"/>
      <c r="Z18" s="49"/>
    </row>
    <row r="19" spans="1:26">
      <c r="A19" s="43"/>
      <c r="B19" s="43"/>
      <c r="C19" s="43"/>
      <c r="D19" s="43"/>
      <c r="E19" s="43"/>
      <c r="F19" s="43"/>
      <c r="G19" s="43"/>
      <c r="H19" s="43"/>
      <c r="I19" s="43"/>
      <c r="J19" s="43"/>
      <c r="K19" s="43"/>
      <c r="L19" s="43"/>
      <c r="M19" s="43"/>
      <c r="N19" s="43"/>
      <c r="O19" s="43"/>
      <c r="P19" s="43"/>
      <c r="Q19" s="43"/>
      <c r="R19" s="43"/>
      <c r="S19" s="43"/>
      <c r="T19" s="43"/>
      <c r="U19" s="49"/>
      <c r="V19" s="49"/>
      <c r="W19" s="49"/>
      <c r="X19" s="49"/>
      <c r="Y19" s="49"/>
      <c r="Z19" s="49"/>
    </row>
    <row r="20" spans="1:26">
      <c r="A20" s="43"/>
      <c r="B20" s="43"/>
      <c r="C20" s="43"/>
      <c r="D20" s="43"/>
      <c r="E20" s="43"/>
      <c r="F20" s="43"/>
      <c r="G20" s="43"/>
      <c r="H20" s="43"/>
      <c r="I20" s="43"/>
      <c r="J20" s="43"/>
      <c r="K20" s="43"/>
      <c r="L20" s="43"/>
      <c r="M20" s="43"/>
      <c r="N20" s="43"/>
      <c r="O20" s="43"/>
      <c r="P20" s="43"/>
      <c r="Q20" s="43"/>
      <c r="R20" s="43"/>
      <c r="S20" s="43"/>
      <c r="T20" s="43"/>
      <c r="U20" s="49"/>
      <c r="V20" s="49"/>
      <c r="W20" s="49"/>
      <c r="X20" s="49"/>
      <c r="Y20" s="49"/>
      <c r="Z20" s="49"/>
    </row>
    <row r="21" spans="1:26">
      <c r="A21" s="43"/>
      <c r="B21" s="43"/>
      <c r="C21" s="43"/>
      <c r="D21" s="43"/>
      <c r="E21" s="43"/>
      <c r="F21" s="43"/>
      <c r="G21" s="43"/>
      <c r="H21" s="43"/>
      <c r="I21" s="43"/>
      <c r="J21" s="43"/>
      <c r="K21" s="43"/>
      <c r="L21" s="43"/>
      <c r="M21" s="43"/>
      <c r="N21" s="43"/>
      <c r="O21" s="43"/>
      <c r="P21" s="43"/>
      <c r="Q21" s="43"/>
      <c r="R21" s="43"/>
      <c r="S21" s="43"/>
      <c r="T21" s="43"/>
      <c r="U21" s="49"/>
      <c r="V21" s="49"/>
      <c r="W21" s="49"/>
      <c r="X21" s="49"/>
      <c r="Y21" s="49"/>
      <c r="Z21" s="49"/>
    </row>
    <row r="22" spans="1:26">
      <c r="A22" s="43"/>
      <c r="B22" s="43"/>
      <c r="C22" s="43"/>
      <c r="D22" s="43"/>
      <c r="E22" s="43"/>
      <c r="F22" s="43"/>
      <c r="G22" s="43"/>
      <c r="H22" s="43"/>
      <c r="I22" s="43"/>
      <c r="J22" s="43"/>
      <c r="K22" s="43"/>
      <c r="L22" s="43"/>
      <c r="M22" s="43"/>
      <c r="N22" s="43"/>
      <c r="O22" s="43"/>
      <c r="P22" s="43"/>
      <c r="Q22" s="43"/>
      <c r="R22" s="43"/>
      <c r="S22" s="43"/>
      <c r="T22" s="43"/>
      <c r="U22" s="49"/>
      <c r="V22" s="49"/>
      <c r="W22" s="49"/>
      <c r="X22" s="49"/>
      <c r="Y22" s="49"/>
      <c r="Z22" s="49"/>
    </row>
    <row r="23" spans="1:26">
      <c r="A23" s="43"/>
      <c r="B23" s="43"/>
      <c r="C23" s="43"/>
      <c r="D23" s="43"/>
      <c r="E23" s="43"/>
      <c r="F23" s="43"/>
      <c r="G23" s="43"/>
      <c r="H23" s="43"/>
      <c r="I23" s="43"/>
      <c r="J23" s="43"/>
      <c r="K23" s="43"/>
      <c r="L23" s="43"/>
      <c r="M23" s="43"/>
      <c r="N23" s="43"/>
      <c r="O23" s="43"/>
      <c r="P23" s="43"/>
      <c r="Q23" s="43"/>
      <c r="R23" s="43"/>
      <c r="S23" s="43"/>
      <c r="T23" s="43"/>
      <c r="U23" s="49"/>
      <c r="V23" s="49"/>
      <c r="W23" s="49"/>
      <c r="X23" s="49"/>
      <c r="Y23" s="49"/>
      <c r="Z23" s="49"/>
    </row>
    <row r="24" spans="1:26">
      <c r="A24" s="43"/>
      <c r="B24" s="43"/>
      <c r="C24" s="43"/>
      <c r="D24" s="43"/>
      <c r="E24" s="43"/>
      <c r="F24" s="43"/>
      <c r="G24" s="43"/>
      <c r="H24" s="43"/>
      <c r="I24" s="43"/>
      <c r="J24" s="43"/>
      <c r="K24" s="43"/>
      <c r="L24" s="43"/>
      <c r="M24" s="43"/>
      <c r="N24" s="43"/>
      <c r="O24" s="43"/>
      <c r="P24" s="43"/>
      <c r="Q24" s="43"/>
      <c r="R24" s="49"/>
      <c r="S24" s="49"/>
      <c r="T24" s="49"/>
      <c r="U24" s="49"/>
      <c r="V24" s="49"/>
      <c r="W24" s="49"/>
      <c r="X24" s="49"/>
      <c r="Y24" s="49"/>
      <c r="Z24" s="49"/>
    </row>
    <row r="25" spans="1:26">
      <c r="A25" s="43"/>
      <c r="B25" s="43"/>
      <c r="C25" s="43"/>
      <c r="D25" s="43"/>
      <c r="E25" s="43"/>
      <c r="F25" s="43"/>
      <c r="G25" s="43"/>
      <c r="H25" s="43"/>
      <c r="I25" s="43"/>
      <c r="J25" s="43"/>
      <c r="K25" s="43"/>
      <c r="L25" s="43"/>
      <c r="M25" s="43"/>
      <c r="N25" s="43"/>
      <c r="O25" s="43"/>
      <c r="P25" s="43"/>
      <c r="Q25" s="43"/>
      <c r="R25" s="49"/>
      <c r="S25" s="49"/>
      <c r="T25" s="49"/>
      <c r="U25" s="49"/>
      <c r="V25" s="49"/>
      <c r="W25" s="49"/>
      <c r="X25" s="49"/>
      <c r="Y25" s="49"/>
      <c r="Z25" s="49"/>
    </row>
    <row r="26" spans="1:26">
      <c r="A26" s="43"/>
      <c r="B26" s="43"/>
      <c r="C26" s="43"/>
      <c r="D26" s="43"/>
      <c r="E26" s="43"/>
      <c r="F26" s="43"/>
      <c r="G26" s="43"/>
      <c r="H26" s="43"/>
      <c r="I26" s="43"/>
      <c r="J26" s="43"/>
      <c r="K26" s="43"/>
      <c r="L26" s="43"/>
      <c r="M26" s="43"/>
      <c r="N26" s="43"/>
      <c r="O26" s="43"/>
      <c r="P26" s="43"/>
      <c r="Q26" s="43"/>
      <c r="R26" s="49"/>
      <c r="S26" s="49"/>
      <c r="T26" s="49"/>
      <c r="U26" s="49"/>
      <c r="V26" s="49"/>
      <c r="W26" s="49"/>
      <c r="X26" s="49"/>
      <c r="Y26" s="49"/>
      <c r="Z26" s="49"/>
    </row>
    <row r="27" spans="1:26">
      <c r="A27" s="43"/>
      <c r="B27" s="43"/>
      <c r="C27" s="43"/>
      <c r="D27" s="43"/>
      <c r="E27" s="43"/>
      <c r="F27" s="43"/>
      <c r="G27" s="43"/>
      <c r="H27" s="43"/>
      <c r="I27" s="43"/>
      <c r="J27" s="43"/>
      <c r="K27" s="43"/>
      <c r="L27" s="43"/>
      <c r="M27" s="43"/>
      <c r="N27" s="43"/>
      <c r="O27" s="43"/>
      <c r="P27" s="43"/>
      <c r="Q27" s="43"/>
      <c r="R27" s="49"/>
      <c r="S27" s="49"/>
      <c r="T27" s="49"/>
      <c r="U27" s="49"/>
      <c r="V27" s="49"/>
      <c r="W27" s="49"/>
      <c r="X27" s="49"/>
      <c r="Y27" s="49"/>
      <c r="Z27" s="49"/>
    </row>
    <row r="28" spans="1:26">
      <c r="A28" s="43"/>
      <c r="B28" s="43"/>
      <c r="C28" s="43"/>
      <c r="D28" s="43"/>
      <c r="E28" s="43"/>
      <c r="F28" s="43"/>
      <c r="G28" s="43"/>
      <c r="H28" s="43"/>
      <c r="I28" s="43"/>
      <c r="J28" s="43"/>
      <c r="K28" s="43"/>
      <c r="L28" s="43"/>
      <c r="M28" s="43"/>
      <c r="N28" s="43"/>
      <c r="O28" s="43"/>
      <c r="P28" s="43"/>
      <c r="Q28" s="43"/>
      <c r="R28" s="49"/>
      <c r="S28" s="49"/>
      <c r="T28" s="49"/>
      <c r="U28" s="49"/>
      <c r="V28" s="49"/>
      <c r="W28" s="49"/>
      <c r="X28" s="49"/>
      <c r="Y28" s="49"/>
      <c r="Z28" s="49"/>
    </row>
    <row r="29" spans="1:26">
      <c r="A29" s="43"/>
      <c r="B29" s="43"/>
      <c r="C29" s="43"/>
      <c r="D29" s="43"/>
      <c r="E29" s="43"/>
      <c r="F29" s="43"/>
      <c r="G29" s="43"/>
      <c r="H29" s="43"/>
      <c r="I29" s="43"/>
      <c r="J29" s="43"/>
      <c r="K29" s="43"/>
      <c r="L29" s="43"/>
      <c r="M29" s="43"/>
      <c r="N29" s="43"/>
      <c r="O29" s="43"/>
      <c r="P29" s="43"/>
      <c r="Q29" s="43"/>
      <c r="R29" s="49"/>
      <c r="S29" s="49"/>
      <c r="T29" s="49"/>
      <c r="U29" s="49"/>
      <c r="V29" s="49"/>
      <c r="W29" s="49"/>
      <c r="X29" s="49"/>
      <c r="Y29" s="49"/>
      <c r="Z29" s="49"/>
    </row>
    <row r="30" spans="1:26">
      <c r="A30" s="43"/>
      <c r="B30" s="43"/>
      <c r="C30" s="43"/>
      <c r="D30" s="43"/>
      <c r="E30" s="43"/>
      <c r="F30" s="43"/>
      <c r="G30" s="43"/>
      <c r="H30" s="43"/>
      <c r="I30" s="43"/>
      <c r="J30" s="43"/>
      <c r="K30" s="43"/>
      <c r="L30" s="43"/>
      <c r="M30" s="43"/>
      <c r="N30" s="43"/>
      <c r="O30" s="43"/>
      <c r="P30" s="43"/>
      <c r="Q30" s="43"/>
      <c r="R30" s="49"/>
      <c r="S30" s="49"/>
      <c r="T30" s="49"/>
      <c r="U30" s="49"/>
      <c r="V30" s="49"/>
      <c r="W30" s="49"/>
      <c r="X30" s="49"/>
      <c r="Y30" s="49"/>
      <c r="Z30" s="49"/>
    </row>
    <row r="31" spans="1:26">
      <c r="A31" s="43"/>
      <c r="B31" s="43"/>
      <c r="C31" s="43"/>
      <c r="D31" s="43"/>
      <c r="E31" s="43"/>
      <c r="F31" s="43"/>
      <c r="G31" s="43"/>
      <c r="H31" s="43"/>
      <c r="I31" s="43"/>
      <c r="J31" s="43"/>
      <c r="K31" s="43"/>
      <c r="L31" s="43"/>
      <c r="M31" s="43"/>
      <c r="N31" s="43"/>
      <c r="O31" s="43"/>
      <c r="P31" s="43"/>
      <c r="Q31" s="43"/>
      <c r="R31" s="49"/>
      <c r="S31" s="49"/>
      <c r="T31" s="49"/>
      <c r="U31" s="49"/>
      <c r="V31" s="49"/>
      <c r="W31" s="49"/>
      <c r="X31" s="49"/>
      <c r="Y31" s="49"/>
      <c r="Z31" s="49"/>
    </row>
    <row r="32" spans="1:26">
      <c r="A32" s="43"/>
      <c r="B32" s="43"/>
      <c r="C32" s="43"/>
      <c r="D32" s="43"/>
      <c r="E32" s="43"/>
      <c r="F32" s="43"/>
      <c r="G32" s="43"/>
      <c r="H32" s="43"/>
      <c r="I32" s="43"/>
      <c r="J32" s="43"/>
      <c r="K32" s="43"/>
      <c r="L32" s="43"/>
      <c r="M32" s="43"/>
      <c r="N32" s="43"/>
      <c r="O32" s="43"/>
      <c r="P32" s="43"/>
      <c r="Q32" s="43"/>
      <c r="R32" s="49"/>
      <c r="S32" s="49"/>
      <c r="T32" s="49"/>
      <c r="U32" s="49"/>
      <c r="V32" s="49"/>
      <c r="W32" s="49"/>
      <c r="X32" s="49"/>
      <c r="Y32" s="49"/>
      <c r="Z32" s="49"/>
    </row>
    <row r="33" spans="1:26">
      <c r="A33" s="43"/>
      <c r="B33" s="43"/>
      <c r="C33" s="43"/>
      <c r="D33" s="43"/>
      <c r="E33" s="43"/>
      <c r="F33" s="43"/>
      <c r="G33" s="43"/>
      <c r="H33" s="43"/>
      <c r="I33" s="43"/>
      <c r="J33" s="43"/>
      <c r="K33" s="43"/>
      <c r="L33" s="43"/>
      <c r="M33" s="43"/>
      <c r="N33" s="43"/>
      <c r="O33" s="43"/>
      <c r="P33" s="43"/>
      <c r="Q33" s="43"/>
      <c r="R33" s="49"/>
      <c r="S33" s="49"/>
      <c r="T33" s="49"/>
      <c r="U33" s="49"/>
      <c r="V33" s="49"/>
      <c r="W33" s="49"/>
      <c r="X33" s="49"/>
      <c r="Y33" s="49"/>
      <c r="Z33" s="49"/>
    </row>
    <row r="34" spans="1:26">
      <c r="A34" s="43"/>
      <c r="B34" s="43"/>
      <c r="C34" s="43"/>
      <c r="D34" s="43"/>
      <c r="E34" s="43"/>
      <c r="F34" s="43"/>
      <c r="G34" s="43"/>
      <c r="H34" s="43"/>
      <c r="I34" s="43"/>
      <c r="J34" s="43"/>
      <c r="K34" s="43"/>
      <c r="L34" s="43"/>
      <c r="M34" s="43"/>
      <c r="N34" s="43"/>
      <c r="O34" s="43"/>
      <c r="P34" s="43"/>
      <c r="Q34" s="43"/>
      <c r="R34" s="49"/>
      <c r="S34" s="49"/>
      <c r="T34" s="49"/>
      <c r="U34" s="49"/>
      <c r="V34" s="49"/>
      <c r="W34" s="49"/>
      <c r="X34" s="49"/>
      <c r="Y34" s="49"/>
      <c r="Z34" s="49"/>
    </row>
    <row r="35" spans="1:26">
      <c r="A35" s="43"/>
      <c r="B35" s="43"/>
      <c r="C35" s="43"/>
      <c r="D35" s="43"/>
      <c r="E35" s="43"/>
      <c r="F35" s="43"/>
      <c r="G35" s="43"/>
      <c r="H35" s="43"/>
      <c r="I35" s="43"/>
      <c r="J35" s="43"/>
      <c r="K35" s="43"/>
      <c r="L35" s="43"/>
      <c r="M35" s="43"/>
      <c r="N35" s="43"/>
      <c r="O35" s="43"/>
      <c r="P35" s="43"/>
      <c r="Q35" s="43"/>
      <c r="R35" s="49"/>
      <c r="S35" s="49"/>
      <c r="T35" s="49"/>
      <c r="U35" s="49"/>
      <c r="V35" s="49"/>
      <c r="W35" s="49"/>
      <c r="X35" s="49"/>
      <c r="Y35" s="49"/>
      <c r="Z35" s="49"/>
    </row>
    <row r="36" spans="1:26">
      <c r="A36" s="43"/>
      <c r="B36" s="43"/>
      <c r="C36" s="43"/>
      <c r="D36" s="43"/>
      <c r="E36" s="43"/>
      <c r="F36" s="43"/>
      <c r="G36" s="43"/>
      <c r="H36" s="43"/>
      <c r="I36" s="43"/>
      <c r="J36" s="43"/>
      <c r="K36" s="43"/>
      <c r="L36" s="43"/>
      <c r="M36" s="43"/>
      <c r="N36" s="43"/>
      <c r="O36" s="43"/>
      <c r="P36" s="43"/>
      <c r="Q36" s="43"/>
      <c r="R36" s="49"/>
      <c r="S36" s="49"/>
      <c r="T36" s="49"/>
      <c r="U36" s="49"/>
      <c r="V36" s="49"/>
      <c r="W36" s="49"/>
      <c r="X36" s="49"/>
      <c r="Y36" s="49"/>
      <c r="Z36" s="49"/>
    </row>
    <row r="37" spans="1:26">
      <c r="A37" s="43"/>
      <c r="B37" s="43"/>
      <c r="C37" s="43"/>
      <c r="D37" s="43"/>
      <c r="E37" s="43"/>
      <c r="F37" s="43"/>
      <c r="G37" s="43"/>
      <c r="H37" s="43"/>
      <c r="I37" s="43"/>
      <c r="J37" s="43"/>
      <c r="K37" s="43"/>
      <c r="L37" s="43"/>
      <c r="M37" s="43"/>
      <c r="N37" s="43"/>
      <c r="O37" s="43"/>
      <c r="P37" s="43"/>
      <c r="Q37" s="43"/>
      <c r="R37" s="49"/>
      <c r="S37" s="49"/>
      <c r="T37" s="49"/>
      <c r="U37" s="49"/>
      <c r="V37" s="49"/>
      <c r="W37" s="49"/>
      <c r="X37" s="49"/>
      <c r="Y37" s="49"/>
      <c r="Z37" s="49"/>
    </row>
    <row r="38" spans="1:26">
      <c r="A38" s="43"/>
      <c r="B38" s="43"/>
      <c r="C38" s="43"/>
      <c r="D38" s="43"/>
      <c r="E38" s="43"/>
      <c r="F38" s="43"/>
      <c r="G38" s="43"/>
      <c r="H38" s="43"/>
      <c r="I38" s="43"/>
      <c r="J38" s="43"/>
      <c r="K38" s="43"/>
      <c r="L38" s="43"/>
      <c r="M38" s="43"/>
      <c r="N38" s="43"/>
      <c r="O38" s="43"/>
      <c r="P38" s="43"/>
      <c r="Q38" s="43"/>
      <c r="R38" s="49"/>
      <c r="S38" s="49"/>
      <c r="T38" s="49"/>
      <c r="U38" s="49"/>
      <c r="V38" s="49"/>
      <c r="W38" s="49"/>
      <c r="X38" s="49"/>
      <c r="Y38" s="49"/>
      <c r="Z38" s="49"/>
    </row>
    <row r="39" spans="1:26">
      <c r="A39" s="43"/>
      <c r="B39" s="43"/>
      <c r="C39" s="43"/>
      <c r="D39" s="43"/>
      <c r="E39" s="43"/>
      <c r="F39" s="43"/>
      <c r="G39" s="43"/>
      <c r="H39" s="43"/>
      <c r="I39" s="43"/>
      <c r="J39" s="43"/>
      <c r="K39" s="43"/>
      <c r="L39" s="43"/>
      <c r="M39" s="43"/>
      <c r="N39" s="43"/>
      <c r="O39" s="43"/>
      <c r="P39" s="43"/>
      <c r="Q39" s="43"/>
      <c r="R39" s="49"/>
      <c r="S39" s="49"/>
      <c r="T39" s="49"/>
      <c r="U39" s="49"/>
      <c r="V39" s="49"/>
      <c r="W39" s="49"/>
      <c r="X39" s="49"/>
      <c r="Y39" s="49"/>
      <c r="Z39" s="49"/>
    </row>
    <row r="40" spans="1:26">
      <c r="A40" s="43"/>
      <c r="B40" s="43"/>
      <c r="C40" s="43"/>
      <c r="D40" s="43"/>
      <c r="E40" s="43"/>
      <c r="F40" s="43"/>
      <c r="G40" s="43"/>
      <c r="H40" s="43"/>
      <c r="I40" s="43"/>
      <c r="J40" s="43"/>
      <c r="K40" s="43"/>
      <c r="L40" s="43"/>
      <c r="M40" s="43"/>
      <c r="N40" s="43"/>
      <c r="O40" s="43"/>
      <c r="P40" s="43"/>
      <c r="Q40" s="43"/>
      <c r="R40" s="49"/>
      <c r="S40" s="49"/>
      <c r="T40" s="49"/>
      <c r="U40" s="49"/>
      <c r="V40" s="49"/>
      <c r="W40" s="49"/>
      <c r="X40" s="49"/>
      <c r="Y40" s="49"/>
      <c r="Z40" s="49"/>
    </row>
    <row r="41" spans="1:26">
      <c r="A41" s="43"/>
      <c r="B41" s="43"/>
      <c r="C41" s="43"/>
      <c r="D41" s="43"/>
      <c r="E41" s="43"/>
      <c r="F41" s="43"/>
      <c r="G41" s="43"/>
      <c r="H41" s="43"/>
      <c r="I41" s="43"/>
      <c r="J41" s="43"/>
      <c r="K41" s="43"/>
      <c r="L41" s="43"/>
      <c r="M41" s="43"/>
      <c r="N41" s="43"/>
      <c r="O41" s="43"/>
      <c r="P41" s="43"/>
      <c r="Q41" s="43"/>
      <c r="R41" s="49"/>
      <c r="S41" s="49"/>
      <c r="T41" s="49"/>
      <c r="U41" s="49"/>
      <c r="V41" s="49"/>
      <c r="W41" s="49"/>
      <c r="X41" s="49"/>
      <c r="Y41" s="49"/>
      <c r="Z41" s="49"/>
    </row>
    <row r="42" spans="1:26">
      <c r="A42" s="43"/>
      <c r="B42" s="43"/>
      <c r="C42" s="43"/>
      <c r="D42" s="43"/>
      <c r="E42" s="43"/>
      <c r="F42" s="43"/>
      <c r="G42" s="43"/>
      <c r="H42" s="43"/>
      <c r="I42" s="43"/>
      <c r="J42" s="43"/>
      <c r="K42" s="43"/>
      <c r="L42" s="43"/>
      <c r="M42" s="43"/>
      <c r="N42" s="43"/>
      <c r="O42" s="43"/>
      <c r="P42" s="43"/>
      <c r="Q42" s="43"/>
      <c r="R42" s="49"/>
      <c r="S42" s="49"/>
      <c r="T42" s="49"/>
      <c r="U42" s="49"/>
      <c r="V42" s="49"/>
      <c r="W42" s="49"/>
      <c r="X42" s="49"/>
      <c r="Y42" s="49"/>
      <c r="Z42" s="49"/>
    </row>
    <row r="43" spans="1:26">
      <c r="A43" s="43"/>
      <c r="B43" s="43"/>
      <c r="C43" s="43"/>
      <c r="D43" s="43"/>
      <c r="E43" s="43"/>
      <c r="F43" s="43"/>
      <c r="G43" s="43"/>
      <c r="H43" s="43"/>
      <c r="I43" s="43"/>
      <c r="J43" s="43"/>
      <c r="K43" s="43"/>
      <c r="L43" s="43"/>
      <c r="M43" s="43"/>
      <c r="N43" s="43"/>
      <c r="O43" s="43"/>
      <c r="P43" s="43"/>
      <c r="Q43" s="43"/>
      <c r="R43" s="49"/>
      <c r="S43" s="49"/>
      <c r="T43" s="49"/>
      <c r="U43" s="49"/>
      <c r="V43" s="49"/>
      <c r="W43" s="49"/>
      <c r="X43" s="49"/>
      <c r="Y43" s="49"/>
      <c r="Z43" s="49"/>
    </row>
    <row r="44" spans="1:26">
      <c r="A44" s="43"/>
      <c r="B44" s="43"/>
      <c r="C44" s="43"/>
      <c r="D44" s="43"/>
      <c r="E44" s="43"/>
      <c r="F44" s="43"/>
      <c r="G44" s="43"/>
      <c r="H44" s="43"/>
      <c r="I44" s="43"/>
      <c r="J44" s="43"/>
      <c r="K44" s="43"/>
      <c r="L44" s="43"/>
      <c r="M44" s="43"/>
      <c r="N44" s="43"/>
      <c r="O44" s="43"/>
      <c r="P44" s="43"/>
      <c r="Q44" s="43"/>
      <c r="R44" s="49"/>
      <c r="S44" s="49"/>
      <c r="T44" s="49"/>
      <c r="U44" s="49"/>
      <c r="V44" s="49"/>
      <c r="W44" s="49"/>
      <c r="X44" s="49"/>
      <c r="Y44" s="49"/>
      <c r="Z44" s="49"/>
    </row>
    <row r="45" spans="1:26">
      <c r="A45" s="43"/>
      <c r="B45" s="43"/>
      <c r="C45" s="43"/>
      <c r="D45" s="43"/>
      <c r="E45" s="43"/>
      <c r="F45" s="43"/>
      <c r="G45" s="43"/>
      <c r="H45" s="43"/>
      <c r="I45" s="43"/>
      <c r="J45" s="43"/>
      <c r="K45" s="43"/>
      <c r="L45" s="43"/>
      <c r="M45" s="43"/>
      <c r="N45" s="43"/>
      <c r="O45" s="43"/>
      <c r="P45" s="43"/>
      <c r="Q45" s="43"/>
      <c r="R45" s="49"/>
      <c r="S45" s="49"/>
      <c r="T45" s="49"/>
      <c r="U45" s="49"/>
      <c r="V45" s="49"/>
      <c r="W45" s="49"/>
      <c r="X45" s="49"/>
      <c r="Y45" s="49"/>
      <c r="Z45" s="49"/>
    </row>
    <row r="46" spans="1:26">
      <c r="A46" s="43"/>
      <c r="B46" s="43"/>
      <c r="C46" s="43"/>
      <c r="D46" s="43"/>
      <c r="E46" s="43"/>
      <c r="F46" s="43"/>
      <c r="G46" s="43"/>
      <c r="H46" s="43"/>
      <c r="I46" s="43"/>
      <c r="J46" s="43"/>
      <c r="K46" s="43"/>
      <c r="L46" s="43"/>
      <c r="M46" s="43"/>
      <c r="N46" s="43"/>
      <c r="O46" s="43"/>
      <c r="P46" s="43"/>
      <c r="Q46" s="43"/>
      <c r="R46" s="49"/>
      <c r="S46" s="49"/>
      <c r="T46" s="49"/>
      <c r="U46" s="49"/>
      <c r="V46" s="49"/>
      <c r="W46" s="49"/>
      <c r="X46" s="49"/>
      <c r="Y46" s="49"/>
      <c r="Z46" s="49"/>
    </row>
    <row r="47" spans="1:26">
      <c r="A47" s="43"/>
      <c r="B47" s="43"/>
      <c r="C47" s="43"/>
      <c r="D47" s="43"/>
      <c r="E47" s="43"/>
      <c r="F47" s="43"/>
      <c r="G47" s="43"/>
      <c r="H47" s="43"/>
      <c r="I47" s="43"/>
      <c r="J47" s="43"/>
      <c r="K47" s="43"/>
      <c r="L47" s="43"/>
      <c r="M47" s="43"/>
      <c r="N47" s="43"/>
      <c r="O47" s="43"/>
      <c r="P47" s="43"/>
      <c r="Q47" s="43"/>
      <c r="R47" s="49"/>
      <c r="S47" s="49"/>
      <c r="T47" s="49"/>
      <c r="U47" s="49"/>
      <c r="V47" s="49"/>
      <c r="W47" s="49"/>
      <c r="X47" s="49"/>
      <c r="Y47" s="49"/>
      <c r="Z47" s="49"/>
    </row>
    <row r="48" spans="1:26">
      <c r="A48" s="43"/>
      <c r="B48" s="43"/>
      <c r="C48" s="43"/>
      <c r="D48" s="43"/>
      <c r="E48" s="43"/>
      <c r="F48" s="43"/>
      <c r="G48" s="43"/>
      <c r="H48" s="43"/>
      <c r="I48" s="43"/>
      <c r="J48" s="43"/>
      <c r="K48" s="43"/>
      <c r="L48" s="43"/>
      <c r="M48" s="43"/>
      <c r="N48" s="43"/>
      <c r="O48" s="43"/>
      <c r="P48" s="43"/>
      <c r="Q48" s="43"/>
      <c r="R48" s="49"/>
      <c r="S48" s="49"/>
      <c r="T48" s="49"/>
      <c r="U48" s="49"/>
      <c r="V48" s="49"/>
      <c r="W48" s="49"/>
      <c r="X48" s="49"/>
      <c r="Y48" s="49"/>
      <c r="Z48" s="49"/>
    </row>
    <row r="49" spans="1:26">
      <c r="A49" s="43"/>
      <c r="B49" s="43"/>
      <c r="C49" s="43"/>
      <c r="D49" s="43"/>
      <c r="E49" s="43"/>
      <c r="F49" s="43"/>
      <c r="G49" s="43"/>
      <c r="H49" s="43"/>
      <c r="I49" s="43"/>
      <c r="J49" s="43"/>
      <c r="K49" s="43"/>
      <c r="L49" s="43"/>
      <c r="M49" s="43"/>
      <c r="N49" s="43"/>
      <c r="O49" s="43"/>
      <c r="P49" s="43"/>
      <c r="Q49" s="43"/>
      <c r="R49" s="49"/>
      <c r="S49" s="49"/>
      <c r="T49" s="49"/>
      <c r="U49" s="49"/>
      <c r="V49" s="49"/>
      <c r="W49" s="49"/>
      <c r="X49" s="49"/>
      <c r="Y49" s="49"/>
      <c r="Z49" s="49"/>
    </row>
    <row r="50" spans="1:26">
      <c r="A50" s="43"/>
      <c r="B50" s="43"/>
      <c r="C50" s="43"/>
      <c r="D50" s="43"/>
      <c r="E50" s="43"/>
      <c r="F50" s="43"/>
      <c r="G50" s="43"/>
      <c r="H50" s="43"/>
      <c r="I50" s="43"/>
      <c r="J50" s="43"/>
      <c r="K50" s="43"/>
      <c r="L50" s="43"/>
      <c r="M50" s="43"/>
      <c r="N50" s="43"/>
      <c r="O50" s="43"/>
      <c r="P50" s="43"/>
      <c r="Q50" s="43"/>
      <c r="R50" s="49"/>
      <c r="S50" s="49"/>
      <c r="T50" s="49"/>
      <c r="U50" s="49"/>
      <c r="V50" s="49"/>
      <c r="W50" s="49"/>
      <c r="X50" s="49"/>
      <c r="Y50" s="49"/>
      <c r="Z50" s="49"/>
    </row>
    <row r="51" spans="1:26">
      <c r="A51" s="43"/>
      <c r="B51" s="43"/>
      <c r="C51" s="43"/>
      <c r="D51" s="43"/>
      <c r="E51" s="43"/>
      <c r="F51" s="43"/>
      <c r="G51" s="43"/>
      <c r="H51" s="43"/>
      <c r="I51" s="43"/>
      <c r="J51" s="43"/>
      <c r="K51" s="43"/>
      <c r="L51" s="43"/>
      <c r="M51" s="43"/>
      <c r="N51" s="43"/>
      <c r="O51" s="43"/>
      <c r="P51" s="43"/>
      <c r="Q51" s="43"/>
      <c r="R51" s="49"/>
      <c r="S51" s="49"/>
      <c r="T51" s="49"/>
      <c r="U51" s="49"/>
      <c r="V51" s="49"/>
      <c r="W51" s="49"/>
      <c r="X51" s="49"/>
      <c r="Y51" s="49"/>
      <c r="Z51" s="49"/>
    </row>
    <row r="52" spans="1:26">
      <c r="A52" s="43"/>
      <c r="B52" s="43"/>
      <c r="C52" s="43"/>
      <c r="D52" s="43"/>
      <c r="E52" s="43"/>
      <c r="F52" s="43"/>
      <c r="G52" s="43"/>
      <c r="H52" s="43"/>
      <c r="I52" s="43"/>
      <c r="J52" s="43"/>
      <c r="K52" s="43"/>
      <c r="L52" s="43"/>
      <c r="M52" s="43"/>
      <c r="N52" s="43"/>
      <c r="O52" s="43"/>
      <c r="P52" s="43"/>
      <c r="Q52" s="43"/>
      <c r="R52" s="49"/>
      <c r="S52" s="49"/>
      <c r="T52" s="49"/>
      <c r="U52" s="49"/>
      <c r="V52" s="49"/>
      <c r="W52" s="49"/>
      <c r="X52" s="49"/>
      <c r="Y52" s="49"/>
      <c r="Z52" s="49"/>
    </row>
    <row r="53" spans="1:26">
      <c r="A53" s="43"/>
      <c r="B53" s="43"/>
      <c r="C53" s="43"/>
      <c r="D53" s="43"/>
      <c r="E53" s="43"/>
      <c r="F53" s="43"/>
      <c r="G53" s="43"/>
      <c r="H53" s="43"/>
      <c r="I53" s="43"/>
      <c r="J53" s="43"/>
      <c r="K53" s="43"/>
      <c r="L53" s="43"/>
      <c r="M53" s="43"/>
      <c r="N53" s="43"/>
      <c r="O53" s="43"/>
      <c r="P53" s="43"/>
      <c r="Q53" s="43"/>
      <c r="R53" s="49"/>
      <c r="S53" s="49"/>
      <c r="T53" s="49"/>
      <c r="U53" s="49"/>
      <c r="V53" s="49"/>
      <c r="W53" s="49"/>
      <c r="X53" s="49"/>
      <c r="Y53" s="49"/>
      <c r="Z53" s="49"/>
    </row>
    <row r="54" spans="1:26">
      <c r="A54" s="43"/>
      <c r="B54" s="43"/>
      <c r="C54" s="43"/>
      <c r="D54" s="43"/>
      <c r="E54" s="43"/>
      <c r="F54" s="43"/>
      <c r="G54" s="43"/>
      <c r="H54" s="43"/>
      <c r="I54" s="43"/>
      <c r="J54" s="43"/>
      <c r="K54" s="43"/>
      <c r="L54" s="43"/>
      <c r="M54" s="43"/>
      <c r="N54" s="43"/>
      <c r="O54" s="43"/>
      <c r="P54" s="43"/>
      <c r="Q54" s="43"/>
      <c r="R54" s="49"/>
      <c r="S54" s="49"/>
      <c r="T54" s="49"/>
      <c r="U54" s="49"/>
      <c r="V54" s="49"/>
      <c r="W54" s="49"/>
      <c r="X54" s="49"/>
      <c r="Y54" s="49"/>
      <c r="Z54" s="49"/>
    </row>
    <row r="55" spans="1:26">
      <c r="A55" s="43"/>
      <c r="B55" s="43"/>
      <c r="C55" s="43"/>
      <c r="D55" s="43"/>
      <c r="E55" s="43"/>
      <c r="F55" s="43"/>
      <c r="G55" s="43"/>
      <c r="H55" s="43"/>
      <c r="I55" s="43"/>
      <c r="J55" s="43"/>
      <c r="K55" s="43"/>
      <c r="L55" s="43"/>
      <c r="M55" s="43"/>
      <c r="N55" s="43"/>
      <c r="O55" s="43"/>
      <c r="P55" s="43"/>
      <c r="Q55" s="43"/>
      <c r="R55" s="49"/>
      <c r="S55" s="49"/>
      <c r="T55" s="49"/>
      <c r="U55" s="49"/>
      <c r="V55" s="49"/>
      <c r="W55" s="49"/>
      <c r="X55" s="49"/>
      <c r="Y55" s="49"/>
      <c r="Z55" s="49"/>
    </row>
    <row r="56" spans="1:26">
      <c r="A56" s="43"/>
      <c r="B56" s="43"/>
      <c r="C56" s="43"/>
      <c r="D56" s="43"/>
      <c r="E56" s="43"/>
      <c r="F56" s="43"/>
      <c r="G56" s="43"/>
      <c r="H56" s="43"/>
      <c r="I56" s="43"/>
      <c r="J56" s="43"/>
      <c r="K56" s="43"/>
      <c r="L56" s="43"/>
      <c r="M56" s="43"/>
      <c r="N56" s="43"/>
      <c r="O56" s="43"/>
      <c r="P56" s="43"/>
      <c r="Q56" s="43"/>
      <c r="R56" s="49"/>
      <c r="S56" s="49"/>
      <c r="T56" s="49"/>
      <c r="U56" s="49"/>
      <c r="V56" s="49"/>
      <c r="W56" s="49"/>
      <c r="X56" s="49"/>
      <c r="Y56" s="49"/>
      <c r="Z56" s="49"/>
    </row>
    <row r="57" spans="1:26">
      <c r="A57" s="43"/>
      <c r="B57" s="43"/>
      <c r="C57" s="43"/>
      <c r="D57" s="43"/>
      <c r="E57" s="43"/>
      <c r="F57" s="43"/>
      <c r="G57" s="43"/>
      <c r="H57" s="43"/>
      <c r="I57" s="43"/>
      <c r="J57" s="43"/>
      <c r="K57" s="43"/>
      <c r="L57" s="43"/>
      <c r="M57" s="43"/>
      <c r="N57" s="43"/>
      <c r="O57" s="43"/>
      <c r="P57" s="43"/>
      <c r="Q57" s="43"/>
      <c r="R57" s="49"/>
      <c r="S57" s="49"/>
      <c r="T57" s="49"/>
      <c r="U57" s="49"/>
      <c r="V57" s="49"/>
      <c r="W57" s="49"/>
      <c r="X57" s="49"/>
      <c r="Y57" s="49"/>
      <c r="Z57" s="49"/>
    </row>
    <row r="58" spans="1:26">
      <c r="A58" s="43"/>
      <c r="B58" s="43"/>
      <c r="C58" s="43"/>
      <c r="D58" s="43"/>
      <c r="E58" s="43"/>
      <c r="F58" s="43"/>
      <c r="G58" s="43"/>
      <c r="H58" s="43"/>
      <c r="I58" s="43"/>
      <c r="J58" s="43"/>
      <c r="K58" s="43"/>
      <c r="L58" s="43"/>
      <c r="M58" s="43"/>
      <c r="N58" s="43"/>
      <c r="O58" s="43"/>
      <c r="P58" s="43"/>
      <c r="Q58" s="43"/>
      <c r="R58" s="49"/>
      <c r="S58" s="49"/>
      <c r="T58" s="49"/>
      <c r="U58" s="49"/>
      <c r="V58" s="49"/>
      <c r="W58" s="49"/>
      <c r="X58" s="49"/>
      <c r="Y58" s="49"/>
      <c r="Z58" s="49"/>
    </row>
    <row r="59" spans="1:26">
      <c r="A59" s="43"/>
      <c r="B59" s="43"/>
      <c r="C59" s="43"/>
      <c r="D59" s="43"/>
      <c r="E59" s="43"/>
      <c r="F59" s="43"/>
      <c r="G59" s="43"/>
      <c r="H59" s="43"/>
      <c r="I59" s="43"/>
      <c r="J59" s="43"/>
      <c r="K59" s="43"/>
      <c r="L59" s="43"/>
      <c r="M59" s="43"/>
      <c r="N59" s="43"/>
      <c r="O59" s="43"/>
      <c r="P59" s="43"/>
      <c r="Q59" s="43"/>
      <c r="R59" s="49"/>
      <c r="S59" s="49"/>
      <c r="T59" s="49"/>
      <c r="U59" s="49"/>
      <c r="V59" s="49"/>
      <c r="W59" s="49"/>
      <c r="X59" s="49"/>
      <c r="Y59" s="49"/>
      <c r="Z59" s="49"/>
    </row>
    <row r="60" spans="1:26">
      <c r="A60" s="43"/>
      <c r="B60" s="43"/>
      <c r="C60" s="43"/>
      <c r="D60" s="43"/>
      <c r="E60" s="43"/>
      <c r="F60" s="43"/>
      <c r="G60" s="43"/>
      <c r="H60" s="43"/>
      <c r="I60" s="43"/>
      <c r="J60" s="43"/>
      <c r="K60" s="43"/>
      <c r="L60" s="43"/>
      <c r="M60" s="43"/>
      <c r="N60" s="43"/>
      <c r="O60" s="43"/>
      <c r="P60" s="43"/>
      <c r="Q60" s="43"/>
      <c r="R60" s="49"/>
      <c r="S60" s="49"/>
      <c r="T60" s="49"/>
      <c r="U60" s="49"/>
      <c r="V60" s="49"/>
      <c r="W60" s="49"/>
      <c r="X60" s="49"/>
      <c r="Y60" s="49"/>
      <c r="Z60" s="49"/>
    </row>
    <row r="61" spans="1:26">
      <c r="A61" s="43"/>
      <c r="B61" s="43"/>
      <c r="C61" s="43"/>
      <c r="D61" s="43"/>
      <c r="E61" s="43"/>
      <c r="F61" s="43"/>
      <c r="G61" s="43"/>
      <c r="H61" s="43"/>
      <c r="I61" s="43"/>
      <c r="J61" s="43"/>
      <c r="K61" s="43"/>
      <c r="L61" s="43"/>
      <c r="M61" s="43"/>
      <c r="N61" s="43"/>
      <c r="O61" s="43"/>
      <c r="P61" s="43"/>
      <c r="Q61" s="43"/>
      <c r="R61" s="49"/>
      <c r="S61" s="49"/>
      <c r="T61" s="49"/>
      <c r="U61" s="49"/>
      <c r="V61" s="49"/>
      <c r="W61" s="49"/>
      <c r="X61" s="49"/>
      <c r="Y61" s="49"/>
      <c r="Z61" s="49"/>
    </row>
    <row r="62" spans="1:26">
      <c r="A62" s="43"/>
      <c r="B62" s="43"/>
      <c r="C62" s="43"/>
      <c r="D62" s="43"/>
      <c r="E62" s="43"/>
      <c r="F62" s="43"/>
      <c r="G62" s="43"/>
      <c r="H62" s="43"/>
      <c r="I62" s="43"/>
      <c r="J62" s="43"/>
      <c r="K62" s="43"/>
      <c r="L62" s="43"/>
      <c r="M62" s="43"/>
      <c r="N62" s="43"/>
      <c r="O62" s="43"/>
      <c r="P62" s="43"/>
      <c r="Q62" s="43"/>
      <c r="R62" s="49"/>
      <c r="S62" s="49"/>
      <c r="T62" s="49"/>
      <c r="U62" s="49"/>
      <c r="V62" s="49"/>
      <c r="W62" s="49"/>
      <c r="X62" s="49"/>
      <c r="Y62" s="49"/>
      <c r="Z62" s="49"/>
    </row>
    <row r="63" spans="1:26">
      <c r="A63" s="43"/>
      <c r="B63" s="43"/>
      <c r="C63" s="43"/>
      <c r="D63" s="43"/>
      <c r="E63" s="43"/>
      <c r="F63" s="43"/>
      <c r="G63" s="43"/>
      <c r="H63" s="43"/>
      <c r="I63" s="43"/>
      <c r="J63" s="43"/>
      <c r="K63" s="43"/>
      <c r="L63" s="43"/>
      <c r="M63" s="43"/>
      <c r="N63" s="43"/>
      <c r="O63" s="43"/>
      <c r="P63" s="43"/>
      <c r="Q63" s="43"/>
      <c r="R63" s="49"/>
      <c r="S63" s="49"/>
      <c r="T63" s="49"/>
      <c r="U63" s="49"/>
      <c r="V63" s="49"/>
      <c r="W63" s="49"/>
      <c r="X63" s="49"/>
      <c r="Y63" s="49"/>
      <c r="Z63" s="49"/>
    </row>
    <row r="64" spans="1:26">
      <c r="A64" s="43"/>
      <c r="B64" s="43"/>
      <c r="C64" s="43"/>
      <c r="D64" s="43"/>
      <c r="E64" s="43"/>
      <c r="F64" s="43"/>
      <c r="G64" s="43"/>
      <c r="H64" s="43"/>
      <c r="I64" s="43"/>
      <c r="J64" s="43"/>
      <c r="K64" s="43"/>
      <c r="L64" s="43"/>
      <c r="M64" s="43"/>
      <c r="N64" s="43"/>
      <c r="O64" s="43"/>
      <c r="P64" s="43"/>
      <c r="Q64" s="43"/>
      <c r="R64" s="49"/>
      <c r="S64" s="49"/>
      <c r="T64" s="49"/>
      <c r="U64" s="49"/>
      <c r="V64" s="49"/>
      <c r="W64" s="49"/>
      <c r="X64" s="49"/>
      <c r="Y64" s="49"/>
      <c r="Z64" s="49"/>
    </row>
    <row r="65" spans="1:26">
      <c r="A65" s="43"/>
      <c r="B65" s="43"/>
      <c r="C65" s="43"/>
      <c r="D65" s="43"/>
      <c r="E65" s="43"/>
      <c r="F65" s="43"/>
      <c r="G65" s="43"/>
      <c r="H65" s="43"/>
      <c r="I65" s="43"/>
      <c r="J65" s="43"/>
      <c r="K65" s="43"/>
      <c r="L65" s="43"/>
      <c r="M65" s="43"/>
      <c r="N65" s="43"/>
      <c r="O65" s="43"/>
      <c r="P65" s="43"/>
      <c r="Q65" s="43"/>
      <c r="R65" s="49"/>
      <c r="S65" s="49"/>
      <c r="T65" s="49"/>
      <c r="U65" s="49"/>
      <c r="V65" s="49"/>
      <c r="W65" s="49"/>
      <c r="X65" s="49"/>
      <c r="Y65" s="49"/>
      <c r="Z65" s="49"/>
    </row>
    <row r="66" spans="1:26">
      <c r="A66" s="43"/>
      <c r="B66" s="43"/>
      <c r="C66" s="43"/>
      <c r="D66" s="43"/>
      <c r="E66" s="43"/>
      <c r="F66" s="43"/>
      <c r="G66" s="43"/>
      <c r="H66" s="43"/>
      <c r="I66" s="43"/>
      <c r="J66" s="43"/>
      <c r="K66" s="43"/>
      <c r="L66" s="43"/>
      <c r="M66" s="43"/>
      <c r="N66" s="43"/>
      <c r="O66" s="43"/>
      <c r="P66" s="43"/>
      <c r="Q66" s="43"/>
      <c r="R66" s="49"/>
      <c r="S66" s="49"/>
      <c r="T66" s="49"/>
      <c r="U66" s="49"/>
      <c r="V66" s="49"/>
      <c r="W66" s="49"/>
      <c r="X66" s="49"/>
      <c r="Y66" s="49"/>
      <c r="Z66" s="49"/>
    </row>
    <row r="67" spans="1:26">
      <c r="A67" s="43"/>
      <c r="B67" s="43"/>
      <c r="C67" s="43"/>
      <c r="D67" s="43"/>
      <c r="E67" s="43"/>
      <c r="F67" s="43"/>
      <c r="G67" s="43"/>
      <c r="H67" s="43"/>
      <c r="I67" s="43"/>
      <c r="J67" s="43"/>
      <c r="K67" s="43"/>
      <c r="L67" s="43"/>
      <c r="M67" s="43"/>
      <c r="N67" s="43"/>
      <c r="O67" s="43"/>
      <c r="P67" s="43"/>
      <c r="Q67" s="43"/>
      <c r="R67" s="49"/>
      <c r="S67" s="49"/>
      <c r="T67" s="49"/>
      <c r="U67" s="49"/>
      <c r="V67" s="49"/>
      <c r="W67" s="49"/>
      <c r="X67" s="49"/>
      <c r="Y67" s="49"/>
      <c r="Z67" s="49"/>
    </row>
    <row r="68" spans="1:26">
      <c r="A68" s="43"/>
      <c r="B68" s="43"/>
      <c r="C68" s="43"/>
      <c r="D68" s="43"/>
      <c r="E68" s="43"/>
      <c r="F68" s="43"/>
      <c r="G68" s="43"/>
      <c r="H68" s="43"/>
      <c r="I68" s="43"/>
      <c r="J68" s="43"/>
      <c r="K68" s="43"/>
      <c r="L68" s="43"/>
      <c r="M68" s="43"/>
      <c r="N68" s="43"/>
      <c r="O68" s="43"/>
      <c r="P68" s="43"/>
      <c r="Q68" s="43"/>
      <c r="R68" s="49"/>
      <c r="S68" s="49"/>
      <c r="T68" s="49"/>
      <c r="U68" s="49"/>
      <c r="V68" s="49"/>
      <c r="W68" s="49"/>
      <c r="X68" s="49"/>
      <c r="Y68" s="49"/>
      <c r="Z68" s="49"/>
    </row>
    <row r="69" spans="1:26">
      <c r="A69" s="43"/>
      <c r="B69" s="43"/>
      <c r="C69" s="43"/>
      <c r="D69" s="43"/>
      <c r="E69" s="43"/>
      <c r="F69" s="43"/>
      <c r="G69" s="43"/>
      <c r="H69" s="43"/>
      <c r="I69" s="43"/>
      <c r="J69" s="43"/>
      <c r="K69" s="43"/>
      <c r="L69" s="43"/>
      <c r="M69" s="43"/>
      <c r="N69" s="43"/>
      <c r="O69" s="43"/>
      <c r="P69" s="43"/>
      <c r="Q69" s="43"/>
      <c r="R69" s="49"/>
      <c r="S69" s="49"/>
      <c r="T69" s="49"/>
      <c r="U69" s="49"/>
      <c r="V69" s="49"/>
      <c r="W69" s="49"/>
      <c r="X69" s="49"/>
      <c r="Y69" s="49"/>
      <c r="Z69" s="49"/>
    </row>
    <row r="70" spans="1:26">
      <c r="A70" s="43"/>
      <c r="B70" s="43"/>
      <c r="C70" s="43"/>
      <c r="D70" s="43"/>
      <c r="E70" s="43"/>
      <c r="F70" s="43"/>
      <c r="G70" s="43"/>
      <c r="H70" s="43"/>
      <c r="I70" s="43"/>
      <c r="J70" s="43"/>
      <c r="K70" s="43"/>
      <c r="L70" s="43"/>
      <c r="M70" s="43"/>
      <c r="N70" s="43"/>
      <c r="O70" s="43"/>
      <c r="P70" s="43"/>
      <c r="Q70" s="43"/>
      <c r="R70" s="49"/>
      <c r="S70" s="49"/>
      <c r="T70" s="49"/>
      <c r="U70" s="49"/>
      <c r="V70" s="49"/>
      <c r="W70" s="49"/>
      <c r="X70" s="49"/>
      <c r="Y70" s="49"/>
      <c r="Z70" s="49"/>
    </row>
    <row r="71" spans="1:26">
      <c r="A71" s="43"/>
      <c r="B71" s="43"/>
      <c r="C71" s="43"/>
      <c r="D71" s="43"/>
      <c r="E71" s="43"/>
      <c r="F71" s="43"/>
      <c r="G71" s="43"/>
      <c r="H71" s="43"/>
      <c r="I71" s="43"/>
      <c r="J71" s="43"/>
      <c r="K71" s="43"/>
      <c r="L71" s="43"/>
      <c r="M71" s="43"/>
      <c r="N71" s="43"/>
      <c r="O71" s="43"/>
      <c r="P71" s="43"/>
      <c r="Q71" s="43"/>
      <c r="R71" s="49"/>
      <c r="S71" s="49"/>
      <c r="T71" s="49"/>
      <c r="U71" s="49"/>
      <c r="V71" s="49"/>
      <c r="W71" s="49"/>
      <c r="X71" s="49"/>
      <c r="Y71" s="49"/>
      <c r="Z71" s="49"/>
    </row>
    <row r="72" spans="1:26">
      <c r="A72" s="43"/>
      <c r="B72" s="43"/>
      <c r="C72" s="43"/>
      <c r="D72" s="43"/>
      <c r="E72" s="43"/>
      <c r="F72" s="43"/>
      <c r="G72" s="43"/>
      <c r="H72" s="43"/>
      <c r="I72" s="43"/>
      <c r="J72" s="43"/>
      <c r="K72" s="43"/>
      <c r="L72" s="43"/>
      <c r="M72" s="43"/>
      <c r="N72" s="43"/>
      <c r="O72" s="43"/>
      <c r="P72" s="43"/>
      <c r="Q72" s="43"/>
      <c r="R72" s="49"/>
      <c r="S72" s="49"/>
      <c r="T72" s="49"/>
      <c r="U72" s="49"/>
      <c r="V72" s="49"/>
      <c r="W72" s="49"/>
      <c r="X72" s="49"/>
      <c r="Y72" s="49"/>
      <c r="Z72" s="49"/>
    </row>
    <row r="73" spans="1:26">
      <c r="A73" s="43"/>
      <c r="B73" s="43"/>
      <c r="C73" s="43"/>
      <c r="D73" s="43"/>
      <c r="E73" s="43"/>
      <c r="F73" s="43"/>
      <c r="G73" s="43"/>
      <c r="H73" s="43"/>
      <c r="I73" s="43"/>
      <c r="J73" s="43"/>
      <c r="K73" s="43"/>
      <c r="L73" s="43"/>
      <c r="M73" s="43"/>
      <c r="N73" s="43"/>
      <c r="O73" s="43"/>
      <c r="P73" s="43"/>
      <c r="Q73" s="43"/>
      <c r="R73" s="49"/>
      <c r="S73" s="49"/>
      <c r="T73" s="49"/>
      <c r="U73" s="49"/>
      <c r="V73" s="49"/>
      <c r="W73" s="49"/>
      <c r="X73" s="49"/>
      <c r="Y73" s="49"/>
      <c r="Z73" s="49"/>
    </row>
    <row r="74" spans="1:26">
      <c r="A74" s="43"/>
      <c r="B74" s="43"/>
      <c r="C74" s="43"/>
      <c r="D74" s="43"/>
      <c r="E74" s="43"/>
      <c r="F74" s="43"/>
      <c r="G74" s="43"/>
      <c r="H74" s="43"/>
      <c r="I74" s="43"/>
      <c r="J74" s="43"/>
      <c r="K74" s="43"/>
      <c r="L74" s="43"/>
      <c r="M74" s="43"/>
      <c r="N74" s="43"/>
      <c r="O74" s="43"/>
      <c r="P74" s="43"/>
      <c r="Q74" s="43"/>
      <c r="R74" s="49"/>
      <c r="S74" s="49"/>
      <c r="T74" s="49"/>
      <c r="U74" s="49"/>
      <c r="V74" s="49"/>
      <c r="W74" s="49"/>
      <c r="X74" s="49"/>
      <c r="Y74" s="49"/>
      <c r="Z74" s="49"/>
    </row>
    <row r="75" spans="1:26">
      <c r="A75" s="43"/>
      <c r="B75" s="43"/>
      <c r="C75" s="43"/>
      <c r="D75" s="43"/>
      <c r="E75" s="43"/>
      <c r="F75" s="43"/>
      <c r="G75" s="43"/>
      <c r="H75" s="43"/>
      <c r="I75" s="43"/>
      <c r="J75" s="43"/>
      <c r="K75" s="43"/>
      <c r="L75" s="43"/>
      <c r="M75" s="43"/>
      <c r="N75" s="43"/>
      <c r="O75" s="43"/>
      <c r="P75" s="43"/>
      <c r="Q75" s="43"/>
      <c r="R75" s="49"/>
      <c r="S75" s="49"/>
      <c r="T75" s="49"/>
      <c r="U75" s="49"/>
      <c r="V75" s="49"/>
      <c r="W75" s="49"/>
      <c r="X75" s="49"/>
      <c r="Y75" s="49"/>
      <c r="Z75" s="49"/>
    </row>
    <row r="76" spans="1:26">
      <c r="A76" s="43"/>
      <c r="B76" s="43"/>
      <c r="C76" s="43"/>
      <c r="D76" s="43"/>
      <c r="E76" s="43"/>
      <c r="F76" s="43"/>
      <c r="G76" s="43"/>
      <c r="H76" s="43"/>
      <c r="I76" s="43"/>
      <c r="J76" s="43"/>
      <c r="K76" s="43"/>
      <c r="L76" s="43"/>
      <c r="M76" s="43"/>
      <c r="N76" s="43"/>
      <c r="O76" s="43"/>
      <c r="P76" s="43"/>
      <c r="Q76" s="43"/>
      <c r="R76" s="49"/>
      <c r="S76" s="49"/>
      <c r="T76" s="49"/>
      <c r="U76" s="49"/>
      <c r="V76" s="49"/>
      <c r="W76" s="49"/>
      <c r="X76" s="49"/>
      <c r="Y76" s="49"/>
      <c r="Z76" s="49"/>
    </row>
    <row r="77" spans="1:26">
      <c r="A77" s="43"/>
      <c r="B77" s="43"/>
      <c r="C77" s="43"/>
      <c r="D77" s="43"/>
      <c r="E77" s="43"/>
      <c r="F77" s="43"/>
      <c r="G77" s="43"/>
      <c r="H77" s="43"/>
      <c r="I77" s="43"/>
      <c r="J77" s="43"/>
      <c r="K77" s="43"/>
      <c r="L77" s="43"/>
      <c r="M77" s="43"/>
      <c r="N77" s="43"/>
      <c r="O77" s="43"/>
      <c r="P77" s="43"/>
      <c r="Q77" s="43"/>
      <c r="R77" s="49"/>
      <c r="S77" s="49"/>
      <c r="T77" s="49"/>
      <c r="U77" s="49"/>
      <c r="V77" s="49"/>
      <c r="W77" s="49"/>
      <c r="X77" s="49"/>
      <c r="Y77" s="49"/>
      <c r="Z77" s="49"/>
    </row>
    <row r="78" spans="1:26">
      <c r="A78" s="43"/>
      <c r="B78" s="43"/>
      <c r="C78" s="43"/>
      <c r="D78" s="43"/>
      <c r="E78" s="43"/>
      <c r="F78" s="43"/>
      <c r="G78" s="43"/>
      <c r="H78" s="43"/>
      <c r="I78" s="43"/>
      <c r="J78" s="43"/>
      <c r="K78" s="43"/>
      <c r="L78" s="43"/>
      <c r="M78" s="43"/>
      <c r="N78" s="43"/>
      <c r="O78" s="43"/>
      <c r="P78" s="43"/>
      <c r="Q78" s="43"/>
      <c r="R78" s="49"/>
      <c r="S78" s="49"/>
      <c r="T78" s="49"/>
      <c r="U78" s="49"/>
      <c r="V78" s="49"/>
      <c r="W78" s="49"/>
      <c r="X78" s="49"/>
      <c r="Y78" s="49"/>
      <c r="Z78" s="49"/>
    </row>
    <row r="79" spans="1:26">
      <c r="A79" s="43"/>
      <c r="B79" s="43"/>
      <c r="C79" s="43"/>
      <c r="D79" s="43"/>
      <c r="E79" s="43"/>
      <c r="F79" s="43"/>
      <c r="G79" s="43"/>
      <c r="H79" s="43"/>
      <c r="I79" s="43"/>
      <c r="J79" s="43"/>
      <c r="K79" s="43"/>
      <c r="L79" s="43"/>
      <c r="M79" s="43"/>
      <c r="N79" s="43"/>
      <c r="O79" s="43"/>
      <c r="P79" s="43"/>
      <c r="Q79" s="43"/>
      <c r="R79" s="49"/>
      <c r="S79" s="49"/>
      <c r="T79" s="49"/>
      <c r="U79" s="49"/>
      <c r="V79" s="49"/>
      <c r="W79" s="49"/>
      <c r="X79" s="49"/>
      <c r="Y79" s="49"/>
      <c r="Z79" s="49"/>
    </row>
    <row r="80" spans="1:26">
      <c r="A80" s="43"/>
      <c r="B80" s="43"/>
      <c r="C80" s="43"/>
      <c r="D80" s="43"/>
      <c r="E80" s="43"/>
      <c r="F80" s="43"/>
      <c r="G80" s="43"/>
      <c r="H80" s="43"/>
      <c r="I80" s="43"/>
      <c r="J80" s="43"/>
      <c r="K80" s="43"/>
      <c r="L80" s="43"/>
      <c r="M80" s="43"/>
      <c r="N80" s="43"/>
      <c r="O80" s="43"/>
      <c r="P80" s="43"/>
      <c r="Q80" s="43"/>
      <c r="R80" s="49"/>
      <c r="S80" s="49"/>
      <c r="T80" s="49"/>
      <c r="U80" s="49"/>
      <c r="V80" s="49"/>
      <c r="W80" s="49"/>
      <c r="X80" s="49"/>
      <c r="Y80" s="49"/>
      <c r="Z80" s="49"/>
    </row>
    <row r="81" spans="1:26">
      <c r="A81" s="43"/>
      <c r="B81" s="43"/>
      <c r="C81" s="43"/>
      <c r="D81" s="43"/>
      <c r="E81" s="43"/>
      <c r="F81" s="43"/>
      <c r="G81" s="43"/>
      <c r="H81" s="43"/>
      <c r="I81" s="43"/>
      <c r="J81" s="43"/>
      <c r="K81" s="43"/>
      <c r="L81" s="43"/>
      <c r="M81" s="43"/>
      <c r="N81" s="43"/>
      <c r="O81" s="43"/>
      <c r="P81" s="43"/>
      <c r="Q81" s="43"/>
      <c r="R81" s="49"/>
      <c r="S81" s="49"/>
      <c r="T81" s="49"/>
      <c r="U81" s="49"/>
      <c r="V81" s="49"/>
      <c r="W81" s="49"/>
      <c r="X81" s="49"/>
      <c r="Y81" s="49"/>
      <c r="Z81" s="49"/>
    </row>
    <row r="82" spans="1:26">
      <c r="A82" s="43"/>
      <c r="B82" s="43"/>
      <c r="C82" s="43"/>
      <c r="D82" s="43"/>
      <c r="E82" s="43"/>
      <c r="F82" s="43"/>
      <c r="G82" s="43"/>
      <c r="H82" s="43"/>
      <c r="I82" s="43"/>
      <c r="J82" s="43"/>
      <c r="K82" s="43"/>
      <c r="L82" s="43"/>
      <c r="M82" s="43"/>
      <c r="N82" s="43"/>
      <c r="O82" s="43"/>
      <c r="P82" s="43"/>
      <c r="Q82" s="43"/>
      <c r="R82" s="49"/>
      <c r="S82" s="49"/>
      <c r="T82" s="49"/>
      <c r="U82" s="49"/>
      <c r="V82" s="49"/>
      <c r="W82" s="49"/>
      <c r="X82" s="49"/>
      <c r="Y82" s="49"/>
      <c r="Z82" s="49"/>
    </row>
    <row r="83" spans="1:26">
      <c r="A83" s="43"/>
      <c r="B83" s="43"/>
      <c r="C83" s="43"/>
      <c r="D83" s="43"/>
      <c r="E83" s="43"/>
      <c r="F83" s="43"/>
      <c r="G83" s="43"/>
      <c r="H83" s="43"/>
      <c r="I83" s="43"/>
      <c r="J83" s="43"/>
      <c r="K83" s="43"/>
      <c r="L83" s="43"/>
      <c r="M83" s="43"/>
      <c r="N83" s="43"/>
      <c r="O83" s="43"/>
      <c r="P83" s="43"/>
      <c r="Q83" s="43"/>
      <c r="R83" s="49"/>
      <c r="S83" s="49"/>
      <c r="T83" s="49"/>
      <c r="U83" s="49"/>
      <c r="V83" s="49"/>
      <c r="W83" s="49"/>
      <c r="X83" s="49"/>
      <c r="Y83" s="49"/>
      <c r="Z83" s="49"/>
    </row>
    <row r="84" spans="1:26">
      <c r="A84" s="43"/>
      <c r="B84" s="43"/>
      <c r="C84" s="43"/>
      <c r="D84" s="43"/>
      <c r="E84" s="43"/>
      <c r="F84" s="43"/>
      <c r="G84" s="43"/>
      <c r="H84" s="43"/>
      <c r="I84" s="43"/>
      <c r="J84" s="43"/>
      <c r="K84" s="43"/>
      <c r="L84" s="43"/>
      <c r="M84" s="43"/>
      <c r="N84" s="43"/>
      <c r="O84" s="43"/>
      <c r="P84" s="43"/>
      <c r="Q84" s="43"/>
      <c r="R84" s="49"/>
      <c r="S84" s="49"/>
      <c r="T84" s="49"/>
      <c r="U84" s="49"/>
      <c r="V84" s="49"/>
      <c r="W84" s="49"/>
      <c r="X84" s="49"/>
      <c r="Y84" s="49"/>
      <c r="Z84" s="49"/>
    </row>
    <row r="85" spans="1:26">
      <c r="A85" s="43"/>
      <c r="B85" s="43"/>
      <c r="C85" s="43"/>
      <c r="D85" s="43"/>
      <c r="E85" s="43"/>
      <c r="F85" s="43"/>
      <c r="G85" s="43"/>
      <c r="H85" s="43"/>
      <c r="I85" s="43"/>
      <c r="J85" s="43"/>
      <c r="K85" s="43"/>
      <c r="L85" s="43"/>
      <c r="M85" s="43"/>
      <c r="N85" s="43"/>
      <c r="O85" s="43"/>
      <c r="P85" s="43"/>
      <c r="Q85" s="43"/>
      <c r="R85" s="49"/>
      <c r="S85" s="49"/>
      <c r="T85" s="49"/>
      <c r="U85" s="49"/>
      <c r="V85" s="49"/>
      <c r="W85" s="49"/>
      <c r="X85" s="49"/>
      <c r="Y85" s="49"/>
      <c r="Z85" s="49"/>
    </row>
    <row r="86" spans="1:26">
      <c r="A86" s="43"/>
      <c r="B86" s="43"/>
      <c r="C86" s="43"/>
      <c r="D86" s="43"/>
      <c r="E86" s="43"/>
      <c r="F86" s="43"/>
      <c r="G86" s="43"/>
      <c r="H86" s="43"/>
      <c r="I86" s="43"/>
      <c r="J86" s="43"/>
      <c r="K86" s="43"/>
      <c r="L86" s="43"/>
      <c r="M86" s="43"/>
      <c r="N86" s="43"/>
      <c r="O86" s="43"/>
      <c r="P86" s="43"/>
      <c r="Q86" s="43"/>
      <c r="R86" s="49"/>
      <c r="S86" s="49"/>
      <c r="T86" s="49"/>
      <c r="U86" s="49"/>
      <c r="V86" s="49"/>
      <c r="W86" s="49"/>
      <c r="X86" s="49"/>
      <c r="Y86" s="49"/>
      <c r="Z86" s="49"/>
    </row>
    <row r="87" spans="1:26">
      <c r="A87" s="43"/>
      <c r="B87" s="43"/>
      <c r="C87" s="43"/>
      <c r="D87" s="43"/>
      <c r="E87" s="43"/>
      <c r="F87" s="43"/>
      <c r="G87" s="43"/>
      <c r="H87" s="43"/>
      <c r="I87" s="43"/>
      <c r="J87" s="43"/>
      <c r="K87" s="43"/>
      <c r="L87" s="43"/>
      <c r="M87" s="43"/>
      <c r="N87" s="43"/>
      <c r="O87" s="43"/>
      <c r="P87" s="43"/>
      <c r="Q87" s="43"/>
      <c r="R87" s="49"/>
      <c r="S87" s="49"/>
      <c r="T87" s="49"/>
      <c r="U87" s="49"/>
      <c r="V87" s="49"/>
      <c r="W87" s="49"/>
      <c r="X87" s="49"/>
      <c r="Y87" s="49"/>
      <c r="Z87" s="49"/>
    </row>
    <row r="88" spans="1:26">
      <c r="A88" s="43"/>
      <c r="B88" s="43"/>
      <c r="C88" s="43"/>
      <c r="D88" s="43"/>
      <c r="E88" s="43"/>
      <c r="F88" s="43"/>
      <c r="G88" s="43"/>
      <c r="H88" s="43"/>
      <c r="I88" s="43"/>
      <c r="J88" s="43"/>
      <c r="K88" s="43"/>
      <c r="L88" s="43"/>
      <c r="M88" s="43"/>
      <c r="N88" s="43"/>
      <c r="O88" s="43"/>
      <c r="P88" s="43"/>
      <c r="Q88" s="43"/>
      <c r="R88" s="49"/>
      <c r="S88" s="49"/>
      <c r="T88" s="49"/>
      <c r="U88" s="49"/>
      <c r="V88" s="49"/>
      <c r="W88" s="49"/>
      <c r="X88" s="49"/>
      <c r="Y88" s="49"/>
      <c r="Z88" s="49"/>
    </row>
    <row r="89" spans="1:26">
      <c r="A89" s="43"/>
      <c r="B89" s="43"/>
      <c r="C89" s="43"/>
      <c r="D89" s="43"/>
      <c r="E89" s="43"/>
      <c r="F89" s="43"/>
      <c r="G89" s="43"/>
      <c r="H89" s="43"/>
      <c r="I89" s="43"/>
      <c r="J89" s="43"/>
      <c r="K89" s="43"/>
      <c r="L89" s="43"/>
      <c r="M89" s="43"/>
      <c r="N89" s="43"/>
      <c r="O89" s="43"/>
      <c r="P89" s="43"/>
      <c r="Q89" s="43"/>
      <c r="R89" s="49"/>
      <c r="S89" s="49"/>
      <c r="T89" s="49"/>
      <c r="U89" s="49"/>
      <c r="V89" s="49"/>
      <c r="W89" s="49"/>
      <c r="X89" s="49"/>
      <c r="Y89" s="49"/>
      <c r="Z89" s="49"/>
    </row>
    <row r="90" spans="1:26">
      <c r="A90" s="43"/>
      <c r="B90" s="43"/>
      <c r="C90" s="43"/>
      <c r="D90" s="43"/>
      <c r="E90" s="43"/>
      <c r="F90" s="43"/>
      <c r="G90" s="43"/>
      <c r="H90" s="43"/>
      <c r="I90" s="43"/>
      <c r="J90" s="43"/>
      <c r="K90" s="43"/>
      <c r="L90" s="43"/>
      <c r="M90" s="43"/>
      <c r="N90" s="43"/>
      <c r="O90" s="43"/>
      <c r="P90" s="43"/>
      <c r="Q90" s="43"/>
      <c r="R90" s="49"/>
      <c r="S90" s="49"/>
      <c r="T90" s="49"/>
      <c r="U90" s="49"/>
      <c r="V90" s="49"/>
      <c r="W90" s="49"/>
      <c r="X90" s="49"/>
      <c r="Y90" s="49"/>
      <c r="Z90" s="49"/>
    </row>
    <row r="91" spans="1:26">
      <c r="A91" s="43"/>
      <c r="B91" s="43"/>
      <c r="C91" s="43"/>
      <c r="D91" s="43"/>
      <c r="E91" s="43"/>
      <c r="F91" s="43"/>
      <c r="G91" s="43"/>
      <c r="H91" s="43"/>
      <c r="I91" s="43"/>
      <c r="J91" s="43"/>
      <c r="K91" s="43"/>
      <c r="L91" s="43"/>
      <c r="M91" s="43"/>
      <c r="N91" s="43"/>
      <c r="O91" s="43"/>
      <c r="P91" s="43"/>
      <c r="Q91" s="43"/>
      <c r="R91" s="49"/>
      <c r="S91" s="49"/>
      <c r="T91" s="49"/>
      <c r="U91" s="49"/>
      <c r="V91" s="49"/>
      <c r="W91" s="49"/>
      <c r="X91" s="49"/>
      <c r="Y91" s="49"/>
      <c r="Z91" s="49"/>
    </row>
    <row r="92" spans="1:26">
      <c r="A92" s="43"/>
      <c r="B92" s="43"/>
      <c r="C92" s="43"/>
      <c r="D92" s="43"/>
      <c r="E92" s="43"/>
      <c r="F92" s="43"/>
      <c r="G92" s="43"/>
      <c r="H92" s="43"/>
      <c r="I92" s="43"/>
      <c r="J92" s="43"/>
      <c r="K92" s="43"/>
      <c r="L92" s="43"/>
      <c r="M92" s="43"/>
      <c r="N92" s="43"/>
      <c r="O92" s="43"/>
      <c r="P92" s="43"/>
      <c r="Q92" s="43"/>
      <c r="R92" s="49"/>
      <c r="S92" s="49"/>
      <c r="T92" s="49"/>
      <c r="U92" s="49"/>
      <c r="V92" s="49"/>
      <c r="W92" s="49"/>
      <c r="X92" s="49"/>
      <c r="Y92" s="49"/>
      <c r="Z92" s="49"/>
    </row>
    <row r="93" spans="1:26">
      <c r="A93" s="43"/>
      <c r="B93" s="43"/>
      <c r="C93" s="43"/>
      <c r="D93" s="43"/>
      <c r="E93" s="43"/>
      <c r="F93" s="43"/>
      <c r="G93" s="43"/>
      <c r="H93" s="43"/>
      <c r="I93" s="43"/>
      <c r="J93" s="43"/>
      <c r="K93" s="43"/>
      <c r="L93" s="43"/>
      <c r="M93" s="43"/>
      <c r="N93" s="43"/>
      <c r="O93" s="43"/>
      <c r="P93" s="43"/>
      <c r="Q93" s="43"/>
      <c r="R93" s="49"/>
      <c r="S93" s="49"/>
      <c r="T93" s="49"/>
      <c r="U93" s="49"/>
      <c r="V93" s="49"/>
      <c r="W93" s="49"/>
      <c r="X93" s="49"/>
      <c r="Y93" s="49"/>
      <c r="Z93" s="49"/>
    </row>
    <row r="94" spans="1:26">
      <c r="A94" s="43"/>
      <c r="B94" s="43"/>
      <c r="C94" s="43"/>
      <c r="D94" s="43"/>
      <c r="E94" s="43"/>
      <c r="F94" s="43"/>
      <c r="G94" s="43"/>
      <c r="H94" s="43"/>
      <c r="I94" s="43"/>
      <c r="J94" s="43"/>
      <c r="K94" s="43"/>
      <c r="L94" s="43"/>
      <c r="M94" s="43"/>
      <c r="N94" s="43"/>
      <c r="O94" s="43"/>
      <c r="P94" s="43"/>
      <c r="Q94" s="43"/>
      <c r="R94" s="49"/>
      <c r="S94" s="49"/>
      <c r="T94" s="49"/>
      <c r="U94" s="49"/>
      <c r="V94" s="49"/>
      <c r="W94" s="49"/>
      <c r="X94" s="49"/>
      <c r="Y94" s="49"/>
      <c r="Z94" s="49"/>
    </row>
    <row r="95" spans="1:26">
      <c r="A95" s="43"/>
      <c r="B95" s="43"/>
      <c r="C95" s="43"/>
      <c r="D95" s="43"/>
      <c r="E95" s="43"/>
      <c r="F95" s="43"/>
      <c r="G95" s="43"/>
      <c r="H95" s="43"/>
      <c r="I95" s="43"/>
      <c r="J95" s="43"/>
      <c r="K95" s="43"/>
      <c r="L95" s="43"/>
      <c r="M95" s="43"/>
      <c r="N95" s="43"/>
      <c r="O95" s="43"/>
      <c r="P95" s="43"/>
      <c r="Q95" s="43"/>
      <c r="R95" s="49"/>
      <c r="S95" s="49"/>
      <c r="T95" s="49"/>
      <c r="U95" s="49"/>
      <c r="V95" s="49"/>
      <c r="W95" s="49"/>
      <c r="X95" s="49"/>
      <c r="Y95" s="49"/>
      <c r="Z95" s="49"/>
    </row>
    <row r="96" spans="1:26">
      <c r="A96" s="43"/>
      <c r="B96" s="43"/>
      <c r="C96" s="43"/>
      <c r="D96" s="43"/>
      <c r="E96" s="43"/>
      <c r="F96" s="43"/>
      <c r="G96" s="43"/>
      <c r="H96" s="43"/>
      <c r="I96" s="43"/>
      <c r="J96" s="43"/>
      <c r="K96" s="43"/>
      <c r="L96" s="43"/>
      <c r="M96" s="43"/>
      <c r="N96" s="43"/>
      <c r="O96" s="43"/>
      <c r="P96" s="43"/>
      <c r="Q96" s="43"/>
      <c r="R96" s="49"/>
      <c r="S96" s="49"/>
      <c r="T96" s="49"/>
      <c r="U96" s="49"/>
      <c r="V96" s="49"/>
      <c r="W96" s="49"/>
      <c r="X96" s="49"/>
      <c r="Y96" s="49"/>
      <c r="Z96" s="49"/>
    </row>
    <row r="97" spans="1:26">
      <c r="A97" s="43"/>
      <c r="B97" s="43"/>
      <c r="C97" s="43"/>
      <c r="D97" s="43"/>
      <c r="E97" s="43"/>
      <c r="F97" s="43"/>
      <c r="G97" s="43"/>
      <c r="H97" s="43"/>
      <c r="I97" s="43"/>
      <c r="J97" s="43"/>
      <c r="K97" s="43"/>
      <c r="L97" s="43"/>
      <c r="M97" s="43"/>
      <c r="N97" s="43"/>
      <c r="O97" s="43"/>
      <c r="P97" s="43"/>
      <c r="Q97" s="43"/>
      <c r="R97" s="49"/>
      <c r="S97" s="49"/>
      <c r="T97" s="49"/>
      <c r="U97" s="49"/>
      <c r="V97" s="49"/>
      <c r="W97" s="49"/>
      <c r="X97" s="49"/>
      <c r="Y97" s="49"/>
      <c r="Z97" s="49"/>
    </row>
    <row r="98" spans="1:26">
      <c r="A98" s="43"/>
      <c r="B98" s="43"/>
      <c r="C98" s="43"/>
      <c r="D98" s="43"/>
      <c r="E98" s="43"/>
      <c r="F98" s="43"/>
      <c r="G98" s="43"/>
      <c r="H98" s="43"/>
      <c r="I98" s="43"/>
      <c r="J98" s="43"/>
      <c r="K98" s="43"/>
      <c r="L98" s="43"/>
      <c r="M98" s="43"/>
      <c r="N98" s="43"/>
      <c r="O98" s="43"/>
      <c r="P98" s="43"/>
      <c r="Q98" s="43"/>
      <c r="R98" s="49"/>
      <c r="S98" s="49"/>
      <c r="T98" s="49"/>
      <c r="U98" s="49"/>
      <c r="V98" s="49"/>
      <c r="W98" s="49"/>
      <c r="X98" s="49"/>
      <c r="Y98" s="49"/>
      <c r="Z98" s="49"/>
    </row>
    <row r="99" spans="1:26">
      <c r="A99" s="43"/>
      <c r="B99" s="43"/>
      <c r="C99" s="43"/>
      <c r="D99" s="43"/>
      <c r="E99" s="43"/>
      <c r="F99" s="43"/>
      <c r="G99" s="43"/>
      <c r="H99" s="43"/>
      <c r="I99" s="43"/>
      <c r="J99" s="43"/>
      <c r="K99" s="43"/>
      <c r="L99" s="43"/>
      <c r="M99" s="43"/>
      <c r="N99" s="43"/>
      <c r="O99" s="43"/>
      <c r="P99" s="43"/>
      <c r="Q99" s="43"/>
      <c r="R99" s="49"/>
      <c r="S99" s="49"/>
      <c r="T99" s="49"/>
      <c r="U99" s="49"/>
      <c r="V99" s="49"/>
      <c r="W99" s="49"/>
      <c r="X99" s="49"/>
      <c r="Y99" s="49"/>
      <c r="Z99" s="49"/>
    </row>
    <row r="100" spans="1:26">
      <c r="A100" s="43"/>
      <c r="B100" s="43"/>
      <c r="C100" s="43"/>
      <c r="D100" s="43"/>
      <c r="E100" s="43"/>
      <c r="F100" s="43"/>
      <c r="G100" s="43"/>
      <c r="H100" s="43"/>
      <c r="I100" s="43"/>
      <c r="J100" s="43"/>
      <c r="K100" s="43"/>
      <c r="L100" s="43"/>
      <c r="M100" s="43"/>
      <c r="N100" s="43"/>
      <c r="O100" s="43"/>
      <c r="P100" s="43"/>
      <c r="Q100" s="43"/>
      <c r="R100" s="49"/>
      <c r="S100" s="49"/>
      <c r="T100" s="49"/>
      <c r="U100" s="49"/>
      <c r="V100" s="49"/>
      <c r="W100" s="49"/>
      <c r="X100" s="49"/>
      <c r="Y100" s="49"/>
      <c r="Z100" s="49"/>
    </row>
    <row r="101" spans="1:26">
      <c r="A101" s="43"/>
      <c r="B101" s="43"/>
      <c r="C101" s="43"/>
      <c r="D101" s="43"/>
      <c r="E101" s="43"/>
      <c r="F101" s="43"/>
      <c r="G101" s="43"/>
      <c r="H101" s="43"/>
      <c r="I101" s="43"/>
      <c r="J101" s="43"/>
      <c r="K101" s="43"/>
      <c r="L101" s="43"/>
      <c r="M101" s="43"/>
      <c r="N101" s="43"/>
      <c r="O101" s="43"/>
      <c r="P101" s="43"/>
      <c r="Q101" s="43"/>
      <c r="R101" s="49"/>
      <c r="S101" s="49"/>
      <c r="T101" s="49"/>
      <c r="U101" s="49"/>
      <c r="V101" s="49"/>
      <c r="W101" s="49"/>
      <c r="X101" s="49"/>
      <c r="Y101" s="49"/>
      <c r="Z101" s="49"/>
    </row>
    <row r="102" spans="1:26">
      <c r="A102" s="43"/>
      <c r="B102" s="43"/>
      <c r="C102" s="43"/>
      <c r="D102" s="43"/>
      <c r="E102" s="43"/>
      <c r="F102" s="43"/>
      <c r="G102" s="43"/>
      <c r="H102" s="43"/>
      <c r="I102" s="43"/>
      <c r="J102" s="43"/>
      <c r="K102" s="43"/>
      <c r="L102" s="43"/>
      <c r="M102" s="43"/>
      <c r="N102" s="43"/>
      <c r="O102" s="43"/>
      <c r="P102" s="43"/>
      <c r="Q102" s="43"/>
      <c r="R102" s="49"/>
      <c r="S102" s="49"/>
      <c r="T102" s="49"/>
      <c r="U102" s="49"/>
      <c r="V102" s="49"/>
      <c r="W102" s="49"/>
      <c r="X102" s="49"/>
      <c r="Y102" s="49"/>
      <c r="Z102" s="49"/>
    </row>
    <row r="103" spans="1:26">
      <c r="A103" s="43"/>
      <c r="B103" s="43"/>
      <c r="C103" s="43"/>
      <c r="D103" s="43"/>
      <c r="E103" s="43"/>
      <c r="F103" s="43"/>
      <c r="G103" s="43"/>
      <c r="H103" s="43"/>
      <c r="I103" s="43"/>
      <c r="J103" s="43"/>
      <c r="K103" s="43"/>
      <c r="L103" s="43"/>
      <c r="M103" s="43"/>
      <c r="N103" s="43"/>
      <c r="O103" s="43"/>
      <c r="P103" s="43"/>
      <c r="Q103" s="43"/>
      <c r="R103" s="49"/>
      <c r="S103" s="49"/>
      <c r="T103" s="49"/>
      <c r="U103" s="49"/>
      <c r="V103" s="49"/>
      <c r="W103" s="49"/>
      <c r="X103" s="49"/>
      <c r="Y103" s="49"/>
      <c r="Z103" s="49"/>
    </row>
    <row r="104" spans="1:26">
      <c r="A104" s="43"/>
      <c r="B104" s="43"/>
      <c r="C104" s="43"/>
      <c r="D104" s="43"/>
      <c r="E104" s="43"/>
      <c r="F104" s="43"/>
      <c r="G104" s="43"/>
      <c r="H104" s="43"/>
      <c r="I104" s="43"/>
      <c r="J104" s="43"/>
      <c r="K104" s="43"/>
      <c r="L104" s="43"/>
      <c r="M104" s="43"/>
      <c r="N104" s="43"/>
      <c r="O104" s="43"/>
      <c r="P104" s="43"/>
      <c r="Q104" s="43"/>
      <c r="R104" s="49"/>
      <c r="S104" s="49"/>
      <c r="T104" s="49"/>
      <c r="U104" s="49"/>
      <c r="V104" s="49"/>
      <c r="W104" s="49"/>
      <c r="X104" s="49"/>
      <c r="Y104" s="49"/>
      <c r="Z104" s="49"/>
    </row>
    <row r="105" spans="1:26">
      <c r="A105" s="43"/>
      <c r="B105" s="43"/>
      <c r="C105" s="43"/>
      <c r="D105" s="43"/>
      <c r="E105" s="43"/>
      <c r="F105" s="43"/>
      <c r="G105" s="43"/>
      <c r="H105" s="43"/>
      <c r="I105" s="43"/>
      <c r="J105" s="43"/>
      <c r="K105" s="43"/>
      <c r="L105" s="43"/>
      <c r="M105" s="43"/>
      <c r="N105" s="43"/>
      <c r="O105" s="43"/>
      <c r="P105" s="43"/>
      <c r="Q105" s="43"/>
      <c r="R105" s="49"/>
      <c r="S105" s="49"/>
      <c r="T105" s="49"/>
      <c r="U105" s="49"/>
      <c r="V105" s="49"/>
      <c r="W105" s="49"/>
      <c r="X105" s="49"/>
      <c r="Y105" s="49"/>
      <c r="Z105" s="49"/>
    </row>
    <row r="106" spans="1:26">
      <c r="A106" s="43"/>
      <c r="B106" s="43"/>
      <c r="C106" s="43"/>
      <c r="D106" s="43"/>
      <c r="E106" s="43"/>
      <c r="F106" s="43"/>
      <c r="G106" s="43"/>
      <c r="H106" s="43"/>
      <c r="I106" s="43"/>
      <c r="J106" s="43"/>
      <c r="K106" s="43"/>
      <c r="L106" s="43"/>
      <c r="M106" s="43"/>
      <c r="N106" s="43"/>
      <c r="O106" s="43"/>
      <c r="P106" s="43"/>
      <c r="Q106" s="43"/>
      <c r="R106" s="49"/>
      <c r="S106" s="49"/>
      <c r="T106" s="49"/>
      <c r="U106" s="49"/>
      <c r="V106" s="49"/>
      <c r="W106" s="49"/>
      <c r="X106" s="49"/>
      <c r="Y106" s="49"/>
      <c r="Z106" s="49"/>
    </row>
    <row r="107" spans="1:26">
      <c r="A107" s="43"/>
      <c r="B107" s="43"/>
      <c r="C107" s="43"/>
      <c r="D107" s="43"/>
      <c r="E107" s="43"/>
      <c r="F107" s="43"/>
      <c r="G107" s="43"/>
      <c r="H107" s="43"/>
      <c r="I107" s="43"/>
      <c r="J107" s="43"/>
      <c r="K107" s="43"/>
      <c r="L107" s="43"/>
      <c r="M107" s="43"/>
      <c r="N107" s="43"/>
      <c r="O107" s="43"/>
      <c r="P107" s="43"/>
      <c r="Q107" s="43"/>
      <c r="R107" s="49"/>
      <c r="S107" s="49"/>
      <c r="T107" s="49"/>
      <c r="U107" s="49"/>
      <c r="V107" s="49"/>
      <c r="W107" s="49"/>
      <c r="X107" s="49"/>
      <c r="Y107" s="49"/>
      <c r="Z107" s="49"/>
    </row>
    <row r="108" spans="1:26">
      <c r="A108" s="43"/>
      <c r="B108" s="43"/>
      <c r="C108" s="43"/>
      <c r="D108" s="43"/>
      <c r="E108" s="43"/>
      <c r="F108" s="43"/>
      <c r="G108" s="43"/>
      <c r="H108" s="43"/>
      <c r="I108" s="43"/>
      <c r="J108" s="43"/>
      <c r="K108" s="43"/>
      <c r="L108" s="43"/>
      <c r="M108" s="43"/>
      <c r="N108" s="43"/>
      <c r="O108" s="43"/>
      <c r="P108" s="43"/>
      <c r="Q108" s="43"/>
      <c r="R108" s="49"/>
      <c r="S108" s="49"/>
      <c r="T108" s="49"/>
      <c r="U108" s="49"/>
      <c r="V108" s="49"/>
      <c r="W108" s="49"/>
      <c r="X108" s="49"/>
      <c r="Y108" s="49"/>
      <c r="Z108" s="49"/>
    </row>
    <row r="109" spans="1:26">
      <c r="A109" s="43"/>
      <c r="B109" s="43"/>
      <c r="C109" s="43"/>
      <c r="D109" s="43"/>
      <c r="E109" s="43"/>
      <c r="F109" s="43"/>
      <c r="G109" s="43"/>
      <c r="H109" s="43"/>
      <c r="I109" s="43"/>
      <c r="J109" s="43"/>
      <c r="K109" s="43"/>
      <c r="L109" s="43"/>
      <c r="M109" s="43"/>
      <c r="N109" s="43"/>
      <c r="O109" s="43"/>
      <c r="P109" s="43"/>
      <c r="Q109" s="43"/>
      <c r="R109" s="49"/>
      <c r="S109" s="49"/>
      <c r="T109" s="49"/>
      <c r="U109" s="49"/>
      <c r="V109" s="49"/>
      <c r="W109" s="49"/>
      <c r="X109" s="49"/>
      <c r="Y109" s="49"/>
      <c r="Z109" s="49"/>
    </row>
    <row r="110" spans="1:26">
      <c r="A110" s="43"/>
      <c r="B110" s="43"/>
      <c r="C110" s="43"/>
      <c r="D110" s="43"/>
      <c r="E110" s="43"/>
      <c r="F110" s="43"/>
      <c r="G110" s="43"/>
      <c r="H110" s="43"/>
      <c r="I110" s="43"/>
      <c r="J110" s="43"/>
      <c r="K110" s="43"/>
      <c r="L110" s="43"/>
      <c r="M110" s="43"/>
      <c r="N110" s="43"/>
      <c r="O110" s="43"/>
      <c r="P110" s="43"/>
      <c r="Q110" s="43"/>
      <c r="R110" s="49"/>
      <c r="S110" s="49"/>
      <c r="T110" s="49"/>
      <c r="U110" s="49"/>
      <c r="V110" s="49"/>
      <c r="W110" s="49"/>
      <c r="X110" s="49"/>
      <c r="Y110" s="49"/>
      <c r="Z110" s="49"/>
    </row>
    <row r="111" spans="1:26">
      <c r="A111" s="43"/>
      <c r="B111" s="43"/>
      <c r="C111" s="43"/>
      <c r="D111" s="43"/>
      <c r="E111" s="43"/>
      <c r="F111" s="43"/>
      <c r="G111" s="43"/>
      <c r="H111" s="43"/>
      <c r="I111" s="43"/>
      <c r="J111" s="43"/>
      <c r="K111" s="43"/>
      <c r="L111" s="43"/>
      <c r="M111" s="43"/>
      <c r="N111" s="43"/>
      <c r="O111" s="43"/>
      <c r="P111" s="43"/>
      <c r="Q111" s="43"/>
      <c r="R111" s="49"/>
      <c r="S111" s="49"/>
      <c r="T111" s="49"/>
      <c r="U111" s="49"/>
      <c r="V111" s="49"/>
      <c r="W111" s="49"/>
      <c r="X111" s="49"/>
      <c r="Y111" s="49"/>
      <c r="Z111" s="49"/>
    </row>
    <row r="112" spans="1:26">
      <c r="A112" s="43"/>
      <c r="B112" s="43"/>
      <c r="C112" s="43"/>
      <c r="D112" s="43"/>
      <c r="E112" s="43"/>
      <c r="F112" s="43"/>
      <c r="G112" s="43"/>
      <c r="H112" s="43"/>
      <c r="I112" s="43"/>
      <c r="J112" s="43"/>
      <c r="K112" s="43"/>
      <c r="L112" s="43"/>
      <c r="M112" s="43"/>
      <c r="N112" s="43"/>
      <c r="O112" s="43"/>
      <c r="P112" s="43"/>
      <c r="Q112" s="43"/>
      <c r="R112" s="49"/>
      <c r="S112" s="49"/>
      <c r="T112" s="49"/>
      <c r="U112" s="49"/>
      <c r="V112" s="49"/>
      <c r="W112" s="49"/>
      <c r="X112" s="49"/>
      <c r="Y112" s="49"/>
      <c r="Z112" s="49"/>
    </row>
    <row r="113" spans="1:26">
      <c r="A113" s="43"/>
      <c r="B113" s="43"/>
      <c r="C113" s="43"/>
      <c r="D113" s="43"/>
      <c r="E113" s="43"/>
      <c r="F113" s="43"/>
      <c r="G113" s="43"/>
      <c r="H113" s="43"/>
      <c r="I113" s="43"/>
      <c r="J113" s="43"/>
      <c r="K113" s="43"/>
      <c r="L113" s="43"/>
      <c r="M113" s="43"/>
      <c r="N113" s="43"/>
      <c r="O113" s="43"/>
      <c r="P113" s="43"/>
      <c r="Q113" s="43"/>
      <c r="R113" s="49"/>
      <c r="S113" s="49"/>
      <c r="T113" s="49"/>
      <c r="U113" s="49"/>
      <c r="V113" s="49"/>
      <c r="W113" s="49"/>
      <c r="X113" s="49"/>
      <c r="Y113" s="49"/>
      <c r="Z113" s="49"/>
    </row>
    <row r="114" spans="1:26">
      <c r="A114" s="43"/>
      <c r="B114" s="43"/>
      <c r="C114" s="43"/>
      <c r="D114" s="43"/>
      <c r="E114" s="43"/>
      <c r="F114" s="43"/>
      <c r="G114" s="43"/>
      <c r="H114" s="43"/>
      <c r="I114" s="43"/>
      <c r="J114" s="43"/>
      <c r="K114" s="43"/>
      <c r="L114" s="43"/>
      <c r="M114" s="43"/>
      <c r="N114" s="43"/>
      <c r="O114" s="43"/>
      <c r="P114" s="43"/>
      <c r="Q114" s="43"/>
      <c r="R114" s="49"/>
      <c r="S114" s="49"/>
      <c r="T114" s="49"/>
      <c r="U114" s="49"/>
      <c r="V114" s="49"/>
      <c r="W114" s="49"/>
      <c r="X114" s="49"/>
      <c r="Y114" s="49"/>
      <c r="Z114" s="49"/>
    </row>
    <row r="115" spans="1:26">
      <c r="A115" s="43"/>
      <c r="B115" s="43"/>
      <c r="C115" s="43"/>
      <c r="D115" s="43"/>
      <c r="E115" s="43"/>
      <c r="F115" s="43"/>
      <c r="G115" s="43"/>
      <c r="H115" s="43"/>
      <c r="I115" s="43"/>
      <c r="J115" s="43"/>
      <c r="K115" s="43"/>
      <c r="L115" s="43"/>
      <c r="M115" s="43"/>
      <c r="N115" s="43"/>
      <c r="O115" s="43"/>
      <c r="P115" s="43"/>
      <c r="Q115" s="43"/>
      <c r="R115" s="49"/>
      <c r="S115" s="49"/>
      <c r="T115" s="49"/>
      <c r="U115" s="49"/>
      <c r="V115" s="49"/>
      <c r="W115" s="49"/>
      <c r="X115" s="49"/>
      <c r="Y115" s="49"/>
      <c r="Z115" s="49"/>
    </row>
    <row r="116" spans="1:26">
      <c r="A116" s="43"/>
      <c r="B116" s="43"/>
      <c r="C116" s="43"/>
      <c r="D116" s="43"/>
      <c r="E116" s="43"/>
      <c r="F116" s="43"/>
      <c r="G116" s="43"/>
      <c r="H116" s="43"/>
      <c r="I116" s="43"/>
      <c r="J116" s="43"/>
      <c r="K116" s="43"/>
      <c r="L116" s="43"/>
      <c r="M116" s="43"/>
      <c r="N116" s="43"/>
      <c r="O116" s="43"/>
      <c r="P116" s="43"/>
      <c r="Q116" s="43"/>
      <c r="R116" s="49"/>
      <c r="S116" s="49"/>
      <c r="T116" s="49"/>
      <c r="U116" s="49"/>
      <c r="V116" s="49"/>
      <c r="W116" s="49"/>
      <c r="X116" s="49"/>
      <c r="Y116" s="49"/>
      <c r="Z116" s="49"/>
    </row>
    <row r="117" spans="1:26">
      <c r="A117" s="43"/>
      <c r="B117" s="43"/>
      <c r="C117" s="43"/>
      <c r="D117" s="43"/>
      <c r="E117" s="43"/>
      <c r="F117" s="43"/>
      <c r="G117" s="43"/>
      <c r="H117" s="43"/>
      <c r="I117" s="43"/>
      <c r="J117" s="43"/>
      <c r="K117" s="43"/>
      <c r="L117" s="43"/>
      <c r="M117" s="43"/>
      <c r="N117" s="43"/>
      <c r="O117" s="43"/>
      <c r="P117" s="43"/>
      <c r="Q117" s="43"/>
      <c r="R117" s="49"/>
      <c r="S117" s="49"/>
      <c r="T117" s="49"/>
      <c r="U117" s="49"/>
      <c r="V117" s="49"/>
      <c r="W117" s="49"/>
      <c r="X117" s="49"/>
      <c r="Y117" s="49"/>
      <c r="Z117" s="49"/>
    </row>
    <row r="118" spans="1:26">
      <c r="A118" s="43"/>
      <c r="B118" s="43"/>
      <c r="C118" s="43"/>
      <c r="D118" s="43"/>
      <c r="E118" s="43"/>
      <c r="F118" s="43"/>
      <c r="G118" s="43"/>
      <c r="H118" s="43"/>
      <c r="I118" s="43"/>
      <c r="J118" s="43"/>
      <c r="K118" s="43"/>
      <c r="L118" s="43"/>
      <c r="M118" s="43"/>
      <c r="N118" s="43"/>
      <c r="O118" s="43"/>
      <c r="P118" s="43"/>
      <c r="Q118" s="43"/>
      <c r="R118" s="49"/>
      <c r="S118" s="49"/>
      <c r="T118" s="49"/>
      <c r="U118" s="49"/>
      <c r="V118" s="49"/>
      <c r="W118" s="49"/>
      <c r="X118" s="49"/>
      <c r="Y118" s="49"/>
      <c r="Z118" s="49"/>
    </row>
    <row r="119" spans="1:26">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sheetData>
  <mergeCells count="1">
    <mergeCell ref="C11:D11"/>
  </mergeCells>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2:L43"/>
  <sheetViews>
    <sheetView workbookViewId="0"/>
  </sheetViews>
  <sheetFormatPr defaultColWidth="14.42578125" defaultRowHeight="15" customHeight="1"/>
  <cols>
    <col min="4" max="4" width="42.5703125" customWidth="1"/>
  </cols>
  <sheetData>
    <row r="2" spans="1:12" ht="15" customHeight="1">
      <c r="B2" s="49" t="s">
        <v>2319</v>
      </c>
      <c r="C2" s="49" t="s">
        <v>2320</v>
      </c>
      <c r="I2" s="49" t="s">
        <v>2321</v>
      </c>
    </row>
    <row r="3" spans="1:12" ht="15" customHeight="1">
      <c r="B3" s="49" t="s">
        <v>2322</v>
      </c>
      <c r="C3" s="49" t="s">
        <v>2323</v>
      </c>
    </row>
    <row r="4" spans="1:12" ht="15" customHeight="1">
      <c r="B4" s="49"/>
      <c r="D4" s="49"/>
      <c r="F4" s="49"/>
      <c r="I4" s="49" t="s">
        <v>2324</v>
      </c>
      <c r="J4" s="49">
        <f>3*5*4</f>
        <v>60</v>
      </c>
      <c r="L4" s="49" t="s">
        <v>2325</v>
      </c>
    </row>
    <row r="5" spans="1:12" ht="15" customHeight="1">
      <c r="B5" s="49"/>
      <c r="C5" s="49"/>
      <c r="D5" s="49"/>
      <c r="F5" s="49"/>
      <c r="I5" s="49" t="s">
        <v>2326</v>
      </c>
      <c r="J5" s="307"/>
    </row>
    <row r="6" spans="1:12" ht="15" customHeight="1">
      <c r="B6" s="49"/>
      <c r="C6" s="49"/>
      <c r="D6" s="49"/>
      <c r="F6" s="49"/>
      <c r="I6" s="49" t="s">
        <v>2327</v>
      </c>
      <c r="J6" s="49">
        <v>100</v>
      </c>
    </row>
    <row r="7" spans="1:12" ht="15" customHeight="1">
      <c r="B7" s="49"/>
      <c r="C7" s="49"/>
      <c r="D7" s="49"/>
      <c r="F7" s="49"/>
      <c r="I7" s="49" t="s">
        <v>92</v>
      </c>
      <c r="J7" s="49">
        <v>40</v>
      </c>
    </row>
    <row r="8" spans="1:12" ht="15" customHeight="1">
      <c r="B8" s="49"/>
      <c r="C8" s="49"/>
      <c r="D8" s="49"/>
      <c r="F8" s="49"/>
    </row>
    <row r="9" spans="1:12" ht="15" customHeight="1">
      <c r="B9" s="49"/>
      <c r="C9" s="49"/>
      <c r="D9" s="49"/>
      <c r="F9" s="49"/>
    </row>
    <row r="10" spans="1:12" ht="15" customHeight="1">
      <c r="B10" s="49" t="s">
        <v>2328</v>
      </c>
      <c r="C10" s="49" t="s">
        <v>2329</v>
      </c>
      <c r="D10" s="49" t="s">
        <v>2330</v>
      </c>
      <c r="F10" s="49" t="s">
        <v>2331</v>
      </c>
    </row>
    <row r="11" spans="1:12" ht="15" customHeight="1">
      <c r="D11" s="49" t="s">
        <v>2332</v>
      </c>
      <c r="F11" s="49" t="s">
        <v>2333</v>
      </c>
    </row>
    <row r="12" spans="1:12" ht="15" customHeight="1">
      <c r="D12" s="49" t="s">
        <v>2334</v>
      </c>
      <c r="E12" s="49" t="s">
        <v>2335</v>
      </c>
      <c r="F12" s="49" t="s">
        <v>2336</v>
      </c>
    </row>
    <row r="13" spans="1:12" ht="15" customHeight="1">
      <c r="D13" s="49" t="s">
        <v>2337</v>
      </c>
      <c r="F13" s="49" t="s">
        <v>2338</v>
      </c>
    </row>
    <row r="14" spans="1:12" ht="15" customHeight="1">
      <c r="A14" s="49" t="s">
        <v>2339</v>
      </c>
      <c r="B14" s="49" t="s">
        <v>2340</v>
      </c>
      <c r="C14" s="49" t="s">
        <v>2324</v>
      </c>
      <c r="D14" s="49" t="s">
        <v>2341</v>
      </c>
    </row>
    <row r="15" spans="1:12" ht="15" customHeight="1">
      <c r="B15" s="49">
        <v>100</v>
      </c>
      <c r="C15" s="49" t="s">
        <v>2326</v>
      </c>
      <c r="D15" s="49" t="s">
        <v>2342</v>
      </c>
    </row>
    <row r="16" spans="1:12" ht="15" customHeight="1">
      <c r="C16" s="49" t="s">
        <v>2343</v>
      </c>
      <c r="D16" s="49" t="s">
        <v>2344</v>
      </c>
      <c r="I16" s="49" t="s">
        <v>2345</v>
      </c>
    </row>
    <row r="17" spans="1:9" ht="15" customHeight="1">
      <c r="C17" s="49" t="s">
        <v>92</v>
      </c>
      <c r="D17" s="49" t="s">
        <v>2341</v>
      </c>
    </row>
    <row r="19" spans="1:9" ht="15" customHeight="1">
      <c r="A19" s="49" t="s">
        <v>2346</v>
      </c>
      <c r="B19" s="49" t="s">
        <v>2347</v>
      </c>
      <c r="C19" s="49" t="s">
        <v>2324</v>
      </c>
      <c r="D19" s="49" t="s">
        <v>2341</v>
      </c>
      <c r="I19" s="49">
        <v>70</v>
      </c>
    </row>
    <row r="20" spans="1:9" ht="15" customHeight="1">
      <c r="B20" s="49">
        <v>70</v>
      </c>
      <c r="C20" s="49" t="s">
        <v>2326</v>
      </c>
      <c r="D20" s="49" t="s">
        <v>2342</v>
      </c>
      <c r="I20" s="49" t="s">
        <v>2348</v>
      </c>
    </row>
    <row r="21" spans="1:9" ht="15" customHeight="1">
      <c r="C21" s="49" t="s">
        <v>2343</v>
      </c>
      <c r="D21" s="49" t="s">
        <v>2344</v>
      </c>
      <c r="I21" s="49">
        <v>35</v>
      </c>
    </row>
    <row r="22" spans="1:9" ht="15" customHeight="1">
      <c r="C22" s="49" t="s">
        <v>92</v>
      </c>
      <c r="D22" s="49" t="s">
        <v>2349</v>
      </c>
      <c r="I22" s="49">
        <v>35</v>
      </c>
    </row>
    <row r="23" spans="1:9" ht="15" customHeight="1">
      <c r="C23" s="49" t="s">
        <v>75</v>
      </c>
      <c r="D23" s="49" t="s">
        <v>2350</v>
      </c>
      <c r="I23" s="49">
        <v>35</v>
      </c>
    </row>
    <row r="24" spans="1:9" ht="15" customHeight="1">
      <c r="C24" s="49" t="s">
        <v>2351</v>
      </c>
      <c r="D24" s="49" t="s">
        <v>2352</v>
      </c>
      <c r="I24" s="49">
        <v>70</v>
      </c>
    </row>
    <row r="26" spans="1:9" ht="15" customHeight="1">
      <c r="A26" s="49" t="s">
        <v>2353</v>
      </c>
      <c r="B26" s="49" t="s">
        <v>2354</v>
      </c>
      <c r="C26" s="49" t="s">
        <v>2324</v>
      </c>
      <c r="D26" s="49" t="s">
        <v>2341</v>
      </c>
    </row>
    <row r="27" spans="1:9" ht="15" customHeight="1">
      <c r="A27" s="49" t="s">
        <v>2355</v>
      </c>
      <c r="C27" s="49" t="s">
        <v>2326</v>
      </c>
      <c r="D27" s="49" t="s">
        <v>2356</v>
      </c>
    </row>
    <row r="28" spans="1:9" ht="15" customHeight="1">
      <c r="B28" s="49">
        <v>50</v>
      </c>
      <c r="C28" s="49" t="s">
        <v>2343</v>
      </c>
      <c r="D28" s="49" t="s">
        <v>2357</v>
      </c>
      <c r="E28" s="49">
        <v>20</v>
      </c>
    </row>
    <row r="29" spans="1:9" ht="15" customHeight="1">
      <c r="C29" s="49" t="s">
        <v>92</v>
      </c>
      <c r="D29" s="49" t="s">
        <v>2349</v>
      </c>
      <c r="E29" s="49">
        <v>20</v>
      </c>
    </row>
    <row r="30" spans="1:9" ht="15" customHeight="1">
      <c r="C30" s="49" t="s">
        <v>75</v>
      </c>
      <c r="D30" s="49" t="s">
        <v>2349</v>
      </c>
      <c r="E30" s="49">
        <v>20</v>
      </c>
    </row>
    <row r="31" spans="1:9" ht="15" customHeight="1">
      <c r="C31" s="49" t="s">
        <v>2351</v>
      </c>
      <c r="D31" s="49" t="s">
        <v>2352</v>
      </c>
    </row>
    <row r="32" spans="1:9" ht="15" customHeight="1">
      <c r="C32" s="49" t="s">
        <v>2327</v>
      </c>
      <c r="D32" s="49" t="s">
        <v>2342</v>
      </c>
    </row>
    <row r="33" spans="1:5" ht="15" customHeight="1">
      <c r="C33" s="49" t="s">
        <v>2358</v>
      </c>
      <c r="D33" s="49" t="s">
        <v>2342</v>
      </c>
    </row>
    <row r="35" spans="1:5" ht="15" customHeight="1">
      <c r="A35" s="49" t="s">
        <v>2359</v>
      </c>
      <c r="B35" s="49" t="s">
        <v>2360</v>
      </c>
      <c r="C35" s="49" t="s">
        <v>2324</v>
      </c>
      <c r="D35" s="49" t="s">
        <v>2341</v>
      </c>
    </row>
    <row r="36" spans="1:5" ht="15" customHeight="1">
      <c r="A36" s="49" t="s">
        <v>2355</v>
      </c>
      <c r="C36" s="49" t="s">
        <v>2326</v>
      </c>
      <c r="D36" s="49" t="s">
        <v>2356</v>
      </c>
    </row>
    <row r="37" spans="1:5" ht="15" customHeight="1">
      <c r="B37" s="49">
        <v>25</v>
      </c>
      <c r="C37" s="49" t="s">
        <v>2343</v>
      </c>
      <c r="D37" s="49" t="s">
        <v>2357</v>
      </c>
      <c r="E37" s="49">
        <v>20</v>
      </c>
    </row>
    <row r="38" spans="1:5">
      <c r="C38" s="49" t="s">
        <v>92</v>
      </c>
      <c r="D38" s="49" t="s">
        <v>2349</v>
      </c>
      <c r="E38" s="49">
        <v>20</v>
      </c>
    </row>
    <row r="39" spans="1:5">
      <c r="C39" s="49" t="s">
        <v>75</v>
      </c>
      <c r="D39" s="49" t="s">
        <v>2349</v>
      </c>
      <c r="E39" s="49">
        <v>20</v>
      </c>
    </row>
    <row r="40" spans="1:5">
      <c r="C40" s="49" t="s">
        <v>2351</v>
      </c>
      <c r="D40" s="49" t="s">
        <v>2352</v>
      </c>
    </row>
    <row r="41" spans="1:5">
      <c r="C41" s="49" t="s">
        <v>2327</v>
      </c>
      <c r="D41" s="49" t="s">
        <v>2342</v>
      </c>
    </row>
    <row r="42" spans="1:5">
      <c r="C42" s="49" t="s">
        <v>2358</v>
      </c>
      <c r="D42" s="49" t="s">
        <v>2342</v>
      </c>
    </row>
    <row r="43" spans="1:5">
      <c r="C43" s="49" t="s">
        <v>2361</v>
      </c>
      <c r="D43" s="49" t="s">
        <v>2356</v>
      </c>
    </row>
  </sheetData>
  <pageMargins left="0.511811024" right="0.511811024" top="0.78740157499999996" bottom="0.78740157499999996"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642"/>
  <sheetViews>
    <sheetView showGridLines="0" workbookViewId="0">
      <pane ySplit="1" topLeftCell="A2" activePane="bottomLeft" state="frozen"/>
      <selection pane="bottomLeft" activeCell="B3" sqref="B3"/>
    </sheetView>
  </sheetViews>
  <sheetFormatPr defaultColWidth="14.42578125" defaultRowHeight="15" customHeight="1"/>
  <cols>
    <col min="1" max="1" width="13.42578125" customWidth="1"/>
    <col min="2" max="2" width="15.140625" customWidth="1"/>
    <col min="3" max="3" width="36.7109375" customWidth="1"/>
    <col min="4" max="4" width="25.140625" customWidth="1"/>
    <col min="5" max="5" width="26.5703125" customWidth="1"/>
    <col min="6" max="7" width="19.140625" customWidth="1"/>
    <col min="8" max="8" width="13.140625" hidden="1" customWidth="1"/>
    <col min="9" max="9" width="29.7109375" hidden="1" customWidth="1"/>
    <col min="10" max="10" width="23.42578125" hidden="1" customWidth="1"/>
    <col min="11" max="11" width="20.5703125" hidden="1" customWidth="1"/>
    <col min="12" max="12" width="14.5703125" hidden="1" customWidth="1"/>
    <col min="13" max="13" width="22.28515625" hidden="1" customWidth="1"/>
    <col min="14" max="14" width="35.28515625" hidden="1" customWidth="1"/>
    <col min="15" max="15" width="23.42578125" hidden="1" customWidth="1"/>
    <col min="16" max="16" width="24.7109375" hidden="1" customWidth="1"/>
    <col min="17" max="17" width="14.5703125" hidden="1" customWidth="1"/>
    <col min="18" max="18" width="71.85546875" customWidth="1"/>
    <col min="19" max="19" width="52.28515625" hidden="1" customWidth="1"/>
    <col min="20" max="20" width="8.7109375" customWidth="1"/>
    <col min="21" max="21" width="13.5703125" customWidth="1"/>
    <col min="22" max="24" width="8.7109375" customWidth="1"/>
  </cols>
  <sheetData>
    <row r="1" spans="1:24" ht="14.25" customHeight="1">
      <c r="A1" s="160" t="s">
        <v>255</v>
      </c>
      <c r="B1" s="160" t="s">
        <v>256</v>
      </c>
      <c r="C1" s="160" t="s">
        <v>257</v>
      </c>
      <c r="D1" s="160" t="s">
        <v>258</v>
      </c>
      <c r="E1" s="161" t="s">
        <v>180</v>
      </c>
      <c r="F1" s="160" t="s">
        <v>259</v>
      </c>
      <c r="G1" s="160" t="s">
        <v>260</v>
      </c>
      <c r="H1" s="160" t="s">
        <v>261</v>
      </c>
      <c r="I1" s="160" t="s">
        <v>262</v>
      </c>
      <c r="J1" s="160" t="s">
        <v>263</v>
      </c>
      <c r="K1" s="160" t="s">
        <v>264</v>
      </c>
      <c r="L1" s="160" t="s">
        <v>265</v>
      </c>
      <c r="M1" s="160" t="s">
        <v>266</v>
      </c>
      <c r="N1" s="160" t="s">
        <v>267</v>
      </c>
      <c r="O1" s="160" t="s">
        <v>268</v>
      </c>
      <c r="P1" s="160" t="s">
        <v>269</v>
      </c>
      <c r="Q1" s="160" t="s">
        <v>270</v>
      </c>
      <c r="R1" s="160" t="s">
        <v>271</v>
      </c>
      <c r="S1" s="160" t="s">
        <v>272</v>
      </c>
      <c r="T1" s="43" t="s">
        <v>273</v>
      </c>
      <c r="U1" s="43" t="s">
        <v>274</v>
      </c>
      <c r="V1" s="43" t="s">
        <v>275</v>
      </c>
      <c r="W1" s="43"/>
      <c r="X1" s="43"/>
    </row>
    <row r="2" spans="1:24" ht="14.25" customHeight="1">
      <c r="A2" s="190"/>
      <c r="B2" s="225"/>
      <c r="C2" s="190"/>
      <c r="D2" s="190"/>
      <c r="E2" s="232"/>
      <c r="F2" s="440"/>
      <c r="G2" s="191"/>
      <c r="H2" s="190"/>
      <c r="I2" s="190"/>
      <c r="J2" s="190"/>
      <c r="K2" s="190"/>
      <c r="L2" s="190"/>
      <c r="M2" s="190"/>
      <c r="N2" s="190"/>
      <c r="O2" s="190"/>
      <c r="P2" s="190"/>
      <c r="Q2" s="190"/>
      <c r="R2" s="190"/>
      <c r="S2" s="190"/>
      <c r="T2" s="43"/>
      <c r="U2" s="166"/>
      <c r="V2" s="43"/>
      <c r="W2" s="43"/>
      <c r="X2" s="43"/>
    </row>
    <row r="4" spans="1:24" ht="14.25" customHeight="1">
      <c r="A4" s="190" t="s">
        <v>1541</v>
      </c>
      <c r="B4" s="225">
        <v>45614</v>
      </c>
      <c r="C4" s="190" t="s">
        <v>2362</v>
      </c>
      <c r="D4" s="190" t="s">
        <v>281</v>
      </c>
      <c r="E4" s="232" t="s">
        <v>2363</v>
      </c>
      <c r="F4" s="441">
        <f>-480*3</f>
        <v>-1440</v>
      </c>
      <c r="G4" s="191" t="s">
        <v>1113</v>
      </c>
      <c r="H4" s="190"/>
      <c r="I4" s="190" t="s">
        <v>283</v>
      </c>
      <c r="J4" s="190"/>
      <c r="K4" s="190"/>
      <c r="L4" s="190" t="s">
        <v>305</v>
      </c>
      <c r="M4" s="190"/>
      <c r="N4" s="190" t="s">
        <v>978</v>
      </c>
      <c r="O4" s="190"/>
      <c r="P4" s="190"/>
      <c r="Q4" s="190"/>
      <c r="R4" s="190" t="s">
        <v>2364</v>
      </c>
      <c r="S4" s="190" t="s">
        <v>318</v>
      </c>
      <c r="T4" s="43">
        <f t="shared" ref="T4:T7" si="0">MONTH(B4)</f>
        <v>11</v>
      </c>
      <c r="U4" s="166">
        <f t="shared" ref="U4:U7" si="1">IF(V4="",B4,V4)</f>
        <v>45614</v>
      </c>
      <c r="V4" s="43"/>
      <c r="W4" s="43"/>
      <c r="X4" s="43"/>
    </row>
    <row r="5" spans="1:24" ht="14.25" customHeight="1">
      <c r="A5" s="298" t="s">
        <v>1541</v>
      </c>
      <c r="B5" s="299">
        <v>45614</v>
      </c>
      <c r="C5" s="298" t="s">
        <v>2365</v>
      </c>
      <c r="D5" s="298" t="s">
        <v>281</v>
      </c>
      <c r="E5" s="300" t="s">
        <v>2029</v>
      </c>
      <c r="F5" s="442">
        <v>-250</v>
      </c>
      <c r="G5" s="191" t="s">
        <v>1113</v>
      </c>
      <c r="H5" s="298"/>
      <c r="I5" s="298" t="s">
        <v>283</v>
      </c>
      <c r="J5" s="298"/>
      <c r="K5" s="298"/>
      <c r="L5" s="298" t="s">
        <v>305</v>
      </c>
      <c r="M5" s="298"/>
      <c r="N5" s="298" t="s">
        <v>978</v>
      </c>
      <c r="O5" s="298"/>
      <c r="P5" s="298"/>
      <c r="Q5" s="298"/>
      <c r="R5" s="298" t="s">
        <v>2366</v>
      </c>
      <c r="S5" s="298" t="s">
        <v>318</v>
      </c>
      <c r="T5" s="177">
        <f t="shared" si="0"/>
        <v>11</v>
      </c>
      <c r="U5" s="178">
        <f t="shared" si="1"/>
        <v>45614</v>
      </c>
      <c r="V5" s="177"/>
      <c r="W5" s="177"/>
      <c r="X5" s="177"/>
    </row>
    <row r="6" spans="1:24" ht="14.25" customHeight="1">
      <c r="A6" s="190" t="s">
        <v>1541</v>
      </c>
      <c r="B6" s="225">
        <v>45614</v>
      </c>
      <c r="C6" s="190" t="s">
        <v>2367</v>
      </c>
      <c r="D6" s="190" t="s">
        <v>281</v>
      </c>
      <c r="E6" s="232" t="s">
        <v>2368</v>
      </c>
      <c r="F6" s="441">
        <f>-187.9*2</f>
        <v>-375.8</v>
      </c>
      <c r="G6" s="191" t="s">
        <v>1113</v>
      </c>
      <c r="H6" s="190"/>
      <c r="I6" s="190" t="s">
        <v>283</v>
      </c>
      <c r="J6" s="190"/>
      <c r="K6" s="190"/>
      <c r="L6" s="190" t="s">
        <v>305</v>
      </c>
      <c r="M6" s="190"/>
      <c r="N6" s="190" t="s">
        <v>978</v>
      </c>
      <c r="O6" s="190"/>
      <c r="P6" s="190"/>
      <c r="Q6" s="190"/>
      <c r="R6" s="190" t="s">
        <v>2369</v>
      </c>
      <c r="S6" s="190" t="s">
        <v>318</v>
      </c>
      <c r="T6" s="43">
        <f t="shared" si="0"/>
        <v>11</v>
      </c>
      <c r="U6" s="166">
        <f t="shared" si="1"/>
        <v>45614</v>
      </c>
      <c r="V6" s="43"/>
      <c r="W6" s="43"/>
      <c r="X6" s="43"/>
    </row>
    <row r="7" spans="1:24" ht="14.25" customHeight="1">
      <c r="A7" s="190" t="s">
        <v>1541</v>
      </c>
      <c r="B7" s="225">
        <v>45621</v>
      </c>
      <c r="C7" s="190" t="s">
        <v>2367</v>
      </c>
      <c r="D7" s="190" t="s">
        <v>281</v>
      </c>
      <c r="E7" s="232" t="s">
        <v>2368</v>
      </c>
      <c r="F7" s="441">
        <f>-187.9</f>
        <v>-187.9</v>
      </c>
      <c r="G7" s="191" t="s">
        <v>1113</v>
      </c>
      <c r="H7" s="190"/>
      <c r="I7" s="190" t="s">
        <v>283</v>
      </c>
      <c r="J7" s="190"/>
      <c r="K7" s="190"/>
      <c r="L7" s="190" t="s">
        <v>305</v>
      </c>
      <c r="M7" s="190"/>
      <c r="N7" s="190" t="s">
        <v>978</v>
      </c>
      <c r="O7" s="190"/>
      <c r="P7" s="190"/>
      <c r="Q7" s="190"/>
      <c r="R7" s="190" t="s">
        <v>2366</v>
      </c>
      <c r="S7" s="190" t="s">
        <v>318</v>
      </c>
      <c r="T7" s="43">
        <f t="shared" si="0"/>
        <v>11</v>
      </c>
      <c r="U7" s="166">
        <f t="shared" si="1"/>
        <v>45621</v>
      </c>
      <c r="V7" s="43"/>
      <c r="W7" s="43"/>
      <c r="X7" s="43"/>
    </row>
    <row r="8" spans="1:24" ht="14.25" customHeight="1">
      <c r="A8" s="190" t="s">
        <v>1541</v>
      </c>
      <c r="B8" s="225">
        <v>45636</v>
      </c>
      <c r="C8" s="190" t="s">
        <v>2365</v>
      </c>
      <c r="D8" s="190" t="s">
        <v>281</v>
      </c>
      <c r="E8" s="232" t="s">
        <v>2029</v>
      </c>
      <c r="F8" s="441">
        <v>-250</v>
      </c>
      <c r="G8" s="191" t="s">
        <v>1113</v>
      </c>
      <c r="H8" s="190"/>
      <c r="I8" s="190" t="s">
        <v>283</v>
      </c>
      <c r="J8" s="190"/>
      <c r="K8" s="190"/>
      <c r="L8" s="190" t="s">
        <v>305</v>
      </c>
      <c r="M8" s="190"/>
      <c r="N8" s="190" t="s">
        <v>978</v>
      </c>
      <c r="O8" s="190"/>
      <c r="P8" s="190"/>
      <c r="Q8" s="190"/>
      <c r="R8" s="190" t="s">
        <v>2370</v>
      </c>
      <c r="S8" s="443" t="s">
        <v>318</v>
      </c>
      <c r="T8" s="99">
        <f>MONTH(B17)</f>
        <v>12</v>
      </c>
      <c r="U8" s="172">
        <f>IF(V8="",B17,V8)</f>
        <v>45628</v>
      </c>
      <c r="V8" s="99"/>
      <c r="W8" s="99"/>
      <c r="X8" s="99"/>
    </row>
    <row r="9" spans="1:24" ht="14.25" customHeight="1">
      <c r="A9" s="190" t="s">
        <v>1541</v>
      </c>
      <c r="B9" s="225">
        <v>45651</v>
      </c>
      <c r="C9" s="190" t="s">
        <v>2367</v>
      </c>
      <c r="D9" s="190" t="s">
        <v>281</v>
      </c>
      <c r="E9" s="232" t="s">
        <v>2368</v>
      </c>
      <c r="F9" s="441">
        <f>-187.9</f>
        <v>-187.9</v>
      </c>
      <c r="G9" s="191" t="s">
        <v>1113</v>
      </c>
      <c r="H9" s="190"/>
      <c r="I9" s="190" t="s">
        <v>283</v>
      </c>
      <c r="J9" s="190"/>
      <c r="K9" s="190"/>
      <c r="L9" s="190" t="s">
        <v>305</v>
      </c>
      <c r="M9" s="190"/>
      <c r="N9" s="190" t="s">
        <v>978</v>
      </c>
      <c r="O9" s="190"/>
      <c r="P9" s="190"/>
      <c r="Q9" s="190"/>
      <c r="R9" s="190" t="s">
        <v>2370</v>
      </c>
      <c r="S9" s="190" t="s">
        <v>318</v>
      </c>
      <c r="T9" s="43">
        <f t="shared" ref="T9:T16" si="2">MONTH(B9)</f>
        <v>12</v>
      </c>
      <c r="U9" s="166">
        <f t="shared" ref="U9:U16" si="3">IF(V9="",B9,V9)</f>
        <v>45651</v>
      </c>
      <c r="V9" s="43"/>
      <c r="W9" s="43"/>
      <c r="X9" s="43"/>
    </row>
    <row r="10" spans="1:24" ht="14.25" customHeight="1">
      <c r="A10" s="295"/>
      <c r="B10" s="166"/>
      <c r="C10" s="295"/>
      <c r="D10" s="295"/>
      <c r="E10" s="444"/>
      <c r="F10" s="144"/>
      <c r="G10" s="144"/>
      <c r="H10" s="295"/>
      <c r="I10" s="295"/>
      <c r="J10" s="295"/>
      <c r="K10" s="295"/>
      <c r="L10" s="295"/>
      <c r="M10" s="295"/>
      <c r="N10" s="295"/>
      <c r="O10" s="295"/>
      <c r="P10" s="295"/>
      <c r="Q10" s="295"/>
      <c r="R10" s="295"/>
      <c r="S10" s="190" t="s">
        <v>325</v>
      </c>
      <c r="T10" s="43">
        <f t="shared" si="2"/>
        <v>1</v>
      </c>
      <c r="U10" s="167">
        <f t="shared" si="3"/>
        <v>0</v>
      </c>
      <c r="V10" s="43"/>
      <c r="W10" s="43"/>
      <c r="X10" s="43"/>
    </row>
    <row r="11" spans="1:24" ht="14.25" hidden="1" customHeight="1">
      <c r="A11" s="295" t="s">
        <v>2371</v>
      </c>
      <c r="B11" s="166">
        <v>45625</v>
      </c>
      <c r="C11" s="295" t="s">
        <v>1738</v>
      </c>
      <c r="D11" s="295"/>
      <c r="E11" s="444"/>
      <c r="F11" s="144">
        <v>-435.27</v>
      </c>
      <c r="G11" s="144"/>
      <c r="H11" s="295"/>
      <c r="I11" s="295"/>
      <c r="J11" s="295"/>
      <c r="K11" s="295"/>
      <c r="L11" s="295"/>
      <c r="M11" s="295"/>
      <c r="N11" s="295"/>
      <c r="O11" s="295"/>
      <c r="P11" s="295"/>
      <c r="Q11" s="295"/>
      <c r="R11" s="295"/>
      <c r="S11" s="190" t="s">
        <v>1105</v>
      </c>
      <c r="T11" s="43">
        <f t="shared" si="2"/>
        <v>11</v>
      </c>
      <c r="U11" s="167">
        <f t="shared" si="3"/>
        <v>45625</v>
      </c>
      <c r="V11" s="43"/>
      <c r="W11" s="43"/>
      <c r="X11" s="43"/>
    </row>
    <row r="12" spans="1:24" ht="14.25" hidden="1" customHeight="1">
      <c r="A12" s="295" t="s">
        <v>2371</v>
      </c>
      <c r="B12" s="166">
        <v>45625</v>
      </c>
      <c r="C12" s="295" t="s">
        <v>2372</v>
      </c>
      <c r="D12" s="295"/>
      <c r="E12" s="444"/>
      <c r="F12" s="144">
        <v>-907.32</v>
      </c>
      <c r="G12" s="144"/>
      <c r="H12" s="295"/>
      <c r="I12" s="295"/>
      <c r="J12" s="295"/>
      <c r="K12" s="295"/>
      <c r="L12" s="295"/>
      <c r="M12" s="295"/>
      <c r="N12" s="295"/>
      <c r="O12" s="295"/>
      <c r="P12" s="295"/>
      <c r="Q12" s="295"/>
      <c r="R12" s="295"/>
      <c r="S12" s="190" t="s">
        <v>2373</v>
      </c>
      <c r="T12" s="43">
        <f t="shared" si="2"/>
        <v>11</v>
      </c>
      <c r="U12" s="167">
        <f t="shared" si="3"/>
        <v>45625</v>
      </c>
      <c r="V12" s="43"/>
      <c r="W12" s="43"/>
      <c r="X12" s="43"/>
    </row>
    <row r="13" spans="1:24" ht="14.25" hidden="1" customHeight="1">
      <c r="A13" s="295" t="s">
        <v>2371</v>
      </c>
      <c r="B13" s="166">
        <v>45625</v>
      </c>
      <c r="C13" s="295" t="s">
        <v>2374</v>
      </c>
      <c r="D13" s="295"/>
      <c r="E13" s="444"/>
      <c r="F13" s="144">
        <v>-833.74</v>
      </c>
      <c r="G13" s="144"/>
      <c r="H13" s="295"/>
      <c r="I13" s="295"/>
      <c r="J13" s="295"/>
      <c r="K13" s="295"/>
      <c r="L13" s="295"/>
      <c r="M13" s="295"/>
      <c r="N13" s="295"/>
      <c r="O13" s="295"/>
      <c r="P13" s="295"/>
      <c r="Q13" s="295"/>
      <c r="R13" s="295"/>
      <c r="S13" s="190"/>
      <c r="T13" s="43">
        <f t="shared" si="2"/>
        <v>11</v>
      </c>
      <c r="U13" s="167">
        <f t="shared" si="3"/>
        <v>45625</v>
      </c>
      <c r="V13" s="43"/>
      <c r="W13" s="43"/>
      <c r="X13" s="43"/>
    </row>
    <row r="14" spans="1:24" ht="14.25" hidden="1" customHeight="1">
      <c r="A14" s="295"/>
      <c r="B14" s="166"/>
      <c r="C14" s="295"/>
      <c r="D14" s="295"/>
      <c r="E14" s="444"/>
      <c r="F14" s="144"/>
      <c r="G14" s="144"/>
      <c r="H14" s="295"/>
      <c r="I14" s="295"/>
      <c r="J14" s="295"/>
      <c r="K14" s="295"/>
      <c r="L14" s="295"/>
      <c r="M14" s="295"/>
      <c r="N14" s="295"/>
      <c r="O14" s="295"/>
      <c r="P14" s="295"/>
      <c r="Q14" s="295"/>
      <c r="R14" s="295"/>
      <c r="S14" s="190"/>
      <c r="T14" s="43">
        <f t="shared" si="2"/>
        <v>1</v>
      </c>
      <c r="U14" s="167">
        <f t="shared" si="3"/>
        <v>0</v>
      </c>
      <c r="V14" s="43"/>
      <c r="W14" s="43"/>
      <c r="X14" s="43"/>
    </row>
    <row r="15" spans="1:24" ht="14.25" customHeight="1">
      <c r="A15" s="295"/>
      <c r="B15" s="166"/>
      <c r="C15" s="295"/>
      <c r="D15" s="295"/>
      <c r="E15" s="444"/>
      <c r="F15" s="445">
        <f>SUM(F4,F6,F7,F8,F9,F10)</f>
        <v>-2441.6</v>
      </c>
      <c r="G15" s="144"/>
      <c r="H15" s="295"/>
      <c r="I15" s="295"/>
      <c r="J15" s="295"/>
      <c r="K15" s="295"/>
      <c r="L15" s="295"/>
      <c r="M15" s="295"/>
      <c r="N15" s="295"/>
      <c r="O15" s="295"/>
      <c r="P15" s="295"/>
      <c r="Q15" s="295"/>
      <c r="R15" s="295"/>
      <c r="S15" s="190"/>
      <c r="T15" s="43">
        <f t="shared" si="2"/>
        <v>1</v>
      </c>
      <c r="U15" s="167">
        <f t="shared" si="3"/>
        <v>0</v>
      </c>
      <c r="V15" s="43"/>
      <c r="W15" s="43"/>
      <c r="X15" s="43"/>
    </row>
    <row r="16" spans="1:24" ht="14.25" customHeight="1">
      <c r="A16" s="295"/>
      <c r="B16" s="166"/>
      <c r="C16" s="295"/>
      <c r="D16" s="295"/>
      <c r="E16" s="444"/>
      <c r="G16" s="144"/>
      <c r="H16" s="295"/>
      <c r="I16" s="295"/>
      <c r="J16" s="295"/>
      <c r="K16" s="295"/>
      <c r="L16" s="295"/>
      <c r="M16" s="295"/>
      <c r="N16" s="295"/>
      <c r="O16" s="295"/>
      <c r="P16" s="295"/>
      <c r="Q16" s="295"/>
      <c r="R16" s="295"/>
      <c r="S16" s="190" t="s">
        <v>354</v>
      </c>
      <c r="T16" s="43">
        <f t="shared" si="2"/>
        <v>1</v>
      </c>
      <c r="U16" s="167">
        <f t="shared" si="3"/>
        <v>0</v>
      </c>
      <c r="V16" s="43"/>
      <c r="W16" s="43"/>
      <c r="X16" s="43"/>
    </row>
    <row r="17" spans="1:24" ht="14.25" customHeight="1">
      <c r="A17" s="443" t="s">
        <v>1541</v>
      </c>
      <c r="B17" s="446">
        <v>45628</v>
      </c>
      <c r="C17" s="443" t="s">
        <v>2362</v>
      </c>
      <c r="D17" s="443" t="s">
        <v>281</v>
      </c>
      <c r="E17" s="443" t="s">
        <v>2363</v>
      </c>
      <c r="F17" s="185">
        <v>-240</v>
      </c>
      <c r="G17" s="185"/>
      <c r="H17" s="443"/>
      <c r="I17" s="443" t="s">
        <v>283</v>
      </c>
      <c r="J17" s="443"/>
      <c r="K17" s="443"/>
      <c r="L17" s="443" t="s">
        <v>305</v>
      </c>
      <c r="M17" s="443"/>
      <c r="N17" s="443" t="s">
        <v>978</v>
      </c>
      <c r="O17" s="443"/>
      <c r="P17" s="443"/>
      <c r="Q17" s="443"/>
      <c r="R17" s="443" t="s">
        <v>2375</v>
      </c>
      <c r="S17" s="190"/>
      <c r="T17" s="43" t="e">
        <f>MONTH(#REF!)</f>
        <v>#REF!</v>
      </c>
      <c r="U17" s="167" t="e">
        <f>IF(V17="",#REF!,V17)</f>
        <v>#REF!</v>
      </c>
      <c r="V17" s="43"/>
      <c r="W17" s="43"/>
      <c r="X17" s="43"/>
    </row>
    <row r="18" spans="1:24" ht="14.25" customHeight="1">
      <c r="A18" s="443" t="s">
        <v>1541</v>
      </c>
      <c r="B18" s="446">
        <v>45646</v>
      </c>
      <c r="C18" s="443" t="s">
        <v>2362</v>
      </c>
      <c r="D18" s="443" t="s">
        <v>281</v>
      </c>
      <c r="E18" s="443" t="s">
        <v>2363</v>
      </c>
      <c r="F18" s="185">
        <v>-240</v>
      </c>
      <c r="G18" s="185"/>
      <c r="H18" s="443"/>
      <c r="I18" s="443" t="s">
        <v>283</v>
      </c>
      <c r="J18" s="443"/>
      <c r="K18" s="443"/>
      <c r="L18" s="443" t="s">
        <v>305</v>
      </c>
      <c r="M18" s="443"/>
      <c r="N18" s="443" t="s">
        <v>978</v>
      </c>
      <c r="O18" s="443"/>
      <c r="P18" s="443"/>
      <c r="Q18" s="443"/>
      <c r="R18" s="443" t="s">
        <v>2376</v>
      </c>
      <c r="S18" s="443" t="s">
        <v>318</v>
      </c>
      <c r="T18" s="99">
        <f t="shared" ref="T18:T272" si="4">MONTH(B18)</f>
        <v>12</v>
      </c>
      <c r="U18" s="172">
        <f t="shared" ref="U18:U272" si="5">IF(V18="",B18,V18)</f>
        <v>45646</v>
      </c>
      <c r="V18" s="99"/>
      <c r="W18" s="99"/>
      <c r="X18" s="99"/>
    </row>
    <row r="19" spans="1:24" ht="14.25" customHeight="1">
      <c r="A19" s="190" t="s">
        <v>1541</v>
      </c>
      <c r="B19" s="225">
        <v>45614</v>
      </c>
      <c r="C19" s="190" t="s">
        <v>2362</v>
      </c>
      <c r="D19" s="190" t="s">
        <v>281</v>
      </c>
      <c r="E19" s="232" t="s">
        <v>2363</v>
      </c>
      <c r="F19" s="440">
        <f>(-1750)</f>
        <v>-1750</v>
      </c>
      <c r="G19" s="191"/>
      <c r="H19" s="190"/>
      <c r="I19" s="190" t="s">
        <v>283</v>
      </c>
      <c r="J19" s="190"/>
      <c r="K19" s="190"/>
      <c r="L19" s="190" t="s">
        <v>305</v>
      </c>
      <c r="M19" s="190"/>
      <c r="N19" s="190" t="s">
        <v>978</v>
      </c>
      <c r="O19" s="190"/>
      <c r="P19" s="190"/>
      <c r="Q19" s="190"/>
      <c r="R19" s="190" t="s">
        <v>2377</v>
      </c>
      <c r="S19" s="190" t="s">
        <v>318</v>
      </c>
      <c r="T19" s="43">
        <f t="shared" si="4"/>
        <v>11</v>
      </c>
      <c r="U19" s="166">
        <f t="shared" si="5"/>
        <v>45614</v>
      </c>
      <c r="V19" s="43"/>
      <c r="W19" s="43"/>
      <c r="X19" s="43"/>
    </row>
    <row r="20" spans="1:24" ht="14.25" customHeight="1">
      <c r="A20" s="295"/>
      <c r="B20" s="166"/>
      <c r="C20" s="295"/>
      <c r="D20" s="295"/>
      <c r="E20" s="444"/>
      <c r="F20" s="144"/>
      <c r="G20" s="144"/>
      <c r="H20" s="295"/>
      <c r="I20" s="295"/>
      <c r="J20" s="295"/>
      <c r="K20" s="295"/>
      <c r="L20" s="295"/>
      <c r="M20" s="295"/>
      <c r="N20" s="295"/>
      <c r="O20" s="295"/>
      <c r="P20" s="295"/>
      <c r="Q20" s="295"/>
      <c r="R20" s="295"/>
      <c r="S20" s="190"/>
      <c r="T20" s="43">
        <f t="shared" si="4"/>
        <v>1</v>
      </c>
      <c r="U20" s="167">
        <f t="shared" si="5"/>
        <v>0</v>
      </c>
      <c r="V20" s="43"/>
      <c r="W20" s="43"/>
      <c r="X20" s="43"/>
    </row>
    <row r="21" spans="1:24" ht="14.25" customHeight="1">
      <c r="A21" s="295"/>
      <c r="B21" s="166"/>
      <c r="C21" s="295"/>
      <c r="D21" s="295"/>
      <c r="E21" s="444"/>
      <c r="F21" s="144"/>
      <c r="G21" s="144"/>
      <c r="H21" s="295"/>
      <c r="I21" s="295"/>
      <c r="J21" s="295"/>
      <c r="K21" s="295"/>
      <c r="L21" s="295"/>
      <c r="M21" s="295"/>
      <c r="N21" s="295"/>
      <c r="O21" s="295"/>
      <c r="P21" s="295"/>
      <c r="Q21" s="295"/>
      <c r="R21" s="295"/>
      <c r="S21" s="190"/>
      <c r="T21" s="43">
        <f t="shared" si="4"/>
        <v>1</v>
      </c>
      <c r="U21" s="167">
        <f t="shared" si="5"/>
        <v>0</v>
      </c>
      <c r="V21" s="43"/>
      <c r="W21" s="43"/>
      <c r="X21" s="43"/>
    </row>
    <row r="22" spans="1:24" ht="14.25" customHeight="1">
      <c r="A22" s="295"/>
      <c r="B22" s="166"/>
      <c r="C22" s="295"/>
      <c r="D22" s="295"/>
      <c r="E22" s="444"/>
      <c r="F22" s="144"/>
      <c r="G22" s="144"/>
      <c r="H22" s="295"/>
      <c r="I22" s="295"/>
      <c r="J22" s="295"/>
      <c r="K22" s="295"/>
      <c r="L22" s="295"/>
      <c r="M22" s="295"/>
      <c r="N22" s="295"/>
      <c r="O22" s="295"/>
      <c r="P22" s="295"/>
      <c r="Q22" s="295"/>
      <c r="R22" s="295"/>
      <c r="S22" s="190"/>
      <c r="T22" s="43">
        <f t="shared" si="4"/>
        <v>1</v>
      </c>
      <c r="U22" s="167">
        <f t="shared" si="5"/>
        <v>0</v>
      </c>
      <c r="V22" s="43"/>
      <c r="W22" s="43"/>
      <c r="X22" s="43"/>
    </row>
    <row r="23" spans="1:24" ht="14.25" customHeight="1">
      <c r="A23" s="295"/>
      <c r="B23" s="166"/>
      <c r="C23" s="295"/>
      <c r="D23" s="295"/>
      <c r="E23" s="444"/>
      <c r="F23" s="144"/>
      <c r="G23" s="144"/>
      <c r="H23" s="295"/>
      <c r="I23" s="295"/>
      <c r="J23" s="295"/>
      <c r="K23" s="295"/>
      <c r="L23" s="295"/>
      <c r="M23" s="295"/>
      <c r="N23" s="295"/>
      <c r="O23" s="295"/>
      <c r="P23" s="295"/>
      <c r="Q23" s="295"/>
      <c r="R23" s="295"/>
      <c r="S23" s="190"/>
      <c r="T23" s="43">
        <f t="shared" si="4"/>
        <v>1</v>
      </c>
      <c r="U23" s="167">
        <f t="shared" si="5"/>
        <v>0</v>
      </c>
      <c r="V23" s="43"/>
      <c r="W23" s="43"/>
      <c r="X23" s="43"/>
    </row>
    <row r="24" spans="1:24" ht="14.25" customHeight="1">
      <c r="A24" s="295"/>
      <c r="B24" s="166"/>
      <c r="C24" s="295"/>
      <c r="D24" s="295"/>
      <c r="E24" s="444"/>
      <c r="F24" s="144"/>
      <c r="G24" s="144"/>
      <c r="H24" s="295"/>
      <c r="I24" s="295"/>
      <c r="J24" s="295"/>
      <c r="K24" s="295"/>
      <c r="L24" s="295"/>
      <c r="M24" s="295"/>
      <c r="N24" s="295"/>
      <c r="O24" s="295"/>
      <c r="P24" s="295"/>
      <c r="Q24" s="295"/>
      <c r="R24" s="295"/>
      <c r="S24" s="190"/>
      <c r="T24" s="43">
        <f t="shared" si="4"/>
        <v>1</v>
      </c>
      <c r="U24" s="167">
        <f t="shared" si="5"/>
        <v>0</v>
      </c>
      <c r="V24" s="43"/>
      <c r="W24" s="43"/>
      <c r="X24" s="43"/>
    </row>
    <row r="25" spans="1:24" ht="14.25" customHeight="1">
      <c r="A25" s="295"/>
      <c r="B25" s="166"/>
      <c r="C25" s="295"/>
      <c r="D25" s="295"/>
      <c r="E25" s="444"/>
      <c r="F25" s="144"/>
      <c r="G25" s="144"/>
      <c r="H25" s="295"/>
      <c r="I25" s="295"/>
      <c r="J25" s="295"/>
      <c r="K25" s="295"/>
      <c r="L25" s="295"/>
      <c r="M25" s="295"/>
      <c r="N25" s="295"/>
      <c r="O25" s="295"/>
      <c r="P25" s="295"/>
      <c r="Q25" s="295"/>
      <c r="R25" s="295"/>
      <c r="S25" s="190" t="s">
        <v>354</v>
      </c>
      <c r="T25" s="43">
        <f t="shared" si="4"/>
        <v>1</v>
      </c>
      <c r="U25" s="167">
        <f t="shared" si="5"/>
        <v>0</v>
      </c>
      <c r="V25" s="43"/>
      <c r="W25" s="43"/>
      <c r="X25" s="43"/>
    </row>
    <row r="26" spans="1:24" ht="14.25" customHeight="1">
      <c r="A26" s="295"/>
      <c r="B26" s="166"/>
      <c r="C26" s="295"/>
      <c r="D26" s="295"/>
      <c r="E26" s="444"/>
      <c r="F26" s="144"/>
      <c r="G26" s="144"/>
      <c r="H26" s="295"/>
      <c r="I26" s="295"/>
      <c r="J26" s="295"/>
      <c r="K26" s="295"/>
      <c r="L26" s="295"/>
      <c r="M26" s="295"/>
      <c r="N26" s="295"/>
      <c r="O26" s="295"/>
      <c r="P26" s="295"/>
      <c r="Q26" s="295"/>
      <c r="R26" s="295"/>
      <c r="S26" s="190"/>
      <c r="T26" s="43">
        <f t="shared" si="4"/>
        <v>1</v>
      </c>
      <c r="U26" s="167">
        <f t="shared" si="5"/>
        <v>0</v>
      </c>
      <c r="V26" s="43"/>
      <c r="W26" s="43"/>
      <c r="X26" s="43"/>
    </row>
    <row r="27" spans="1:24" ht="14.25" customHeight="1">
      <c r="A27" s="295"/>
      <c r="B27" s="166"/>
      <c r="C27" s="295"/>
      <c r="D27" s="295"/>
      <c r="E27" s="444"/>
      <c r="F27" s="144"/>
      <c r="G27" s="144"/>
      <c r="H27" s="295"/>
      <c r="I27" s="295"/>
      <c r="J27" s="295"/>
      <c r="K27" s="295"/>
      <c r="L27" s="295"/>
      <c r="M27" s="295"/>
      <c r="N27" s="295"/>
      <c r="O27" s="295"/>
      <c r="P27" s="295"/>
      <c r="Q27" s="295"/>
      <c r="R27" s="295"/>
      <c r="S27" s="190"/>
      <c r="T27" s="43">
        <f t="shared" si="4"/>
        <v>1</v>
      </c>
      <c r="U27" s="167">
        <f t="shared" si="5"/>
        <v>0</v>
      </c>
      <c r="V27" s="43"/>
      <c r="W27" s="43"/>
      <c r="X27" s="43"/>
    </row>
    <row r="28" spans="1:24" ht="14.25" customHeight="1">
      <c r="A28" s="295"/>
      <c r="B28" s="166"/>
      <c r="C28" s="295"/>
      <c r="D28" s="295"/>
      <c r="E28" s="444"/>
      <c r="F28" s="144"/>
      <c r="G28" s="144"/>
      <c r="H28" s="295"/>
      <c r="I28" s="295"/>
      <c r="J28" s="295"/>
      <c r="K28" s="295"/>
      <c r="L28" s="295"/>
      <c r="M28" s="295"/>
      <c r="N28" s="295"/>
      <c r="O28" s="295"/>
      <c r="P28" s="295"/>
      <c r="Q28" s="295"/>
      <c r="R28" s="295"/>
      <c r="S28" s="190"/>
      <c r="T28" s="43">
        <f t="shared" si="4"/>
        <v>1</v>
      </c>
      <c r="U28" s="167">
        <f t="shared" si="5"/>
        <v>0</v>
      </c>
      <c r="V28" s="43"/>
      <c r="W28" s="43"/>
      <c r="X28" s="43"/>
    </row>
    <row r="29" spans="1:24" ht="14.25" customHeight="1">
      <c r="A29" s="295"/>
      <c r="B29" s="166"/>
      <c r="C29" s="295"/>
      <c r="D29" s="295"/>
      <c r="E29" s="444"/>
      <c r="F29" s="144"/>
      <c r="G29" s="144"/>
      <c r="H29" s="295"/>
      <c r="I29" s="295"/>
      <c r="J29" s="295"/>
      <c r="K29" s="295"/>
      <c r="L29" s="295"/>
      <c r="M29" s="295"/>
      <c r="N29" s="295"/>
      <c r="O29" s="295"/>
      <c r="P29" s="295"/>
      <c r="Q29" s="295"/>
      <c r="R29" s="295"/>
      <c r="S29" s="190"/>
      <c r="T29" s="43">
        <f t="shared" si="4"/>
        <v>1</v>
      </c>
      <c r="U29" s="167">
        <f t="shared" si="5"/>
        <v>0</v>
      </c>
      <c r="V29" s="43"/>
      <c r="W29" s="43"/>
      <c r="X29" s="43"/>
    </row>
    <row r="30" spans="1:24" ht="14.25" customHeight="1">
      <c r="A30" s="295"/>
      <c r="B30" s="166"/>
      <c r="C30" s="295"/>
      <c r="D30" s="295"/>
      <c r="E30" s="444"/>
      <c r="F30" s="144"/>
      <c r="G30" s="144"/>
      <c r="H30" s="295"/>
      <c r="I30" s="295"/>
      <c r="J30" s="295"/>
      <c r="K30" s="295"/>
      <c r="L30" s="295"/>
      <c r="M30" s="295"/>
      <c r="N30" s="295"/>
      <c r="O30" s="295"/>
      <c r="P30" s="295"/>
      <c r="Q30" s="295"/>
      <c r="R30" s="295"/>
      <c r="S30" s="190"/>
      <c r="T30" s="43">
        <f t="shared" si="4"/>
        <v>1</v>
      </c>
      <c r="U30" s="167">
        <f t="shared" si="5"/>
        <v>0</v>
      </c>
      <c r="V30" s="43"/>
      <c r="W30" s="43"/>
      <c r="X30" s="43"/>
    </row>
    <row r="31" spans="1:24" ht="14.25" customHeight="1">
      <c r="A31" s="295"/>
      <c r="B31" s="166"/>
      <c r="C31" s="295"/>
      <c r="D31" s="295"/>
      <c r="E31" s="444"/>
      <c r="F31" s="144"/>
      <c r="G31" s="144"/>
      <c r="H31" s="295"/>
      <c r="I31" s="295"/>
      <c r="J31" s="295"/>
      <c r="K31" s="295"/>
      <c r="L31" s="295"/>
      <c r="M31" s="295"/>
      <c r="N31" s="295"/>
      <c r="O31" s="295"/>
      <c r="P31" s="295"/>
      <c r="Q31" s="295"/>
      <c r="R31" s="295"/>
      <c r="S31" s="190"/>
      <c r="T31" s="43">
        <f t="shared" si="4"/>
        <v>1</v>
      </c>
      <c r="U31" s="167">
        <f t="shared" si="5"/>
        <v>0</v>
      </c>
      <c r="V31" s="43"/>
      <c r="W31" s="43"/>
      <c r="X31" s="43"/>
    </row>
    <row r="32" spans="1:24" ht="14.25" customHeight="1">
      <c r="A32" s="295"/>
      <c r="B32" s="166"/>
      <c r="C32" s="295"/>
      <c r="D32" s="295"/>
      <c r="E32" s="444"/>
      <c r="F32" s="144"/>
      <c r="G32" s="144"/>
      <c r="H32" s="295"/>
      <c r="I32" s="295"/>
      <c r="J32" s="295"/>
      <c r="K32" s="295"/>
      <c r="L32" s="295"/>
      <c r="M32" s="295"/>
      <c r="N32" s="295"/>
      <c r="O32" s="295"/>
      <c r="P32" s="295"/>
      <c r="Q32" s="295"/>
      <c r="R32" s="295"/>
      <c r="S32" s="190"/>
      <c r="T32" s="43">
        <f t="shared" si="4"/>
        <v>1</v>
      </c>
      <c r="U32" s="167">
        <f t="shared" si="5"/>
        <v>0</v>
      </c>
      <c r="V32" s="43"/>
      <c r="W32" s="43"/>
      <c r="X32" s="43"/>
    </row>
    <row r="33" spans="1:24" ht="14.25" customHeight="1">
      <c r="A33" s="295"/>
      <c r="B33" s="166"/>
      <c r="C33" s="295"/>
      <c r="D33" s="295"/>
      <c r="E33" s="444"/>
      <c r="F33" s="144"/>
      <c r="G33" s="144"/>
      <c r="H33" s="295"/>
      <c r="I33" s="295"/>
      <c r="J33" s="295"/>
      <c r="K33" s="295"/>
      <c r="L33" s="295"/>
      <c r="M33" s="295"/>
      <c r="N33" s="295"/>
      <c r="O33" s="295"/>
      <c r="P33" s="295"/>
      <c r="Q33" s="295"/>
      <c r="R33" s="295"/>
      <c r="S33" s="190"/>
      <c r="T33" s="43">
        <f t="shared" si="4"/>
        <v>1</v>
      </c>
      <c r="U33" s="167">
        <f t="shared" si="5"/>
        <v>0</v>
      </c>
      <c r="V33" s="43"/>
      <c r="W33" s="43"/>
      <c r="X33" s="43"/>
    </row>
    <row r="34" spans="1:24" ht="14.25" customHeight="1">
      <c r="A34" s="295"/>
      <c r="B34" s="166"/>
      <c r="C34" s="295"/>
      <c r="D34" s="295"/>
      <c r="E34" s="444"/>
      <c r="F34" s="144"/>
      <c r="G34" s="144"/>
      <c r="H34" s="295"/>
      <c r="I34" s="295"/>
      <c r="J34" s="295"/>
      <c r="K34" s="295"/>
      <c r="L34" s="295"/>
      <c r="M34" s="295"/>
      <c r="N34" s="295"/>
      <c r="O34" s="295"/>
      <c r="P34" s="295"/>
      <c r="Q34" s="295"/>
      <c r="R34" s="295"/>
      <c r="S34" s="190"/>
      <c r="T34" s="43">
        <f t="shared" si="4"/>
        <v>1</v>
      </c>
      <c r="U34" s="167">
        <f t="shared" si="5"/>
        <v>0</v>
      </c>
      <c r="V34" s="43"/>
      <c r="W34" s="43"/>
      <c r="X34" s="43"/>
    </row>
    <row r="35" spans="1:24" ht="14.25" customHeight="1">
      <c r="A35" s="295"/>
      <c r="B35" s="166"/>
      <c r="C35" s="295"/>
      <c r="D35" s="295"/>
      <c r="E35" s="444"/>
      <c r="F35" s="144"/>
      <c r="G35" s="144"/>
      <c r="H35" s="295"/>
      <c r="I35" s="295"/>
      <c r="J35" s="295"/>
      <c r="K35" s="295"/>
      <c r="L35" s="295"/>
      <c r="M35" s="295"/>
      <c r="N35" s="295"/>
      <c r="O35" s="295"/>
      <c r="P35" s="295"/>
      <c r="Q35" s="295"/>
      <c r="R35" s="295"/>
      <c r="S35" s="190" t="s">
        <v>1180</v>
      </c>
      <c r="T35" s="43">
        <f t="shared" si="4"/>
        <v>1</v>
      </c>
      <c r="U35" s="167">
        <f t="shared" si="5"/>
        <v>0</v>
      </c>
      <c r="V35" s="43"/>
      <c r="W35" s="43"/>
      <c r="X35" s="43"/>
    </row>
    <row r="36" spans="1:24" ht="14.25" customHeight="1">
      <c r="A36" s="295"/>
      <c r="B36" s="166"/>
      <c r="C36" s="295"/>
      <c r="D36" s="295"/>
      <c r="E36" s="444"/>
      <c r="F36" s="144"/>
      <c r="G36" s="144"/>
      <c r="H36" s="295"/>
      <c r="I36" s="295"/>
      <c r="J36" s="295"/>
      <c r="K36" s="295"/>
      <c r="L36" s="295"/>
      <c r="M36" s="295"/>
      <c r="N36" s="295"/>
      <c r="O36" s="295"/>
      <c r="P36" s="295"/>
      <c r="Q36" s="295"/>
      <c r="R36" s="295"/>
      <c r="S36" s="190" t="s">
        <v>1187</v>
      </c>
      <c r="T36" s="43">
        <f t="shared" si="4"/>
        <v>1</v>
      </c>
      <c r="U36" s="167">
        <f t="shared" si="5"/>
        <v>0</v>
      </c>
      <c r="V36" s="43"/>
      <c r="W36" s="43"/>
      <c r="X36" s="43"/>
    </row>
    <row r="37" spans="1:24" ht="14.25" customHeight="1">
      <c r="A37" s="295"/>
      <c r="B37" s="166"/>
      <c r="C37" s="295"/>
      <c r="D37" s="295"/>
      <c r="E37" s="444"/>
      <c r="F37" s="144"/>
      <c r="G37" s="144"/>
      <c r="H37" s="295"/>
      <c r="I37" s="295"/>
      <c r="J37" s="295"/>
      <c r="K37" s="295"/>
      <c r="L37" s="295"/>
      <c r="M37" s="295"/>
      <c r="N37" s="295"/>
      <c r="O37" s="295"/>
      <c r="P37" s="295"/>
      <c r="Q37" s="295"/>
      <c r="R37" s="295"/>
      <c r="S37" s="190" t="s">
        <v>1285</v>
      </c>
      <c r="T37" s="43">
        <f t="shared" si="4"/>
        <v>1</v>
      </c>
      <c r="U37" s="167">
        <f t="shared" si="5"/>
        <v>0</v>
      </c>
      <c r="V37" s="43"/>
      <c r="W37" s="43"/>
      <c r="X37" s="43"/>
    </row>
    <row r="38" spans="1:24" ht="14.25" customHeight="1">
      <c r="A38" s="295"/>
      <c r="B38" s="166"/>
      <c r="C38" s="295"/>
      <c r="D38" s="295"/>
      <c r="E38" s="444"/>
      <c r="F38" s="144"/>
      <c r="G38" s="144"/>
      <c r="H38" s="295"/>
      <c r="I38" s="295"/>
      <c r="J38" s="295"/>
      <c r="K38" s="295"/>
      <c r="L38" s="295"/>
      <c r="M38" s="295"/>
      <c r="N38" s="295"/>
      <c r="O38" s="295"/>
      <c r="P38" s="295"/>
      <c r="Q38" s="295"/>
      <c r="R38" s="295"/>
      <c r="S38" s="190" t="s">
        <v>1208</v>
      </c>
      <c r="T38" s="43">
        <f t="shared" si="4"/>
        <v>1</v>
      </c>
      <c r="U38" s="167">
        <f t="shared" si="5"/>
        <v>0</v>
      </c>
      <c r="V38" s="43"/>
      <c r="W38" s="43"/>
      <c r="X38" s="43"/>
    </row>
    <row r="39" spans="1:24" ht="14.25" customHeight="1">
      <c r="A39" s="295"/>
      <c r="B39" s="166"/>
      <c r="C39" s="295"/>
      <c r="D39" s="295"/>
      <c r="E39" s="444"/>
      <c r="F39" s="144"/>
      <c r="G39" s="144"/>
      <c r="H39" s="295"/>
      <c r="I39" s="295"/>
      <c r="J39" s="295"/>
      <c r="K39" s="295"/>
      <c r="L39" s="295"/>
      <c r="M39" s="295"/>
      <c r="N39" s="295"/>
      <c r="O39" s="295"/>
      <c r="P39" s="295"/>
      <c r="Q39" s="295"/>
      <c r="R39" s="295"/>
      <c r="S39" s="190" t="s">
        <v>1262</v>
      </c>
      <c r="T39" s="43">
        <f t="shared" si="4"/>
        <v>1</v>
      </c>
      <c r="U39" s="167">
        <f t="shared" si="5"/>
        <v>0</v>
      </c>
      <c r="V39" s="43"/>
      <c r="W39" s="43"/>
      <c r="X39" s="43"/>
    </row>
    <row r="40" spans="1:24" ht="14.25" customHeight="1">
      <c r="A40" s="295"/>
      <c r="B40" s="166"/>
      <c r="C40" s="295"/>
      <c r="D40" s="295"/>
      <c r="E40" s="444"/>
      <c r="F40" s="144"/>
      <c r="G40" s="144"/>
      <c r="H40" s="295"/>
      <c r="I40" s="295"/>
      <c r="J40" s="295"/>
      <c r="K40" s="295"/>
      <c r="L40" s="295"/>
      <c r="M40" s="295"/>
      <c r="N40" s="295"/>
      <c r="O40" s="295"/>
      <c r="P40" s="295"/>
      <c r="Q40" s="295"/>
      <c r="R40" s="295"/>
      <c r="S40" s="190" t="s">
        <v>1203</v>
      </c>
      <c r="T40" s="43">
        <f t="shared" si="4"/>
        <v>1</v>
      </c>
      <c r="U40" s="167">
        <f t="shared" si="5"/>
        <v>0</v>
      </c>
      <c r="V40" s="43"/>
      <c r="W40" s="43"/>
      <c r="X40" s="43"/>
    </row>
    <row r="41" spans="1:24" ht="14.25" customHeight="1">
      <c r="A41" s="295"/>
      <c r="B41" s="166"/>
      <c r="C41" s="295"/>
      <c r="D41" s="295"/>
      <c r="E41" s="444"/>
      <c r="F41" s="144"/>
      <c r="G41" s="144"/>
      <c r="H41" s="295"/>
      <c r="I41" s="295"/>
      <c r="J41" s="295"/>
      <c r="K41" s="295"/>
      <c r="L41" s="295"/>
      <c r="M41" s="295"/>
      <c r="N41" s="295"/>
      <c r="O41" s="295"/>
      <c r="P41" s="295"/>
      <c r="Q41" s="295"/>
      <c r="R41" s="295"/>
      <c r="S41" s="190" t="s">
        <v>354</v>
      </c>
      <c r="T41" s="43">
        <f t="shared" si="4"/>
        <v>1</v>
      </c>
      <c r="U41" s="167">
        <f t="shared" si="5"/>
        <v>0</v>
      </c>
      <c r="V41" s="43"/>
      <c r="W41" s="43"/>
      <c r="X41" s="43"/>
    </row>
    <row r="42" spans="1:24" ht="14.25" customHeight="1">
      <c r="A42" s="295"/>
      <c r="B42" s="166"/>
      <c r="C42" s="295"/>
      <c r="D42" s="295"/>
      <c r="E42" s="444"/>
      <c r="F42" s="144"/>
      <c r="G42" s="144"/>
      <c r="H42" s="295"/>
      <c r="I42" s="295"/>
      <c r="J42" s="295"/>
      <c r="K42" s="295"/>
      <c r="L42" s="295"/>
      <c r="M42" s="295"/>
      <c r="N42" s="295"/>
      <c r="O42" s="295"/>
      <c r="P42" s="295"/>
      <c r="Q42" s="295"/>
      <c r="R42" s="295"/>
      <c r="S42" s="190"/>
      <c r="T42" s="43">
        <f t="shared" si="4"/>
        <v>1</v>
      </c>
      <c r="U42" s="167">
        <f t="shared" si="5"/>
        <v>0</v>
      </c>
      <c r="V42" s="43"/>
      <c r="W42" s="43"/>
      <c r="X42" s="43"/>
    </row>
    <row r="43" spans="1:24" ht="14.25" customHeight="1">
      <c r="A43" s="295"/>
      <c r="B43" s="166"/>
      <c r="C43" s="295"/>
      <c r="D43" s="295"/>
      <c r="E43" s="444"/>
      <c r="F43" s="144"/>
      <c r="G43" s="144"/>
      <c r="H43" s="295"/>
      <c r="I43" s="295"/>
      <c r="J43" s="295"/>
      <c r="K43" s="295"/>
      <c r="L43" s="295"/>
      <c r="M43" s="295"/>
      <c r="N43" s="295"/>
      <c r="O43" s="295"/>
      <c r="P43" s="295"/>
      <c r="Q43" s="295"/>
      <c r="R43" s="295"/>
      <c r="S43" s="190"/>
      <c r="T43" s="43">
        <f t="shared" si="4"/>
        <v>1</v>
      </c>
      <c r="U43" s="167">
        <f t="shared" si="5"/>
        <v>0</v>
      </c>
      <c r="V43" s="43"/>
      <c r="W43" s="43"/>
      <c r="X43" s="43"/>
    </row>
    <row r="44" spans="1:24" ht="14.25" customHeight="1">
      <c r="A44" s="295"/>
      <c r="B44" s="166"/>
      <c r="C44" s="295"/>
      <c r="D44" s="295"/>
      <c r="E44" s="444"/>
      <c r="F44" s="144"/>
      <c r="G44" s="144"/>
      <c r="H44" s="295"/>
      <c r="I44" s="295"/>
      <c r="J44" s="295"/>
      <c r="K44" s="295"/>
      <c r="L44" s="295"/>
      <c r="M44" s="295"/>
      <c r="N44" s="295"/>
      <c r="O44" s="295"/>
      <c r="P44" s="295"/>
      <c r="Q44" s="295"/>
      <c r="R44" s="295"/>
      <c r="S44" s="190"/>
      <c r="T44" s="43">
        <f t="shared" si="4"/>
        <v>1</v>
      </c>
      <c r="U44" s="167">
        <f t="shared" si="5"/>
        <v>0</v>
      </c>
      <c r="V44" s="43"/>
      <c r="W44" s="43"/>
      <c r="X44" s="43"/>
    </row>
    <row r="45" spans="1:24" ht="14.25" customHeight="1">
      <c r="A45" s="295"/>
      <c r="B45" s="166"/>
      <c r="C45" s="295"/>
      <c r="D45" s="295"/>
      <c r="E45" s="444"/>
      <c r="F45" s="144"/>
      <c r="G45" s="144"/>
      <c r="H45" s="295"/>
      <c r="I45" s="295"/>
      <c r="J45" s="295"/>
      <c r="K45" s="295"/>
      <c r="L45" s="295"/>
      <c r="M45" s="295"/>
      <c r="N45" s="295"/>
      <c r="O45" s="295"/>
      <c r="P45" s="295"/>
      <c r="Q45" s="295"/>
      <c r="R45" s="295"/>
      <c r="S45" s="190"/>
      <c r="T45" s="43">
        <f t="shared" si="4"/>
        <v>1</v>
      </c>
      <c r="U45" s="167">
        <f t="shared" si="5"/>
        <v>0</v>
      </c>
      <c r="V45" s="43"/>
      <c r="W45" s="43"/>
      <c r="X45" s="43"/>
    </row>
    <row r="46" spans="1:24" ht="14.25" customHeight="1">
      <c r="A46" s="295"/>
      <c r="B46" s="166"/>
      <c r="C46" s="295"/>
      <c r="D46" s="295"/>
      <c r="E46" s="444"/>
      <c r="F46" s="144"/>
      <c r="G46" s="144"/>
      <c r="H46" s="295"/>
      <c r="I46" s="295"/>
      <c r="J46" s="295"/>
      <c r="K46" s="295"/>
      <c r="L46" s="295"/>
      <c r="M46" s="295"/>
      <c r="N46" s="295"/>
      <c r="O46" s="295"/>
      <c r="P46" s="295"/>
      <c r="Q46" s="295"/>
      <c r="R46" s="295"/>
      <c r="S46" s="190"/>
      <c r="T46" s="43">
        <f t="shared" si="4"/>
        <v>1</v>
      </c>
      <c r="U46" s="167">
        <f t="shared" si="5"/>
        <v>0</v>
      </c>
      <c r="V46" s="43"/>
      <c r="W46" s="43"/>
      <c r="X46" s="43"/>
    </row>
    <row r="47" spans="1:24" ht="14.25" customHeight="1">
      <c r="A47" s="295"/>
      <c r="B47" s="166"/>
      <c r="C47" s="295"/>
      <c r="D47" s="295"/>
      <c r="E47" s="444"/>
      <c r="F47" s="144"/>
      <c r="G47" s="144"/>
      <c r="H47" s="295"/>
      <c r="I47" s="295"/>
      <c r="J47" s="295"/>
      <c r="K47" s="295"/>
      <c r="L47" s="295"/>
      <c r="M47" s="295"/>
      <c r="N47" s="295"/>
      <c r="O47" s="295"/>
      <c r="P47" s="295"/>
      <c r="Q47" s="295"/>
      <c r="R47" s="295"/>
      <c r="S47" s="190"/>
      <c r="T47" s="43">
        <f t="shared" si="4"/>
        <v>1</v>
      </c>
      <c r="U47" s="167">
        <f t="shared" si="5"/>
        <v>0</v>
      </c>
      <c r="V47" s="43"/>
      <c r="W47" s="43"/>
      <c r="X47" s="43"/>
    </row>
    <row r="48" spans="1:24" ht="14.25" customHeight="1">
      <c r="A48" s="295"/>
      <c r="B48" s="166"/>
      <c r="C48" s="295"/>
      <c r="D48" s="295"/>
      <c r="E48" s="444"/>
      <c r="F48" s="144"/>
      <c r="G48" s="144"/>
      <c r="H48" s="295"/>
      <c r="I48" s="295"/>
      <c r="J48" s="295"/>
      <c r="K48" s="295"/>
      <c r="L48" s="295"/>
      <c r="M48" s="295"/>
      <c r="N48" s="295"/>
      <c r="O48" s="295"/>
      <c r="P48" s="295"/>
      <c r="Q48" s="295"/>
      <c r="R48" s="295"/>
      <c r="S48" s="190"/>
      <c r="T48" s="43">
        <f t="shared" si="4"/>
        <v>1</v>
      </c>
      <c r="U48" s="167">
        <f t="shared" si="5"/>
        <v>0</v>
      </c>
      <c r="V48" s="43"/>
      <c r="W48" s="43"/>
      <c r="X48" s="43"/>
    </row>
    <row r="49" spans="1:24" ht="14.25" customHeight="1">
      <c r="A49" s="295"/>
      <c r="B49" s="166"/>
      <c r="C49" s="295"/>
      <c r="D49" s="295"/>
      <c r="E49" s="444"/>
      <c r="F49" s="144"/>
      <c r="G49" s="144"/>
      <c r="H49" s="295"/>
      <c r="I49" s="295"/>
      <c r="J49" s="295"/>
      <c r="K49" s="295"/>
      <c r="L49" s="295"/>
      <c r="M49" s="295"/>
      <c r="N49" s="295"/>
      <c r="O49" s="295"/>
      <c r="P49" s="295"/>
      <c r="Q49" s="295"/>
      <c r="R49" s="295"/>
      <c r="S49" s="190"/>
      <c r="T49" s="43">
        <f t="shared" si="4"/>
        <v>1</v>
      </c>
      <c r="U49" s="167">
        <f t="shared" si="5"/>
        <v>0</v>
      </c>
      <c r="V49" s="43"/>
      <c r="W49" s="43"/>
      <c r="X49" s="43"/>
    </row>
    <row r="50" spans="1:24" ht="14.25" customHeight="1">
      <c r="A50" s="295"/>
      <c r="B50" s="166"/>
      <c r="C50" s="295"/>
      <c r="D50" s="295"/>
      <c r="E50" s="444"/>
      <c r="F50" s="144"/>
      <c r="G50" s="144"/>
      <c r="H50" s="295"/>
      <c r="I50" s="295"/>
      <c r="J50" s="295"/>
      <c r="K50" s="295"/>
      <c r="L50" s="295"/>
      <c r="M50" s="295"/>
      <c r="N50" s="295"/>
      <c r="O50" s="295"/>
      <c r="P50" s="295"/>
      <c r="Q50" s="295"/>
      <c r="R50" s="295"/>
      <c r="S50" s="190" t="s">
        <v>354</v>
      </c>
      <c r="T50" s="43">
        <f t="shared" si="4"/>
        <v>1</v>
      </c>
      <c r="U50" s="167">
        <f t="shared" si="5"/>
        <v>0</v>
      </c>
      <c r="V50" s="43"/>
      <c r="W50" s="43"/>
      <c r="X50" s="43"/>
    </row>
    <row r="51" spans="1:24" ht="14.25" customHeight="1">
      <c r="A51" s="295"/>
      <c r="B51" s="166"/>
      <c r="C51" s="295"/>
      <c r="D51" s="295"/>
      <c r="E51" s="444"/>
      <c r="F51" s="144"/>
      <c r="G51" s="144"/>
      <c r="H51" s="295"/>
      <c r="I51" s="295"/>
      <c r="J51" s="295"/>
      <c r="K51" s="295"/>
      <c r="L51" s="295"/>
      <c r="M51" s="295"/>
      <c r="N51" s="295"/>
      <c r="O51" s="295"/>
      <c r="P51" s="295"/>
      <c r="Q51" s="295"/>
      <c r="R51" s="295"/>
      <c r="S51" s="190"/>
      <c r="T51" s="43">
        <f t="shared" si="4"/>
        <v>1</v>
      </c>
      <c r="U51" s="167">
        <f t="shared" si="5"/>
        <v>0</v>
      </c>
      <c r="V51" s="43"/>
      <c r="W51" s="43"/>
      <c r="X51" s="43"/>
    </row>
    <row r="52" spans="1:24" ht="14.25" customHeight="1">
      <c r="A52" s="295"/>
      <c r="B52" s="166"/>
      <c r="C52" s="295"/>
      <c r="D52" s="295"/>
      <c r="E52" s="444"/>
      <c r="F52" s="144"/>
      <c r="G52" s="144"/>
      <c r="H52" s="295"/>
      <c r="I52" s="295"/>
      <c r="J52" s="295"/>
      <c r="K52" s="295"/>
      <c r="L52" s="295"/>
      <c r="M52" s="295"/>
      <c r="N52" s="295"/>
      <c r="O52" s="295"/>
      <c r="P52" s="295"/>
      <c r="Q52" s="295"/>
      <c r="R52" s="295"/>
      <c r="S52" s="190"/>
      <c r="T52" s="43">
        <f t="shared" si="4"/>
        <v>1</v>
      </c>
      <c r="U52" s="167">
        <f t="shared" si="5"/>
        <v>0</v>
      </c>
      <c r="V52" s="43"/>
      <c r="W52" s="43"/>
      <c r="X52" s="43"/>
    </row>
    <row r="53" spans="1:24" ht="14.25" customHeight="1">
      <c r="A53" s="295"/>
      <c r="B53" s="166"/>
      <c r="C53" s="295"/>
      <c r="D53" s="295"/>
      <c r="E53" s="444"/>
      <c r="F53" s="144"/>
      <c r="G53" s="144"/>
      <c r="H53" s="295"/>
      <c r="I53" s="295"/>
      <c r="J53" s="295"/>
      <c r="K53" s="295"/>
      <c r="L53" s="295"/>
      <c r="M53" s="295"/>
      <c r="N53" s="295"/>
      <c r="O53" s="295"/>
      <c r="P53" s="295"/>
      <c r="Q53" s="295"/>
      <c r="R53" s="295"/>
      <c r="S53" s="190"/>
      <c r="T53" s="43">
        <f t="shared" si="4"/>
        <v>1</v>
      </c>
      <c r="U53" s="167">
        <f t="shared" si="5"/>
        <v>0</v>
      </c>
      <c r="V53" s="43"/>
      <c r="W53" s="43"/>
      <c r="X53" s="43"/>
    </row>
    <row r="54" spans="1:24" ht="14.25" customHeight="1">
      <c r="A54" s="295"/>
      <c r="B54" s="166"/>
      <c r="C54" s="295"/>
      <c r="D54" s="295"/>
      <c r="E54" s="444"/>
      <c r="F54" s="144"/>
      <c r="G54" s="144"/>
      <c r="H54" s="295"/>
      <c r="I54" s="295"/>
      <c r="J54" s="295"/>
      <c r="K54" s="295"/>
      <c r="L54" s="295"/>
      <c r="M54" s="295"/>
      <c r="N54" s="295"/>
      <c r="O54" s="295"/>
      <c r="P54" s="295"/>
      <c r="Q54" s="295"/>
      <c r="R54" s="295"/>
      <c r="S54" s="190" t="s">
        <v>1141</v>
      </c>
      <c r="T54" s="43">
        <f t="shared" si="4"/>
        <v>1</v>
      </c>
      <c r="U54" s="167">
        <f t="shared" si="5"/>
        <v>0</v>
      </c>
      <c r="V54" s="43"/>
      <c r="W54" s="43"/>
      <c r="X54" s="43"/>
    </row>
    <row r="55" spans="1:24" ht="14.25" customHeight="1">
      <c r="A55" s="295"/>
      <c r="B55" s="166"/>
      <c r="C55" s="295"/>
      <c r="D55" s="295"/>
      <c r="E55" s="444"/>
      <c r="F55" s="144"/>
      <c r="G55" s="144"/>
      <c r="H55" s="295"/>
      <c r="I55" s="295"/>
      <c r="J55" s="295"/>
      <c r="K55" s="295"/>
      <c r="L55" s="295"/>
      <c r="M55" s="295"/>
      <c r="N55" s="295"/>
      <c r="O55" s="295"/>
      <c r="P55" s="295"/>
      <c r="Q55" s="295"/>
      <c r="R55" s="295"/>
      <c r="S55" s="190" t="s">
        <v>2378</v>
      </c>
      <c r="T55" s="43">
        <f t="shared" si="4"/>
        <v>1</v>
      </c>
      <c r="U55" s="167">
        <f t="shared" si="5"/>
        <v>0</v>
      </c>
      <c r="V55" s="43"/>
      <c r="W55" s="43"/>
      <c r="X55" s="43"/>
    </row>
    <row r="56" spans="1:24" ht="14.25" customHeight="1">
      <c r="A56" s="295"/>
      <c r="B56" s="166"/>
      <c r="C56" s="295"/>
      <c r="D56" s="295"/>
      <c r="E56" s="444"/>
      <c r="F56" s="144"/>
      <c r="G56" s="144"/>
      <c r="H56" s="295"/>
      <c r="I56" s="295"/>
      <c r="J56" s="295"/>
      <c r="K56" s="295"/>
      <c r="L56" s="295"/>
      <c r="M56" s="295"/>
      <c r="N56" s="295"/>
      <c r="O56" s="295"/>
      <c r="P56" s="295"/>
      <c r="Q56" s="295"/>
      <c r="R56" s="295"/>
      <c r="S56" s="190"/>
      <c r="T56" s="43">
        <f t="shared" si="4"/>
        <v>1</v>
      </c>
      <c r="U56" s="167">
        <f t="shared" si="5"/>
        <v>0</v>
      </c>
      <c r="V56" s="43"/>
      <c r="W56" s="43"/>
      <c r="X56" s="43"/>
    </row>
    <row r="57" spans="1:24" ht="14.25" customHeight="1">
      <c r="A57" s="295"/>
      <c r="B57" s="166"/>
      <c r="C57" s="295"/>
      <c r="D57" s="295"/>
      <c r="E57" s="444"/>
      <c r="F57" s="144"/>
      <c r="G57" s="144"/>
      <c r="H57" s="295"/>
      <c r="I57" s="295"/>
      <c r="J57" s="295"/>
      <c r="K57" s="295"/>
      <c r="L57" s="295"/>
      <c r="M57" s="295"/>
      <c r="N57" s="295"/>
      <c r="O57" s="295"/>
      <c r="P57" s="295"/>
      <c r="Q57" s="295"/>
      <c r="R57" s="295"/>
      <c r="S57" s="190" t="s">
        <v>847</v>
      </c>
      <c r="T57" s="43">
        <f t="shared" si="4"/>
        <v>1</v>
      </c>
      <c r="U57" s="167">
        <f t="shared" si="5"/>
        <v>0</v>
      </c>
      <c r="V57" s="43"/>
      <c r="W57" s="43"/>
      <c r="X57" s="43"/>
    </row>
    <row r="58" spans="1:24" ht="14.25" customHeight="1">
      <c r="A58" s="295"/>
      <c r="B58" s="166"/>
      <c r="C58" s="295"/>
      <c r="D58" s="295"/>
      <c r="E58" s="444"/>
      <c r="F58" s="144"/>
      <c r="G58" s="144"/>
      <c r="H58" s="295"/>
      <c r="I58" s="295"/>
      <c r="J58" s="295"/>
      <c r="K58" s="295"/>
      <c r="L58" s="295"/>
      <c r="M58" s="295"/>
      <c r="N58" s="295"/>
      <c r="O58" s="295"/>
      <c r="P58" s="295"/>
      <c r="Q58" s="295"/>
      <c r="R58" s="295"/>
      <c r="S58" s="190" t="s">
        <v>1036</v>
      </c>
      <c r="T58" s="43">
        <f t="shared" si="4"/>
        <v>1</v>
      </c>
      <c r="U58" s="167">
        <f t="shared" si="5"/>
        <v>0</v>
      </c>
      <c r="V58" s="43"/>
      <c r="W58" s="43"/>
      <c r="X58" s="43"/>
    </row>
    <row r="59" spans="1:24" ht="14.25" customHeight="1">
      <c r="A59" s="295"/>
      <c r="B59" s="166"/>
      <c r="C59" s="295"/>
      <c r="D59" s="295"/>
      <c r="E59" s="444"/>
      <c r="F59" s="144"/>
      <c r="G59" s="144"/>
      <c r="H59" s="295"/>
      <c r="I59" s="295"/>
      <c r="J59" s="295"/>
      <c r="K59" s="295"/>
      <c r="L59" s="295"/>
      <c r="M59" s="295"/>
      <c r="N59" s="295"/>
      <c r="O59" s="295"/>
      <c r="P59" s="295"/>
      <c r="Q59" s="295"/>
      <c r="R59" s="295"/>
      <c r="S59" s="190"/>
      <c r="T59" s="43">
        <f t="shared" si="4"/>
        <v>1</v>
      </c>
      <c r="U59" s="167">
        <f t="shared" si="5"/>
        <v>0</v>
      </c>
      <c r="V59" s="43"/>
      <c r="W59" s="43"/>
      <c r="X59" s="43"/>
    </row>
    <row r="60" spans="1:24" ht="14.25" customHeight="1">
      <c r="A60" s="295"/>
      <c r="B60" s="166"/>
      <c r="C60" s="295"/>
      <c r="D60" s="295"/>
      <c r="E60" s="444"/>
      <c r="F60" s="144"/>
      <c r="G60" s="144"/>
      <c r="H60" s="295"/>
      <c r="I60" s="295"/>
      <c r="J60" s="295"/>
      <c r="K60" s="295"/>
      <c r="L60" s="295"/>
      <c r="M60" s="295"/>
      <c r="N60" s="295"/>
      <c r="O60" s="295"/>
      <c r="P60" s="295"/>
      <c r="Q60" s="295"/>
      <c r="R60" s="295"/>
      <c r="S60" s="190"/>
      <c r="T60" s="43">
        <f t="shared" si="4"/>
        <v>1</v>
      </c>
      <c r="U60" s="167">
        <f t="shared" si="5"/>
        <v>0</v>
      </c>
      <c r="V60" s="43"/>
      <c r="W60" s="43"/>
      <c r="X60" s="43"/>
    </row>
    <row r="61" spans="1:24" ht="14.25" customHeight="1">
      <c r="A61" s="295"/>
      <c r="B61" s="166"/>
      <c r="C61" s="295"/>
      <c r="D61" s="295"/>
      <c r="E61" s="444"/>
      <c r="F61" s="144"/>
      <c r="G61" s="144"/>
      <c r="H61" s="295"/>
      <c r="I61" s="295"/>
      <c r="J61" s="295"/>
      <c r="K61" s="295"/>
      <c r="L61" s="295"/>
      <c r="M61" s="295"/>
      <c r="N61" s="295"/>
      <c r="O61" s="295"/>
      <c r="P61" s="295"/>
      <c r="Q61" s="295"/>
      <c r="R61" s="295"/>
      <c r="S61" s="190" t="s">
        <v>1325</v>
      </c>
      <c r="T61" s="43">
        <f t="shared" si="4"/>
        <v>1</v>
      </c>
      <c r="U61" s="167">
        <f t="shared" si="5"/>
        <v>0</v>
      </c>
      <c r="V61" s="43"/>
      <c r="W61" s="43"/>
      <c r="X61" s="43"/>
    </row>
    <row r="62" spans="1:24" ht="14.25" customHeight="1">
      <c r="A62" s="295"/>
      <c r="B62" s="166"/>
      <c r="C62" s="295"/>
      <c r="D62" s="295"/>
      <c r="E62" s="444"/>
      <c r="F62" s="144"/>
      <c r="G62" s="144"/>
      <c r="H62" s="295"/>
      <c r="I62" s="295"/>
      <c r="J62" s="295"/>
      <c r="K62" s="295"/>
      <c r="L62" s="295"/>
      <c r="M62" s="295"/>
      <c r="N62" s="295"/>
      <c r="O62" s="295"/>
      <c r="P62" s="295"/>
      <c r="Q62" s="295"/>
      <c r="R62" s="295"/>
      <c r="S62" s="190"/>
      <c r="T62" s="43">
        <f t="shared" si="4"/>
        <v>1</v>
      </c>
      <c r="U62" s="167">
        <f t="shared" si="5"/>
        <v>0</v>
      </c>
      <c r="V62" s="43"/>
      <c r="W62" s="43"/>
      <c r="X62" s="43"/>
    </row>
    <row r="63" spans="1:24" ht="14.25" customHeight="1">
      <c r="A63" s="295"/>
      <c r="B63" s="166"/>
      <c r="C63" s="295"/>
      <c r="D63" s="295"/>
      <c r="E63" s="444"/>
      <c r="F63" s="144"/>
      <c r="G63" s="144"/>
      <c r="H63" s="295"/>
      <c r="I63" s="295"/>
      <c r="J63" s="295"/>
      <c r="K63" s="295"/>
      <c r="L63" s="295"/>
      <c r="M63" s="295"/>
      <c r="N63" s="295"/>
      <c r="O63" s="295"/>
      <c r="P63" s="295"/>
      <c r="Q63" s="295"/>
      <c r="R63" s="295"/>
      <c r="S63" s="190" t="s">
        <v>1221</v>
      </c>
      <c r="T63" s="43">
        <f t="shared" si="4"/>
        <v>1</v>
      </c>
      <c r="U63" s="167">
        <f t="shared" si="5"/>
        <v>0</v>
      </c>
      <c r="V63" s="43"/>
      <c r="W63" s="43"/>
      <c r="X63" s="43"/>
    </row>
    <row r="64" spans="1:24" ht="14.25" customHeight="1">
      <c r="A64" s="295"/>
      <c r="B64" s="166"/>
      <c r="C64" s="295"/>
      <c r="D64" s="295"/>
      <c r="E64" s="444"/>
      <c r="F64" s="144"/>
      <c r="G64" s="144"/>
      <c r="H64" s="295"/>
      <c r="I64" s="295"/>
      <c r="J64" s="295"/>
      <c r="K64" s="295"/>
      <c r="L64" s="295"/>
      <c r="M64" s="295"/>
      <c r="N64" s="295"/>
      <c r="O64" s="295"/>
      <c r="P64" s="295"/>
      <c r="Q64" s="295"/>
      <c r="R64" s="295"/>
      <c r="S64" s="190" t="s">
        <v>354</v>
      </c>
      <c r="T64" s="43">
        <f t="shared" si="4"/>
        <v>1</v>
      </c>
      <c r="U64" s="167">
        <f t="shared" si="5"/>
        <v>0</v>
      </c>
      <c r="V64" s="43"/>
      <c r="W64" s="43"/>
      <c r="X64" s="43"/>
    </row>
    <row r="65" spans="1:24" ht="14.25" customHeight="1">
      <c r="A65" s="295"/>
      <c r="B65" s="166"/>
      <c r="C65" s="295"/>
      <c r="D65" s="295"/>
      <c r="E65" s="444"/>
      <c r="F65" s="144"/>
      <c r="G65" s="144"/>
      <c r="H65" s="295"/>
      <c r="I65" s="295"/>
      <c r="J65" s="295"/>
      <c r="K65" s="295"/>
      <c r="L65" s="295"/>
      <c r="M65" s="295"/>
      <c r="N65" s="295"/>
      <c r="O65" s="295"/>
      <c r="P65" s="295"/>
      <c r="Q65" s="295"/>
      <c r="R65" s="295"/>
      <c r="S65" s="190"/>
      <c r="T65" s="43">
        <f t="shared" si="4"/>
        <v>1</v>
      </c>
      <c r="U65" s="167">
        <f t="shared" si="5"/>
        <v>0</v>
      </c>
      <c r="V65" s="43"/>
      <c r="W65" s="43"/>
      <c r="X65" s="43"/>
    </row>
    <row r="66" spans="1:24" ht="14.25" customHeight="1">
      <c r="A66" s="295"/>
      <c r="B66" s="166"/>
      <c r="C66" s="295"/>
      <c r="D66" s="295"/>
      <c r="E66" s="444"/>
      <c r="F66" s="144"/>
      <c r="G66" s="144"/>
      <c r="H66" s="295"/>
      <c r="I66" s="295"/>
      <c r="J66" s="295"/>
      <c r="K66" s="295"/>
      <c r="L66" s="295"/>
      <c r="M66" s="295"/>
      <c r="N66" s="295"/>
      <c r="O66" s="295"/>
      <c r="P66" s="295"/>
      <c r="Q66" s="295"/>
      <c r="R66" s="295"/>
      <c r="S66" s="190"/>
      <c r="T66" s="43">
        <f t="shared" si="4"/>
        <v>1</v>
      </c>
      <c r="U66" s="167">
        <f t="shared" si="5"/>
        <v>0</v>
      </c>
      <c r="V66" s="43"/>
      <c r="W66" s="43"/>
      <c r="X66" s="43"/>
    </row>
    <row r="67" spans="1:24" ht="14.25" customHeight="1">
      <c r="A67" s="295"/>
      <c r="B67" s="166"/>
      <c r="C67" s="295"/>
      <c r="D67" s="295"/>
      <c r="E67" s="444"/>
      <c r="F67" s="144"/>
      <c r="G67" s="144"/>
      <c r="H67" s="295"/>
      <c r="I67" s="295"/>
      <c r="J67" s="295"/>
      <c r="K67" s="295"/>
      <c r="L67" s="295"/>
      <c r="M67" s="295"/>
      <c r="N67" s="295"/>
      <c r="O67" s="295"/>
      <c r="P67" s="295"/>
      <c r="Q67" s="295"/>
      <c r="R67" s="295"/>
      <c r="S67" s="190"/>
      <c r="T67" s="43">
        <f t="shared" si="4"/>
        <v>1</v>
      </c>
      <c r="U67" s="167">
        <f t="shared" si="5"/>
        <v>0</v>
      </c>
      <c r="V67" s="43"/>
      <c r="W67" s="43"/>
      <c r="X67" s="43"/>
    </row>
    <row r="68" spans="1:24" ht="14.25" customHeight="1">
      <c r="A68" s="295"/>
      <c r="B68" s="166"/>
      <c r="C68" s="295"/>
      <c r="D68" s="295"/>
      <c r="E68" s="444"/>
      <c r="F68" s="144"/>
      <c r="G68" s="144"/>
      <c r="H68" s="295"/>
      <c r="I68" s="295"/>
      <c r="J68" s="295"/>
      <c r="K68" s="295"/>
      <c r="L68" s="295"/>
      <c r="M68" s="295"/>
      <c r="N68" s="295"/>
      <c r="O68" s="295"/>
      <c r="P68" s="295"/>
      <c r="Q68" s="295"/>
      <c r="R68" s="295"/>
      <c r="S68" s="190"/>
      <c r="T68" s="43">
        <f t="shared" si="4"/>
        <v>1</v>
      </c>
      <c r="U68" s="167">
        <f t="shared" si="5"/>
        <v>0</v>
      </c>
      <c r="V68" s="43"/>
      <c r="W68" s="43"/>
      <c r="X68" s="43"/>
    </row>
    <row r="69" spans="1:24" ht="14.25" customHeight="1">
      <c r="A69" s="295"/>
      <c r="B69" s="166"/>
      <c r="C69" s="295"/>
      <c r="D69" s="295"/>
      <c r="E69" s="444"/>
      <c r="F69" s="144"/>
      <c r="G69" s="144"/>
      <c r="H69" s="295"/>
      <c r="I69" s="295"/>
      <c r="J69" s="295"/>
      <c r="K69" s="295"/>
      <c r="L69" s="295"/>
      <c r="M69" s="295"/>
      <c r="N69" s="295"/>
      <c r="O69" s="295"/>
      <c r="P69" s="295"/>
      <c r="Q69" s="295"/>
      <c r="R69" s="295"/>
      <c r="S69" s="190"/>
      <c r="T69" s="43">
        <f t="shared" si="4"/>
        <v>1</v>
      </c>
      <c r="U69" s="167">
        <f t="shared" si="5"/>
        <v>0</v>
      </c>
      <c r="V69" s="43"/>
      <c r="W69" s="43"/>
      <c r="X69" s="43"/>
    </row>
    <row r="70" spans="1:24" ht="14.25" customHeight="1">
      <c r="A70" s="295"/>
      <c r="B70" s="166"/>
      <c r="C70" s="295"/>
      <c r="D70" s="295"/>
      <c r="E70" s="444"/>
      <c r="F70" s="144"/>
      <c r="G70" s="144"/>
      <c r="H70" s="295"/>
      <c r="I70" s="295"/>
      <c r="J70" s="295"/>
      <c r="K70" s="295"/>
      <c r="L70" s="295"/>
      <c r="M70" s="295"/>
      <c r="N70" s="295"/>
      <c r="O70" s="295"/>
      <c r="P70" s="295"/>
      <c r="Q70" s="295"/>
      <c r="R70" s="295"/>
      <c r="S70" s="190"/>
      <c r="T70" s="43">
        <f t="shared" si="4"/>
        <v>1</v>
      </c>
      <c r="U70" s="167">
        <f t="shared" si="5"/>
        <v>0</v>
      </c>
      <c r="V70" s="43"/>
      <c r="W70" s="43"/>
      <c r="X70" s="43"/>
    </row>
    <row r="71" spans="1:24" ht="14.25" customHeight="1">
      <c r="A71" s="295"/>
      <c r="B71" s="166"/>
      <c r="C71" s="295"/>
      <c r="D71" s="295"/>
      <c r="E71" s="444"/>
      <c r="F71" s="144"/>
      <c r="G71" s="144"/>
      <c r="H71" s="295"/>
      <c r="I71" s="295"/>
      <c r="J71" s="295"/>
      <c r="K71" s="295"/>
      <c r="L71" s="295"/>
      <c r="M71" s="295"/>
      <c r="N71" s="295"/>
      <c r="O71" s="295"/>
      <c r="P71" s="295"/>
      <c r="Q71" s="295"/>
      <c r="R71" s="295"/>
      <c r="S71" s="190" t="s">
        <v>711</v>
      </c>
      <c r="T71" s="43">
        <f t="shared" si="4"/>
        <v>1</v>
      </c>
      <c r="U71" s="167">
        <f t="shared" si="5"/>
        <v>0</v>
      </c>
      <c r="V71" s="43"/>
      <c r="W71" s="43"/>
      <c r="X71" s="43"/>
    </row>
    <row r="72" spans="1:24" ht="14.25" customHeight="1">
      <c r="A72" s="295"/>
      <c r="B72" s="166"/>
      <c r="C72" s="295"/>
      <c r="D72" s="295"/>
      <c r="E72" s="444"/>
      <c r="F72" s="144"/>
      <c r="G72" s="144"/>
      <c r="H72" s="295"/>
      <c r="I72" s="295"/>
      <c r="J72" s="295"/>
      <c r="K72" s="295"/>
      <c r="L72" s="295"/>
      <c r="M72" s="295"/>
      <c r="N72" s="295"/>
      <c r="O72" s="295"/>
      <c r="P72" s="295"/>
      <c r="Q72" s="295"/>
      <c r="R72" s="295"/>
      <c r="S72" s="190" t="s">
        <v>540</v>
      </c>
      <c r="T72" s="43">
        <f t="shared" si="4"/>
        <v>1</v>
      </c>
      <c r="U72" s="167">
        <f t="shared" si="5"/>
        <v>0</v>
      </c>
      <c r="V72" s="43"/>
      <c r="W72" s="43"/>
      <c r="X72" s="43"/>
    </row>
    <row r="73" spans="1:24" ht="14.25" customHeight="1">
      <c r="A73" s="295"/>
      <c r="B73" s="166"/>
      <c r="C73" s="295"/>
      <c r="D73" s="295"/>
      <c r="E73" s="444"/>
      <c r="F73" s="144"/>
      <c r="G73" s="144"/>
      <c r="H73" s="295"/>
      <c r="I73" s="295"/>
      <c r="J73" s="295"/>
      <c r="K73" s="295"/>
      <c r="L73" s="295"/>
      <c r="M73" s="295"/>
      <c r="N73" s="295"/>
      <c r="O73" s="295"/>
      <c r="P73" s="295"/>
      <c r="Q73" s="295"/>
      <c r="R73" s="295"/>
      <c r="S73" s="190" t="s">
        <v>435</v>
      </c>
      <c r="T73" s="43">
        <f t="shared" si="4"/>
        <v>1</v>
      </c>
      <c r="U73" s="167">
        <f t="shared" si="5"/>
        <v>0</v>
      </c>
      <c r="V73" s="43"/>
      <c r="W73" s="43"/>
      <c r="X73" s="43"/>
    </row>
    <row r="74" spans="1:24" ht="14.25" customHeight="1">
      <c r="A74" s="295"/>
      <c r="B74" s="166"/>
      <c r="C74" s="295"/>
      <c r="D74" s="295"/>
      <c r="E74" s="444"/>
      <c r="F74" s="144"/>
      <c r="G74" s="144"/>
      <c r="H74" s="295"/>
      <c r="I74" s="295"/>
      <c r="J74" s="295"/>
      <c r="K74" s="295"/>
      <c r="L74" s="295"/>
      <c r="M74" s="295"/>
      <c r="N74" s="295"/>
      <c r="O74" s="295"/>
      <c r="P74" s="295"/>
      <c r="Q74" s="295"/>
      <c r="R74" s="295"/>
      <c r="S74" s="190" t="s">
        <v>1297</v>
      </c>
      <c r="T74" s="43">
        <f t="shared" si="4"/>
        <v>1</v>
      </c>
      <c r="U74" s="167">
        <f t="shared" si="5"/>
        <v>0</v>
      </c>
      <c r="V74" s="43"/>
      <c r="W74" s="43"/>
      <c r="X74" s="43"/>
    </row>
    <row r="75" spans="1:24" ht="14.25" customHeight="1">
      <c r="A75" s="295"/>
      <c r="B75" s="166"/>
      <c r="C75" s="295"/>
      <c r="D75" s="295"/>
      <c r="E75" s="444"/>
      <c r="F75" s="144"/>
      <c r="G75" s="144"/>
      <c r="H75" s="295"/>
      <c r="I75" s="295"/>
      <c r="J75" s="295"/>
      <c r="K75" s="295"/>
      <c r="L75" s="295"/>
      <c r="M75" s="295"/>
      <c r="N75" s="295"/>
      <c r="O75" s="295"/>
      <c r="P75" s="295"/>
      <c r="Q75" s="295"/>
      <c r="R75" s="295"/>
      <c r="S75" s="190" t="s">
        <v>354</v>
      </c>
      <c r="T75" s="43">
        <f t="shared" si="4"/>
        <v>1</v>
      </c>
      <c r="U75" s="167">
        <f t="shared" si="5"/>
        <v>0</v>
      </c>
      <c r="V75" s="43"/>
      <c r="W75" s="43"/>
      <c r="X75" s="43"/>
    </row>
    <row r="76" spans="1:24" ht="14.25" customHeight="1">
      <c r="A76" s="295"/>
      <c r="B76" s="166"/>
      <c r="C76" s="295"/>
      <c r="D76" s="295"/>
      <c r="E76" s="444"/>
      <c r="F76" s="144"/>
      <c r="G76" s="144"/>
      <c r="H76" s="295"/>
      <c r="I76" s="295"/>
      <c r="J76" s="295"/>
      <c r="K76" s="295"/>
      <c r="L76" s="295"/>
      <c r="M76" s="295"/>
      <c r="N76" s="295"/>
      <c r="O76" s="295"/>
      <c r="P76" s="295"/>
      <c r="Q76" s="295"/>
      <c r="R76" s="295"/>
      <c r="S76" s="190"/>
      <c r="T76" s="43">
        <f t="shared" si="4"/>
        <v>1</v>
      </c>
      <c r="U76" s="167">
        <f t="shared" si="5"/>
        <v>0</v>
      </c>
      <c r="V76" s="43"/>
      <c r="W76" s="43"/>
      <c r="X76" s="43"/>
    </row>
    <row r="77" spans="1:24" ht="14.25" customHeight="1">
      <c r="A77" s="295"/>
      <c r="B77" s="166"/>
      <c r="C77" s="295"/>
      <c r="D77" s="295"/>
      <c r="E77" s="444"/>
      <c r="F77" s="144"/>
      <c r="G77" s="144"/>
      <c r="H77" s="295"/>
      <c r="I77" s="295"/>
      <c r="J77" s="295"/>
      <c r="K77" s="295"/>
      <c r="L77" s="295"/>
      <c r="M77" s="295"/>
      <c r="N77" s="295"/>
      <c r="O77" s="295"/>
      <c r="P77" s="295"/>
      <c r="Q77" s="295"/>
      <c r="R77" s="295"/>
      <c r="S77" s="190"/>
      <c r="T77" s="43">
        <f t="shared" si="4"/>
        <v>1</v>
      </c>
      <c r="U77" s="167">
        <f t="shared" si="5"/>
        <v>0</v>
      </c>
      <c r="V77" s="43"/>
      <c r="W77" s="43"/>
      <c r="X77" s="43"/>
    </row>
    <row r="78" spans="1:24" ht="14.25" customHeight="1">
      <c r="A78" s="295"/>
      <c r="B78" s="166"/>
      <c r="C78" s="295"/>
      <c r="D78" s="295"/>
      <c r="E78" s="444"/>
      <c r="F78" s="144"/>
      <c r="G78" s="144"/>
      <c r="H78" s="295"/>
      <c r="I78" s="295"/>
      <c r="J78" s="295"/>
      <c r="K78" s="295"/>
      <c r="L78" s="295"/>
      <c r="M78" s="295"/>
      <c r="N78" s="295"/>
      <c r="O78" s="295"/>
      <c r="P78" s="295"/>
      <c r="Q78" s="295"/>
      <c r="R78" s="295"/>
      <c r="S78" s="190"/>
      <c r="T78" s="43">
        <f t="shared" si="4"/>
        <v>1</v>
      </c>
      <c r="U78" s="167">
        <f t="shared" si="5"/>
        <v>0</v>
      </c>
      <c r="V78" s="43"/>
      <c r="W78" s="43"/>
      <c r="X78" s="43"/>
    </row>
    <row r="79" spans="1:24" ht="14.25" customHeight="1">
      <c r="A79" s="295"/>
      <c r="B79" s="166"/>
      <c r="C79" s="295"/>
      <c r="D79" s="295"/>
      <c r="E79" s="444"/>
      <c r="F79" s="144"/>
      <c r="G79" s="144"/>
      <c r="H79" s="295"/>
      <c r="I79" s="295"/>
      <c r="J79" s="295"/>
      <c r="K79" s="295"/>
      <c r="L79" s="295"/>
      <c r="M79" s="295"/>
      <c r="N79" s="295"/>
      <c r="O79" s="295"/>
      <c r="P79" s="295"/>
      <c r="Q79" s="295"/>
      <c r="R79" s="295"/>
      <c r="S79" s="190"/>
      <c r="T79" s="43">
        <f t="shared" si="4"/>
        <v>1</v>
      </c>
      <c r="U79" s="167">
        <f t="shared" si="5"/>
        <v>0</v>
      </c>
      <c r="V79" s="43"/>
      <c r="W79" s="43"/>
      <c r="X79" s="43"/>
    </row>
    <row r="80" spans="1:24" ht="14.25" customHeight="1">
      <c r="A80" s="295"/>
      <c r="B80" s="166"/>
      <c r="C80" s="295"/>
      <c r="D80" s="295"/>
      <c r="E80" s="444"/>
      <c r="F80" s="144"/>
      <c r="G80" s="144"/>
      <c r="H80" s="295"/>
      <c r="I80" s="295"/>
      <c r="J80" s="295"/>
      <c r="K80" s="295"/>
      <c r="L80" s="295"/>
      <c r="M80" s="295"/>
      <c r="N80" s="295"/>
      <c r="O80" s="295"/>
      <c r="P80" s="295"/>
      <c r="Q80" s="295"/>
      <c r="R80" s="295"/>
      <c r="S80" s="190"/>
      <c r="T80" s="43">
        <f t="shared" si="4"/>
        <v>1</v>
      </c>
      <c r="U80" s="167">
        <f t="shared" si="5"/>
        <v>0</v>
      </c>
      <c r="V80" s="43"/>
      <c r="W80" s="43"/>
      <c r="X80" s="43"/>
    </row>
    <row r="81" spans="1:24" ht="14.25" customHeight="1">
      <c r="A81" s="295"/>
      <c r="B81" s="166"/>
      <c r="C81" s="295"/>
      <c r="D81" s="295"/>
      <c r="E81" s="444"/>
      <c r="F81" s="144"/>
      <c r="G81" s="144"/>
      <c r="H81" s="295"/>
      <c r="I81" s="295"/>
      <c r="J81" s="295"/>
      <c r="K81" s="295"/>
      <c r="L81" s="295"/>
      <c r="M81" s="295"/>
      <c r="N81" s="295"/>
      <c r="O81" s="295"/>
      <c r="P81" s="295"/>
      <c r="Q81" s="295"/>
      <c r="R81" s="295"/>
      <c r="S81" s="190"/>
      <c r="T81" s="43">
        <f t="shared" si="4"/>
        <v>1</v>
      </c>
      <c r="U81" s="167">
        <f t="shared" si="5"/>
        <v>0</v>
      </c>
      <c r="V81" s="43"/>
      <c r="W81" s="43"/>
      <c r="X81" s="43"/>
    </row>
    <row r="82" spans="1:24" ht="14.25" customHeight="1">
      <c r="A82" s="295"/>
      <c r="B82" s="166"/>
      <c r="C82" s="295"/>
      <c r="D82" s="295"/>
      <c r="E82" s="444"/>
      <c r="F82" s="144"/>
      <c r="G82" s="144"/>
      <c r="H82" s="295"/>
      <c r="I82" s="295"/>
      <c r="J82" s="295"/>
      <c r="K82" s="295"/>
      <c r="L82" s="295"/>
      <c r="M82" s="295"/>
      <c r="N82" s="295"/>
      <c r="O82" s="295"/>
      <c r="P82" s="295"/>
      <c r="Q82" s="295"/>
      <c r="R82" s="295"/>
      <c r="S82" s="190" t="s">
        <v>1238</v>
      </c>
      <c r="T82" s="43">
        <f t="shared" si="4"/>
        <v>1</v>
      </c>
      <c r="U82" s="167">
        <f t="shared" si="5"/>
        <v>0</v>
      </c>
      <c r="V82" s="43"/>
      <c r="W82" s="43"/>
      <c r="X82" s="43"/>
    </row>
    <row r="83" spans="1:24" ht="14.25" customHeight="1">
      <c r="A83" s="295"/>
      <c r="B83" s="166"/>
      <c r="C83" s="295"/>
      <c r="D83" s="295"/>
      <c r="E83" s="444"/>
      <c r="F83" s="144"/>
      <c r="G83" s="144"/>
      <c r="H83" s="295"/>
      <c r="I83" s="295"/>
      <c r="J83" s="295"/>
      <c r="K83" s="295"/>
      <c r="L83" s="295"/>
      <c r="M83" s="295"/>
      <c r="N83" s="295"/>
      <c r="O83" s="295"/>
      <c r="P83" s="295"/>
      <c r="Q83" s="295"/>
      <c r="R83" s="295"/>
      <c r="S83" s="190" t="s">
        <v>287</v>
      </c>
      <c r="T83" s="43">
        <f t="shared" si="4"/>
        <v>1</v>
      </c>
      <c r="U83" s="167">
        <f t="shared" si="5"/>
        <v>0</v>
      </c>
      <c r="V83" s="43"/>
      <c r="W83" s="43"/>
      <c r="X83" s="43"/>
    </row>
    <row r="84" spans="1:24" ht="14.25" customHeight="1">
      <c r="A84" s="295"/>
      <c r="B84" s="166"/>
      <c r="C84" s="295"/>
      <c r="D84" s="295"/>
      <c r="E84" s="444"/>
      <c r="F84" s="144"/>
      <c r="G84" s="144"/>
      <c r="H84" s="295"/>
      <c r="I84" s="295"/>
      <c r="J84" s="295"/>
      <c r="K84" s="295"/>
      <c r="L84" s="295"/>
      <c r="M84" s="295"/>
      <c r="N84" s="295"/>
      <c r="O84" s="295"/>
      <c r="P84" s="295"/>
      <c r="Q84" s="295"/>
      <c r="R84" s="295"/>
      <c r="S84" s="190" t="s">
        <v>1246</v>
      </c>
      <c r="T84" s="43">
        <f t="shared" si="4"/>
        <v>1</v>
      </c>
      <c r="U84" s="167">
        <f t="shared" si="5"/>
        <v>0</v>
      </c>
      <c r="V84" s="43"/>
      <c r="W84" s="43"/>
      <c r="X84" s="43"/>
    </row>
    <row r="85" spans="1:24" ht="14.25" customHeight="1">
      <c r="A85" s="295"/>
      <c r="B85" s="166"/>
      <c r="C85" s="295"/>
      <c r="D85" s="295"/>
      <c r="E85" s="444"/>
      <c r="F85" s="144"/>
      <c r="G85" s="144"/>
      <c r="H85" s="295"/>
      <c r="I85" s="295"/>
      <c r="J85" s="295"/>
      <c r="K85" s="295"/>
      <c r="L85" s="295"/>
      <c r="M85" s="295"/>
      <c r="N85" s="295"/>
      <c r="O85" s="295"/>
      <c r="P85" s="295"/>
      <c r="Q85" s="295"/>
      <c r="R85" s="295"/>
      <c r="S85" s="190"/>
      <c r="T85" s="43">
        <f t="shared" si="4"/>
        <v>1</v>
      </c>
      <c r="U85" s="167">
        <f t="shared" si="5"/>
        <v>0</v>
      </c>
      <c r="V85" s="43"/>
      <c r="W85" s="43"/>
      <c r="X85" s="43"/>
    </row>
    <row r="86" spans="1:24" ht="14.25" customHeight="1">
      <c r="A86" s="295"/>
      <c r="B86" s="166"/>
      <c r="C86" s="295"/>
      <c r="D86" s="295"/>
      <c r="E86" s="444"/>
      <c r="F86" s="144"/>
      <c r="G86" s="144"/>
      <c r="H86" s="295"/>
      <c r="I86" s="295"/>
      <c r="J86" s="295"/>
      <c r="K86" s="295"/>
      <c r="L86" s="295"/>
      <c r="M86" s="295"/>
      <c r="N86" s="295"/>
      <c r="O86" s="295"/>
      <c r="P86" s="295"/>
      <c r="Q86" s="295"/>
      <c r="R86" s="295"/>
      <c r="S86" s="190"/>
      <c r="T86" s="43">
        <f t="shared" si="4"/>
        <v>1</v>
      </c>
      <c r="U86" s="167">
        <f t="shared" si="5"/>
        <v>0</v>
      </c>
      <c r="V86" s="43"/>
      <c r="W86" s="43"/>
      <c r="X86" s="43"/>
    </row>
    <row r="87" spans="1:24" ht="14.25" customHeight="1">
      <c r="A87" s="295"/>
      <c r="B87" s="166"/>
      <c r="C87" s="295"/>
      <c r="D87" s="295"/>
      <c r="E87" s="444"/>
      <c r="F87" s="144"/>
      <c r="G87" s="144"/>
      <c r="H87" s="295"/>
      <c r="I87" s="295"/>
      <c r="J87" s="295"/>
      <c r="K87" s="295"/>
      <c r="L87" s="295"/>
      <c r="M87" s="295"/>
      <c r="N87" s="295"/>
      <c r="O87" s="295"/>
      <c r="P87" s="295"/>
      <c r="Q87" s="295"/>
      <c r="R87" s="295"/>
      <c r="S87" s="190"/>
      <c r="T87" s="43">
        <f t="shared" si="4"/>
        <v>1</v>
      </c>
      <c r="U87" s="167">
        <f t="shared" si="5"/>
        <v>0</v>
      </c>
      <c r="V87" s="43"/>
      <c r="W87" s="43"/>
      <c r="X87" s="43"/>
    </row>
    <row r="88" spans="1:24" ht="14.25" customHeight="1">
      <c r="A88" s="295"/>
      <c r="B88" s="166"/>
      <c r="C88" s="295"/>
      <c r="D88" s="295"/>
      <c r="E88" s="444"/>
      <c r="F88" s="144"/>
      <c r="G88" s="144"/>
      <c r="H88" s="295"/>
      <c r="I88" s="295"/>
      <c r="J88" s="295"/>
      <c r="K88" s="295"/>
      <c r="L88" s="295"/>
      <c r="M88" s="295"/>
      <c r="N88" s="295"/>
      <c r="O88" s="295"/>
      <c r="P88" s="295"/>
      <c r="Q88" s="295"/>
      <c r="R88" s="295"/>
      <c r="S88" s="190"/>
      <c r="T88" s="43">
        <f t="shared" si="4"/>
        <v>1</v>
      </c>
      <c r="U88" s="167">
        <f t="shared" si="5"/>
        <v>0</v>
      </c>
      <c r="V88" s="43"/>
      <c r="W88" s="43"/>
      <c r="X88" s="43"/>
    </row>
    <row r="89" spans="1:24" ht="14.25" customHeight="1">
      <c r="A89" s="295"/>
      <c r="B89" s="166"/>
      <c r="C89" s="295"/>
      <c r="D89" s="295"/>
      <c r="E89" s="444"/>
      <c r="F89" s="144"/>
      <c r="G89" s="144"/>
      <c r="H89" s="295"/>
      <c r="I89" s="295"/>
      <c r="J89" s="295"/>
      <c r="K89" s="295"/>
      <c r="L89" s="295"/>
      <c r="M89" s="295"/>
      <c r="N89" s="295"/>
      <c r="O89" s="295"/>
      <c r="P89" s="295"/>
      <c r="Q89" s="295"/>
      <c r="R89" s="295"/>
      <c r="S89" s="190" t="s">
        <v>1304</v>
      </c>
      <c r="T89" s="43">
        <f t="shared" si="4"/>
        <v>1</v>
      </c>
      <c r="U89" s="167">
        <f t="shared" si="5"/>
        <v>0</v>
      </c>
      <c r="V89" s="43"/>
      <c r="W89" s="43"/>
      <c r="X89" s="43"/>
    </row>
    <row r="90" spans="1:24" ht="14.25" customHeight="1">
      <c r="A90" s="295"/>
      <c r="B90" s="166"/>
      <c r="C90" s="295"/>
      <c r="D90" s="295"/>
      <c r="E90" s="444"/>
      <c r="F90" s="144"/>
      <c r="G90" s="144"/>
      <c r="H90" s="295"/>
      <c r="I90" s="295"/>
      <c r="J90" s="295"/>
      <c r="K90" s="295"/>
      <c r="L90" s="295"/>
      <c r="M90" s="295"/>
      <c r="N90" s="295"/>
      <c r="O90" s="295"/>
      <c r="P90" s="295"/>
      <c r="Q90" s="295"/>
      <c r="R90" s="295"/>
      <c r="S90" s="190" t="s">
        <v>405</v>
      </c>
      <c r="T90" s="43">
        <f t="shared" si="4"/>
        <v>1</v>
      </c>
      <c r="U90" s="167">
        <f t="shared" si="5"/>
        <v>0</v>
      </c>
      <c r="V90" s="43"/>
      <c r="W90" s="43"/>
      <c r="X90" s="43"/>
    </row>
    <row r="91" spans="1:24" ht="14.25" customHeight="1">
      <c r="A91" s="295"/>
      <c r="B91" s="166"/>
      <c r="C91" s="295"/>
      <c r="D91" s="295"/>
      <c r="E91" s="444"/>
      <c r="F91" s="144"/>
      <c r="G91" s="144"/>
      <c r="H91" s="295"/>
      <c r="I91" s="295"/>
      <c r="J91" s="295"/>
      <c r="K91" s="295"/>
      <c r="L91" s="295"/>
      <c r="M91" s="295"/>
      <c r="N91" s="295"/>
      <c r="O91" s="295"/>
      <c r="P91" s="295"/>
      <c r="Q91" s="295"/>
      <c r="R91" s="295"/>
      <c r="S91" s="190" t="s">
        <v>1036</v>
      </c>
      <c r="T91" s="43">
        <f t="shared" si="4"/>
        <v>1</v>
      </c>
      <c r="U91" s="167">
        <f t="shared" si="5"/>
        <v>0</v>
      </c>
      <c r="V91" s="43"/>
      <c r="W91" s="43"/>
      <c r="X91" s="43"/>
    </row>
    <row r="92" spans="1:24" ht="14.25" customHeight="1">
      <c r="A92" s="295"/>
      <c r="B92" s="166"/>
      <c r="C92" s="295"/>
      <c r="D92" s="295"/>
      <c r="E92" s="444"/>
      <c r="F92" s="144"/>
      <c r="G92" s="144"/>
      <c r="H92" s="295"/>
      <c r="I92" s="295"/>
      <c r="J92" s="295"/>
      <c r="K92" s="295"/>
      <c r="L92" s="295"/>
      <c r="M92" s="295"/>
      <c r="N92" s="295"/>
      <c r="O92" s="295"/>
      <c r="P92" s="295"/>
      <c r="Q92" s="295"/>
      <c r="R92" s="295"/>
      <c r="S92" s="190"/>
      <c r="T92" s="43">
        <f t="shared" si="4"/>
        <v>1</v>
      </c>
      <c r="U92" s="167">
        <f t="shared" si="5"/>
        <v>0</v>
      </c>
      <c r="V92" s="43"/>
      <c r="W92" s="43"/>
      <c r="X92" s="43"/>
    </row>
    <row r="93" spans="1:24" ht="14.25" customHeight="1">
      <c r="A93" s="295"/>
      <c r="B93" s="166"/>
      <c r="C93" s="295"/>
      <c r="D93" s="295"/>
      <c r="E93" s="444"/>
      <c r="F93" s="144"/>
      <c r="G93" s="144"/>
      <c r="H93" s="295"/>
      <c r="I93" s="295"/>
      <c r="J93" s="295"/>
      <c r="K93" s="295"/>
      <c r="L93" s="295"/>
      <c r="M93" s="295"/>
      <c r="N93" s="295"/>
      <c r="O93" s="295"/>
      <c r="P93" s="295"/>
      <c r="Q93" s="295"/>
      <c r="R93" s="295"/>
      <c r="S93" s="190"/>
      <c r="T93" s="43">
        <f t="shared" si="4"/>
        <v>1</v>
      </c>
      <c r="U93" s="167">
        <f t="shared" si="5"/>
        <v>0</v>
      </c>
      <c r="V93" s="43"/>
      <c r="W93" s="43"/>
      <c r="X93" s="43"/>
    </row>
    <row r="94" spans="1:24" ht="14.25" customHeight="1">
      <c r="A94" s="295"/>
      <c r="B94" s="166"/>
      <c r="C94" s="295"/>
      <c r="D94" s="295"/>
      <c r="E94" s="444"/>
      <c r="F94" s="144"/>
      <c r="G94" s="144"/>
      <c r="H94" s="295"/>
      <c r="I94" s="295"/>
      <c r="J94" s="295"/>
      <c r="K94" s="295"/>
      <c r="L94" s="295"/>
      <c r="M94" s="295"/>
      <c r="N94" s="295"/>
      <c r="O94" s="295"/>
      <c r="P94" s="295"/>
      <c r="Q94" s="295"/>
      <c r="R94" s="295"/>
      <c r="S94" s="190"/>
      <c r="T94" s="43">
        <f t="shared" si="4"/>
        <v>1</v>
      </c>
      <c r="U94" s="167">
        <f t="shared" si="5"/>
        <v>0</v>
      </c>
      <c r="V94" s="43"/>
      <c r="W94" s="43"/>
      <c r="X94" s="43"/>
    </row>
    <row r="95" spans="1:24" ht="14.25" customHeight="1">
      <c r="A95" s="295"/>
      <c r="B95" s="166"/>
      <c r="C95" s="295"/>
      <c r="D95" s="295"/>
      <c r="E95" s="444"/>
      <c r="F95" s="144"/>
      <c r="G95" s="144"/>
      <c r="H95" s="295"/>
      <c r="I95" s="295"/>
      <c r="J95" s="295"/>
      <c r="K95" s="295"/>
      <c r="L95" s="295"/>
      <c r="M95" s="295"/>
      <c r="N95" s="295"/>
      <c r="O95" s="295"/>
      <c r="P95" s="295"/>
      <c r="Q95" s="295"/>
      <c r="R95" s="295"/>
      <c r="S95" s="190" t="s">
        <v>1634</v>
      </c>
      <c r="T95" s="43">
        <f t="shared" si="4"/>
        <v>1</v>
      </c>
      <c r="U95" s="167">
        <f t="shared" si="5"/>
        <v>0</v>
      </c>
      <c r="V95" s="43"/>
      <c r="W95" s="43"/>
      <c r="X95" s="43"/>
    </row>
    <row r="96" spans="1:24" ht="14.25" customHeight="1">
      <c r="A96" s="295"/>
      <c r="B96" s="166"/>
      <c r="C96" s="295"/>
      <c r="D96" s="295"/>
      <c r="E96" s="444"/>
      <c r="F96" s="144"/>
      <c r="G96" s="144"/>
      <c r="H96" s="295"/>
      <c r="I96" s="295"/>
      <c r="J96" s="295"/>
      <c r="K96" s="295"/>
      <c r="L96" s="295"/>
      <c r="M96" s="295"/>
      <c r="N96" s="295"/>
      <c r="O96" s="295"/>
      <c r="P96" s="295"/>
      <c r="Q96" s="295"/>
      <c r="R96" s="295"/>
      <c r="S96" s="190" t="s">
        <v>287</v>
      </c>
      <c r="T96" s="43">
        <f t="shared" si="4"/>
        <v>1</v>
      </c>
      <c r="U96" s="167">
        <f t="shared" si="5"/>
        <v>0</v>
      </c>
      <c r="V96" s="43"/>
      <c r="W96" s="43"/>
      <c r="X96" s="43"/>
    </row>
    <row r="97" spans="1:24" ht="14.25" customHeight="1">
      <c r="A97" s="295"/>
      <c r="B97" s="166"/>
      <c r="C97" s="295"/>
      <c r="D97" s="295"/>
      <c r="E97" s="444"/>
      <c r="F97" s="144"/>
      <c r="G97" s="144"/>
      <c r="H97" s="295"/>
      <c r="I97" s="295"/>
      <c r="J97" s="295"/>
      <c r="K97" s="295"/>
      <c r="L97" s="295"/>
      <c r="M97" s="295"/>
      <c r="N97" s="295"/>
      <c r="O97" s="295"/>
      <c r="P97" s="295"/>
      <c r="Q97" s="295"/>
      <c r="R97" s="295"/>
      <c r="S97" s="190" t="s">
        <v>354</v>
      </c>
      <c r="T97" s="43">
        <f t="shared" si="4"/>
        <v>1</v>
      </c>
      <c r="U97" s="167">
        <f t="shared" si="5"/>
        <v>0</v>
      </c>
      <c r="V97" s="43"/>
      <c r="W97" s="43"/>
      <c r="X97" s="43"/>
    </row>
    <row r="98" spans="1:24" ht="14.25" customHeight="1">
      <c r="A98" s="295"/>
      <c r="B98" s="166"/>
      <c r="C98" s="295"/>
      <c r="D98" s="295"/>
      <c r="E98" s="444"/>
      <c r="F98" s="144"/>
      <c r="G98" s="144"/>
      <c r="H98" s="295"/>
      <c r="I98" s="295"/>
      <c r="J98" s="295"/>
      <c r="K98" s="295"/>
      <c r="L98" s="295"/>
      <c r="M98" s="295"/>
      <c r="N98" s="295"/>
      <c r="O98" s="295"/>
      <c r="P98" s="295"/>
      <c r="Q98" s="295"/>
      <c r="R98" s="295"/>
      <c r="S98" s="190"/>
      <c r="T98" s="43">
        <f t="shared" si="4"/>
        <v>1</v>
      </c>
      <c r="U98" s="167">
        <f t="shared" si="5"/>
        <v>0</v>
      </c>
      <c r="V98" s="43"/>
      <c r="W98" s="43"/>
      <c r="X98" s="43"/>
    </row>
    <row r="99" spans="1:24" ht="14.25" customHeight="1">
      <c r="A99" s="295"/>
      <c r="B99" s="166"/>
      <c r="C99" s="295"/>
      <c r="D99" s="295"/>
      <c r="E99" s="444"/>
      <c r="F99" s="144"/>
      <c r="G99" s="144"/>
      <c r="H99" s="295"/>
      <c r="I99" s="295"/>
      <c r="J99" s="295"/>
      <c r="K99" s="295"/>
      <c r="L99" s="295"/>
      <c r="M99" s="295"/>
      <c r="N99" s="295"/>
      <c r="O99" s="295"/>
      <c r="P99" s="295"/>
      <c r="Q99" s="295"/>
      <c r="R99" s="295"/>
      <c r="S99" s="190"/>
      <c r="T99" s="43">
        <f t="shared" si="4"/>
        <v>1</v>
      </c>
      <c r="U99" s="167">
        <f t="shared" si="5"/>
        <v>0</v>
      </c>
      <c r="V99" s="43"/>
      <c r="W99" s="43"/>
      <c r="X99" s="43"/>
    </row>
    <row r="100" spans="1:24" ht="14.25" customHeight="1">
      <c r="A100" s="295"/>
      <c r="B100" s="166"/>
      <c r="C100" s="295"/>
      <c r="D100" s="295"/>
      <c r="E100" s="444"/>
      <c r="F100" s="144"/>
      <c r="G100" s="144"/>
      <c r="H100" s="295"/>
      <c r="I100" s="295"/>
      <c r="J100" s="295"/>
      <c r="K100" s="295"/>
      <c r="L100" s="295"/>
      <c r="M100" s="295"/>
      <c r="N100" s="295"/>
      <c r="O100" s="295"/>
      <c r="P100" s="295"/>
      <c r="Q100" s="295"/>
      <c r="R100" s="295"/>
      <c r="S100" s="190"/>
      <c r="T100" s="43">
        <f t="shared" si="4"/>
        <v>1</v>
      </c>
      <c r="U100" s="167">
        <f t="shared" si="5"/>
        <v>0</v>
      </c>
      <c r="V100" s="43"/>
      <c r="W100" s="43"/>
      <c r="X100" s="43"/>
    </row>
    <row r="101" spans="1:24" ht="14.25" customHeight="1">
      <c r="A101" s="295"/>
      <c r="B101" s="166"/>
      <c r="C101" s="295"/>
      <c r="D101" s="295"/>
      <c r="E101" s="444"/>
      <c r="F101" s="144"/>
      <c r="G101" s="144"/>
      <c r="H101" s="295"/>
      <c r="I101" s="295"/>
      <c r="J101" s="295"/>
      <c r="K101" s="295"/>
      <c r="L101" s="295"/>
      <c r="M101" s="295"/>
      <c r="N101" s="295"/>
      <c r="O101" s="295"/>
      <c r="P101" s="295"/>
      <c r="Q101" s="295"/>
      <c r="R101" s="295"/>
      <c r="S101" s="190"/>
      <c r="T101" s="43">
        <f t="shared" si="4"/>
        <v>1</v>
      </c>
      <c r="U101" s="167">
        <f t="shared" si="5"/>
        <v>0</v>
      </c>
      <c r="V101" s="43"/>
      <c r="W101" s="43"/>
      <c r="X101" s="43"/>
    </row>
    <row r="102" spans="1:24" ht="14.25" customHeight="1">
      <c r="A102" s="295"/>
      <c r="B102" s="166"/>
      <c r="C102" s="295"/>
      <c r="D102" s="295"/>
      <c r="E102" s="444"/>
      <c r="F102" s="144"/>
      <c r="G102" s="144"/>
      <c r="H102" s="295"/>
      <c r="I102" s="295"/>
      <c r="J102" s="295"/>
      <c r="K102" s="295"/>
      <c r="L102" s="295"/>
      <c r="M102" s="295"/>
      <c r="N102" s="295"/>
      <c r="O102" s="295"/>
      <c r="P102" s="295"/>
      <c r="Q102" s="295"/>
      <c r="R102" s="295"/>
      <c r="S102" s="190" t="s">
        <v>2379</v>
      </c>
      <c r="T102" s="43">
        <f t="shared" si="4"/>
        <v>1</v>
      </c>
      <c r="U102" s="167">
        <f t="shared" si="5"/>
        <v>0</v>
      </c>
      <c r="V102" s="43"/>
      <c r="W102" s="43"/>
      <c r="X102" s="43"/>
    </row>
    <row r="103" spans="1:24" ht="14.25" customHeight="1">
      <c r="A103" s="295"/>
      <c r="B103" s="166"/>
      <c r="C103" s="295"/>
      <c r="D103" s="295"/>
      <c r="E103" s="444"/>
      <c r="F103" s="144"/>
      <c r="G103" s="144"/>
      <c r="H103" s="295"/>
      <c r="I103" s="295"/>
      <c r="J103" s="295"/>
      <c r="K103" s="295"/>
      <c r="L103" s="295"/>
      <c r="M103" s="295"/>
      <c r="N103" s="295"/>
      <c r="O103" s="295"/>
      <c r="P103" s="295"/>
      <c r="Q103" s="295"/>
      <c r="R103" s="295"/>
      <c r="S103" s="190" t="s">
        <v>438</v>
      </c>
      <c r="T103" s="43">
        <f t="shared" si="4"/>
        <v>1</v>
      </c>
      <c r="U103" s="167">
        <f t="shared" si="5"/>
        <v>0</v>
      </c>
      <c r="V103" s="43"/>
      <c r="W103" s="43"/>
      <c r="X103" s="43"/>
    </row>
    <row r="104" spans="1:24" ht="14.25" customHeight="1">
      <c r="A104" s="295"/>
      <c r="B104" s="166"/>
      <c r="C104" s="295"/>
      <c r="D104" s="295"/>
      <c r="E104" s="444"/>
      <c r="F104" s="144"/>
      <c r="G104" s="144"/>
      <c r="H104" s="295"/>
      <c r="I104" s="295"/>
      <c r="J104" s="295"/>
      <c r="K104" s="295"/>
      <c r="L104" s="295"/>
      <c r="M104" s="295"/>
      <c r="N104" s="295"/>
      <c r="O104" s="295"/>
      <c r="P104" s="295"/>
      <c r="Q104" s="295"/>
      <c r="R104" s="295"/>
      <c r="S104" s="190" t="s">
        <v>323</v>
      </c>
      <c r="T104" s="43">
        <f t="shared" si="4"/>
        <v>1</v>
      </c>
      <c r="U104" s="167">
        <f t="shared" si="5"/>
        <v>0</v>
      </c>
      <c r="V104" s="43"/>
      <c r="W104" s="43"/>
      <c r="X104" s="43"/>
    </row>
    <row r="105" spans="1:24" ht="14.25" customHeight="1">
      <c r="A105" s="295"/>
      <c r="B105" s="166"/>
      <c r="C105" s="295"/>
      <c r="D105" s="295"/>
      <c r="E105" s="444"/>
      <c r="F105" s="144"/>
      <c r="G105" s="144"/>
      <c r="H105" s="295"/>
      <c r="I105" s="295"/>
      <c r="J105" s="295"/>
      <c r="K105" s="295"/>
      <c r="L105" s="295"/>
      <c r="M105" s="295"/>
      <c r="N105" s="295"/>
      <c r="O105" s="295"/>
      <c r="P105" s="295"/>
      <c r="Q105" s="295"/>
      <c r="R105" s="295"/>
      <c r="S105" s="190" t="s">
        <v>453</v>
      </c>
      <c r="T105" s="43">
        <f t="shared" si="4"/>
        <v>1</v>
      </c>
      <c r="U105" s="167">
        <f t="shared" si="5"/>
        <v>0</v>
      </c>
      <c r="V105" s="43"/>
      <c r="W105" s="43"/>
      <c r="X105" s="43"/>
    </row>
    <row r="106" spans="1:24" ht="14.25" customHeight="1">
      <c r="A106" s="295"/>
      <c r="B106" s="166"/>
      <c r="C106" s="295"/>
      <c r="D106" s="295"/>
      <c r="E106" s="444"/>
      <c r="F106" s="144"/>
      <c r="G106" s="144"/>
      <c r="H106" s="295"/>
      <c r="I106" s="295"/>
      <c r="J106" s="295"/>
      <c r="K106" s="295"/>
      <c r="L106" s="295"/>
      <c r="M106" s="295"/>
      <c r="N106" s="295"/>
      <c r="O106" s="295"/>
      <c r="P106" s="295"/>
      <c r="Q106" s="295"/>
      <c r="R106" s="295"/>
      <c r="S106" s="190" t="s">
        <v>487</v>
      </c>
      <c r="T106" s="43">
        <f t="shared" si="4"/>
        <v>1</v>
      </c>
      <c r="U106" s="167">
        <f t="shared" si="5"/>
        <v>0</v>
      </c>
      <c r="V106" s="43"/>
      <c r="W106" s="43"/>
      <c r="X106" s="43"/>
    </row>
    <row r="107" spans="1:24" ht="14.25" customHeight="1">
      <c r="A107" s="295"/>
      <c r="B107" s="166"/>
      <c r="C107" s="295"/>
      <c r="D107" s="295"/>
      <c r="E107" s="444"/>
      <c r="F107" s="144"/>
      <c r="G107" s="144"/>
      <c r="H107" s="295"/>
      <c r="I107" s="295"/>
      <c r="J107" s="295"/>
      <c r="K107" s="295"/>
      <c r="L107" s="295"/>
      <c r="M107" s="295"/>
      <c r="N107" s="295"/>
      <c r="O107" s="295"/>
      <c r="P107" s="295"/>
      <c r="Q107" s="295"/>
      <c r="R107" s="295"/>
      <c r="S107" s="190" t="s">
        <v>503</v>
      </c>
      <c r="T107" s="43">
        <f t="shared" si="4"/>
        <v>1</v>
      </c>
      <c r="U107" s="167">
        <f t="shared" si="5"/>
        <v>0</v>
      </c>
      <c r="V107" s="43"/>
      <c r="W107" s="43"/>
      <c r="X107" s="43"/>
    </row>
    <row r="108" spans="1:24" ht="14.25" customHeight="1">
      <c r="A108" s="295"/>
      <c r="B108" s="166"/>
      <c r="C108" s="295"/>
      <c r="D108" s="295"/>
      <c r="E108" s="444"/>
      <c r="F108" s="144"/>
      <c r="G108" s="144"/>
      <c r="H108" s="295"/>
      <c r="I108" s="295"/>
      <c r="J108" s="295"/>
      <c r="K108" s="295"/>
      <c r="L108" s="295"/>
      <c r="M108" s="295"/>
      <c r="N108" s="295"/>
      <c r="O108" s="295"/>
      <c r="P108" s="295"/>
      <c r="Q108" s="295"/>
      <c r="R108" s="295"/>
      <c r="S108" s="190" t="s">
        <v>551</v>
      </c>
      <c r="T108" s="43">
        <f t="shared" si="4"/>
        <v>1</v>
      </c>
      <c r="U108" s="167">
        <f t="shared" si="5"/>
        <v>0</v>
      </c>
      <c r="V108" s="43"/>
      <c r="W108" s="43"/>
      <c r="X108" s="43"/>
    </row>
    <row r="109" spans="1:24" ht="14.25" customHeight="1">
      <c r="A109" s="295"/>
      <c r="B109" s="166"/>
      <c r="C109" s="295"/>
      <c r="D109" s="295"/>
      <c r="E109" s="444"/>
      <c r="F109" s="144"/>
      <c r="G109" s="144"/>
      <c r="H109" s="295"/>
      <c r="I109" s="295"/>
      <c r="J109" s="295"/>
      <c r="K109" s="295"/>
      <c r="L109" s="295"/>
      <c r="M109" s="295"/>
      <c r="N109" s="295"/>
      <c r="O109" s="295"/>
      <c r="P109" s="295"/>
      <c r="Q109" s="295"/>
      <c r="R109" s="295"/>
      <c r="S109" s="190" t="s">
        <v>471</v>
      </c>
      <c r="T109" s="43">
        <f t="shared" si="4"/>
        <v>1</v>
      </c>
      <c r="U109" s="167">
        <f t="shared" si="5"/>
        <v>0</v>
      </c>
      <c r="V109" s="43"/>
      <c r="W109" s="43"/>
      <c r="X109" s="43"/>
    </row>
    <row r="110" spans="1:24" ht="14.25" customHeight="1">
      <c r="A110" s="295"/>
      <c r="B110" s="166"/>
      <c r="C110" s="295"/>
      <c r="D110" s="295"/>
      <c r="E110" s="444"/>
      <c r="F110" s="144"/>
      <c r="G110" s="144"/>
      <c r="H110" s="295"/>
      <c r="I110" s="295"/>
      <c r="J110" s="295"/>
      <c r="K110" s="295"/>
      <c r="L110" s="295"/>
      <c r="M110" s="295"/>
      <c r="N110" s="295"/>
      <c r="O110" s="295"/>
      <c r="P110" s="295"/>
      <c r="Q110" s="295"/>
      <c r="R110" s="295"/>
      <c r="S110" s="190" t="s">
        <v>507</v>
      </c>
      <c r="T110" s="43">
        <f t="shared" si="4"/>
        <v>1</v>
      </c>
      <c r="U110" s="167">
        <f t="shared" si="5"/>
        <v>0</v>
      </c>
      <c r="V110" s="43"/>
      <c r="W110" s="43"/>
      <c r="X110" s="43"/>
    </row>
    <row r="111" spans="1:24" ht="14.25" customHeight="1">
      <c r="A111" s="295"/>
      <c r="B111" s="166"/>
      <c r="C111" s="295"/>
      <c r="D111" s="295"/>
      <c r="E111" s="444"/>
      <c r="F111" s="144"/>
      <c r="G111" s="144"/>
      <c r="H111" s="295"/>
      <c r="I111" s="295"/>
      <c r="J111" s="295"/>
      <c r="K111" s="295"/>
      <c r="L111" s="295"/>
      <c r="M111" s="295"/>
      <c r="N111" s="295"/>
      <c r="O111" s="295"/>
      <c r="P111" s="295"/>
      <c r="Q111" s="295"/>
      <c r="R111" s="295"/>
      <c r="S111" s="190" t="s">
        <v>465</v>
      </c>
      <c r="T111" s="43">
        <f t="shared" si="4"/>
        <v>1</v>
      </c>
      <c r="U111" s="167">
        <f t="shared" si="5"/>
        <v>0</v>
      </c>
      <c r="V111" s="43"/>
      <c r="W111" s="43"/>
      <c r="X111" s="43"/>
    </row>
    <row r="112" spans="1:24" ht="14.25" customHeight="1">
      <c r="A112" s="295"/>
      <c r="B112" s="166"/>
      <c r="C112" s="295"/>
      <c r="D112" s="295"/>
      <c r="E112" s="444"/>
      <c r="F112" s="144"/>
      <c r="G112" s="144"/>
      <c r="H112" s="295"/>
      <c r="I112" s="295"/>
      <c r="J112" s="295"/>
      <c r="K112" s="295"/>
      <c r="L112" s="295"/>
      <c r="M112" s="295"/>
      <c r="N112" s="295"/>
      <c r="O112" s="295"/>
      <c r="P112" s="295"/>
      <c r="Q112" s="295"/>
      <c r="R112" s="295"/>
      <c r="S112" s="190" t="s">
        <v>449</v>
      </c>
      <c r="T112" s="43">
        <f t="shared" si="4"/>
        <v>1</v>
      </c>
      <c r="U112" s="167">
        <f t="shared" si="5"/>
        <v>0</v>
      </c>
      <c r="V112" s="43"/>
      <c r="W112" s="43"/>
      <c r="X112" s="43"/>
    </row>
    <row r="113" spans="1:24" ht="14.25" customHeight="1">
      <c r="A113" s="295"/>
      <c r="B113" s="166"/>
      <c r="C113" s="295"/>
      <c r="D113" s="295"/>
      <c r="E113" s="444"/>
      <c r="F113" s="144"/>
      <c r="G113" s="144"/>
      <c r="H113" s="295"/>
      <c r="I113" s="295"/>
      <c r="J113" s="295"/>
      <c r="K113" s="295"/>
      <c r="L113" s="295"/>
      <c r="M113" s="295"/>
      <c r="N113" s="295"/>
      <c r="O113" s="295"/>
      <c r="P113" s="295"/>
      <c r="Q113" s="295"/>
      <c r="R113" s="295"/>
      <c r="S113" s="190" t="s">
        <v>468</v>
      </c>
      <c r="T113" s="43">
        <f t="shared" si="4"/>
        <v>1</v>
      </c>
      <c r="U113" s="167">
        <f t="shared" si="5"/>
        <v>0</v>
      </c>
      <c r="V113" s="43"/>
      <c r="W113" s="43"/>
      <c r="X113" s="43"/>
    </row>
    <row r="114" spans="1:24" ht="14.25" customHeight="1">
      <c r="A114" s="295"/>
      <c r="B114" s="166"/>
      <c r="C114" s="295"/>
      <c r="D114" s="295"/>
      <c r="E114" s="444"/>
      <c r="F114" s="144"/>
      <c r="G114" s="144"/>
      <c r="H114" s="295"/>
      <c r="I114" s="295"/>
      <c r="J114" s="295"/>
      <c r="K114" s="295"/>
      <c r="L114" s="295"/>
      <c r="M114" s="295"/>
      <c r="N114" s="295"/>
      <c r="O114" s="295"/>
      <c r="P114" s="295"/>
      <c r="Q114" s="295"/>
      <c r="R114" s="295"/>
      <c r="S114" s="190" t="s">
        <v>361</v>
      </c>
      <c r="T114" s="43">
        <f t="shared" si="4"/>
        <v>1</v>
      </c>
      <c r="U114" s="167">
        <f t="shared" si="5"/>
        <v>0</v>
      </c>
      <c r="V114" s="43"/>
      <c r="W114" s="43"/>
      <c r="X114" s="43"/>
    </row>
    <row r="115" spans="1:24" ht="14.25" customHeight="1">
      <c r="A115" s="295"/>
      <c r="B115" s="166"/>
      <c r="C115" s="295"/>
      <c r="D115" s="295"/>
      <c r="E115" s="444"/>
      <c r="F115" s="144"/>
      <c r="G115" s="144"/>
      <c r="H115" s="295"/>
      <c r="I115" s="295"/>
      <c r="J115" s="295"/>
      <c r="K115" s="295"/>
      <c r="L115" s="295"/>
      <c r="M115" s="295"/>
      <c r="N115" s="295"/>
      <c r="O115" s="295"/>
      <c r="P115" s="295"/>
      <c r="Q115" s="295"/>
      <c r="R115" s="295"/>
      <c r="S115" s="190"/>
      <c r="T115" s="43">
        <f t="shared" si="4"/>
        <v>1</v>
      </c>
      <c r="U115" s="167">
        <f t="shared" si="5"/>
        <v>0</v>
      </c>
      <c r="V115" s="43"/>
      <c r="W115" s="43"/>
      <c r="X115" s="43"/>
    </row>
    <row r="116" spans="1:24" ht="14.25" customHeight="1">
      <c r="A116" s="295"/>
      <c r="B116" s="166"/>
      <c r="C116" s="295"/>
      <c r="D116" s="295"/>
      <c r="E116" s="444"/>
      <c r="F116" s="144"/>
      <c r="G116" s="144"/>
      <c r="H116" s="295"/>
      <c r="I116" s="295"/>
      <c r="J116" s="295"/>
      <c r="K116" s="295"/>
      <c r="L116" s="295"/>
      <c r="M116" s="295"/>
      <c r="N116" s="295"/>
      <c r="O116" s="295"/>
      <c r="P116" s="295"/>
      <c r="Q116" s="295"/>
      <c r="R116" s="295"/>
      <c r="S116" s="190"/>
      <c r="T116" s="43">
        <f t="shared" si="4"/>
        <v>1</v>
      </c>
      <c r="U116" s="167">
        <f t="shared" si="5"/>
        <v>0</v>
      </c>
      <c r="V116" s="43"/>
      <c r="W116" s="43"/>
      <c r="X116" s="43"/>
    </row>
    <row r="117" spans="1:24" ht="14.25" customHeight="1">
      <c r="A117" s="295"/>
      <c r="B117" s="166"/>
      <c r="C117" s="295"/>
      <c r="D117" s="295"/>
      <c r="E117" s="444"/>
      <c r="F117" s="144"/>
      <c r="G117" s="144"/>
      <c r="H117" s="295"/>
      <c r="I117" s="295"/>
      <c r="J117" s="295"/>
      <c r="K117" s="295"/>
      <c r="L117" s="295"/>
      <c r="M117" s="295"/>
      <c r="N117" s="295"/>
      <c r="O117" s="295"/>
      <c r="P117" s="295"/>
      <c r="Q117" s="295"/>
      <c r="R117" s="295"/>
      <c r="S117" s="190"/>
      <c r="T117" s="43">
        <f t="shared" si="4"/>
        <v>1</v>
      </c>
      <c r="U117" s="167">
        <f t="shared" si="5"/>
        <v>0</v>
      </c>
      <c r="V117" s="43"/>
      <c r="W117" s="43"/>
      <c r="X117" s="43"/>
    </row>
    <row r="118" spans="1:24" ht="14.25" customHeight="1">
      <c r="A118" s="295"/>
      <c r="B118" s="166"/>
      <c r="C118" s="295"/>
      <c r="D118" s="295"/>
      <c r="E118" s="444"/>
      <c r="F118" s="144"/>
      <c r="G118" s="144"/>
      <c r="H118" s="295"/>
      <c r="I118" s="295"/>
      <c r="J118" s="295"/>
      <c r="K118" s="295"/>
      <c r="L118" s="295"/>
      <c r="M118" s="295"/>
      <c r="N118" s="295"/>
      <c r="O118" s="295"/>
      <c r="P118" s="295"/>
      <c r="Q118" s="295"/>
      <c r="R118" s="295"/>
      <c r="S118" s="190"/>
      <c r="T118" s="43">
        <f t="shared" si="4"/>
        <v>1</v>
      </c>
      <c r="U118" s="167">
        <f t="shared" si="5"/>
        <v>0</v>
      </c>
      <c r="V118" s="43"/>
      <c r="W118" s="43"/>
      <c r="X118" s="43"/>
    </row>
    <row r="119" spans="1:24" ht="14.25" customHeight="1">
      <c r="A119" s="295"/>
      <c r="B119" s="166"/>
      <c r="C119" s="295"/>
      <c r="D119" s="295"/>
      <c r="E119" s="444"/>
      <c r="F119" s="144"/>
      <c r="G119" s="144"/>
      <c r="H119" s="295"/>
      <c r="I119" s="295"/>
      <c r="J119" s="295"/>
      <c r="K119" s="295"/>
      <c r="L119" s="295"/>
      <c r="M119" s="295"/>
      <c r="N119" s="295"/>
      <c r="O119" s="295"/>
      <c r="P119" s="295"/>
      <c r="Q119" s="295"/>
      <c r="R119" s="295"/>
      <c r="S119" s="190"/>
      <c r="T119" s="43">
        <f t="shared" si="4"/>
        <v>1</v>
      </c>
      <c r="U119" s="167">
        <f t="shared" si="5"/>
        <v>0</v>
      </c>
      <c r="V119" s="43"/>
      <c r="W119" s="43"/>
      <c r="X119" s="43"/>
    </row>
    <row r="120" spans="1:24" ht="14.25" customHeight="1">
      <c r="A120" s="295"/>
      <c r="B120" s="166"/>
      <c r="C120" s="295"/>
      <c r="D120" s="295"/>
      <c r="E120" s="444"/>
      <c r="F120" s="144"/>
      <c r="G120" s="144"/>
      <c r="H120" s="295"/>
      <c r="I120" s="295"/>
      <c r="J120" s="295"/>
      <c r="K120" s="295"/>
      <c r="L120" s="295"/>
      <c r="M120" s="295"/>
      <c r="N120" s="295"/>
      <c r="O120" s="295"/>
      <c r="P120" s="295"/>
      <c r="Q120" s="295"/>
      <c r="R120" s="295"/>
      <c r="S120" s="190"/>
      <c r="T120" s="43">
        <f t="shared" si="4"/>
        <v>1</v>
      </c>
      <c r="U120" s="167">
        <f t="shared" si="5"/>
        <v>0</v>
      </c>
      <c r="V120" s="43"/>
      <c r="W120" s="43"/>
      <c r="X120" s="43"/>
    </row>
    <row r="121" spans="1:24" ht="14.25" customHeight="1">
      <c r="A121" s="295"/>
      <c r="B121" s="166"/>
      <c r="C121" s="295"/>
      <c r="D121" s="295"/>
      <c r="E121" s="444"/>
      <c r="F121" s="144"/>
      <c r="G121" s="144"/>
      <c r="H121" s="295"/>
      <c r="I121" s="295"/>
      <c r="J121" s="295"/>
      <c r="K121" s="295"/>
      <c r="L121" s="295"/>
      <c r="M121" s="295"/>
      <c r="N121" s="295"/>
      <c r="O121" s="295"/>
      <c r="P121" s="295"/>
      <c r="Q121" s="295"/>
      <c r="R121" s="295"/>
      <c r="S121" s="190"/>
      <c r="T121" s="43">
        <f t="shared" si="4"/>
        <v>1</v>
      </c>
      <c r="U121" s="167">
        <f t="shared" si="5"/>
        <v>0</v>
      </c>
      <c r="V121" s="43"/>
      <c r="W121" s="43"/>
      <c r="X121" s="43"/>
    </row>
    <row r="122" spans="1:24" ht="14.25" customHeight="1">
      <c r="A122" s="295"/>
      <c r="B122" s="166"/>
      <c r="C122" s="295"/>
      <c r="D122" s="295"/>
      <c r="E122" s="444"/>
      <c r="F122" s="144"/>
      <c r="G122" s="144"/>
      <c r="H122" s="295"/>
      <c r="I122" s="295"/>
      <c r="J122" s="295"/>
      <c r="K122" s="295"/>
      <c r="L122" s="295"/>
      <c r="M122" s="295"/>
      <c r="N122" s="295"/>
      <c r="O122" s="295"/>
      <c r="P122" s="295"/>
      <c r="Q122" s="295"/>
      <c r="R122" s="295"/>
      <c r="S122" s="190"/>
      <c r="T122" s="43">
        <f t="shared" si="4"/>
        <v>1</v>
      </c>
      <c r="U122" s="167">
        <f t="shared" si="5"/>
        <v>0</v>
      </c>
      <c r="V122" s="43"/>
      <c r="W122" s="43"/>
      <c r="X122" s="43"/>
    </row>
    <row r="123" spans="1:24" ht="14.25" customHeight="1">
      <c r="A123" s="295"/>
      <c r="B123" s="166"/>
      <c r="C123" s="295"/>
      <c r="D123" s="295"/>
      <c r="E123" s="444"/>
      <c r="F123" s="144"/>
      <c r="G123" s="144"/>
      <c r="H123" s="295"/>
      <c r="I123" s="295"/>
      <c r="J123" s="295"/>
      <c r="K123" s="295"/>
      <c r="L123" s="295"/>
      <c r="M123" s="295"/>
      <c r="N123" s="295"/>
      <c r="O123" s="295"/>
      <c r="P123" s="295"/>
      <c r="Q123" s="295"/>
      <c r="R123" s="295"/>
      <c r="S123" s="190"/>
      <c r="T123" s="43">
        <f t="shared" si="4"/>
        <v>1</v>
      </c>
      <c r="U123" s="167">
        <f t="shared" si="5"/>
        <v>0</v>
      </c>
      <c r="V123" s="43"/>
      <c r="W123" s="43"/>
      <c r="X123" s="43"/>
    </row>
    <row r="124" spans="1:24" ht="14.25" customHeight="1">
      <c r="A124" s="295"/>
      <c r="B124" s="166"/>
      <c r="C124" s="295"/>
      <c r="D124" s="295"/>
      <c r="E124" s="444"/>
      <c r="F124" s="144"/>
      <c r="G124" s="144"/>
      <c r="H124" s="295"/>
      <c r="I124" s="295"/>
      <c r="J124" s="295"/>
      <c r="K124" s="295"/>
      <c r="L124" s="295"/>
      <c r="M124" s="295"/>
      <c r="N124" s="295"/>
      <c r="O124" s="295"/>
      <c r="P124" s="295"/>
      <c r="Q124" s="295"/>
      <c r="R124" s="295"/>
      <c r="S124" s="190"/>
      <c r="T124" s="43">
        <f t="shared" si="4"/>
        <v>1</v>
      </c>
      <c r="U124" s="167">
        <f t="shared" si="5"/>
        <v>0</v>
      </c>
      <c r="V124" s="43"/>
      <c r="W124" s="43"/>
      <c r="X124" s="43"/>
    </row>
    <row r="125" spans="1:24" ht="14.25" customHeight="1">
      <c r="A125" s="295"/>
      <c r="B125" s="166"/>
      <c r="C125" s="295"/>
      <c r="D125" s="295"/>
      <c r="E125" s="444"/>
      <c r="F125" s="144"/>
      <c r="G125" s="144"/>
      <c r="H125" s="295"/>
      <c r="I125" s="295"/>
      <c r="J125" s="295"/>
      <c r="K125" s="295"/>
      <c r="L125" s="295"/>
      <c r="M125" s="295"/>
      <c r="N125" s="295"/>
      <c r="O125" s="295"/>
      <c r="P125" s="295"/>
      <c r="Q125" s="295"/>
      <c r="R125" s="295"/>
      <c r="S125" s="190"/>
      <c r="T125" s="43">
        <f t="shared" si="4"/>
        <v>1</v>
      </c>
      <c r="U125" s="167">
        <f t="shared" si="5"/>
        <v>0</v>
      </c>
      <c r="V125" s="43"/>
      <c r="W125" s="43"/>
      <c r="X125" s="43"/>
    </row>
    <row r="126" spans="1:24" ht="14.25" customHeight="1">
      <c r="A126" s="295"/>
      <c r="B126" s="166"/>
      <c r="C126" s="295"/>
      <c r="D126" s="295"/>
      <c r="E126" s="444"/>
      <c r="F126" s="144"/>
      <c r="G126" s="144"/>
      <c r="H126" s="295"/>
      <c r="I126" s="295"/>
      <c r="J126" s="295"/>
      <c r="K126" s="295"/>
      <c r="L126" s="295"/>
      <c r="M126" s="295"/>
      <c r="N126" s="295"/>
      <c r="O126" s="295"/>
      <c r="P126" s="295"/>
      <c r="Q126" s="295"/>
      <c r="R126" s="295"/>
      <c r="S126" s="190"/>
      <c r="T126" s="43">
        <f t="shared" si="4"/>
        <v>1</v>
      </c>
      <c r="U126" s="167">
        <f t="shared" si="5"/>
        <v>0</v>
      </c>
      <c r="V126" s="43"/>
      <c r="W126" s="43"/>
      <c r="X126" s="43"/>
    </row>
    <row r="127" spans="1:24" ht="14.25" customHeight="1">
      <c r="A127" s="295"/>
      <c r="B127" s="166"/>
      <c r="C127" s="295"/>
      <c r="D127" s="295"/>
      <c r="E127" s="444"/>
      <c r="F127" s="144"/>
      <c r="G127" s="144"/>
      <c r="H127" s="295"/>
      <c r="I127" s="295"/>
      <c r="J127" s="295"/>
      <c r="K127" s="295"/>
      <c r="L127" s="295"/>
      <c r="M127" s="295"/>
      <c r="N127" s="295"/>
      <c r="O127" s="295"/>
      <c r="P127" s="295"/>
      <c r="Q127" s="295"/>
      <c r="R127" s="295"/>
      <c r="S127" s="190"/>
      <c r="T127" s="43">
        <f t="shared" si="4"/>
        <v>1</v>
      </c>
      <c r="U127" s="167">
        <f t="shared" si="5"/>
        <v>0</v>
      </c>
      <c r="V127" s="43"/>
      <c r="W127" s="43"/>
      <c r="X127" s="43"/>
    </row>
    <row r="128" spans="1:24" ht="14.25" customHeight="1">
      <c r="A128" s="295"/>
      <c r="B128" s="166"/>
      <c r="C128" s="295"/>
      <c r="D128" s="295"/>
      <c r="E128" s="444"/>
      <c r="F128" s="144"/>
      <c r="G128" s="144"/>
      <c r="H128" s="295"/>
      <c r="I128" s="295"/>
      <c r="J128" s="295"/>
      <c r="K128" s="295"/>
      <c r="L128" s="295"/>
      <c r="M128" s="295"/>
      <c r="N128" s="295"/>
      <c r="O128" s="295"/>
      <c r="P128" s="295"/>
      <c r="Q128" s="295"/>
      <c r="R128" s="295"/>
      <c r="S128" s="190" t="s">
        <v>1156</v>
      </c>
      <c r="T128" s="43">
        <f t="shared" si="4"/>
        <v>1</v>
      </c>
      <c r="U128" s="167">
        <f t="shared" si="5"/>
        <v>0</v>
      </c>
      <c r="V128" s="43"/>
      <c r="W128" s="43"/>
      <c r="X128" s="43"/>
    </row>
    <row r="129" spans="1:24" ht="14.25" customHeight="1">
      <c r="A129" s="295"/>
      <c r="B129" s="166"/>
      <c r="C129" s="295"/>
      <c r="D129" s="295"/>
      <c r="E129" s="444"/>
      <c r="F129" s="144"/>
      <c r="G129" s="144"/>
      <c r="H129" s="295"/>
      <c r="I129" s="295"/>
      <c r="J129" s="295"/>
      <c r="K129" s="295"/>
      <c r="L129" s="295"/>
      <c r="M129" s="295"/>
      <c r="N129" s="295"/>
      <c r="O129" s="295"/>
      <c r="P129" s="295"/>
      <c r="Q129" s="295"/>
      <c r="R129" s="295"/>
      <c r="S129" s="190" t="s">
        <v>874</v>
      </c>
      <c r="T129" s="43">
        <f t="shared" si="4"/>
        <v>1</v>
      </c>
      <c r="U129" s="167">
        <f t="shared" si="5"/>
        <v>0</v>
      </c>
      <c r="V129" s="43"/>
      <c r="W129" s="43"/>
      <c r="X129" s="43"/>
    </row>
    <row r="130" spans="1:24" ht="14.25" customHeight="1">
      <c r="A130" s="295"/>
      <c r="B130" s="166"/>
      <c r="C130" s="295"/>
      <c r="D130" s="295"/>
      <c r="E130" s="444"/>
      <c r="F130" s="144"/>
      <c r="G130" s="144"/>
      <c r="H130" s="295"/>
      <c r="I130" s="295"/>
      <c r="J130" s="295"/>
      <c r="K130" s="295"/>
      <c r="L130" s="295"/>
      <c r="M130" s="295"/>
      <c r="N130" s="295"/>
      <c r="O130" s="295"/>
      <c r="P130" s="295"/>
      <c r="Q130" s="295"/>
      <c r="R130" s="295"/>
      <c r="S130" s="190" t="s">
        <v>1105</v>
      </c>
      <c r="T130" s="43">
        <f t="shared" si="4"/>
        <v>1</v>
      </c>
      <c r="U130" s="167">
        <f t="shared" si="5"/>
        <v>0</v>
      </c>
      <c r="V130" s="43"/>
      <c r="W130" s="43"/>
      <c r="X130" s="43"/>
    </row>
    <row r="131" spans="1:24" ht="14.25" customHeight="1">
      <c r="A131" s="295"/>
      <c r="B131" s="166"/>
      <c r="C131" s="295"/>
      <c r="D131" s="295"/>
      <c r="E131" s="444"/>
      <c r="F131" s="144"/>
      <c r="G131" s="144"/>
      <c r="H131" s="295"/>
      <c r="I131" s="295"/>
      <c r="J131" s="295"/>
      <c r="K131" s="295"/>
      <c r="L131" s="295"/>
      <c r="M131" s="295"/>
      <c r="N131" s="295"/>
      <c r="O131" s="295"/>
      <c r="P131" s="295"/>
      <c r="Q131" s="295"/>
      <c r="R131" s="295"/>
      <c r="S131" s="190"/>
      <c r="T131" s="43">
        <f t="shared" si="4"/>
        <v>1</v>
      </c>
      <c r="U131" s="167">
        <f t="shared" si="5"/>
        <v>0</v>
      </c>
      <c r="V131" s="43"/>
      <c r="W131" s="43"/>
      <c r="X131" s="43"/>
    </row>
    <row r="132" spans="1:24" ht="14.25" customHeight="1">
      <c r="A132" s="295"/>
      <c r="B132" s="166"/>
      <c r="C132" s="295"/>
      <c r="D132" s="295"/>
      <c r="E132" s="444"/>
      <c r="F132" s="144"/>
      <c r="G132" s="144"/>
      <c r="H132" s="295"/>
      <c r="I132" s="295"/>
      <c r="J132" s="295"/>
      <c r="K132" s="295"/>
      <c r="L132" s="295"/>
      <c r="M132" s="295"/>
      <c r="N132" s="295"/>
      <c r="O132" s="295"/>
      <c r="P132" s="295"/>
      <c r="Q132" s="295"/>
      <c r="R132" s="295"/>
      <c r="S132" s="190"/>
      <c r="T132" s="43">
        <f t="shared" si="4"/>
        <v>1</v>
      </c>
      <c r="U132" s="167">
        <f t="shared" si="5"/>
        <v>0</v>
      </c>
      <c r="V132" s="43"/>
      <c r="W132" s="43"/>
      <c r="X132" s="43"/>
    </row>
    <row r="133" spans="1:24" ht="14.25" customHeight="1">
      <c r="A133" s="295"/>
      <c r="B133" s="166"/>
      <c r="C133" s="295"/>
      <c r="D133" s="295"/>
      <c r="E133" s="444"/>
      <c r="F133" s="144"/>
      <c r="G133" s="144"/>
      <c r="H133" s="295"/>
      <c r="I133" s="295"/>
      <c r="J133" s="295"/>
      <c r="K133" s="295"/>
      <c r="L133" s="295"/>
      <c r="M133" s="295"/>
      <c r="N133" s="295"/>
      <c r="O133" s="295"/>
      <c r="P133" s="295"/>
      <c r="Q133" s="295"/>
      <c r="R133" s="295"/>
      <c r="S133" s="190"/>
      <c r="T133" s="43">
        <f t="shared" si="4"/>
        <v>1</v>
      </c>
      <c r="U133" s="167">
        <f t="shared" si="5"/>
        <v>0</v>
      </c>
      <c r="V133" s="43"/>
      <c r="W133" s="43"/>
      <c r="X133" s="43"/>
    </row>
    <row r="134" spans="1:24" ht="14.25" customHeight="1">
      <c r="A134" s="295"/>
      <c r="B134" s="166"/>
      <c r="C134" s="295"/>
      <c r="D134" s="295"/>
      <c r="E134" s="444"/>
      <c r="F134" s="144"/>
      <c r="G134" s="144"/>
      <c r="H134" s="295"/>
      <c r="I134" s="295"/>
      <c r="J134" s="295"/>
      <c r="K134" s="295"/>
      <c r="L134" s="295"/>
      <c r="M134" s="295"/>
      <c r="N134" s="295"/>
      <c r="O134" s="295"/>
      <c r="P134" s="295"/>
      <c r="Q134" s="295"/>
      <c r="R134" s="295"/>
      <c r="S134" s="190" t="s">
        <v>354</v>
      </c>
      <c r="T134" s="43">
        <f t="shared" si="4"/>
        <v>1</v>
      </c>
      <c r="U134" s="167">
        <f t="shared" si="5"/>
        <v>0</v>
      </c>
      <c r="V134" s="43"/>
      <c r="W134" s="43"/>
      <c r="X134" s="43"/>
    </row>
    <row r="135" spans="1:24" ht="14.25" customHeight="1">
      <c r="A135" s="295"/>
      <c r="B135" s="166"/>
      <c r="C135" s="295"/>
      <c r="D135" s="295"/>
      <c r="E135" s="444"/>
      <c r="F135" s="144"/>
      <c r="G135" s="144"/>
      <c r="H135" s="295"/>
      <c r="I135" s="295"/>
      <c r="J135" s="295"/>
      <c r="K135" s="295"/>
      <c r="L135" s="295"/>
      <c r="M135" s="295"/>
      <c r="N135" s="295"/>
      <c r="O135" s="295"/>
      <c r="P135" s="295"/>
      <c r="Q135" s="295"/>
      <c r="R135" s="295"/>
      <c r="S135" s="190"/>
      <c r="T135" s="43">
        <f t="shared" si="4"/>
        <v>1</v>
      </c>
      <c r="U135" s="167">
        <f t="shared" si="5"/>
        <v>0</v>
      </c>
      <c r="V135" s="43"/>
      <c r="W135" s="43"/>
      <c r="X135" s="43"/>
    </row>
    <row r="136" spans="1:24" ht="14.25" customHeight="1">
      <c r="A136" s="295"/>
      <c r="B136" s="166"/>
      <c r="C136" s="295"/>
      <c r="D136" s="295"/>
      <c r="E136" s="444"/>
      <c r="F136" s="144"/>
      <c r="G136" s="144"/>
      <c r="H136" s="295"/>
      <c r="I136" s="295"/>
      <c r="J136" s="295"/>
      <c r="K136" s="295"/>
      <c r="L136" s="295"/>
      <c r="M136" s="295"/>
      <c r="N136" s="295"/>
      <c r="O136" s="295"/>
      <c r="P136" s="295"/>
      <c r="Q136" s="295"/>
      <c r="R136" s="295"/>
      <c r="S136" s="190"/>
      <c r="T136" s="43">
        <f t="shared" si="4"/>
        <v>1</v>
      </c>
      <c r="U136" s="167">
        <f t="shared" si="5"/>
        <v>0</v>
      </c>
      <c r="V136" s="43"/>
      <c r="W136" s="43"/>
      <c r="X136" s="43"/>
    </row>
    <row r="137" spans="1:24" ht="14.25" customHeight="1">
      <c r="A137" s="295"/>
      <c r="B137" s="166"/>
      <c r="C137" s="295"/>
      <c r="D137" s="295"/>
      <c r="E137" s="444"/>
      <c r="F137" s="144"/>
      <c r="G137" s="144"/>
      <c r="H137" s="295"/>
      <c r="I137" s="295"/>
      <c r="J137" s="295"/>
      <c r="K137" s="295"/>
      <c r="L137" s="295"/>
      <c r="M137" s="295"/>
      <c r="N137" s="295"/>
      <c r="O137" s="295"/>
      <c r="P137" s="295"/>
      <c r="Q137" s="295"/>
      <c r="R137" s="295"/>
      <c r="S137" s="190" t="s">
        <v>299</v>
      </c>
      <c r="T137" s="43">
        <f t="shared" si="4"/>
        <v>1</v>
      </c>
      <c r="U137" s="167">
        <f t="shared" si="5"/>
        <v>0</v>
      </c>
      <c r="V137" s="43"/>
      <c r="W137" s="43"/>
      <c r="X137" s="43"/>
    </row>
    <row r="138" spans="1:24" ht="14.25" customHeight="1">
      <c r="A138" s="295"/>
      <c r="B138" s="166"/>
      <c r="C138" s="295"/>
      <c r="D138" s="295"/>
      <c r="E138" s="444"/>
      <c r="F138" s="144"/>
      <c r="G138" s="144"/>
      <c r="H138" s="295"/>
      <c r="I138" s="295"/>
      <c r="J138" s="295"/>
      <c r="K138" s="295"/>
      <c r="L138" s="295"/>
      <c r="M138" s="295"/>
      <c r="N138" s="295"/>
      <c r="O138" s="295"/>
      <c r="P138" s="295"/>
      <c r="Q138" s="295"/>
      <c r="R138" s="295"/>
      <c r="S138" s="190"/>
      <c r="T138" s="43">
        <f t="shared" si="4"/>
        <v>1</v>
      </c>
      <c r="U138" s="167">
        <f t="shared" si="5"/>
        <v>0</v>
      </c>
      <c r="V138" s="43"/>
      <c r="W138" s="43"/>
      <c r="X138" s="43"/>
    </row>
    <row r="139" spans="1:24" ht="14.25" customHeight="1">
      <c r="A139" s="295"/>
      <c r="B139" s="166"/>
      <c r="C139" s="295"/>
      <c r="D139" s="295"/>
      <c r="E139" s="444"/>
      <c r="F139" s="144"/>
      <c r="G139" s="144"/>
      <c r="H139" s="295"/>
      <c r="I139" s="295"/>
      <c r="J139" s="295"/>
      <c r="K139" s="295"/>
      <c r="L139" s="295"/>
      <c r="M139" s="295"/>
      <c r="N139" s="295"/>
      <c r="O139" s="295"/>
      <c r="P139" s="295"/>
      <c r="Q139" s="295"/>
      <c r="R139" s="295"/>
      <c r="S139" s="190" t="s">
        <v>1306</v>
      </c>
      <c r="T139" s="43">
        <f t="shared" si="4"/>
        <v>1</v>
      </c>
      <c r="U139" s="167">
        <f t="shared" si="5"/>
        <v>0</v>
      </c>
      <c r="V139" s="43"/>
      <c r="W139" s="43"/>
      <c r="X139" s="43"/>
    </row>
    <row r="140" spans="1:24" ht="14.25" customHeight="1">
      <c r="A140" s="295"/>
      <c r="B140" s="166"/>
      <c r="C140" s="295"/>
      <c r="D140" s="295"/>
      <c r="E140" s="444"/>
      <c r="F140" s="144"/>
      <c r="G140" s="144"/>
      <c r="H140" s="295"/>
      <c r="I140" s="295"/>
      <c r="J140" s="295"/>
      <c r="K140" s="295"/>
      <c r="L140" s="295"/>
      <c r="M140" s="295"/>
      <c r="N140" s="295"/>
      <c r="O140" s="295"/>
      <c r="P140" s="295"/>
      <c r="Q140" s="295"/>
      <c r="R140" s="295"/>
      <c r="S140" s="190"/>
      <c r="T140" s="43">
        <f t="shared" si="4"/>
        <v>1</v>
      </c>
      <c r="U140" s="167">
        <f t="shared" si="5"/>
        <v>0</v>
      </c>
      <c r="V140" s="43"/>
      <c r="W140" s="43"/>
      <c r="X140" s="43"/>
    </row>
    <row r="141" spans="1:24" ht="14.25" customHeight="1">
      <c r="A141" s="295"/>
      <c r="B141" s="166"/>
      <c r="C141" s="295"/>
      <c r="D141" s="295"/>
      <c r="E141" s="444"/>
      <c r="F141" s="144"/>
      <c r="G141" s="144"/>
      <c r="H141" s="295"/>
      <c r="I141" s="295"/>
      <c r="J141" s="295"/>
      <c r="K141" s="295"/>
      <c r="L141" s="295"/>
      <c r="M141" s="295"/>
      <c r="N141" s="295"/>
      <c r="O141" s="295"/>
      <c r="P141" s="295"/>
      <c r="Q141" s="295"/>
      <c r="R141" s="295"/>
      <c r="S141" s="190"/>
      <c r="T141" s="43">
        <f t="shared" si="4"/>
        <v>1</v>
      </c>
      <c r="U141" s="167">
        <f t="shared" si="5"/>
        <v>0</v>
      </c>
      <c r="V141" s="43"/>
      <c r="W141" s="43"/>
      <c r="X141" s="43"/>
    </row>
    <row r="142" spans="1:24" ht="14.25" customHeight="1">
      <c r="A142" s="295"/>
      <c r="B142" s="166"/>
      <c r="C142" s="295"/>
      <c r="D142" s="295"/>
      <c r="E142" s="444"/>
      <c r="F142" s="144"/>
      <c r="G142" s="144"/>
      <c r="H142" s="295"/>
      <c r="I142" s="295"/>
      <c r="J142" s="295"/>
      <c r="K142" s="295"/>
      <c r="L142" s="295"/>
      <c r="M142" s="295"/>
      <c r="N142" s="295"/>
      <c r="O142" s="295"/>
      <c r="P142" s="295"/>
      <c r="Q142" s="295"/>
      <c r="R142" s="295"/>
      <c r="S142" s="190"/>
      <c r="T142" s="43">
        <f t="shared" si="4"/>
        <v>1</v>
      </c>
      <c r="U142" s="167">
        <f t="shared" si="5"/>
        <v>0</v>
      </c>
      <c r="V142" s="43"/>
      <c r="W142" s="43"/>
      <c r="X142" s="43"/>
    </row>
    <row r="143" spans="1:24" ht="14.25" customHeight="1">
      <c r="A143" s="295"/>
      <c r="B143" s="166"/>
      <c r="C143" s="295"/>
      <c r="D143" s="295"/>
      <c r="E143" s="444"/>
      <c r="F143" s="144"/>
      <c r="G143" s="144"/>
      <c r="H143" s="295"/>
      <c r="I143" s="295"/>
      <c r="J143" s="295"/>
      <c r="K143" s="295"/>
      <c r="L143" s="295"/>
      <c r="M143" s="295"/>
      <c r="N143" s="295"/>
      <c r="O143" s="295"/>
      <c r="P143" s="295"/>
      <c r="Q143" s="295"/>
      <c r="R143" s="295"/>
      <c r="S143" s="190" t="s">
        <v>287</v>
      </c>
      <c r="T143" s="43">
        <f t="shared" si="4"/>
        <v>1</v>
      </c>
      <c r="U143" s="167">
        <f t="shared" si="5"/>
        <v>0</v>
      </c>
      <c r="V143" s="43"/>
      <c r="W143" s="43"/>
      <c r="X143" s="43"/>
    </row>
    <row r="144" spans="1:24" ht="14.25" customHeight="1">
      <c r="A144" s="295"/>
      <c r="B144" s="166"/>
      <c r="C144" s="295"/>
      <c r="D144" s="295"/>
      <c r="E144" s="444"/>
      <c r="F144" s="144"/>
      <c r="G144" s="144"/>
      <c r="H144" s="295"/>
      <c r="I144" s="295"/>
      <c r="J144" s="295"/>
      <c r="K144" s="295"/>
      <c r="L144" s="295"/>
      <c r="M144" s="295"/>
      <c r="N144" s="295"/>
      <c r="O144" s="295"/>
      <c r="P144" s="295"/>
      <c r="Q144" s="295"/>
      <c r="R144" s="295"/>
      <c r="S144" s="190" t="s">
        <v>292</v>
      </c>
      <c r="T144" s="43">
        <f t="shared" si="4"/>
        <v>1</v>
      </c>
      <c r="U144" s="167">
        <f t="shared" si="5"/>
        <v>0</v>
      </c>
      <c r="V144" s="43"/>
      <c r="W144" s="43"/>
      <c r="X144" s="43"/>
    </row>
    <row r="145" spans="1:24" ht="14.25" customHeight="1">
      <c r="A145" s="295"/>
      <c r="B145" s="166"/>
      <c r="C145" s="295"/>
      <c r="D145" s="295"/>
      <c r="E145" s="444"/>
      <c r="F145" s="144"/>
      <c r="G145" s="144"/>
      <c r="H145" s="295"/>
      <c r="I145" s="295"/>
      <c r="J145" s="295"/>
      <c r="K145" s="295"/>
      <c r="L145" s="295"/>
      <c r="M145" s="295"/>
      <c r="N145" s="295"/>
      <c r="O145" s="295"/>
      <c r="P145" s="295"/>
      <c r="Q145" s="295"/>
      <c r="R145" s="295"/>
      <c r="S145" s="190"/>
      <c r="T145" s="43">
        <f t="shared" si="4"/>
        <v>1</v>
      </c>
      <c r="U145" s="167">
        <f t="shared" si="5"/>
        <v>0</v>
      </c>
      <c r="V145" s="43"/>
      <c r="W145" s="43"/>
      <c r="X145" s="43"/>
    </row>
    <row r="146" spans="1:24" ht="14.25" customHeight="1">
      <c r="A146" s="295"/>
      <c r="B146" s="166"/>
      <c r="C146" s="295"/>
      <c r="D146" s="295"/>
      <c r="E146" s="444"/>
      <c r="F146" s="144"/>
      <c r="G146" s="144"/>
      <c r="H146" s="295"/>
      <c r="I146" s="295"/>
      <c r="J146" s="295"/>
      <c r="K146" s="295"/>
      <c r="L146" s="295"/>
      <c r="M146" s="295"/>
      <c r="N146" s="295"/>
      <c r="O146" s="295"/>
      <c r="P146" s="295"/>
      <c r="Q146" s="295"/>
      <c r="R146" s="295"/>
      <c r="S146" s="190"/>
      <c r="T146" s="43">
        <f t="shared" si="4"/>
        <v>1</v>
      </c>
      <c r="U146" s="167">
        <f t="shared" si="5"/>
        <v>0</v>
      </c>
      <c r="V146" s="43"/>
      <c r="W146" s="43"/>
      <c r="X146" s="43"/>
    </row>
    <row r="147" spans="1:24" ht="14.25" customHeight="1">
      <c r="A147" s="295"/>
      <c r="B147" s="166"/>
      <c r="C147" s="295"/>
      <c r="D147" s="295"/>
      <c r="E147" s="444"/>
      <c r="F147" s="144"/>
      <c r="G147" s="144"/>
      <c r="H147" s="295"/>
      <c r="I147" s="295"/>
      <c r="J147" s="295"/>
      <c r="K147" s="295"/>
      <c r="L147" s="295"/>
      <c r="M147" s="295"/>
      <c r="N147" s="295"/>
      <c r="O147" s="295"/>
      <c r="P147" s="295"/>
      <c r="Q147" s="295"/>
      <c r="R147" s="295"/>
      <c r="S147" s="190" t="s">
        <v>299</v>
      </c>
      <c r="T147" s="43">
        <f t="shared" si="4"/>
        <v>1</v>
      </c>
      <c r="U147" s="167">
        <f t="shared" si="5"/>
        <v>0</v>
      </c>
      <c r="V147" s="43"/>
      <c r="W147" s="43"/>
      <c r="X147" s="43"/>
    </row>
    <row r="148" spans="1:24" ht="14.25" customHeight="1">
      <c r="A148" s="295"/>
      <c r="B148" s="166"/>
      <c r="C148" s="295"/>
      <c r="D148" s="295"/>
      <c r="E148" s="444"/>
      <c r="F148" s="144"/>
      <c r="G148" s="144"/>
      <c r="H148" s="295"/>
      <c r="I148" s="295"/>
      <c r="J148" s="295"/>
      <c r="K148" s="295"/>
      <c r="L148" s="295"/>
      <c r="M148" s="295"/>
      <c r="N148" s="295"/>
      <c r="O148" s="295"/>
      <c r="P148" s="295"/>
      <c r="Q148" s="295"/>
      <c r="R148" s="295"/>
      <c r="S148" s="190" t="s">
        <v>304</v>
      </c>
      <c r="T148" s="43">
        <f t="shared" si="4"/>
        <v>1</v>
      </c>
      <c r="U148" s="167">
        <f t="shared" si="5"/>
        <v>0</v>
      </c>
      <c r="V148" s="43"/>
      <c r="W148" s="43"/>
      <c r="X148" s="43"/>
    </row>
    <row r="149" spans="1:24" ht="14.25" customHeight="1">
      <c r="A149" s="295"/>
      <c r="B149" s="166"/>
      <c r="C149" s="295"/>
      <c r="D149" s="295"/>
      <c r="E149" s="444"/>
      <c r="F149" s="144"/>
      <c r="G149" s="144"/>
      <c r="H149" s="295"/>
      <c r="I149" s="295"/>
      <c r="J149" s="295"/>
      <c r="K149" s="295"/>
      <c r="L149" s="295"/>
      <c r="M149" s="295"/>
      <c r="N149" s="295"/>
      <c r="O149" s="295"/>
      <c r="P149" s="295"/>
      <c r="Q149" s="295"/>
      <c r="R149" s="295"/>
      <c r="S149" s="190" t="s">
        <v>304</v>
      </c>
      <c r="T149" s="43">
        <f t="shared" si="4"/>
        <v>1</v>
      </c>
      <c r="U149" s="167">
        <f t="shared" si="5"/>
        <v>0</v>
      </c>
      <c r="V149" s="43"/>
      <c r="W149" s="43"/>
      <c r="X149" s="43"/>
    </row>
    <row r="150" spans="1:24" ht="14.25" customHeight="1">
      <c r="A150" s="295"/>
      <c r="B150" s="166"/>
      <c r="C150" s="295"/>
      <c r="D150" s="295"/>
      <c r="E150" s="444"/>
      <c r="F150" s="144"/>
      <c r="G150" s="144"/>
      <c r="H150" s="295"/>
      <c r="I150" s="295"/>
      <c r="J150" s="295"/>
      <c r="K150" s="295"/>
      <c r="L150" s="295"/>
      <c r="M150" s="295"/>
      <c r="N150" s="295"/>
      <c r="O150" s="295"/>
      <c r="P150" s="295"/>
      <c r="Q150" s="295"/>
      <c r="R150" s="295"/>
      <c r="S150" s="190" t="s">
        <v>311</v>
      </c>
      <c r="T150" s="43">
        <f t="shared" si="4"/>
        <v>1</v>
      </c>
      <c r="U150" s="167">
        <f t="shared" si="5"/>
        <v>0</v>
      </c>
      <c r="V150" s="43"/>
      <c r="W150" s="43"/>
      <c r="X150" s="43"/>
    </row>
    <row r="151" spans="1:24" ht="14.25" customHeight="1">
      <c r="A151" s="295"/>
      <c r="B151" s="166"/>
      <c r="C151" s="295"/>
      <c r="D151" s="295"/>
      <c r="E151" s="444"/>
      <c r="F151" s="144"/>
      <c r="G151" s="144"/>
      <c r="H151" s="295"/>
      <c r="I151" s="295"/>
      <c r="J151" s="295"/>
      <c r="K151" s="295"/>
      <c r="L151" s="295"/>
      <c r="M151" s="295"/>
      <c r="N151" s="295"/>
      <c r="O151" s="295"/>
      <c r="P151" s="295"/>
      <c r="Q151" s="295"/>
      <c r="R151" s="295"/>
      <c r="S151" s="190" t="s">
        <v>315</v>
      </c>
      <c r="T151" s="43">
        <f t="shared" si="4"/>
        <v>1</v>
      </c>
      <c r="U151" s="167">
        <f t="shared" si="5"/>
        <v>0</v>
      </c>
      <c r="V151" s="43"/>
      <c r="W151" s="43"/>
      <c r="X151" s="43"/>
    </row>
    <row r="152" spans="1:24" ht="14.25" customHeight="1">
      <c r="A152" s="295"/>
      <c r="B152" s="166"/>
      <c r="C152" s="295"/>
      <c r="D152" s="295"/>
      <c r="E152" s="444"/>
      <c r="F152" s="144"/>
      <c r="G152" s="144"/>
      <c r="H152" s="295"/>
      <c r="I152" s="295"/>
      <c r="J152" s="295"/>
      <c r="K152" s="295"/>
      <c r="L152" s="295"/>
      <c r="M152" s="295"/>
      <c r="N152" s="295"/>
      <c r="O152" s="295"/>
      <c r="P152" s="295"/>
      <c r="Q152" s="295"/>
      <c r="R152" s="295"/>
      <c r="S152" s="190" t="s">
        <v>318</v>
      </c>
      <c r="T152" s="43">
        <f t="shared" si="4"/>
        <v>1</v>
      </c>
      <c r="U152" s="167">
        <f t="shared" si="5"/>
        <v>0</v>
      </c>
      <c r="V152" s="43"/>
      <c r="W152" s="43"/>
      <c r="X152" s="43"/>
    </row>
    <row r="153" spans="1:24" ht="14.25" customHeight="1">
      <c r="A153" s="295"/>
      <c r="B153" s="166"/>
      <c r="C153" s="295"/>
      <c r="D153" s="295"/>
      <c r="E153" s="444"/>
      <c r="F153" s="144"/>
      <c r="G153" s="144"/>
      <c r="H153" s="295"/>
      <c r="I153" s="295"/>
      <c r="J153" s="295"/>
      <c r="K153" s="295"/>
      <c r="L153" s="295"/>
      <c r="M153" s="295"/>
      <c r="N153" s="295"/>
      <c r="O153" s="295"/>
      <c r="P153" s="295"/>
      <c r="Q153" s="295"/>
      <c r="R153" s="295"/>
      <c r="S153" s="190" t="s">
        <v>320</v>
      </c>
      <c r="T153" s="43">
        <f t="shared" si="4"/>
        <v>1</v>
      </c>
      <c r="U153" s="167">
        <f t="shared" si="5"/>
        <v>0</v>
      </c>
      <c r="V153" s="43"/>
      <c r="W153" s="43"/>
      <c r="X153" s="43"/>
    </row>
    <row r="154" spans="1:24" ht="14.25" customHeight="1">
      <c r="A154" s="295"/>
      <c r="B154" s="166"/>
      <c r="C154" s="295"/>
      <c r="D154" s="295"/>
      <c r="E154" s="444"/>
      <c r="F154" s="144"/>
      <c r="G154" s="144"/>
      <c r="H154" s="295"/>
      <c r="I154" s="295"/>
      <c r="J154" s="295"/>
      <c r="K154" s="295"/>
      <c r="L154" s="295"/>
      <c r="M154" s="295"/>
      <c r="N154" s="295"/>
      <c r="O154" s="295"/>
      <c r="P154" s="295"/>
      <c r="Q154" s="295"/>
      <c r="R154" s="295"/>
      <c r="S154" s="190" t="s">
        <v>323</v>
      </c>
      <c r="T154" s="43">
        <f t="shared" si="4"/>
        <v>1</v>
      </c>
      <c r="U154" s="167">
        <f t="shared" si="5"/>
        <v>0</v>
      </c>
      <c r="V154" s="43"/>
      <c r="W154" s="43"/>
      <c r="X154" s="43"/>
    </row>
    <row r="155" spans="1:24" ht="14.25" customHeight="1">
      <c r="A155" s="295"/>
      <c r="B155" s="166"/>
      <c r="C155" s="295"/>
      <c r="D155" s="295"/>
      <c r="E155" s="444"/>
      <c r="F155" s="144"/>
      <c r="G155" s="144"/>
      <c r="H155" s="295"/>
      <c r="I155" s="295"/>
      <c r="J155" s="295"/>
      <c r="K155" s="295"/>
      <c r="L155" s="295"/>
      <c r="M155" s="295"/>
      <c r="N155" s="295"/>
      <c r="O155" s="295"/>
      <c r="P155" s="295"/>
      <c r="Q155" s="295"/>
      <c r="R155" s="295"/>
      <c r="S155" s="190" t="s">
        <v>325</v>
      </c>
      <c r="T155" s="43">
        <f t="shared" si="4"/>
        <v>1</v>
      </c>
      <c r="U155" s="167">
        <f t="shared" si="5"/>
        <v>0</v>
      </c>
      <c r="V155" s="43"/>
      <c r="W155" s="43"/>
      <c r="X155" s="43"/>
    </row>
    <row r="156" spans="1:24" ht="14.25" customHeight="1">
      <c r="A156" s="295"/>
      <c r="B156" s="166"/>
      <c r="C156" s="295"/>
      <c r="D156" s="295"/>
      <c r="E156" s="444"/>
      <c r="F156" s="144"/>
      <c r="G156" s="144"/>
      <c r="H156" s="295"/>
      <c r="I156" s="295"/>
      <c r="J156" s="295"/>
      <c r="K156" s="295"/>
      <c r="L156" s="295"/>
      <c r="M156" s="295"/>
      <c r="N156" s="295"/>
      <c r="O156" s="295"/>
      <c r="P156" s="295"/>
      <c r="Q156" s="295"/>
      <c r="R156" s="295"/>
      <c r="S156" s="190" t="s">
        <v>329</v>
      </c>
      <c r="T156" s="43">
        <f t="shared" si="4"/>
        <v>1</v>
      </c>
      <c r="U156" s="167">
        <f t="shared" si="5"/>
        <v>0</v>
      </c>
      <c r="V156" s="43"/>
      <c r="W156" s="43"/>
      <c r="X156" s="43"/>
    </row>
    <row r="157" spans="1:24" ht="14.25" customHeight="1">
      <c r="A157" s="295"/>
      <c r="B157" s="166"/>
      <c r="C157" s="295"/>
      <c r="D157" s="295"/>
      <c r="E157" s="444"/>
      <c r="F157" s="144"/>
      <c r="G157" s="144"/>
      <c r="H157" s="295"/>
      <c r="I157" s="295"/>
      <c r="J157" s="295"/>
      <c r="K157" s="295"/>
      <c r="L157" s="295"/>
      <c r="M157" s="295"/>
      <c r="N157" s="295"/>
      <c r="O157" s="295"/>
      <c r="P157" s="295"/>
      <c r="Q157" s="295"/>
      <c r="R157" s="295"/>
      <c r="S157" s="190" t="s">
        <v>304</v>
      </c>
      <c r="T157" s="43">
        <f t="shared" si="4"/>
        <v>1</v>
      </c>
      <c r="U157" s="167">
        <f t="shared" si="5"/>
        <v>0</v>
      </c>
      <c r="V157" s="43"/>
      <c r="W157" s="43"/>
      <c r="X157" s="43"/>
    </row>
    <row r="158" spans="1:24" ht="14.25" customHeight="1">
      <c r="A158" s="295"/>
      <c r="B158" s="166"/>
      <c r="C158" s="295"/>
      <c r="D158" s="295"/>
      <c r="E158" s="444"/>
      <c r="F158" s="144"/>
      <c r="G158" s="144"/>
      <c r="H158" s="295"/>
      <c r="I158" s="295"/>
      <c r="J158" s="295"/>
      <c r="K158" s="295"/>
      <c r="L158" s="295"/>
      <c r="M158" s="295"/>
      <c r="N158" s="295"/>
      <c r="O158" s="295"/>
      <c r="P158" s="295"/>
      <c r="Q158" s="295"/>
      <c r="R158" s="295"/>
      <c r="S158" s="190"/>
      <c r="T158" s="43">
        <f t="shared" si="4"/>
        <v>1</v>
      </c>
      <c r="U158" s="167">
        <f t="shared" si="5"/>
        <v>0</v>
      </c>
      <c r="V158" s="43"/>
      <c r="W158" s="43"/>
      <c r="X158" s="43"/>
    </row>
    <row r="159" spans="1:24" ht="14.25" customHeight="1">
      <c r="A159" s="295"/>
      <c r="B159" s="166"/>
      <c r="C159" s="295"/>
      <c r="D159" s="295"/>
      <c r="E159" s="444"/>
      <c r="F159" s="144"/>
      <c r="G159" s="144"/>
      <c r="H159" s="295"/>
      <c r="I159" s="295"/>
      <c r="J159" s="295"/>
      <c r="K159" s="295"/>
      <c r="L159" s="295"/>
      <c r="M159" s="295"/>
      <c r="N159" s="295"/>
      <c r="O159" s="295"/>
      <c r="P159" s="295"/>
      <c r="Q159" s="295"/>
      <c r="R159" s="295"/>
      <c r="S159" s="190"/>
      <c r="T159" s="43">
        <f t="shared" si="4"/>
        <v>1</v>
      </c>
      <c r="U159" s="167">
        <f t="shared" si="5"/>
        <v>0</v>
      </c>
      <c r="V159" s="43"/>
      <c r="W159" s="43"/>
      <c r="X159" s="43"/>
    </row>
    <row r="160" spans="1:24" ht="14.25" customHeight="1">
      <c r="A160" s="295"/>
      <c r="B160" s="166"/>
      <c r="C160" s="295"/>
      <c r="D160" s="295"/>
      <c r="E160" s="444"/>
      <c r="F160" s="144"/>
      <c r="G160" s="144"/>
      <c r="H160" s="295"/>
      <c r="I160" s="295"/>
      <c r="J160" s="295"/>
      <c r="K160" s="295"/>
      <c r="L160" s="295"/>
      <c r="M160" s="295"/>
      <c r="N160" s="295"/>
      <c r="O160" s="295"/>
      <c r="P160" s="295"/>
      <c r="Q160" s="295"/>
      <c r="R160" s="295"/>
      <c r="S160" s="190"/>
      <c r="T160" s="43">
        <f t="shared" si="4"/>
        <v>1</v>
      </c>
      <c r="U160" s="167">
        <f t="shared" si="5"/>
        <v>0</v>
      </c>
      <c r="V160" s="43"/>
      <c r="W160" s="43"/>
      <c r="X160" s="43"/>
    </row>
    <row r="161" spans="1:24" ht="14.25" customHeight="1">
      <c r="A161" s="295"/>
      <c r="B161" s="166"/>
      <c r="C161" s="295"/>
      <c r="D161" s="295"/>
      <c r="E161" s="444"/>
      <c r="F161" s="144"/>
      <c r="G161" s="144"/>
      <c r="H161" s="295"/>
      <c r="I161" s="295"/>
      <c r="J161" s="295"/>
      <c r="K161" s="295"/>
      <c r="L161" s="295"/>
      <c r="M161" s="295"/>
      <c r="N161" s="295"/>
      <c r="O161" s="295"/>
      <c r="P161" s="295"/>
      <c r="Q161" s="295"/>
      <c r="R161" s="295"/>
      <c r="S161" s="190"/>
      <c r="T161" s="43">
        <f t="shared" si="4"/>
        <v>1</v>
      </c>
      <c r="U161" s="167">
        <f t="shared" si="5"/>
        <v>0</v>
      </c>
      <c r="V161" s="43"/>
      <c r="W161" s="43"/>
      <c r="X161" s="43"/>
    </row>
    <row r="162" spans="1:24" ht="14.25" customHeight="1">
      <c r="A162" s="295"/>
      <c r="B162" s="166"/>
      <c r="C162" s="295"/>
      <c r="D162" s="295"/>
      <c r="E162" s="444"/>
      <c r="F162" s="144"/>
      <c r="G162" s="144"/>
      <c r="H162" s="295"/>
      <c r="I162" s="295"/>
      <c r="J162" s="295"/>
      <c r="K162" s="295"/>
      <c r="L162" s="295"/>
      <c r="M162" s="295"/>
      <c r="N162" s="295"/>
      <c r="O162" s="295"/>
      <c r="P162" s="295"/>
      <c r="Q162" s="295"/>
      <c r="R162" s="295"/>
      <c r="S162" s="190"/>
      <c r="T162" s="43">
        <f t="shared" si="4"/>
        <v>1</v>
      </c>
      <c r="U162" s="167">
        <f t="shared" si="5"/>
        <v>0</v>
      </c>
      <c r="V162" s="43"/>
      <c r="W162" s="43"/>
      <c r="X162" s="43"/>
    </row>
    <row r="163" spans="1:24" ht="14.25" customHeight="1">
      <c r="A163" s="295"/>
      <c r="B163" s="166"/>
      <c r="C163" s="295"/>
      <c r="D163" s="295"/>
      <c r="E163" s="444"/>
      <c r="F163" s="144"/>
      <c r="G163" s="144"/>
      <c r="H163" s="295"/>
      <c r="I163" s="295"/>
      <c r="J163" s="295"/>
      <c r="K163" s="295"/>
      <c r="L163" s="295"/>
      <c r="M163" s="295"/>
      <c r="N163" s="295"/>
      <c r="O163" s="295"/>
      <c r="P163" s="295"/>
      <c r="Q163" s="295"/>
      <c r="R163" s="295"/>
      <c r="S163" s="190"/>
      <c r="T163" s="43">
        <f t="shared" si="4"/>
        <v>1</v>
      </c>
      <c r="U163" s="167">
        <f t="shared" si="5"/>
        <v>0</v>
      </c>
      <c r="V163" s="43"/>
      <c r="W163" s="43"/>
      <c r="X163" s="43"/>
    </row>
    <row r="164" spans="1:24" ht="14.25" customHeight="1">
      <c r="A164" s="295"/>
      <c r="B164" s="166"/>
      <c r="C164" s="295"/>
      <c r="D164" s="295"/>
      <c r="E164" s="444"/>
      <c r="F164" s="144"/>
      <c r="G164" s="144"/>
      <c r="H164" s="295"/>
      <c r="I164" s="295"/>
      <c r="J164" s="295"/>
      <c r="K164" s="295"/>
      <c r="L164" s="295"/>
      <c r="M164" s="295"/>
      <c r="N164" s="295"/>
      <c r="O164" s="295"/>
      <c r="P164" s="295"/>
      <c r="Q164" s="295"/>
      <c r="R164" s="295"/>
      <c r="S164" s="190"/>
      <c r="T164" s="43">
        <f t="shared" si="4"/>
        <v>1</v>
      </c>
      <c r="U164" s="167">
        <f t="shared" si="5"/>
        <v>0</v>
      </c>
      <c r="V164" s="43"/>
      <c r="W164" s="43"/>
      <c r="X164" s="43"/>
    </row>
    <row r="165" spans="1:24" ht="14.25" customHeight="1">
      <c r="A165" s="295"/>
      <c r="B165" s="166"/>
      <c r="C165" s="295"/>
      <c r="D165" s="295"/>
      <c r="E165" s="444"/>
      <c r="F165" s="144"/>
      <c r="G165" s="144"/>
      <c r="H165" s="295"/>
      <c r="I165" s="295"/>
      <c r="J165" s="295"/>
      <c r="K165" s="295"/>
      <c r="L165" s="295"/>
      <c r="M165" s="295"/>
      <c r="N165" s="295"/>
      <c r="O165" s="295"/>
      <c r="P165" s="295"/>
      <c r="Q165" s="295"/>
      <c r="R165" s="295"/>
      <c r="S165" s="190"/>
      <c r="T165" s="43">
        <f t="shared" si="4"/>
        <v>1</v>
      </c>
      <c r="U165" s="167">
        <f t="shared" si="5"/>
        <v>0</v>
      </c>
      <c r="V165" s="43"/>
      <c r="W165" s="43"/>
      <c r="X165" s="43"/>
    </row>
    <row r="166" spans="1:24" ht="14.25" customHeight="1">
      <c r="A166" s="295"/>
      <c r="B166" s="166"/>
      <c r="C166" s="295"/>
      <c r="D166" s="295"/>
      <c r="E166" s="444"/>
      <c r="F166" s="144"/>
      <c r="G166" s="144"/>
      <c r="H166" s="295"/>
      <c r="I166" s="295"/>
      <c r="J166" s="295"/>
      <c r="K166" s="295"/>
      <c r="L166" s="295"/>
      <c r="M166" s="295"/>
      <c r="N166" s="295"/>
      <c r="O166" s="295"/>
      <c r="P166" s="295"/>
      <c r="Q166" s="295"/>
      <c r="R166" s="295"/>
      <c r="S166" s="190"/>
      <c r="T166" s="43">
        <f t="shared" si="4"/>
        <v>1</v>
      </c>
      <c r="U166" s="167">
        <f t="shared" si="5"/>
        <v>0</v>
      </c>
      <c r="V166" s="43"/>
      <c r="W166" s="43"/>
      <c r="X166" s="43"/>
    </row>
    <row r="167" spans="1:24" ht="14.25" customHeight="1">
      <c r="A167" s="295"/>
      <c r="B167" s="166"/>
      <c r="C167" s="295"/>
      <c r="D167" s="295"/>
      <c r="E167" s="444"/>
      <c r="F167" s="144"/>
      <c r="G167" s="144"/>
      <c r="H167" s="295"/>
      <c r="I167" s="295"/>
      <c r="J167" s="295"/>
      <c r="K167" s="295"/>
      <c r="L167" s="295"/>
      <c r="M167" s="295"/>
      <c r="N167" s="295"/>
      <c r="O167" s="295"/>
      <c r="P167" s="295"/>
      <c r="Q167" s="295"/>
      <c r="R167" s="295"/>
      <c r="S167" s="190"/>
      <c r="T167" s="43">
        <f t="shared" si="4"/>
        <v>1</v>
      </c>
      <c r="U167" s="167">
        <f t="shared" si="5"/>
        <v>0</v>
      </c>
      <c r="V167" s="43"/>
      <c r="W167" s="43"/>
      <c r="X167" s="43"/>
    </row>
    <row r="168" spans="1:24" ht="14.25" customHeight="1">
      <c r="A168" s="295"/>
      <c r="B168" s="166"/>
      <c r="C168" s="295"/>
      <c r="D168" s="295"/>
      <c r="E168" s="444"/>
      <c r="F168" s="144"/>
      <c r="G168" s="144"/>
      <c r="H168" s="295"/>
      <c r="I168" s="295"/>
      <c r="J168" s="295"/>
      <c r="K168" s="295"/>
      <c r="L168" s="295"/>
      <c r="M168" s="295"/>
      <c r="N168" s="295"/>
      <c r="O168" s="295"/>
      <c r="P168" s="295"/>
      <c r="Q168" s="295"/>
      <c r="R168" s="295"/>
      <c r="S168" s="190"/>
      <c r="T168" s="43">
        <f t="shared" si="4"/>
        <v>1</v>
      </c>
      <c r="U168" s="167">
        <f t="shared" si="5"/>
        <v>0</v>
      </c>
      <c r="V168" s="43"/>
      <c r="W168" s="43"/>
      <c r="X168" s="43"/>
    </row>
    <row r="169" spans="1:24" ht="14.25" customHeight="1">
      <c r="A169" s="295"/>
      <c r="B169" s="166"/>
      <c r="C169" s="295"/>
      <c r="D169" s="295"/>
      <c r="E169" s="444"/>
      <c r="F169" s="144"/>
      <c r="G169" s="144"/>
      <c r="H169" s="295"/>
      <c r="I169" s="295"/>
      <c r="J169" s="295"/>
      <c r="K169" s="295"/>
      <c r="L169" s="295"/>
      <c r="M169" s="295"/>
      <c r="N169" s="295"/>
      <c r="O169" s="295"/>
      <c r="P169" s="295"/>
      <c r="Q169" s="295"/>
      <c r="R169" s="295"/>
      <c r="S169" s="190" t="s">
        <v>345</v>
      </c>
      <c r="T169" s="43">
        <f t="shared" si="4"/>
        <v>1</v>
      </c>
      <c r="U169" s="167">
        <f t="shared" si="5"/>
        <v>0</v>
      </c>
      <c r="V169" s="43"/>
      <c r="W169" s="43"/>
      <c r="X169" s="43"/>
    </row>
    <row r="170" spans="1:24" ht="14.25" customHeight="1">
      <c r="A170" s="295"/>
      <c r="B170" s="166"/>
      <c r="C170" s="295"/>
      <c r="D170" s="295"/>
      <c r="E170" s="444"/>
      <c r="F170" s="144"/>
      <c r="G170" s="144"/>
      <c r="H170" s="295"/>
      <c r="I170" s="295"/>
      <c r="J170" s="295"/>
      <c r="K170" s="295"/>
      <c r="L170" s="295"/>
      <c r="M170" s="295"/>
      <c r="N170" s="295"/>
      <c r="O170" s="295"/>
      <c r="P170" s="295"/>
      <c r="Q170" s="295"/>
      <c r="R170" s="295"/>
      <c r="S170" s="190"/>
      <c r="T170" s="43">
        <f t="shared" si="4"/>
        <v>1</v>
      </c>
      <c r="U170" s="167">
        <f t="shared" si="5"/>
        <v>0</v>
      </c>
      <c r="V170" s="43"/>
      <c r="W170" s="43"/>
      <c r="X170" s="43"/>
    </row>
    <row r="171" spans="1:24" ht="14.25" customHeight="1">
      <c r="A171" s="295"/>
      <c r="B171" s="166"/>
      <c r="C171" s="295"/>
      <c r="D171" s="295"/>
      <c r="E171" s="444"/>
      <c r="F171" s="144"/>
      <c r="G171" s="144"/>
      <c r="H171" s="295"/>
      <c r="I171" s="295"/>
      <c r="J171" s="295"/>
      <c r="K171" s="295"/>
      <c r="L171" s="295"/>
      <c r="M171" s="295"/>
      <c r="N171" s="295"/>
      <c r="O171" s="295"/>
      <c r="P171" s="295"/>
      <c r="Q171" s="295"/>
      <c r="R171" s="295"/>
      <c r="S171" s="190"/>
      <c r="T171" s="43">
        <f t="shared" si="4"/>
        <v>1</v>
      </c>
      <c r="U171" s="167">
        <f t="shared" si="5"/>
        <v>0</v>
      </c>
      <c r="V171" s="43"/>
      <c r="W171" s="43"/>
      <c r="X171" s="43"/>
    </row>
    <row r="172" spans="1:24" ht="14.25" customHeight="1">
      <c r="A172" s="295"/>
      <c r="B172" s="166"/>
      <c r="C172" s="295"/>
      <c r="D172" s="295"/>
      <c r="E172" s="444"/>
      <c r="F172" s="144"/>
      <c r="G172" s="144"/>
      <c r="H172" s="295"/>
      <c r="I172" s="295"/>
      <c r="J172" s="295"/>
      <c r="K172" s="295"/>
      <c r="L172" s="295"/>
      <c r="M172" s="295"/>
      <c r="N172" s="295"/>
      <c r="O172" s="295"/>
      <c r="P172" s="295"/>
      <c r="Q172" s="295"/>
      <c r="R172" s="295"/>
      <c r="S172" s="190"/>
      <c r="T172" s="43">
        <f t="shared" si="4"/>
        <v>1</v>
      </c>
      <c r="U172" s="167">
        <f t="shared" si="5"/>
        <v>0</v>
      </c>
      <c r="V172" s="43"/>
      <c r="W172" s="43"/>
      <c r="X172" s="43"/>
    </row>
    <row r="173" spans="1:24" ht="14.25" customHeight="1">
      <c r="A173" s="295"/>
      <c r="B173" s="166"/>
      <c r="C173" s="295"/>
      <c r="D173" s="295"/>
      <c r="E173" s="444"/>
      <c r="F173" s="144"/>
      <c r="G173" s="144"/>
      <c r="H173" s="295"/>
      <c r="I173" s="295"/>
      <c r="J173" s="295"/>
      <c r="K173" s="295"/>
      <c r="L173" s="295"/>
      <c r="M173" s="295"/>
      <c r="N173" s="295"/>
      <c r="O173" s="295"/>
      <c r="P173" s="295"/>
      <c r="Q173" s="295"/>
      <c r="R173" s="295"/>
      <c r="S173" s="190"/>
      <c r="T173" s="43">
        <f t="shared" si="4"/>
        <v>1</v>
      </c>
      <c r="U173" s="167">
        <f t="shared" si="5"/>
        <v>0</v>
      </c>
      <c r="V173" s="43"/>
      <c r="W173" s="43"/>
      <c r="X173" s="43"/>
    </row>
    <row r="174" spans="1:24" ht="14.25" customHeight="1">
      <c r="A174" s="295"/>
      <c r="B174" s="166"/>
      <c r="C174" s="295"/>
      <c r="D174" s="295"/>
      <c r="E174" s="444"/>
      <c r="F174" s="144"/>
      <c r="G174" s="144"/>
      <c r="H174" s="295"/>
      <c r="I174" s="295"/>
      <c r="J174" s="295"/>
      <c r="K174" s="295"/>
      <c r="L174" s="295"/>
      <c r="M174" s="295"/>
      <c r="N174" s="295"/>
      <c r="O174" s="295"/>
      <c r="P174" s="295"/>
      <c r="Q174" s="295"/>
      <c r="R174" s="295"/>
      <c r="S174" s="190"/>
      <c r="T174" s="43">
        <f t="shared" si="4"/>
        <v>1</v>
      </c>
      <c r="U174" s="167">
        <f t="shared" si="5"/>
        <v>0</v>
      </c>
      <c r="V174" s="43"/>
      <c r="W174" s="43"/>
      <c r="X174" s="43"/>
    </row>
    <row r="175" spans="1:24" ht="14.25" customHeight="1">
      <c r="A175" s="295"/>
      <c r="B175" s="166"/>
      <c r="C175" s="295"/>
      <c r="D175" s="295"/>
      <c r="E175" s="444"/>
      <c r="F175" s="144"/>
      <c r="G175" s="144"/>
      <c r="H175" s="295"/>
      <c r="I175" s="295"/>
      <c r="J175" s="295"/>
      <c r="K175" s="295"/>
      <c r="L175" s="295"/>
      <c r="M175" s="295"/>
      <c r="N175" s="295"/>
      <c r="O175" s="295"/>
      <c r="P175" s="295"/>
      <c r="Q175" s="295"/>
      <c r="R175" s="295"/>
      <c r="S175" s="190"/>
      <c r="T175" s="43">
        <f t="shared" si="4"/>
        <v>1</v>
      </c>
      <c r="U175" s="167">
        <f t="shared" si="5"/>
        <v>0</v>
      </c>
      <c r="V175" s="43"/>
      <c r="W175" s="43"/>
      <c r="X175" s="43"/>
    </row>
    <row r="176" spans="1:24" ht="14.25" customHeight="1">
      <c r="A176" s="295"/>
      <c r="B176" s="166"/>
      <c r="C176" s="295"/>
      <c r="D176" s="295"/>
      <c r="E176" s="444"/>
      <c r="F176" s="144"/>
      <c r="G176" s="144"/>
      <c r="H176" s="295"/>
      <c r="I176" s="295"/>
      <c r="J176" s="295"/>
      <c r="K176" s="295"/>
      <c r="L176" s="295"/>
      <c r="M176" s="295"/>
      <c r="N176" s="295"/>
      <c r="O176" s="295"/>
      <c r="P176" s="295"/>
      <c r="Q176" s="295"/>
      <c r="R176" s="295"/>
      <c r="S176" s="190"/>
      <c r="T176" s="43">
        <f t="shared" si="4"/>
        <v>1</v>
      </c>
      <c r="U176" s="167">
        <f t="shared" si="5"/>
        <v>0</v>
      </c>
      <c r="V176" s="43"/>
      <c r="W176" s="43"/>
      <c r="X176" s="43"/>
    </row>
    <row r="177" spans="1:24" ht="14.25" customHeight="1">
      <c r="A177" s="295"/>
      <c r="B177" s="166"/>
      <c r="C177" s="295"/>
      <c r="D177" s="295"/>
      <c r="E177" s="444"/>
      <c r="F177" s="144"/>
      <c r="G177" s="144"/>
      <c r="H177" s="295"/>
      <c r="I177" s="295"/>
      <c r="J177" s="295"/>
      <c r="K177" s="295"/>
      <c r="L177" s="295"/>
      <c r="M177" s="295"/>
      <c r="N177" s="295"/>
      <c r="O177" s="295"/>
      <c r="P177" s="295"/>
      <c r="Q177" s="295"/>
      <c r="R177" s="295"/>
      <c r="S177" s="190"/>
      <c r="T177" s="43">
        <f t="shared" si="4"/>
        <v>1</v>
      </c>
      <c r="U177" s="167">
        <f t="shared" si="5"/>
        <v>0</v>
      </c>
      <c r="V177" s="43"/>
      <c r="W177" s="43"/>
      <c r="X177" s="43"/>
    </row>
    <row r="178" spans="1:24" ht="14.25" customHeight="1">
      <c r="A178" s="295"/>
      <c r="B178" s="166"/>
      <c r="C178" s="295"/>
      <c r="D178" s="295"/>
      <c r="E178" s="444"/>
      <c r="F178" s="144"/>
      <c r="G178" s="144"/>
      <c r="H178" s="295"/>
      <c r="I178" s="295"/>
      <c r="J178" s="295"/>
      <c r="K178" s="295"/>
      <c r="L178" s="295"/>
      <c r="M178" s="295"/>
      <c r="N178" s="295"/>
      <c r="O178" s="295"/>
      <c r="P178" s="295"/>
      <c r="Q178" s="295"/>
      <c r="R178" s="295"/>
      <c r="S178" s="190"/>
      <c r="T178" s="43">
        <f t="shared" si="4"/>
        <v>1</v>
      </c>
      <c r="U178" s="167">
        <f t="shared" si="5"/>
        <v>0</v>
      </c>
      <c r="V178" s="43"/>
      <c r="W178" s="43"/>
      <c r="X178" s="43"/>
    </row>
    <row r="179" spans="1:24" ht="14.25" customHeight="1">
      <c r="A179" s="295"/>
      <c r="B179" s="166"/>
      <c r="C179" s="295"/>
      <c r="D179" s="295"/>
      <c r="E179" s="444"/>
      <c r="F179" s="144"/>
      <c r="G179" s="144"/>
      <c r="H179" s="295"/>
      <c r="I179" s="295"/>
      <c r="J179" s="295"/>
      <c r="K179" s="295"/>
      <c r="L179" s="295"/>
      <c r="M179" s="295"/>
      <c r="N179" s="295"/>
      <c r="O179" s="295"/>
      <c r="P179" s="295"/>
      <c r="Q179" s="295"/>
      <c r="R179" s="295"/>
      <c r="S179" s="190"/>
      <c r="T179" s="43">
        <f t="shared" si="4"/>
        <v>1</v>
      </c>
      <c r="U179" s="167">
        <f t="shared" si="5"/>
        <v>0</v>
      </c>
      <c r="V179" s="43"/>
      <c r="W179" s="43"/>
      <c r="X179" s="43"/>
    </row>
    <row r="180" spans="1:24" ht="14.25" customHeight="1">
      <c r="A180" s="295"/>
      <c r="B180" s="166"/>
      <c r="C180" s="295"/>
      <c r="D180" s="295"/>
      <c r="E180" s="444"/>
      <c r="F180" s="144"/>
      <c r="G180" s="144"/>
      <c r="H180" s="295"/>
      <c r="I180" s="295"/>
      <c r="J180" s="295"/>
      <c r="K180" s="295"/>
      <c r="L180" s="295"/>
      <c r="M180" s="295"/>
      <c r="N180" s="295"/>
      <c r="O180" s="295"/>
      <c r="P180" s="295"/>
      <c r="Q180" s="295"/>
      <c r="R180" s="295"/>
      <c r="S180" s="190"/>
      <c r="T180" s="43">
        <f t="shared" si="4"/>
        <v>1</v>
      </c>
      <c r="U180" s="167">
        <f t="shared" si="5"/>
        <v>0</v>
      </c>
      <c r="V180" s="43"/>
      <c r="W180" s="43"/>
      <c r="X180" s="43"/>
    </row>
    <row r="181" spans="1:24" ht="14.25" customHeight="1">
      <c r="A181" s="295"/>
      <c r="B181" s="166"/>
      <c r="C181" s="295"/>
      <c r="D181" s="295"/>
      <c r="E181" s="444"/>
      <c r="F181" s="144"/>
      <c r="G181" s="144"/>
      <c r="H181" s="295"/>
      <c r="I181" s="295"/>
      <c r="J181" s="295"/>
      <c r="K181" s="295"/>
      <c r="L181" s="295"/>
      <c r="M181" s="295"/>
      <c r="N181" s="295"/>
      <c r="O181" s="295"/>
      <c r="P181" s="295"/>
      <c r="Q181" s="295"/>
      <c r="R181" s="295"/>
      <c r="S181" s="190" t="s">
        <v>292</v>
      </c>
      <c r="T181" s="43">
        <f t="shared" si="4"/>
        <v>1</v>
      </c>
      <c r="U181" s="167">
        <f t="shared" si="5"/>
        <v>0</v>
      </c>
      <c r="V181" s="43"/>
      <c r="W181" s="43"/>
      <c r="X181" s="43"/>
    </row>
    <row r="182" spans="1:24" ht="14.25" customHeight="1">
      <c r="A182" s="295"/>
      <c r="B182" s="166"/>
      <c r="C182" s="295"/>
      <c r="D182" s="295"/>
      <c r="E182" s="444"/>
      <c r="F182" s="144"/>
      <c r="G182" s="144"/>
      <c r="H182" s="295"/>
      <c r="I182" s="295"/>
      <c r="J182" s="295"/>
      <c r="K182" s="295"/>
      <c r="L182" s="295"/>
      <c r="M182" s="295"/>
      <c r="N182" s="295"/>
      <c r="O182" s="295"/>
      <c r="P182" s="295"/>
      <c r="Q182" s="295"/>
      <c r="R182" s="295"/>
      <c r="S182" s="190" t="s">
        <v>325</v>
      </c>
      <c r="T182" s="94">
        <f t="shared" si="4"/>
        <v>1</v>
      </c>
      <c r="U182" s="212">
        <f t="shared" si="5"/>
        <v>0</v>
      </c>
      <c r="V182" s="43"/>
      <c r="W182" s="43"/>
      <c r="X182" s="43"/>
    </row>
    <row r="183" spans="1:24" ht="14.25" customHeight="1">
      <c r="A183" s="295"/>
      <c r="B183" s="166"/>
      <c r="C183" s="295"/>
      <c r="D183" s="295"/>
      <c r="E183" s="444"/>
      <c r="F183" s="144"/>
      <c r="G183" s="144"/>
      <c r="H183" s="295"/>
      <c r="I183" s="295"/>
      <c r="J183" s="295"/>
      <c r="K183" s="295"/>
      <c r="L183" s="295"/>
      <c r="M183" s="295"/>
      <c r="N183" s="295"/>
      <c r="O183" s="295"/>
      <c r="P183" s="295"/>
      <c r="Q183" s="295"/>
      <c r="R183" s="295"/>
      <c r="S183" s="190" t="s">
        <v>292</v>
      </c>
      <c r="T183" s="43">
        <f t="shared" si="4"/>
        <v>1</v>
      </c>
      <c r="U183" s="167">
        <f t="shared" si="5"/>
        <v>0</v>
      </c>
      <c r="V183" s="43"/>
      <c r="W183" s="43"/>
      <c r="X183" s="43"/>
    </row>
    <row r="184" spans="1:24" ht="14.25" customHeight="1">
      <c r="A184" s="295"/>
      <c r="B184" s="166"/>
      <c r="C184" s="295"/>
      <c r="D184" s="295"/>
      <c r="E184" s="444"/>
      <c r="F184" s="144"/>
      <c r="G184" s="144"/>
      <c r="H184" s="295"/>
      <c r="I184" s="295"/>
      <c r="J184" s="295"/>
      <c r="K184" s="295"/>
      <c r="L184" s="295"/>
      <c r="M184" s="295"/>
      <c r="N184" s="295"/>
      <c r="O184" s="295"/>
      <c r="P184" s="295"/>
      <c r="Q184" s="295"/>
      <c r="R184" s="295"/>
      <c r="S184" s="190" t="s">
        <v>325</v>
      </c>
      <c r="T184" s="94">
        <f t="shared" si="4"/>
        <v>1</v>
      </c>
      <c r="U184" s="212">
        <f t="shared" si="5"/>
        <v>0</v>
      </c>
      <c r="V184" s="43"/>
      <c r="W184" s="43"/>
      <c r="X184" s="43"/>
    </row>
    <row r="185" spans="1:24" ht="14.25" customHeight="1">
      <c r="A185" s="295"/>
      <c r="B185" s="166"/>
      <c r="C185" s="295"/>
      <c r="D185" s="295"/>
      <c r="E185" s="444"/>
      <c r="F185" s="144"/>
      <c r="G185" s="144"/>
      <c r="H185" s="295"/>
      <c r="I185" s="295"/>
      <c r="J185" s="295"/>
      <c r="K185" s="295"/>
      <c r="L185" s="295"/>
      <c r="M185" s="295"/>
      <c r="N185" s="295"/>
      <c r="O185" s="295"/>
      <c r="P185" s="295"/>
      <c r="Q185" s="295"/>
      <c r="R185" s="295"/>
      <c r="S185" s="190" t="s">
        <v>369</v>
      </c>
      <c r="T185" s="43">
        <f t="shared" si="4"/>
        <v>1</v>
      </c>
      <c r="U185" s="167">
        <f t="shared" si="5"/>
        <v>0</v>
      </c>
      <c r="V185" s="43"/>
      <c r="W185" s="43"/>
      <c r="X185" s="43"/>
    </row>
    <row r="186" spans="1:24" ht="14.25" customHeight="1">
      <c r="A186" s="295"/>
      <c r="B186" s="166"/>
      <c r="C186" s="295"/>
      <c r="D186" s="295"/>
      <c r="E186" s="444"/>
      <c r="F186" s="144"/>
      <c r="G186" s="144"/>
      <c r="H186" s="295"/>
      <c r="I186" s="295"/>
      <c r="J186" s="295"/>
      <c r="K186" s="295"/>
      <c r="L186" s="295"/>
      <c r="M186" s="295"/>
      <c r="N186" s="295"/>
      <c r="O186" s="295"/>
      <c r="P186" s="295"/>
      <c r="Q186" s="295"/>
      <c r="R186" s="295"/>
      <c r="S186" s="190"/>
      <c r="T186" s="43">
        <f t="shared" si="4"/>
        <v>1</v>
      </c>
      <c r="U186" s="167">
        <f t="shared" si="5"/>
        <v>0</v>
      </c>
      <c r="V186" s="43"/>
      <c r="W186" s="43"/>
      <c r="X186" s="43"/>
    </row>
    <row r="187" spans="1:24" ht="14.25" customHeight="1">
      <c r="A187" s="295"/>
      <c r="B187" s="166"/>
      <c r="C187" s="295"/>
      <c r="D187" s="295"/>
      <c r="E187" s="444"/>
      <c r="F187" s="144"/>
      <c r="G187" s="144"/>
      <c r="H187" s="295"/>
      <c r="I187" s="295"/>
      <c r="J187" s="295"/>
      <c r="K187" s="295"/>
      <c r="L187" s="295"/>
      <c r="M187" s="295"/>
      <c r="N187" s="295"/>
      <c r="O187" s="295"/>
      <c r="P187" s="295"/>
      <c r="Q187" s="295"/>
      <c r="R187" s="295"/>
      <c r="S187" s="190"/>
      <c r="T187" s="43">
        <f t="shared" si="4"/>
        <v>1</v>
      </c>
      <c r="U187" s="167">
        <f t="shared" si="5"/>
        <v>0</v>
      </c>
      <c r="V187" s="43"/>
      <c r="W187" s="43"/>
      <c r="X187" s="43"/>
    </row>
    <row r="188" spans="1:24" ht="14.25" customHeight="1">
      <c r="A188" s="295"/>
      <c r="B188" s="166"/>
      <c r="C188" s="295"/>
      <c r="D188" s="295"/>
      <c r="E188" s="444"/>
      <c r="F188" s="144"/>
      <c r="G188" s="144"/>
      <c r="H188" s="295"/>
      <c r="I188" s="295"/>
      <c r="J188" s="295"/>
      <c r="K188" s="295"/>
      <c r="L188" s="295"/>
      <c r="M188" s="295"/>
      <c r="N188" s="295"/>
      <c r="O188" s="295"/>
      <c r="P188" s="295"/>
      <c r="Q188" s="295"/>
      <c r="R188" s="295"/>
      <c r="S188" s="190" t="s">
        <v>1016</v>
      </c>
      <c r="T188" s="43">
        <f t="shared" si="4"/>
        <v>1</v>
      </c>
      <c r="U188" s="167">
        <f t="shared" si="5"/>
        <v>0</v>
      </c>
      <c r="V188" s="43"/>
      <c r="W188" s="43"/>
      <c r="X188" s="43"/>
    </row>
    <row r="189" spans="1:24" ht="14.25" customHeight="1">
      <c r="A189" s="295"/>
      <c r="B189" s="166"/>
      <c r="C189" s="295"/>
      <c r="D189" s="295"/>
      <c r="E189" s="444"/>
      <c r="F189" s="144"/>
      <c r="G189" s="144"/>
      <c r="H189" s="295"/>
      <c r="I189" s="295"/>
      <c r="J189" s="295"/>
      <c r="K189" s="295"/>
      <c r="L189" s="295"/>
      <c r="M189" s="295"/>
      <c r="N189" s="295"/>
      <c r="O189" s="295"/>
      <c r="P189" s="295"/>
      <c r="Q189" s="295"/>
      <c r="R189" s="295"/>
      <c r="S189" s="190"/>
      <c r="T189" s="43">
        <f t="shared" si="4"/>
        <v>1</v>
      </c>
      <c r="U189" s="167">
        <f t="shared" si="5"/>
        <v>0</v>
      </c>
      <c r="V189" s="43"/>
      <c r="W189" s="43"/>
      <c r="X189" s="43"/>
    </row>
    <row r="190" spans="1:24" ht="14.25" customHeight="1">
      <c r="A190" s="295"/>
      <c r="B190" s="166"/>
      <c r="C190" s="295"/>
      <c r="D190" s="295"/>
      <c r="E190" s="444"/>
      <c r="F190" s="144"/>
      <c r="G190" s="144"/>
      <c r="H190" s="295"/>
      <c r="I190" s="295"/>
      <c r="J190" s="295"/>
      <c r="K190" s="295"/>
      <c r="L190" s="295"/>
      <c r="M190" s="295"/>
      <c r="N190" s="295"/>
      <c r="O190" s="295"/>
      <c r="P190" s="295"/>
      <c r="Q190" s="295"/>
      <c r="R190" s="295"/>
      <c r="S190" s="190" t="s">
        <v>1291</v>
      </c>
      <c r="T190" s="43">
        <f t="shared" si="4"/>
        <v>1</v>
      </c>
      <c r="U190" s="167">
        <f t="shared" si="5"/>
        <v>0</v>
      </c>
      <c r="V190" s="167"/>
      <c r="W190" s="43"/>
      <c r="X190" s="43"/>
    </row>
    <row r="191" spans="1:24" ht="14.25" customHeight="1">
      <c r="A191" s="295"/>
      <c r="B191" s="166"/>
      <c r="C191" s="295"/>
      <c r="D191" s="295"/>
      <c r="E191" s="444"/>
      <c r="F191" s="144"/>
      <c r="G191" s="144"/>
      <c r="H191" s="295"/>
      <c r="I191" s="295"/>
      <c r="J191" s="295"/>
      <c r="K191" s="295"/>
      <c r="L191" s="295"/>
      <c r="M191" s="295"/>
      <c r="N191" s="295"/>
      <c r="O191" s="295"/>
      <c r="P191" s="295"/>
      <c r="Q191" s="295"/>
      <c r="R191" s="295"/>
      <c r="S191" s="190" t="s">
        <v>1857</v>
      </c>
      <c r="T191" s="43">
        <f t="shared" si="4"/>
        <v>1</v>
      </c>
      <c r="U191" s="167">
        <f t="shared" si="5"/>
        <v>0</v>
      </c>
      <c r="V191" s="167"/>
      <c r="W191" s="43"/>
      <c r="X191" s="43"/>
    </row>
    <row r="192" spans="1:24" ht="14.25" customHeight="1">
      <c r="A192" s="295"/>
      <c r="B192" s="166"/>
      <c r="C192" s="295"/>
      <c r="D192" s="295"/>
      <c r="E192" s="444"/>
      <c r="F192" s="144"/>
      <c r="G192" s="144"/>
      <c r="H192" s="295"/>
      <c r="I192" s="295"/>
      <c r="J192" s="295"/>
      <c r="K192" s="295"/>
      <c r="L192" s="295"/>
      <c r="M192" s="295"/>
      <c r="N192" s="295"/>
      <c r="O192" s="295"/>
      <c r="P192" s="295"/>
      <c r="Q192" s="295"/>
      <c r="R192" s="295"/>
      <c r="S192" s="190" t="s">
        <v>991</v>
      </c>
      <c r="T192" s="43">
        <f t="shared" si="4"/>
        <v>1</v>
      </c>
      <c r="U192" s="167">
        <f t="shared" si="5"/>
        <v>0</v>
      </c>
      <c r="V192" s="171"/>
      <c r="W192" s="43"/>
      <c r="X192" s="43"/>
    </row>
    <row r="193" spans="1:24" ht="14.25" customHeight="1">
      <c r="A193" s="295"/>
      <c r="B193" s="166"/>
      <c r="C193" s="295"/>
      <c r="D193" s="295"/>
      <c r="E193" s="444"/>
      <c r="F193" s="144"/>
      <c r="G193" s="144"/>
      <c r="H193" s="295"/>
      <c r="I193" s="295"/>
      <c r="J193" s="295"/>
      <c r="K193" s="295"/>
      <c r="L193" s="295"/>
      <c r="M193" s="295"/>
      <c r="N193" s="295"/>
      <c r="O193" s="295"/>
      <c r="P193" s="295"/>
      <c r="Q193" s="295"/>
      <c r="R193" s="295"/>
      <c r="S193" s="190" t="s">
        <v>354</v>
      </c>
      <c r="T193" s="43">
        <f t="shared" si="4"/>
        <v>1</v>
      </c>
      <c r="U193" s="167">
        <f t="shared" si="5"/>
        <v>0</v>
      </c>
      <c r="V193" s="43"/>
      <c r="W193" s="43"/>
      <c r="X193" s="43"/>
    </row>
    <row r="194" spans="1:24" ht="14.25" customHeight="1">
      <c r="A194" s="295"/>
      <c r="B194" s="166"/>
      <c r="C194" s="295"/>
      <c r="D194" s="295"/>
      <c r="E194" s="444"/>
      <c r="F194" s="144"/>
      <c r="G194" s="144"/>
      <c r="H194" s="295"/>
      <c r="I194" s="295"/>
      <c r="J194" s="295"/>
      <c r="K194" s="295"/>
      <c r="L194" s="295"/>
      <c r="M194" s="295"/>
      <c r="N194" s="295"/>
      <c r="O194" s="295"/>
      <c r="P194" s="295"/>
      <c r="Q194" s="295"/>
      <c r="R194" s="295"/>
      <c r="S194" s="190" t="s">
        <v>1858</v>
      </c>
      <c r="T194" s="43">
        <f t="shared" si="4"/>
        <v>1</v>
      </c>
      <c r="U194" s="167">
        <f t="shared" si="5"/>
        <v>0</v>
      </c>
      <c r="V194" s="43"/>
      <c r="W194" s="43"/>
      <c r="X194" s="43"/>
    </row>
    <row r="195" spans="1:24" ht="14.25" customHeight="1">
      <c r="A195" s="295"/>
      <c r="B195" s="166"/>
      <c r="C195" s="295"/>
      <c r="D195" s="295"/>
      <c r="E195" s="444"/>
      <c r="F195" s="144"/>
      <c r="G195" s="144"/>
      <c r="H195" s="295"/>
      <c r="I195" s="295"/>
      <c r="J195" s="295"/>
      <c r="K195" s="295"/>
      <c r="L195" s="295"/>
      <c r="M195" s="295"/>
      <c r="N195" s="295"/>
      <c r="O195" s="295"/>
      <c r="P195" s="295"/>
      <c r="Q195" s="295"/>
      <c r="R195" s="295"/>
      <c r="S195" s="190" t="s">
        <v>1278</v>
      </c>
      <c r="T195" s="43">
        <f t="shared" si="4"/>
        <v>1</v>
      </c>
      <c r="U195" s="167">
        <f t="shared" si="5"/>
        <v>0</v>
      </c>
      <c r="V195" s="167"/>
      <c r="W195" s="43"/>
      <c r="X195" s="43"/>
    </row>
    <row r="196" spans="1:24" ht="14.25" customHeight="1">
      <c r="A196" s="295"/>
      <c r="B196" s="166"/>
      <c r="C196" s="295"/>
      <c r="D196" s="295"/>
      <c r="E196" s="444"/>
      <c r="F196" s="144"/>
      <c r="G196" s="144"/>
      <c r="H196" s="295"/>
      <c r="I196" s="295"/>
      <c r="J196" s="295"/>
      <c r="K196" s="295"/>
      <c r="L196" s="295"/>
      <c r="M196" s="295"/>
      <c r="N196" s="295"/>
      <c r="O196" s="295"/>
      <c r="P196" s="295"/>
      <c r="Q196" s="295"/>
      <c r="R196" s="295"/>
      <c r="S196" s="190" t="s">
        <v>1278</v>
      </c>
      <c r="T196" s="43">
        <f t="shared" si="4"/>
        <v>1</v>
      </c>
      <c r="U196" s="167">
        <f t="shared" si="5"/>
        <v>0</v>
      </c>
      <c r="V196" s="167"/>
      <c r="W196" s="43"/>
      <c r="X196" s="43"/>
    </row>
    <row r="197" spans="1:24" ht="14.25" customHeight="1">
      <c r="A197" s="295"/>
      <c r="B197" s="166"/>
      <c r="C197" s="295"/>
      <c r="D197" s="295"/>
      <c r="E197" s="444"/>
      <c r="F197" s="144"/>
      <c r="G197" s="144"/>
      <c r="H197" s="295"/>
      <c r="I197" s="295"/>
      <c r="J197" s="295"/>
      <c r="K197" s="295"/>
      <c r="L197" s="295"/>
      <c r="M197" s="295"/>
      <c r="N197" s="295"/>
      <c r="O197" s="295"/>
      <c r="P197" s="295"/>
      <c r="Q197" s="295"/>
      <c r="R197" s="295"/>
      <c r="S197" s="190" t="s">
        <v>1278</v>
      </c>
      <c r="T197" s="43">
        <f t="shared" si="4"/>
        <v>1</v>
      </c>
      <c r="U197" s="167">
        <f t="shared" si="5"/>
        <v>0</v>
      </c>
      <c r="V197" s="167"/>
      <c r="W197" s="43"/>
      <c r="X197" s="43"/>
    </row>
    <row r="198" spans="1:24" ht="14.25" customHeight="1">
      <c r="A198" s="295"/>
      <c r="B198" s="166"/>
      <c r="C198" s="295"/>
      <c r="D198" s="295"/>
      <c r="E198" s="444"/>
      <c r="F198" s="144"/>
      <c r="G198" s="144"/>
      <c r="H198" s="295"/>
      <c r="I198" s="295"/>
      <c r="J198" s="295"/>
      <c r="K198" s="295"/>
      <c r="L198" s="295"/>
      <c r="M198" s="295"/>
      <c r="N198" s="295"/>
      <c r="O198" s="295"/>
      <c r="P198" s="295"/>
      <c r="Q198" s="295"/>
      <c r="R198" s="295"/>
      <c r="S198" s="190" t="s">
        <v>1278</v>
      </c>
      <c r="T198" s="43">
        <f t="shared" si="4"/>
        <v>1</v>
      </c>
      <c r="U198" s="167">
        <f t="shared" si="5"/>
        <v>0</v>
      </c>
      <c r="V198" s="167"/>
      <c r="W198" s="43"/>
      <c r="X198" s="43"/>
    </row>
    <row r="199" spans="1:24" ht="14.25" customHeight="1">
      <c r="A199" s="295"/>
      <c r="B199" s="166"/>
      <c r="C199" s="295"/>
      <c r="D199" s="295"/>
      <c r="E199" s="444"/>
      <c r="F199" s="144"/>
      <c r="G199" s="144"/>
      <c r="H199" s="295"/>
      <c r="I199" s="295"/>
      <c r="J199" s="295"/>
      <c r="K199" s="295"/>
      <c r="L199" s="295"/>
      <c r="M199" s="295"/>
      <c r="N199" s="295"/>
      <c r="O199" s="295"/>
      <c r="P199" s="295"/>
      <c r="Q199" s="295"/>
      <c r="R199" s="295"/>
      <c r="S199" s="190" t="s">
        <v>1278</v>
      </c>
      <c r="T199" s="43">
        <f t="shared" si="4"/>
        <v>1</v>
      </c>
      <c r="U199" s="167">
        <f t="shared" si="5"/>
        <v>0</v>
      </c>
      <c r="V199" s="167"/>
      <c r="W199" s="43"/>
      <c r="X199" s="43"/>
    </row>
    <row r="200" spans="1:24" ht="14.25" customHeight="1">
      <c r="A200" s="295"/>
      <c r="B200" s="166"/>
      <c r="C200" s="295"/>
      <c r="D200" s="295"/>
      <c r="E200" s="444"/>
      <c r="F200" s="144"/>
      <c r="G200" s="144"/>
      <c r="H200" s="295"/>
      <c r="I200" s="295"/>
      <c r="J200" s="295"/>
      <c r="K200" s="295"/>
      <c r="L200" s="295"/>
      <c r="M200" s="295"/>
      <c r="N200" s="295"/>
      <c r="O200" s="295"/>
      <c r="P200" s="295"/>
      <c r="Q200" s="295"/>
      <c r="R200" s="295"/>
      <c r="S200" s="190" t="s">
        <v>329</v>
      </c>
      <c r="T200" s="43">
        <f t="shared" si="4"/>
        <v>1</v>
      </c>
      <c r="U200" s="167">
        <f t="shared" si="5"/>
        <v>0</v>
      </c>
      <c r="V200" s="43"/>
      <c r="W200" s="43"/>
      <c r="X200" s="43"/>
    </row>
    <row r="201" spans="1:24" ht="14.25" customHeight="1">
      <c r="A201" s="295"/>
      <c r="B201" s="166"/>
      <c r="C201" s="295"/>
      <c r="D201" s="295"/>
      <c r="E201" s="444"/>
      <c r="F201" s="144"/>
      <c r="G201" s="144"/>
      <c r="H201" s="295"/>
      <c r="I201" s="295"/>
      <c r="J201" s="295"/>
      <c r="K201" s="295"/>
      <c r="L201" s="295"/>
      <c r="M201" s="295"/>
      <c r="N201" s="295"/>
      <c r="O201" s="295"/>
      <c r="P201" s="295"/>
      <c r="Q201" s="295"/>
      <c r="R201" s="295"/>
      <c r="S201" s="190" t="s">
        <v>1156</v>
      </c>
      <c r="T201" s="43">
        <f t="shared" si="4"/>
        <v>1</v>
      </c>
      <c r="U201" s="167">
        <f t="shared" si="5"/>
        <v>0</v>
      </c>
      <c r="V201" s="43"/>
      <c r="W201" s="43"/>
      <c r="X201" s="43"/>
    </row>
    <row r="202" spans="1:24" ht="14.25" customHeight="1">
      <c r="A202" s="295"/>
      <c r="B202" s="166"/>
      <c r="C202" s="295"/>
      <c r="D202" s="295"/>
      <c r="E202" s="444"/>
      <c r="F202" s="144"/>
      <c r="G202" s="144"/>
      <c r="H202" s="295"/>
      <c r="I202" s="295"/>
      <c r="J202" s="295"/>
      <c r="K202" s="295"/>
      <c r="L202" s="295"/>
      <c r="M202" s="295"/>
      <c r="N202" s="295"/>
      <c r="O202" s="295"/>
      <c r="P202" s="295"/>
      <c r="Q202" s="295"/>
      <c r="R202" s="295"/>
      <c r="S202" s="190" t="s">
        <v>375</v>
      </c>
      <c r="T202" s="43">
        <f t="shared" si="4"/>
        <v>1</v>
      </c>
      <c r="U202" s="167">
        <f t="shared" si="5"/>
        <v>0</v>
      </c>
      <c r="V202" s="43"/>
      <c r="W202" s="43"/>
      <c r="X202" s="43"/>
    </row>
    <row r="203" spans="1:24" ht="14.25" customHeight="1">
      <c r="A203" s="295"/>
      <c r="B203" s="166"/>
      <c r="C203" s="295"/>
      <c r="D203" s="295"/>
      <c r="E203" s="444"/>
      <c r="F203" s="144"/>
      <c r="G203" s="144"/>
      <c r="H203" s="295"/>
      <c r="I203" s="295"/>
      <c r="J203" s="295"/>
      <c r="K203" s="295"/>
      <c r="L203" s="295"/>
      <c r="M203" s="295"/>
      <c r="N203" s="295"/>
      <c r="O203" s="295"/>
      <c r="P203" s="295"/>
      <c r="Q203" s="295"/>
      <c r="R203" s="295"/>
      <c r="S203" s="190"/>
      <c r="T203" s="43">
        <f t="shared" si="4"/>
        <v>1</v>
      </c>
      <c r="U203" s="167">
        <f t="shared" si="5"/>
        <v>0</v>
      </c>
      <c r="V203" s="43"/>
      <c r="W203" s="43"/>
      <c r="X203" s="43"/>
    </row>
    <row r="204" spans="1:24" ht="14.25" customHeight="1">
      <c r="A204" s="295"/>
      <c r="B204" s="166"/>
      <c r="C204" s="295"/>
      <c r="D204" s="295"/>
      <c r="E204" s="444"/>
      <c r="F204" s="144"/>
      <c r="G204" s="144"/>
      <c r="H204" s="295"/>
      <c r="I204" s="295"/>
      <c r="J204" s="295"/>
      <c r="K204" s="295"/>
      <c r="L204" s="295"/>
      <c r="M204" s="295"/>
      <c r="N204" s="295"/>
      <c r="O204" s="295"/>
      <c r="P204" s="295"/>
      <c r="Q204" s="295"/>
      <c r="R204" s="295"/>
      <c r="S204" s="190"/>
      <c r="T204" s="43">
        <f t="shared" si="4"/>
        <v>1</v>
      </c>
      <c r="U204" s="167">
        <f t="shared" si="5"/>
        <v>0</v>
      </c>
      <c r="V204" s="43"/>
      <c r="W204" s="43"/>
      <c r="X204" s="43"/>
    </row>
    <row r="205" spans="1:24" ht="14.25" customHeight="1">
      <c r="A205" s="295"/>
      <c r="B205" s="166"/>
      <c r="C205" s="295"/>
      <c r="D205" s="295"/>
      <c r="E205" s="444"/>
      <c r="F205" s="144"/>
      <c r="G205" s="144"/>
      <c r="H205" s="295"/>
      <c r="I205" s="295"/>
      <c r="J205" s="295"/>
      <c r="K205" s="295"/>
      <c r="L205" s="295"/>
      <c r="M205" s="295"/>
      <c r="N205" s="295"/>
      <c r="O205" s="295"/>
      <c r="P205" s="295"/>
      <c r="Q205" s="295"/>
      <c r="R205" s="295"/>
      <c r="S205" s="190" t="s">
        <v>413</v>
      </c>
      <c r="T205" s="43">
        <f t="shared" si="4"/>
        <v>1</v>
      </c>
      <c r="U205" s="167">
        <f t="shared" si="5"/>
        <v>0</v>
      </c>
      <c r="V205" s="43"/>
      <c r="W205" s="43"/>
      <c r="X205" s="43"/>
    </row>
    <row r="206" spans="1:24" ht="14.25" customHeight="1">
      <c r="A206" s="295"/>
      <c r="B206" s="166"/>
      <c r="C206" s="295"/>
      <c r="D206" s="295"/>
      <c r="E206" s="444"/>
      <c r="F206" s="144"/>
      <c r="G206" s="144"/>
      <c r="H206" s="295"/>
      <c r="I206" s="295"/>
      <c r="J206" s="295"/>
      <c r="K206" s="295"/>
      <c r="L206" s="295"/>
      <c r="M206" s="295"/>
      <c r="N206" s="295"/>
      <c r="O206" s="295"/>
      <c r="P206" s="295"/>
      <c r="Q206" s="295"/>
      <c r="R206" s="295"/>
      <c r="S206" s="190" t="s">
        <v>656</v>
      </c>
      <c r="T206" s="43">
        <f t="shared" si="4"/>
        <v>1</v>
      </c>
      <c r="U206" s="167">
        <f t="shared" si="5"/>
        <v>0</v>
      </c>
      <c r="V206" s="166"/>
      <c r="W206" s="43"/>
      <c r="X206" s="43"/>
    </row>
    <row r="207" spans="1:24" ht="14.25" customHeight="1">
      <c r="A207" s="295"/>
      <c r="B207" s="166"/>
      <c r="C207" s="295"/>
      <c r="D207" s="295"/>
      <c r="E207" s="444"/>
      <c r="F207" s="144"/>
      <c r="G207" s="144"/>
      <c r="H207" s="295"/>
      <c r="I207" s="295"/>
      <c r="J207" s="295"/>
      <c r="K207" s="295"/>
      <c r="L207" s="295"/>
      <c r="M207" s="295"/>
      <c r="N207" s="295"/>
      <c r="O207" s="295"/>
      <c r="P207" s="295"/>
      <c r="Q207" s="295"/>
      <c r="R207" s="295"/>
      <c r="S207" s="190" t="s">
        <v>427</v>
      </c>
      <c r="T207" s="43">
        <f t="shared" si="4"/>
        <v>1</v>
      </c>
      <c r="U207" s="167">
        <f t="shared" si="5"/>
        <v>0</v>
      </c>
      <c r="V207" s="43"/>
      <c r="W207" s="43"/>
      <c r="X207" s="43"/>
    </row>
    <row r="208" spans="1:24" ht="14.25" customHeight="1">
      <c r="A208" s="295"/>
      <c r="B208" s="166"/>
      <c r="C208" s="295"/>
      <c r="D208" s="295"/>
      <c r="E208" s="444"/>
      <c r="F208" s="144"/>
      <c r="G208" s="144"/>
      <c r="H208" s="295"/>
      <c r="I208" s="295"/>
      <c r="J208" s="295"/>
      <c r="K208" s="295"/>
      <c r="L208" s="295"/>
      <c r="M208" s="295"/>
      <c r="N208" s="295"/>
      <c r="O208" s="295"/>
      <c r="P208" s="295"/>
      <c r="Q208" s="295"/>
      <c r="R208" s="295"/>
      <c r="S208" s="190" t="s">
        <v>420</v>
      </c>
      <c r="T208" s="43">
        <f t="shared" si="4"/>
        <v>1</v>
      </c>
      <c r="U208" s="167">
        <f t="shared" si="5"/>
        <v>0</v>
      </c>
      <c r="V208" s="43"/>
      <c r="W208" s="43"/>
      <c r="X208" s="43"/>
    </row>
    <row r="209" spans="1:24" ht="14.25" customHeight="1">
      <c r="A209" s="295"/>
      <c r="B209" s="166"/>
      <c r="C209" s="295"/>
      <c r="D209" s="295"/>
      <c r="E209" s="444"/>
      <c r="F209" s="144"/>
      <c r="G209" s="144"/>
      <c r="H209" s="295"/>
      <c r="I209" s="295"/>
      <c r="J209" s="295"/>
      <c r="K209" s="295"/>
      <c r="L209" s="295"/>
      <c r="M209" s="295"/>
      <c r="N209" s="295"/>
      <c r="O209" s="295"/>
      <c r="P209" s="295"/>
      <c r="Q209" s="295"/>
      <c r="R209" s="295"/>
      <c r="S209" s="190" t="s">
        <v>607</v>
      </c>
      <c r="T209" s="43">
        <f t="shared" si="4"/>
        <v>1</v>
      </c>
      <c r="U209" s="167">
        <f t="shared" si="5"/>
        <v>0</v>
      </c>
      <c r="V209" s="166"/>
      <c r="W209" s="43"/>
      <c r="X209" s="43"/>
    </row>
    <row r="210" spans="1:24" ht="14.25" customHeight="1">
      <c r="A210" s="295"/>
      <c r="B210" s="166"/>
      <c r="C210" s="295"/>
      <c r="D210" s="295"/>
      <c r="E210" s="444"/>
      <c r="F210" s="144"/>
      <c r="G210" s="144"/>
      <c r="H210" s="295"/>
      <c r="I210" s="295"/>
      <c r="J210" s="295"/>
      <c r="K210" s="295"/>
      <c r="L210" s="295"/>
      <c r="M210" s="295"/>
      <c r="N210" s="295"/>
      <c r="O210" s="295"/>
      <c r="P210" s="295"/>
      <c r="Q210" s="295"/>
      <c r="R210" s="295"/>
      <c r="S210" s="190" t="s">
        <v>398</v>
      </c>
      <c r="T210" s="43">
        <f t="shared" si="4"/>
        <v>1</v>
      </c>
      <c r="U210" s="167">
        <f t="shared" si="5"/>
        <v>0</v>
      </c>
      <c r="V210" s="43"/>
      <c r="W210" s="43"/>
      <c r="X210" s="43"/>
    </row>
    <row r="211" spans="1:24" ht="14.25" customHeight="1">
      <c r="A211" s="295"/>
      <c r="B211" s="166"/>
      <c r="C211" s="295"/>
      <c r="D211" s="295"/>
      <c r="E211" s="444"/>
      <c r="F211" s="144"/>
      <c r="G211" s="144"/>
      <c r="H211" s="295"/>
      <c r="I211" s="295"/>
      <c r="J211" s="295"/>
      <c r="K211" s="295"/>
      <c r="L211" s="295"/>
      <c r="M211" s="295"/>
      <c r="N211" s="295"/>
      <c r="O211" s="295"/>
      <c r="P211" s="295"/>
      <c r="Q211" s="295"/>
      <c r="R211" s="295"/>
      <c r="S211" s="190" t="s">
        <v>398</v>
      </c>
      <c r="T211" s="43">
        <f t="shared" si="4"/>
        <v>1</v>
      </c>
      <c r="U211" s="167">
        <f t="shared" si="5"/>
        <v>0</v>
      </c>
      <c r="V211" s="43"/>
      <c r="W211" s="43"/>
      <c r="X211" s="43"/>
    </row>
    <row r="212" spans="1:24" ht="14.25" customHeight="1">
      <c r="A212" s="295"/>
      <c r="B212" s="166"/>
      <c r="C212" s="295"/>
      <c r="D212" s="295"/>
      <c r="E212" s="444"/>
      <c r="F212" s="144"/>
      <c r="G212" s="144"/>
      <c r="H212" s="295"/>
      <c r="I212" s="295"/>
      <c r="J212" s="295"/>
      <c r="K212" s="295"/>
      <c r="L212" s="295"/>
      <c r="M212" s="295"/>
      <c r="N212" s="295"/>
      <c r="O212" s="295"/>
      <c r="P212" s="295"/>
      <c r="Q212" s="295"/>
      <c r="R212" s="295"/>
      <c r="S212" s="190" t="s">
        <v>395</v>
      </c>
      <c r="T212" s="43">
        <f t="shared" si="4"/>
        <v>1</v>
      </c>
      <c r="U212" s="167">
        <f t="shared" si="5"/>
        <v>0</v>
      </c>
      <c r="V212" s="43"/>
      <c r="W212" s="43"/>
      <c r="X212" s="43"/>
    </row>
    <row r="213" spans="1:24" ht="14.25" customHeight="1">
      <c r="A213" s="295"/>
      <c r="B213" s="166"/>
      <c r="C213" s="295"/>
      <c r="D213" s="295"/>
      <c r="E213" s="444"/>
      <c r="F213" s="144"/>
      <c r="G213" s="144"/>
      <c r="H213" s="295"/>
      <c r="I213" s="295"/>
      <c r="J213" s="295"/>
      <c r="K213" s="295"/>
      <c r="L213" s="295"/>
      <c r="M213" s="295"/>
      <c r="N213" s="295"/>
      <c r="O213" s="295"/>
      <c r="P213" s="295"/>
      <c r="Q213" s="295"/>
      <c r="R213" s="295"/>
      <c r="S213" s="190"/>
      <c r="T213" s="43">
        <f t="shared" si="4"/>
        <v>1</v>
      </c>
      <c r="U213" s="167">
        <f t="shared" si="5"/>
        <v>0</v>
      </c>
      <c r="V213" s="43"/>
      <c r="W213" s="43"/>
      <c r="X213" s="43"/>
    </row>
    <row r="214" spans="1:24" ht="14.25" customHeight="1">
      <c r="A214" s="295"/>
      <c r="B214" s="166"/>
      <c r="C214" s="295"/>
      <c r="D214" s="295"/>
      <c r="E214" s="444"/>
      <c r="F214" s="144"/>
      <c r="G214" s="144"/>
      <c r="H214" s="295"/>
      <c r="I214" s="295"/>
      <c r="J214" s="295"/>
      <c r="K214" s="295"/>
      <c r="L214" s="295"/>
      <c r="M214" s="295"/>
      <c r="N214" s="295"/>
      <c r="O214" s="295"/>
      <c r="P214" s="295"/>
      <c r="Q214" s="295"/>
      <c r="R214" s="295"/>
      <c r="S214" s="190" t="s">
        <v>1144</v>
      </c>
      <c r="T214" s="43">
        <f t="shared" si="4"/>
        <v>1</v>
      </c>
      <c r="U214" s="167">
        <f t="shared" si="5"/>
        <v>0</v>
      </c>
      <c r="V214" s="43"/>
      <c r="W214" s="43"/>
      <c r="X214" s="43"/>
    </row>
    <row r="215" spans="1:24" ht="14.25" customHeight="1">
      <c r="A215" s="295"/>
      <c r="B215" s="166"/>
      <c r="C215" s="295"/>
      <c r="D215" s="295"/>
      <c r="E215" s="444"/>
      <c r="F215" s="144"/>
      <c r="G215" s="144"/>
      <c r="H215" s="295"/>
      <c r="I215" s="295"/>
      <c r="J215" s="295"/>
      <c r="K215" s="295"/>
      <c r="L215" s="295"/>
      <c r="M215" s="295"/>
      <c r="N215" s="295"/>
      <c r="O215" s="295"/>
      <c r="P215" s="295"/>
      <c r="Q215" s="295"/>
      <c r="R215" s="295"/>
      <c r="S215" s="190" t="s">
        <v>405</v>
      </c>
      <c r="T215" s="43">
        <f t="shared" si="4"/>
        <v>1</v>
      </c>
      <c r="U215" s="167">
        <f t="shared" si="5"/>
        <v>0</v>
      </c>
      <c r="V215" s="43"/>
      <c r="W215" s="43"/>
      <c r="X215" s="43"/>
    </row>
    <row r="216" spans="1:24" ht="14.25" customHeight="1">
      <c r="A216" s="295"/>
      <c r="B216" s="166"/>
      <c r="C216" s="295"/>
      <c r="D216" s="295"/>
      <c r="E216" s="444"/>
      <c r="F216" s="144"/>
      <c r="G216" s="144"/>
      <c r="H216" s="295"/>
      <c r="I216" s="295"/>
      <c r="J216" s="295"/>
      <c r="K216" s="295"/>
      <c r="L216" s="295"/>
      <c r="M216" s="295"/>
      <c r="N216" s="295"/>
      <c r="O216" s="295"/>
      <c r="P216" s="295"/>
      <c r="Q216" s="295"/>
      <c r="R216" s="295"/>
      <c r="S216" s="190"/>
      <c r="T216" s="43">
        <f t="shared" si="4"/>
        <v>1</v>
      </c>
      <c r="U216" s="167">
        <f t="shared" si="5"/>
        <v>0</v>
      </c>
      <c r="V216" s="43"/>
      <c r="W216" s="43"/>
      <c r="X216" s="43"/>
    </row>
    <row r="217" spans="1:24" ht="14.25" customHeight="1">
      <c r="A217" s="295"/>
      <c r="B217" s="166"/>
      <c r="C217" s="295"/>
      <c r="D217" s="295"/>
      <c r="E217" s="444"/>
      <c r="F217" s="144"/>
      <c r="G217" s="144"/>
      <c r="H217" s="295"/>
      <c r="I217" s="295"/>
      <c r="J217" s="295"/>
      <c r="K217" s="295"/>
      <c r="L217" s="295"/>
      <c r="M217" s="295"/>
      <c r="N217" s="295"/>
      <c r="O217" s="295"/>
      <c r="P217" s="295"/>
      <c r="Q217" s="295"/>
      <c r="R217" s="295"/>
      <c r="S217" s="190" t="s">
        <v>325</v>
      </c>
      <c r="T217" s="43">
        <f t="shared" si="4"/>
        <v>1</v>
      </c>
      <c r="U217" s="167">
        <f t="shared" si="5"/>
        <v>0</v>
      </c>
      <c r="V217" s="43"/>
      <c r="W217" s="43"/>
      <c r="X217" s="43"/>
    </row>
    <row r="218" spans="1:24" ht="14.25" customHeight="1">
      <c r="A218" s="295"/>
      <c r="B218" s="166"/>
      <c r="C218" s="295"/>
      <c r="D218" s="295"/>
      <c r="E218" s="444"/>
      <c r="F218" s="144"/>
      <c r="G218" s="144"/>
      <c r="H218" s="295"/>
      <c r="I218" s="295"/>
      <c r="J218" s="295"/>
      <c r="K218" s="295"/>
      <c r="L218" s="295"/>
      <c r="M218" s="295"/>
      <c r="N218" s="295"/>
      <c r="O218" s="295"/>
      <c r="P218" s="295"/>
      <c r="Q218" s="295"/>
      <c r="R218" s="295"/>
      <c r="S218" s="190" t="s">
        <v>435</v>
      </c>
      <c r="T218" s="43">
        <f t="shared" si="4"/>
        <v>1</v>
      </c>
      <c r="U218" s="167">
        <f t="shared" si="5"/>
        <v>0</v>
      </c>
      <c r="V218" s="43"/>
      <c r="W218" s="43"/>
      <c r="X218" s="43"/>
    </row>
    <row r="219" spans="1:24" ht="14.25" customHeight="1">
      <c r="A219" s="295"/>
      <c r="B219" s="166"/>
      <c r="C219" s="295"/>
      <c r="D219" s="295"/>
      <c r="E219" s="444"/>
      <c r="F219" s="144"/>
      <c r="G219" s="144"/>
      <c r="H219" s="295"/>
      <c r="I219" s="295"/>
      <c r="J219" s="295"/>
      <c r="K219" s="295"/>
      <c r="L219" s="295"/>
      <c r="M219" s="295"/>
      <c r="N219" s="295"/>
      <c r="O219" s="295"/>
      <c r="P219" s="295"/>
      <c r="Q219" s="295"/>
      <c r="R219" s="295"/>
      <c r="S219" s="190" t="s">
        <v>438</v>
      </c>
      <c r="T219" s="43">
        <f t="shared" si="4"/>
        <v>1</v>
      </c>
      <c r="U219" s="167">
        <f t="shared" si="5"/>
        <v>0</v>
      </c>
      <c r="V219" s="43"/>
      <c r="W219" s="43"/>
      <c r="X219" s="43"/>
    </row>
    <row r="220" spans="1:24" ht="14.25" customHeight="1">
      <c r="A220" s="295"/>
      <c r="B220" s="166"/>
      <c r="C220" s="295"/>
      <c r="D220" s="295"/>
      <c r="E220" s="444"/>
      <c r="F220" s="144"/>
      <c r="G220" s="144"/>
      <c r="H220" s="295"/>
      <c r="I220" s="295"/>
      <c r="J220" s="295"/>
      <c r="K220" s="295"/>
      <c r="L220" s="295"/>
      <c r="M220" s="295"/>
      <c r="N220" s="295"/>
      <c r="O220" s="295"/>
      <c r="P220" s="295"/>
      <c r="Q220" s="295"/>
      <c r="R220" s="295"/>
      <c r="S220" s="190" t="s">
        <v>440</v>
      </c>
      <c r="T220" s="43">
        <f t="shared" si="4"/>
        <v>1</v>
      </c>
      <c r="U220" s="167">
        <f t="shared" si="5"/>
        <v>0</v>
      </c>
      <c r="V220" s="43"/>
      <c r="W220" s="43"/>
      <c r="X220" s="43"/>
    </row>
    <row r="221" spans="1:24" ht="14.25" customHeight="1">
      <c r="A221" s="295"/>
      <c r="B221" s="166"/>
      <c r="C221" s="295"/>
      <c r="D221" s="295"/>
      <c r="E221" s="444"/>
      <c r="F221" s="144"/>
      <c r="G221" s="144"/>
      <c r="H221" s="295"/>
      <c r="I221" s="295"/>
      <c r="J221" s="295"/>
      <c r="K221" s="295"/>
      <c r="L221" s="295"/>
      <c r="M221" s="295"/>
      <c r="N221" s="295"/>
      <c r="O221" s="295"/>
      <c r="P221" s="295"/>
      <c r="Q221" s="295"/>
      <c r="R221" s="295"/>
      <c r="S221" s="190" t="s">
        <v>475</v>
      </c>
      <c r="T221" s="43">
        <f t="shared" si="4"/>
        <v>1</v>
      </c>
      <c r="U221" s="167">
        <f t="shared" si="5"/>
        <v>0</v>
      </c>
      <c r="V221" s="43"/>
      <c r="W221" s="43"/>
      <c r="X221" s="43"/>
    </row>
    <row r="222" spans="1:24" ht="14.25" customHeight="1">
      <c r="A222" s="295"/>
      <c r="B222" s="166"/>
      <c r="C222" s="295"/>
      <c r="D222" s="295"/>
      <c r="E222" s="444"/>
      <c r="F222" s="144"/>
      <c r="G222" s="144"/>
      <c r="H222" s="295"/>
      <c r="I222" s="295"/>
      <c r="J222" s="295"/>
      <c r="K222" s="295"/>
      <c r="L222" s="295"/>
      <c r="M222" s="295"/>
      <c r="N222" s="295"/>
      <c r="O222" s="295"/>
      <c r="P222" s="295"/>
      <c r="Q222" s="295"/>
      <c r="R222" s="295"/>
      <c r="S222" s="190" t="s">
        <v>443</v>
      </c>
      <c r="T222" s="43">
        <f t="shared" si="4"/>
        <v>1</v>
      </c>
      <c r="U222" s="167">
        <f t="shared" si="5"/>
        <v>0</v>
      </c>
      <c r="V222" s="43"/>
      <c r="W222" s="43"/>
      <c r="X222" s="43"/>
    </row>
    <row r="223" spans="1:24" ht="14.25" customHeight="1">
      <c r="A223" s="295"/>
      <c r="B223" s="166"/>
      <c r="C223" s="295"/>
      <c r="D223" s="295"/>
      <c r="E223" s="444"/>
      <c r="F223" s="144"/>
      <c r="G223" s="144"/>
      <c r="H223" s="295"/>
      <c r="I223" s="295"/>
      <c r="J223" s="295"/>
      <c r="K223" s="295"/>
      <c r="L223" s="295"/>
      <c r="M223" s="295"/>
      <c r="N223" s="295"/>
      <c r="O223" s="295"/>
      <c r="P223" s="295"/>
      <c r="Q223" s="295"/>
      <c r="R223" s="295"/>
      <c r="S223" s="190" t="s">
        <v>446</v>
      </c>
      <c r="T223" s="43">
        <f t="shared" si="4"/>
        <v>1</v>
      </c>
      <c r="U223" s="167">
        <f t="shared" si="5"/>
        <v>0</v>
      </c>
      <c r="V223" s="43"/>
      <c r="W223" s="43"/>
      <c r="X223" s="43"/>
    </row>
    <row r="224" spans="1:24" ht="14.25" customHeight="1">
      <c r="A224" s="295"/>
      <c r="B224" s="166"/>
      <c r="C224" s="295"/>
      <c r="D224" s="295"/>
      <c r="E224" s="444"/>
      <c r="F224" s="144"/>
      <c r="G224" s="144"/>
      <c r="H224" s="295"/>
      <c r="I224" s="295"/>
      <c r="J224" s="295"/>
      <c r="K224" s="295"/>
      <c r="L224" s="295"/>
      <c r="M224" s="295"/>
      <c r="N224" s="295"/>
      <c r="O224" s="295"/>
      <c r="P224" s="295"/>
      <c r="Q224" s="295"/>
      <c r="R224" s="295"/>
      <c r="S224" s="190" t="s">
        <v>449</v>
      </c>
      <c r="T224" s="43">
        <f t="shared" si="4"/>
        <v>1</v>
      </c>
      <c r="U224" s="167">
        <f t="shared" si="5"/>
        <v>0</v>
      </c>
      <c r="V224" s="43"/>
      <c r="W224" s="43"/>
      <c r="X224" s="43"/>
    </row>
    <row r="225" spans="1:24" ht="14.25" customHeight="1">
      <c r="A225" s="295"/>
      <c r="B225" s="166"/>
      <c r="C225" s="295"/>
      <c r="D225" s="295"/>
      <c r="E225" s="444"/>
      <c r="F225" s="144"/>
      <c r="G225" s="144"/>
      <c r="H225" s="295"/>
      <c r="I225" s="295"/>
      <c r="J225" s="295"/>
      <c r="K225" s="295"/>
      <c r="L225" s="295"/>
      <c r="M225" s="295"/>
      <c r="N225" s="295"/>
      <c r="O225" s="295"/>
      <c r="P225" s="295"/>
      <c r="Q225" s="295"/>
      <c r="R225" s="295"/>
      <c r="S225" s="190" t="s">
        <v>323</v>
      </c>
      <c r="T225" s="43">
        <f t="shared" si="4"/>
        <v>1</v>
      </c>
      <c r="U225" s="167">
        <f t="shared" si="5"/>
        <v>0</v>
      </c>
      <c r="V225" s="43"/>
      <c r="W225" s="43"/>
      <c r="X225" s="43"/>
    </row>
    <row r="226" spans="1:24" ht="14.25" customHeight="1">
      <c r="A226" s="295"/>
      <c r="B226" s="166"/>
      <c r="C226" s="295"/>
      <c r="D226" s="295"/>
      <c r="E226" s="444"/>
      <c r="F226" s="144"/>
      <c r="G226" s="144"/>
      <c r="H226" s="295"/>
      <c r="I226" s="295"/>
      <c r="J226" s="295"/>
      <c r="K226" s="295"/>
      <c r="L226" s="295"/>
      <c r="M226" s="295"/>
      <c r="N226" s="295"/>
      <c r="O226" s="295"/>
      <c r="P226" s="295"/>
      <c r="Q226" s="295"/>
      <c r="R226" s="295"/>
      <c r="S226" s="190" t="s">
        <v>453</v>
      </c>
      <c r="T226" s="43">
        <f t="shared" si="4"/>
        <v>1</v>
      </c>
      <c r="U226" s="167">
        <f t="shared" si="5"/>
        <v>0</v>
      </c>
      <c r="V226" s="43"/>
      <c r="W226" s="43"/>
      <c r="X226" s="43"/>
    </row>
    <row r="227" spans="1:24" ht="14.25" customHeight="1">
      <c r="A227" s="295"/>
      <c r="B227" s="166"/>
      <c r="C227" s="295"/>
      <c r="D227" s="295"/>
      <c r="E227" s="444"/>
      <c r="F227" s="144"/>
      <c r="G227" s="144"/>
      <c r="H227" s="295"/>
      <c r="I227" s="295"/>
      <c r="J227" s="295"/>
      <c r="K227" s="295"/>
      <c r="L227" s="295"/>
      <c r="M227" s="295"/>
      <c r="N227" s="295"/>
      <c r="O227" s="295"/>
      <c r="P227" s="295"/>
      <c r="Q227" s="295"/>
      <c r="R227" s="295"/>
      <c r="S227" s="190" t="s">
        <v>361</v>
      </c>
      <c r="T227" s="43">
        <f t="shared" si="4"/>
        <v>1</v>
      </c>
      <c r="U227" s="167">
        <f t="shared" si="5"/>
        <v>0</v>
      </c>
      <c r="V227" s="43"/>
      <c r="W227" s="43"/>
      <c r="X227" s="43"/>
    </row>
    <row r="228" spans="1:24" ht="14.25" customHeight="1">
      <c r="A228" s="295"/>
      <c r="B228" s="166"/>
      <c r="C228" s="295"/>
      <c r="D228" s="295"/>
      <c r="E228" s="444"/>
      <c r="F228" s="144"/>
      <c r="G228" s="144"/>
      <c r="H228" s="295"/>
      <c r="I228" s="295"/>
      <c r="J228" s="295"/>
      <c r="K228" s="295"/>
      <c r="L228" s="295"/>
      <c r="M228" s="295"/>
      <c r="N228" s="295"/>
      <c r="O228" s="295"/>
      <c r="P228" s="295"/>
      <c r="Q228" s="295"/>
      <c r="R228" s="295"/>
      <c r="S228" s="190" t="s">
        <v>456</v>
      </c>
      <c r="T228" s="43">
        <f t="shared" si="4"/>
        <v>1</v>
      </c>
      <c r="U228" s="167">
        <f t="shared" si="5"/>
        <v>0</v>
      </c>
      <c r="V228" s="43"/>
      <c r="W228" s="43"/>
      <c r="X228" s="43"/>
    </row>
    <row r="229" spans="1:24" ht="14.25" customHeight="1">
      <c r="A229" s="295"/>
      <c r="B229" s="166"/>
      <c r="C229" s="295"/>
      <c r="D229" s="295"/>
      <c r="E229" s="444"/>
      <c r="F229" s="144"/>
      <c r="G229" s="144"/>
      <c r="H229" s="295"/>
      <c r="I229" s="295"/>
      <c r="J229" s="295"/>
      <c r="K229" s="295"/>
      <c r="L229" s="295"/>
      <c r="M229" s="295"/>
      <c r="N229" s="295"/>
      <c r="O229" s="295"/>
      <c r="P229" s="295"/>
      <c r="Q229" s="295"/>
      <c r="R229" s="295"/>
      <c r="S229" s="190" t="s">
        <v>459</v>
      </c>
      <c r="T229" s="43">
        <f t="shared" si="4"/>
        <v>1</v>
      </c>
      <c r="U229" s="167">
        <f t="shared" si="5"/>
        <v>0</v>
      </c>
      <c r="V229" s="43"/>
      <c r="W229" s="43"/>
      <c r="X229" s="43"/>
    </row>
    <row r="230" spans="1:24" ht="14.25" customHeight="1">
      <c r="A230" s="295"/>
      <c r="B230" s="166"/>
      <c r="C230" s="295"/>
      <c r="D230" s="295"/>
      <c r="E230" s="444"/>
      <c r="F230" s="144"/>
      <c r="G230" s="144"/>
      <c r="H230" s="295"/>
      <c r="I230" s="295"/>
      <c r="J230" s="295"/>
      <c r="K230" s="295"/>
      <c r="L230" s="295"/>
      <c r="M230" s="295"/>
      <c r="N230" s="295"/>
      <c r="O230" s="295"/>
      <c r="P230" s="295"/>
      <c r="Q230" s="295"/>
      <c r="R230" s="295"/>
      <c r="S230" s="190" t="s">
        <v>462</v>
      </c>
      <c r="T230" s="43">
        <f t="shared" si="4"/>
        <v>1</v>
      </c>
      <c r="U230" s="167">
        <f t="shared" si="5"/>
        <v>0</v>
      </c>
      <c r="V230" s="43"/>
      <c r="W230" s="43"/>
      <c r="X230" s="43"/>
    </row>
    <row r="231" spans="1:24" ht="14.25" customHeight="1">
      <c r="A231" s="295"/>
      <c r="B231" s="166"/>
      <c r="C231" s="295"/>
      <c r="D231" s="295"/>
      <c r="E231" s="444"/>
      <c r="F231" s="144"/>
      <c r="G231" s="144"/>
      <c r="H231" s="295"/>
      <c r="I231" s="295"/>
      <c r="J231" s="295"/>
      <c r="K231" s="295"/>
      <c r="L231" s="295"/>
      <c r="M231" s="295"/>
      <c r="N231" s="295"/>
      <c r="O231" s="295"/>
      <c r="P231" s="295"/>
      <c r="Q231" s="295"/>
      <c r="R231" s="295"/>
      <c r="S231" s="190" t="s">
        <v>465</v>
      </c>
      <c r="T231" s="43">
        <f t="shared" si="4"/>
        <v>1</v>
      </c>
      <c r="U231" s="167">
        <f t="shared" si="5"/>
        <v>0</v>
      </c>
      <c r="V231" s="43"/>
      <c r="W231" s="43"/>
      <c r="X231" s="43"/>
    </row>
    <row r="232" spans="1:24" ht="14.25" customHeight="1">
      <c r="A232" s="295"/>
      <c r="B232" s="166"/>
      <c r="C232" s="295"/>
      <c r="D232" s="295"/>
      <c r="E232" s="444"/>
      <c r="F232" s="144"/>
      <c r="G232" s="144"/>
      <c r="H232" s="295"/>
      <c r="I232" s="295"/>
      <c r="J232" s="295"/>
      <c r="K232" s="295"/>
      <c r="L232" s="295"/>
      <c r="M232" s="295"/>
      <c r="N232" s="295"/>
      <c r="O232" s="295"/>
      <c r="P232" s="295"/>
      <c r="Q232" s="295"/>
      <c r="R232" s="295"/>
      <c r="S232" s="190" t="s">
        <v>471</v>
      </c>
      <c r="T232" s="43">
        <f t="shared" si="4"/>
        <v>1</v>
      </c>
      <c r="U232" s="167">
        <f t="shared" si="5"/>
        <v>0</v>
      </c>
      <c r="V232" s="43"/>
      <c r="W232" s="43"/>
      <c r="X232" s="43"/>
    </row>
    <row r="233" spans="1:24" ht="14.25" customHeight="1">
      <c r="A233" s="295"/>
      <c r="B233" s="166"/>
      <c r="C233" s="295"/>
      <c r="D233" s="295"/>
      <c r="E233" s="444"/>
      <c r="F233" s="144"/>
      <c r="G233" s="144"/>
      <c r="H233" s="295"/>
      <c r="I233" s="295"/>
      <c r="J233" s="295"/>
      <c r="K233" s="295"/>
      <c r="L233" s="295"/>
      <c r="M233" s="295"/>
      <c r="N233" s="295"/>
      <c r="O233" s="295"/>
      <c r="P233" s="295"/>
      <c r="Q233" s="295"/>
      <c r="R233" s="295"/>
      <c r="S233" s="190" t="s">
        <v>468</v>
      </c>
      <c r="T233" s="43">
        <f t="shared" si="4"/>
        <v>1</v>
      </c>
      <c r="U233" s="167">
        <f t="shared" si="5"/>
        <v>0</v>
      </c>
      <c r="V233" s="43"/>
      <c r="W233" s="43"/>
      <c r="X233" s="43"/>
    </row>
    <row r="234" spans="1:24" ht="14.25" customHeight="1">
      <c r="A234" s="295"/>
      <c r="B234" s="166"/>
      <c r="C234" s="295"/>
      <c r="D234" s="295"/>
      <c r="E234" s="444"/>
      <c r="F234" s="144"/>
      <c r="G234" s="144"/>
      <c r="H234" s="295"/>
      <c r="I234" s="295"/>
      <c r="J234" s="295"/>
      <c r="K234" s="295"/>
      <c r="L234" s="295"/>
      <c r="M234" s="295"/>
      <c r="N234" s="295"/>
      <c r="O234" s="295"/>
      <c r="P234" s="295"/>
      <c r="Q234" s="295"/>
      <c r="R234" s="295"/>
      <c r="S234" s="190" t="s">
        <v>554</v>
      </c>
      <c r="T234" s="43">
        <f t="shared" si="4"/>
        <v>1</v>
      </c>
      <c r="U234" s="167">
        <f t="shared" si="5"/>
        <v>0</v>
      </c>
      <c r="V234" s="43"/>
      <c r="W234" s="43"/>
      <c r="X234" s="43"/>
    </row>
    <row r="235" spans="1:24" ht="14.25" customHeight="1">
      <c r="A235" s="295"/>
      <c r="B235" s="166"/>
      <c r="C235" s="295"/>
      <c r="D235" s="295"/>
      <c r="E235" s="444"/>
      <c r="F235" s="144"/>
      <c r="G235" s="144"/>
      <c r="H235" s="295"/>
      <c r="I235" s="295"/>
      <c r="J235" s="295"/>
      <c r="K235" s="295"/>
      <c r="L235" s="295"/>
      <c r="M235" s="295"/>
      <c r="N235" s="295"/>
      <c r="O235" s="295"/>
      <c r="P235" s="295"/>
      <c r="Q235" s="295"/>
      <c r="R235" s="295"/>
      <c r="S235" s="190" t="s">
        <v>480</v>
      </c>
      <c r="T235" s="43">
        <f t="shared" si="4"/>
        <v>1</v>
      </c>
      <c r="U235" s="167">
        <f t="shared" si="5"/>
        <v>0</v>
      </c>
      <c r="V235" s="43"/>
      <c r="W235" s="43"/>
      <c r="X235" s="43"/>
    </row>
    <row r="236" spans="1:24" ht="14.25" customHeight="1">
      <c r="A236" s="295"/>
      <c r="B236" s="166"/>
      <c r="C236" s="295"/>
      <c r="D236" s="295"/>
      <c r="E236" s="444"/>
      <c r="F236" s="144"/>
      <c r="G236" s="144"/>
      <c r="H236" s="295"/>
      <c r="I236" s="295"/>
      <c r="J236" s="295"/>
      <c r="K236" s="295"/>
      <c r="L236" s="295"/>
      <c r="M236" s="295"/>
      <c r="N236" s="295"/>
      <c r="O236" s="295"/>
      <c r="P236" s="295"/>
      <c r="Q236" s="295"/>
      <c r="R236" s="295"/>
      <c r="S236" s="190" t="s">
        <v>483</v>
      </c>
      <c r="T236" s="43">
        <f t="shared" si="4"/>
        <v>1</v>
      </c>
      <c r="U236" s="167">
        <f t="shared" si="5"/>
        <v>0</v>
      </c>
      <c r="V236" s="43"/>
      <c r="W236" s="43"/>
      <c r="X236" s="43"/>
    </row>
    <row r="237" spans="1:24" ht="14.25" customHeight="1">
      <c r="A237" s="295"/>
      <c r="B237" s="166"/>
      <c r="C237" s="295"/>
      <c r="D237" s="295"/>
      <c r="E237" s="444"/>
      <c r="F237" s="144"/>
      <c r="G237" s="144"/>
      <c r="H237" s="295"/>
      <c r="I237" s="295"/>
      <c r="J237" s="295"/>
      <c r="K237" s="295"/>
      <c r="L237" s="295"/>
      <c r="M237" s="295"/>
      <c r="N237" s="295"/>
      <c r="O237" s="295"/>
      <c r="P237" s="295"/>
      <c r="Q237" s="295"/>
      <c r="R237" s="295"/>
      <c r="S237" s="190" t="s">
        <v>487</v>
      </c>
      <c r="T237" s="43">
        <f t="shared" si="4"/>
        <v>1</v>
      </c>
      <c r="U237" s="167">
        <f t="shared" si="5"/>
        <v>0</v>
      </c>
      <c r="V237" s="43"/>
      <c r="W237" s="43"/>
      <c r="X237" s="43"/>
    </row>
    <row r="238" spans="1:24" ht="14.25" customHeight="1">
      <c r="A238" s="295"/>
      <c r="B238" s="166"/>
      <c r="C238" s="295"/>
      <c r="D238" s="295"/>
      <c r="E238" s="444"/>
      <c r="F238" s="144"/>
      <c r="G238" s="144"/>
      <c r="H238" s="295"/>
      <c r="I238" s="295"/>
      <c r="J238" s="295"/>
      <c r="K238" s="295"/>
      <c r="L238" s="295"/>
      <c r="M238" s="295"/>
      <c r="N238" s="295"/>
      <c r="O238" s="295"/>
      <c r="P238" s="295"/>
      <c r="Q238" s="295"/>
      <c r="R238" s="295"/>
      <c r="S238" s="190" t="s">
        <v>490</v>
      </c>
      <c r="T238" s="43">
        <f t="shared" si="4"/>
        <v>1</v>
      </c>
      <c r="U238" s="167">
        <f t="shared" si="5"/>
        <v>0</v>
      </c>
      <c r="V238" s="43"/>
      <c r="W238" s="43"/>
      <c r="X238" s="43"/>
    </row>
    <row r="239" spans="1:24" ht="14.25" customHeight="1">
      <c r="A239" s="295"/>
      <c r="B239" s="166"/>
      <c r="C239" s="295"/>
      <c r="D239" s="295"/>
      <c r="E239" s="444"/>
      <c r="F239" s="144"/>
      <c r="G239" s="144"/>
      <c r="H239" s="295"/>
      <c r="I239" s="295"/>
      <c r="J239" s="295"/>
      <c r="K239" s="295"/>
      <c r="L239" s="295"/>
      <c r="M239" s="295"/>
      <c r="N239" s="295"/>
      <c r="O239" s="295"/>
      <c r="P239" s="295"/>
      <c r="Q239" s="295"/>
      <c r="R239" s="295"/>
      <c r="S239" s="190" t="s">
        <v>493</v>
      </c>
      <c r="T239" s="43">
        <f t="shared" si="4"/>
        <v>1</v>
      </c>
      <c r="U239" s="167">
        <f t="shared" si="5"/>
        <v>0</v>
      </c>
      <c r="V239" s="43"/>
      <c r="W239" s="43"/>
      <c r="X239" s="43"/>
    </row>
    <row r="240" spans="1:24" ht="14.25" customHeight="1">
      <c r="A240" s="295"/>
      <c r="B240" s="166"/>
      <c r="C240" s="295"/>
      <c r="D240" s="295"/>
      <c r="E240" s="444"/>
      <c r="F240" s="144"/>
      <c r="G240" s="144"/>
      <c r="H240" s="295"/>
      <c r="I240" s="295"/>
      <c r="J240" s="295"/>
      <c r="K240" s="295"/>
      <c r="L240" s="295"/>
      <c r="M240" s="295"/>
      <c r="N240" s="295"/>
      <c r="O240" s="295"/>
      <c r="P240" s="295"/>
      <c r="Q240" s="295"/>
      <c r="R240" s="295"/>
      <c r="S240" s="190" t="s">
        <v>496</v>
      </c>
      <c r="T240" s="43">
        <f t="shared" si="4"/>
        <v>1</v>
      </c>
      <c r="U240" s="167">
        <f t="shared" si="5"/>
        <v>0</v>
      </c>
      <c r="V240" s="43"/>
      <c r="W240" s="43"/>
      <c r="X240" s="43"/>
    </row>
    <row r="241" spans="1:24" ht="14.25" customHeight="1">
      <c r="A241" s="295"/>
      <c r="B241" s="166"/>
      <c r="C241" s="295"/>
      <c r="D241" s="295"/>
      <c r="E241" s="444"/>
      <c r="F241" s="144"/>
      <c r="G241" s="144"/>
      <c r="H241" s="295"/>
      <c r="I241" s="295"/>
      <c r="J241" s="295"/>
      <c r="K241" s="295"/>
      <c r="L241" s="295"/>
      <c r="M241" s="295"/>
      <c r="N241" s="295"/>
      <c r="O241" s="295"/>
      <c r="P241" s="295"/>
      <c r="Q241" s="295"/>
      <c r="R241" s="295"/>
      <c r="S241" s="190" t="s">
        <v>500</v>
      </c>
      <c r="T241" s="43">
        <f t="shared" si="4"/>
        <v>1</v>
      </c>
      <c r="U241" s="167">
        <f t="shared" si="5"/>
        <v>0</v>
      </c>
      <c r="V241" s="43"/>
      <c r="W241" s="43"/>
      <c r="X241" s="43"/>
    </row>
    <row r="242" spans="1:24" ht="14.25" customHeight="1">
      <c r="A242" s="295"/>
      <c r="B242" s="166"/>
      <c r="C242" s="295"/>
      <c r="D242" s="295"/>
      <c r="E242" s="444"/>
      <c r="F242" s="144"/>
      <c r="G242" s="144"/>
      <c r="H242" s="295"/>
      <c r="I242" s="295"/>
      <c r="J242" s="295"/>
      <c r="K242" s="295"/>
      <c r="L242" s="295"/>
      <c r="M242" s="295"/>
      <c r="N242" s="295"/>
      <c r="O242" s="295"/>
      <c r="P242" s="295"/>
      <c r="Q242" s="295"/>
      <c r="R242" s="295"/>
      <c r="S242" s="190" t="s">
        <v>503</v>
      </c>
      <c r="T242" s="43">
        <f t="shared" si="4"/>
        <v>1</v>
      </c>
      <c r="U242" s="167">
        <f t="shared" si="5"/>
        <v>0</v>
      </c>
      <c r="V242" s="43"/>
      <c r="W242" s="43"/>
      <c r="X242" s="43"/>
    </row>
    <row r="243" spans="1:24" ht="14.25" customHeight="1">
      <c r="A243" s="295"/>
      <c r="B243" s="166"/>
      <c r="C243" s="295"/>
      <c r="D243" s="295"/>
      <c r="E243" s="444"/>
      <c r="F243" s="144"/>
      <c r="G243" s="144"/>
      <c r="H243" s="295"/>
      <c r="I243" s="295"/>
      <c r="J243" s="295"/>
      <c r="K243" s="295"/>
      <c r="L243" s="295"/>
      <c r="M243" s="295"/>
      <c r="N243" s="295"/>
      <c r="O243" s="295"/>
      <c r="P243" s="295"/>
      <c r="Q243" s="295"/>
      <c r="R243" s="295"/>
      <c r="S243" s="190" t="s">
        <v>364</v>
      </c>
      <c r="T243" s="43">
        <f t="shared" si="4"/>
        <v>1</v>
      </c>
      <c r="U243" s="167">
        <f t="shared" si="5"/>
        <v>0</v>
      </c>
      <c r="V243" s="43"/>
      <c r="W243" s="43"/>
      <c r="X243" s="43"/>
    </row>
    <row r="244" spans="1:24" ht="14.25" customHeight="1">
      <c r="A244" s="295"/>
      <c r="B244" s="166"/>
      <c r="C244" s="295"/>
      <c r="D244" s="295"/>
      <c r="E244" s="444"/>
      <c r="F244" s="144"/>
      <c r="G244" s="144"/>
      <c r="H244" s="295"/>
      <c r="I244" s="295"/>
      <c r="J244" s="295"/>
      <c r="K244" s="295"/>
      <c r="L244" s="295"/>
      <c r="M244" s="295"/>
      <c r="N244" s="295"/>
      <c r="O244" s="295"/>
      <c r="P244" s="295"/>
      <c r="Q244" s="295"/>
      <c r="R244" s="295"/>
      <c r="S244" s="190" t="s">
        <v>507</v>
      </c>
      <c r="T244" s="43">
        <f t="shared" si="4"/>
        <v>1</v>
      </c>
      <c r="U244" s="167">
        <f t="shared" si="5"/>
        <v>0</v>
      </c>
      <c r="V244" s="43"/>
      <c r="W244" s="43"/>
      <c r="X244" s="43"/>
    </row>
    <row r="245" spans="1:24" ht="14.25" customHeight="1">
      <c r="A245" s="295"/>
      <c r="B245" s="166"/>
      <c r="C245" s="295"/>
      <c r="D245" s="295"/>
      <c r="E245" s="444"/>
      <c r="F245" s="144"/>
      <c r="G245" s="144"/>
      <c r="H245" s="295"/>
      <c r="I245" s="295"/>
      <c r="J245" s="295"/>
      <c r="K245" s="295"/>
      <c r="L245" s="295"/>
      <c r="M245" s="295"/>
      <c r="N245" s="295"/>
      <c r="O245" s="295"/>
      <c r="P245" s="295"/>
      <c r="Q245" s="295"/>
      <c r="R245" s="295"/>
      <c r="S245" s="190" t="s">
        <v>320</v>
      </c>
      <c r="T245" s="43">
        <f t="shared" si="4"/>
        <v>1</v>
      </c>
      <c r="U245" s="167">
        <f t="shared" si="5"/>
        <v>0</v>
      </c>
      <c r="V245" s="43"/>
      <c r="W245" s="43"/>
      <c r="X245" s="43"/>
    </row>
    <row r="246" spans="1:24" ht="14.25" customHeight="1">
      <c r="A246" s="295"/>
      <c r="B246" s="166"/>
      <c r="C246" s="295"/>
      <c r="D246" s="295"/>
      <c r="E246" s="444"/>
      <c r="F246" s="144"/>
      <c r="G246" s="144"/>
      <c r="H246" s="295"/>
      <c r="I246" s="295"/>
      <c r="J246" s="295"/>
      <c r="K246" s="295"/>
      <c r="L246" s="295"/>
      <c r="M246" s="295"/>
      <c r="N246" s="295"/>
      <c r="O246" s="295"/>
      <c r="P246" s="295"/>
      <c r="Q246" s="295"/>
      <c r="R246" s="295"/>
      <c r="S246" s="190" t="s">
        <v>320</v>
      </c>
      <c r="T246" s="43">
        <f t="shared" si="4"/>
        <v>1</v>
      </c>
      <c r="U246" s="167">
        <f t="shared" si="5"/>
        <v>0</v>
      </c>
      <c r="V246" s="43"/>
      <c r="W246" s="43"/>
      <c r="X246" s="43"/>
    </row>
    <row r="247" spans="1:24" ht="14.25" customHeight="1">
      <c r="A247" s="295"/>
      <c r="B247" s="166"/>
      <c r="C247" s="295"/>
      <c r="D247" s="295"/>
      <c r="E247" s="444"/>
      <c r="F247" s="144"/>
      <c r="G247" s="144"/>
      <c r="H247" s="295"/>
      <c r="I247" s="295"/>
      <c r="J247" s="295"/>
      <c r="K247" s="295"/>
      <c r="L247" s="295"/>
      <c r="M247" s="295"/>
      <c r="N247" s="295"/>
      <c r="O247" s="295"/>
      <c r="P247" s="295"/>
      <c r="Q247" s="295"/>
      <c r="R247" s="295"/>
      <c r="S247" s="190" t="s">
        <v>320</v>
      </c>
      <c r="T247" s="43">
        <f t="shared" si="4"/>
        <v>1</v>
      </c>
      <c r="U247" s="167">
        <f t="shared" si="5"/>
        <v>0</v>
      </c>
      <c r="V247" s="43"/>
      <c r="W247" s="43"/>
      <c r="X247" s="43"/>
    </row>
    <row r="248" spans="1:24" ht="14.25" customHeight="1">
      <c r="A248" s="295"/>
      <c r="B248" s="166"/>
      <c r="C248" s="295"/>
      <c r="D248" s="295"/>
      <c r="E248" s="444"/>
      <c r="F248" s="144"/>
      <c r="G248" s="144"/>
      <c r="H248" s="295"/>
      <c r="I248" s="295"/>
      <c r="J248" s="295"/>
      <c r="K248" s="295"/>
      <c r="L248" s="295"/>
      <c r="M248" s="295"/>
      <c r="N248" s="295"/>
      <c r="O248" s="295"/>
      <c r="P248" s="295"/>
      <c r="Q248" s="295"/>
      <c r="R248" s="295"/>
      <c r="S248" s="190" t="s">
        <v>320</v>
      </c>
      <c r="T248" s="43">
        <f t="shared" si="4"/>
        <v>1</v>
      </c>
      <c r="U248" s="167">
        <f t="shared" si="5"/>
        <v>0</v>
      </c>
      <c r="V248" s="43"/>
      <c r="W248" s="43"/>
      <c r="X248" s="43"/>
    </row>
    <row r="249" spans="1:24" ht="14.25" customHeight="1">
      <c r="A249" s="295"/>
      <c r="B249" s="166"/>
      <c r="C249" s="295"/>
      <c r="D249" s="295"/>
      <c r="E249" s="444"/>
      <c r="F249" s="144"/>
      <c r="G249" s="144"/>
      <c r="H249" s="295"/>
      <c r="I249" s="295"/>
      <c r="J249" s="295"/>
      <c r="K249" s="295"/>
      <c r="L249" s="295"/>
      <c r="M249" s="295"/>
      <c r="N249" s="295"/>
      <c r="O249" s="295"/>
      <c r="P249" s="295"/>
      <c r="Q249" s="295"/>
      <c r="R249" s="295"/>
      <c r="S249" s="190" t="s">
        <v>320</v>
      </c>
      <c r="T249" s="43">
        <f t="shared" si="4"/>
        <v>1</v>
      </c>
      <c r="U249" s="167">
        <f t="shared" si="5"/>
        <v>0</v>
      </c>
      <c r="V249" s="43"/>
      <c r="W249" s="43"/>
      <c r="X249" s="43"/>
    </row>
    <row r="250" spans="1:24" ht="14.25" customHeight="1">
      <c r="A250" s="295"/>
      <c r="B250" s="166"/>
      <c r="C250" s="295"/>
      <c r="D250" s="295"/>
      <c r="E250" s="444"/>
      <c r="F250" s="144"/>
      <c r="G250" s="144"/>
      <c r="H250" s="295"/>
      <c r="I250" s="295"/>
      <c r="J250" s="295"/>
      <c r="K250" s="295"/>
      <c r="L250" s="295"/>
      <c r="M250" s="295"/>
      <c r="N250" s="295"/>
      <c r="O250" s="295"/>
      <c r="P250" s="295"/>
      <c r="Q250" s="295"/>
      <c r="R250" s="295"/>
      <c r="S250" s="190" t="s">
        <v>320</v>
      </c>
      <c r="T250" s="43">
        <f t="shared" si="4"/>
        <v>1</v>
      </c>
      <c r="U250" s="167">
        <f t="shared" si="5"/>
        <v>0</v>
      </c>
      <c r="V250" s="43"/>
      <c r="W250" s="43"/>
      <c r="X250" s="43"/>
    </row>
    <row r="251" spans="1:24" ht="14.25" customHeight="1">
      <c r="A251" s="295"/>
      <c r="B251" s="166"/>
      <c r="C251" s="295"/>
      <c r="D251" s="295"/>
      <c r="E251" s="444"/>
      <c r="F251" s="144"/>
      <c r="G251" s="144"/>
      <c r="H251" s="295"/>
      <c r="I251" s="295"/>
      <c r="J251" s="295"/>
      <c r="K251" s="295"/>
      <c r="L251" s="295"/>
      <c r="M251" s="295"/>
      <c r="N251" s="295"/>
      <c r="O251" s="295"/>
      <c r="P251" s="295"/>
      <c r="Q251" s="295"/>
      <c r="R251" s="295"/>
      <c r="S251" s="190" t="s">
        <v>320</v>
      </c>
      <c r="T251" s="43">
        <f t="shared" si="4"/>
        <v>1</v>
      </c>
      <c r="U251" s="167">
        <f t="shared" si="5"/>
        <v>0</v>
      </c>
      <c r="V251" s="43"/>
      <c r="W251" s="43"/>
      <c r="X251" s="43"/>
    </row>
    <row r="252" spans="1:24" ht="14.25" customHeight="1">
      <c r="A252" s="295"/>
      <c r="B252" s="166"/>
      <c r="C252" s="295"/>
      <c r="D252" s="295"/>
      <c r="E252" s="444"/>
      <c r="F252" s="144"/>
      <c r="G252" s="144"/>
      <c r="H252" s="295"/>
      <c r="I252" s="295"/>
      <c r="J252" s="295"/>
      <c r="K252" s="295"/>
      <c r="L252" s="295"/>
      <c r="M252" s="295"/>
      <c r="N252" s="295"/>
      <c r="O252" s="295"/>
      <c r="P252" s="295"/>
      <c r="Q252" s="295"/>
      <c r="R252" s="295"/>
      <c r="S252" s="190" t="s">
        <v>320</v>
      </c>
      <c r="T252" s="43">
        <f t="shared" si="4"/>
        <v>1</v>
      </c>
      <c r="U252" s="167">
        <f t="shared" si="5"/>
        <v>0</v>
      </c>
      <c r="V252" s="43"/>
      <c r="W252" s="43"/>
      <c r="X252" s="43"/>
    </row>
    <row r="253" spans="1:24" ht="14.25" customHeight="1">
      <c r="A253" s="295"/>
      <c r="B253" s="166"/>
      <c r="C253" s="295"/>
      <c r="D253" s="295"/>
      <c r="E253" s="444"/>
      <c r="F253" s="144"/>
      <c r="G253" s="144"/>
      <c r="H253" s="295"/>
      <c r="I253" s="295"/>
      <c r="J253" s="295"/>
      <c r="K253" s="295"/>
      <c r="L253" s="295"/>
      <c r="M253" s="295"/>
      <c r="N253" s="295"/>
      <c r="O253" s="295"/>
      <c r="P253" s="295"/>
      <c r="Q253" s="295"/>
      <c r="R253" s="295"/>
      <c r="S253" s="190"/>
      <c r="T253" s="43">
        <f t="shared" si="4"/>
        <v>1</v>
      </c>
      <c r="U253" s="167">
        <f t="shared" si="5"/>
        <v>0</v>
      </c>
      <c r="V253" s="43"/>
      <c r="W253" s="43"/>
      <c r="X253" s="43"/>
    </row>
    <row r="254" spans="1:24" ht="14.25" customHeight="1">
      <c r="A254" s="295"/>
      <c r="B254" s="166"/>
      <c r="C254" s="295"/>
      <c r="D254" s="295"/>
      <c r="E254" s="444"/>
      <c r="F254" s="144"/>
      <c r="G254" s="144"/>
      <c r="H254" s="295"/>
      <c r="I254" s="295"/>
      <c r="J254" s="295"/>
      <c r="K254" s="295"/>
      <c r="L254" s="295"/>
      <c r="M254" s="295"/>
      <c r="N254" s="295"/>
      <c r="O254" s="295"/>
      <c r="P254" s="295"/>
      <c r="Q254" s="295"/>
      <c r="R254" s="295"/>
      <c r="S254" s="190" t="s">
        <v>1863</v>
      </c>
      <c r="T254" s="43">
        <f t="shared" si="4"/>
        <v>1</v>
      </c>
      <c r="U254" s="167">
        <f t="shared" si="5"/>
        <v>0</v>
      </c>
      <c r="V254" s="43"/>
      <c r="W254" s="43"/>
      <c r="X254" s="43"/>
    </row>
    <row r="255" spans="1:24" ht="14.25" customHeight="1">
      <c r="A255" s="295"/>
      <c r="B255" s="166"/>
      <c r="C255" s="295"/>
      <c r="D255" s="295"/>
      <c r="E255" s="444"/>
      <c r="F255" s="144"/>
      <c r="G255" s="144"/>
      <c r="H255" s="295"/>
      <c r="I255" s="295"/>
      <c r="J255" s="295"/>
      <c r="K255" s="295"/>
      <c r="L255" s="295"/>
      <c r="M255" s="295"/>
      <c r="N255" s="295"/>
      <c r="O255" s="295"/>
      <c r="P255" s="295"/>
      <c r="Q255" s="295"/>
      <c r="R255" s="295"/>
      <c r="S255" s="190" t="s">
        <v>390</v>
      </c>
      <c r="T255" s="43">
        <f t="shared" si="4"/>
        <v>1</v>
      </c>
      <c r="U255" s="167">
        <f t="shared" si="5"/>
        <v>0</v>
      </c>
      <c r="V255" s="43"/>
      <c r="W255" s="43"/>
      <c r="X255" s="43"/>
    </row>
    <row r="256" spans="1:24" ht="14.25" customHeight="1">
      <c r="A256" s="295"/>
      <c r="B256" s="166"/>
      <c r="C256" s="295"/>
      <c r="D256" s="295"/>
      <c r="E256" s="444"/>
      <c r="F256" s="144"/>
      <c r="G256" s="144"/>
      <c r="H256" s="295"/>
      <c r="I256" s="295"/>
      <c r="J256" s="295"/>
      <c r="K256" s="295"/>
      <c r="L256" s="295"/>
      <c r="M256" s="295"/>
      <c r="N256" s="295"/>
      <c r="O256" s="295"/>
      <c r="P256" s="295"/>
      <c r="Q256" s="295"/>
      <c r="R256" s="295"/>
      <c r="S256" s="190" t="s">
        <v>1272</v>
      </c>
      <c r="T256" s="43">
        <f t="shared" si="4"/>
        <v>1</v>
      </c>
      <c r="U256" s="167">
        <f t="shared" si="5"/>
        <v>0</v>
      </c>
      <c r="V256" s="43"/>
      <c r="W256" s="43"/>
      <c r="X256" s="43"/>
    </row>
    <row r="257" spans="1:24" ht="14.25" customHeight="1">
      <c r="A257" s="295"/>
      <c r="B257" s="166"/>
      <c r="C257" s="295"/>
      <c r="D257" s="295"/>
      <c r="E257" s="444"/>
      <c r="F257" s="144"/>
      <c r="G257" s="144"/>
      <c r="H257" s="295"/>
      <c r="I257" s="295"/>
      <c r="J257" s="295"/>
      <c r="K257" s="295"/>
      <c r="L257" s="295"/>
      <c r="M257" s="295"/>
      <c r="N257" s="295"/>
      <c r="O257" s="295"/>
      <c r="P257" s="295"/>
      <c r="Q257" s="295"/>
      <c r="R257" s="295"/>
      <c r="S257" s="190" t="s">
        <v>942</v>
      </c>
      <c r="T257" s="43">
        <f t="shared" si="4"/>
        <v>1</v>
      </c>
      <c r="U257" s="167">
        <f t="shared" si="5"/>
        <v>0</v>
      </c>
      <c r="V257" s="43"/>
      <c r="W257" s="43"/>
      <c r="X257" s="43"/>
    </row>
    <row r="258" spans="1:24" ht="14.25" customHeight="1">
      <c r="A258" s="295"/>
      <c r="B258" s="166"/>
      <c r="C258" s="295"/>
      <c r="D258" s="295"/>
      <c r="E258" s="444"/>
      <c r="F258" s="144"/>
      <c r="G258" s="144"/>
      <c r="H258" s="295"/>
      <c r="I258" s="295"/>
      <c r="J258" s="295"/>
      <c r="K258" s="295"/>
      <c r="L258" s="295"/>
      <c r="M258" s="295"/>
      <c r="N258" s="295"/>
      <c r="O258" s="295"/>
      <c r="P258" s="295"/>
      <c r="Q258" s="295"/>
      <c r="R258" s="295"/>
      <c r="S258" s="190"/>
      <c r="T258" s="43">
        <f t="shared" si="4"/>
        <v>1</v>
      </c>
      <c r="U258" s="167">
        <f t="shared" si="5"/>
        <v>0</v>
      </c>
      <c r="V258" s="167"/>
      <c r="W258" s="43"/>
      <c r="X258" s="43"/>
    </row>
    <row r="259" spans="1:24" ht="14.25" customHeight="1">
      <c r="A259" s="295"/>
      <c r="B259" s="166"/>
      <c r="C259" s="295"/>
      <c r="D259" s="295"/>
      <c r="E259" s="444"/>
      <c r="F259" s="144"/>
      <c r="G259" s="144"/>
      <c r="H259" s="295"/>
      <c r="I259" s="295"/>
      <c r="J259" s="295"/>
      <c r="K259" s="295"/>
      <c r="L259" s="295"/>
      <c r="M259" s="295"/>
      <c r="N259" s="295"/>
      <c r="O259" s="295"/>
      <c r="P259" s="295"/>
      <c r="Q259" s="295"/>
      <c r="R259" s="295"/>
      <c r="S259" s="190" t="s">
        <v>390</v>
      </c>
      <c r="T259" s="43">
        <f t="shared" si="4"/>
        <v>1</v>
      </c>
      <c r="U259" s="167">
        <f t="shared" si="5"/>
        <v>0</v>
      </c>
      <c r="V259" s="43"/>
      <c r="W259" s="43"/>
      <c r="X259" s="43"/>
    </row>
    <row r="260" spans="1:24" ht="14.25" customHeight="1">
      <c r="A260" s="295"/>
      <c r="B260" s="166"/>
      <c r="C260" s="295"/>
      <c r="D260" s="295"/>
      <c r="E260" s="444"/>
      <c r="F260" s="144"/>
      <c r="G260" s="144"/>
      <c r="H260" s="295"/>
      <c r="I260" s="295"/>
      <c r="J260" s="295"/>
      <c r="K260" s="295"/>
      <c r="L260" s="295"/>
      <c r="M260" s="295"/>
      <c r="N260" s="295"/>
      <c r="O260" s="295"/>
      <c r="P260" s="295"/>
      <c r="Q260" s="295"/>
      <c r="R260" s="295"/>
      <c r="S260" s="190" t="s">
        <v>874</v>
      </c>
      <c r="T260" s="43">
        <f t="shared" si="4"/>
        <v>1</v>
      </c>
      <c r="U260" s="167">
        <f t="shared" si="5"/>
        <v>0</v>
      </c>
      <c r="V260" s="43"/>
      <c r="W260" s="43"/>
      <c r="X260" s="43"/>
    </row>
    <row r="261" spans="1:24" ht="14.25" customHeight="1">
      <c r="A261" s="295"/>
      <c r="B261" s="166"/>
      <c r="C261" s="295"/>
      <c r="D261" s="295"/>
      <c r="E261" s="444"/>
      <c r="F261" s="144"/>
      <c r="G261" s="144"/>
      <c r="H261" s="295"/>
      <c r="I261" s="295"/>
      <c r="J261" s="295"/>
      <c r="K261" s="295"/>
      <c r="L261" s="295"/>
      <c r="M261" s="295"/>
      <c r="N261" s="295"/>
      <c r="O261" s="295"/>
      <c r="P261" s="295"/>
      <c r="Q261" s="295"/>
      <c r="R261" s="295"/>
      <c r="S261" s="190"/>
      <c r="T261" s="43">
        <f t="shared" si="4"/>
        <v>1</v>
      </c>
      <c r="U261" s="167">
        <f t="shared" si="5"/>
        <v>0</v>
      </c>
      <c r="V261" s="43"/>
      <c r="W261" s="43"/>
      <c r="X261" s="43"/>
    </row>
    <row r="262" spans="1:24" ht="14.25" customHeight="1">
      <c r="A262" s="295"/>
      <c r="B262" s="166"/>
      <c r="C262" s="295"/>
      <c r="D262" s="295"/>
      <c r="E262" s="444"/>
      <c r="F262" s="144"/>
      <c r="G262" s="144"/>
      <c r="H262" s="295"/>
      <c r="I262" s="295"/>
      <c r="J262" s="295"/>
      <c r="K262" s="295"/>
      <c r="L262" s="295"/>
      <c r="M262" s="295"/>
      <c r="N262" s="295"/>
      <c r="O262" s="295"/>
      <c r="P262" s="295"/>
      <c r="Q262" s="295"/>
      <c r="R262" s="295"/>
      <c r="S262" s="190" t="s">
        <v>1525</v>
      </c>
      <c r="T262" s="43">
        <f t="shared" si="4"/>
        <v>1</v>
      </c>
      <c r="U262" s="167">
        <f t="shared" si="5"/>
        <v>0</v>
      </c>
      <c r="V262" s="167"/>
      <c r="W262" s="43"/>
      <c r="X262" s="43"/>
    </row>
    <row r="263" spans="1:24" ht="14.25" customHeight="1">
      <c r="A263" s="295"/>
      <c r="B263" s="166"/>
      <c r="C263" s="295"/>
      <c r="D263" s="295"/>
      <c r="E263" s="444"/>
      <c r="F263" s="144"/>
      <c r="G263" s="144"/>
      <c r="H263" s="295"/>
      <c r="I263" s="295"/>
      <c r="J263" s="295"/>
      <c r="K263" s="295"/>
      <c r="L263" s="295"/>
      <c r="M263" s="295"/>
      <c r="N263" s="295"/>
      <c r="O263" s="295"/>
      <c r="P263" s="295"/>
      <c r="Q263" s="295"/>
      <c r="R263" s="295"/>
      <c r="S263" s="190" t="s">
        <v>667</v>
      </c>
      <c r="T263" s="43">
        <f t="shared" si="4"/>
        <v>1</v>
      </c>
      <c r="U263" s="167">
        <f t="shared" si="5"/>
        <v>0</v>
      </c>
      <c r="V263" s="43"/>
      <c r="W263" s="43"/>
      <c r="X263" s="43"/>
    </row>
    <row r="264" spans="1:24" ht="14.25" customHeight="1">
      <c r="A264" s="295"/>
      <c r="B264" s="166"/>
      <c r="C264" s="295"/>
      <c r="D264" s="295"/>
      <c r="E264" s="444"/>
      <c r="F264" s="144"/>
      <c r="G264" s="144"/>
      <c r="H264" s="295"/>
      <c r="I264" s="295"/>
      <c r="J264" s="295"/>
      <c r="K264" s="295"/>
      <c r="L264" s="295"/>
      <c r="M264" s="295"/>
      <c r="N264" s="295"/>
      <c r="O264" s="295"/>
      <c r="P264" s="295"/>
      <c r="Q264" s="295"/>
      <c r="R264" s="295"/>
      <c r="S264" s="190" t="s">
        <v>329</v>
      </c>
      <c r="T264" s="43">
        <f t="shared" si="4"/>
        <v>1</v>
      </c>
      <c r="U264" s="167">
        <f t="shared" si="5"/>
        <v>0</v>
      </c>
      <c r="V264" s="43"/>
      <c r="W264" s="43"/>
      <c r="X264" s="43"/>
    </row>
    <row r="265" spans="1:24" ht="14.25" customHeight="1">
      <c r="A265" s="295"/>
      <c r="B265" s="166"/>
      <c r="C265" s="295"/>
      <c r="D265" s="295"/>
      <c r="E265" s="444"/>
      <c r="F265" s="144"/>
      <c r="G265" s="144"/>
      <c r="H265" s="295"/>
      <c r="I265" s="295"/>
      <c r="J265" s="295"/>
      <c r="K265" s="295"/>
      <c r="L265" s="295"/>
      <c r="M265" s="295"/>
      <c r="N265" s="295"/>
      <c r="O265" s="295"/>
      <c r="P265" s="295"/>
      <c r="Q265" s="295"/>
      <c r="R265" s="295"/>
      <c r="S265" s="190" t="s">
        <v>814</v>
      </c>
      <c r="T265" s="43">
        <f t="shared" si="4"/>
        <v>1</v>
      </c>
      <c r="U265" s="167">
        <f t="shared" si="5"/>
        <v>0</v>
      </c>
      <c r="V265" s="167"/>
      <c r="W265" s="43"/>
      <c r="X265" s="43"/>
    </row>
    <row r="266" spans="1:24" ht="14.25" customHeight="1">
      <c r="A266" s="295"/>
      <c r="B266" s="166"/>
      <c r="C266" s="295"/>
      <c r="D266" s="295"/>
      <c r="E266" s="444"/>
      <c r="F266" s="144"/>
      <c r="G266" s="144"/>
      <c r="H266" s="295"/>
      <c r="I266" s="295"/>
      <c r="J266" s="295"/>
      <c r="K266" s="295"/>
      <c r="L266" s="295"/>
      <c r="M266" s="295"/>
      <c r="N266" s="295"/>
      <c r="O266" s="295"/>
      <c r="P266" s="295"/>
      <c r="Q266" s="295"/>
      <c r="R266" s="295"/>
      <c r="S266" s="190" t="s">
        <v>864</v>
      </c>
      <c r="T266" s="43">
        <f t="shared" si="4"/>
        <v>1</v>
      </c>
      <c r="U266" s="167">
        <f t="shared" si="5"/>
        <v>0</v>
      </c>
      <c r="V266" s="43"/>
      <c r="W266" s="43"/>
      <c r="X266" s="43"/>
    </row>
    <row r="267" spans="1:24" ht="14.25" customHeight="1">
      <c r="A267" s="295"/>
      <c r="B267" s="166"/>
      <c r="C267" s="295"/>
      <c r="D267" s="295"/>
      <c r="E267" s="444"/>
      <c r="F267" s="144"/>
      <c r="G267" s="144"/>
      <c r="H267" s="295"/>
      <c r="I267" s="295"/>
      <c r="J267" s="295"/>
      <c r="K267" s="295"/>
      <c r="L267" s="295"/>
      <c r="M267" s="295"/>
      <c r="N267" s="295"/>
      <c r="O267" s="295"/>
      <c r="P267" s="295"/>
      <c r="Q267" s="295"/>
      <c r="R267" s="295"/>
      <c r="S267" s="190" t="s">
        <v>672</v>
      </c>
      <c r="T267" s="43">
        <f t="shared" si="4"/>
        <v>1</v>
      </c>
      <c r="U267" s="167">
        <f t="shared" si="5"/>
        <v>0</v>
      </c>
      <c r="V267" s="43"/>
      <c r="W267" s="43"/>
      <c r="X267" s="43"/>
    </row>
    <row r="268" spans="1:24" ht="14.25" customHeight="1">
      <c r="A268" s="295"/>
      <c r="B268" s="166"/>
      <c r="C268" s="295"/>
      <c r="D268" s="295"/>
      <c r="E268" s="444"/>
      <c r="F268" s="144"/>
      <c r="G268" s="144"/>
      <c r="H268" s="295"/>
      <c r="I268" s="295"/>
      <c r="J268" s="295"/>
      <c r="K268" s="295"/>
      <c r="L268" s="295"/>
      <c r="M268" s="295"/>
      <c r="N268" s="295"/>
      <c r="O268" s="295"/>
      <c r="P268" s="295"/>
      <c r="Q268" s="295"/>
      <c r="R268" s="295"/>
      <c r="S268" s="190" t="s">
        <v>676</v>
      </c>
      <c r="T268" s="43">
        <f t="shared" si="4"/>
        <v>1</v>
      </c>
      <c r="U268" s="167">
        <f t="shared" si="5"/>
        <v>0</v>
      </c>
      <c r="V268" s="43"/>
      <c r="W268" s="43"/>
      <c r="X268" s="43"/>
    </row>
    <row r="269" spans="1:24" ht="14.25" customHeight="1">
      <c r="A269" s="295"/>
      <c r="B269" s="166"/>
      <c r="C269" s="295"/>
      <c r="D269" s="295"/>
      <c r="E269" s="444"/>
      <c r="F269" s="144"/>
      <c r="G269" s="144"/>
      <c r="H269" s="295"/>
      <c r="I269" s="295"/>
      <c r="J269" s="295"/>
      <c r="K269" s="295"/>
      <c r="L269" s="295"/>
      <c r="M269" s="295"/>
      <c r="N269" s="295"/>
      <c r="O269" s="295"/>
      <c r="P269" s="295"/>
      <c r="Q269" s="295"/>
      <c r="R269" s="295"/>
      <c r="S269" s="190" t="s">
        <v>1864</v>
      </c>
      <c r="T269" s="43">
        <f t="shared" si="4"/>
        <v>1</v>
      </c>
      <c r="U269" s="167">
        <f t="shared" si="5"/>
        <v>0</v>
      </c>
      <c r="V269" s="43"/>
      <c r="W269" s="43"/>
      <c r="X269" s="43"/>
    </row>
    <row r="270" spans="1:24" ht="14.25" customHeight="1">
      <c r="A270" s="295"/>
      <c r="B270" s="166"/>
      <c r="C270" s="295"/>
      <c r="D270" s="295"/>
      <c r="E270" s="444"/>
      <c r="F270" s="144"/>
      <c r="G270" s="144"/>
      <c r="H270" s="295"/>
      <c r="I270" s="295"/>
      <c r="J270" s="295"/>
      <c r="K270" s="295"/>
      <c r="L270" s="295"/>
      <c r="M270" s="295"/>
      <c r="N270" s="295"/>
      <c r="O270" s="295"/>
      <c r="P270" s="295"/>
      <c r="Q270" s="295"/>
      <c r="R270" s="295"/>
      <c r="S270" s="190" t="s">
        <v>680</v>
      </c>
      <c r="T270" s="43">
        <f t="shared" si="4"/>
        <v>1</v>
      </c>
      <c r="U270" s="167">
        <f t="shared" si="5"/>
        <v>0</v>
      </c>
      <c r="V270" s="43"/>
      <c r="W270" s="43"/>
      <c r="X270" s="43"/>
    </row>
    <row r="271" spans="1:24" ht="14.25" customHeight="1">
      <c r="A271" s="295"/>
      <c r="B271" s="166"/>
      <c r="C271" s="295"/>
      <c r="D271" s="295"/>
      <c r="E271" s="444"/>
      <c r="F271" s="144"/>
      <c r="G271" s="144"/>
      <c r="H271" s="295"/>
      <c r="I271" s="295"/>
      <c r="J271" s="295"/>
      <c r="K271" s="295"/>
      <c r="L271" s="295"/>
      <c r="M271" s="295"/>
      <c r="N271" s="295"/>
      <c r="O271" s="295"/>
      <c r="P271" s="295"/>
      <c r="Q271" s="295"/>
      <c r="R271" s="295"/>
      <c r="S271" s="190" t="s">
        <v>700</v>
      </c>
      <c r="T271" s="43">
        <f t="shared" si="4"/>
        <v>1</v>
      </c>
      <c r="U271" s="167">
        <f t="shared" si="5"/>
        <v>0</v>
      </c>
      <c r="V271" s="43"/>
      <c r="W271" s="43"/>
      <c r="X271" s="43"/>
    </row>
    <row r="272" spans="1:24" ht="14.25" customHeight="1">
      <c r="A272" s="295"/>
      <c r="B272" s="166"/>
      <c r="C272" s="295"/>
      <c r="D272" s="295"/>
      <c r="E272" s="444"/>
      <c r="F272" s="144"/>
      <c r="G272" s="144"/>
      <c r="H272" s="295"/>
      <c r="I272" s="295"/>
      <c r="J272" s="295"/>
      <c r="K272" s="295"/>
      <c r="L272" s="295"/>
      <c r="M272" s="295"/>
      <c r="N272" s="295"/>
      <c r="O272" s="295"/>
      <c r="P272" s="295"/>
      <c r="Q272" s="295"/>
      <c r="R272" s="295"/>
      <c r="S272" s="190" t="s">
        <v>759</v>
      </c>
      <c r="T272" s="43">
        <f t="shared" si="4"/>
        <v>1</v>
      </c>
      <c r="U272" s="167">
        <f t="shared" si="5"/>
        <v>0</v>
      </c>
      <c r="V272" s="43"/>
      <c r="W272" s="43"/>
      <c r="X272" s="43"/>
    </row>
    <row r="273" spans="1:24" ht="14.25" customHeight="1">
      <c r="A273" s="295"/>
      <c r="B273" s="166"/>
      <c r="C273" s="295"/>
      <c r="D273" s="295"/>
      <c r="E273" s="444"/>
      <c r="F273" s="144"/>
      <c r="G273" s="144"/>
      <c r="H273" s="295"/>
      <c r="I273" s="295"/>
      <c r="J273" s="295"/>
      <c r="K273" s="295"/>
      <c r="L273" s="295"/>
      <c r="M273" s="295"/>
      <c r="N273" s="295"/>
      <c r="O273" s="295"/>
      <c r="P273" s="295"/>
      <c r="Q273" s="295"/>
      <c r="R273" s="295"/>
      <c r="S273" s="190" t="s">
        <v>684</v>
      </c>
      <c r="T273" s="43">
        <f t="shared" ref="T273:T527" si="6">MONTH(B273)</f>
        <v>1</v>
      </c>
      <c r="U273" s="167">
        <f t="shared" ref="U273:U527" si="7">IF(V273="",B273,V273)</f>
        <v>0</v>
      </c>
      <c r="V273" s="43"/>
      <c r="W273" s="43"/>
      <c r="X273" s="43"/>
    </row>
    <row r="274" spans="1:24" ht="14.25" customHeight="1">
      <c r="A274" s="295"/>
      <c r="B274" s="166"/>
      <c r="C274" s="295"/>
      <c r="D274" s="295"/>
      <c r="E274" s="444"/>
      <c r="F274" s="144"/>
      <c r="G274" s="144"/>
      <c r="H274" s="295"/>
      <c r="I274" s="295"/>
      <c r="J274" s="295"/>
      <c r="K274" s="295"/>
      <c r="L274" s="295"/>
      <c r="M274" s="295"/>
      <c r="N274" s="295"/>
      <c r="O274" s="295"/>
      <c r="P274" s="295"/>
      <c r="Q274" s="295"/>
      <c r="R274" s="295"/>
      <c r="S274" s="190" t="s">
        <v>798</v>
      </c>
      <c r="T274" s="43">
        <f t="shared" si="6"/>
        <v>1</v>
      </c>
      <c r="U274" s="167">
        <f t="shared" si="7"/>
        <v>0</v>
      </c>
      <c r="V274" s="167"/>
      <c r="W274" s="43"/>
      <c r="X274" s="43"/>
    </row>
    <row r="275" spans="1:24" ht="14.25" customHeight="1">
      <c r="A275" s="295"/>
      <c r="B275" s="166"/>
      <c r="C275" s="295"/>
      <c r="D275" s="295"/>
      <c r="E275" s="444"/>
      <c r="F275" s="144"/>
      <c r="G275" s="144"/>
      <c r="H275" s="295"/>
      <c r="I275" s="295"/>
      <c r="J275" s="295"/>
      <c r="K275" s="295"/>
      <c r="L275" s="295"/>
      <c r="M275" s="295"/>
      <c r="N275" s="295"/>
      <c r="O275" s="295"/>
      <c r="P275" s="295"/>
      <c r="Q275" s="295"/>
      <c r="R275" s="295"/>
      <c r="S275" s="190" t="s">
        <v>689</v>
      </c>
      <c r="T275" s="43">
        <f t="shared" si="6"/>
        <v>1</v>
      </c>
      <c r="U275" s="167">
        <f t="shared" si="7"/>
        <v>0</v>
      </c>
      <c r="V275" s="43"/>
      <c r="W275" s="43"/>
      <c r="X275" s="43"/>
    </row>
    <row r="276" spans="1:24" ht="14.25" customHeight="1">
      <c r="A276" s="295"/>
      <c r="B276" s="166"/>
      <c r="C276" s="295"/>
      <c r="D276" s="295"/>
      <c r="E276" s="444"/>
      <c r="F276" s="144"/>
      <c r="G276" s="144"/>
      <c r="H276" s="295"/>
      <c r="I276" s="295"/>
      <c r="J276" s="295"/>
      <c r="K276" s="295"/>
      <c r="L276" s="295"/>
      <c r="M276" s="295"/>
      <c r="N276" s="295"/>
      <c r="O276" s="295"/>
      <c r="P276" s="295"/>
      <c r="Q276" s="295"/>
      <c r="R276" s="295"/>
      <c r="S276" s="190" t="s">
        <v>693</v>
      </c>
      <c r="T276" s="43">
        <f t="shared" si="6"/>
        <v>1</v>
      </c>
      <c r="U276" s="167">
        <f t="shared" si="7"/>
        <v>0</v>
      </c>
      <c r="V276" s="43"/>
      <c r="W276" s="43"/>
      <c r="X276" s="43"/>
    </row>
    <row r="277" spans="1:24" ht="14.25" customHeight="1">
      <c r="A277" s="295"/>
      <c r="B277" s="166"/>
      <c r="C277" s="295"/>
      <c r="D277" s="295"/>
      <c r="E277" s="444"/>
      <c r="F277" s="144"/>
      <c r="G277" s="144"/>
      <c r="H277" s="295"/>
      <c r="I277" s="295"/>
      <c r="J277" s="295"/>
      <c r="K277" s="295"/>
      <c r="L277" s="295"/>
      <c r="M277" s="295"/>
      <c r="N277" s="295"/>
      <c r="O277" s="295"/>
      <c r="P277" s="295"/>
      <c r="Q277" s="295"/>
      <c r="R277" s="295"/>
      <c r="S277" s="190" t="s">
        <v>315</v>
      </c>
      <c r="T277" s="43">
        <f t="shared" si="6"/>
        <v>1</v>
      </c>
      <c r="U277" s="167">
        <f t="shared" si="7"/>
        <v>0</v>
      </c>
      <c r="V277" s="43"/>
      <c r="W277" s="43"/>
      <c r="X277" s="43"/>
    </row>
    <row r="278" spans="1:24" ht="14.25" customHeight="1">
      <c r="A278" s="295"/>
      <c r="B278" s="166"/>
      <c r="C278" s="295"/>
      <c r="D278" s="295"/>
      <c r="E278" s="444"/>
      <c r="F278" s="144"/>
      <c r="G278" s="144"/>
      <c r="H278" s="295"/>
      <c r="I278" s="295"/>
      <c r="J278" s="295"/>
      <c r="K278" s="295"/>
      <c r="L278" s="295"/>
      <c r="M278" s="295"/>
      <c r="N278" s="295"/>
      <c r="O278" s="295"/>
      <c r="P278" s="295"/>
      <c r="Q278" s="295"/>
      <c r="R278" s="295"/>
      <c r="S278" s="190" t="s">
        <v>1304</v>
      </c>
      <c r="T278" s="43">
        <f t="shared" si="6"/>
        <v>1</v>
      </c>
      <c r="U278" s="167">
        <f t="shared" si="7"/>
        <v>0</v>
      </c>
      <c r="V278" s="202"/>
      <c r="W278" s="43"/>
      <c r="X278" s="43"/>
    </row>
    <row r="279" spans="1:24" ht="14.25" customHeight="1">
      <c r="A279" s="295"/>
      <c r="B279" s="166"/>
      <c r="C279" s="295"/>
      <c r="D279" s="295"/>
      <c r="E279" s="444"/>
      <c r="F279" s="144"/>
      <c r="G279" s="144"/>
      <c r="H279" s="295"/>
      <c r="I279" s="295"/>
      <c r="J279" s="295"/>
      <c r="K279" s="295"/>
      <c r="L279" s="295"/>
      <c r="M279" s="295"/>
      <c r="N279" s="295"/>
      <c r="O279" s="295"/>
      <c r="P279" s="295"/>
      <c r="Q279" s="295"/>
      <c r="R279" s="295"/>
      <c r="S279" s="190" t="s">
        <v>855</v>
      </c>
      <c r="T279" s="43">
        <f t="shared" si="6"/>
        <v>1</v>
      </c>
      <c r="U279" s="167">
        <f t="shared" si="7"/>
        <v>0</v>
      </c>
      <c r="V279" s="167"/>
      <c r="W279" s="43"/>
      <c r="X279" s="43"/>
    </row>
    <row r="280" spans="1:24" ht="14.25" customHeight="1">
      <c r="A280" s="295"/>
      <c r="B280" s="166"/>
      <c r="C280" s="295"/>
      <c r="D280" s="295"/>
      <c r="E280" s="444"/>
      <c r="F280" s="144"/>
      <c r="G280" s="144"/>
      <c r="H280" s="295"/>
      <c r="I280" s="295"/>
      <c r="J280" s="295"/>
      <c r="K280" s="295"/>
      <c r="L280" s="295"/>
      <c r="M280" s="295"/>
      <c r="N280" s="295"/>
      <c r="O280" s="295"/>
      <c r="P280" s="295"/>
      <c r="Q280" s="295"/>
      <c r="R280" s="295"/>
      <c r="S280" s="190" t="s">
        <v>839</v>
      </c>
      <c r="T280" s="43">
        <f t="shared" si="6"/>
        <v>1</v>
      </c>
      <c r="U280" s="167">
        <f t="shared" si="7"/>
        <v>0</v>
      </c>
      <c r="V280" s="167"/>
      <c r="W280" s="43"/>
      <c r="X280" s="43"/>
    </row>
    <row r="281" spans="1:24" ht="14.25" customHeight="1">
      <c r="A281" s="295"/>
      <c r="B281" s="166"/>
      <c r="C281" s="295"/>
      <c r="D281" s="295"/>
      <c r="E281" s="444"/>
      <c r="F281" s="144"/>
      <c r="G281" s="144"/>
      <c r="H281" s="295"/>
      <c r="I281" s="295"/>
      <c r="J281" s="295"/>
      <c r="K281" s="295"/>
      <c r="L281" s="295"/>
      <c r="M281" s="295"/>
      <c r="N281" s="295"/>
      <c r="O281" s="295"/>
      <c r="P281" s="295"/>
      <c r="Q281" s="295"/>
      <c r="R281" s="295"/>
      <c r="S281" s="190" t="s">
        <v>754</v>
      </c>
      <c r="T281" s="43">
        <f t="shared" si="6"/>
        <v>1</v>
      </c>
      <c r="U281" s="167">
        <f t="shared" si="7"/>
        <v>0</v>
      </c>
      <c r="V281" s="43"/>
      <c r="W281" s="43"/>
      <c r="X281" s="43"/>
    </row>
    <row r="282" spans="1:24" ht="14.25" customHeight="1">
      <c r="A282" s="295"/>
      <c r="B282" s="166"/>
      <c r="C282" s="295"/>
      <c r="D282" s="295"/>
      <c r="E282" s="444"/>
      <c r="F282" s="144"/>
      <c r="G282" s="144"/>
      <c r="H282" s="295"/>
      <c r="I282" s="295"/>
      <c r="J282" s="295"/>
      <c r="K282" s="295"/>
      <c r="L282" s="295"/>
      <c r="M282" s="295"/>
      <c r="N282" s="295"/>
      <c r="O282" s="295"/>
      <c r="P282" s="295"/>
      <c r="Q282" s="295"/>
      <c r="R282" s="295"/>
      <c r="S282" s="190" t="s">
        <v>851</v>
      </c>
      <c r="T282" s="43">
        <f t="shared" si="6"/>
        <v>1</v>
      </c>
      <c r="U282" s="167">
        <f t="shared" si="7"/>
        <v>0</v>
      </c>
      <c r="V282" s="167"/>
      <c r="W282" s="43"/>
      <c r="X282" s="43"/>
    </row>
    <row r="283" spans="1:24" ht="14.25" customHeight="1">
      <c r="A283" s="295"/>
      <c r="B283" s="166"/>
      <c r="C283" s="295"/>
      <c r="D283" s="295"/>
      <c r="E283" s="444"/>
      <c r="F283" s="144"/>
      <c r="G283" s="144"/>
      <c r="H283" s="295"/>
      <c r="I283" s="295"/>
      <c r="J283" s="295"/>
      <c r="K283" s="295"/>
      <c r="L283" s="295"/>
      <c r="M283" s="295"/>
      <c r="N283" s="295"/>
      <c r="O283" s="295"/>
      <c r="P283" s="295"/>
      <c r="Q283" s="295"/>
      <c r="R283" s="295"/>
      <c r="S283" s="190" t="s">
        <v>311</v>
      </c>
      <c r="T283" s="43">
        <f t="shared" si="6"/>
        <v>1</v>
      </c>
      <c r="U283" s="167">
        <f t="shared" si="7"/>
        <v>0</v>
      </c>
      <c r="V283" s="43"/>
      <c r="W283" s="43"/>
      <c r="X283" s="43"/>
    </row>
    <row r="284" spans="1:24" ht="14.25" customHeight="1">
      <c r="A284" s="295"/>
      <c r="B284" s="166"/>
      <c r="C284" s="295"/>
      <c r="D284" s="295"/>
      <c r="E284" s="444"/>
      <c r="F284" s="144"/>
      <c r="G284" s="144"/>
      <c r="H284" s="295"/>
      <c r="I284" s="295"/>
      <c r="J284" s="295"/>
      <c r="K284" s="295"/>
      <c r="L284" s="295"/>
      <c r="M284" s="295"/>
      <c r="N284" s="295"/>
      <c r="O284" s="295"/>
      <c r="P284" s="295"/>
      <c r="Q284" s="295"/>
      <c r="R284" s="295"/>
      <c r="S284" s="190" t="s">
        <v>728</v>
      </c>
      <c r="T284" s="43">
        <f t="shared" si="6"/>
        <v>1</v>
      </c>
      <c r="U284" s="167">
        <f t="shared" si="7"/>
        <v>0</v>
      </c>
      <c r="V284" s="43"/>
      <c r="W284" s="43"/>
      <c r="X284" s="43"/>
    </row>
    <row r="285" spans="1:24" ht="14.25" customHeight="1">
      <c r="A285" s="295"/>
      <c r="B285" s="166"/>
      <c r="C285" s="295"/>
      <c r="D285" s="295"/>
      <c r="E285" s="444"/>
      <c r="F285" s="144"/>
      <c r="G285" s="144"/>
      <c r="H285" s="295"/>
      <c r="I285" s="295"/>
      <c r="J285" s="295"/>
      <c r="K285" s="295"/>
      <c r="L285" s="295"/>
      <c r="M285" s="295"/>
      <c r="N285" s="295"/>
      <c r="O285" s="295"/>
      <c r="P285" s="295"/>
      <c r="Q285" s="295"/>
      <c r="R285" s="295"/>
      <c r="S285" s="190" t="s">
        <v>703</v>
      </c>
      <c r="T285" s="43">
        <f t="shared" si="6"/>
        <v>1</v>
      </c>
      <c r="U285" s="167">
        <f t="shared" si="7"/>
        <v>0</v>
      </c>
      <c r="V285" s="43"/>
      <c r="W285" s="43"/>
      <c r="X285" s="43"/>
    </row>
    <row r="286" spans="1:24" ht="14.25" customHeight="1">
      <c r="A286" s="295"/>
      <c r="B286" s="166"/>
      <c r="C286" s="295"/>
      <c r="D286" s="295"/>
      <c r="E286" s="444"/>
      <c r="F286" s="144"/>
      <c r="G286" s="144"/>
      <c r="H286" s="295"/>
      <c r="I286" s="295"/>
      <c r="J286" s="295"/>
      <c r="K286" s="295"/>
      <c r="L286" s="295"/>
      <c r="M286" s="295"/>
      <c r="N286" s="295"/>
      <c r="O286" s="295"/>
      <c r="P286" s="295"/>
      <c r="Q286" s="295"/>
      <c r="R286" s="295"/>
      <c r="S286" s="190" t="s">
        <v>707</v>
      </c>
      <c r="T286" s="43">
        <f t="shared" si="6"/>
        <v>1</v>
      </c>
      <c r="U286" s="167">
        <f t="shared" si="7"/>
        <v>0</v>
      </c>
      <c r="V286" s="43"/>
      <c r="W286" s="43"/>
      <c r="X286" s="43"/>
    </row>
    <row r="287" spans="1:24" ht="14.25" customHeight="1">
      <c r="A287" s="295"/>
      <c r="B287" s="166"/>
      <c r="C287" s="295"/>
      <c r="D287" s="295"/>
      <c r="E287" s="444"/>
      <c r="F287" s="144"/>
      <c r="G287" s="144"/>
      <c r="H287" s="295"/>
      <c r="I287" s="295"/>
      <c r="J287" s="295"/>
      <c r="K287" s="295"/>
      <c r="L287" s="295"/>
      <c r="M287" s="295"/>
      <c r="N287" s="295"/>
      <c r="O287" s="295"/>
      <c r="P287" s="295"/>
      <c r="Q287" s="295"/>
      <c r="R287" s="295"/>
      <c r="S287" s="190" t="s">
        <v>818</v>
      </c>
      <c r="T287" s="43">
        <f t="shared" si="6"/>
        <v>1</v>
      </c>
      <c r="U287" s="167">
        <f t="shared" si="7"/>
        <v>0</v>
      </c>
      <c r="V287" s="167"/>
      <c r="W287" s="43"/>
      <c r="X287" s="43"/>
    </row>
    <row r="288" spans="1:24" ht="14.25" customHeight="1">
      <c r="A288" s="295"/>
      <c r="B288" s="166"/>
      <c r="C288" s="295"/>
      <c r="D288" s="295"/>
      <c r="E288" s="444"/>
      <c r="F288" s="144"/>
      <c r="G288" s="144"/>
      <c r="H288" s="295"/>
      <c r="I288" s="295"/>
      <c r="J288" s="295"/>
      <c r="K288" s="295"/>
      <c r="L288" s="295"/>
      <c r="M288" s="295"/>
      <c r="N288" s="295"/>
      <c r="O288" s="295"/>
      <c r="P288" s="295"/>
      <c r="Q288" s="295"/>
      <c r="R288" s="295"/>
      <c r="S288" s="190" t="s">
        <v>807</v>
      </c>
      <c r="T288" s="43">
        <f t="shared" si="6"/>
        <v>1</v>
      </c>
      <c r="U288" s="167">
        <f t="shared" si="7"/>
        <v>0</v>
      </c>
      <c r="V288" s="167"/>
      <c r="W288" s="43"/>
      <c r="X288" s="43"/>
    </row>
    <row r="289" spans="1:24" ht="14.25" customHeight="1">
      <c r="A289" s="295"/>
      <c r="B289" s="166"/>
      <c r="C289" s="295"/>
      <c r="D289" s="295"/>
      <c r="E289" s="444"/>
      <c r="F289" s="144"/>
      <c r="G289" s="144"/>
      <c r="H289" s="295"/>
      <c r="I289" s="295"/>
      <c r="J289" s="295"/>
      <c r="K289" s="295"/>
      <c r="L289" s="295"/>
      <c r="M289" s="295"/>
      <c r="N289" s="295"/>
      <c r="O289" s="295"/>
      <c r="P289" s="295"/>
      <c r="Q289" s="295"/>
      <c r="R289" s="295"/>
      <c r="S289" s="190" t="s">
        <v>1089</v>
      </c>
      <c r="T289" s="43">
        <f t="shared" si="6"/>
        <v>1</v>
      </c>
      <c r="U289" s="167">
        <f t="shared" si="7"/>
        <v>0</v>
      </c>
      <c r="V289" s="43"/>
      <c r="W289" s="43"/>
      <c r="X289" s="43"/>
    </row>
    <row r="290" spans="1:24" ht="14.25" customHeight="1">
      <c r="A290" s="295"/>
      <c r="B290" s="166"/>
      <c r="C290" s="295"/>
      <c r="D290" s="295"/>
      <c r="E290" s="444"/>
      <c r="F290" s="144"/>
      <c r="G290" s="144"/>
      <c r="H290" s="295"/>
      <c r="I290" s="295"/>
      <c r="J290" s="295"/>
      <c r="K290" s="295"/>
      <c r="L290" s="295"/>
      <c r="M290" s="295"/>
      <c r="N290" s="295"/>
      <c r="O290" s="295"/>
      <c r="P290" s="295"/>
      <c r="Q290" s="295"/>
      <c r="R290" s="295"/>
      <c r="S290" s="190" t="s">
        <v>750</v>
      </c>
      <c r="T290" s="43">
        <f t="shared" si="6"/>
        <v>1</v>
      </c>
      <c r="U290" s="167">
        <f t="shared" si="7"/>
        <v>0</v>
      </c>
      <c r="V290" s="43"/>
      <c r="W290" s="43"/>
      <c r="X290" s="43"/>
    </row>
    <row r="291" spans="1:24" ht="14.25" customHeight="1">
      <c r="A291" s="295"/>
      <c r="B291" s="166"/>
      <c r="C291" s="295"/>
      <c r="D291" s="295"/>
      <c r="E291" s="444"/>
      <c r="F291" s="144"/>
      <c r="G291" s="144"/>
      <c r="H291" s="295"/>
      <c r="I291" s="295"/>
      <c r="J291" s="295"/>
      <c r="K291" s="295"/>
      <c r="L291" s="295"/>
      <c r="M291" s="295"/>
      <c r="N291" s="295"/>
      <c r="O291" s="295"/>
      <c r="P291" s="295"/>
      <c r="Q291" s="295"/>
      <c r="R291" s="295"/>
      <c r="S291" s="190" t="s">
        <v>750</v>
      </c>
      <c r="T291" s="43">
        <f t="shared" si="6"/>
        <v>1</v>
      </c>
      <c r="U291" s="167">
        <f t="shared" si="7"/>
        <v>0</v>
      </c>
      <c r="V291" s="43"/>
      <c r="W291" s="43"/>
      <c r="X291" s="43"/>
    </row>
    <row r="292" spans="1:24" ht="14.25" customHeight="1">
      <c r="A292" s="295"/>
      <c r="B292" s="166"/>
      <c r="C292" s="295"/>
      <c r="D292" s="295"/>
      <c r="E292" s="444"/>
      <c r="F292" s="144"/>
      <c r="G292" s="144"/>
      <c r="H292" s="295"/>
      <c r="I292" s="295"/>
      <c r="J292" s="295"/>
      <c r="K292" s="295"/>
      <c r="L292" s="295"/>
      <c r="M292" s="295"/>
      <c r="N292" s="295"/>
      <c r="O292" s="295"/>
      <c r="P292" s="295"/>
      <c r="Q292" s="295"/>
      <c r="R292" s="295"/>
      <c r="S292" s="190" t="s">
        <v>1012</v>
      </c>
      <c r="T292" s="43">
        <f t="shared" si="6"/>
        <v>1</v>
      </c>
      <c r="U292" s="167">
        <f t="shared" si="7"/>
        <v>0</v>
      </c>
      <c r="V292" s="43"/>
      <c r="W292" s="43"/>
      <c r="X292" s="43"/>
    </row>
    <row r="293" spans="1:24" ht="14.25" customHeight="1">
      <c r="A293" s="295"/>
      <c r="B293" s="166"/>
      <c r="C293" s="295"/>
      <c r="D293" s="295"/>
      <c r="E293" s="444"/>
      <c r="F293" s="144"/>
      <c r="G293" s="144"/>
      <c r="H293" s="295"/>
      <c r="I293" s="295"/>
      <c r="J293" s="295"/>
      <c r="K293" s="295"/>
      <c r="L293" s="295"/>
      <c r="M293" s="295"/>
      <c r="N293" s="295"/>
      <c r="O293" s="295"/>
      <c r="P293" s="295"/>
      <c r="Q293" s="295"/>
      <c r="R293" s="295"/>
      <c r="S293" s="190"/>
      <c r="T293" s="43">
        <f t="shared" si="6"/>
        <v>1</v>
      </c>
      <c r="U293" s="167">
        <f t="shared" si="7"/>
        <v>0</v>
      </c>
      <c r="V293" s="43"/>
      <c r="W293" s="43"/>
      <c r="X293" s="43"/>
    </row>
    <row r="294" spans="1:24" ht="14.25" customHeight="1">
      <c r="A294" s="295"/>
      <c r="B294" s="166"/>
      <c r="C294" s="295"/>
      <c r="D294" s="295"/>
      <c r="E294" s="444"/>
      <c r="F294" s="144"/>
      <c r="G294" s="144"/>
      <c r="H294" s="295"/>
      <c r="I294" s="295"/>
      <c r="J294" s="295"/>
      <c r="K294" s="295"/>
      <c r="L294" s="295"/>
      <c r="M294" s="295"/>
      <c r="N294" s="295"/>
      <c r="O294" s="295"/>
      <c r="P294" s="295"/>
      <c r="Q294" s="295"/>
      <c r="R294" s="295"/>
      <c r="S294" s="190" t="s">
        <v>325</v>
      </c>
      <c r="T294" s="94">
        <f t="shared" si="6"/>
        <v>1</v>
      </c>
      <c r="U294" s="212">
        <f t="shared" si="7"/>
        <v>0</v>
      </c>
      <c r="V294" s="43"/>
      <c r="W294" s="43"/>
      <c r="X294" s="43"/>
    </row>
    <row r="295" spans="1:24" ht="14.25" customHeight="1">
      <c r="A295" s="295"/>
      <c r="B295" s="166"/>
      <c r="C295" s="295"/>
      <c r="D295" s="295"/>
      <c r="E295" s="444"/>
      <c r="F295" s="144"/>
      <c r="G295" s="144"/>
      <c r="H295" s="295"/>
      <c r="I295" s="295"/>
      <c r="J295" s="295"/>
      <c r="K295" s="295"/>
      <c r="L295" s="295"/>
      <c r="M295" s="295"/>
      <c r="N295" s="295"/>
      <c r="O295" s="295"/>
      <c r="P295" s="295"/>
      <c r="Q295" s="295"/>
      <c r="R295" s="295"/>
      <c r="S295" s="190" t="s">
        <v>325</v>
      </c>
      <c r="T295" s="94">
        <f t="shared" si="6"/>
        <v>1</v>
      </c>
      <c r="U295" s="212">
        <f t="shared" si="7"/>
        <v>0</v>
      </c>
      <c r="V295" s="43"/>
      <c r="W295" s="43"/>
      <c r="X295" s="43"/>
    </row>
    <row r="296" spans="1:24" ht="14.25" customHeight="1">
      <c r="A296" s="295"/>
      <c r="B296" s="166"/>
      <c r="C296" s="295"/>
      <c r="D296" s="295"/>
      <c r="E296" s="444"/>
      <c r="F296" s="144"/>
      <c r="G296" s="144"/>
      <c r="H296" s="295"/>
      <c r="I296" s="295"/>
      <c r="J296" s="295"/>
      <c r="K296" s="295"/>
      <c r="L296" s="295"/>
      <c r="M296" s="295"/>
      <c r="N296" s="295"/>
      <c r="O296" s="295"/>
      <c r="P296" s="295"/>
      <c r="Q296" s="295"/>
      <c r="R296" s="295"/>
      <c r="S296" s="190" t="s">
        <v>1620</v>
      </c>
      <c r="T296" s="43">
        <f t="shared" si="6"/>
        <v>1</v>
      </c>
      <c r="U296" s="167">
        <f t="shared" si="7"/>
        <v>0</v>
      </c>
      <c r="V296" s="43"/>
      <c r="W296" s="43"/>
      <c r="X296" s="43"/>
    </row>
    <row r="297" spans="1:24" ht="14.25" customHeight="1">
      <c r="A297" s="295"/>
      <c r="B297" s="166"/>
      <c r="C297" s="295"/>
      <c r="D297" s="295"/>
      <c r="E297" s="444"/>
      <c r="F297" s="144"/>
      <c r="G297" s="144"/>
      <c r="H297" s="295"/>
      <c r="I297" s="295"/>
      <c r="J297" s="295"/>
      <c r="K297" s="295"/>
      <c r="L297" s="295"/>
      <c r="M297" s="295"/>
      <c r="N297" s="295"/>
      <c r="O297" s="295"/>
      <c r="P297" s="295"/>
      <c r="Q297" s="295"/>
      <c r="R297" s="295"/>
      <c r="S297" s="190" t="s">
        <v>1360</v>
      </c>
      <c r="T297" s="43">
        <f t="shared" si="6"/>
        <v>1</v>
      </c>
      <c r="U297" s="167">
        <f t="shared" si="7"/>
        <v>0</v>
      </c>
      <c r="V297" s="43"/>
      <c r="W297" s="43"/>
      <c r="X297" s="43"/>
    </row>
    <row r="298" spans="1:24" ht="14.25" customHeight="1">
      <c r="A298" s="295"/>
      <c r="B298" s="166"/>
      <c r="C298" s="295"/>
      <c r="D298" s="295"/>
      <c r="E298" s="444"/>
      <c r="F298" s="144"/>
      <c r="G298" s="144"/>
      <c r="H298" s="295"/>
      <c r="I298" s="295"/>
      <c r="J298" s="295"/>
      <c r="K298" s="295"/>
      <c r="L298" s="295"/>
      <c r="M298" s="295"/>
      <c r="N298" s="295"/>
      <c r="O298" s="295"/>
      <c r="P298" s="295"/>
      <c r="Q298" s="295"/>
      <c r="R298" s="295"/>
      <c r="S298" s="190" t="s">
        <v>827</v>
      </c>
      <c r="T298" s="43">
        <f t="shared" si="6"/>
        <v>1</v>
      </c>
      <c r="U298" s="167">
        <f t="shared" si="7"/>
        <v>0</v>
      </c>
      <c r="V298" s="43"/>
      <c r="W298" s="43"/>
      <c r="X298" s="43"/>
    </row>
    <row r="299" spans="1:24" ht="14.25" customHeight="1">
      <c r="A299" s="295"/>
      <c r="B299" s="166"/>
      <c r="C299" s="295"/>
      <c r="D299" s="295"/>
      <c r="E299" s="444"/>
      <c r="F299" s="144"/>
      <c r="G299" s="144"/>
      <c r="H299" s="295"/>
      <c r="I299" s="295"/>
      <c r="J299" s="295"/>
      <c r="K299" s="295"/>
      <c r="L299" s="295"/>
      <c r="M299" s="295"/>
      <c r="N299" s="295"/>
      <c r="O299" s="295"/>
      <c r="P299" s="295"/>
      <c r="Q299" s="295"/>
      <c r="R299" s="295"/>
      <c r="S299" s="190" t="s">
        <v>834</v>
      </c>
      <c r="T299" s="43">
        <f t="shared" si="6"/>
        <v>1</v>
      </c>
      <c r="U299" s="167">
        <f t="shared" si="7"/>
        <v>0</v>
      </c>
      <c r="V299" s="43"/>
      <c r="W299" s="43"/>
      <c r="X299" s="43"/>
    </row>
    <row r="300" spans="1:24" ht="14.25" customHeight="1">
      <c r="A300" s="295"/>
      <c r="B300" s="166"/>
      <c r="C300" s="295"/>
      <c r="D300" s="295"/>
      <c r="E300" s="444"/>
      <c r="F300" s="144"/>
      <c r="G300" s="144"/>
      <c r="H300" s="295"/>
      <c r="I300" s="295"/>
      <c r="J300" s="295"/>
      <c r="K300" s="295"/>
      <c r="L300" s="295"/>
      <c r="M300" s="295"/>
      <c r="N300" s="295"/>
      <c r="O300" s="295"/>
      <c r="P300" s="295"/>
      <c r="Q300" s="295"/>
      <c r="R300" s="295"/>
      <c r="S300" s="190" t="s">
        <v>1096</v>
      </c>
      <c r="T300" s="43">
        <f t="shared" si="6"/>
        <v>1</v>
      </c>
      <c r="U300" s="167">
        <f t="shared" si="7"/>
        <v>0</v>
      </c>
      <c r="V300" s="43"/>
      <c r="W300" s="43"/>
      <c r="X300" s="43"/>
    </row>
    <row r="301" spans="1:24" ht="14.25" customHeight="1">
      <c r="A301" s="295"/>
      <c r="B301" s="166"/>
      <c r="C301" s="295"/>
      <c r="D301" s="295"/>
      <c r="E301" s="444"/>
      <c r="F301" s="144"/>
      <c r="G301" s="144"/>
      <c r="H301" s="295"/>
      <c r="I301" s="295"/>
      <c r="J301" s="295"/>
      <c r="K301" s="295"/>
      <c r="L301" s="295"/>
      <c r="M301" s="295"/>
      <c r="N301" s="295"/>
      <c r="O301" s="295"/>
      <c r="P301" s="295"/>
      <c r="Q301" s="295"/>
      <c r="R301" s="295"/>
      <c r="S301" s="190" t="s">
        <v>742</v>
      </c>
      <c r="T301" s="43">
        <f t="shared" si="6"/>
        <v>1</v>
      </c>
      <c r="U301" s="167">
        <f t="shared" si="7"/>
        <v>0</v>
      </c>
      <c r="V301" s="43"/>
      <c r="W301" s="43"/>
      <c r="X301" s="43"/>
    </row>
    <row r="302" spans="1:24" ht="14.25" customHeight="1">
      <c r="A302" s="295"/>
      <c r="B302" s="166"/>
      <c r="C302" s="295"/>
      <c r="D302" s="295"/>
      <c r="E302" s="444"/>
      <c r="F302" s="144"/>
      <c r="G302" s="144"/>
      <c r="H302" s="295"/>
      <c r="I302" s="295"/>
      <c r="J302" s="295"/>
      <c r="K302" s="295"/>
      <c r="L302" s="295"/>
      <c r="M302" s="295"/>
      <c r="N302" s="295"/>
      <c r="O302" s="295"/>
      <c r="P302" s="295"/>
      <c r="Q302" s="295"/>
      <c r="R302" s="295"/>
      <c r="S302" s="190" t="s">
        <v>650</v>
      </c>
      <c r="T302" s="43">
        <f t="shared" si="6"/>
        <v>1</v>
      </c>
      <c r="U302" s="167">
        <f t="shared" si="7"/>
        <v>0</v>
      </c>
      <c r="V302" s="43"/>
      <c r="W302" s="43"/>
      <c r="X302" s="43"/>
    </row>
    <row r="303" spans="1:24" ht="14.25" customHeight="1">
      <c r="A303" s="295"/>
      <c r="B303" s="166"/>
      <c r="C303" s="295"/>
      <c r="D303" s="295"/>
      <c r="E303" s="444"/>
      <c r="F303" s="144"/>
      <c r="G303" s="144"/>
      <c r="H303" s="295"/>
      <c r="I303" s="295"/>
      <c r="J303" s="295"/>
      <c r="K303" s="295"/>
      <c r="L303" s="295"/>
      <c r="M303" s="295"/>
      <c r="N303" s="295"/>
      <c r="O303" s="295"/>
      <c r="P303" s="295"/>
      <c r="Q303" s="295"/>
      <c r="R303" s="295"/>
      <c r="S303" s="190" t="s">
        <v>643</v>
      </c>
      <c r="T303" s="43">
        <f t="shared" si="6"/>
        <v>1</v>
      </c>
      <c r="U303" s="167">
        <f t="shared" si="7"/>
        <v>0</v>
      </c>
      <c r="V303" s="43"/>
      <c r="W303" s="43"/>
      <c r="X303" s="43"/>
    </row>
    <row r="304" spans="1:24" ht="14.25" customHeight="1">
      <c r="A304" s="295"/>
      <c r="B304" s="166"/>
      <c r="C304" s="295"/>
      <c r="D304" s="295"/>
      <c r="E304" s="444"/>
      <c r="F304" s="144"/>
      <c r="G304" s="144"/>
      <c r="H304" s="295"/>
      <c r="I304" s="295"/>
      <c r="J304" s="295"/>
      <c r="K304" s="295"/>
      <c r="L304" s="295"/>
      <c r="M304" s="295"/>
      <c r="N304" s="295"/>
      <c r="O304" s="295"/>
      <c r="P304" s="295"/>
      <c r="Q304" s="295"/>
      <c r="R304" s="295"/>
      <c r="S304" s="190" t="s">
        <v>843</v>
      </c>
      <c r="T304" s="43">
        <f t="shared" si="6"/>
        <v>1</v>
      </c>
      <c r="U304" s="167">
        <f t="shared" si="7"/>
        <v>0</v>
      </c>
      <c r="V304" s="43"/>
      <c r="W304" s="43"/>
      <c r="X304" s="43"/>
    </row>
    <row r="305" spans="1:24" ht="14.25" customHeight="1">
      <c r="A305" s="295"/>
      <c r="B305" s="166"/>
      <c r="C305" s="295"/>
      <c r="D305" s="295"/>
      <c r="E305" s="444"/>
      <c r="F305" s="144"/>
      <c r="G305" s="144"/>
      <c r="H305" s="295"/>
      <c r="I305" s="295"/>
      <c r="J305" s="295"/>
      <c r="K305" s="295"/>
      <c r="L305" s="295"/>
      <c r="M305" s="295"/>
      <c r="N305" s="295"/>
      <c r="O305" s="295"/>
      <c r="P305" s="295"/>
      <c r="Q305" s="295"/>
      <c r="R305" s="295"/>
      <c r="S305" s="190" t="s">
        <v>776</v>
      </c>
      <c r="T305" s="43">
        <f t="shared" si="6"/>
        <v>1</v>
      </c>
      <c r="U305" s="167">
        <f t="shared" si="7"/>
        <v>0</v>
      </c>
      <c r="V305" s="43"/>
      <c r="W305" s="43"/>
      <c r="X305" s="43"/>
    </row>
    <row r="306" spans="1:24" ht="14.25" customHeight="1">
      <c r="A306" s="295"/>
      <c r="B306" s="166"/>
      <c r="C306" s="295"/>
      <c r="D306" s="295"/>
      <c r="E306" s="444"/>
      <c r="F306" s="144"/>
      <c r="G306" s="144"/>
      <c r="H306" s="295"/>
      <c r="I306" s="295"/>
      <c r="J306" s="295"/>
      <c r="K306" s="295"/>
      <c r="L306" s="295"/>
      <c r="M306" s="295"/>
      <c r="N306" s="295"/>
      <c r="O306" s="295"/>
      <c r="P306" s="295"/>
      <c r="Q306" s="295"/>
      <c r="R306" s="295"/>
      <c r="S306" s="190" t="s">
        <v>1016</v>
      </c>
      <c r="T306" s="43">
        <f t="shared" si="6"/>
        <v>1</v>
      </c>
      <c r="U306" s="167">
        <f t="shared" si="7"/>
        <v>0</v>
      </c>
      <c r="V306" s="43"/>
      <c r="W306" s="43"/>
      <c r="X306" s="43"/>
    </row>
    <row r="307" spans="1:24" ht="14.25" customHeight="1">
      <c r="A307" s="295"/>
      <c r="B307" s="166"/>
      <c r="C307" s="295"/>
      <c r="D307" s="295"/>
      <c r="E307" s="444"/>
      <c r="F307" s="144"/>
      <c r="G307" s="144"/>
      <c r="H307" s="295"/>
      <c r="I307" s="295"/>
      <c r="J307" s="295"/>
      <c r="K307" s="295"/>
      <c r="L307" s="295"/>
      <c r="M307" s="295"/>
      <c r="N307" s="295"/>
      <c r="O307" s="295"/>
      <c r="P307" s="295"/>
      <c r="Q307" s="295"/>
      <c r="R307" s="295"/>
      <c r="S307" s="190" t="s">
        <v>80</v>
      </c>
      <c r="T307" s="43">
        <f t="shared" si="6"/>
        <v>1</v>
      </c>
      <c r="U307" s="167">
        <f t="shared" si="7"/>
        <v>0</v>
      </c>
      <c r="V307" s="43"/>
      <c r="W307" s="43"/>
      <c r="X307" s="43"/>
    </row>
    <row r="308" spans="1:24" ht="14.25" customHeight="1">
      <c r="A308" s="295"/>
      <c r="B308" s="166"/>
      <c r="C308" s="295"/>
      <c r="D308" s="295"/>
      <c r="E308" s="444"/>
      <c r="F308" s="144"/>
      <c r="G308" s="144"/>
      <c r="H308" s="295"/>
      <c r="I308" s="295"/>
      <c r="J308" s="295"/>
      <c r="K308" s="295"/>
      <c r="L308" s="295"/>
      <c r="M308" s="295"/>
      <c r="N308" s="295"/>
      <c r="O308" s="295"/>
      <c r="P308" s="295"/>
      <c r="Q308" s="295"/>
      <c r="R308" s="295"/>
      <c r="S308" s="190" t="s">
        <v>781</v>
      </c>
      <c r="T308" s="43">
        <f t="shared" si="6"/>
        <v>1</v>
      </c>
      <c r="U308" s="167">
        <f t="shared" si="7"/>
        <v>0</v>
      </c>
      <c r="V308" s="43"/>
      <c r="W308" s="43"/>
      <c r="X308" s="43"/>
    </row>
    <row r="309" spans="1:24" ht="14.25" customHeight="1">
      <c r="A309" s="295"/>
      <c r="B309" s="166"/>
      <c r="C309" s="295"/>
      <c r="D309" s="295"/>
      <c r="E309" s="444"/>
      <c r="F309" s="144"/>
      <c r="G309" s="144"/>
      <c r="H309" s="295"/>
      <c r="I309" s="295"/>
      <c r="J309" s="295"/>
      <c r="K309" s="295"/>
      <c r="L309" s="295"/>
      <c r="M309" s="295"/>
      <c r="N309" s="295"/>
      <c r="O309" s="295"/>
      <c r="P309" s="295"/>
      <c r="Q309" s="295"/>
      <c r="R309" s="295"/>
      <c r="S309" s="190" t="s">
        <v>79</v>
      </c>
      <c r="T309" s="43">
        <f t="shared" si="6"/>
        <v>1</v>
      </c>
      <c r="U309" s="167">
        <f t="shared" si="7"/>
        <v>0</v>
      </c>
      <c r="V309" s="43"/>
      <c r="W309" s="43"/>
      <c r="X309" s="43"/>
    </row>
    <row r="310" spans="1:24" ht="14.25" customHeight="1">
      <c r="A310" s="295"/>
      <c r="B310" s="166"/>
      <c r="C310" s="295"/>
      <c r="D310" s="295"/>
      <c r="E310" s="444"/>
      <c r="F310" s="144"/>
      <c r="G310" s="144"/>
      <c r="H310" s="295"/>
      <c r="I310" s="295"/>
      <c r="J310" s="295"/>
      <c r="K310" s="295"/>
      <c r="L310" s="295"/>
      <c r="M310" s="295"/>
      <c r="N310" s="295"/>
      <c r="O310" s="295"/>
      <c r="P310" s="295"/>
      <c r="Q310" s="295"/>
      <c r="R310" s="295"/>
      <c r="S310" s="190" t="s">
        <v>803</v>
      </c>
      <c r="T310" s="43">
        <f t="shared" si="6"/>
        <v>1</v>
      </c>
      <c r="U310" s="167">
        <f t="shared" si="7"/>
        <v>0</v>
      </c>
      <c r="V310" s="43"/>
      <c r="W310" s="43"/>
      <c r="X310" s="43"/>
    </row>
    <row r="311" spans="1:24" ht="14.25" customHeight="1">
      <c r="A311" s="295"/>
      <c r="B311" s="166"/>
      <c r="C311" s="295"/>
      <c r="D311" s="295"/>
      <c r="E311" s="444"/>
      <c r="F311" s="144"/>
      <c r="G311" s="144"/>
      <c r="H311" s="295"/>
      <c r="I311" s="295"/>
      <c r="J311" s="295"/>
      <c r="K311" s="295"/>
      <c r="L311" s="295"/>
      <c r="M311" s="295"/>
      <c r="N311" s="295"/>
      <c r="O311" s="295"/>
      <c r="P311" s="295"/>
      <c r="Q311" s="295"/>
      <c r="R311" s="295"/>
      <c r="S311" s="190" t="s">
        <v>768</v>
      </c>
      <c r="T311" s="43">
        <f t="shared" si="6"/>
        <v>1</v>
      </c>
      <c r="U311" s="167">
        <f t="shared" si="7"/>
        <v>0</v>
      </c>
      <c r="V311" s="43"/>
      <c r="W311" s="43"/>
      <c r="X311" s="43"/>
    </row>
    <row r="312" spans="1:24" ht="14.25" customHeight="1">
      <c r="A312" s="295"/>
      <c r="B312" s="166"/>
      <c r="C312" s="295"/>
      <c r="D312" s="295"/>
      <c r="E312" s="444"/>
      <c r="F312" s="144"/>
      <c r="G312" s="144"/>
      <c r="H312" s="295"/>
      <c r="I312" s="295"/>
      <c r="J312" s="295"/>
      <c r="K312" s="295"/>
      <c r="L312" s="295"/>
      <c r="M312" s="295"/>
      <c r="N312" s="295"/>
      <c r="O312" s="295"/>
      <c r="P312" s="295"/>
      <c r="Q312" s="295"/>
      <c r="R312" s="295"/>
      <c r="S312" s="190" t="s">
        <v>772</v>
      </c>
      <c r="T312" s="43">
        <f t="shared" si="6"/>
        <v>1</v>
      </c>
      <c r="U312" s="167">
        <f t="shared" si="7"/>
        <v>0</v>
      </c>
      <c r="V312" s="43"/>
      <c r="W312" s="43"/>
      <c r="X312" s="43"/>
    </row>
    <row r="313" spans="1:24" ht="14.25" customHeight="1">
      <c r="A313" s="295"/>
      <c r="B313" s="166"/>
      <c r="C313" s="295"/>
      <c r="D313" s="295"/>
      <c r="E313" s="444"/>
      <c r="F313" s="144"/>
      <c r="G313" s="144"/>
      <c r="H313" s="295"/>
      <c r="I313" s="295"/>
      <c r="J313" s="295"/>
      <c r="K313" s="295"/>
      <c r="L313" s="295"/>
      <c r="M313" s="295"/>
      <c r="N313" s="295"/>
      <c r="O313" s="295"/>
      <c r="P313" s="295"/>
      <c r="Q313" s="295"/>
      <c r="R313" s="295"/>
      <c r="S313" s="190" t="s">
        <v>1291</v>
      </c>
      <c r="T313" s="43">
        <f t="shared" si="6"/>
        <v>1</v>
      </c>
      <c r="U313" s="167">
        <f t="shared" si="7"/>
        <v>0</v>
      </c>
      <c r="V313" s="43"/>
      <c r="W313" s="43"/>
      <c r="X313" s="43"/>
    </row>
    <row r="314" spans="1:24" ht="14.25" customHeight="1">
      <c r="A314" s="295"/>
      <c r="B314" s="166"/>
      <c r="C314" s="295"/>
      <c r="D314" s="295"/>
      <c r="E314" s="444"/>
      <c r="F314" s="144"/>
      <c r="G314" s="144"/>
      <c r="H314" s="295"/>
      <c r="I314" s="295"/>
      <c r="J314" s="295"/>
      <c r="K314" s="295"/>
      <c r="L314" s="295"/>
      <c r="M314" s="295"/>
      <c r="N314" s="295"/>
      <c r="O314" s="295"/>
      <c r="P314" s="295"/>
      <c r="Q314" s="295"/>
      <c r="R314" s="295"/>
      <c r="S314" s="190" t="s">
        <v>793</v>
      </c>
      <c r="T314" s="43">
        <f t="shared" si="6"/>
        <v>1</v>
      </c>
      <c r="U314" s="167">
        <f t="shared" si="7"/>
        <v>0</v>
      </c>
      <c r="V314" s="43"/>
      <c r="W314" s="43"/>
      <c r="X314" s="43"/>
    </row>
    <row r="315" spans="1:24" ht="14.25" customHeight="1">
      <c r="A315" s="295"/>
      <c r="B315" s="166"/>
      <c r="C315" s="295"/>
      <c r="D315" s="295"/>
      <c r="E315" s="444"/>
      <c r="F315" s="144"/>
      <c r="G315" s="144"/>
      <c r="H315" s="295"/>
      <c r="I315" s="295"/>
      <c r="J315" s="295"/>
      <c r="K315" s="295"/>
      <c r="L315" s="295"/>
      <c r="M315" s="295"/>
      <c r="N315" s="295"/>
      <c r="O315" s="295"/>
      <c r="P315" s="295"/>
      <c r="Q315" s="295"/>
      <c r="R315" s="295"/>
      <c r="S315" s="190" t="s">
        <v>1151</v>
      </c>
      <c r="T315" s="43">
        <f t="shared" si="6"/>
        <v>1</v>
      </c>
      <c r="U315" s="167">
        <f t="shared" si="7"/>
        <v>0</v>
      </c>
      <c r="V315" s="43"/>
      <c r="W315" s="43"/>
      <c r="X315" s="43"/>
    </row>
    <row r="316" spans="1:24" ht="14.25" customHeight="1">
      <c r="A316" s="295"/>
      <c r="B316" s="166"/>
      <c r="C316" s="295"/>
      <c r="D316" s="295"/>
      <c r="E316" s="444"/>
      <c r="F316" s="144"/>
      <c r="G316" s="144"/>
      <c r="H316" s="295"/>
      <c r="I316" s="295"/>
      <c r="J316" s="295"/>
      <c r="K316" s="295"/>
      <c r="L316" s="295"/>
      <c r="M316" s="295"/>
      <c r="N316" s="295"/>
      <c r="O316" s="295"/>
      <c r="P316" s="295"/>
      <c r="Q316" s="295"/>
      <c r="R316" s="295"/>
      <c r="S316" s="190" t="s">
        <v>942</v>
      </c>
      <c r="T316" s="43">
        <f t="shared" si="6"/>
        <v>1</v>
      </c>
      <c r="U316" s="167">
        <f t="shared" si="7"/>
        <v>0</v>
      </c>
      <c r="V316" s="43"/>
      <c r="W316" s="43"/>
      <c r="X316" s="43"/>
    </row>
    <row r="317" spans="1:24" ht="14.25" customHeight="1">
      <c r="A317" s="295"/>
      <c r="B317" s="166"/>
      <c r="C317" s="295"/>
      <c r="D317" s="295"/>
      <c r="E317" s="444"/>
      <c r="F317" s="144"/>
      <c r="G317" s="144"/>
      <c r="H317" s="295"/>
      <c r="I317" s="295"/>
      <c r="J317" s="295"/>
      <c r="K317" s="295"/>
      <c r="L317" s="295"/>
      <c r="M317" s="295"/>
      <c r="N317" s="295"/>
      <c r="O317" s="295"/>
      <c r="P317" s="295"/>
      <c r="Q317" s="295"/>
      <c r="R317" s="295"/>
      <c r="S317" s="190" t="s">
        <v>980</v>
      </c>
      <c r="T317" s="43">
        <f t="shared" si="6"/>
        <v>1</v>
      </c>
      <c r="U317" s="167">
        <f t="shared" si="7"/>
        <v>0</v>
      </c>
      <c r="V317" s="43"/>
      <c r="W317" s="43"/>
      <c r="X317" s="43"/>
    </row>
    <row r="318" spans="1:24" ht="14.25" customHeight="1">
      <c r="A318" s="295"/>
      <c r="B318" s="166"/>
      <c r="C318" s="295"/>
      <c r="D318" s="295"/>
      <c r="E318" s="444"/>
      <c r="F318" s="144"/>
      <c r="G318" s="144"/>
      <c r="H318" s="295"/>
      <c r="I318" s="295"/>
      <c r="J318" s="295"/>
      <c r="K318" s="295"/>
      <c r="L318" s="295"/>
      <c r="M318" s="295"/>
      <c r="N318" s="295"/>
      <c r="O318" s="295"/>
      <c r="P318" s="295"/>
      <c r="Q318" s="295"/>
      <c r="R318" s="295"/>
      <c r="S318" s="190"/>
      <c r="T318" s="43">
        <f t="shared" si="6"/>
        <v>1</v>
      </c>
      <c r="U318" s="167">
        <f t="shared" si="7"/>
        <v>0</v>
      </c>
      <c r="V318" s="43"/>
      <c r="W318" s="43"/>
      <c r="X318" s="43"/>
    </row>
    <row r="319" spans="1:24" ht="14.25" customHeight="1">
      <c r="A319" s="295"/>
      <c r="B319" s="166"/>
      <c r="C319" s="295"/>
      <c r="D319" s="295"/>
      <c r="E319" s="444"/>
      <c r="F319" s="144"/>
      <c r="G319" s="144"/>
      <c r="H319" s="295"/>
      <c r="I319" s="295"/>
      <c r="J319" s="295"/>
      <c r="K319" s="295"/>
      <c r="L319" s="295"/>
      <c r="M319" s="295"/>
      <c r="N319" s="295"/>
      <c r="O319" s="295"/>
      <c r="P319" s="295"/>
      <c r="Q319" s="295"/>
      <c r="R319" s="295"/>
      <c r="S319" s="190"/>
      <c r="T319" s="43">
        <f t="shared" si="6"/>
        <v>1</v>
      </c>
      <c r="U319" s="167">
        <f t="shared" si="7"/>
        <v>0</v>
      </c>
      <c r="V319" s="43"/>
      <c r="W319" s="43"/>
      <c r="X319" s="43"/>
    </row>
    <row r="320" spans="1:24" ht="14.25" customHeight="1">
      <c r="A320" s="295"/>
      <c r="B320" s="166"/>
      <c r="C320" s="295"/>
      <c r="D320" s="295"/>
      <c r="E320" s="444"/>
      <c r="F320" s="144"/>
      <c r="G320" s="144"/>
      <c r="H320" s="295"/>
      <c r="I320" s="295"/>
      <c r="J320" s="295"/>
      <c r="K320" s="295"/>
      <c r="L320" s="295"/>
      <c r="M320" s="295"/>
      <c r="N320" s="295"/>
      <c r="O320" s="295"/>
      <c r="P320" s="295"/>
      <c r="Q320" s="295"/>
      <c r="R320" s="295"/>
      <c r="S320" s="190" t="s">
        <v>1391</v>
      </c>
      <c r="T320" s="43">
        <f t="shared" si="6"/>
        <v>1</v>
      </c>
      <c r="U320" s="167">
        <f t="shared" si="7"/>
        <v>0</v>
      </c>
      <c r="V320" s="43"/>
      <c r="W320" s="43"/>
      <c r="X320" s="43"/>
    </row>
    <row r="321" spans="1:24" ht="14.25" customHeight="1">
      <c r="A321" s="295"/>
      <c r="B321" s="166"/>
      <c r="C321" s="295"/>
      <c r="D321" s="295"/>
      <c r="E321" s="444"/>
      <c r="F321" s="144"/>
      <c r="G321" s="144"/>
      <c r="H321" s="295"/>
      <c r="I321" s="295"/>
      <c r="J321" s="295"/>
      <c r="K321" s="295"/>
      <c r="L321" s="295"/>
      <c r="M321" s="295"/>
      <c r="N321" s="295"/>
      <c r="O321" s="295"/>
      <c r="P321" s="295"/>
      <c r="Q321" s="295"/>
      <c r="R321" s="295"/>
      <c r="S321" s="190" t="s">
        <v>885</v>
      </c>
      <c r="T321" s="43">
        <f t="shared" si="6"/>
        <v>1</v>
      </c>
      <c r="U321" s="167">
        <f t="shared" si="7"/>
        <v>0</v>
      </c>
      <c r="V321" s="43"/>
      <c r="W321" s="43"/>
      <c r="X321" s="43"/>
    </row>
    <row r="322" spans="1:24" ht="14.25" customHeight="1">
      <c r="A322" s="295"/>
      <c r="B322" s="166"/>
      <c r="C322" s="295"/>
      <c r="D322" s="295"/>
      <c r="E322" s="444"/>
      <c r="F322" s="144"/>
      <c r="G322" s="144"/>
      <c r="H322" s="295"/>
      <c r="I322" s="295"/>
      <c r="J322" s="295"/>
      <c r="K322" s="295"/>
      <c r="L322" s="295"/>
      <c r="M322" s="295"/>
      <c r="N322" s="295"/>
      <c r="O322" s="295"/>
      <c r="P322" s="295"/>
      <c r="Q322" s="295"/>
      <c r="R322" s="295"/>
      <c r="S322" s="190"/>
      <c r="T322" s="43">
        <f t="shared" si="6"/>
        <v>1</v>
      </c>
      <c r="U322" s="167">
        <f t="shared" si="7"/>
        <v>0</v>
      </c>
      <c r="V322" s="43"/>
      <c r="W322" s="43"/>
      <c r="X322" s="43"/>
    </row>
    <row r="323" spans="1:24" ht="14.25" customHeight="1">
      <c r="A323" s="295"/>
      <c r="B323" s="166"/>
      <c r="C323" s="295"/>
      <c r="D323" s="295"/>
      <c r="E323" s="444"/>
      <c r="F323" s="144"/>
      <c r="G323" s="144"/>
      <c r="H323" s="295"/>
      <c r="I323" s="295"/>
      <c r="J323" s="295"/>
      <c r="K323" s="295"/>
      <c r="L323" s="295"/>
      <c r="M323" s="295"/>
      <c r="N323" s="295"/>
      <c r="O323" s="295"/>
      <c r="P323" s="295"/>
      <c r="Q323" s="295"/>
      <c r="R323" s="295"/>
      <c r="S323" s="190" t="s">
        <v>1000</v>
      </c>
      <c r="T323" s="43">
        <f t="shared" si="6"/>
        <v>1</v>
      </c>
      <c r="U323" s="167">
        <f t="shared" si="7"/>
        <v>0</v>
      </c>
      <c r="V323" s="43"/>
      <c r="W323" s="43"/>
      <c r="X323" s="43"/>
    </row>
    <row r="324" spans="1:24" ht="14.25" customHeight="1">
      <c r="A324" s="295"/>
      <c r="B324" s="166"/>
      <c r="C324" s="295"/>
      <c r="D324" s="295"/>
      <c r="E324" s="444"/>
      <c r="F324" s="144"/>
      <c r="G324" s="144"/>
      <c r="H324" s="295"/>
      <c r="I324" s="295"/>
      <c r="J324" s="295"/>
      <c r="K324" s="295"/>
      <c r="L324" s="295"/>
      <c r="M324" s="295"/>
      <c r="N324" s="295"/>
      <c r="O324" s="295"/>
      <c r="P324" s="295"/>
      <c r="Q324" s="295"/>
      <c r="R324" s="295"/>
      <c r="S324" s="190" t="s">
        <v>982</v>
      </c>
      <c r="T324" s="43">
        <f t="shared" si="6"/>
        <v>1</v>
      </c>
      <c r="U324" s="167">
        <f t="shared" si="7"/>
        <v>0</v>
      </c>
      <c r="V324" s="43"/>
      <c r="W324" s="43"/>
      <c r="X324" s="43"/>
    </row>
    <row r="325" spans="1:24" ht="14.25" customHeight="1">
      <c r="A325" s="295"/>
      <c r="B325" s="166"/>
      <c r="C325" s="295"/>
      <c r="D325" s="295"/>
      <c r="E325" s="444"/>
      <c r="F325" s="144"/>
      <c r="G325" s="144"/>
      <c r="H325" s="295"/>
      <c r="I325" s="295"/>
      <c r="J325" s="295"/>
      <c r="K325" s="295"/>
      <c r="L325" s="295"/>
      <c r="M325" s="295"/>
      <c r="N325" s="295"/>
      <c r="O325" s="295"/>
      <c r="P325" s="295"/>
      <c r="Q325" s="295"/>
      <c r="R325" s="295"/>
      <c r="S325" s="190" t="s">
        <v>982</v>
      </c>
      <c r="T325" s="43">
        <f t="shared" si="6"/>
        <v>1</v>
      </c>
      <c r="U325" s="167">
        <f t="shared" si="7"/>
        <v>0</v>
      </c>
      <c r="V325" s="43"/>
      <c r="W325" s="43"/>
      <c r="X325" s="43"/>
    </row>
    <row r="326" spans="1:24" ht="14.25" customHeight="1">
      <c r="A326" s="295"/>
      <c r="B326" s="166"/>
      <c r="C326" s="295"/>
      <c r="D326" s="295"/>
      <c r="E326" s="444"/>
      <c r="F326" s="144"/>
      <c r="G326" s="144"/>
      <c r="H326" s="295"/>
      <c r="I326" s="295"/>
      <c r="J326" s="295"/>
      <c r="K326" s="295"/>
      <c r="L326" s="295"/>
      <c r="M326" s="295"/>
      <c r="N326" s="295"/>
      <c r="O326" s="295"/>
      <c r="P326" s="295"/>
      <c r="Q326" s="295"/>
      <c r="R326" s="295"/>
      <c r="S326" s="190"/>
      <c r="T326" s="43">
        <f t="shared" si="6"/>
        <v>1</v>
      </c>
      <c r="U326" s="167">
        <f t="shared" si="7"/>
        <v>0</v>
      </c>
      <c r="V326" s="43"/>
      <c r="W326" s="43"/>
      <c r="X326" s="43"/>
    </row>
    <row r="327" spans="1:24" ht="14.25" customHeight="1">
      <c r="A327" s="295"/>
      <c r="B327" s="166"/>
      <c r="C327" s="295"/>
      <c r="D327" s="295"/>
      <c r="E327" s="444"/>
      <c r="F327" s="144"/>
      <c r="G327" s="144"/>
      <c r="H327" s="295"/>
      <c r="I327" s="295"/>
      <c r="J327" s="295"/>
      <c r="K327" s="295"/>
      <c r="L327" s="295"/>
      <c r="M327" s="295"/>
      <c r="N327" s="295"/>
      <c r="O327" s="295"/>
      <c r="P327" s="295"/>
      <c r="Q327" s="295"/>
      <c r="R327" s="295"/>
      <c r="S327" s="190" t="s">
        <v>79</v>
      </c>
      <c r="T327" s="43">
        <f t="shared" si="6"/>
        <v>1</v>
      </c>
      <c r="U327" s="167">
        <f t="shared" si="7"/>
        <v>0</v>
      </c>
      <c r="V327" s="167"/>
      <c r="W327" s="43"/>
      <c r="X327" s="43"/>
    </row>
    <row r="328" spans="1:24" ht="14.25" customHeight="1">
      <c r="A328" s="295"/>
      <c r="B328" s="166"/>
      <c r="C328" s="295"/>
      <c r="D328" s="295"/>
      <c r="E328" s="444"/>
      <c r="F328" s="144"/>
      <c r="G328" s="144"/>
      <c r="H328" s="295"/>
      <c r="I328" s="295"/>
      <c r="J328" s="295"/>
      <c r="K328" s="295"/>
      <c r="L328" s="295"/>
      <c r="M328" s="295"/>
      <c r="N328" s="295"/>
      <c r="O328" s="295"/>
      <c r="P328" s="295"/>
      <c r="Q328" s="295"/>
      <c r="R328" s="295"/>
      <c r="S328" s="190" t="s">
        <v>79</v>
      </c>
      <c r="T328" s="43">
        <f t="shared" si="6"/>
        <v>1</v>
      </c>
      <c r="U328" s="167">
        <f t="shared" si="7"/>
        <v>0</v>
      </c>
      <c r="V328" s="167"/>
      <c r="W328" s="43"/>
      <c r="X328" s="43"/>
    </row>
    <row r="329" spans="1:24" ht="14.25" customHeight="1">
      <c r="A329" s="295"/>
      <c r="B329" s="166"/>
      <c r="C329" s="295"/>
      <c r="D329" s="295"/>
      <c r="E329" s="444"/>
      <c r="F329" s="144"/>
      <c r="G329" s="144"/>
      <c r="H329" s="295"/>
      <c r="I329" s="295"/>
      <c r="J329" s="295"/>
      <c r="K329" s="295"/>
      <c r="L329" s="295"/>
      <c r="M329" s="295"/>
      <c r="N329" s="295"/>
      <c r="O329" s="295"/>
      <c r="P329" s="295"/>
      <c r="Q329" s="295"/>
      <c r="R329" s="295"/>
      <c r="S329" s="190" t="s">
        <v>621</v>
      </c>
      <c r="T329" s="43">
        <f t="shared" si="6"/>
        <v>1</v>
      </c>
      <c r="U329" s="167">
        <f t="shared" si="7"/>
        <v>0</v>
      </c>
      <c r="V329" s="167"/>
      <c r="W329" s="43"/>
      <c r="X329" s="43"/>
    </row>
    <row r="330" spans="1:24" ht="14.25" customHeight="1">
      <c r="A330" s="295"/>
      <c r="B330" s="166"/>
      <c r="C330" s="295"/>
      <c r="D330" s="295"/>
      <c r="E330" s="444"/>
      <c r="F330" s="144"/>
      <c r="G330" s="144"/>
      <c r="H330" s="295"/>
      <c r="I330" s="295"/>
      <c r="J330" s="295"/>
      <c r="K330" s="295"/>
      <c r="L330" s="295"/>
      <c r="M330" s="295"/>
      <c r="N330" s="295"/>
      <c r="O330" s="295"/>
      <c r="P330" s="295"/>
      <c r="Q330" s="295"/>
      <c r="R330" s="295"/>
      <c r="S330" s="190" t="s">
        <v>1156</v>
      </c>
      <c r="T330" s="43">
        <f t="shared" si="6"/>
        <v>1</v>
      </c>
      <c r="U330" s="167">
        <f t="shared" si="7"/>
        <v>0</v>
      </c>
      <c r="V330" s="167"/>
      <c r="W330" s="43"/>
      <c r="X330" s="43"/>
    </row>
    <row r="331" spans="1:24" ht="14.25" customHeight="1">
      <c r="A331" s="295"/>
      <c r="B331" s="166"/>
      <c r="C331" s="295"/>
      <c r="D331" s="295"/>
      <c r="E331" s="444"/>
      <c r="F331" s="144"/>
      <c r="G331" s="144"/>
      <c r="H331" s="295"/>
      <c r="I331" s="295"/>
      <c r="J331" s="295"/>
      <c r="K331" s="295"/>
      <c r="L331" s="295"/>
      <c r="M331" s="295"/>
      <c r="N331" s="295"/>
      <c r="O331" s="295"/>
      <c r="P331" s="295"/>
      <c r="Q331" s="295"/>
      <c r="R331" s="295"/>
      <c r="S331" s="190" t="s">
        <v>398</v>
      </c>
      <c r="T331" s="43">
        <f t="shared" si="6"/>
        <v>1</v>
      </c>
      <c r="U331" s="167">
        <f t="shared" si="7"/>
        <v>0</v>
      </c>
      <c r="V331" s="167"/>
      <c r="W331" s="43"/>
      <c r="X331" s="43"/>
    </row>
    <row r="332" spans="1:24" ht="14.25" customHeight="1">
      <c r="A332" s="295"/>
      <c r="B332" s="166"/>
      <c r="C332" s="295"/>
      <c r="D332" s="295"/>
      <c r="E332" s="444"/>
      <c r="F332" s="144"/>
      <c r="G332" s="144"/>
      <c r="H332" s="295"/>
      <c r="I332" s="295"/>
      <c r="J332" s="295"/>
      <c r="K332" s="295"/>
      <c r="L332" s="295"/>
      <c r="M332" s="295"/>
      <c r="N332" s="295"/>
      <c r="O332" s="295"/>
      <c r="P332" s="295"/>
      <c r="Q332" s="295"/>
      <c r="R332" s="295"/>
      <c r="S332" s="190" t="s">
        <v>991</v>
      </c>
      <c r="T332" s="43">
        <f t="shared" si="6"/>
        <v>1</v>
      </c>
      <c r="U332" s="167">
        <f t="shared" si="7"/>
        <v>0</v>
      </c>
      <c r="V332" s="167"/>
      <c r="W332" s="43"/>
      <c r="X332" s="43"/>
    </row>
    <row r="333" spans="1:24" ht="14.25" customHeight="1">
      <c r="A333" s="295"/>
      <c r="B333" s="166"/>
      <c r="C333" s="295"/>
      <c r="D333" s="295"/>
      <c r="E333" s="444"/>
      <c r="F333" s="144"/>
      <c r="G333" s="144"/>
      <c r="H333" s="295"/>
      <c r="I333" s="295"/>
      <c r="J333" s="295"/>
      <c r="K333" s="295"/>
      <c r="L333" s="295"/>
      <c r="M333" s="295"/>
      <c r="N333" s="295"/>
      <c r="O333" s="295"/>
      <c r="P333" s="295"/>
      <c r="Q333" s="295"/>
      <c r="R333" s="295"/>
      <c r="S333" s="190" t="s">
        <v>997</v>
      </c>
      <c r="T333" s="43">
        <f t="shared" si="6"/>
        <v>1</v>
      </c>
      <c r="U333" s="167">
        <f t="shared" si="7"/>
        <v>0</v>
      </c>
      <c r="V333" s="167"/>
      <c r="W333" s="43"/>
      <c r="X333" s="43"/>
    </row>
    <row r="334" spans="1:24" ht="14.25" customHeight="1">
      <c r="A334" s="295"/>
      <c r="B334" s="166"/>
      <c r="C334" s="295"/>
      <c r="D334" s="295"/>
      <c r="E334" s="444"/>
      <c r="F334" s="144"/>
      <c r="G334" s="144"/>
      <c r="H334" s="295"/>
      <c r="I334" s="295"/>
      <c r="J334" s="295"/>
      <c r="K334" s="295"/>
      <c r="L334" s="295"/>
      <c r="M334" s="295"/>
      <c r="N334" s="295"/>
      <c r="O334" s="295"/>
      <c r="P334" s="295"/>
      <c r="Q334" s="295"/>
      <c r="R334" s="295"/>
      <c r="S334" s="190" t="s">
        <v>299</v>
      </c>
      <c r="T334" s="43">
        <f t="shared" si="6"/>
        <v>1</v>
      </c>
      <c r="U334" s="167">
        <f t="shared" si="7"/>
        <v>0</v>
      </c>
      <c r="V334" s="167"/>
      <c r="W334" s="43"/>
      <c r="X334" s="43"/>
    </row>
    <row r="335" spans="1:24" ht="14.25" customHeight="1">
      <c r="A335" s="295"/>
      <c r="B335" s="166"/>
      <c r="C335" s="295"/>
      <c r="D335" s="295"/>
      <c r="E335" s="444"/>
      <c r="F335" s="144"/>
      <c r="G335" s="144"/>
      <c r="H335" s="295"/>
      <c r="I335" s="295"/>
      <c r="J335" s="295"/>
      <c r="K335" s="295"/>
      <c r="L335" s="295"/>
      <c r="M335" s="295"/>
      <c r="N335" s="295"/>
      <c r="O335" s="295"/>
      <c r="P335" s="295"/>
      <c r="Q335" s="295"/>
      <c r="R335" s="295"/>
      <c r="S335" s="190" t="s">
        <v>299</v>
      </c>
      <c r="T335" s="43">
        <f t="shared" si="6"/>
        <v>1</v>
      </c>
      <c r="U335" s="167">
        <f t="shared" si="7"/>
        <v>0</v>
      </c>
      <c r="V335" s="167"/>
      <c r="W335" s="43"/>
      <c r="X335" s="43"/>
    </row>
    <row r="336" spans="1:24" ht="14.25" customHeight="1">
      <c r="A336" s="295"/>
      <c r="B336" s="166"/>
      <c r="C336" s="295"/>
      <c r="D336" s="295"/>
      <c r="E336" s="444"/>
      <c r="F336" s="144"/>
      <c r="G336" s="144"/>
      <c r="H336" s="295"/>
      <c r="I336" s="295"/>
      <c r="J336" s="295"/>
      <c r="K336" s="295"/>
      <c r="L336" s="295"/>
      <c r="M336" s="295"/>
      <c r="N336" s="295"/>
      <c r="O336" s="295"/>
      <c r="P336" s="295"/>
      <c r="Q336" s="295"/>
      <c r="R336" s="295"/>
      <c r="S336" s="190" t="s">
        <v>299</v>
      </c>
      <c r="T336" s="43">
        <f t="shared" si="6"/>
        <v>1</v>
      </c>
      <c r="U336" s="167">
        <f t="shared" si="7"/>
        <v>0</v>
      </c>
      <c r="V336" s="167"/>
      <c r="W336" s="43"/>
      <c r="X336" s="43"/>
    </row>
    <row r="337" spans="1:24" ht="14.25" customHeight="1">
      <c r="A337" s="295"/>
      <c r="B337" s="166"/>
      <c r="C337" s="295"/>
      <c r="D337" s="295"/>
      <c r="E337" s="444"/>
      <c r="F337" s="144"/>
      <c r="G337" s="144"/>
      <c r="H337" s="295"/>
      <c r="I337" s="295"/>
      <c r="J337" s="295"/>
      <c r="K337" s="295"/>
      <c r="L337" s="295"/>
      <c r="M337" s="295"/>
      <c r="N337" s="295"/>
      <c r="O337" s="295"/>
      <c r="P337" s="295"/>
      <c r="Q337" s="295"/>
      <c r="R337" s="295"/>
      <c r="S337" s="190" t="s">
        <v>299</v>
      </c>
      <c r="T337" s="43">
        <f t="shared" si="6"/>
        <v>1</v>
      </c>
      <c r="U337" s="167">
        <f t="shared" si="7"/>
        <v>0</v>
      </c>
      <c r="V337" s="167"/>
      <c r="W337" s="43"/>
      <c r="X337" s="43"/>
    </row>
    <row r="338" spans="1:24" ht="14.25" customHeight="1">
      <c r="A338" s="295"/>
      <c r="B338" s="166"/>
      <c r="C338" s="295"/>
      <c r="D338" s="295"/>
      <c r="E338" s="444"/>
      <c r="F338" s="144"/>
      <c r="G338" s="144"/>
      <c r="H338" s="295"/>
      <c r="I338" s="295"/>
      <c r="J338" s="295"/>
      <c r="K338" s="295"/>
      <c r="L338" s="295"/>
      <c r="M338" s="295"/>
      <c r="N338" s="295"/>
      <c r="O338" s="295"/>
      <c r="P338" s="295"/>
      <c r="Q338" s="295"/>
      <c r="R338" s="295"/>
      <c r="S338" s="190" t="s">
        <v>299</v>
      </c>
      <c r="T338" s="43">
        <f t="shared" si="6"/>
        <v>1</v>
      </c>
      <c r="U338" s="167">
        <f t="shared" si="7"/>
        <v>0</v>
      </c>
      <c r="V338" s="167"/>
      <c r="W338" s="43"/>
      <c r="X338" s="43"/>
    </row>
    <row r="339" spans="1:24" ht="14.25" customHeight="1">
      <c r="A339" s="295"/>
      <c r="B339" s="166"/>
      <c r="C339" s="295"/>
      <c r="D339" s="295"/>
      <c r="E339" s="444"/>
      <c r="F339" s="144"/>
      <c r="G339" s="144"/>
      <c r="H339" s="295"/>
      <c r="I339" s="295"/>
      <c r="J339" s="295"/>
      <c r="K339" s="295"/>
      <c r="L339" s="295"/>
      <c r="M339" s="295"/>
      <c r="N339" s="295"/>
      <c r="O339" s="295"/>
      <c r="P339" s="295"/>
      <c r="Q339" s="295"/>
      <c r="R339" s="295"/>
      <c r="S339" s="190"/>
      <c r="T339" s="43">
        <f t="shared" si="6"/>
        <v>1</v>
      </c>
      <c r="U339" s="167">
        <f t="shared" si="7"/>
        <v>0</v>
      </c>
      <c r="V339" s="43"/>
      <c r="W339" s="43"/>
      <c r="X339" s="43"/>
    </row>
    <row r="340" spans="1:24" ht="14.25" customHeight="1">
      <c r="A340" s="295"/>
      <c r="B340" s="166"/>
      <c r="C340" s="295"/>
      <c r="D340" s="295"/>
      <c r="E340" s="444"/>
      <c r="F340" s="144"/>
      <c r="G340" s="144"/>
      <c r="H340" s="295"/>
      <c r="I340" s="295"/>
      <c r="J340" s="295"/>
      <c r="K340" s="295"/>
      <c r="L340" s="295"/>
      <c r="M340" s="295"/>
      <c r="N340" s="295"/>
      <c r="O340" s="295"/>
      <c r="P340" s="295"/>
      <c r="Q340" s="295"/>
      <c r="R340" s="295"/>
      <c r="S340" s="190" t="s">
        <v>1044</v>
      </c>
      <c r="T340" s="43">
        <f t="shared" si="6"/>
        <v>1</v>
      </c>
      <c r="U340" s="167">
        <f t="shared" si="7"/>
        <v>0</v>
      </c>
      <c r="V340" s="43"/>
      <c r="W340" s="43"/>
      <c r="X340" s="43"/>
    </row>
    <row r="341" spans="1:24" ht="14.25" customHeight="1">
      <c r="A341" s="295"/>
      <c r="B341" s="166"/>
      <c r="C341" s="295"/>
      <c r="D341" s="295"/>
      <c r="E341" s="444"/>
      <c r="F341" s="144"/>
      <c r="G341" s="144"/>
      <c r="H341" s="295"/>
      <c r="I341" s="295"/>
      <c r="J341" s="295"/>
      <c r="K341" s="295"/>
      <c r="L341" s="295"/>
      <c r="M341" s="295"/>
      <c r="N341" s="295"/>
      <c r="O341" s="295"/>
      <c r="P341" s="295"/>
      <c r="Q341" s="295"/>
      <c r="R341" s="295"/>
      <c r="S341" s="190" t="s">
        <v>1254</v>
      </c>
      <c r="T341" s="43">
        <f t="shared" si="6"/>
        <v>1</v>
      </c>
      <c r="U341" s="167">
        <f t="shared" si="7"/>
        <v>0</v>
      </c>
      <c r="V341" s="43"/>
      <c r="W341" s="43"/>
      <c r="X341" s="43"/>
    </row>
    <row r="342" spans="1:24" ht="14.25" customHeight="1">
      <c r="A342" s="295"/>
      <c r="B342" s="166"/>
      <c r="C342" s="295"/>
      <c r="D342" s="295"/>
      <c r="E342" s="444"/>
      <c r="F342" s="144"/>
      <c r="G342" s="144"/>
      <c r="H342" s="295"/>
      <c r="I342" s="295"/>
      <c r="J342" s="295"/>
      <c r="K342" s="295"/>
      <c r="L342" s="295"/>
      <c r="M342" s="295"/>
      <c r="N342" s="295"/>
      <c r="O342" s="295"/>
      <c r="P342" s="295"/>
      <c r="Q342" s="295"/>
      <c r="R342" s="295"/>
      <c r="S342" s="190" t="s">
        <v>975</v>
      </c>
      <c r="T342" s="43">
        <f t="shared" si="6"/>
        <v>1</v>
      </c>
      <c r="U342" s="167">
        <f t="shared" si="7"/>
        <v>0</v>
      </c>
      <c r="V342" s="43"/>
      <c r="W342" s="43"/>
      <c r="X342" s="43"/>
    </row>
    <row r="343" spans="1:24" ht="14.25" customHeight="1">
      <c r="A343" s="295"/>
      <c r="B343" s="166"/>
      <c r="C343" s="295"/>
      <c r="D343" s="295"/>
      <c r="E343" s="444"/>
      <c r="F343" s="144"/>
      <c r="G343" s="144"/>
      <c r="H343" s="295"/>
      <c r="I343" s="295"/>
      <c r="J343" s="295"/>
      <c r="K343" s="295"/>
      <c r="L343" s="295"/>
      <c r="M343" s="295"/>
      <c r="N343" s="295"/>
      <c r="O343" s="295"/>
      <c r="P343" s="295"/>
      <c r="Q343" s="295"/>
      <c r="R343" s="295"/>
      <c r="S343" s="190" t="s">
        <v>1246</v>
      </c>
      <c r="T343" s="43">
        <f t="shared" si="6"/>
        <v>1</v>
      </c>
      <c r="U343" s="167">
        <f t="shared" si="7"/>
        <v>0</v>
      </c>
      <c r="V343" s="43"/>
      <c r="W343" s="43"/>
      <c r="X343" s="43"/>
    </row>
    <row r="344" spans="1:24" ht="14.25" customHeight="1">
      <c r="A344" s="295"/>
      <c r="B344" s="166"/>
      <c r="C344" s="295"/>
      <c r="D344" s="295"/>
      <c r="E344" s="444"/>
      <c r="F344" s="144"/>
      <c r="G344" s="144"/>
      <c r="H344" s="295"/>
      <c r="I344" s="295"/>
      <c r="J344" s="295"/>
      <c r="K344" s="295"/>
      <c r="L344" s="295"/>
      <c r="M344" s="295"/>
      <c r="N344" s="295"/>
      <c r="O344" s="295"/>
      <c r="P344" s="295"/>
      <c r="Q344" s="295"/>
      <c r="R344" s="295"/>
      <c r="S344" s="190" t="s">
        <v>1627</v>
      </c>
      <c r="T344" s="43">
        <f t="shared" si="6"/>
        <v>1</v>
      </c>
      <c r="U344" s="167">
        <f t="shared" si="7"/>
        <v>0</v>
      </c>
      <c r="V344" s="43"/>
      <c r="W344" s="43"/>
      <c r="X344" s="43"/>
    </row>
    <row r="345" spans="1:24" ht="14.25" customHeight="1">
      <c r="A345" s="295"/>
      <c r="B345" s="166"/>
      <c r="C345" s="295"/>
      <c r="D345" s="295"/>
      <c r="E345" s="444"/>
      <c r="F345" s="144"/>
      <c r="G345" s="144"/>
      <c r="H345" s="295"/>
      <c r="I345" s="295"/>
      <c r="J345" s="295"/>
      <c r="K345" s="295"/>
      <c r="L345" s="295"/>
      <c r="M345" s="295"/>
      <c r="N345" s="295"/>
      <c r="O345" s="295"/>
      <c r="P345" s="295"/>
      <c r="Q345" s="295"/>
      <c r="R345" s="295"/>
      <c r="S345" s="190" t="s">
        <v>1156</v>
      </c>
      <c r="T345" s="43">
        <f t="shared" si="6"/>
        <v>1</v>
      </c>
      <c r="U345" s="167">
        <f t="shared" si="7"/>
        <v>0</v>
      </c>
      <c r="V345" s="167"/>
      <c r="W345" s="43"/>
      <c r="X345" s="43"/>
    </row>
    <row r="346" spans="1:24" ht="14.25" customHeight="1">
      <c r="A346" s="295"/>
      <c r="B346" s="166"/>
      <c r="C346" s="295"/>
      <c r="D346" s="295"/>
      <c r="E346" s="444"/>
      <c r="F346" s="144"/>
      <c r="G346" s="144"/>
      <c r="H346" s="295"/>
      <c r="I346" s="295"/>
      <c r="J346" s="295"/>
      <c r="K346" s="295"/>
      <c r="L346" s="295"/>
      <c r="M346" s="295"/>
      <c r="N346" s="295"/>
      <c r="O346" s="295"/>
      <c r="P346" s="295"/>
      <c r="Q346" s="295"/>
      <c r="R346" s="295"/>
      <c r="S346" s="190" t="s">
        <v>1016</v>
      </c>
      <c r="T346" s="43">
        <f t="shared" si="6"/>
        <v>1</v>
      </c>
      <c r="U346" s="167">
        <f t="shared" si="7"/>
        <v>0</v>
      </c>
      <c r="V346" s="43"/>
      <c r="W346" s="43"/>
      <c r="X346" s="43"/>
    </row>
    <row r="347" spans="1:24" ht="14.25" customHeight="1">
      <c r="A347" s="295"/>
      <c r="B347" s="166"/>
      <c r="C347" s="295"/>
      <c r="D347" s="295"/>
      <c r="E347" s="444"/>
      <c r="F347" s="144"/>
      <c r="G347" s="144"/>
      <c r="H347" s="295"/>
      <c r="I347" s="295"/>
      <c r="J347" s="295"/>
      <c r="K347" s="295"/>
      <c r="L347" s="295"/>
      <c r="M347" s="295"/>
      <c r="N347" s="295"/>
      <c r="O347" s="295"/>
      <c r="P347" s="295"/>
      <c r="Q347" s="295"/>
      <c r="R347" s="295"/>
      <c r="S347" s="190"/>
      <c r="T347" s="43">
        <f t="shared" si="6"/>
        <v>1</v>
      </c>
      <c r="U347" s="167">
        <f t="shared" si="7"/>
        <v>0</v>
      </c>
      <c r="V347" s="43"/>
      <c r="W347" s="43"/>
      <c r="X347" s="43"/>
    </row>
    <row r="348" spans="1:24" ht="14.25" customHeight="1">
      <c r="A348" s="295"/>
      <c r="B348" s="166"/>
      <c r="C348" s="295"/>
      <c r="D348" s="295"/>
      <c r="E348" s="444"/>
      <c r="F348" s="144"/>
      <c r="G348" s="144"/>
      <c r="H348" s="295"/>
      <c r="I348" s="295"/>
      <c r="J348" s="295"/>
      <c r="K348" s="295"/>
      <c r="L348" s="295"/>
      <c r="M348" s="295"/>
      <c r="N348" s="295"/>
      <c r="O348" s="295"/>
      <c r="P348" s="295"/>
      <c r="Q348" s="295"/>
      <c r="R348" s="295"/>
      <c r="S348" s="190" t="s">
        <v>1154</v>
      </c>
      <c r="T348" s="43">
        <f t="shared" si="6"/>
        <v>1</v>
      </c>
      <c r="U348" s="167">
        <f t="shared" si="7"/>
        <v>0</v>
      </c>
      <c r="V348" s="43"/>
      <c r="W348" s="43"/>
      <c r="X348" s="43"/>
    </row>
    <row r="349" spans="1:24" ht="14.25" customHeight="1">
      <c r="A349" s="295"/>
      <c r="B349" s="166"/>
      <c r="C349" s="295"/>
      <c r="D349" s="295"/>
      <c r="E349" s="444"/>
      <c r="F349" s="144"/>
      <c r="G349" s="144"/>
      <c r="H349" s="295"/>
      <c r="I349" s="295"/>
      <c r="J349" s="295"/>
      <c r="K349" s="295"/>
      <c r="L349" s="295"/>
      <c r="M349" s="295"/>
      <c r="N349" s="295"/>
      <c r="O349" s="295"/>
      <c r="P349" s="295"/>
      <c r="Q349" s="295"/>
      <c r="R349" s="295"/>
      <c r="S349" s="190" t="s">
        <v>923</v>
      </c>
      <c r="T349" s="43">
        <f t="shared" si="6"/>
        <v>1</v>
      </c>
      <c r="U349" s="167">
        <f t="shared" si="7"/>
        <v>0</v>
      </c>
      <c r="V349" s="43"/>
      <c r="W349" s="43"/>
      <c r="X349" s="43"/>
    </row>
    <row r="350" spans="1:24" ht="14.25" customHeight="1">
      <c r="A350" s="190"/>
      <c r="B350" s="225"/>
      <c r="C350" s="190"/>
      <c r="D350" s="190"/>
      <c r="E350" s="232"/>
      <c r="F350" s="185"/>
      <c r="G350" s="185"/>
      <c r="H350" s="190"/>
      <c r="I350" s="190"/>
      <c r="J350" s="190"/>
      <c r="K350" s="190"/>
      <c r="L350" s="190"/>
      <c r="M350" s="190"/>
      <c r="N350" s="190"/>
      <c r="O350" s="190"/>
      <c r="P350" s="190"/>
      <c r="Q350" s="190"/>
      <c r="R350" s="190"/>
      <c r="S350" s="190" t="s">
        <v>923</v>
      </c>
      <c r="T350" s="43">
        <f t="shared" si="6"/>
        <v>1</v>
      </c>
      <c r="U350" s="167">
        <f t="shared" si="7"/>
        <v>0</v>
      </c>
      <c r="V350" s="43"/>
      <c r="W350" s="43"/>
      <c r="X350" s="43"/>
    </row>
    <row r="351" spans="1:24" ht="14.25" customHeight="1">
      <c r="A351" s="190"/>
      <c r="B351" s="225"/>
      <c r="C351" s="190"/>
      <c r="D351" s="190"/>
      <c r="E351" s="232"/>
      <c r="F351" s="185"/>
      <c r="G351" s="185"/>
      <c r="H351" s="190"/>
      <c r="I351" s="190"/>
      <c r="J351" s="190"/>
      <c r="K351" s="190"/>
      <c r="L351" s="190"/>
      <c r="M351" s="190"/>
      <c r="N351" s="190"/>
      <c r="O351" s="190"/>
      <c r="P351" s="190"/>
      <c r="Q351" s="190"/>
      <c r="R351" s="190"/>
      <c r="S351" s="190" t="s">
        <v>1005</v>
      </c>
      <c r="T351" s="43">
        <f t="shared" si="6"/>
        <v>1</v>
      </c>
      <c r="U351" s="167">
        <f t="shared" si="7"/>
        <v>0</v>
      </c>
      <c r="V351" s="43"/>
      <c r="W351" s="43"/>
      <c r="X351" s="43"/>
    </row>
    <row r="352" spans="1:24" ht="14.25" customHeight="1">
      <c r="A352" s="190"/>
      <c r="B352" s="225"/>
      <c r="C352" s="190"/>
      <c r="D352" s="190"/>
      <c r="E352" s="232"/>
      <c r="F352" s="185"/>
      <c r="G352" s="185"/>
      <c r="H352" s="190"/>
      <c r="I352" s="190"/>
      <c r="J352" s="190"/>
      <c r="K352" s="190"/>
      <c r="L352" s="190"/>
      <c r="M352" s="190"/>
      <c r="N352" s="190"/>
      <c r="O352" s="190"/>
      <c r="P352" s="190"/>
      <c r="Q352" s="190"/>
      <c r="R352" s="190"/>
      <c r="S352" s="190"/>
      <c r="T352" s="43">
        <f t="shared" si="6"/>
        <v>1</v>
      </c>
      <c r="U352" s="167">
        <f t="shared" si="7"/>
        <v>0</v>
      </c>
      <c r="V352" s="43"/>
      <c r="W352" s="43"/>
      <c r="X352" s="43"/>
    </row>
    <row r="353" spans="1:24" ht="14.25" customHeight="1">
      <c r="A353" s="190"/>
      <c r="B353" s="225"/>
      <c r="C353" s="190"/>
      <c r="D353" s="190"/>
      <c r="E353" s="232"/>
      <c r="F353" s="185"/>
      <c r="G353" s="185"/>
      <c r="H353" s="190"/>
      <c r="I353" s="190"/>
      <c r="J353" s="190"/>
      <c r="K353" s="190"/>
      <c r="L353" s="190"/>
      <c r="M353" s="190"/>
      <c r="N353" s="190"/>
      <c r="O353" s="190"/>
      <c r="P353" s="190"/>
      <c r="Q353" s="190"/>
      <c r="R353" s="190"/>
      <c r="S353" s="190" t="s">
        <v>1012</v>
      </c>
      <c r="T353" s="43">
        <f t="shared" si="6"/>
        <v>1</v>
      </c>
      <c r="U353" s="167">
        <f t="shared" si="7"/>
        <v>0</v>
      </c>
      <c r="V353" s="43"/>
      <c r="W353" s="43"/>
      <c r="X353" s="43"/>
    </row>
    <row r="354" spans="1:24" ht="14.25" customHeight="1">
      <c r="A354" s="190"/>
      <c r="B354" s="225"/>
      <c r="C354" s="190"/>
      <c r="D354" s="190"/>
      <c r="E354" s="232"/>
      <c r="F354" s="191"/>
      <c r="G354" s="185"/>
      <c r="H354" s="190"/>
      <c r="I354" s="190"/>
      <c r="J354" s="190"/>
      <c r="K354" s="190"/>
      <c r="L354" s="190"/>
      <c r="M354" s="190"/>
      <c r="N354" s="190"/>
      <c r="O354" s="190"/>
      <c r="P354" s="190"/>
      <c r="Q354" s="190"/>
      <c r="R354" s="190"/>
      <c r="S354" s="190"/>
      <c r="T354" s="43">
        <f t="shared" si="6"/>
        <v>1</v>
      </c>
      <c r="U354" s="167">
        <f t="shared" si="7"/>
        <v>0</v>
      </c>
      <c r="V354" s="43"/>
      <c r="W354" s="43"/>
      <c r="X354" s="43"/>
    </row>
    <row r="355" spans="1:24" ht="14.25" customHeight="1">
      <c r="A355" s="190"/>
      <c r="B355" s="225"/>
      <c r="C355" s="190"/>
      <c r="D355" s="190"/>
      <c r="E355" s="232"/>
      <c r="F355" s="191"/>
      <c r="G355" s="185"/>
      <c r="H355" s="190"/>
      <c r="I355" s="190"/>
      <c r="J355" s="190"/>
      <c r="K355" s="190"/>
      <c r="L355" s="190"/>
      <c r="M355" s="190"/>
      <c r="N355" s="190"/>
      <c r="O355" s="190"/>
      <c r="P355" s="190"/>
      <c r="Q355" s="190"/>
      <c r="R355" s="190"/>
      <c r="S355" s="190" t="s">
        <v>1417</v>
      </c>
      <c r="T355" s="43">
        <f t="shared" si="6"/>
        <v>1</v>
      </c>
      <c r="U355" s="167">
        <f t="shared" si="7"/>
        <v>0</v>
      </c>
      <c r="V355" s="43"/>
      <c r="W355" s="43"/>
      <c r="X355" s="43"/>
    </row>
    <row r="356" spans="1:24" ht="14.25" customHeight="1">
      <c r="A356" s="190"/>
      <c r="B356" s="225"/>
      <c r="C356" s="190"/>
      <c r="D356" s="190"/>
      <c r="E356" s="232"/>
      <c r="F356" s="191"/>
      <c r="G356" s="185"/>
      <c r="H356" s="190"/>
      <c r="I356" s="190"/>
      <c r="J356" s="190"/>
      <c r="K356" s="190"/>
      <c r="L356" s="190"/>
      <c r="M356" s="190"/>
      <c r="N356" s="190"/>
      <c r="O356" s="190"/>
      <c r="P356" s="190"/>
      <c r="Q356" s="190"/>
      <c r="R356" s="190"/>
      <c r="S356" s="190" t="s">
        <v>1417</v>
      </c>
      <c r="T356" s="43">
        <f t="shared" si="6"/>
        <v>1</v>
      </c>
      <c r="U356" s="167">
        <f t="shared" si="7"/>
        <v>0</v>
      </c>
      <c r="V356" s="43"/>
      <c r="W356" s="43"/>
      <c r="X356" s="43"/>
    </row>
    <row r="357" spans="1:24" ht="14.25" customHeight="1">
      <c r="A357" s="190"/>
      <c r="B357" s="225"/>
      <c r="C357" s="190"/>
      <c r="D357" s="190"/>
      <c r="E357" s="232"/>
      <c r="F357" s="191"/>
      <c r="G357" s="185"/>
      <c r="H357" s="190"/>
      <c r="I357" s="190"/>
      <c r="J357" s="190"/>
      <c r="K357" s="190"/>
      <c r="L357" s="190"/>
      <c r="M357" s="190"/>
      <c r="N357" s="190"/>
      <c r="O357" s="190"/>
      <c r="P357" s="190"/>
      <c r="Q357" s="190"/>
      <c r="R357" s="190"/>
      <c r="S357" s="190" t="s">
        <v>1112</v>
      </c>
      <c r="T357" s="43">
        <f t="shared" si="6"/>
        <v>1</v>
      </c>
      <c r="U357" s="167">
        <f t="shared" si="7"/>
        <v>0</v>
      </c>
      <c r="V357" s="43"/>
      <c r="W357" s="43"/>
      <c r="X357" s="43"/>
    </row>
    <row r="358" spans="1:24" ht="14.25" customHeight="1">
      <c r="A358" s="190"/>
      <c r="B358" s="225"/>
      <c r="C358" s="190"/>
      <c r="D358" s="190"/>
      <c r="E358" s="232"/>
      <c r="F358" s="191"/>
      <c r="G358" s="185"/>
      <c r="H358" s="190"/>
      <c r="I358" s="190"/>
      <c r="J358" s="190"/>
      <c r="K358" s="190"/>
      <c r="L358" s="190"/>
      <c r="M358" s="190"/>
      <c r="N358" s="190"/>
      <c r="O358" s="190"/>
      <c r="P358" s="190"/>
      <c r="Q358" s="190"/>
      <c r="R358" s="190"/>
      <c r="S358" s="190" t="s">
        <v>1059</v>
      </c>
      <c r="T358" s="43">
        <f t="shared" si="6"/>
        <v>1</v>
      </c>
      <c r="U358" s="167">
        <f t="shared" si="7"/>
        <v>0</v>
      </c>
      <c r="V358" s="43"/>
      <c r="W358" s="43"/>
      <c r="X358" s="43"/>
    </row>
    <row r="359" spans="1:24" ht="14.25" customHeight="1">
      <c r="A359" s="190"/>
      <c r="B359" s="225"/>
      <c r="C359" s="190"/>
      <c r="D359" s="190"/>
      <c r="E359" s="232"/>
      <c r="F359" s="191"/>
      <c r="G359" s="185"/>
      <c r="H359" s="190"/>
      <c r="I359" s="190"/>
      <c r="J359" s="190"/>
      <c r="K359" s="190"/>
      <c r="L359" s="190"/>
      <c r="M359" s="190"/>
      <c r="N359" s="190"/>
      <c r="O359" s="190"/>
      <c r="P359" s="190"/>
      <c r="Q359" s="190"/>
      <c r="R359" s="190"/>
      <c r="S359" s="190" t="s">
        <v>1085</v>
      </c>
      <c r="T359" s="43">
        <f t="shared" si="6"/>
        <v>1</v>
      </c>
      <c r="U359" s="167">
        <f t="shared" si="7"/>
        <v>0</v>
      </c>
      <c r="V359" s="43"/>
      <c r="W359" s="43"/>
      <c r="X359" s="43"/>
    </row>
    <row r="360" spans="1:24" ht="14.25" customHeight="1">
      <c r="A360" s="190"/>
      <c r="B360" s="225"/>
      <c r="C360" s="190"/>
      <c r="D360" s="190"/>
      <c r="E360" s="232"/>
      <c r="F360" s="191"/>
      <c r="G360" s="185"/>
      <c r="H360" s="190"/>
      <c r="I360" s="190"/>
      <c r="J360" s="190"/>
      <c r="K360" s="190"/>
      <c r="L360" s="190"/>
      <c r="M360" s="190"/>
      <c r="N360" s="190"/>
      <c r="O360" s="190"/>
      <c r="P360" s="190"/>
      <c r="Q360" s="190"/>
      <c r="R360" s="190"/>
      <c r="S360" s="190" t="s">
        <v>1052</v>
      </c>
      <c r="T360" s="43">
        <f t="shared" si="6"/>
        <v>1</v>
      </c>
      <c r="U360" s="167">
        <f t="shared" si="7"/>
        <v>0</v>
      </c>
      <c r="V360" s="43"/>
      <c r="W360" s="43"/>
      <c r="X360" s="43"/>
    </row>
    <row r="361" spans="1:24" ht="14.25" customHeight="1">
      <c r="A361" s="190"/>
      <c r="B361" s="225"/>
      <c r="C361" s="190"/>
      <c r="D361" s="190"/>
      <c r="E361" s="232"/>
      <c r="F361" s="191"/>
      <c r="G361" s="185"/>
      <c r="H361" s="190"/>
      <c r="I361" s="190"/>
      <c r="J361" s="190"/>
      <c r="K361" s="190"/>
      <c r="L361" s="190"/>
      <c r="M361" s="190"/>
      <c r="N361" s="190"/>
      <c r="O361" s="190"/>
      <c r="P361" s="190"/>
      <c r="Q361" s="190"/>
      <c r="R361" s="190"/>
      <c r="S361" s="190" t="s">
        <v>1025</v>
      </c>
      <c r="T361" s="43">
        <f t="shared" si="6"/>
        <v>1</v>
      </c>
      <c r="U361" s="167">
        <f t="shared" si="7"/>
        <v>0</v>
      </c>
      <c r="V361" s="43"/>
      <c r="W361" s="43"/>
      <c r="X361" s="43"/>
    </row>
    <row r="362" spans="1:24" ht="14.25" customHeight="1">
      <c r="A362" s="190"/>
      <c r="B362" s="225"/>
      <c r="C362" s="190"/>
      <c r="D362" s="190"/>
      <c r="E362" s="232"/>
      <c r="F362" s="185"/>
      <c r="G362" s="185"/>
      <c r="H362" s="190"/>
      <c r="I362" s="190"/>
      <c r="J362" s="190"/>
      <c r="K362" s="190"/>
      <c r="L362" s="190"/>
      <c r="M362" s="190"/>
      <c r="N362" s="190"/>
      <c r="O362" s="190"/>
      <c r="P362" s="190"/>
      <c r="Q362" s="190"/>
      <c r="R362" s="190"/>
      <c r="S362" s="190" t="s">
        <v>390</v>
      </c>
      <c r="T362" s="43">
        <f t="shared" si="6"/>
        <v>1</v>
      </c>
      <c r="U362" s="167">
        <f t="shared" si="7"/>
        <v>0</v>
      </c>
      <c r="V362" s="43"/>
      <c r="W362" s="43"/>
      <c r="X362" s="43"/>
    </row>
    <row r="363" spans="1:24" ht="14.25" customHeight="1">
      <c r="A363" s="190"/>
      <c r="B363" s="225"/>
      <c r="C363" s="190"/>
      <c r="D363" s="190"/>
      <c r="E363" s="232"/>
      <c r="F363" s="185"/>
      <c r="G363" s="185"/>
      <c r="H363" s="190"/>
      <c r="I363" s="190"/>
      <c r="J363" s="190"/>
      <c r="K363" s="190"/>
      <c r="L363" s="190"/>
      <c r="M363" s="190"/>
      <c r="N363" s="190"/>
      <c r="O363" s="190"/>
      <c r="P363" s="190"/>
      <c r="Q363" s="190"/>
      <c r="R363" s="190"/>
      <c r="S363" s="190" t="s">
        <v>354</v>
      </c>
      <c r="T363" s="43">
        <f t="shared" si="6"/>
        <v>1</v>
      </c>
      <c r="U363" s="167">
        <f t="shared" si="7"/>
        <v>0</v>
      </c>
      <c r="V363" s="43"/>
      <c r="W363" s="43"/>
      <c r="X363" s="43"/>
    </row>
    <row r="364" spans="1:24" ht="14.25" customHeight="1">
      <c r="A364" s="190"/>
      <c r="B364" s="225"/>
      <c r="C364" s="190"/>
      <c r="D364" s="190"/>
      <c r="E364" s="232"/>
      <c r="F364" s="185"/>
      <c r="G364" s="185"/>
      <c r="H364" s="190"/>
      <c r="I364" s="190"/>
      <c r="J364" s="190"/>
      <c r="K364" s="190"/>
      <c r="L364" s="190"/>
      <c r="M364" s="190"/>
      <c r="N364" s="190"/>
      <c r="O364" s="190"/>
      <c r="P364" s="190"/>
      <c r="Q364" s="190"/>
      <c r="R364" s="190"/>
      <c r="S364" s="190" t="s">
        <v>1076</v>
      </c>
      <c r="T364" s="43">
        <f t="shared" si="6"/>
        <v>1</v>
      </c>
      <c r="U364" s="167">
        <f t="shared" si="7"/>
        <v>0</v>
      </c>
      <c r="V364" s="43"/>
      <c r="W364" s="43"/>
      <c r="X364" s="43"/>
    </row>
    <row r="365" spans="1:24" ht="14.25" customHeight="1">
      <c r="A365" s="190"/>
      <c r="B365" s="225"/>
      <c r="C365" s="190"/>
      <c r="D365" s="190"/>
      <c r="E365" s="232"/>
      <c r="F365" s="185"/>
      <c r="G365" s="185"/>
      <c r="H365" s="190"/>
      <c r="I365" s="190"/>
      <c r="J365" s="190"/>
      <c r="K365" s="190"/>
      <c r="L365" s="190"/>
      <c r="M365" s="190"/>
      <c r="N365" s="190"/>
      <c r="O365" s="190"/>
      <c r="P365" s="190"/>
      <c r="Q365" s="190"/>
      <c r="R365" s="190"/>
      <c r="S365" s="190" t="s">
        <v>440</v>
      </c>
      <c r="T365" s="43">
        <f t="shared" si="6"/>
        <v>1</v>
      </c>
      <c r="U365" s="167">
        <f t="shared" si="7"/>
        <v>0</v>
      </c>
      <c r="V365" s="43"/>
      <c r="W365" s="43"/>
      <c r="X365" s="43"/>
    </row>
    <row r="366" spans="1:24" ht="14.25" customHeight="1">
      <c r="A366" s="190"/>
      <c r="B366" s="225"/>
      <c r="C366" s="190"/>
      <c r="D366" s="190"/>
      <c r="E366" s="232"/>
      <c r="F366" s="185"/>
      <c r="G366" s="185"/>
      <c r="H366" s="190"/>
      <c r="I366" s="190"/>
      <c r="J366" s="190"/>
      <c r="K366" s="190"/>
      <c r="L366" s="190"/>
      <c r="M366" s="190"/>
      <c r="N366" s="190"/>
      <c r="O366" s="190"/>
      <c r="P366" s="190"/>
      <c r="Q366" s="190"/>
      <c r="R366" s="190"/>
      <c r="S366" s="190" t="s">
        <v>361</v>
      </c>
      <c r="T366" s="43">
        <f t="shared" si="6"/>
        <v>1</v>
      </c>
      <c r="U366" s="167">
        <f t="shared" si="7"/>
        <v>0</v>
      </c>
      <c r="V366" s="43"/>
      <c r="W366" s="43"/>
      <c r="X366" s="43"/>
    </row>
    <row r="367" spans="1:24" ht="14.25" customHeight="1">
      <c r="A367" s="190"/>
      <c r="B367" s="225"/>
      <c r="C367" s="190"/>
      <c r="D367" s="190"/>
      <c r="E367" s="232"/>
      <c r="F367" s="185"/>
      <c r="G367" s="185"/>
      <c r="H367" s="190"/>
      <c r="I367" s="190"/>
      <c r="J367" s="190"/>
      <c r="K367" s="190"/>
      <c r="L367" s="190"/>
      <c r="M367" s="190"/>
      <c r="N367" s="190"/>
      <c r="O367" s="190"/>
      <c r="P367" s="190"/>
      <c r="Q367" s="190"/>
      <c r="R367" s="190"/>
      <c r="S367" s="190" t="s">
        <v>459</v>
      </c>
      <c r="T367" s="43">
        <f t="shared" si="6"/>
        <v>1</v>
      </c>
      <c r="U367" s="167">
        <f t="shared" si="7"/>
        <v>0</v>
      </c>
      <c r="V367" s="43"/>
      <c r="W367" s="43"/>
      <c r="X367" s="43"/>
    </row>
    <row r="368" spans="1:24" ht="14.25" customHeight="1">
      <c r="A368" s="190"/>
      <c r="B368" s="225"/>
      <c r="C368" s="190"/>
      <c r="D368" s="190"/>
      <c r="E368" s="232"/>
      <c r="F368" s="185"/>
      <c r="G368" s="185"/>
      <c r="H368" s="190"/>
      <c r="I368" s="190"/>
      <c r="J368" s="190"/>
      <c r="K368" s="190"/>
      <c r="L368" s="190"/>
      <c r="M368" s="190"/>
      <c r="N368" s="190"/>
      <c r="O368" s="190"/>
      <c r="P368" s="190"/>
      <c r="Q368" s="190"/>
      <c r="R368" s="190"/>
      <c r="S368" s="190" t="s">
        <v>468</v>
      </c>
      <c r="T368" s="43">
        <f t="shared" si="6"/>
        <v>1</v>
      </c>
      <c r="U368" s="167">
        <f t="shared" si="7"/>
        <v>0</v>
      </c>
      <c r="V368" s="43"/>
      <c r="W368" s="43"/>
      <c r="X368" s="43"/>
    </row>
    <row r="369" spans="1:24" ht="14.25" customHeight="1">
      <c r="A369" s="190"/>
      <c r="B369" s="225"/>
      <c r="C369" s="190"/>
      <c r="D369" s="190"/>
      <c r="E369" s="232"/>
      <c r="F369" s="185"/>
      <c r="G369" s="185"/>
      <c r="H369" s="190"/>
      <c r="I369" s="190"/>
      <c r="J369" s="190"/>
      <c r="K369" s="190"/>
      <c r="L369" s="190"/>
      <c r="M369" s="190"/>
      <c r="N369" s="190"/>
      <c r="O369" s="190"/>
      <c r="P369" s="190"/>
      <c r="Q369" s="190"/>
      <c r="R369" s="190"/>
      <c r="S369" s="190"/>
      <c r="T369" s="43">
        <f t="shared" si="6"/>
        <v>1</v>
      </c>
      <c r="U369" s="167">
        <f t="shared" si="7"/>
        <v>0</v>
      </c>
      <c r="V369" s="43"/>
      <c r="W369" s="43"/>
      <c r="X369" s="43"/>
    </row>
    <row r="370" spans="1:24" ht="14.25" customHeight="1">
      <c r="A370" s="190"/>
      <c r="B370" s="225"/>
      <c r="C370" s="190"/>
      <c r="D370" s="190"/>
      <c r="E370" s="232"/>
      <c r="F370" s="185"/>
      <c r="G370" s="185"/>
      <c r="H370" s="190"/>
      <c r="I370" s="190"/>
      <c r="J370" s="190"/>
      <c r="K370" s="190"/>
      <c r="L370" s="190"/>
      <c r="M370" s="190"/>
      <c r="N370" s="190"/>
      <c r="O370" s="190"/>
      <c r="P370" s="190"/>
      <c r="Q370" s="190"/>
      <c r="R370" s="190"/>
      <c r="S370" s="190"/>
      <c r="T370" s="43">
        <f t="shared" si="6"/>
        <v>1</v>
      </c>
      <c r="U370" s="167">
        <f t="shared" si="7"/>
        <v>0</v>
      </c>
      <c r="V370" s="43"/>
      <c r="W370" s="43"/>
      <c r="X370" s="43"/>
    </row>
    <row r="371" spans="1:24" ht="14.25" customHeight="1">
      <c r="A371" s="190"/>
      <c r="B371" s="225"/>
      <c r="C371" s="190"/>
      <c r="D371" s="190"/>
      <c r="E371" s="232"/>
      <c r="F371" s="185"/>
      <c r="G371" s="185"/>
      <c r="H371" s="190"/>
      <c r="I371" s="190"/>
      <c r="J371" s="190"/>
      <c r="K371" s="190"/>
      <c r="L371" s="190"/>
      <c r="M371" s="190"/>
      <c r="N371" s="190"/>
      <c r="O371" s="190"/>
      <c r="P371" s="190"/>
      <c r="Q371" s="190"/>
      <c r="R371" s="190"/>
      <c r="S371" s="190" t="s">
        <v>453</v>
      </c>
      <c r="T371" s="43">
        <f t="shared" si="6"/>
        <v>1</v>
      </c>
      <c r="U371" s="167">
        <f t="shared" si="7"/>
        <v>0</v>
      </c>
      <c r="V371" s="43"/>
      <c r="W371" s="43"/>
      <c r="X371" s="43"/>
    </row>
    <row r="372" spans="1:24" ht="14.25" customHeight="1">
      <c r="A372" s="190"/>
      <c r="B372" s="225"/>
      <c r="C372" s="190"/>
      <c r="D372" s="190"/>
      <c r="E372" s="232"/>
      <c r="F372" s="185"/>
      <c r="G372" s="185"/>
      <c r="H372" s="190"/>
      <c r="I372" s="190"/>
      <c r="J372" s="190"/>
      <c r="K372" s="190"/>
      <c r="L372" s="190"/>
      <c r="M372" s="190"/>
      <c r="N372" s="190"/>
      <c r="O372" s="190"/>
      <c r="P372" s="190"/>
      <c r="Q372" s="190"/>
      <c r="R372" s="190"/>
      <c r="S372" s="190" t="s">
        <v>320</v>
      </c>
      <c r="T372" s="43">
        <f t="shared" si="6"/>
        <v>1</v>
      </c>
      <c r="U372" s="167">
        <f t="shared" si="7"/>
        <v>0</v>
      </c>
      <c r="V372" s="43"/>
      <c r="W372" s="43"/>
      <c r="X372" s="43"/>
    </row>
    <row r="373" spans="1:24" ht="14.25" customHeight="1">
      <c r="A373" s="190"/>
      <c r="B373" s="225"/>
      <c r="C373" s="190"/>
      <c r="D373" s="190"/>
      <c r="E373" s="232"/>
      <c r="F373" s="185"/>
      <c r="G373" s="185"/>
      <c r="H373" s="190"/>
      <c r="I373" s="190"/>
      <c r="J373" s="190"/>
      <c r="K373" s="190"/>
      <c r="L373" s="190"/>
      <c r="M373" s="190"/>
      <c r="N373" s="190"/>
      <c r="O373" s="190"/>
      <c r="P373" s="190"/>
      <c r="Q373" s="190"/>
      <c r="R373" s="190"/>
      <c r="S373" s="190" t="s">
        <v>1141</v>
      </c>
      <c r="T373" s="43">
        <f t="shared" si="6"/>
        <v>1</v>
      </c>
      <c r="U373" s="167">
        <f t="shared" si="7"/>
        <v>0</v>
      </c>
      <c r="V373" s="43"/>
      <c r="W373" s="43"/>
      <c r="X373" s="43"/>
    </row>
    <row r="374" spans="1:24" ht="14.25" customHeight="1">
      <c r="A374" s="190"/>
      <c r="B374" s="225"/>
      <c r="C374" s="190"/>
      <c r="D374" s="190"/>
      <c r="E374" s="232"/>
      <c r="F374" s="191"/>
      <c r="G374" s="185"/>
      <c r="H374" s="190"/>
      <c r="I374" s="190"/>
      <c r="J374" s="190"/>
      <c r="K374" s="190"/>
      <c r="L374" s="190"/>
      <c r="M374" s="190"/>
      <c r="N374" s="190"/>
      <c r="O374" s="190"/>
      <c r="P374" s="190"/>
      <c r="Q374" s="190"/>
      <c r="R374" s="190"/>
      <c r="S374" s="190"/>
      <c r="T374" s="43">
        <f t="shared" si="6"/>
        <v>1</v>
      </c>
      <c r="U374" s="167">
        <f t="shared" si="7"/>
        <v>0</v>
      </c>
      <c r="V374" s="43"/>
      <c r="W374" s="43"/>
      <c r="X374" s="43"/>
    </row>
    <row r="375" spans="1:24" ht="14.25" customHeight="1">
      <c r="A375" s="190"/>
      <c r="B375" s="225"/>
      <c r="C375" s="190"/>
      <c r="D375" s="190"/>
      <c r="E375" s="232"/>
      <c r="F375" s="185"/>
      <c r="G375" s="185"/>
      <c r="H375" s="190"/>
      <c r="I375" s="190"/>
      <c r="J375" s="190"/>
      <c r="K375" s="190"/>
      <c r="L375" s="190"/>
      <c r="M375" s="190"/>
      <c r="N375" s="190"/>
      <c r="O375" s="190"/>
      <c r="P375" s="190"/>
      <c r="Q375" s="190"/>
      <c r="R375" s="190"/>
      <c r="S375" s="190" t="s">
        <v>299</v>
      </c>
      <c r="T375" s="43">
        <f t="shared" si="6"/>
        <v>1</v>
      </c>
      <c r="U375" s="167">
        <f t="shared" si="7"/>
        <v>0</v>
      </c>
      <c r="V375" s="43"/>
      <c r="W375" s="43"/>
      <c r="X375" s="43"/>
    </row>
    <row r="376" spans="1:24" ht="14.25" customHeight="1">
      <c r="A376" s="190"/>
      <c r="B376" s="225"/>
      <c r="C376" s="190"/>
      <c r="D376" s="190"/>
      <c r="E376" s="232"/>
      <c r="F376" s="185"/>
      <c r="G376" s="185"/>
      <c r="H376" s="190"/>
      <c r="I376" s="190"/>
      <c r="J376" s="190"/>
      <c r="K376" s="190"/>
      <c r="L376" s="190"/>
      <c r="M376" s="190"/>
      <c r="N376" s="190"/>
      <c r="O376" s="190"/>
      <c r="P376" s="190"/>
      <c r="Q376" s="190"/>
      <c r="R376" s="190"/>
      <c r="S376" s="190" t="s">
        <v>299</v>
      </c>
      <c r="T376" s="43">
        <f t="shared" si="6"/>
        <v>1</v>
      </c>
      <c r="U376" s="167">
        <f t="shared" si="7"/>
        <v>0</v>
      </c>
      <c r="V376" s="43"/>
      <c r="W376" s="43"/>
      <c r="X376" s="43"/>
    </row>
    <row r="377" spans="1:24" ht="14.25" customHeight="1">
      <c r="A377" s="190"/>
      <c r="B377" s="225"/>
      <c r="C377" s="190"/>
      <c r="D377" s="190"/>
      <c r="E377" s="232"/>
      <c r="F377" s="185"/>
      <c r="G377" s="185"/>
      <c r="H377" s="190"/>
      <c r="I377" s="190"/>
      <c r="J377" s="190"/>
      <c r="K377" s="190"/>
      <c r="L377" s="190"/>
      <c r="M377" s="190"/>
      <c r="N377" s="190"/>
      <c r="O377" s="190"/>
      <c r="P377" s="190"/>
      <c r="Q377" s="190"/>
      <c r="R377" s="190"/>
      <c r="S377" s="190" t="s">
        <v>299</v>
      </c>
      <c r="T377" s="43">
        <f t="shared" si="6"/>
        <v>1</v>
      </c>
      <c r="U377" s="167">
        <f t="shared" si="7"/>
        <v>0</v>
      </c>
      <c r="V377" s="43"/>
      <c r="W377" s="43"/>
      <c r="X377" s="43"/>
    </row>
    <row r="378" spans="1:24" ht="14.25" customHeight="1">
      <c r="A378" s="190"/>
      <c r="B378" s="225"/>
      <c r="C378" s="190"/>
      <c r="D378" s="190"/>
      <c r="E378" s="232"/>
      <c r="F378" s="185"/>
      <c r="G378" s="185"/>
      <c r="H378" s="190"/>
      <c r="I378" s="190"/>
      <c r="J378" s="190"/>
      <c r="K378" s="190"/>
      <c r="L378" s="190"/>
      <c r="M378" s="190"/>
      <c r="N378" s="190"/>
      <c r="O378" s="190"/>
      <c r="P378" s="190"/>
      <c r="Q378" s="190"/>
      <c r="R378" s="190"/>
      <c r="S378" s="190" t="s">
        <v>299</v>
      </c>
      <c r="T378" s="43">
        <f t="shared" si="6"/>
        <v>1</v>
      </c>
      <c r="U378" s="167">
        <f t="shared" si="7"/>
        <v>0</v>
      </c>
      <c r="V378" s="43"/>
      <c r="W378" s="43"/>
      <c r="X378" s="43"/>
    </row>
    <row r="379" spans="1:24" ht="14.25" customHeight="1">
      <c r="A379" s="190"/>
      <c r="B379" s="225"/>
      <c r="C379" s="190"/>
      <c r="D379" s="190"/>
      <c r="E379" s="232"/>
      <c r="F379" s="191"/>
      <c r="G379" s="185"/>
      <c r="H379" s="190"/>
      <c r="I379" s="190"/>
      <c r="J379" s="190"/>
      <c r="K379" s="190"/>
      <c r="L379" s="190"/>
      <c r="M379" s="190"/>
      <c r="N379" s="190"/>
      <c r="O379" s="190"/>
      <c r="P379" s="190"/>
      <c r="Q379" s="190"/>
      <c r="R379" s="190"/>
      <c r="S379" s="190"/>
      <c r="T379" s="43">
        <f t="shared" si="6"/>
        <v>1</v>
      </c>
      <c r="U379" s="167">
        <f t="shared" si="7"/>
        <v>0</v>
      </c>
      <c r="V379" s="43"/>
      <c r="W379" s="43"/>
      <c r="X379" s="43"/>
    </row>
    <row r="380" spans="1:24" ht="14.25" customHeight="1">
      <c r="A380" s="190"/>
      <c r="B380" s="225"/>
      <c r="C380" s="190"/>
      <c r="D380" s="190"/>
      <c r="E380" s="232"/>
      <c r="F380" s="185"/>
      <c r="G380" s="185"/>
      <c r="H380" s="190"/>
      <c r="I380" s="190"/>
      <c r="J380" s="190"/>
      <c r="K380" s="190"/>
      <c r="L380" s="190"/>
      <c r="M380" s="190"/>
      <c r="N380" s="190"/>
      <c r="O380" s="190"/>
      <c r="P380" s="190"/>
      <c r="Q380" s="190"/>
      <c r="R380" s="190"/>
      <c r="S380" s="190"/>
      <c r="T380" s="43">
        <f t="shared" si="6"/>
        <v>1</v>
      </c>
      <c r="U380" s="167">
        <f t="shared" si="7"/>
        <v>0</v>
      </c>
      <c r="V380" s="43"/>
      <c r="W380" s="43"/>
      <c r="X380" s="43"/>
    </row>
    <row r="381" spans="1:24" ht="14.25" customHeight="1">
      <c r="A381" s="190"/>
      <c r="B381" s="225"/>
      <c r="C381" s="190"/>
      <c r="D381" s="190"/>
      <c r="E381" s="232"/>
      <c r="F381" s="185"/>
      <c r="G381" s="185"/>
      <c r="H381" s="190"/>
      <c r="I381" s="190"/>
      <c r="J381" s="190"/>
      <c r="K381" s="190"/>
      <c r="L381" s="190"/>
      <c r="M381" s="190"/>
      <c r="N381" s="190"/>
      <c r="O381" s="190"/>
      <c r="P381" s="190"/>
      <c r="Q381" s="190"/>
      <c r="R381" s="190"/>
      <c r="S381" s="190" t="s">
        <v>1100</v>
      </c>
      <c r="T381" s="43">
        <f t="shared" si="6"/>
        <v>1</v>
      </c>
      <c r="U381" s="167">
        <f t="shared" si="7"/>
        <v>0</v>
      </c>
      <c r="V381" s="43"/>
      <c r="W381" s="43"/>
      <c r="X381" s="43"/>
    </row>
    <row r="382" spans="1:24" ht="14.25" customHeight="1">
      <c r="A382" s="190"/>
      <c r="B382" s="225"/>
      <c r="C382" s="190"/>
      <c r="D382" s="190"/>
      <c r="E382" s="232"/>
      <c r="F382" s="185"/>
      <c r="G382" s="185"/>
      <c r="H382" s="190"/>
      <c r="I382" s="190"/>
      <c r="J382" s="190"/>
      <c r="K382" s="190"/>
      <c r="L382" s="190"/>
      <c r="M382" s="190"/>
      <c r="N382" s="190"/>
      <c r="O382" s="190"/>
      <c r="P382" s="190"/>
      <c r="Q382" s="190"/>
      <c r="R382" s="190"/>
      <c r="S382" s="190" t="s">
        <v>1012</v>
      </c>
      <c r="T382" s="43">
        <f t="shared" si="6"/>
        <v>1</v>
      </c>
      <c r="U382" s="167">
        <f t="shared" si="7"/>
        <v>0</v>
      </c>
      <c r="V382" s="43"/>
      <c r="W382" s="43"/>
      <c r="X382" s="43"/>
    </row>
    <row r="383" spans="1:24" ht="14.25" customHeight="1">
      <c r="A383" s="190"/>
      <c r="B383" s="225"/>
      <c r="C383" s="190"/>
      <c r="D383" s="190"/>
      <c r="E383" s="232"/>
      <c r="F383" s="191"/>
      <c r="G383" s="185"/>
      <c r="H383" s="190"/>
      <c r="I383" s="190"/>
      <c r="J383" s="190"/>
      <c r="K383" s="190"/>
      <c r="L383" s="190"/>
      <c r="M383" s="190"/>
      <c r="N383" s="190"/>
      <c r="O383" s="190"/>
      <c r="P383" s="190"/>
      <c r="Q383" s="190"/>
      <c r="R383" s="190"/>
      <c r="S383" s="190"/>
      <c r="T383" s="43">
        <f t="shared" si="6"/>
        <v>1</v>
      </c>
      <c r="U383" s="167">
        <f t="shared" si="7"/>
        <v>0</v>
      </c>
      <c r="V383" s="43"/>
      <c r="W383" s="43"/>
      <c r="X383" s="43"/>
    </row>
    <row r="384" spans="1:24" ht="14.25" customHeight="1">
      <c r="A384" s="190"/>
      <c r="B384" s="225"/>
      <c r="C384" s="190"/>
      <c r="D384" s="190"/>
      <c r="E384" s="232"/>
      <c r="F384" s="191"/>
      <c r="G384" s="185"/>
      <c r="H384" s="190"/>
      <c r="I384" s="190"/>
      <c r="J384" s="190"/>
      <c r="K384" s="190"/>
      <c r="L384" s="190"/>
      <c r="M384" s="190"/>
      <c r="N384" s="190"/>
      <c r="O384" s="190"/>
      <c r="P384" s="190"/>
      <c r="Q384" s="190"/>
      <c r="R384" s="190"/>
      <c r="S384" s="190" t="s">
        <v>1208</v>
      </c>
      <c r="T384" s="43">
        <f t="shared" si="6"/>
        <v>1</v>
      </c>
      <c r="U384" s="167">
        <f t="shared" si="7"/>
        <v>0</v>
      </c>
      <c r="V384" s="43"/>
      <c r="W384" s="43"/>
      <c r="X384" s="43"/>
    </row>
    <row r="385" spans="1:24" ht="14.25" customHeight="1">
      <c r="A385" s="190"/>
      <c r="B385" s="225"/>
      <c r="C385" s="190"/>
      <c r="D385" s="190"/>
      <c r="E385" s="232"/>
      <c r="F385" s="191"/>
      <c r="G385" s="185"/>
      <c r="H385" s="190"/>
      <c r="I385" s="190"/>
      <c r="J385" s="190"/>
      <c r="K385" s="190"/>
      <c r="L385" s="190"/>
      <c r="M385" s="190"/>
      <c r="N385" s="190"/>
      <c r="O385" s="190"/>
      <c r="P385" s="190"/>
      <c r="Q385" s="190"/>
      <c r="R385" s="190"/>
      <c r="S385" s="190" t="s">
        <v>1194</v>
      </c>
      <c r="T385" s="43">
        <f t="shared" si="6"/>
        <v>1</v>
      </c>
      <c r="U385" s="167">
        <f t="shared" si="7"/>
        <v>0</v>
      </c>
      <c r="V385" s="43"/>
      <c r="W385" s="43"/>
      <c r="X385" s="43"/>
    </row>
    <row r="386" spans="1:24" ht="14.25" customHeight="1">
      <c r="A386" s="190"/>
      <c r="B386" s="225"/>
      <c r="C386" s="190"/>
      <c r="D386" s="190"/>
      <c r="E386" s="232"/>
      <c r="F386" s="191"/>
      <c r="G386" s="185"/>
      <c r="H386" s="190"/>
      <c r="I386" s="190"/>
      <c r="J386" s="190"/>
      <c r="K386" s="190"/>
      <c r="L386" s="190"/>
      <c r="M386" s="190"/>
      <c r="N386" s="190"/>
      <c r="O386" s="190"/>
      <c r="P386" s="190"/>
      <c r="Q386" s="190"/>
      <c r="R386" s="190"/>
      <c r="S386" s="190" t="s">
        <v>1180</v>
      </c>
      <c r="T386" s="43">
        <f t="shared" si="6"/>
        <v>1</v>
      </c>
      <c r="U386" s="167">
        <f t="shared" si="7"/>
        <v>0</v>
      </c>
      <c r="V386" s="43"/>
      <c r="W386" s="43"/>
      <c r="X386" s="43"/>
    </row>
    <row r="387" spans="1:24" ht="14.25" customHeight="1">
      <c r="A387" s="190"/>
      <c r="B387" s="225"/>
      <c r="C387" s="190"/>
      <c r="D387" s="190"/>
      <c r="E387" s="232"/>
      <c r="F387" s="191"/>
      <c r="G387" s="185"/>
      <c r="H387" s="190"/>
      <c r="I387" s="190"/>
      <c r="J387" s="190"/>
      <c r="K387" s="190"/>
      <c r="L387" s="190"/>
      <c r="M387" s="190"/>
      <c r="N387" s="190"/>
      <c r="O387" s="190"/>
      <c r="P387" s="190"/>
      <c r="Q387" s="190"/>
      <c r="R387" s="190"/>
      <c r="S387" s="190" t="s">
        <v>1164</v>
      </c>
      <c r="T387" s="43">
        <f t="shared" si="6"/>
        <v>1</v>
      </c>
      <c r="U387" s="167">
        <f t="shared" si="7"/>
        <v>0</v>
      </c>
      <c r="V387" s="43"/>
      <c r="W387" s="43"/>
      <c r="X387" s="43"/>
    </row>
    <row r="388" spans="1:24" ht="14.25" customHeight="1">
      <c r="A388" s="190"/>
      <c r="B388" s="225"/>
      <c r="C388" s="190"/>
      <c r="D388" s="190"/>
      <c r="E388" s="232"/>
      <c r="F388" s="191"/>
      <c r="G388" s="185"/>
      <c r="H388" s="190"/>
      <c r="I388" s="190"/>
      <c r="J388" s="190"/>
      <c r="K388" s="190"/>
      <c r="L388" s="190"/>
      <c r="M388" s="190"/>
      <c r="N388" s="190"/>
      <c r="O388" s="190"/>
      <c r="P388" s="190"/>
      <c r="Q388" s="190"/>
      <c r="R388" s="190"/>
      <c r="S388" s="190" t="s">
        <v>1229</v>
      </c>
      <c r="T388" s="43">
        <f t="shared" si="6"/>
        <v>1</v>
      </c>
      <c r="U388" s="167">
        <f t="shared" si="7"/>
        <v>0</v>
      </c>
      <c r="V388" s="43"/>
      <c r="W388" s="43"/>
      <c r="X388" s="43"/>
    </row>
    <row r="389" spans="1:24" ht="14.25" customHeight="1">
      <c r="A389" s="190"/>
      <c r="B389" s="225"/>
      <c r="C389" s="190"/>
      <c r="D389" s="190"/>
      <c r="E389" s="232"/>
      <c r="F389" s="191"/>
      <c r="G389" s="185"/>
      <c r="H389" s="190"/>
      <c r="I389" s="190"/>
      <c r="J389" s="190"/>
      <c r="K389" s="190"/>
      <c r="L389" s="190"/>
      <c r="M389" s="190"/>
      <c r="N389" s="190"/>
      <c r="O389" s="190"/>
      <c r="P389" s="190"/>
      <c r="Q389" s="190"/>
      <c r="R389" s="190"/>
      <c r="S389" s="190" t="s">
        <v>1285</v>
      </c>
      <c r="T389" s="43">
        <f t="shared" si="6"/>
        <v>1</v>
      </c>
      <c r="U389" s="167">
        <f t="shared" si="7"/>
        <v>0</v>
      </c>
      <c r="V389" s="43"/>
      <c r="W389" s="43"/>
      <c r="X389" s="43"/>
    </row>
    <row r="390" spans="1:24" ht="14.25" customHeight="1">
      <c r="A390" s="190"/>
      <c r="B390" s="225"/>
      <c r="C390" s="190"/>
      <c r="D390" s="190"/>
      <c r="E390" s="232"/>
      <c r="F390" s="191"/>
      <c r="G390" s="185"/>
      <c r="H390" s="190"/>
      <c r="I390" s="190"/>
      <c r="J390" s="190"/>
      <c r="K390" s="190"/>
      <c r="L390" s="190"/>
      <c r="M390" s="190"/>
      <c r="N390" s="190"/>
      <c r="O390" s="190"/>
      <c r="P390" s="190"/>
      <c r="Q390" s="190"/>
      <c r="R390" s="190"/>
      <c r="S390" s="190" t="s">
        <v>1262</v>
      </c>
      <c r="T390" s="43">
        <f t="shared" si="6"/>
        <v>1</v>
      </c>
      <c r="U390" s="167">
        <f t="shared" si="7"/>
        <v>0</v>
      </c>
      <c r="V390" s="43"/>
      <c r="W390" s="43"/>
      <c r="X390" s="43"/>
    </row>
    <row r="391" spans="1:24" ht="14.25" customHeight="1">
      <c r="A391" s="190"/>
      <c r="B391" s="225"/>
      <c r="C391" s="190"/>
      <c r="D391" s="190"/>
      <c r="E391" s="232"/>
      <c r="F391" s="191"/>
      <c r="G391" s="185"/>
      <c r="H391" s="190"/>
      <c r="I391" s="190"/>
      <c r="J391" s="190"/>
      <c r="K391" s="190"/>
      <c r="L391" s="190"/>
      <c r="M391" s="190"/>
      <c r="N391" s="190"/>
      <c r="O391" s="190"/>
      <c r="P391" s="190"/>
      <c r="Q391" s="190"/>
      <c r="R391" s="190"/>
      <c r="S391" s="190" t="s">
        <v>1172</v>
      </c>
      <c r="T391" s="43">
        <f t="shared" si="6"/>
        <v>1</v>
      </c>
      <c r="U391" s="167">
        <f t="shared" si="7"/>
        <v>0</v>
      </c>
      <c r="V391" s="43"/>
      <c r="W391" s="43"/>
      <c r="X391" s="43"/>
    </row>
    <row r="392" spans="1:24" ht="14.25" customHeight="1">
      <c r="A392" s="190"/>
      <c r="B392" s="225"/>
      <c r="C392" s="190"/>
      <c r="D392" s="190"/>
      <c r="E392" s="232"/>
      <c r="F392" s="191"/>
      <c r="G392" s="185"/>
      <c r="H392" s="190"/>
      <c r="I392" s="190"/>
      <c r="J392" s="190"/>
      <c r="K392" s="190"/>
      <c r="L392" s="190"/>
      <c r="M392" s="190"/>
      <c r="N392" s="190"/>
      <c r="O392" s="190"/>
      <c r="P392" s="190"/>
      <c r="Q392" s="190"/>
      <c r="R392" s="190"/>
      <c r="S392" s="190" t="s">
        <v>1129</v>
      </c>
      <c r="T392" s="43">
        <f t="shared" si="6"/>
        <v>1</v>
      </c>
      <c r="U392" s="167">
        <f t="shared" si="7"/>
        <v>0</v>
      </c>
      <c r="V392" s="43"/>
      <c r="W392" s="43"/>
      <c r="X392" s="43"/>
    </row>
    <row r="393" spans="1:24" ht="14.25" customHeight="1">
      <c r="A393" s="190"/>
      <c r="B393" s="225"/>
      <c r="C393" s="190"/>
      <c r="D393" s="190"/>
      <c r="E393" s="232"/>
      <c r="F393" s="191"/>
      <c r="G393" s="185"/>
      <c r="H393" s="190"/>
      <c r="I393" s="190"/>
      <c r="J393" s="190"/>
      <c r="K393" s="190"/>
      <c r="L393" s="190"/>
      <c r="M393" s="190"/>
      <c r="N393" s="190"/>
      <c r="O393" s="190"/>
      <c r="P393" s="190"/>
      <c r="Q393" s="190"/>
      <c r="R393" s="190"/>
      <c r="S393" s="190" t="s">
        <v>1121</v>
      </c>
      <c r="T393" s="43">
        <f t="shared" si="6"/>
        <v>1</v>
      </c>
      <c r="U393" s="167">
        <f t="shared" si="7"/>
        <v>0</v>
      </c>
      <c r="V393" s="43"/>
      <c r="W393" s="43"/>
      <c r="X393" s="43"/>
    </row>
    <row r="394" spans="1:24" ht="14.25" customHeight="1">
      <c r="A394" s="190"/>
      <c r="B394" s="225"/>
      <c r="C394" s="190"/>
      <c r="D394" s="190"/>
      <c r="E394" s="232"/>
      <c r="F394" s="191"/>
      <c r="G394" s="185"/>
      <c r="H394" s="190"/>
      <c r="I394" s="190"/>
      <c r="J394" s="190"/>
      <c r="K394" s="190"/>
      <c r="L394" s="190"/>
      <c r="M394" s="190"/>
      <c r="N394" s="190"/>
      <c r="O394" s="190"/>
      <c r="P394" s="190"/>
      <c r="Q394" s="190"/>
      <c r="R394" s="190"/>
      <c r="S394" s="190" t="s">
        <v>1203</v>
      </c>
      <c r="T394" s="43">
        <f t="shared" si="6"/>
        <v>1</v>
      </c>
      <c r="U394" s="167">
        <f t="shared" si="7"/>
        <v>0</v>
      </c>
      <c r="V394" s="43"/>
      <c r="W394" s="43"/>
      <c r="X394" s="43"/>
    </row>
    <row r="395" spans="1:24" ht="14.25" customHeight="1">
      <c r="A395" s="190"/>
      <c r="B395" s="225"/>
      <c r="C395" s="190"/>
      <c r="D395" s="190"/>
      <c r="E395" s="232"/>
      <c r="F395" s="191"/>
      <c r="G395" s="185"/>
      <c r="H395" s="190"/>
      <c r="I395" s="190"/>
      <c r="J395" s="190"/>
      <c r="K395" s="190"/>
      <c r="L395" s="190"/>
      <c r="M395" s="190"/>
      <c r="N395" s="190"/>
      <c r="O395" s="190"/>
      <c r="P395" s="190"/>
      <c r="Q395" s="190"/>
      <c r="R395" s="190"/>
      <c r="S395" s="190" t="s">
        <v>1187</v>
      </c>
      <c r="T395" s="43">
        <f t="shared" si="6"/>
        <v>1</v>
      </c>
      <c r="U395" s="167">
        <f t="shared" si="7"/>
        <v>0</v>
      </c>
      <c r="V395" s="43"/>
      <c r="W395" s="43"/>
      <c r="X395" s="43"/>
    </row>
    <row r="396" spans="1:24" ht="14.25" customHeight="1">
      <c r="A396" s="190"/>
      <c r="B396" s="225"/>
      <c r="C396" s="190"/>
      <c r="D396" s="190"/>
      <c r="E396" s="232"/>
      <c r="F396" s="191"/>
      <c r="G396" s="185"/>
      <c r="H396" s="190"/>
      <c r="I396" s="190"/>
      <c r="J396" s="190"/>
      <c r="K396" s="190"/>
      <c r="L396" s="190"/>
      <c r="M396" s="190"/>
      <c r="N396" s="190"/>
      <c r="O396" s="190"/>
      <c r="P396" s="190"/>
      <c r="Q396" s="190"/>
      <c r="R396" s="190"/>
      <c r="S396" s="190" t="s">
        <v>1137</v>
      </c>
      <c r="T396" s="43">
        <f t="shared" si="6"/>
        <v>1</v>
      </c>
      <c r="U396" s="167">
        <f t="shared" si="7"/>
        <v>0</v>
      </c>
      <c r="V396" s="43"/>
      <c r="W396" s="43"/>
      <c r="X396" s="43"/>
    </row>
    <row r="397" spans="1:24" ht="14.25" customHeight="1">
      <c r="A397" s="190"/>
      <c r="B397" s="225"/>
      <c r="C397" s="190"/>
      <c r="D397" s="190"/>
      <c r="E397" s="232"/>
      <c r="F397" s="191"/>
      <c r="G397" s="185"/>
      <c r="H397" s="190"/>
      <c r="I397" s="190"/>
      <c r="J397" s="190"/>
      <c r="K397" s="190"/>
      <c r="L397" s="190"/>
      <c r="M397" s="190"/>
      <c r="N397" s="190"/>
      <c r="O397" s="190"/>
      <c r="P397" s="190"/>
      <c r="Q397" s="190"/>
      <c r="R397" s="190"/>
      <c r="S397" s="190" t="s">
        <v>621</v>
      </c>
      <c r="T397" s="43">
        <f t="shared" si="6"/>
        <v>1</v>
      </c>
      <c r="U397" s="167">
        <f t="shared" si="7"/>
        <v>0</v>
      </c>
      <c r="V397" s="43"/>
      <c r="W397" s="43"/>
      <c r="X397" s="43"/>
    </row>
    <row r="398" spans="1:24" ht="14.25" customHeight="1">
      <c r="A398" s="190"/>
      <c r="B398" s="225"/>
      <c r="C398" s="190"/>
      <c r="D398" s="190"/>
      <c r="E398" s="232"/>
      <c r="F398" s="185"/>
      <c r="G398" s="185"/>
      <c r="H398" s="190"/>
      <c r="I398" s="190"/>
      <c r="J398" s="190"/>
      <c r="K398" s="190"/>
      <c r="L398" s="190"/>
      <c r="M398" s="190"/>
      <c r="N398" s="190"/>
      <c r="O398" s="190"/>
      <c r="P398" s="190"/>
      <c r="Q398" s="190"/>
      <c r="R398" s="190"/>
      <c r="S398" s="190" t="s">
        <v>1212</v>
      </c>
      <c r="T398" s="43">
        <f t="shared" si="6"/>
        <v>1</v>
      </c>
      <c r="U398" s="167">
        <f t="shared" si="7"/>
        <v>0</v>
      </c>
      <c r="V398" s="43"/>
      <c r="W398" s="43"/>
      <c r="X398" s="43"/>
    </row>
    <row r="399" spans="1:24" ht="14.25" customHeight="1">
      <c r="A399" s="190"/>
      <c r="B399" s="225"/>
      <c r="C399" s="190"/>
      <c r="D399" s="190"/>
      <c r="E399" s="232"/>
      <c r="F399" s="185"/>
      <c r="G399" s="185"/>
      <c r="H399" s="190"/>
      <c r="I399" s="190"/>
      <c r="J399" s="190"/>
      <c r="K399" s="190"/>
      <c r="L399" s="190"/>
      <c r="M399" s="190"/>
      <c r="N399" s="190"/>
      <c r="O399" s="190"/>
      <c r="P399" s="190"/>
      <c r="Q399" s="190"/>
      <c r="R399" s="190"/>
      <c r="S399" s="190"/>
      <c r="T399" s="43">
        <f t="shared" si="6"/>
        <v>1</v>
      </c>
      <c r="U399" s="167">
        <f t="shared" si="7"/>
        <v>0</v>
      </c>
      <c r="V399" s="43"/>
      <c r="W399" s="43"/>
      <c r="X399" s="43"/>
    </row>
    <row r="400" spans="1:24" ht="14.25" customHeight="1">
      <c r="A400" s="190"/>
      <c r="B400" s="225"/>
      <c r="C400" s="190"/>
      <c r="D400" s="190"/>
      <c r="E400" s="232"/>
      <c r="F400" s="185"/>
      <c r="G400" s="185"/>
      <c r="H400" s="190"/>
      <c r="I400" s="190"/>
      <c r="J400" s="190"/>
      <c r="K400" s="190"/>
      <c r="L400" s="190"/>
      <c r="M400" s="190"/>
      <c r="N400" s="190"/>
      <c r="O400" s="190"/>
      <c r="P400" s="190"/>
      <c r="Q400" s="190"/>
      <c r="R400" s="190"/>
      <c r="S400" s="190" t="s">
        <v>1005</v>
      </c>
      <c r="T400" s="43">
        <f t="shared" si="6"/>
        <v>1</v>
      </c>
      <c r="U400" s="167">
        <f t="shared" si="7"/>
        <v>0</v>
      </c>
      <c r="V400" s="43"/>
      <c r="W400" s="43"/>
      <c r="X400" s="43"/>
    </row>
    <row r="401" spans="1:24" ht="14.25" customHeight="1">
      <c r="A401" s="190"/>
      <c r="B401" s="225"/>
      <c r="C401" s="190"/>
      <c r="D401" s="190"/>
      <c r="E401" s="232"/>
      <c r="F401" s="185"/>
      <c r="G401" s="185"/>
      <c r="H401" s="190"/>
      <c r="I401" s="190"/>
      <c r="J401" s="190"/>
      <c r="K401" s="190"/>
      <c r="L401" s="190"/>
      <c r="M401" s="190"/>
      <c r="N401" s="190"/>
      <c r="O401" s="190"/>
      <c r="P401" s="190"/>
      <c r="Q401" s="190"/>
      <c r="R401" s="190"/>
      <c r="S401" s="190" t="s">
        <v>1446</v>
      </c>
      <c r="T401" s="43">
        <f t="shared" si="6"/>
        <v>1</v>
      </c>
      <c r="U401" s="167">
        <f t="shared" si="7"/>
        <v>0</v>
      </c>
      <c r="V401" s="43"/>
      <c r="W401" s="43"/>
      <c r="X401" s="43"/>
    </row>
    <row r="402" spans="1:24" ht="14.25" customHeight="1">
      <c r="A402" s="190"/>
      <c r="B402" s="225"/>
      <c r="C402" s="190"/>
      <c r="D402" s="190"/>
      <c r="E402" s="232"/>
      <c r="F402" s="185"/>
      <c r="G402" s="185"/>
      <c r="H402" s="190"/>
      <c r="I402" s="190"/>
      <c r="J402" s="190"/>
      <c r="K402" s="190"/>
      <c r="L402" s="190"/>
      <c r="M402" s="190"/>
      <c r="N402" s="190"/>
      <c r="O402" s="190"/>
      <c r="P402" s="190"/>
      <c r="Q402" s="190"/>
      <c r="R402" s="190"/>
      <c r="S402" s="190"/>
      <c r="T402" s="43">
        <f t="shared" si="6"/>
        <v>1</v>
      </c>
      <c r="U402" s="167">
        <f t="shared" si="7"/>
        <v>0</v>
      </c>
      <c r="V402" s="43"/>
      <c r="W402" s="43"/>
      <c r="X402" s="43"/>
    </row>
    <row r="403" spans="1:24" ht="14.25" customHeight="1">
      <c r="A403" s="190"/>
      <c r="B403" s="225"/>
      <c r="C403" s="190"/>
      <c r="D403" s="190"/>
      <c r="E403" s="232"/>
      <c r="F403" s="185"/>
      <c r="G403" s="185"/>
      <c r="H403" s="190"/>
      <c r="I403" s="190"/>
      <c r="J403" s="190"/>
      <c r="K403" s="190"/>
      <c r="L403" s="190"/>
      <c r="M403" s="190"/>
      <c r="N403" s="190"/>
      <c r="O403" s="190"/>
      <c r="P403" s="190"/>
      <c r="Q403" s="190"/>
      <c r="R403" s="190"/>
      <c r="S403" s="190" t="s">
        <v>1016</v>
      </c>
      <c r="T403" s="43">
        <f t="shared" si="6"/>
        <v>1</v>
      </c>
      <c r="U403" s="167">
        <f t="shared" si="7"/>
        <v>0</v>
      </c>
      <c r="V403" s="43"/>
      <c r="W403" s="43"/>
      <c r="X403" s="43"/>
    </row>
    <row r="404" spans="1:24" ht="14.25" customHeight="1">
      <c r="A404" s="190"/>
      <c r="B404" s="225"/>
      <c r="C404" s="190"/>
      <c r="D404" s="190"/>
      <c r="E404" s="232"/>
      <c r="F404" s="185"/>
      <c r="G404" s="185"/>
      <c r="H404" s="190"/>
      <c r="I404" s="190"/>
      <c r="J404" s="190"/>
      <c r="K404" s="190"/>
      <c r="L404" s="190"/>
      <c r="M404" s="190"/>
      <c r="N404" s="190"/>
      <c r="O404" s="190"/>
      <c r="P404" s="190"/>
      <c r="Q404" s="190"/>
      <c r="R404" s="190"/>
      <c r="S404" s="190" t="s">
        <v>1275</v>
      </c>
      <c r="T404" s="43">
        <f t="shared" si="6"/>
        <v>1</v>
      </c>
      <c r="U404" s="167">
        <f t="shared" si="7"/>
        <v>0</v>
      </c>
      <c r="V404" s="43"/>
      <c r="W404" s="43"/>
      <c r="X404" s="43"/>
    </row>
    <row r="405" spans="1:24" ht="14.25" customHeight="1">
      <c r="A405" s="190"/>
      <c r="B405" s="225"/>
      <c r="C405" s="190"/>
      <c r="D405" s="190"/>
      <c r="E405" s="232"/>
      <c r="F405" s="185"/>
      <c r="G405" s="185"/>
      <c r="H405" s="190"/>
      <c r="I405" s="190"/>
      <c r="J405" s="190"/>
      <c r="K405" s="190"/>
      <c r="L405" s="190"/>
      <c r="M405" s="190"/>
      <c r="N405" s="190"/>
      <c r="O405" s="190"/>
      <c r="P405" s="190"/>
      <c r="Q405" s="190"/>
      <c r="R405" s="190"/>
      <c r="S405" s="190" t="s">
        <v>1857</v>
      </c>
      <c r="T405" s="43">
        <f t="shared" si="6"/>
        <v>1</v>
      </c>
      <c r="U405" s="167">
        <f t="shared" si="7"/>
        <v>0</v>
      </c>
      <c r="V405" s="167"/>
      <c r="W405" s="43"/>
      <c r="X405" s="43"/>
    </row>
    <row r="406" spans="1:24" ht="14.25" customHeight="1">
      <c r="A406" s="190"/>
      <c r="B406" s="225"/>
      <c r="C406" s="190"/>
      <c r="D406" s="190"/>
      <c r="E406" s="232"/>
      <c r="F406" s="185"/>
      <c r="G406" s="185"/>
      <c r="H406" s="190"/>
      <c r="I406" s="190"/>
      <c r="J406" s="190"/>
      <c r="K406" s="190"/>
      <c r="L406" s="190"/>
      <c r="M406" s="190"/>
      <c r="N406" s="190"/>
      <c r="O406" s="190"/>
      <c r="P406" s="190"/>
      <c r="Q406" s="190"/>
      <c r="R406" s="190"/>
      <c r="S406" s="190"/>
      <c r="T406" s="43">
        <f t="shared" si="6"/>
        <v>1</v>
      </c>
      <c r="U406" s="167">
        <f t="shared" si="7"/>
        <v>0</v>
      </c>
      <c r="V406" s="43"/>
      <c r="W406" s="43"/>
      <c r="X406" s="43"/>
    </row>
    <row r="407" spans="1:24" ht="14.25" customHeight="1">
      <c r="A407" s="190"/>
      <c r="B407" s="225"/>
      <c r="C407" s="190"/>
      <c r="D407" s="190"/>
      <c r="E407" s="232"/>
      <c r="F407" s="185"/>
      <c r="G407" s="185"/>
      <c r="H407" s="190"/>
      <c r="I407" s="190"/>
      <c r="J407" s="190"/>
      <c r="K407" s="190"/>
      <c r="L407" s="190"/>
      <c r="M407" s="190"/>
      <c r="N407" s="190"/>
      <c r="O407" s="190"/>
      <c r="P407" s="190"/>
      <c r="Q407" s="190"/>
      <c r="R407" s="190"/>
      <c r="S407" s="190"/>
      <c r="T407" s="43">
        <f t="shared" si="6"/>
        <v>1</v>
      </c>
      <c r="U407" s="167">
        <f t="shared" si="7"/>
        <v>0</v>
      </c>
      <c r="V407" s="43"/>
      <c r="W407" s="43"/>
      <c r="X407" s="43"/>
    </row>
    <row r="408" spans="1:24" ht="14.25" customHeight="1">
      <c r="A408" s="190"/>
      <c r="B408" s="225"/>
      <c r="C408" s="190"/>
      <c r="D408" s="190"/>
      <c r="E408" s="232"/>
      <c r="F408" s="191"/>
      <c r="G408" s="185"/>
      <c r="H408" s="190"/>
      <c r="I408" s="190"/>
      <c r="J408" s="190"/>
      <c r="K408" s="190"/>
      <c r="L408" s="190"/>
      <c r="M408" s="190"/>
      <c r="N408" s="190"/>
      <c r="O408" s="190"/>
      <c r="P408" s="190"/>
      <c r="Q408" s="190"/>
      <c r="R408" s="190"/>
      <c r="S408" s="190"/>
      <c r="T408" s="43">
        <f t="shared" si="6"/>
        <v>1</v>
      </c>
      <c r="U408" s="167">
        <f t="shared" si="7"/>
        <v>0</v>
      </c>
      <c r="V408" s="43"/>
      <c r="W408" s="43"/>
      <c r="X408" s="43"/>
    </row>
    <row r="409" spans="1:24" ht="14.25" customHeight="1">
      <c r="A409" s="190"/>
      <c r="B409" s="225"/>
      <c r="C409" s="190"/>
      <c r="D409" s="190"/>
      <c r="E409" s="232"/>
      <c r="F409" s="185"/>
      <c r="G409" s="185"/>
      <c r="H409" s="190"/>
      <c r="I409" s="190"/>
      <c r="J409" s="190"/>
      <c r="K409" s="190"/>
      <c r="L409" s="190"/>
      <c r="M409" s="190"/>
      <c r="N409" s="190"/>
      <c r="O409" s="190"/>
      <c r="P409" s="190"/>
      <c r="Q409" s="190"/>
      <c r="R409" s="190"/>
      <c r="S409" s="190" t="s">
        <v>847</v>
      </c>
      <c r="T409" s="43">
        <f t="shared" si="6"/>
        <v>1</v>
      </c>
      <c r="U409" s="167">
        <f t="shared" si="7"/>
        <v>0</v>
      </c>
      <c r="V409" s="43"/>
      <c r="W409" s="43"/>
      <c r="X409" s="43"/>
    </row>
    <row r="410" spans="1:24" ht="14.25" customHeight="1">
      <c r="A410" s="190"/>
      <c r="B410" s="225"/>
      <c r="C410" s="190"/>
      <c r="D410" s="190"/>
      <c r="E410" s="232"/>
      <c r="F410" s="185"/>
      <c r="G410" s="185"/>
      <c r="H410" s="190"/>
      <c r="I410" s="190"/>
      <c r="J410" s="190"/>
      <c r="K410" s="190"/>
      <c r="L410" s="190"/>
      <c r="M410" s="190"/>
      <c r="N410" s="190"/>
      <c r="O410" s="190"/>
      <c r="P410" s="190"/>
      <c r="Q410" s="190"/>
      <c r="R410" s="190"/>
      <c r="S410" s="190" t="s">
        <v>1300</v>
      </c>
      <c r="T410" s="43">
        <f t="shared" si="6"/>
        <v>1</v>
      </c>
      <c r="U410" s="167">
        <f t="shared" si="7"/>
        <v>0</v>
      </c>
      <c r="V410" s="43"/>
      <c r="W410" s="43"/>
      <c r="X410" s="43"/>
    </row>
    <row r="411" spans="1:24" ht="14.25" customHeight="1">
      <c r="A411" s="190"/>
      <c r="B411" s="225"/>
      <c r="C411" s="190"/>
      <c r="D411" s="190"/>
      <c r="E411" s="232"/>
      <c r="F411" s="191"/>
      <c r="G411" s="185"/>
      <c r="H411" s="190"/>
      <c r="I411" s="190"/>
      <c r="J411" s="190"/>
      <c r="K411" s="190"/>
      <c r="L411" s="190"/>
      <c r="M411" s="190"/>
      <c r="N411" s="190"/>
      <c r="O411" s="190"/>
      <c r="P411" s="190"/>
      <c r="Q411" s="190"/>
      <c r="R411" s="190"/>
      <c r="S411" s="190"/>
      <c r="T411" s="43">
        <f t="shared" si="6"/>
        <v>1</v>
      </c>
      <c r="U411" s="167">
        <f t="shared" si="7"/>
        <v>0</v>
      </c>
      <c r="V411" s="43"/>
      <c r="W411" s="43"/>
      <c r="X411" s="43"/>
    </row>
    <row r="412" spans="1:24" ht="14.25" customHeight="1">
      <c r="A412" s="190"/>
      <c r="B412" s="225"/>
      <c r="C412" s="190"/>
      <c r="D412" s="190"/>
      <c r="E412" s="232"/>
      <c r="F412" s="191"/>
      <c r="G412" s="185"/>
      <c r="H412" s="190"/>
      <c r="I412" s="190"/>
      <c r="J412" s="190"/>
      <c r="K412" s="190"/>
      <c r="L412" s="190"/>
      <c r="M412" s="190"/>
      <c r="N412" s="190"/>
      <c r="O412" s="190"/>
      <c r="P412" s="190"/>
      <c r="Q412" s="190"/>
      <c r="R412" s="190"/>
      <c r="S412" s="190" t="s">
        <v>1221</v>
      </c>
      <c r="T412" s="43">
        <f t="shared" si="6"/>
        <v>1</v>
      </c>
      <c r="U412" s="167">
        <f t="shared" si="7"/>
        <v>0</v>
      </c>
      <c r="V412" s="43"/>
      <c r="W412" s="43"/>
      <c r="X412" s="43"/>
    </row>
    <row r="413" spans="1:24" ht="14.25" customHeight="1">
      <c r="A413" s="190"/>
      <c r="B413" s="225"/>
      <c r="C413" s="190"/>
      <c r="D413" s="190"/>
      <c r="E413" s="232"/>
      <c r="F413" s="185"/>
      <c r="G413" s="185"/>
      <c r="H413" s="190"/>
      <c r="I413" s="190"/>
      <c r="J413" s="190"/>
      <c r="K413" s="190"/>
      <c r="L413" s="190"/>
      <c r="M413" s="190"/>
      <c r="N413" s="190"/>
      <c r="O413" s="190"/>
      <c r="P413" s="190"/>
      <c r="Q413" s="190"/>
      <c r="R413" s="190"/>
      <c r="S413" s="190" t="s">
        <v>1325</v>
      </c>
      <c r="T413" s="43">
        <f t="shared" si="6"/>
        <v>1</v>
      </c>
      <c r="U413" s="167">
        <f t="shared" si="7"/>
        <v>0</v>
      </c>
      <c r="V413" s="43"/>
      <c r="W413" s="43"/>
      <c r="X413" s="43"/>
    </row>
    <row r="414" spans="1:24" ht="14.25" customHeight="1">
      <c r="A414" s="190"/>
      <c r="B414" s="225"/>
      <c r="C414" s="190"/>
      <c r="D414" s="190"/>
      <c r="E414" s="232"/>
      <c r="F414" s="185"/>
      <c r="G414" s="185"/>
      <c r="H414" s="190"/>
      <c r="I414" s="190"/>
      <c r="J414" s="190"/>
      <c r="K414" s="190"/>
      <c r="L414" s="190"/>
      <c r="M414" s="190"/>
      <c r="N414" s="190"/>
      <c r="O414" s="190"/>
      <c r="P414" s="190"/>
      <c r="Q414" s="190"/>
      <c r="R414" s="190"/>
      <c r="S414" s="190" t="s">
        <v>991</v>
      </c>
      <c r="T414" s="43">
        <f t="shared" si="6"/>
        <v>1</v>
      </c>
      <c r="U414" s="167">
        <f t="shared" si="7"/>
        <v>0</v>
      </c>
      <c r="V414" s="43"/>
      <c r="W414" s="43"/>
      <c r="X414" s="43"/>
    </row>
    <row r="415" spans="1:24" ht="14.25" customHeight="1">
      <c r="A415" s="190"/>
      <c r="B415" s="225"/>
      <c r="C415" s="190"/>
      <c r="D415" s="190"/>
      <c r="E415" s="232"/>
      <c r="F415" s="185"/>
      <c r="G415" s="185"/>
      <c r="H415" s="190"/>
      <c r="I415" s="190"/>
      <c r="J415" s="190"/>
      <c r="K415" s="190"/>
      <c r="L415" s="190"/>
      <c r="M415" s="190"/>
      <c r="N415" s="190"/>
      <c r="O415" s="190"/>
      <c r="P415" s="190"/>
      <c r="Q415" s="190"/>
      <c r="R415" s="190"/>
      <c r="S415" s="190"/>
      <c r="T415" s="43">
        <f t="shared" si="6"/>
        <v>1</v>
      </c>
      <c r="U415" s="167">
        <f t="shared" si="7"/>
        <v>0</v>
      </c>
      <c r="V415" s="43"/>
      <c r="W415" s="43"/>
      <c r="X415" s="43"/>
    </row>
    <row r="416" spans="1:24" ht="14.25" customHeight="1">
      <c r="A416" s="190"/>
      <c r="B416" s="225"/>
      <c r="C416" s="190"/>
      <c r="D416" s="190"/>
      <c r="E416" s="232"/>
      <c r="F416" s="185"/>
      <c r="G416" s="185"/>
      <c r="H416" s="190"/>
      <c r="I416" s="190"/>
      <c r="J416" s="190"/>
      <c r="K416" s="190"/>
      <c r="L416" s="190"/>
      <c r="M416" s="190"/>
      <c r="N416" s="190"/>
      <c r="O416" s="190"/>
      <c r="P416" s="190"/>
      <c r="Q416" s="190"/>
      <c r="R416" s="190"/>
      <c r="S416" s="190" t="s">
        <v>1036</v>
      </c>
      <c r="T416" s="43">
        <f t="shared" si="6"/>
        <v>1</v>
      </c>
      <c r="U416" s="167">
        <f t="shared" si="7"/>
        <v>0</v>
      </c>
      <c r="V416" s="43"/>
      <c r="W416" s="43"/>
      <c r="X416" s="43"/>
    </row>
    <row r="417" spans="1:24" ht="14.25" customHeight="1">
      <c r="A417" s="190"/>
      <c r="B417" s="225"/>
      <c r="C417" s="190"/>
      <c r="D417" s="190"/>
      <c r="E417" s="232"/>
      <c r="F417" s="185"/>
      <c r="G417" s="185"/>
      <c r="H417" s="190"/>
      <c r="I417" s="190"/>
      <c r="J417" s="190"/>
      <c r="K417" s="190"/>
      <c r="L417" s="190"/>
      <c r="M417" s="190"/>
      <c r="N417" s="190"/>
      <c r="O417" s="190"/>
      <c r="P417" s="190"/>
      <c r="Q417" s="190"/>
      <c r="R417" s="190"/>
      <c r="S417" s="190" t="s">
        <v>1395</v>
      </c>
      <c r="T417" s="43">
        <f t="shared" si="6"/>
        <v>1</v>
      </c>
      <c r="U417" s="167">
        <f t="shared" si="7"/>
        <v>0</v>
      </c>
      <c r="V417" s="43"/>
      <c r="W417" s="43"/>
      <c r="X417" s="43"/>
    </row>
    <row r="418" spans="1:24" ht="14.25" customHeight="1">
      <c r="A418" s="190"/>
      <c r="B418" s="225"/>
      <c r="C418" s="190"/>
      <c r="D418" s="190"/>
      <c r="E418" s="232"/>
      <c r="F418" s="191"/>
      <c r="G418" s="185"/>
      <c r="H418" s="190"/>
      <c r="I418" s="190"/>
      <c r="J418" s="190"/>
      <c r="K418" s="190"/>
      <c r="L418" s="190"/>
      <c r="M418" s="190"/>
      <c r="N418" s="190"/>
      <c r="O418" s="190"/>
      <c r="P418" s="190"/>
      <c r="Q418" s="190"/>
      <c r="R418" s="190"/>
      <c r="S418" s="190"/>
      <c r="T418" s="43">
        <f t="shared" si="6"/>
        <v>1</v>
      </c>
      <c r="U418" s="167">
        <f t="shared" si="7"/>
        <v>0</v>
      </c>
      <c r="V418" s="43"/>
      <c r="W418" s="43"/>
      <c r="X418" s="43"/>
    </row>
    <row r="419" spans="1:24" ht="14.25" customHeight="1">
      <c r="A419" s="190"/>
      <c r="B419" s="225"/>
      <c r="C419" s="190"/>
      <c r="D419" s="190"/>
      <c r="E419" s="232"/>
      <c r="F419" s="191"/>
      <c r="G419" s="185"/>
      <c r="H419" s="190"/>
      <c r="I419" s="190"/>
      <c r="J419" s="190"/>
      <c r="K419" s="190"/>
      <c r="L419" s="190"/>
      <c r="M419" s="190"/>
      <c r="N419" s="190"/>
      <c r="O419" s="190"/>
      <c r="P419" s="190"/>
      <c r="Q419" s="190"/>
      <c r="R419" s="190"/>
      <c r="S419" s="190" t="s">
        <v>1238</v>
      </c>
      <c r="T419" s="43">
        <f t="shared" si="6"/>
        <v>1</v>
      </c>
      <c r="U419" s="167">
        <f t="shared" si="7"/>
        <v>0</v>
      </c>
      <c r="V419" s="43"/>
      <c r="W419" s="43"/>
      <c r="X419" s="43"/>
    </row>
    <row r="420" spans="1:24" ht="14.25" customHeight="1">
      <c r="A420" s="190"/>
      <c r="B420" s="225"/>
      <c r="C420" s="190"/>
      <c r="D420" s="190"/>
      <c r="E420" s="232"/>
      <c r="F420" s="191"/>
      <c r="G420" s="185"/>
      <c r="H420" s="190"/>
      <c r="I420" s="190"/>
      <c r="J420" s="190"/>
      <c r="K420" s="190"/>
      <c r="L420" s="190"/>
      <c r="M420" s="190"/>
      <c r="N420" s="190"/>
      <c r="O420" s="190"/>
      <c r="P420" s="190"/>
      <c r="Q420" s="190"/>
      <c r="R420" s="190"/>
      <c r="S420" s="190" t="s">
        <v>1634</v>
      </c>
      <c r="T420" s="43">
        <f t="shared" si="6"/>
        <v>1</v>
      </c>
      <c r="U420" s="167">
        <f t="shared" si="7"/>
        <v>0</v>
      </c>
      <c r="V420" s="43"/>
      <c r="W420" s="43"/>
      <c r="X420" s="43"/>
    </row>
    <row r="421" spans="1:24" ht="14.25" customHeight="1">
      <c r="A421" s="190"/>
      <c r="B421" s="225"/>
      <c r="C421" s="190"/>
      <c r="D421" s="190"/>
      <c r="E421" s="232"/>
      <c r="F421" s="185"/>
      <c r="G421" s="185"/>
      <c r="H421" s="190"/>
      <c r="I421" s="190"/>
      <c r="J421" s="190"/>
      <c r="K421" s="190"/>
      <c r="L421" s="190"/>
      <c r="M421" s="190"/>
      <c r="N421" s="190"/>
      <c r="O421" s="190"/>
      <c r="P421" s="190"/>
      <c r="Q421" s="190"/>
      <c r="R421" s="190"/>
      <c r="S421" s="190" t="s">
        <v>323</v>
      </c>
      <c r="T421" s="43">
        <f t="shared" si="6"/>
        <v>1</v>
      </c>
      <c r="U421" s="167">
        <f t="shared" si="7"/>
        <v>0</v>
      </c>
      <c r="V421" s="43"/>
      <c r="W421" s="43"/>
      <c r="X421" s="43"/>
    </row>
    <row r="422" spans="1:24" ht="14.25" customHeight="1">
      <c r="A422" s="190"/>
      <c r="B422" s="225"/>
      <c r="C422" s="190"/>
      <c r="D422" s="190"/>
      <c r="E422" s="232"/>
      <c r="F422" s="185"/>
      <c r="G422" s="185"/>
      <c r="H422" s="190"/>
      <c r="I422" s="190"/>
      <c r="J422" s="190"/>
      <c r="K422" s="190"/>
      <c r="L422" s="190"/>
      <c r="M422" s="190"/>
      <c r="N422" s="190"/>
      <c r="O422" s="190"/>
      <c r="P422" s="190"/>
      <c r="Q422" s="190"/>
      <c r="R422" s="190"/>
      <c r="S422" s="190" t="s">
        <v>449</v>
      </c>
      <c r="T422" s="43">
        <f t="shared" si="6"/>
        <v>1</v>
      </c>
      <c r="U422" s="167">
        <f t="shared" si="7"/>
        <v>0</v>
      </c>
      <c r="V422" s="43"/>
      <c r="W422" s="43"/>
      <c r="X422" s="43"/>
    </row>
    <row r="423" spans="1:24" ht="14.25" customHeight="1">
      <c r="A423" s="190"/>
      <c r="B423" s="225"/>
      <c r="C423" s="190"/>
      <c r="D423" s="190"/>
      <c r="E423" s="232"/>
      <c r="F423" s="185"/>
      <c r="G423" s="185"/>
      <c r="H423" s="190"/>
      <c r="I423" s="190"/>
      <c r="J423" s="190"/>
      <c r="K423" s="190"/>
      <c r="L423" s="190"/>
      <c r="M423" s="190"/>
      <c r="N423" s="190"/>
      <c r="O423" s="190"/>
      <c r="P423" s="190"/>
      <c r="Q423" s="190"/>
      <c r="R423" s="190"/>
      <c r="S423" s="190" t="s">
        <v>453</v>
      </c>
      <c r="T423" s="43">
        <f t="shared" si="6"/>
        <v>1</v>
      </c>
      <c r="U423" s="167">
        <f t="shared" si="7"/>
        <v>0</v>
      </c>
      <c r="V423" s="43"/>
      <c r="W423" s="43"/>
      <c r="X423" s="43"/>
    </row>
    <row r="424" spans="1:24" ht="14.25" customHeight="1">
      <c r="A424" s="190"/>
      <c r="B424" s="225"/>
      <c r="C424" s="190"/>
      <c r="D424" s="190"/>
      <c r="E424" s="232"/>
      <c r="F424" s="185"/>
      <c r="G424" s="185"/>
      <c r="H424" s="190"/>
      <c r="I424" s="190"/>
      <c r="J424" s="190"/>
      <c r="K424" s="190"/>
      <c r="L424" s="190"/>
      <c r="M424" s="190"/>
      <c r="N424" s="190"/>
      <c r="O424" s="190"/>
      <c r="P424" s="190"/>
      <c r="Q424" s="190"/>
      <c r="R424" s="190"/>
      <c r="S424" s="190" t="s">
        <v>465</v>
      </c>
      <c r="T424" s="43">
        <f t="shared" si="6"/>
        <v>1</v>
      </c>
      <c r="U424" s="167">
        <f t="shared" si="7"/>
        <v>0</v>
      </c>
      <c r="V424" s="43"/>
      <c r="W424" s="43"/>
      <c r="X424" s="43"/>
    </row>
    <row r="425" spans="1:24" ht="14.25" customHeight="1">
      <c r="A425" s="190"/>
      <c r="B425" s="225"/>
      <c r="C425" s="190"/>
      <c r="D425" s="190"/>
      <c r="E425" s="232"/>
      <c r="F425" s="185"/>
      <c r="G425" s="185"/>
      <c r="H425" s="190"/>
      <c r="I425" s="190"/>
      <c r="J425" s="190"/>
      <c r="K425" s="190"/>
      <c r="L425" s="190"/>
      <c r="M425" s="190"/>
      <c r="N425" s="190"/>
      <c r="O425" s="190"/>
      <c r="P425" s="190"/>
      <c r="Q425" s="190"/>
      <c r="R425" s="190"/>
      <c r="S425" s="190" t="s">
        <v>471</v>
      </c>
      <c r="T425" s="43">
        <f t="shared" si="6"/>
        <v>1</v>
      </c>
      <c r="U425" s="167">
        <f t="shared" si="7"/>
        <v>0</v>
      </c>
      <c r="V425" s="43"/>
      <c r="W425" s="43"/>
      <c r="X425" s="43"/>
    </row>
    <row r="426" spans="1:24" ht="14.25" customHeight="1">
      <c r="A426" s="190"/>
      <c r="B426" s="225"/>
      <c r="C426" s="190"/>
      <c r="D426" s="190"/>
      <c r="E426" s="232"/>
      <c r="F426" s="185"/>
      <c r="G426" s="185"/>
      <c r="H426" s="190"/>
      <c r="I426" s="190"/>
      <c r="J426" s="190"/>
      <c r="K426" s="190"/>
      <c r="L426" s="190"/>
      <c r="M426" s="190"/>
      <c r="N426" s="190"/>
      <c r="O426" s="190"/>
      <c r="P426" s="190"/>
      <c r="Q426" s="190"/>
      <c r="R426" s="190"/>
      <c r="S426" s="190" t="s">
        <v>361</v>
      </c>
      <c r="T426" s="43">
        <f t="shared" si="6"/>
        <v>1</v>
      </c>
      <c r="U426" s="167">
        <f t="shared" si="7"/>
        <v>0</v>
      </c>
      <c r="V426" s="43"/>
      <c r="W426" s="43"/>
      <c r="X426" s="43"/>
    </row>
    <row r="427" spans="1:24" ht="14.25" customHeight="1">
      <c r="A427" s="190"/>
      <c r="B427" s="225"/>
      <c r="C427" s="190"/>
      <c r="D427" s="190"/>
      <c r="E427" s="232"/>
      <c r="F427" s="185"/>
      <c r="G427" s="185"/>
      <c r="H427" s="190"/>
      <c r="I427" s="190"/>
      <c r="J427" s="190"/>
      <c r="K427" s="190"/>
      <c r="L427" s="190"/>
      <c r="M427" s="190"/>
      <c r="N427" s="190"/>
      <c r="O427" s="190"/>
      <c r="P427" s="190"/>
      <c r="Q427" s="190"/>
      <c r="R427" s="190"/>
      <c r="S427" s="190"/>
      <c r="T427" s="43">
        <f t="shared" si="6"/>
        <v>1</v>
      </c>
      <c r="U427" s="167">
        <f t="shared" si="7"/>
        <v>0</v>
      </c>
      <c r="V427" s="43"/>
      <c r="W427" s="43"/>
      <c r="X427" s="43"/>
    </row>
    <row r="428" spans="1:24" ht="14.25" customHeight="1">
      <c r="A428" s="298"/>
      <c r="B428" s="299"/>
      <c r="C428" s="298"/>
      <c r="D428" s="298"/>
      <c r="E428" s="300"/>
      <c r="F428" s="301"/>
      <c r="G428" s="301"/>
      <c r="H428" s="298"/>
      <c r="I428" s="298"/>
      <c r="J428" s="298"/>
      <c r="K428" s="298"/>
      <c r="L428" s="298"/>
      <c r="M428" s="298"/>
      <c r="N428" s="298"/>
      <c r="O428" s="298"/>
      <c r="P428" s="298"/>
      <c r="Q428" s="298"/>
      <c r="R428" s="298"/>
      <c r="S428" s="298" t="s">
        <v>1809</v>
      </c>
      <c r="T428" s="177">
        <f t="shared" si="6"/>
        <v>1</v>
      </c>
      <c r="U428" s="179">
        <f t="shared" si="7"/>
        <v>0</v>
      </c>
      <c r="V428" s="177"/>
      <c r="W428" s="177"/>
      <c r="X428" s="177"/>
    </row>
    <row r="429" spans="1:24" ht="14.25" customHeight="1">
      <c r="A429" s="190"/>
      <c r="B429" s="225"/>
      <c r="C429" s="190"/>
      <c r="D429" s="190"/>
      <c r="E429" s="232"/>
      <c r="F429" s="185"/>
      <c r="G429" s="185"/>
      <c r="H429" s="190"/>
      <c r="I429" s="190"/>
      <c r="J429" s="190"/>
      <c r="K429" s="190"/>
      <c r="L429" s="190"/>
      <c r="M429" s="190"/>
      <c r="N429" s="190"/>
      <c r="O429" s="190"/>
      <c r="P429" s="190"/>
      <c r="Q429" s="190"/>
      <c r="R429" s="190"/>
      <c r="S429" s="190" t="s">
        <v>438</v>
      </c>
      <c r="T429" s="43">
        <f t="shared" si="6"/>
        <v>1</v>
      </c>
      <c r="U429" s="167">
        <f t="shared" si="7"/>
        <v>0</v>
      </c>
      <c r="V429" s="43"/>
      <c r="W429" s="43"/>
      <c r="X429" s="43"/>
    </row>
    <row r="430" spans="1:24" ht="14.25" customHeight="1">
      <c r="A430" s="190"/>
      <c r="B430" s="225"/>
      <c r="C430" s="190"/>
      <c r="D430" s="190"/>
      <c r="E430" s="232"/>
      <c r="F430" s="185"/>
      <c r="G430" s="185"/>
      <c r="H430" s="190"/>
      <c r="I430" s="190"/>
      <c r="J430" s="190"/>
      <c r="K430" s="190"/>
      <c r="L430" s="190"/>
      <c r="M430" s="190"/>
      <c r="N430" s="190"/>
      <c r="O430" s="190"/>
      <c r="P430" s="190"/>
      <c r="Q430" s="190"/>
      <c r="R430" s="190"/>
      <c r="S430" s="190" t="s">
        <v>1291</v>
      </c>
      <c r="T430" s="43">
        <f t="shared" si="6"/>
        <v>1</v>
      </c>
      <c r="U430" s="167">
        <f t="shared" si="7"/>
        <v>0</v>
      </c>
      <c r="V430" s="43"/>
      <c r="W430" s="43"/>
      <c r="X430" s="43"/>
    </row>
    <row r="431" spans="1:24" ht="14.25" customHeight="1">
      <c r="A431" s="190"/>
      <c r="B431" s="225"/>
      <c r="C431" s="190"/>
      <c r="D431" s="190"/>
      <c r="E431" s="232"/>
      <c r="F431" s="185"/>
      <c r="G431" s="185"/>
      <c r="H431" s="190"/>
      <c r="I431" s="190"/>
      <c r="J431" s="190"/>
      <c r="K431" s="190"/>
      <c r="L431" s="190"/>
      <c r="M431" s="190"/>
      <c r="N431" s="190"/>
      <c r="O431" s="190"/>
      <c r="P431" s="190"/>
      <c r="Q431" s="190"/>
      <c r="R431" s="190"/>
      <c r="S431" s="190" t="s">
        <v>468</v>
      </c>
      <c r="T431" s="43">
        <f t="shared" si="6"/>
        <v>1</v>
      </c>
      <c r="U431" s="167">
        <f t="shared" si="7"/>
        <v>0</v>
      </c>
      <c r="V431" s="43"/>
      <c r="W431" s="43"/>
      <c r="X431" s="43"/>
    </row>
    <row r="432" spans="1:24" ht="14.25" customHeight="1">
      <c r="A432" s="190"/>
      <c r="B432" s="225"/>
      <c r="C432" s="190"/>
      <c r="D432" s="190"/>
      <c r="E432" s="232"/>
      <c r="F432" s="185"/>
      <c r="G432" s="185"/>
      <c r="H432" s="190"/>
      <c r="I432" s="190"/>
      <c r="J432" s="190"/>
      <c r="K432" s="190"/>
      <c r="L432" s="190"/>
      <c r="M432" s="190"/>
      <c r="N432" s="190"/>
      <c r="O432" s="190"/>
      <c r="P432" s="190"/>
      <c r="Q432" s="190"/>
      <c r="R432" s="190"/>
      <c r="S432" s="190" t="s">
        <v>503</v>
      </c>
      <c r="T432" s="43">
        <f t="shared" si="6"/>
        <v>1</v>
      </c>
      <c r="U432" s="167">
        <f t="shared" si="7"/>
        <v>0</v>
      </c>
      <c r="V432" s="43"/>
      <c r="W432" s="43"/>
      <c r="X432" s="43"/>
    </row>
    <row r="433" spans="1:24" ht="14.25" customHeight="1">
      <c r="A433" s="190"/>
      <c r="B433" s="225"/>
      <c r="C433" s="190"/>
      <c r="D433" s="190"/>
      <c r="E433" s="232"/>
      <c r="F433" s="185"/>
      <c r="G433" s="185"/>
      <c r="H433" s="190"/>
      <c r="I433" s="190"/>
      <c r="J433" s="190"/>
      <c r="K433" s="190"/>
      <c r="L433" s="190"/>
      <c r="M433" s="190"/>
      <c r="N433" s="190"/>
      <c r="O433" s="190"/>
      <c r="P433" s="190"/>
      <c r="Q433" s="190"/>
      <c r="R433" s="190"/>
      <c r="S433" s="190" t="s">
        <v>507</v>
      </c>
      <c r="T433" s="43">
        <f t="shared" si="6"/>
        <v>1</v>
      </c>
      <c r="U433" s="167">
        <f t="shared" si="7"/>
        <v>0</v>
      </c>
      <c r="V433" s="43"/>
      <c r="W433" s="43"/>
      <c r="X433" s="43"/>
    </row>
    <row r="434" spans="1:24" ht="14.25" customHeight="1">
      <c r="A434" s="190"/>
      <c r="B434" s="225"/>
      <c r="C434" s="190"/>
      <c r="D434" s="190"/>
      <c r="E434" s="232"/>
      <c r="F434" s="185"/>
      <c r="G434" s="185"/>
      <c r="H434" s="190"/>
      <c r="I434" s="190"/>
      <c r="J434" s="190"/>
      <c r="K434" s="190"/>
      <c r="L434" s="190"/>
      <c r="M434" s="190"/>
      <c r="N434" s="190"/>
      <c r="O434" s="190"/>
      <c r="P434" s="190"/>
      <c r="Q434" s="190"/>
      <c r="R434" s="190"/>
      <c r="S434" s="190" t="s">
        <v>982</v>
      </c>
      <c r="T434" s="43">
        <f t="shared" si="6"/>
        <v>1</v>
      </c>
      <c r="U434" s="167">
        <f t="shared" si="7"/>
        <v>0</v>
      </c>
      <c r="V434" s="43"/>
      <c r="W434" s="43"/>
      <c r="X434" s="43"/>
    </row>
    <row r="435" spans="1:24" ht="14.25" customHeight="1">
      <c r="A435" s="190"/>
      <c r="B435" s="225"/>
      <c r="C435" s="190"/>
      <c r="D435" s="190"/>
      <c r="E435" s="232"/>
      <c r="F435" s="185"/>
      <c r="G435" s="185"/>
      <c r="H435" s="190"/>
      <c r="I435" s="190"/>
      <c r="J435" s="190"/>
      <c r="K435" s="190"/>
      <c r="L435" s="190"/>
      <c r="M435" s="190"/>
      <c r="N435" s="190"/>
      <c r="O435" s="190"/>
      <c r="P435" s="190"/>
      <c r="Q435" s="190"/>
      <c r="R435" s="190"/>
      <c r="S435" s="190" t="s">
        <v>487</v>
      </c>
      <c r="T435" s="43">
        <f t="shared" si="6"/>
        <v>1</v>
      </c>
      <c r="U435" s="167">
        <f t="shared" si="7"/>
        <v>0</v>
      </c>
      <c r="V435" s="43"/>
      <c r="W435" s="43"/>
      <c r="X435" s="43"/>
    </row>
    <row r="436" spans="1:24" ht="14.25" customHeight="1">
      <c r="A436" s="190"/>
      <c r="B436" s="225"/>
      <c r="C436" s="190"/>
      <c r="D436" s="190"/>
      <c r="E436" s="232"/>
      <c r="F436" s="185"/>
      <c r="G436" s="185"/>
      <c r="H436" s="190"/>
      <c r="I436" s="190"/>
      <c r="J436" s="190"/>
      <c r="K436" s="190"/>
      <c r="L436" s="190"/>
      <c r="M436" s="190"/>
      <c r="N436" s="190"/>
      <c r="O436" s="190"/>
      <c r="P436" s="190"/>
      <c r="Q436" s="190"/>
      <c r="R436" s="190"/>
      <c r="S436" s="190" t="s">
        <v>487</v>
      </c>
      <c r="T436" s="43">
        <f t="shared" si="6"/>
        <v>1</v>
      </c>
      <c r="U436" s="167">
        <f t="shared" si="7"/>
        <v>0</v>
      </c>
      <c r="V436" s="43"/>
      <c r="W436" s="43"/>
      <c r="X436" s="43"/>
    </row>
    <row r="437" spans="1:24" ht="14.25" customHeight="1">
      <c r="A437" s="190"/>
      <c r="B437" s="225"/>
      <c r="C437" s="190"/>
      <c r="D437" s="190"/>
      <c r="E437" s="232"/>
      <c r="F437" s="185"/>
      <c r="G437" s="185"/>
      <c r="H437" s="190"/>
      <c r="I437" s="190"/>
      <c r="J437" s="190"/>
      <c r="K437" s="190"/>
      <c r="L437" s="190"/>
      <c r="M437" s="190"/>
      <c r="N437" s="190"/>
      <c r="O437" s="190"/>
      <c r="P437" s="190"/>
      <c r="Q437" s="190"/>
      <c r="R437" s="190"/>
      <c r="S437" s="190" t="s">
        <v>1012</v>
      </c>
      <c r="T437" s="43">
        <f t="shared" si="6"/>
        <v>1</v>
      </c>
      <c r="U437" s="167">
        <f t="shared" si="7"/>
        <v>0</v>
      </c>
      <c r="V437" s="43"/>
      <c r="W437" s="43"/>
      <c r="X437" s="43"/>
    </row>
    <row r="438" spans="1:24" ht="14.25" customHeight="1">
      <c r="A438" s="190"/>
      <c r="B438" s="225"/>
      <c r="C438" s="190"/>
      <c r="D438" s="190"/>
      <c r="E438" s="232"/>
      <c r="F438" s="191"/>
      <c r="G438" s="185"/>
      <c r="H438" s="190"/>
      <c r="I438" s="190"/>
      <c r="J438" s="190"/>
      <c r="K438" s="190"/>
      <c r="L438" s="190"/>
      <c r="M438" s="190"/>
      <c r="N438" s="190"/>
      <c r="O438" s="190"/>
      <c r="P438" s="190"/>
      <c r="Q438" s="190"/>
      <c r="R438" s="190"/>
      <c r="S438" s="190"/>
      <c r="T438" s="43">
        <f t="shared" si="6"/>
        <v>1</v>
      </c>
      <c r="U438" s="167">
        <f t="shared" si="7"/>
        <v>0</v>
      </c>
      <c r="V438" s="43"/>
      <c r="W438" s="43"/>
      <c r="X438" s="43"/>
    </row>
    <row r="439" spans="1:24" ht="14.25" customHeight="1">
      <c r="A439" s="190"/>
      <c r="B439" s="225"/>
      <c r="C439" s="190"/>
      <c r="D439" s="190"/>
      <c r="E439" s="232"/>
      <c r="F439" s="185"/>
      <c r="G439" s="185"/>
      <c r="H439" s="190"/>
      <c r="I439" s="190"/>
      <c r="J439" s="190"/>
      <c r="K439" s="190"/>
      <c r="L439" s="190"/>
      <c r="M439" s="190"/>
      <c r="N439" s="190"/>
      <c r="O439" s="190"/>
      <c r="P439" s="190"/>
      <c r="Q439" s="190"/>
      <c r="R439" s="190"/>
      <c r="S439" s="190" t="s">
        <v>345</v>
      </c>
      <c r="T439" s="43">
        <f t="shared" si="6"/>
        <v>1</v>
      </c>
      <c r="U439" s="167">
        <f t="shared" si="7"/>
        <v>0</v>
      </c>
      <c r="V439" s="43"/>
      <c r="W439" s="43"/>
      <c r="X439" s="43"/>
    </row>
    <row r="440" spans="1:24" ht="14.25" customHeight="1">
      <c r="A440" s="190"/>
      <c r="B440" s="225"/>
      <c r="C440" s="190"/>
      <c r="D440" s="190"/>
      <c r="E440" s="232"/>
      <c r="F440" s="185"/>
      <c r="G440" s="185"/>
      <c r="H440" s="190"/>
      <c r="I440" s="190"/>
      <c r="J440" s="190"/>
      <c r="K440" s="190"/>
      <c r="L440" s="190"/>
      <c r="M440" s="190"/>
      <c r="N440" s="190"/>
      <c r="O440" s="190"/>
      <c r="P440" s="190"/>
      <c r="Q440" s="190"/>
      <c r="R440" s="190"/>
      <c r="S440" s="190" t="s">
        <v>1016</v>
      </c>
      <c r="T440" s="43">
        <f t="shared" si="6"/>
        <v>1</v>
      </c>
      <c r="U440" s="167">
        <f t="shared" si="7"/>
        <v>0</v>
      </c>
      <c r="V440" s="43"/>
      <c r="W440" s="43"/>
      <c r="X440" s="43"/>
    </row>
    <row r="441" spans="1:24" ht="14.25" customHeight="1">
      <c r="A441" s="190"/>
      <c r="B441" s="225"/>
      <c r="C441" s="190"/>
      <c r="D441" s="190"/>
      <c r="E441" s="232"/>
      <c r="F441" s="185"/>
      <c r="G441" s="185"/>
      <c r="H441" s="190"/>
      <c r="I441" s="190"/>
      <c r="J441" s="190"/>
      <c r="K441" s="190"/>
      <c r="L441" s="190"/>
      <c r="M441" s="190"/>
      <c r="N441" s="190"/>
      <c r="O441" s="190"/>
      <c r="P441" s="190"/>
      <c r="Q441" s="190"/>
      <c r="R441" s="190"/>
      <c r="S441" s="190" t="s">
        <v>354</v>
      </c>
      <c r="T441" s="43">
        <f t="shared" si="6"/>
        <v>1</v>
      </c>
      <c r="U441" s="167">
        <f t="shared" si="7"/>
        <v>0</v>
      </c>
      <c r="V441" s="43"/>
      <c r="W441" s="43"/>
      <c r="X441" s="43"/>
    </row>
    <row r="442" spans="1:24" ht="14.25" customHeight="1">
      <c r="A442" s="190"/>
      <c r="B442" s="225"/>
      <c r="C442" s="190"/>
      <c r="D442" s="190"/>
      <c r="E442" s="232"/>
      <c r="F442" s="185"/>
      <c r="G442" s="185"/>
      <c r="H442" s="190"/>
      <c r="I442" s="190"/>
      <c r="J442" s="190"/>
      <c r="K442" s="190"/>
      <c r="L442" s="190"/>
      <c r="M442" s="190"/>
      <c r="N442" s="190"/>
      <c r="O442" s="190"/>
      <c r="P442" s="190"/>
      <c r="Q442" s="190"/>
      <c r="R442" s="190"/>
      <c r="S442" s="190" t="s">
        <v>1858</v>
      </c>
      <c r="T442" s="43">
        <f t="shared" si="6"/>
        <v>1</v>
      </c>
      <c r="U442" s="167">
        <f t="shared" si="7"/>
        <v>0</v>
      </c>
      <c r="V442" s="43"/>
      <c r="W442" s="43"/>
      <c r="X442" s="43"/>
    </row>
    <row r="443" spans="1:24" ht="14.25" customHeight="1">
      <c r="A443" s="190"/>
      <c r="B443" s="225"/>
      <c r="C443" s="190"/>
      <c r="D443" s="190"/>
      <c r="E443" s="232"/>
      <c r="F443" s="185"/>
      <c r="G443" s="185"/>
      <c r="H443" s="190"/>
      <c r="I443" s="190"/>
      <c r="J443" s="190"/>
      <c r="K443" s="190"/>
      <c r="L443" s="190"/>
      <c r="M443" s="190"/>
      <c r="N443" s="190"/>
      <c r="O443" s="190"/>
      <c r="P443" s="190"/>
      <c r="Q443" s="190"/>
      <c r="R443" s="190"/>
      <c r="S443" s="190" t="s">
        <v>1278</v>
      </c>
      <c r="T443" s="43">
        <f t="shared" si="6"/>
        <v>1</v>
      </c>
      <c r="U443" s="167">
        <f t="shared" si="7"/>
        <v>0</v>
      </c>
      <c r="V443" s="43"/>
      <c r="W443" s="43"/>
      <c r="X443" s="43"/>
    </row>
    <row r="444" spans="1:24" ht="14.25" customHeight="1">
      <c r="A444" s="190"/>
      <c r="B444" s="225"/>
      <c r="C444" s="190"/>
      <c r="D444" s="190"/>
      <c r="E444" s="232"/>
      <c r="F444" s="185"/>
      <c r="G444" s="185"/>
      <c r="H444" s="190"/>
      <c r="I444" s="190"/>
      <c r="J444" s="190"/>
      <c r="K444" s="190"/>
      <c r="L444" s="190"/>
      <c r="M444" s="190"/>
      <c r="N444" s="190"/>
      <c r="O444" s="190"/>
      <c r="P444" s="190"/>
      <c r="Q444" s="190"/>
      <c r="R444" s="190"/>
      <c r="S444" s="190" t="s">
        <v>1306</v>
      </c>
      <c r="T444" s="43">
        <f t="shared" si="6"/>
        <v>1</v>
      </c>
      <c r="U444" s="167">
        <f t="shared" si="7"/>
        <v>0</v>
      </c>
      <c r="V444" s="43"/>
      <c r="W444" s="43"/>
      <c r="X444" s="43"/>
    </row>
    <row r="445" spans="1:24" ht="14.25" customHeight="1">
      <c r="A445" s="190"/>
      <c r="B445" s="225"/>
      <c r="C445" s="190"/>
      <c r="D445" s="190"/>
      <c r="E445" s="232"/>
      <c r="F445" s="185"/>
      <c r="G445" s="185"/>
      <c r="H445" s="190"/>
      <c r="I445" s="190"/>
      <c r="J445" s="190"/>
      <c r="K445" s="190"/>
      <c r="L445" s="190"/>
      <c r="M445" s="190"/>
      <c r="N445" s="190"/>
      <c r="O445" s="190"/>
      <c r="P445" s="190"/>
      <c r="Q445" s="190"/>
      <c r="R445" s="190"/>
      <c r="S445" s="190" t="s">
        <v>1306</v>
      </c>
      <c r="T445" s="43">
        <f t="shared" si="6"/>
        <v>1</v>
      </c>
      <c r="U445" s="167">
        <f t="shared" si="7"/>
        <v>0</v>
      </c>
      <c r="V445" s="43"/>
      <c r="W445" s="43"/>
      <c r="X445" s="43"/>
    </row>
    <row r="446" spans="1:24" ht="14.25" customHeight="1">
      <c r="A446" s="190"/>
      <c r="B446" s="225"/>
      <c r="C446" s="190"/>
      <c r="D446" s="190"/>
      <c r="E446" s="232"/>
      <c r="F446" s="191"/>
      <c r="G446" s="185"/>
      <c r="H446" s="190"/>
      <c r="I446" s="190"/>
      <c r="J446" s="190"/>
      <c r="K446" s="190"/>
      <c r="L446" s="190"/>
      <c r="M446" s="190"/>
      <c r="N446" s="190"/>
      <c r="O446" s="190"/>
      <c r="P446" s="190"/>
      <c r="Q446" s="190"/>
      <c r="R446" s="190"/>
      <c r="S446" s="190"/>
      <c r="T446" s="43">
        <f t="shared" si="6"/>
        <v>1</v>
      </c>
      <c r="U446" s="167">
        <f t="shared" si="7"/>
        <v>0</v>
      </c>
      <c r="V446" s="43"/>
      <c r="W446" s="43"/>
      <c r="X446" s="43"/>
    </row>
    <row r="447" spans="1:24" ht="14.25" customHeight="1">
      <c r="A447" s="190"/>
      <c r="B447" s="225"/>
      <c r="C447" s="190"/>
      <c r="D447" s="190"/>
      <c r="E447" s="232"/>
      <c r="F447" s="185"/>
      <c r="G447" s="185"/>
      <c r="H447" s="190"/>
      <c r="I447" s="190"/>
      <c r="J447" s="190"/>
      <c r="K447" s="190"/>
      <c r="L447" s="190"/>
      <c r="M447" s="190"/>
      <c r="N447" s="190"/>
      <c r="O447" s="190"/>
      <c r="P447" s="190"/>
      <c r="Q447" s="190"/>
      <c r="R447" s="190"/>
      <c r="S447" s="190"/>
      <c r="T447" s="43">
        <f t="shared" si="6"/>
        <v>1</v>
      </c>
      <c r="U447" s="167">
        <f t="shared" si="7"/>
        <v>0</v>
      </c>
      <c r="V447" s="43"/>
      <c r="W447" s="43"/>
      <c r="X447" s="43"/>
    </row>
    <row r="448" spans="1:24" ht="14.25" customHeight="1">
      <c r="A448" s="190"/>
      <c r="B448" s="225"/>
      <c r="C448" s="190"/>
      <c r="D448" s="190"/>
      <c r="E448" s="232"/>
      <c r="F448" s="185"/>
      <c r="G448" s="185"/>
      <c r="H448" s="190"/>
      <c r="I448" s="190"/>
      <c r="J448" s="190"/>
      <c r="K448" s="190"/>
      <c r="L448" s="190"/>
      <c r="M448" s="190"/>
      <c r="N448" s="190"/>
      <c r="O448" s="190"/>
      <c r="P448" s="190"/>
      <c r="Q448" s="190"/>
      <c r="R448" s="190"/>
      <c r="S448" s="190" t="s">
        <v>991</v>
      </c>
      <c r="T448" s="43">
        <f t="shared" si="6"/>
        <v>1</v>
      </c>
      <c r="U448" s="167">
        <f t="shared" si="7"/>
        <v>0</v>
      </c>
      <c r="V448" s="43"/>
      <c r="W448" s="43"/>
      <c r="X448" s="43"/>
    </row>
    <row r="449" spans="1:24" ht="14.25" customHeight="1">
      <c r="A449" s="190"/>
      <c r="B449" s="225"/>
      <c r="C449" s="190"/>
      <c r="D449" s="190"/>
      <c r="E449" s="232"/>
      <c r="F449" s="191"/>
      <c r="G449" s="185"/>
      <c r="H449" s="190"/>
      <c r="I449" s="190"/>
      <c r="J449" s="190"/>
      <c r="K449" s="190"/>
      <c r="L449" s="190"/>
      <c r="M449" s="190"/>
      <c r="N449" s="190"/>
      <c r="O449" s="190"/>
      <c r="P449" s="190"/>
      <c r="Q449" s="190"/>
      <c r="R449" s="190"/>
      <c r="S449" s="190"/>
      <c r="T449" s="43">
        <f t="shared" si="6"/>
        <v>1</v>
      </c>
      <c r="U449" s="167">
        <f t="shared" si="7"/>
        <v>0</v>
      </c>
      <c r="V449" s="43"/>
      <c r="W449" s="43"/>
      <c r="X449" s="43"/>
    </row>
    <row r="450" spans="1:24" ht="14.25" customHeight="1">
      <c r="A450" s="190"/>
      <c r="B450" s="225"/>
      <c r="C450" s="190"/>
      <c r="D450" s="190"/>
      <c r="E450" s="232"/>
      <c r="F450" s="191"/>
      <c r="G450" s="185"/>
      <c r="H450" s="190"/>
      <c r="I450" s="190"/>
      <c r="J450" s="190"/>
      <c r="K450" s="190"/>
      <c r="L450" s="190"/>
      <c r="M450" s="190"/>
      <c r="N450" s="190"/>
      <c r="O450" s="190"/>
      <c r="P450" s="190"/>
      <c r="Q450" s="190"/>
      <c r="R450" s="190"/>
      <c r="S450" s="190" t="s">
        <v>1319</v>
      </c>
      <c r="T450" s="43">
        <f t="shared" si="6"/>
        <v>1</v>
      </c>
      <c r="U450" s="167">
        <f t="shared" si="7"/>
        <v>0</v>
      </c>
      <c r="V450" s="43"/>
      <c r="W450" s="43"/>
      <c r="X450" s="43"/>
    </row>
    <row r="451" spans="1:24" ht="14.25" customHeight="1">
      <c r="A451" s="190"/>
      <c r="B451" s="225"/>
      <c r="C451" s="190"/>
      <c r="D451" s="190"/>
      <c r="E451" s="232"/>
      <c r="F451" s="191"/>
      <c r="G451" s="185"/>
      <c r="H451" s="190"/>
      <c r="I451" s="190"/>
      <c r="J451" s="190"/>
      <c r="K451" s="190"/>
      <c r="L451" s="190"/>
      <c r="M451" s="190"/>
      <c r="N451" s="190"/>
      <c r="O451" s="190"/>
      <c r="P451" s="190"/>
      <c r="Q451" s="190"/>
      <c r="R451" s="190"/>
      <c r="S451" s="190" t="s">
        <v>656</v>
      </c>
      <c r="T451" s="43">
        <f t="shared" si="6"/>
        <v>1</v>
      </c>
      <c r="U451" s="167">
        <f t="shared" si="7"/>
        <v>0</v>
      </c>
      <c r="V451" s="43"/>
      <c r="W451" s="43"/>
      <c r="X451" s="43"/>
    </row>
    <row r="452" spans="1:24" ht="14.25" customHeight="1">
      <c r="A452" s="190"/>
      <c r="B452" s="225"/>
      <c r="C452" s="190"/>
      <c r="D452" s="190"/>
      <c r="E452" s="232"/>
      <c r="F452" s="191"/>
      <c r="G452" s="185"/>
      <c r="H452" s="190"/>
      <c r="I452" s="190"/>
      <c r="J452" s="190"/>
      <c r="K452" s="190"/>
      <c r="L452" s="190"/>
      <c r="M452" s="190"/>
      <c r="N452" s="190"/>
      <c r="O452" s="190"/>
      <c r="P452" s="190"/>
      <c r="Q452" s="190"/>
      <c r="R452" s="190"/>
      <c r="S452" s="190" t="s">
        <v>427</v>
      </c>
      <c r="T452" s="43">
        <f t="shared" si="6"/>
        <v>1</v>
      </c>
      <c r="U452" s="167">
        <f t="shared" si="7"/>
        <v>0</v>
      </c>
      <c r="V452" s="43"/>
      <c r="W452" s="43"/>
      <c r="X452" s="43"/>
    </row>
    <row r="453" spans="1:24" ht="14.25" customHeight="1">
      <c r="A453" s="190"/>
      <c r="B453" s="225"/>
      <c r="C453" s="190"/>
      <c r="D453" s="190"/>
      <c r="E453" s="232"/>
      <c r="F453" s="191"/>
      <c r="G453" s="185"/>
      <c r="H453" s="190"/>
      <c r="I453" s="190"/>
      <c r="J453" s="190"/>
      <c r="K453" s="190"/>
      <c r="L453" s="190"/>
      <c r="M453" s="190"/>
      <c r="N453" s="190"/>
      <c r="O453" s="190"/>
      <c r="P453" s="190"/>
      <c r="Q453" s="190"/>
      <c r="R453" s="190"/>
      <c r="S453" s="190" t="s">
        <v>420</v>
      </c>
      <c r="T453" s="43">
        <f t="shared" si="6"/>
        <v>1</v>
      </c>
      <c r="U453" s="167">
        <f t="shared" si="7"/>
        <v>0</v>
      </c>
      <c r="V453" s="43"/>
      <c r="W453" s="43"/>
      <c r="X453" s="43"/>
    </row>
    <row r="454" spans="1:24" ht="14.25" customHeight="1">
      <c r="A454" s="190"/>
      <c r="B454" s="225"/>
      <c r="C454" s="190"/>
      <c r="D454" s="190"/>
      <c r="E454" s="232"/>
      <c r="F454" s="191"/>
      <c r="G454" s="185"/>
      <c r="H454" s="190"/>
      <c r="I454" s="190"/>
      <c r="J454" s="190"/>
      <c r="K454" s="190"/>
      <c r="L454" s="190"/>
      <c r="M454" s="190"/>
      <c r="N454" s="190"/>
      <c r="O454" s="190"/>
      <c r="P454" s="190"/>
      <c r="Q454" s="190"/>
      <c r="R454" s="190"/>
      <c r="S454" s="190" t="s">
        <v>413</v>
      </c>
      <c r="T454" s="43">
        <f t="shared" si="6"/>
        <v>1</v>
      </c>
      <c r="U454" s="167">
        <f t="shared" si="7"/>
        <v>0</v>
      </c>
      <c r="V454" s="43"/>
      <c r="W454" s="43"/>
      <c r="X454" s="43"/>
    </row>
    <row r="455" spans="1:24" ht="14.25" customHeight="1">
      <c r="A455" s="190"/>
      <c r="B455" s="225"/>
      <c r="C455" s="190"/>
      <c r="D455" s="190"/>
      <c r="E455" s="232"/>
      <c r="F455" s="191"/>
      <c r="G455" s="185"/>
      <c r="H455" s="190"/>
      <c r="I455" s="190"/>
      <c r="J455" s="190"/>
      <c r="K455" s="190"/>
      <c r="L455" s="190"/>
      <c r="M455" s="190"/>
      <c r="N455" s="190"/>
      <c r="O455" s="190"/>
      <c r="P455" s="190"/>
      <c r="Q455" s="190"/>
      <c r="R455" s="190"/>
      <c r="S455" s="190" t="s">
        <v>607</v>
      </c>
      <c r="T455" s="43">
        <f t="shared" si="6"/>
        <v>1</v>
      </c>
      <c r="U455" s="167">
        <f t="shared" si="7"/>
        <v>0</v>
      </c>
      <c r="V455" s="43"/>
      <c r="W455" s="43"/>
      <c r="X455" s="43"/>
    </row>
    <row r="456" spans="1:24" ht="14.25" customHeight="1">
      <c r="A456" s="190"/>
      <c r="B456" s="225"/>
      <c r="C456" s="190"/>
      <c r="D456" s="190"/>
      <c r="E456" s="232"/>
      <c r="F456" s="185"/>
      <c r="G456" s="185"/>
      <c r="H456" s="190"/>
      <c r="I456" s="190"/>
      <c r="J456" s="190"/>
      <c r="K456" s="190"/>
      <c r="L456" s="190"/>
      <c r="M456" s="190"/>
      <c r="N456" s="190"/>
      <c r="O456" s="190"/>
      <c r="P456" s="190"/>
      <c r="Q456" s="190"/>
      <c r="R456" s="190"/>
      <c r="S456" s="190" t="s">
        <v>398</v>
      </c>
      <c r="T456" s="43">
        <f t="shared" si="6"/>
        <v>1</v>
      </c>
      <c r="U456" s="167">
        <f t="shared" si="7"/>
        <v>0</v>
      </c>
      <c r="V456" s="43"/>
      <c r="W456" s="43"/>
      <c r="X456" s="43"/>
    </row>
    <row r="457" spans="1:24" ht="14.25" customHeight="1">
      <c r="A457" s="190"/>
      <c r="B457" s="225"/>
      <c r="C457" s="190"/>
      <c r="D457" s="190"/>
      <c r="E457" s="232"/>
      <c r="F457" s="185"/>
      <c r="G457" s="185"/>
      <c r="H457" s="190"/>
      <c r="I457" s="190"/>
      <c r="J457" s="190"/>
      <c r="K457" s="190"/>
      <c r="L457" s="190"/>
      <c r="M457" s="190"/>
      <c r="N457" s="190"/>
      <c r="O457" s="190"/>
      <c r="P457" s="190"/>
      <c r="Q457" s="190"/>
      <c r="R457" s="190"/>
      <c r="S457" s="190" t="s">
        <v>398</v>
      </c>
      <c r="T457" s="43">
        <f t="shared" si="6"/>
        <v>1</v>
      </c>
      <c r="U457" s="167">
        <f t="shared" si="7"/>
        <v>0</v>
      </c>
      <c r="V457" s="43"/>
      <c r="W457" s="43"/>
      <c r="X457" s="43"/>
    </row>
    <row r="458" spans="1:24" ht="14.25" customHeight="1">
      <c r="A458" s="190"/>
      <c r="B458" s="225"/>
      <c r="C458" s="190"/>
      <c r="D458" s="190"/>
      <c r="E458" s="232"/>
      <c r="F458" s="185"/>
      <c r="G458" s="185"/>
      <c r="H458" s="190"/>
      <c r="I458" s="190"/>
      <c r="J458" s="190"/>
      <c r="K458" s="190"/>
      <c r="L458" s="190"/>
      <c r="M458" s="190"/>
      <c r="N458" s="190"/>
      <c r="O458" s="190"/>
      <c r="P458" s="190"/>
      <c r="Q458" s="190"/>
      <c r="R458" s="190"/>
      <c r="S458" s="190" t="s">
        <v>395</v>
      </c>
      <c r="T458" s="43">
        <f t="shared" si="6"/>
        <v>1</v>
      </c>
      <c r="U458" s="167">
        <f t="shared" si="7"/>
        <v>0</v>
      </c>
      <c r="V458" s="43"/>
      <c r="W458" s="43"/>
      <c r="X458" s="43"/>
    </row>
    <row r="459" spans="1:24" ht="14.25" customHeight="1">
      <c r="A459" s="190"/>
      <c r="B459" s="225"/>
      <c r="C459" s="190"/>
      <c r="D459" s="190"/>
      <c r="E459" s="232"/>
      <c r="F459" s="185"/>
      <c r="G459" s="185"/>
      <c r="H459" s="190"/>
      <c r="I459" s="190"/>
      <c r="J459" s="190"/>
      <c r="K459" s="190"/>
      <c r="L459" s="190"/>
      <c r="M459" s="190"/>
      <c r="N459" s="190"/>
      <c r="O459" s="190"/>
      <c r="P459" s="190"/>
      <c r="Q459" s="190"/>
      <c r="R459" s="190"/>
      <c r="S459" s="190" t="s">
        <v>369</v>
      </c>
      <c r="T459" s="43">
        <f t="shared" si="6"/>
        <v>1</v>
      </c>
      <c r="U459" s="167">
        <f t="shared" si="7"/>
        <v>0</v>
      </c>
      <c r="V459" s="43"/>
      <c r="W459" s="43"/>
      <c r="X459" s="43"/>
    </row>
    <row r="460" spans="1:24" ht="14.25" customHeight="1">
      <c r="A460" s="190"/>
      <c r="B460" s="225"/>
      <c r="C460" s="190"/>
      <c r="D460" s="190"/>
      <c r="E460" s="232"/>
      <c r="F460" s="185"/>
      <c r="G460" s="185"/>
      <c r="H460" s="190"/>
      <c r="I460" s="190"/>
      <c r="J460" s="190"/>
      <c r="K460" s="190"/>
      <c r="L460" s="190"/>
      <c r="M460" s="190"/>
      <c r="N460" s="190"/>
      <c r="O460" s="190"/>
      <c r="P460" s="190"/>
      <c r="Q460" s="190"/>
      <c r="R460" s="190"/>
      <c r="S460" s="190"/>
      <c r="T460" s="43">
        <f t="shared" si="6"/>
        <v>1</v>
      </c>
      <c r="U460" s="167">
        <f t="shared" si="7"/>
        <v>0</v>
      </c>
      <c r="V460" s="43"/>
      <c r="W460" s="43"/>
      <c r="X460" s="43"/>
    </row>
    <row r="461" spans="1:24" ht="14.25" customHeight="1">
      <c r="A461" s="190"/>
      <c r="B461" s="225"/>
      <c r="C461" s="190"/>
      <c r="D461" s="190"/>
      <c r="E461" s="232"/>
      <c r="F461" s="185"/>
      <c r="G461" s="185"/>
      <c r="H461" s="190"/>
      <c r="I461" s="190"/>
      <c r="J461" s="190"/>
      <c r="K461" s="190"/>
      <c r="L461" s="190"/>
      <c r="M461" s="190"/>
      <c r="N461" s="190"/>
      <c r="O461" s="190"/>
      <c r="P461" s="190"/>
      <c r="Q461" s="190"/>
      <c r="R461" s="190"/>
      <c r="S461" s="190" t="s">
        <v>1144</v>
      </c>
      <c r="T461" s="43">
        <f t="shared" si="6"/>
        <v>1</v>
      </c>
      <c r="U461" s="167">
        <f t="shared" si="7"/>
        <v>0</v>
      </c>
      <c r="V461" s="43"/>
      <c r="W461" s="43"/>
      <c r="X461" s="43"/>
    </row>
    <row r="462" spans="1:24" ht="14.25" customHeight="1">
      <c r="A462" s="190"/>
      <c r="B462" s="225"/>
      <c r="C462" s="190"/>
      <c r="D462" s="190"/>
      <c r="E462" s="232"/>
      <c r="F462" s="191"/>
      <c r="G462" s="185"/>
      <c r="H462" s="190"/>
      <c r="I462" s="190"/>
      <c r="J462" s="190"/>
      <c r="K462" s="190"/>
      <c r="L462" s="190"/>
      <c r="M462" s="190"/>
      <c r="N462" s="190"/>
      <c r="O462" s="190"/>
      <c r="P462" s="190"/>
      <c r="Q462" s="190"/>
      <c r="R462" s="190"/>
      <c r="S462" s="190"/>
      <c r="T462" s="43">
        <f t="shared" si="6"/>
        <v>1</v>
      </c>
      <c r="U462" s="167">
        <f t="shared" si="7"/>
        <v>0</v>
      </c>
      <c r="V462" s="43"/>
      <c r="W462" s="43"/>
      <c r="X462" s="43"/>
    </row>
    <row r="463" spans="1:24" ht="14.25" customHeight="1">
      <c r="A463" s="190"/>
      <c r="B463" s="225"/>
      <c r="C463" s="190"/>
      <c r="D463" s="190"/>
      <c r="E463" s="232"/>
      <c r="F463" s="302"/>
      <c r="G463" s="185"/>
      <c r="H463" s="190"/>
      <c r="I463" s="190"/>
      <c r="J463" s="190"/>
      <c r="K463" s="190"/>
      <c r="L463" s="190"/>
      <c r="M463" s="190"/>
      <c r="N463" s="190"/>
      <c r="O463" s="190"/>
      <c r="P463" s="190"/>
      <c r="Q463" s="190"/>
      <c r="R463" s="190"/>
      <c r="S463" s="190" t="s">
        <v>320</v>
      </c>
      <c r="T463" s="43">
        <f t="shared" si="6"/>
        <v>1</v>
      </c>
      <c r="U463" s="167">
        <f t="shared" si="7"/>
        <v>0</v>
      </c>
      <c r="V463" s="43"/>
      <c r="W463" s="43"/>
      <c r="X463" s="43"/>
    </row>
    <row r="464" spans="1:24" ht="14.25" customHeight="1">
      <c r="A464" s="190"/>
      <c r="B464" s="225"/>
      <c r="C464" s="190"/>
      <c r="D464" s="190"/>
      <c r="E464" s="232"/>
      <c r="F464" s="302"/>
      <c r="G464" s="185"/>
      <c r="H464" s="190"/>
      <c r="I464" s="190"/>
      <c r="J464" s="190"/>
      <c r="K464" s="190"/>
      <c r="L464" s="190"/>
      <c r="M464" s="190"/>
      <c r="N464" s="190"/>
      <c r="O464" s="190"/>
      <c r="P464" s="190"/>
      <c r="Q464" s="190"/>
      <c r="R464" s="190"/>
      <c r="S464" s="190" t="s">
        <v>320</v>
      </c>
      <c r="T464" s="43">
        <f t="shared" si="6"/>
        <v>1</v>
      </c>
      <c r="U464" s="167">
        <f t="shared" si="7"/>
        <v>0</v>
      </c>
      <c r="V464" s="43"/>
      <c r="W464" s="43"/>
      <c r="X464" s="43"/>
    </row>
    <row r="465" spans="1:24" ht="14.25" customHeight="1">
      <c r="A465" s="190"/>
      <c r="B465" s="225"/>
      <c r="C465" s="190"/>
      <c r="D465" s="190"/>
      <c r="E465" s="232"/>
      <c r="F465" s="302"/>
      <c r="G465" s="185"/>
      <c r="H465" s="190"/>
      <c r="I465" s="190"/>
      <c r="J465" s="190"/>
      <c r="K465" s="190"/>
      <c r="L465" s="190"/>
      <c r="M465" s="190"/>
      <c r="N465" s="190"/>
      <c r="O465" s="190"/>
      <c r="P465" s="190"/>
      <c r="Q465" s="190"/>
      <c r="R465" s="190"/>
      <c r="S465" s="190" t="s">
        <v>320</v>
      </c>
      <c r="T465" s="43">
        <f t="shared" si="6"/>
        <v>1</v>
      </c>
      <c r="U465" s="167">
        <f t="shared" si="7"/>
        <v>0</v>
      </c>
      <c r="V465" s="43"/>
      <c r="W465" s="43"/>
      <c r="X465" s="43"/>
    </row>
    <row r="466" spans="1:24" ht="14.25" customHeight="1">
      <c r="A466" s="190"/>
      <c r="B466" s="225"/>
      <c r="C466" s="190"/>
      <c r="D466" s="190"/>
      <c r="E466" s="232"/>
      <c r="F466" s="302"/>
      <c r="G466" s="185"/>
      <c r="H466" s="190"/>
      <c r="I466" s="190"/>
      <c r="J466" s="190"/>
      <c r="K466" s="190"/>
      <c r="L466" s="190"/>
      <c r="M466" s="190"/>
      <c r="N466" s="190"/>
      <c r="O466" s="190"/>
      <c r="P466" s="190"/>
      <c r="Q466" s="190"/>
      <c r="R466" s="190"/>
      <c r="S466" s="190" t="s">
        <v>320</v>
      </c>
      <c r="T466" s="43">
        <f t="shared" si="6"/>
        <v>1</v>
      </c>
      <c r="U466" s="167">
        <f t="shared" si="7"/>
        <v>0</v>
      </c>
      <c r="V466" s="43"/>
      <c r="W466" s="43"/>
      <c r="X466" s="43"/>
    </row>
    <row r="467" spans="1:24" ht="14.25" customHeight="1">
      <c r="A467" s="190"/>
      <c r="B467" s="225"/>
      <c r="C467" s="190"/>
      <c r="D467" s="190"/>
      <c r="E467" s="232"/>
      <c r="F467" s="302"/>
      <c r="G467" s="185"/>
      <c r="H467" s="190"/>
      <c r="I467" s="190"/>
      <c r="J467" s="190"/>
      <c r="K467" s="190"/>
      <c r="L467" s="190"/>
      <c r="M467" s="190"/>
      <c r="N467" s="190"/>
      <c r="O467" s="190"/>
      <c r="P467" s="190"/>
      <c r="Q467" s="190"/>
      <c r="R467" s="190"/>
      <c r="S467" s="190" t="s">
        <v>320</v>
      </c>
      <c r="T467" s="43">
        <f t="shared" si="6"/>
        <v>1</v>
      </c>
      <c r="U467" s="167">
        <f t="shared" si="7"/>
        <v>0</v>
      </c>
      <c r="V467" s="43"/>
      <c r="W467" s="43"/>
      <c r="X467" s="43"/>
    </row>
    <row r="468" spans="1:24" ht="14.25" customHeight="1">
      <c r="A468" s="190"/>
      <c r="B468" s="225"/>
      <c r="C468" s="190"/>
      <c r="D468" s="190"/>
      <c r="E468" s="232"/>
      <c r="F468" s="302"/>
      <c r="G468" s="185"/>
      <c r="H468" s="190"/>
      <c r="I468" s="190"/>
      <c r="J468" s="190"/>
      <c r="K468" s="190"/>
      <c r="L468" s="190"/>
      <c r="M468" s="190"/>
      <c r="N468" s="190"/>
      <c r="O468" s="190"/>
      <c r="P468" s="190"/>
      <c r="Q468" s="190"/>
      <c r="R468" s="190"/>
      <c r="S468" s="190" t="s">
        <v>320</v>
      </c>
      <c r="T468" s="43">
        <f t="shared" si="6"/>
        <v>1</v>
      </c>
      <c r="U468" s="167">
        <f t="shared" si="7"/>
        <v>0</v>
      </c>
      <c r="V468" s="43"/>
      <c r="W468" s="43"/>
      <c r="X468" s="43"/>
    </row>
    <row r="469" spans="1:24" ht="14.25" customHeight="1">
      <c r="A469" s="190"/>
      <c r="B469" s="225"/>
      <c r="C469" s="190"/>
      <c r="D469" s="190"/>
      <c r="E469" s="232"/>
      <c r="F469" s="302"/>
      <c r="G469" s="185"/>
      <c r="H469" s="190"/>
      <c r="I469" s="190"/>
      <c r="J469" s="190"/>
      <c r="K469" s="190"/>
      <c r="L469" s="190"/>
      <c r="M469" s="190"/>
      <c r="N469" s="190"/>
      <c r="O469" s="190"/>
      <c r="P469" s="190"/>
      <c r="Q469" s="190"/>
      <c r="R469" s="190"/>
      <c r="S469" s="190" t="s">
        <v>320</v>
      </c>
      <c r="T469" s="43">
        <f t="shared" si="6"/>
        <v>1</v>
      </c>
      <c r="U469" s="167">
        <f t="shared" si="7"/>
        <v>0</v>
      </c>
      <c r="V469" s="43"/>
      <c r="W469" s="43"/>
      <c r="X469" s="43"/>
    </row>
    <row r="470" spans="1:24" ht="14.25" customHeight="1">
      <c r="A470" s="190"/>
      <c r="B470" s="225"/>
      <c r="C470" s="190"/>
      <c r="D470" s="190"/>
      <c r="E470" s="232"/>
      <c r="F470" s="302"/>
      <c r="G470" s="185"/>
      <c r="H470" s="190"/>
      <c r="I470" s="190"/>
      <c r="J470" s="190"/>
      <c r="K470" s="190"/>
      <c r="L470" s="190"/>
      <c r="M470" s="190"/>
      <c r="N470" s="190"/>
      <c r="O470" s="190"/>
      <c r="P470" s="190"/>
      <c r="Q470" s="190"/>
      <c r="R470" s="190"/>
      <c r="S470" s="190" t="s">
        <v>320</v>
      </c>
      <c r="T470" s="43">
        <f t="shared" si="6"/>
        <v>1</v>
      </c>
      <c r="U470" s="167">
        <f t="shared" si="7"/>
        <v>0</v>
      </c>
      <c r="V470" s="43"/>
      <c r="W470" s="43"/>
      <c r="X470" s="43"/>
    </row>
    <row r="471" spans="1:24" ht="14.25" customHeight="1">
      <c r="A471" s="190"/>
      <c r="B471" s="225"/>
      <c r="C471" s="190"/>
      <c r="D471" s="190"/>
      <c r="E471" s="232"/>
      <c r="F471" s="185"/>
      <c r="G471" s="185"/>
      <c r="H471" s="190"/>
      <c r="I471" s="190"/>
      <c r="J471" s="190"/>
      <c r="K471" s="190"/>
      <c r="L471" s="190"/>
      <c r="M471" s="190"/>
      <c r="N471" s="190"/>
      <c r="O471" s="190"/>
      <c r="P471" s="190"/>
      <c r="Q471" s="190"/>
      <c r="R471" s="190"/>
      <c r="S471" s="190" t="s">
        <v>325</v>
      </c>
      <c r="T471" s="43">
        <f t="shared" si="6"/>
        <v>1</v>
      </c>
      <c r="U471" s="167">
        <f t="shared" si="7"/>
        <v>0</v>
      </c>
      <c r="V471" s="43"/>
      <c r="W471" s="43"/>
      <c r="X471" s="43"/>
    </row>
    <row r="472" spans="1:24" ht="14.25" customHeight="1">
      <c r="A472" s="190"/>
      <c r="B472" s="225"/>
      <c r="C472" s="190"/>
      <c r="D472" s="190"/>
      <c r="E472" s="232"/>
      <c r="F472" s="185"/>
      <c r="G472" s="185"/>
      <c r="H472" s="190"/>
      <c r="I472" s="190"/>
      <c r="J472" s="190"/>
      <c r="K472" s="190"/>
      <c r="L472" s="190"/>
      <c r="M472" s="190"/>
      <c r="N472" s="190"/>
      <c r="O472" s="190"/>
      <c r="P472" s="190"/>
      <c r="Q472" s="190"/>
      <c r="R472" s="190"/>
      <c r="S472" s="190" t="s">
        <v>435</v>
      </c>
      <c r="T472" s="43">
        <f t="shared" si="6"/>
        <v>1</v>
      </c>
      <c r="U472" s="167">
        <f t="shared" si="7"/>
        <v>0</v>
      </c>
      <c r="V472" s="43"/>
      <c r="W472" s="43"/>
      <c r="X472" s="43"/>
    </row>
    <row r="473" spans="1:24" ht="14.25" customHeight="1">
      <c r="A473" s="190"/>
      <c r="B473" s="225"/>
      <c r="C473" s="190"/>
      <c r="D473" s="190"/>
      <c r="E473" s="232"/>
      <c r="F473" s="185"/>
      <c r="G473" s="185"/>
      <c r="H473" s="190"/>
      <c r="I473" s="190"/>
      <c r="J473" s="190"/>
      <c r="K473" s="190"/>
      <c r="L473" s="190"/>
      <c r="M473" s="190"/>
      <c r="N473" s="190"/>
      <c r="O473" s="190"/>
      <c r="P473" s="190"/>
      <c r="Q473" s="190"/>
      <c r="R473" s="190"/>
      <c r="S473" s="190" t="s">
        <v>438</v>
      </c>
      <c r="T473" s="43">
        <f t="shared" si="6"/>
        <v>1</v>
      </c>
      <c r="U473" s="167">
        <f t="shared" si="7"/>
        <v>0</v>
      </c>
      <c r="V473" s="43"/>
      <c r="W473" s="43"/>
      <c r="X473" s="43"/>
    </row>
    <row r="474" spans="1:24" ht="14.25" customHeight="1">
      <c r="A474" s="190"/>
      <c r="B474" s="225"/>
      <c r="C474" s="190"/>
      <c r="D474" s="190"/>
      <c r="E474" s="232"/>
      <c r="F474" s="185"/>
      <c r="G474" s="185"/>
      <c r="H474" s="190"/>
      <c r="I474" s="190"/>
      <c r="J474" s="190"/>
      <c r="K474" s="190"/>
      <c r="L474" s="190"/>
      <c r="M474" s="190"/>
      <c r="N474" s="190"/>
      <c r="O474" s="190"/>
      <c r="P474" s="190"/>
      <c r="Q474" s="190"/>
      <c r="R474" s="190"/>
      <c r="S474" s="190" t="s">
        <v>440</v>
      </c>
      <c r="T474" s="43">
        <f t="shared" si="6"/>
        <v>1</v>
      </c>
      <c r="U474" s="167">
        <f t="shared" si="7"/>
        <v>0</v>
      </c>
      <c r="V474" s="43"/>
      <c r="W474" s="43"/>
      <c r="X474" s="43"/>
    </row>
    <row r="475" spans="1:24" ht="14.25" customHeight="1">
      <c r="A475" s="190"/>
      <c r="B475" s="225"/>
      <c r="C475" s="190"/>
      <c r="D475" s="190"/>
      <c r="E475" s="232"/>
      <c r="F475" s="185"/>
      <c r="G475" s="185"/>
      <c r="H475" s="190"/>
      <c r="I475" s="190"/>
      <c r="J475" s="190"/>
      <c r="K475" s="190"/>
      <c r="L475" s="190"/>
      <c r="M475" s="190"/>
      <c r="N475" s="190"/>
      <c r="O475" s="190"/>
      <c r="P475" s="190"/>
      <c r="Q475" s="190"/>
      <c r="R475" s="190"/>
      <c r="S475" s="190" t="s">
        <v>475</v>
      </c>
      <c r="T475" s="43">
        <f t="shared" si="6"/>
        <v>1</v>
      </c>
      <c r="U475" s="167">
        <f t="shared" si="7"/>
        <v>0</v>
      </c>
      <c r="V475" s="43"/>
      <c r="W475" s="43"/>
      <c r="X475" s="43"/>
    </row>
    <row r="476" spans="1:24" ht="14.25" customHeight="1">
      <c r="A476" s="190"/>
      <c r="B476" s="225"/>
      <c r="C476" s="190"/>
      <c r="D476" s="190"/>
      <c r="E476" s="232"/>
      <c r="F476" s="185"/>
      <c r="G476" s="185"/>
      <c r="H476" s="190"/>
      <c r="I476" s="190"/>
      <c r="J476" s="190"/>
      <c r="K476" s="190"/>
      <c r="L476" s="190"/>
      <c r="M476" s="190"/>
      <c r="N476" s="190"/>
      <c r="O476" s="190"/>
      <c r="P476" s="190"/>
      <c r="Q476" s="190"/>
      <c r="R476" s="190"/>
      <c r="S476" s="190" t="s">
        <v>443</v>
      </c>
      <c r="T476" s="43">
        <f t="shared" si="6"/>
        <v>1</v>
      </c>
      <c r="U476" s="167">
        <f t="shared" si="7"/>
        <v>0</v>
      </c>
      <c r="V476" s="43"/>
      <c r="W476" s="43"/>
      <c r="X476" s="43"/>
    </row>
    <row r="477" spans="1:24" ht="14.25" customHeight="1">
      <c r="A477" s="190"/>
      <c r="B477" s="225"/>
      <c r="C477" s="190"/>
      <c r="D477" s="190"/>
      <c r="E477" s="232"/>
      <c r="F477" s="185"/>
      <c r="G477" s="185"/>
      <c r="H477" s="190"/>
      <c r="I477" s="190"/>
      <c r="J477" s="190"/>
      <c r="K477" s="190"/>
      <c r="L477" s="190"/>
      <c r="M477" s="190"/>
      <c r="N477" s="190"/>
      <c r="O477" s="190"/>
      <c r="P477" s="190"/>
      <c r="Q477" s="190"/>
      <c r="R477" s="190"/>
      <c r="S477" s="190" t="s">
        <v>446</v>
      </c>
      <c r="T477" s="43">
        <f t="shared" si="6"/>
        <v>1</v>
      </c>
      <c r="U477" s="167">
        <f t="shared" si="7"/>
        <v>0</v>
      </c>
      <c r="V477" s="43"/>
      <c r="W477" s="43"/>
      <c r="X477" s="43"/>
    </row>
    <row r="478" spans="1:24" ht="14.25" customHeight="1">
      <c r="A478" s="190"/>
      <c r="B478" s="225"/>
      <c r="C478" s="190"/>
      <c r="D478" s="190"/>
      <c r="E478" s="232"/>
      <c r="F478" s="185"/>
      <c r="G478" s="185"/>
      <c r="H478" s="190"/>
      <c r="I478" s="190"/>
      <c r="J478" s="190"/>
      <c r="K478" s="190"/>
      <c r="L478" s="190"/>
      <c r="M478" s="190"/>
      <c r="N478" s="190"/>
      <c r="O478" s="190"/>
      <c r="P478" s="190"/>
      <c r="Q478" s="190"/>
      <c r="R478" s="190"/>
      <c r="S478" s="190" t="s">
        <v>449</v>
      </c>
      <c r="T478" s="43">
        <f t="shared" si="6"/>
        <v>1</v>
      </c>
      <c r="U478" s="167">
        <f t="shared" si="7"/>
        <v>0</v>
      </c>
      <c r="V478" s="43"/>
      <c r="W478" s="43"/>
      <c r="X478" s="43"/>
    </row>
    <row r="479" spans="1:24" ht="14.25" customHeight="1">
      <c r="A479" s="190"/>
      <c r="B479" s="225"/>
      <c r="C479" s="190"/>
      <c r="D479" s="190"/>
      <c r="E479" s="232"/>
      <c r="F479" s="185"/>
      <c r="G479" s="185"/>
      <c r="H479" s="190"/>
      <c r="I479" s="190"/>
      <c r="J479" s="190"/>
      <c r="K479" s="190"/>
      <c r="L479" s="190"/>
      <c r="M479" s="190"/>
      <c r="N479" s="190"/>
      <c r="O479" s="190"/>
      <c r="P479" s="190"/>
      <c r="Q479" s="190"/>
      <c r="R479" s="190"/>
      <c r="S479" s="190" t="s">
        <v>323</v>
      </c>
      <c r="T479" s="43">
        <f t="shared" si="6"/>
        <v>1</v>
      </c>
      <c r="U479" s="167">
        <f t="shared" si="7"/>
        <v>0</v>
      </c>
      <c r="V479" s="43"/>
      <c r="W479" s="43"/>
      <c r="X479" s="43"/>
    </row>
    <row r="480" spans="1:24" ht="14.25" customHeight="1">
      <c r="A480" s="190"/>
      <c r="B480" s="225"/>
      <c r="C480" s="190"/>
      <c r="D480" s="190"/>
      <c r="E480" s="232"/>
      <c r="F480" s="185"/>
      <c r="G480" s="185"/>
      <c r="H480" s="190"/>
      <c r="I480" s="190"/>
      <c r="J480" s="190"/>
      <c r="K480" s="190"/>
      <c r="L480" s="190"/>
      <c r="M480" s="190"/>
      <c r="N480" s="190"/>
      <c r="O480" s="190"/>
      <c r="P480" s="190"/>
      <c r="Q480" s="190"/>
      <c r="R480" s="190"/>
      <c r="S480" s="190" t="s">
        <v>453</v>
      </c>
      <c r="T480" s="43">
        <f t="shared" si="6"/>
        <v>1</v>
      </c>
      <c r="U480" s="167">
        <f t="shared" si="7"/>
        <v>0</v>
      </c>
      <c r="V480" s="43"/>
      <c r="W480" s="43"/>
      <c r="X480" s="43"/>
    </row>
    <row r="481" spans="1:24" ht="14.25" customHeight="1">
      <c r="A481" s="190"/>
      <c r="B481" s="225"/>
      <c r="C481" s="190"/>
      <c r="D481" s="190"/>
      <c r="E481" s="232"/>
      <c r="F481" s="185"/>
      <c r="G481" s="185"/>
      <c r="H481" s="190"/>
      <c r="I481" s="190"/>
      <c r="J481" s="190"/>
      <c r="K481" s="190"/>
      <c r="L481" s="190"/>
      <c r="M481" s="190"/>
      <c r="N481" s="190"/>
      <c r="O481" s="190"/>
      <c r="P481" s="190"/>
      <c r="Q481" s="190"/>
      <c r="R481" s="190"/>
      <c r="S481" s="190" t="s">
        <v>361</v>
      </c>
      <c r="T481" s="43">
        <f t="shared" si="6"/>
        <v>1</v>
      </c>
      <c r="U481" s="167">
        <f t="shared" si="7"/>
        <v>0</v>
      </c>
      <c r="V481" s="43"/>
      <c r="W481" s="43"/>
      <c r="X481" s="43"/>
    </row>
    <row r="482" spans="1:24" ht="14.25" customHeight="1">
      <c r="A482" s="190"/>
      <c r="B482" s="225"/>
      <c r="C482" s="190"/>
      <c r="D482" s="190"/>
      <c r="E482" s="232"/>
      <c r="F482" s="185"/>
      <c r="G482" s="185"/>
      <c r="H482" s="190"/>
      <c r="I482" s="190"/>
      <c r="J482" s="190"/>
      <c r="K482" s="190"/>
      <c r="L482" s="190"/>
      <c r="M482" s="190"/>
      <c r="N482" s="190"/>
      <c r="O482" s="190"/>
      <c r="P482" s="190"/>
      <c r="Q482" s="190"/>
      <c r="R482" s="190"/>
      <c r="S482" s="190" t="s">
        <v>456</v>
      </c>
      <c r="T482" s="43">
        <f t="shared" si="6"/>
        <v>1</v>
      </c>
      <c r="U482" s="167">
        <f t="shared" si="7"/>
        <v>0</v>
      </c>
      <c r="V482" s="43"/>
      <c r="W482" s="43"/>
      <c r="X482" s="43"/>
    </row>
    <row r="483" spans="1:24" ht="14.25" customHeight="1">
      <c r="A483" s="190"/>
      <c r="B483" s="225"/>
      <c r="C483" s="190"/>
      <c r="D483" s="190"/>
      <c r="E483" s="232"/>
      <c r="F483" s="185"/>
      <c r="G483" s="185"/>
      <c r="H483" s="190"/>
      <c r="I483" s="190"/>
      <c r="J483" s="190"/>
      <c r="K483" s="190"/>
      <c r="L483" s="190"/>
      <c r="M483" s="190"/>
      <c r="N483" s="190"/>
      <c r="O483" s="190"/>
      <c r="P483" s="190"/>
      <c r="Q483" s="190"/>
      <c r="R483" s="190"/>
      <c r="S483" s="190" t="s">
        <v>459</v>
      </c>
      <c r="T483" s="43">
        <f t="shared" si="6"/>
        <v>1</v>
      </c>
      <c r="U483" s="167">
        <f t="shared" si="7"/>
        <v>0</v>
      </c>
      <c r="V483" s="43"/>
      <c r="W483" s="43"/>
      <c r="X483" s="43"/>
    </row>
    <row r="484" spans="1:24" ht="14.25" customHeight="1">
      <c r="A484" s="190"/>
      <c r="B484" s="225"/>
      <c r="C484" s="190"/>
      <c r="D484" s="190"/>
      <c r="E484" s="232"/>
      <c r="F484" s="185"/>
      <c r="G484" s="185"/>
      <c r="H484" s="190"/>
      <c r="I484" s="190"/>
      <c r="J484" s="190"/>
      <c r="K484" s="190"/>
      <c r="L484" s="190"/>
      <c r="M484" s="190"/>
      <c r="N484" s="190"/>
      <c r="O484" s="190"/>
      <c r="P484" s="190"/>
      <c r="Q484" s="190"/>
      <c r="R484" s="190"/>
      <c r="S484" s="190" t="s">
        <v>462</v>
      </c>
      <c r="T484" s="43">
        <f t="shared" si="6"/>
        <v>1</v>
      </c>
      <c r="U484" s="167">
        <f t="shared" si="7"/>
        <v>0</v>
      </c>
      <c r="V484" s="43"/>
      <c r="W484" s="43"/>
      <c r="X484" s="43"/>
    </row>
    <row r="485" spans="1:24" ht="14.25" customHeight="1">
      <c r="A485" s="190"/>
      <c r="B485" s="225"/>
      <c r="C485" s="190"/>
      <c r="D485" s="190"/>
      <c r="E485" s="232"/>
      <c r="F485" s="185"/>
      <c r="G485" s="185"/>
      <c r="H485" s="190"/>
      <c r="I485" s="190"/>
      <c r="J485" s="190"/>
      <c r="K485" s="190"/>
      <c r="L485" s="190"/>
      <c r="M485" s="190"/>
      <c r="N485" s="190"/>
      <c r="O485" s="190"/>
      <c r="P485" s="190"/>
      <c r="Q485" s="190"/>
      <c r="R485" s="190"/>
      <c r="S485" s="190" t="s">
        <v>465</v>
      </c>
      <c r="T485" s="43">
        <f t="shared" si="6"/>
        <v>1</v>
      </c>
      <c r="U485" s="167">
        <f t="shared" si="7"/>
        <v>0</v>
      </c>
      <c r="V485" s="43"/>
      <c r="W485" s="43"/>
      <c r="X485" s="43"/>
    </row>
    <row r="486" spans="1:24" ht="14.25" customHeight="1">
      <c r="A486" s="190"/>
      <c r="B486" s="225"/>
      <c r="C486" s="190"/>
      <c r="D486" s="190"/>
      <c r="E486" s="232"/>
      <c r="F486" s="185"/>
      <c r="G486" s="185"/>
      <c r="H486" s="190"/>
      <c r="I486" s="190"/>
      <c r="J486" s="190"/>
      <c r="K486" s="190"/>
      <c r="L486" s="190"/>
      <c r="M486" s="190"/>
      <c r="N486" s="190"/>
      <c r="O486" s="190"/>
      <c r="P486" s="190"/>
      <c r="Q486" s="190"/>
      <c r="R486" s="190"/>
      <c r="S486" s="190" t="s">
        <v>471</v>
      </c>
      <c r="T486" s="43">
        <f t="shared" si="6"/>
        <v>1</v>
      </c>
      <c r="U486" s="167">
        <f t="shared" si="7"/>
        <v>0</v>
      </c>
      <c r="V486" s="43"/>
      <c r="W486" s="43"/>
      <c r="X486" s="43"/>
    </row>
    <row r="487" spans="1:24" ht="14.25" customHeight="1">
      <c r="A487" s="190"/>
      <c r="B487" s="225"/>
      <c r="C487" s="190"/>
      <c r="D487" s="190"/>
      <c r="E487" s="232"/>
      <c r="F487" s="185"/>
      <c r="G487" s="185"/>
      <c r="H487" s="190"/>
      <c r="I487" s="190"/>
      <c r="J487" s="190"/>
      <c r="K487" s="190"/>
      <c r="L487" s="190"/>
      <c r="M487" s="190"/>
      <c r="N487" s="190"/>
      <c r="O487" s="190"/>
      <c r="P487" s="190"/>
      <c r="Q487" s="190"/>
      <c r="R487" s="190"/>
      <c r="S487" s="190" t="s">
        <v>468</v>
      </c>
      <c r="T487" s="43">
        <f t="shared" si="6"/>
        <v>1</v>
      </c>
      <c r="U487" s="167">
        <f t="shared" si="7"/>
        <v>0</v>
      </c>
      <c r="V487" s="43"/>
      <c r="W487" s="43"/>
      <c r="X487" s="43"/>
    </row>
    <row r="488" spans="1:24" ht="14.25" customHeight="1">
      <c r="A488" s="190"/>
      <c r="B488" s="225"/>
      <c r="C488" s="190"/>
      <c r="D488" s="190"/>
      <c r="E488" s="232"/>
      <c r="F488" s="185"/>
      <c r="G488" s="185"/>
      <c r="H488" s="190"/>
      <c r="I488" s="190"/>
      <c r="J488" s="190"/>
      <c r="K488" s="190"/>
      <c r="L488" s="190"/>
      <c r="M488" s="190"/>
      <c r="N488" s="190"/>
      <c r="O488" s="190"/>
      <c r="P488" s="190"/>
      <c r="Q488" s="190"/>
      <c r="R488" s="190"/>
      <c r="S488" s="190" t="s">
        <v>554</v>
      </c>
      <c r="T488" s="43">
        <f t="shared" si="6"/>
        <v>1</v>
      </c>
      <c r="U488" s="167">
        <f t="shared" si="7"/>
        <v>0</v>
      </c>
      <c r="V488" s="43"/>
      <c r="W488" s="43"/>
      <c r="X488" s="43"/>
    </row>
    <row r="489" spans="1:24" ht="14.25" customHeight="1">
      <c r="A489" s="190"/>
      <c r="B489" s="225"/>
      <c r="C489" s="190"/>
      <c r="D489" s="190"/>
      <c r="E489" s="232"/>
      <c r="F489" s="185"/>
      <c r="G489" s="185"/>
      <c r="H489" s="190"/>
      <c r="I489" s="190"/>
      <c r="J489" s="190"/>
      <c r="K489" s="190"/>
      <c r="L489" s="190"/>
      <c r="M489" s="190"/>
      <c r="N489" s="190"/>
      <c r="O489" s="190"/>
      <c r="P489" s="190"/>
      <c r="Q489" s="190"/>
      <c r="R489" s="190"/>
      <c r="S489" s="190" t="s">
        <v>480</v>
      </c>
      <c r="T489" s="43">
        <f t="shared" si="6"/>
        <v>1</v>
      </c>
      <c r="U489" s="167">
        <f t="shared" si="7"/>
        <v>0</v>
      </c>
      <c r="V489" s="43"/>
      <c r="W489" s="43"/>
      <c r="X489" s="43"/>
    </row>
    <row r="490" spans="1:24" ht="14.25" customHeight="1">
      <c r="A490" s="190"/>
      <c r="B490" s="225"/>
      <c r="C490" s="190"/>
      <c r="D490" s="190"/>
      <c r="E490" s="232"/>
      <c r="F490" s="185"/>
      <c r="G490" s="185"/>
      <c r="H490" s="190"/>
      <c r="I490" s="190"/>
      <c r="J490" s="190"/>
      <c r="K490" s="190"/>
      <c r="L490" s="190"/>
      <c r="M490" s="190"/>
      <c r="N490" s="190"/>
      <c r="O490" s="190"/>
      <c r="P490" s="190"/>
      <c r="Q490" s="190"/>
      <c r="R490" s="190"/>
      <c r="S490" s="190" t="s">
        <v>483</v>
      </c>
      <c r="T490" s="43">
        <f t="shared" si="6"/>
        <v>1</v>
      </c>
      <c r="U490" s="167">
        <f t="shared" si="7"/>
        <v>0</v>
      </c>
      <c r="V490" s="43"/>
      <c r="W490" s="43"/>
      <c r="X490" s="43"/>
    </row>
    <row r="491" spans="1:24" ht="14.25" customHeight="1">
      <c r="A491" s="190"/>
      <c r="B491" s="225"/>
      <c r="C491" s="190"/>
      <c r="D491" s="190"/>
      <c r="E491" s="232"/>
      <c r="F491" s="185"/>
      <c r="G491" s="185"/>
      <c r="H491" s="190"/>
      <c r="I491" s="190"/>
      <c r="J491" s="190"/>
      <c r="K491" s="190"/>
      <c r="L491" s="190"/>
      <c r="M491" s="190"/>
      <c r="N491" s="190"/>
      <c r="O491" s="190"/>
      <c r="P491" s="190"/>
      <c r="Q491" s="190"/>
      <c r="R491" s="190"/>
      <c r="S491" s="190" t="s">
        <v>487</v>
      </c>
      <c r="T491" s="43">
        <f t="shared" si="6"/>
        <v>1</v>
      </c>
      <c r="U491" s="167">
        <f t="shared" si="7"/>
        <v>0</v>
      </c>
      <c r="V491" s="43"/>
      <c r="W491" s="43"/>
      <c r="X491" s="43"/>
    </row>
    <row r="492" spans="1:24" ht="14.25" customHeight="1">
      <c r="A492" s="190"/>
      <c r="B492" s="225"/>
      <c r="C492" s="190"/>
      <c r="D492" s="190"/>
      <c r="E492" s="232"/>
      <c r="F492" s="185"/>
      <c r="G492" s="185"/>
      <c r="H492" s="190"/>
      <c r="I492" s="190"/>
      <c r="J492" s="190"/>
      <c r="K492" s="190"/>
      <c r="L492" s="190"/>
      <c r="M492" s="190"/>
      <c r="N492" s="190"/>
      <c r="O492" s="190"/>
      <c r="P492" s="190"/>
      <c r="Q492" s="190"/>
      <c r="R492" s="190"/>
      <c r="S492" s="190" t="s">
        <v>490</v>
      </c>
      <c r="T492" s="43">
        <f t="shared" si="6"/>
        <v>1</v>
      </c>
      <c r="U492" s="167">
        <f t="shared" si="7"/>
        <v>0</v>
      </c>
      <c r="V492" s="43"/>
      <c r="W492" s="43"/>
      <c r="X492" s="43"/>
    </row>
    <row r="493" spans="1:24" ht="14.25" customHeight="1">
      <c r="A493" s="190"/>
      <c r="B493" s="225"/>
      <c r="C493" s="190"/>
      <c r="D493" s="190"/>
      <c r="E493" s="232"/>
      <c r="F493" s="185"/>
      <c r="G493" s="185"/>
      <c r="H493" s="190"/>
      <c r="I493" s="190"/>
      <c r="J493" s="190"/>
      <c r="K493" s="190"/>
      <c r="L493" s="190"/>
      <c r="M493" s="190"/>
      <c r="N493" s="190"/>
      <c r="O493" s="190"/>
      <c r="P493" s="190"/>
      <c r="Q493" s="190"/>
      <c r="R493" s="190"/>
      <c r="S493" s="190" t="s">
        <v>493</v>
      </c>
      <c r="T493" s="43">
        <f t="shared" si="6"/>
        <v>1</v>
      </c>
      <c r="U493" s="167">
        <f t="shared" si="7"/>
        <v>0</v>
      </c>
      <c r="V493" s="43"/>
      <c r="W493" s="43"/>
      <c r="X493" s="43"/>
    </row>
    <row r="494" spans="1:24" ht="14.25" customHeight="1">
      <c r="A494" s="190"/>
      <c r="B494" s="225"/>
      <c r="C494" s="190"/>
      <c r="D494" s="190"/>
      <c r="E494" s="232"/>
      <c r="F494" s="185"/>
      <c r="G494" s="185"/>
      <c r="H494" s="190"/>
      <c r="I494" s="190"/>
      <c r="J494" s="190"/>
      <c r="K494" s="190"/>
      <c r="L494" s="190"/>
      <c r="M494" s="190"/>
      <c r="N494" s="190"/>
      <c r="O494" s="190"/>
      <c r="P494" s="190"/>
      <c r="Q494" s="190"/>
      <c r="R494" s="190"/>
      <c r="S494" s="190" t="s">
        <v>496</v>
      </c>
      <c r="T494" s="43">
        <f t="shared" si="6"/>
        <v>1</v>
      </c>
      <c r="U494" s="167">
        <f t="shared" si="7"/>
        <v>0</v>
      </c>
      <c r="V494" s="43"/>
      <c r="W494" s="43"/>
      <c r="X494" s="43"/>
    </row>
    <row r="495" spans="1:24" ht="14.25" customHeight="1">
      <c r="A495" s="190"/>
      <c r="B495" s="225"/>
      <c r="C495" s="190"/>
      <c r="D495" s="190"/>
      <c r="E495" s="232"/>
      <c r="F495" s="185"/>
      <c r="G495" s="185"/>
      <c r="H495" s="190"/>
      <c r="I495" s="190"/>
      <c r="J495" s="190"/>
      <c r="K495" s="190"/>
      <c r="L495" s="190"/>
      <c r="M495" s="190"/>
      <c r="N495" s="190"/>
      <c r="O495" s="190"/>
      <c r="P495" s="190"/>
      <c r="Q495" s="190"/>
      <c r="R495" s="190"/>
      <c r="S495" s="190" t="s">
        <v>500</v>
      </c>
      <c r="T495" s="43">
        <f t="shared" si="6"/>
        <v>1</v>
      </c>
      <c r="U495" s="167">
        <f t="shared" si="7"/>
        <v>0</v>
      </c>
      <c r="V495" s="43"/>
      <c r="W495" s="43"/>
      <c r="X495" s="43"/>
    </row>
    <row r="496" spans="1:24" ht="14.25" customHeight="1">
      <c r="A496" s="190"/>
      <c r="B496" s="225"/>
      <c r="C496" s="190"/>
      <c r="D496" s="190"/>
      <c r="E496" s="232"/>
      <c r="F496" s="185"/>
      <c r="G496" s="185"/>
      <c r="H496" s="190"/>
      <c r="I496" s="190"/>
      <c r="J496" s="190"/>
      <c r="K496" s="190"/>
      <c r="L496" s="190"/>
      <c r="M496" s="190"/>
      <c r="N496" s="190"/>
      <c r="O496" s="190"/>
      <c r="P496" s="190"/>
      <c r="Q496" s="190"/>
      <c r="R496" s="190"/>
      <c r="S496" s="190" t="s">
        <v>503</v>
      </c>
      <c r="T496" s="43">
        <f t="shared" si="6"/>
        <v>1</v>
      </c>
      <c r="U496" s="167">
        <f t="shared" si="7"/>
        <v>0</v>
      </c>
      <c r="V496" s="43"/>
      <c r="W496" s="43"/>
      <c r="X496" s="43"/>
    </row>
    <row r="497" spans="1:24" ht="14.25" customHeight="1">
      <c r="A497" s="190"/>
      <c r="B497" s="225"/>
      <c r="C497" s="190"/>
      <c r="D497" s="190"/>
      <c r="E497" s="232"/>
      <c r="F497" s="185"/>
      <c r="G497" s="185"/>
      <c r="H497" s="190"/>
      <c r="I497" s="190"/>
      <c r="J497" s="190"/>
      <c r="K497" s="190"/>
      <c r="L497" s="190"/>
      <c r="M497" s="190"/>
      <c r="N497" s="190"/>
      <c r="O497" s="190"/>
      <c r="P497" s="190"/>
      <c r="Q497" s="190"/>
      <c r="R497" s="190"/>
      <c r="S497" s="190" t="s">
        <v>364</v>
      </c>
      <c r="T497" s="43">
        <f t="shared" si="6"/>
        <v>1</v>
      </c>
      <c r="U497" s="167">
        <f t="shared" si="7"/>
        <v>0</v>
      </c>
      <c r="V497" s="43"/>
      <c r="W497" s="43"/>
      <c r="X497" s="43"/>
    </row>
    <row r="498" spans="1:24" ht="14.25" customHeight="1">
      <c r="A498" s="190"/>
      <c r="B498" s="225"/>
      <c r="C498" s="190"/>
      <c r="D498" s="190"/>
      <c r="E498" s="232"/>
      <c r="F498" s="185"/>
      <c r="G498" s="185"/>
      <c r="H498" s="190"/>
      <c r="I498" s="190"/>
      <c r="J498" s="190"/>
      <c r="K498" s="190"/>
      <c r="L498" s="190"/>
      <c r="M498" s="190"/>
      <c r="N498" s="190"/>
      <c r="O498" s="190"/>
      <c r="P498" s="190"/>
      <c r="Q498" s="190"/>
      <c r="R498" s="190"/>
      <c r="S498" s="190" t="s">
        <v>507</v>
      </c>
      <c r="T498" s="43">
        <f t="shared" si="6"/>
        <v>1</v>
      </c>
      <c r="U498" s="167">
        <f t="shared" si="7"/>
        <v>0</v>
      </c>
      <c r="V498" s="43"/>
      <c r="W498" s="43"/>
      <c r="X498" s="43"/>
    </row>
    <row r="499" spans="1:24" ht="14.25" customHeight="1">
      <c r="A499" s="190"/>
      <c r="B499" s="225"/>
      <c r="C499" s="190"/>
      <c r="D499" s="190"/>
      <c r="E499" s="232"/>
      <c r="F499" s="185"/>
      <c r="G499" s="185"/>
      <c r="H499" s="190"/>
      <c r="I499" s="190"/>
      <c r="J499" s="190"/>
      <c r="K499" s="190"/>
      <c r="L499" s="190"/>
      <c r="M499" s="190"/>
      <c r="N499" s="190"/>
      <c r="O499" s="190"/>
      <c r="P499" s="190"/>
      <c r="Q499" s="190"/>
      <c r="R499" s="190"/>
      <c r="S499" s="190" t="s">
        <v>320</v>
      </c>
      <c r="T499" s="43">
        <f t="shared" si="6"/>
        <v>1</v>
      </c>
      <c r="U499" s="167">
        <f t="shared" si="7"/>
        <v>0</v>
      </c>
      <c r="V499" s="43"/>
      <c r="W499" s="43"/>
      <c r="X499" s="43"/>
    </row>
    <row r="500" spans="1:24" ht="14.25" customHeight="1">
      <c r="A500" s="190"/>
      <c r="B500" s="225"/>
      <c r="C500" s="190"/>
      <c r="D500" s="190"/>
      <c r="E500" s="232"/>
      <c r="F500" s="191"/>
      <c r="G500" s="185"/>
      <c r="H500" s="190"/>
      <c r="I500" s="190"/>
      <c r="J500" s="190"/>
      <c r="K500" s="190"/>
      <c r="L500" s="190"/>
      <c r="M500" s="190"/>
      <c r="N500" s="190"/>
      <c r="O500" s="190"/>
      <c r="P500" s="190"/>
      <c r="Q500" s="190"/>
      <c r="R500" s="190"/>
      <c r="S500" s="190"/>
      <c r="T500" s="43">
        <f t="shared" si="6"/>
        <v>1</v>
      </c>
      <c r="U500" s="167">
        <f t="shared" si="7"/>
        <v>0</v>
      </c>
      <c r="V500" s="43"/>
      <c r="W500" s="43"/>
      <c r="X500" s="43"/>
    </row>
    <row r="501" spans="1:24" ht="14.25" customHeight="1">
      <c r="A501" s="190"/>
      <c r="B501" s="225"/>
      <c r="C501" s="190"/>
      <c r="D501" s="190"/>
      <c r="E501" s="232"/>
      <c r="F501" s="191"/>
      <c r="G501" s="185"/>
      <c r="H501" s="190"/>
      <c r="I501" s="190"/>
      <c r="J501" s="190"/>
      <c r="K501" s="190"/>
      <c r="L501" s="190"/>
      <c r="M501" s="190"/>
      <c r="N501" s="190"/>
      <c r="O501" s="190"/>
      <c r="P501" s="190"/>
      <c r="Q501" s="190"/>
      <c r="R501" s="190"/>
      <c r="S501" s="190" t="s">
        <v>1863</v>
      </c>
      <c r="T501" s="43">
        <f t="shared" si="6"/>
        <v>1</v>
      </c>
      <c r="U501" s="167">
        <f t="shared" si="7"/>
        <v>0</v>
      </c>
      <c r="V501" s="43"/>
      <c r="W501" s="43"/>
      <c r="X501" s="43"/>
    </row>
    <row r="502" spans="1:24" ht="14.25" customHeight="1">
      <c r="A502" s="190"/>
      <c r="B502" s="225"/>
      <c r="C502" s="190"/>
      <c r="D502" s="190"/>
      <c r="E502" s="232"/>
      <c r="F502" s="191"/>
      <c r="G502" s="185"/>
      <c r="H502" s="190"/>
      <c r="I502" s="190"/>
      <c r="J502" s="190"/>
      <c r="K502" s="190"/>
      <c r="L502" s="190"/>
      <c r="M502" s="190"/>
      <c r="N502" s="190"/>
      <c r="O502" s="190"/>
      <c r="P502" s="190"/>
      <c r="Q502" s="190"/>
      <c r="R502" s="190"/>
      <c r="S502" s="190" t="s">
        <v>650</v>
      </c>
      <c r="T502" s="43">
        <f t="shared" si="6"/>
        <v>1</v>
      </c>
      <c r="U502" s="167">
        <f t="shared" si="7"/>
        <v>0</v>
      </c>
      <c r="V502" s="43"/>
      <c r="W502" s="43"/>
      <c r="X502" s="43"/>
    </row>
    <row r="503" spans="1:24" ht="14.25" customHeight="1">
      <c r="A503" s="190"/>
      <c r="B503" s="225"/>
      <c r="C503" s="190"/>
      <c r="D503" s="190"/>
      <c r="E503" s="232"/>
      <c r="F503" s="185"/>
      <c r="G503" s="185"/>
      <c r="H503" s="190"/>
      <c r="I503" s="190"/>
      <c r="J503" s="190"/>
      <c r="K503" s="190"/>
      <c r="L503" s="190"/>
      <c r="M503" s="190"/>
      <c r="N503" s="190"/>
      <c r="O503" s="190"/>
      <c r="P503" s="190"/>
      <c r="Q503" s="190"/>
      <c r="R503" s="190"/>
      <c r="S503" s="190" t="s">
        <v>390</v>
      </c>
      <c r="T503" s="43">
        <f t="shared" si="6"/>
        <v>1</v>
      </c>
      <c r="U503" s="167">
        <f t="shared" si="7"/>
        <v>0</v>
      </c>
      <c r="V503" s="43"/>
      <c r="W503" s="43"/>
      <c r="X503" s="43"/>
    </row>
    <row r="504" spans="1:24" ht="14.25" customHeight="1">
      <c r="A504" s="190"/>
      <c r="B504" s="225"/>
      <c r="C504" s="190"/>
      <c r="D504" s="190"/>
      <c r="E504" s="232"/>
      <c r="F504" s="185"/>
      <c r="G504" s="185"/>
      <c r="H504" s="190"/>
      <c r="I504" s="190"/>
      <c r="J504" s="190"/>
      <c r="K504" s="190"/>
      <c r="L504" s="190"/>
      <c r="M504" s="190"/>
      <c r="N504" s="190"/>
      <c r="O504" s="190"/>
      <c r="P504" s="190"/>
      <c r="Q504" s="190"/>
      <c r="R504" s="190"/>
      <c r="S504" s="190" t="s">
        <v>700</v>
      </c>
      <c r="T504" s="43">
        <f t="shared" si="6"/>
        <v>1</v>
      </c>
      <c r="U504" s="167">
        <f t="shared" si="7"/>
        <v>0</v>
      </c>
      <c r="V504" s="43"/>
      <c r="W504" s="43"/>
      <c r="X504" s="43"/>
    </row>
    <row r="505" spans="1:24" ht="14.25" customHeight="1">
      <c r="A505" s="190"/>
      <c r="B505" s="225"/>
      <c r="C505" s="190"/>
      <c r="D505" s="190"/>
      <c r="E505" s="232"/>
      <c r="F505" s="185"/>
      <c r="G505" s="185"/>
      <c r="H505" s="190"/>
      <c r="I505" s="190"/>
      <c r="J505" s="190"/>
      <c r="K505" s="190"/>
      <c r="L505" s="190"/>
      <c r="M505" s="190"/>
      <c r="N505" s="190"/>
      <c r="O505" s="190"/>
      <c r="P505" s="190"/>
      <c r="Q505" s="190"/>
      <c r="R505" s="190"/>
      <c r="S505" s="190" t="s">
        <v>1016</v>
      </c>
      <c r="T505" s="43">
        <f t="shared" si="6"/>
        <v>1</v>
      </c>
      <c r="U505" s="167">
        <f t="shared" si="7"/>
        <v>0</v>
      </c>
      <c r="V505" s="43"/>
      <c r="W505" s="43"/>
      <c r="X505" s="43"/>
    </row>
    <row r="506" spans="1:24" ht="14.25" customHeight="1">
      <c r="A506" s="190"/>
      <c r="B506" s="225"/>
      <c r="C506" s="190"/>
      <c r="D506" s="190"/>
      <c r="E506" s="232"/>
      <c r="F506" s="185"/>
      <c r="G506" s="185"/>
      <c r="H506" s="190"/>
      <c r="I506" s="190"/>
      <c r="J506" s="190"/>
      <c r="K506" s="190"/>
      <c r="L506" s="190"/>
      <c r="M506" s="190"/>
      <c r="N506" s="190"/>
      <c r="O506" s="190"/>
      <c r="P506" s="190"/>
      <c r="Q506" s="190"/>
      <c r="R506" s="190"/>
      <c r="S506" s="190" t="s">
        <v>80</v>
      </c>
      <c r="T506" s="43">
        <f t="shared" si="6"/>
        <v>1</v>
      </c>
      <c r="U506" s="167">
        <f t="shared" si="7"/>
        <v>0</v>
      </c>
      <c r="V506" s="43"/>
      <c r="W506" s="43"/>
      <c r="X506" s="43"/>
    </row>
    <row r="507" spans="1:24" ht="14.25" customHeight="1">
      <c r="A507" s="190"/>
      <c r="B507" s="225"/>
      <c r="C507" s="190"/>
      <c r="D507" s="190"/>
      <c r="E507" s="232"/>
      <c r="F507" s="185"/>
      <c r="G507" s="185"/>
      <c r="H507" s="190"/>
      <c r="I507" s="190"/>
      <c r="J507" s="190"/>
      <c r="K507" s="190"/>
      <c r="L507" s="190"/>
      <c r="M507" s="190"/>
      <c r="N507" s="190"/>
      <c r="O507" s="190"/>
      <c r="P507" s="190"/>
      <c r="Q507" s="190"/>
      <c r="R507" s="190"/>
      <c r="S507" s="190" t="s">
        <v>1272</v>
      </c>
      <c r="T507" s="43">
        <f t="shared" si="6"/>
        <v>1</v>
      </c>
      <c r="U507" s="167">
        <f t="shared" si="7"/>
        <v>0</v>
      </c>
      <c r="V507" s="43"/>
      <c r="W507" s="43"/>
      <c r="X507" s="43"/>
    </row>
    <row r="508" spans="1:24" ht="14.25" customHeight="1">
      <c r="A508" s="190"/>
      <c r="B508" s="225"/>
      <c r="C508" s="190"/>
      <c r="D508" s="190"/>
      <c r="E508" s="232"/>
      <c r="F508" s="185"/>
      <c r="G508" s="185"/>
      <c r="H508" s="190"/>
      <c r="I508" s="190"/>
      <c r="J508" s="190"/>
      <c r="K508" s="190"/>
      <c r="L508" s="190"/>
      <c r="M508" s="190"/>
      <c r="N508" s="190"/>
      <c r="O508" s="190"/>
      <c r="P508" s="190"/>
      <c r="Q508" s="190"/>
      <c r="R508" s="190"/>
      <c r="S508" s="190" t="s">
        <v>390</v>
      </c>
      <c r="T508" s="43">
        <f t="shared" si="6"/>
        <v>1</v>
      </c>
      <c r="U508" s="167">
        <f t="shared" si="7"/>
        <v>0</v>
      </c>
      <c r="V508" s="43"/>
      <c r="W508" s="43"/>
      <c r="X508" s="43"/>
    </row>
    <row r="509" spans="1:24" ht="14.25" customHeight="1">
      <c r="A509" s="190"/>
      <c r="B509" s="225"/>
      <c r="C509" s="190"/>
      <c r="D509" s="190"/>
      <c r="E509" s="232"/>
      <c r="F509" s="191"/>
      <c r="G509" s="185"/>
      <c r="H509" s="190"/>
      <c r="I509" s="190"/>
      <c r="J509" s="190"/>
      <c r="K509" s="190"/>
      <c r="L509" s="190"/>
      <c r="M509" s="190"/>
      <c r="N509" s="190"/>
      <c r="O509" s="190"/>
      <c r="P509" s="190"/>
      <c r="Q509" s="190"/>
      <c r="R509" s="190"/>
      <c r="S509" s="190"/>
      <c r="T509" s="43">
        <f t="shared" si="6"/>
        <v>1</v>
      </c>
      <c r="U509" s="167">
        <f t="shared" si="7"/>
        <v>0</v>
      </c>
      <c r="V509" s="43"/>
      <c r="W509" s="43"/>
      <c r="X509" s="43"/>
    </row>
    <row r="510" spans="1:24" ht="14.25" customHeight="1">
      <c r="A510" s="190"/>
      <c r="B510" s="225"/>
      <c r="C510" s="190"/>
      <c r="D510" s="190"/>
      <c r="E510" s="232"/>
      <c r="F510" s="191"/>
      <c r="G510" s="185"/>
      <c r="H510" s="190"/>
      <c r="I510" s="190"/>
      <c r="J510" s="190"/>
      <c r="K510" s="190"/>
      <c r="L510" s="190"/>
      <c r="M510" s="190"/>
      <c r="N510" s="190"/>
      <c r="O510" s="190"/>
      <c r="P510" s="190"/>
      <c r="Q510" s="190"/>
      <c r="R510" s="190"/>
      <c r="S510" s="190" t="s">
        <v>1620</v>
      </c>
      <c r="T510" s="43">
        <f t="shared" si="6"/>
        <v>1</v>
      </c>
      <c r="U510" s="167">
        <f t="shared" si="7"/>
        <v>0</v>
      </c>
      <c r="V510" s="43"/>
      <c r="W510" s="43"/>
      <c r="X510" s="43"/>
    </row>
    <row r="511" spans="1:24" ht="14.25" customHeight="1">
      <c r="A511" s="190"/>
      <c r="B511" s="225"/>
      <c r="C511" s="190"/>
      <c r="D511" s="190"/>
      <c r="E511" s="232"/>
      <c r="F511" s="191"/>
      <c r="G511" s="185"/>
      <c r="H511" s="190"/>
      <c r="I511" s="190"/>
      <c r="J511" s="190"/>
      <c r="K511" s="190"/>
      <c r="L511" s="190"/>
      <c r="M511" s="190"/>
      <c r="N511" s="190"/>
      <c r="O511" s="190"/>
      <c r="P511" s="190"/>
      <c r="Q511" s="190"/>
      <c r="R511" s="190"/>
      <c r="S511" s="190" t="s">
        <v>1360</v>
      </c>
      <c r="T511" s="43">
        <f t="shared" si="6"/>
        <v>1</v>
      </c>
      <c r="U511" s="167">
        <f t="shared" si="7"/>
        <v>0</v>
      </c>
      <c r="V511" s="43"/>
      <c r="W511" s="43"/>
      <c r="X511" s="43"/>
    </row>
    <row r="512" spans="1:24" ht="14.25" customHeight="1">
      <c r="A512" s="190"/>
      <c r="B512" s="225"/>
      <c r="C512" s="190"/>
      <c r="D512" s="190"/>
      <c r="E512" s="232"/>
      <c r="F512" s="191"/>
      <c r="G512" s="185"/>
      <c r="H512" s="190"/>
      <c r="I512" s="190"/>
      <c r="J512" s="190"/>
      <c r="K512" s="190"/>
      <c r="L512" s="190"/>
      <c r="M512" s="190"/>
      <c r="N512" s="190"/>
      <c r="O512" s="190"/>
      <c r="P512" s="190"/>
      <c r="Q512" s="190"/>
      <c r="R512" s="190"/>
      <c r="S512" s="190" t="s">
        <v>827</v>
      </c>
      <c r="T512" s="43">
        <f t="shared" si="6"/>
        <v>1</v>
      </c>
      <c r="U512" s="167">
        <f t="shared" si="7"/>
        <v>0</v>
      </c>
      <c r="V512" s="43"/>
      <c r="W512" s="43"/>
      <c r="X512" s="43"/>
    </row>
    <row r="513" spans="1:24" ht="14.25" customHeight="1">
      <c r="A513" s="190"/>
      <c r="B513" s="225"/>
      <c r="C513" s="190"/>
      <c r="D513" s="190"/>
      <c r="E513" s="232"/>
      <c r="F513" s="191"/>
      <c r="G513" s="185"/>
      <c r="H513" s="190"/>
      <c r="I513" s="190"/>
      <c r="J513" s="190"/>
      <c r="K513" s="190"/>
      <c r="L513" s="190"/>
      <c r="M513" s="190"/>
      <c r="N513" s="190"/>
      <c r="O513" s="190"/>
      <c r="P513" s="190"/>
      <c r="Q513" s="190"/>
      <c r="R513" s="190"/>
      <c r="S513" s="190" t="s">
        <v>834</v>
      </c>
      <c r="T513" s="43">
        <f t="shared" si="6"/>
        <v>1</v>
      </c>
      <c r="U513" s="167">
        <f t="shared" si="7"/>
        <v>0</v>
      </c>
      <c r="V513" s="43"/>
      <c r="W513" s="43"/>
      <c r="X513" s="43"/>
    </row>
    <row r="514" spans="1:24" ht="14.25" customHeight="1">
      <c r="A514" s="190"/>
      <c r="B514" s="225"/>
      <c r="C514" s="190"/>
      <c r="D514" s="190"/>
      <c r="E514" s="232"/>
      <c r="F514" s="191"/>
      <c r="G514" s="185"/>
      <c r="H514" s="190"/>
      <c r="I514" s="190"/>
      <c r="J514" s="190"/>
      <c r="K514" s="190"/>
      <c r="L514" s="190"/>
      <c r="M514" s="190"/>
      <c r="N514" s="190"/>
      <c r="O514" s="190"/>
      <c r="P514" s="190"/>
      <c r="Q514" s="190"/>
      <c r="R514" s="190"/>
      <c r="S514" s="190" t="s">
        <v>1096</v>
      </c>
      <c r="T514" s="43">
        <f t="shared" si="6"/>
        <v>1</v>
      </c>
      <c r="U514" s="167">
        <f t="shared" si="7"/>
        <v>0</v>
      </c>
      <c r="V514" s="43"/>
      <c r="W514" s="43"/>
      <c r="X514" s="43"/>
    </row>
    <row r="515" spans="1:24" ht="14.25" customHeight="1">
      <c r="A515" s="190"/>
      <c r="B515" s="225"/>
      <c r="C515" s="190"/>
      <c r="D515" s="190"/>
      <c r="E515" s="232"/>
      <c r="F515" s="191"/>
      <c r="G515" s="185"/>
      <c r="H515" s="190"/>
      <c r="I515" s="190"/>
      <c r="J515" s="190"/>
      <c r="K515" s="190"/>
      <c r="L515" s="190"/>
      <c r="M515" s="190"/>
      <c r="N515" s="190"/>
      <c r="O515" s="190"/>
      <c r="P515" s="190"/>
      <c r="Q515" s="190"/>
      <c r="R515" s="190"/>
      <c r="S515" s="190" t="s">
        <v>742</v>
      </c>
      <c r="T515" s="43">
        <f t="shared" si="6"/>
        <v>1</v>
      </c>
      <c r="U515" s="167">
        <f t="shared" si="7"/>
        <v>0</v>
      </c>
      <c r="V515" s="43"/>
      <c r="W515" s="43"/>
      <c r="X515" s="43"/>
    </row>
    <row r="516" spans="1:24" ht="14.25" customHeight="1">
      <c r="A516" s="190"/>
      <c r="B516" s="225"/>
      <c r="C516" s="190"/>
      <c r="D516" s="190"/>
      <c r="E516" s="232"/>
      <c r="F516" s="191"/>
      <c r="G516" s="185"/>
      <c r="H516" s="190"/>
      <c r="I516" s="190"/>
      <c r="J516" s="190"/>
      <c r="K516" s="190"/>
      <c r="L516" s="190"/>
      <c r="M516" s="190"/>
      <c r="N516" s="190"/>
      <c r="O516" s="190"/>
      <c r="P516" s="190"/>
      <c r="Q516" s="190"/>
      <c r="R516" s="190"/>
      <c r="S516" s="190" t="s">
        <v>643</v>
      </c>
      <c r="T516" s="43">
        <f t="shared" si="6"/>
        <v>1</v>
      </c>
      <c r="U516" s="167">
        <f t="shared" si="7"/>
        <v>0</v>
      </c>
      <c r="V516" s="43"/>
      <c r="W516" s="43"/>
      <c r="X516" s="43"/>
    </row>
    <row r="517" spans="1:24" ht="14.25" customHeight="1">
      <c r="A517" s="190"/>
      <c r="B517" s="225"/>
      <c r="C517" s="190"/>
      <c r="D517" s="190"/>
      <c r="E517" s="232"/>
      <c r="F517" s="185"/>
      <c r="G517" s="185"/>
      <c r="H517" s="190"/>
      <c r="I517" s="190"/>
      <c r="J517" s="190"/>
      <c r="K517" s="190"/>
      <c r="L517" s="190"/>
      <c r="M517" s="190"/>
      <c r="N517" s="190"/>
      <c r="O517" s="190"/>
      <c r="P517" s="190"/>
      <c r="Q517" s="190"/>
      <c r="R517" s="190"/>
      <c r="S517" s="190" t="s">
        <v>1525</v>
      </c>
      <c r="T517" s="43">
        <f t="shared" si="6"/>
        <v>1</v>
      </c>
      <c r="U517" s="167">
        <f t="shared" si="7"/>
        <v>0</v>
      </c>
      <c r="V517" s="43"/>
      <c r="W517" s="43"/>
      <c r="X517" s="43"/>
    </row>
    <row r="518" spans="1:24" ht="14.25" customHeight="1">
      <c r="A518" s="190"/>
      <c r="B518" s="225"/>
      <c r="C518" s="190"/>
      <c r="D518" s="190"/>
      <c r="E518" s="232"/>
      <c r="F518" s="185"/>
      <c r="G518" s="185"/>
      <c r="H518" s="190"/>
      <c r="I518" s="190"/>
      <c r="J518" s="190"/>
      <c r="K518" s="190"/>
      <c r="L518" s="190"/>
      <c r="M518" s="190"/>
      <c r="N518" s="190"/>
      <c r="O518" s="190"/>
      <c r="P518" s="190"/>
      <c r="Q518" s="190"/>
      <c r="R518" s="190"/>
      <c r="S518" s="190" t="s">
        <v>667</v>
      </c>
      <c r="T518" s="43">
        <f t="shared" si="6"/>
        <v>1</v>
      </c>
      <c r="U518" s="167">
        <f t="shared" si="7"/>
        <v>0</v>
      </c>
      <c r="V518" s="43"/>
      <c r="W518" s="43"/>
      <c r="X518" s="43"/>
    </row>
    <row r="519" spans="1:24" ht="14.25" customHeight="1">
      <c r="A519" s="190"/>
      <c r="B519" s="225"/>
      <c r="C519" s="190"/>
      <c r="D519" s="190"/>
      <c r="E519" s="232"/>
      <c r="F519" s="185"/>
      <c r="G519" s="185"/>
      <c r="H519" s="190"/>
      <c r="I519" s="190"/>
      <c r="J519" s="190"/>
      <c r="K519" s="190"/>
      <c r="L519" s="190"/>
      <c r="M519" s="190"/>
      <c r="N519" s="190"/>
      <c r="O519" s="190"/>
      <c r="P519" s="190"/>
      <c r="Q519" s="190"/>
      <c r="R519" s="190"/>
      <c r="S519" s="190" t="s">
        <v>329</v>
      </c>
      <c r="T519" s="43">
        <f t="shared" si="6"/>
        <v>1</v>
      </c>
      <c r="U519" s="167">
        <f t="shared" si="7"/>
        <v>0</v>
      </c>
      <c r="V519" s="43"/>
      <c r="W519" s="43"/>
      <c r="X519" s="43"/>
    </row>
    <row r="520" spans="1:24" ht="14.25" customHeight="1">
      <c r="A520" s="190"/>
      <c r="B520" s="225"/>
      <c r="C520" s="190"/>
      <c r="D520" s="190"/>
      <c r="E520" s="232"/>
      <c r="F520" s="185"/>
      <c r="G520" s="185"/>
      <c r="H520" s="190"/>
      <c r="I520" s="190"/>
      <c r="J520" s="190"/>
      <c r="K520" s="190"/>
      <c r="L520" s="190"/>
      <c r="M520" s="190"/>
      <c r="N520" s="190"/>
      <c r="O520" s="190"/>
      <c r="P520" s="190"/>
      <c r="Q520" s="190"/>
      <c r="R520" s="190"/>
      <c r="S520" s="190" t="s">
        <v>864</v>
      </c>
      <c r="T520" s="43">
        <f t="shared" si="6"/>
        <v>1</v>
      </c>
      <c r="U520" s="167">
        <f t="shared" si="7"/>
        <v>0</v>
      </c>
      <c r="V520" s="43"/>
      <c r="W520" s="43"/>
      <c r="X520" s="43"/>
    </row>
    <row r="521" spans="1:24" ht="14.25" customHeight="1">
      <c r="A521" s="190"/>
      <c r="B521" s="225"/>
      <c r="C521" s="190"/>
      <c r="D521" s="190"/>
      <c r="E521" s="232"/>
      <c r="F521" s="185"/>
      <c r="G521" s="185"/>
      <c r="H521" s="190"/>
      <c r="I521" s="190"/>
      <c r="J521" s="190"/>
      <c r="K521" s="190"/>
      <c r="L521" s="190"/>
      <c r="M521" s="190"/>
      <c r="N521" s="190"/>
      <c r="O521" s="190"/>
      <c r="P521" s="190"/>
      <c r="Q521" s="190"/>
      <c r="R521" s="190"/>
      <c r="S521" s="190" t="s">
        <v>672</v>
      </c>
      <c r="T521" s="43">
        <f t="shared" si="6"/>
        <v>1</v>
      </c>
      <c r="U521" s="167">
        <f t="shared" si="7"/>
        <v>0</v>
      </c>
      <c r="V521" s="43"/>
      <c r="W521" s="43"/>
      <c r="X521" s="43"/>
    </row>
    <row r="522" spans="1:24" ht="14.25" customHeight="1">
      <c r="A522" s="190"/>
      <c r="B522" s="225"/>
      <c r="C522" s="190"/>
      <c r="D522" s="190"/>
      <c r="E522" s="232"/>
      <c r="F522" s="185"/>
      <c r="G522" s="185"/>
      <c r="H522" s="190"/>
      <c r="I522" s="190"/>
      <c r="J522" s="190"/>
      <c r="K522" s="190"/>
      <c r="L522" s="190"/>
      <c r="M522" s="190"/>
      <c r="N522" s="190"/>
      <c r="O522" s="190"/>
      <c r="P522" s="190"/>
      <c r="Q522" s="190"/>
      <c r="R522" s="190"/>
      <c r="S522" s="190" t="s">
        <v>676</v>
      </c>
      <c r="T522" s="43">
        <f t="shared" si="6"/>
        <v>1</v>
      </c>
      <c r="U522" s="167">
        <f t="shared" si="7"/>
        <v>0</v>
      </c>
      <c r="V522" s="43"/>
      <c r="W522" s="43"/>
      <c r="X522" s="43"/>
    </row>
    <row r="523" spans="1:24" ht="14.25" customHeight="1">
      <c r="A523" s="190"/>
      <c r="B523" s="225"/>
      <c r="C523" s="190"/>
      <c r="D523" s="190"/>
      <c r="E523" s="232"/>
      <c r="F523" s="185"/>
      <c r="G523" s="185"/>
      <c r="H523" s="190"/>
      <c r="I523" s="190"/>
      <c r="J523" s="190"/>
      <c r="K523" s="190"/>
      <c r="L523" s="190"/>
      <c r="M523" s="190"/>
      <c r="N523" s="190"/>
      <c r="O523" s="190"/>
      <c r="P523" s="190"/>
      <c r="Q523" s="190"/>
      <c r="R523" s="190"/>
      <c r="S523" s="190" t="s">
        <v>1864</v>
      </c>
      <c r="T523" s="43">
        <f t="shared" si="6"/>
        <v>1</v>
      </c>
      <c r="U523" s="167">
        <f t="shared" si="7"/>
        <v>0</v>
      </c>
      <c r="V523" s="43"/>
      <c r="W523" s="43"/>
      <c r="X523" s="43"/>
    </row>
    <row r="524" spans="1:24" ht="14.25" customHeight="1">
      <c r="A524" s="190"/>
      <c r="B524" s="225"/>
      <c r="C524" s="190"/>
      <c r="D524" s="190"/>
      <c r="E524" s="232"/>
      <c r="F524" s="185"/>
      <c r="G524" s="185"/>
      <c r="H524" s="190"/>
      <c r="I524" s="190"/>
      <c r="J524" s="190"/>
      <c r="K524" s="190"/>
      <c r="L524" s="190"/>
      <c r="M524" s="190"/>
      <c r="N524" s="190"/>
      <c r="O524" s="190"/>
      <c r="P524" s="190"/>
      <c r="Q524" s="190"/>
      <c r="R524" s="190"/>
      <c r="S524" s="190" t="s">
        <v>680</v>
      </c>
      <c r="T524" s="43">
        <f t="shared" si="6"/>
        <v>1</v>
      </c>
      <c r="U524" s="167">
        <f t="shared" si="7"/>
        <v>0</v>
      </c>
      <c r="V524" s="43"/>
      <c r="W524" s="43"/>
      <c r="X524" s="43"/>
    </row>
    <row r="525" spans="1:24" ht="14.25" customHeight="1">
      <c r="A525" s="190"/>
      <c r="B525" s="225"/>
      <c r="C525" s="190"/>
      <c r="D525" s="190"/>
      <c r="E525" s="232"/>
      <c r="F525" s="185"/>
      <c r="G525" s="185"/>
      <c r="H525" s="190"/>
      <c r="I525" s="190"/>
      <c r="J525" s="190"/>
      <c r="K525" s="190"/>
      <c r="L525" s="190"/>
      <c r="M525" s="190"/>
      <c r="N525" s="190"/>
      <c r="O525" s="190"/>
      <c r="P525" s="190"/>
      <c r="Q525" s="190"/>
      <c r="R525" s="190"/>
      <c r="S525" s="190" t="s">
        <v>843</v>
      </c>
      <c r="T525" s="43">
        <f t="shared" si="6"/>
        <v>1</v>
      </c>
      <c r="U525" s="167">
        <f t="shared" si="7"/>
        <v>0</v>
      </c>
      <c r="V525" s="43"/>
      <c r="W525" s="43"/>
      <c r="X525" s="43"/>
    </row>
    <row r="526" spans="1:24" ht="14.25" customHeight="1">
      <c r="A526" s="190"/>
      <c r="B526" s="225"/>
      <c r="C526" s="190"/>
      <c r="D526" s="190"/>
      <c r="E526" s="232"/>
      <c r="F526" s="185"/>
      <c r="G526" s="185"/>
      <c r="H526" s="190"/>
      <c r="I526" s="190"/>
      <c r="J526" s="190"/>
      <c r="K526" s="190"/>
      <c r="L526" s="190"/>
      <c r="M526" s="190"/>
      <c r="N526" s="190"/>
      <c r="O526" s="190"/>
      <c r="P526" s="190"/>
      <c r="Q526" s="190"/>
      <c r="R526" s="190"/>
      <c r="S526" s="190" t="s">
        <v>759</v>
      </c>
      <c r="T526" s="43">
        <f t="shared" si="6"/>
        <v>1</v>
      </c>
      <c r="U526" s="167">
        <f t="shared" si="7"/>
        <v>0</v>
      </c>
      <c r="V526" s="43"/>
      <c r="W526" s="43"/>
      <c r="X526" s="43"/>
    </row>
    <row r="527" spans="1:24" ht="14.25" customHeight="1">
      <c r="A527" s="190"/>
      <c r="B527" s="225"/>
      <c r="C527" s="190"/>
      <c r="D527" s="190"/>
      <c r="E527" s="232"/>
      <c r="F527" s="185"/>
      <c r="G527" s="185"/>
      <c r="H527" s="190"/>
      <c r="I527" s="190"/>
      <c r="J527" s="190"/>
      <c r="K527" s="190"/>
      <c r="L527" s="190"/>
      <c r="M527" s="190"/>
      <c r="N527" s="190"/>
      <c r="O527" s="190"/>
      <c r="P527" s="190"/>
      <c r="Q527" s="190"/>
      <c r="R527" s="190"/>
      <c r="S527" s="190" t="s">
        <v>684</v>
      </c>
      <c r="T527" s="43">
        <f t="shared" si="6"/>
        <v>1</v>
      </c>
      <c r="U527" s="167">
        <f t="shared" si="7"/>
        <v>0</v>
      </c>
      <c r="V527" s="43"/>
      <c r="W527" s="43"/>
      <c r="X527" s="43"/>
    </row>
    <row r="528" spans="1:24" ht="14.25" customHeight="1">
      <c r="A528" s="190"/>
      <c r="B528" s="225"/>
      <c r="C528" s="190"/>
      <c r="D528" s="190"/>
      <c r="E528" s="232"/>
      <c r="F528" s="185"/>
      <c r="G528" s="185"/>
      <c r="H528" s="190"/>
      <c r="I528" s="190"/>
      <c r="J528" s="190"/>
      <c r="K528" s="190"/>
      <c r="L528" s="190"/>
      <c r="M528" s="190"/>
      <c r="N528" s="190"/>
      <c r="O528" s="190"/>
      <c r="P528" s="190"/>
      <c r="Q528" s="190"/>
      <c r="R528" s="190"/>
      <c r="S528" s="190" t="s">
        <v>689</v>
      </c>
      <c r="T528" s="43">
        <f t="shared" ref="T528:T642" si="8">MONTH(B528)</f>
        <v>1</v>
      </c>
      <c r="U528" s="167">
        <f t="shared" ref="U528:U642" si="9">IF(V528="",B528,V528)</f>
        <v>0</v>
      </c>
      <c r="V528" s="43"/>
      <c r="W528" s="43"/>
      <c r="X528" s="43"/>
    </row>
    <row r="529" spans="1:24" ht="14.25" customHeight="1">
      <c r="A529" s="190"/>
      <c r="B529" s="225"/>
      <c r="C529" s="190"/>
      <c r="D529" s="190"/>
      <c r="E529" s="232"/>
      <c r="F529" s="185"/>
      <c r="G529" s="185"/>
      <c r="H529" s="190"/>
      <c r="I529" s="190"/>
      <c r="J529" s="190"/>
      <c r="K529" s="190"/>
      <c r="L529" s="190"/>
      <c r="M529" s="190"/>
      <c r="N529" s="190"/>
      <c r="O529" s="190"/>
      <c r="P529" s="190"/>
      <c r="Q529" s="190"/>
      <c r="R529" s="190"/>
      <c r="S529" s="190" t="s">
        <v>693</v>
      </c>
      <c r="T529" s="43">
        <f t="shared" si="8"/>
        <v>1</v>
      </c>
      <c r="U529" s="167">
        <f t="shared" si="9"/>
        <v>0</v>
      </c>
      <c r="V529" s="43"/>
      <c r="W529" s="43"/>
      <c r="X529" s="43"/>
    </row>
    <row r="530" spans="1:24" ht="14.25" customHeight="1">
      <c r="A530" s="190"/>
      <c r="B530" s="225"/>
      <c r="C530" s="190"/>
      <c r="D530" s="190"/>
      <c r="E530" s="232"/>
      <c r="F530" s="185"/>
      <c r="G530" s="185"/>
      <c r="H530" s="190"/>
      <c r="I530" s="190"/>
      <c r="J530" s="190"/>
      <c r="K530" s="190"/>
      <c r="L530" s="190"/>
      <c r="M530" s="190"/>
      <c r="N530" s="190"/>
      <c r="O530" s="190"/>
      <c r="P530" s="190"/>
      <c r="Q530" s="190"/>
      <c r="R530" s="190"/>
      <c r="S530" s="190" t="s">
        <v>315</v>
      </c>
      <c r="T530" s="43">
        <f t="shared" si="8"/>
        <v>1</v>
      </c>
      <c r="U530" s="167">
        <f t="shared" si="9"/>
        <v>0</v>
      </c>
      <c r="V530" s="43"/>
      <c r="W530" s="43"/>
      <c r="X530" s="43"/>
    </row>
    <row r="531" spans="1:24" ht="14.25" customHeight="1">
      <c r="A531" s="190"/>
      <c r="B531" s="225"/>
      <c r="C531" s="190"/>
      <c r="D531" s="190"/>
      <c r="E531" s="232"/>
      <c r="F531" s="185"/>
      <c r="G531" s="185"/>
      <c r="H531" s="190"/>
      <c r="I531" s="190"/>
      <c r="J531" s="190"/>
      <c r="K531" s="190"/>
      <c r="L531" s="190"/>
      <c r="M531" s="190"/>
      <c r="N531" s="190"/>
      <c r="O531" s="190"/>
      <c r="P531" s="190"/>
      <c r="Q531" s="190"/>
      <c r="R531" s="190"/>
      <c r="S531" s="190" t="s">
        <v>754</v>
      </c>
      <c r="T531" s="43">
        <f t="shared" si="8"/>
        <v>1</v>
      </c>
      <c r="U531" s="167">
        <f t="shared" si="9"/>
        <v>0</v>
      </c>
      <c r="V531" s="43"/>
      <c r="W531" s="43"/>
      <c r="X531" s="43"/>
    </row>
    <row r="532" spans="1:24" ht="14.25" customHeight="1">
      <c r="A532" s="190"/>
      <c r="B532" s="225"/>
      <c r="C532" s="190"/>
      <c r="D532" s="190"/>
      <c r="E532" s="232"/>
      <c r="F532" s="185"/>
      <c r="G532" s="185"/>
      <c r="H532" s="190"/>
      <c r="I532" s="190"/>
      <c r="J532" s="190"/>
      <c r="K532" s="190"/>
      <c r="L532" s="190"/>
      <c r="M532" s="190"/>
      <c r="N532" s="190"/>
      <c r="O532" s="190"/>
      <c r="P532" s="190"/>
      <c r="Q532" s="190"/>
      <c r="R532" s="190"/>
      <c r="S532" s="190" t="s">
        <v>311</v>
      </c>
      <c r="T532" s="43">
        <f t="shared" si="8"/>
        <v>1</v>
      </c>
      <c r="U532" s="167">
        <f t="shared" si="9"/>
        <v>0</v>
      </c>
      <c r="V532" s="43"/>
      <c r="W532" s="43"/>
      <c r="X532" s="43"/>
    </row>
    <row r="533" spans="1:24" ht="14.25" customHeight="1">
      <c r="A533" s="190"/>
      <c r="B533" s="225"/>
      <c r="C533" s="190"/>
      <c r="D533" s="190"/>
      <c r="E533" s="232"/>
      <c r="F533" s="185"/>
      <c r="G533" s="185"/>
      <c r="H533" s="190"/>
      <c r="I533" s="190"/>
      <c r="J533" s="190"/>
      <c r="K533" s="190"/>
      <c r="L533" s="190"/>
      <c r="M533" s="190"/>
      <c r="N533" s="190"/>
      <c r="O533" s="190"/>
      <c r="P533" s="190"/>
      <c r="Q533" s="190"/>
      <c r="R533" s="190"/>
      <c r="S533" s="190" t="s">
        <v>728</v>
      </c>
      <c r="T533" s="43">
        <f t="shared" si="8"/>
        <v>1</v>
      </c>
      <c r="U533" s="167">
        <f t="shared" si="9"/>
        <v>0</v>
      </c>
      <c r="V533" s="43"/>
      <c r="W533" s="43"/>
      <c r="X533" s="43"/>
    </row>
    <row r="534" spans="1:24" ht="14.25" customHeight="1">
      <c r="A534" s="190"/>
      <c r="B534" s="225"/>
      <c r="C534" s="190"/>
      <c r="D534" s="190"/>
      <c r="E534" s="232"/>
      <c r="F534" s="185"/>
      <c r="G534" s="185"/>
      <c r="H534" s="190"/>
      <c r="I534" s="190"/>
      <c r="J534" s="190"/>
      <c r="K534" s="190"/>
      <c r="L534" s="190"/>
      <c r="M534" s="190"/>
      <c r="N534" s="190"/>
      <c r="O534" s="190"/>
      <c r="P534" s="190"/>
      <c r="Q534" s="190"/>
      <c r="R534" s="190"/>
      <c r="S534" s="190" t="s">
        <v>703</v>
      </c>
      <c r="T534" s="43">
        <f t="shared" si="8"/>
        <v>1</v>
      </c>
      <c r="U534" s="167">
        <f t="shared" si="9"/>
        <v>0</v>
      </c>
      <c r="V534" s="43"/>
      <c r="W534" s="43"/>
      <c r="X534" s="43"/>
    </row>
    <row r="535" spans="1:24" ht="14.25" customHeight="1">
      <c r="A535" s="190"/>
      <c r="B535" s="225"/>
      <c r="C535" s="190"/>
      <c r="D535" s="190"/>
      <c r="E535" s="232"/>
      <c r="F535" s="185"/>
      <c r="G535" s="185"/>
      <c r="H535" s="190"/>
      <c r="I535" s="190"/>
      <c r="J535" s="190"/>
      <c r="K535" s="190"/>
      <c r="L535" s="190"/>
      <c r="M535" s="190"/>
      <c r="N535" s="190"/>
      <c r="O535" s="190"/>
      <c r="P535" s="190"/>
      <c r="Q535" s="190"/>
      <c r="R535" s="190"/>
      <c r="S535" s="190" t="s">
        <v>707</v>
      </c>
      <c r="T535" s="43">
        <f t="shared" si="8"/>
        <v>1</v>
      </c>
      <c r="U535" s="167">
        <f t="shared" si="9"/>
        <v>0</v>
      </c>
      <c r="V535" s="43"/>
      <c r="W535" s="43"/>
      <c r="X535" s="43"/>
    </row>
    <row r="536" spans="1:24" ht="14.25" customHeight="1">
      <c r="A536" s="190"/>
      <c r="B536" s="225"/>
      <c r="C536" s="190"/>
      <c r="D536" s="190"/>
      <c r="E536" s="232"/>
      <c r="F536" s="191"/>
      <c r="G536" s="185"/>
      <c r="H536" s="190"/>
      <c r="I536" s="190"/>
      <c r="J536" s="190"/>
      <c r="K536" s="190"/>
      <c r="L536" s="190"/>
      <c r="M536" s="190"/>
      <c r="N536" s="190"/>
      <c r="O536" s="190"/>
      <c r="P536" s="190"/>
      <c r="Q536" s="190"/>
      <c r="R536" s="190"/>
      <c r="S536" s="190"/>
      <c r="T536" s="43">
        <f t="shared" si="8"/>
        <v>1</v>
      </c>
      <c r="U536" s="167">
        <f t="shared" si="9"/>
        <v>0</v>
      </c>
      <c r="V536" s="43"/>
      <c r="W536" s="43"/>
      <c r="X536" s="43"/>
    </row>
    <row r="537" spans="1:24" ht="14.25" customHeight="1">
      <c r="A537" s="190"/>
      <c r="B537" s="225"/>
      <c r="C537" s="190"/>
      <c r="D537" s="190"/>
      <c r="E537" s="232"/>
      <c r="F537" s="185"/>
      <c r="G537" s="185"/>
      <c r="H537" s="190"/>
      <c r="I537" s="190"/>
      <c r="J537" s="190"/>
      <c r="K537" s="190"/>
      <c r="L537" s="190"/>
      <c r="M537" s="190"/>
      <c r="N537" s="190"/>
      <c r="O537" s="190"/>
      <c r="P537" s="190"/>
      <c r="Q537" s="190"/>
      <c r="R537" s="190"/>
      <c r="S537" s="190" t="s">
        <v>776</v>
      </c>
      <c r="T537" s="43">
        <f t="shared" si="8"/>
        <v>1</v>
      </c>
      <c r="U537" s="167">
        <f t="shared" si="9"/>
        <v>0</v>
      </c>
      <c r="V537" s="43"/>
      <c r="W537" s="43"/>
      <c r="X537" s="43"/>
    </row>
    <row r="538" spans="1:24" ht="14.25" customHeight="1">
      <c r="A538" s="190"/>
      <c r="B538" s="225"/>
      <c r="C538" s="190"/>
      <c r="D538" s="190"/>
      <c r="E538" s="232"/>
      <c r="F538" s="191"/>
      <c r="G538" s="185"/>
      <c r="H538" s="190"/>
      <c r="I538" s="190"/>
      <c r="J538" s="190"/>
      <c r="K538" s="190"/>
      <c r="L538" s="190"/>
      <c r="M538" s="190"/>
      <c r="N538" s="190"/>
      <c r="O538" s="190"/>
      <c r="P538" s="190"/>
      <c r="Q538" s="190"/>
      <c r="R538" s="190"/>
      <c r="S538" s="190"/>
      <c r="T538" s="43">
        <f t="shared" si="8"/>
        <v>1</v>
      </c>
      <c r="U538" s="167">
        <f t="shared" si="9"/>
        <v>0</v>
      </c>
      <c r="V538" s="43"/>
      <c r="W538" s="43"/>
      <c r="X538" s="43"/>
    </row>
    <row r="539" spans="1:24" ht="14.25" customHeight="1">
      <c r="A539" s="190"/>
      <c r="B539" s="225"/>
      <c r="C539" s="190"/>
      <c r="D539" s="190"/>
      <c r="E539" s="232"/>
      <c r="F539" s="185"/>
      <c r="G539" s="185"/>
      <c r="H539" s="190"/>
      <c r="I539" s="190"/>
      <c r="J539" s="190"/>
      <c r="K539" s="190"/>
      <c r="L539" s="190"/>
      <c r="M539" s="190"/>
      <c r="N539" s="190"/>
      <c r="O539" s="190"/>
      <c r="P539" s="190"/>
      <c r="Q539" s="190"/>
      <c r="R539" s="190"/>
      <c r="S539" s="190" t="s">
        <v>781</v>
      </c>
      <c r="T539" s="43">
        <f t="shared" si="8"/>
        <v>1</v>
      </c>
      <c r="U539" s="167">
        <f t="shared" si="9"/>
        <v>0</v>
      </c>
      <c r="V539" s="43"/>
      <c r="W539" s="43"/>
      <c r="X539" s="43"/>
    </row>
    <row r="540" spans="1:24" ht="14.25" customHeight="1">
      <c r="A540" s="190"/>
      <c r="B540" s="225"/>
      <c r="C540" s="190"/>
      <c r="D540" s="190"/>
      <c r="E540" s="232"/>
      <c r="F540" s="185"/>
      <c r="G540" s="185"/>
      <c r="H540" s="190"/>
      <c r="I540" s="190"/>
      <c r="J540" s="190"/>
      <c r="K540" s="190"/>
      <c r="L540" s="190"/>
      <c r="M540" s="190"/>
      <c r="N540" s="190"/>
      <c r="O540" s="190"/>
      <c r="P540" s="190"/>
      <c r="Q540" s="190"/>
      <c r="R540" s="190"/>
      <c r="S540" s="190" t="s">
        <v>79</v>
      </c>
      <c r="T540" s="43">
        <f t="shared" si="8"/>
        <v>1</v>
      </c>
      <c r="U540" s="167">
        <f t="shared" si="9"/>
        <v>0</v>
      </c>
      <c r="V540" s="43"/>
      <c r="W540" s="43"/>
      <c r="X540" s="43"/>
    </row>
    <row r="541" spans="1:24" ht="14.25" customHeight="1">
      <c r="A541" s="190"/>
      <c r="B541" s="225"/>
      <c r="C541" s="190"/>
      <c r="D541" s="190"/>
      <c r="E541" s="232"/>
      <c r="F541" s="185"/>
      <c r="G541" s="185"/>
      <c r="H541" s="190"/>
      <c r="I541" s="190"/>
      <c r="J541" s="190"/>
      <c r="K541" s="190"/>
      <c r="L541" s="190"/>
      <c r="M541" s="190"/>
      <c r="N541" s="190"/>
      <c r="O541" s="190"/>
      <c r="P541" s="190"/>
      <c r="Q541" s="190"/>
      <c r="R541" s="190"/>
      <c r="S541" s="190" t="s">
        <v>768</v>
      </c>
      <c r="T541" s="43">
        <f t="shared" si="8"/>
        <v>1</v>
      </c>
      <c r="U541" s="167">
        <f t="shared" si="9"/>
        <v>0</v>
      </c>
      <c r="V541" s="43"/>
      <c r="W541" s="43"/>
      <c r="X541" s="43"/>
    </row>
    <row r="542" spans="1:24" ht="14.25" customHeight="1">
      <c r="A542" s="190"/>
      <c r="B542" s="225"/>
      <c r="C542" s="190"/>
      <c r="D542" s="190"/>
      <c r="E542" s="232"/>
      <c r="F542" s="185"/>
      <c r="G542" s="185"/>
      <c r="H542" s="190"/>
      <c r="I542" s="190"/>
      <c r="J542" s="190"/>
      <c r="K542" s="190"/>
      <c r="L542" s="190"/>
      <c r="M542" s="190"/>
      <c r="N542" s="190"/>
      <c r="O542" s="190"/>
      <c r="P542" s="190"/>
      <c r="Q542" s="190"/>
      <c r="R542" s="190"/>
      <c r="S542" s="190" t="s">
        <v>772</v>
      </c>
      <c r="T542" s="43">
        <f t="shared" si="8"/>
        <v>1</v>
      </c>
      <c r="U542" s="167">
        <f t="shared" si="9"/>
        <v>0</v>
      </c>
      <c r="V542" s="43"/>
      <c r="W542" s="43"/>
      <c r="X542" s="43"/>
    </row>
    <row r="543" spans="1:24" ht="14.25" customHeight="1">
      <c r="A543" s="190"/>
      <c r="B543" s="225"/>
      <c r="C543" s="190"/>
      <c r="D543" s="190"/>
      <c r="E543" s="232"/>
      <c r="F543" s="191"/>
      <c r="G543" s="185"/>
      <c r="H543" s="190"/>
      <c r="I543" s="190"/>
      <c r="J543" s="190"/>
      <c r="K543" s="190"/>
      <c r="L543" s="190"/>
      <c r="M543" s="190"/>
      <c r="N543" s="190"/>
      <c r="O543" s="190"/>
      <c r="P543" s="190"/>
      <c r="Q543" s="190"/>
      <c r="R543" s="190"/>
      <c r="S543" s="190"/>
      <c r="T543" s="43">
        <f t="shared" si="8"/>
        <v>1</v>
      </c>
      <c r="U543" s="167">
        <f t="shared" si="9"/>
        <v>0</v>
      </c>
      <c r="V543" s="43"/>
      <c r="W543" s="43"/>
      <c r="X543" s="43"/>
    </row>
    <row r="544" spans="1:24" ht="14.25" customHeight="1">
      <c r="A544" s="190"/>
      <c r="B544" s="225"/>
      <c r="C544" s="190"/>
      <c r="D544" s="190"/>
      <c r="E544" s="232"/>
      <c r="F544" s="191"/>
      <c r="G544" s="185"/>
      <c r="H544" s="190"/>
      <c r="I544" s="190"/>
      <c r="J544" s="190"/>
      <c r="K544" s="190"/>
      <c r="L544" s="190"/>
      <c r="M544" s="190"/>
      <c r="N544" s="190"/>
      <c r="O544" s="190"/>
      <c r="P544" s="190"/>
      <c r="Q544" s="190"/>
      <c r="R544" s="190"/>
      <c r="S544" s="190" t="s">
        <v>79</v>
      </c>
      <c r="T544" s="43">
        <f t="shared" si="8"/>
        <v>1</v>
      </c>
      <c r="U544" s="167">
        <f t="shared" si="9"/>
        <v>0</v>
      </c>
      <c r="V544" s="43"/>
      <c r="W544" s="43"/>
      <c r="X544" s="43"/>
    </row>
    <row r="545" spans="1:24" ht="14.25" customHeight="1">
      <c r="A545" s="190"/>
      <c r="B545" s="225"/>
      <c r="C545" s="190"/>
      <c r="D545" s="190"/>
      <c r="E545" s="232"/>
      <c r="F545" s="191"/>
      <c r="G545" s="185"/>
      <c r="H545" s="190"/>
      <c r="I545" s="190"/>
      <c r="J545" s="190"/>
      <c r="K545" s="190"/>
      <c r="L545" s="190"/>
      <c r="M545" s="190"/>
      <c r="N545" s="190"/>
      <c r="O545" s="190"/>
      <c r="P545" s="190"/>
      <c r="Q545" s="190"/>
      <c r="R545" s="190"/>
      <c r="S545" s="190" t="s">
        <v>79</v>
      </c>
      <c r="T545" s="43">
        <f t="shared" si="8"/>
        <v>1</v>
      </c>
      <c r="U545" s="167">
        <f t="shared" si="9"/>
        <v>0</v>
      </c>
      <c r="V545" s="43"/>
      <c r="W545" s="43"/>
      <c r="X545" s="43"/>
    </row>
    <row r="546" spans="1:24" ht="14.25" customHeight="1">
      <c r="A546" s="190"/>
      <c r="B546" s="225"/>
      <c r="C546" s="190"/>
      <c r="D546" s="190"/>
      <c r="E546" s="232"/>
      <c r="F546" s="185"/>
      <c r="G546" s="185"/>
      <c r="H546" s="190"/>
      <c r="I546" s="190"/>
      <c r="J546" s="190"/>
      <c r="K546" s="190"/>
      <c r="L546" s="190"/>
      <c r="M546" s="190"/>
      <c r="N546" s="190"/>
      <c r="O546" s="190"/>
      <c r="P546" s="190"/>
      <c r="Q546" s="190"/>
      <c r="R546" s="190"/>
      <c r="S546" s="190" t="s">
        <v>1391</v>
      </c>
      <c r="T546" s="43">
        <f t="shared" si="8"/>
        <v>1</v>
      </c>
      <c r="U546" s="167">
        <f t="shared" si="9"/>
        <v>0</v>
      </c>
      <c r="V546" s="43"/>
      <c r="W546" s="43"/>
      <c r="X546" s="43"/>
    </row>
    <row r="547" spans="1:24" ht="14.25" customHeight="1">
      <c r="A547" s="190"/>
      <c r="B547" s="225"/>
      <c r="C547" s="190"/>
      <c r="D547" s="190"/>
      <c r="E547" s="232"/>
      <c r="F547" s="191"/>
      <c r="G547" s="185"/>
      <c r="H547" s="190"/>
      <c r="I547" s="190"/>
      <c r="J547" s="190"/>
      <c r="K547" s="190"/>
      <c r="L547" s="190"/>
      <c r="M547" s="190"/>
      <c r="N547" s="190"/>
      <c r="O547" s="190"/>
      <c r="P547" s="190"/>
      <c r="Q547" s="190"/>
      <c r="R547" s="190"/>
      <c r="S547" s="190"/>
      <c r="T547" s="43">
        <f t="shared" si="8"/>
        <v>1</v>
      </c>
      <c r="U547" s="167">
        <f t="shared" si="9"/>
        <v>0</v>
      </c>
      <c r="V547" s="43"/>
      <c r="W547" s="43"/>
      <c r="X547" s="43"/>
    </row>
    <row r="548" spans="1:24" ht="14.25" customHeight="1">
      <c r="A548" s="190"/>
      <c r="B548" s="225"/>
      <c r="C548" s="190"/>
      <c r="D548" s="190"/>
      <c r="E548" s="232"/>
      <c r="F548" s="185"/>
      <c r="G548" s="185"/>
      <c r="H548" s="190"/>
      <c r="I548" s="190"/>
      <c r="J548" s="190"/>
      <c r="K548" s="190"/>
      <c r="L548" s="190"/>
      <c r="M548" s="190"/>
      <c r="N548" s="190"/>
      <c r="O548" s="190"/>
      <c r="P548" s="190"/>
      <c r="Q548" s="190"/>
      <c r="R548" s="190"/>
      <c r="S548" s="190" t="s">
        <v>1156</v>
      </c>
      <c r="T548" s="43">
        <f t="shared" si="8"/>
        <v>1</v>
      </c>
      <c r="U548" s="167">
        <f t="shared" si="9"/>
        <v>0</v>
      </c>
      <c r="V548" s="167"/>
      <c r="W548" s="43"/>
      <c r="X548" s="43"/>
    </row>
    <row r="549" spans="1:24" ht="14.25" customHeight="1">
      <c r="A549" s="190"/>
      <c r="B549" s="225"/>
      <c r="C549" s="190"/>
      <c r="D549" s="190"/>
      <c r="E549" s="232"/>
      <c r="F549" s="191"/>
      <c r="G549" s="185"/>
      <c r="H549" s="190"/>
      <c r="I549" s="190"/>
      <c r="J549" s="190"/>
      <c r="K549" s="190"/>
      <c r="L549" s="190"/>
      <c r="M549" s="190"/>
      <c r="N549" s="190"/>
      <c r="O549" s="190"/>
      <c r="P549" s="190"/>
      <c r="Q549" s="190"/>
      <c r="R549" s="190"/>
      <c r="S549" s="190"/>
      <c r="T549" s="43">
        <f t="shared" si="8"/>
        <v>1</v>
      </c>
      <c r="U549" s="167">
        <f t="shared" si="9"/>
        <v>0</v>
      </c>
      <c r="V549" s="43"/>
      <c r="W549" s="43"/>
      <c r="X549" s="43"/>
    </row>
    <row r="550" spans="1:24" ht="14.25" customHeight="1">
      <c r="A550" s="190"/>
      <c r="B550" s="225"/>
      <c r="C550" s="190"/>
      <c r="D550" s="190"/>
      <c r="E550" s="232"/>
      <c r="F550" s="191"/>
      <c r="G550" s="185"/>
      <c r="H550" s="190"/>
      <c r="I550" s="190"/>
      <c r="J550" s="190"/>
      <c r="K550" s="190"/>
      <c r="L550" s="190"/>
      <c r="M550" s="190"/>
      <c r="N550" s="190"/>
      <c r="O550" s="190"/>
      <c r="P550" s="190"/>
      <c r="Q550" s="190"/>
      <c r="R550" s="190"/>
      <c r="S550" s="190" t="s">
        <v>1044</v>
      </c>
      <c r="T550" s="43">
        <f t="shared" si="8"/>
        <v>1</v>
      </c>
      <c r="U550" s="167">
        <f t="shared" si="9"/>
        <v>0</v>
      </c>
      <c r="V550" s="43"/>
      <c r="W550" s="43"/>
      <c r="X550" s="43"/>
    </row>
    <row r="551" spans="1:24" ht="14.25" customHeight="1">
      <c r="A551" s="190"/>
      <c r="B551" s="225"/>
      <c r="C551" s="190"/>
      <c r="D551" s="190"/>
      <c r="E551" s="232"/>
      <c r="F551" s="191"/>
      <c r="G551" s="185"/>
      <c r="H551" s="190"/>
      <c r="I551" s="190"/>
      <c r="J551" s="190"/>
      <c r="K551" s="190"/>
      <c r="L551" s="190"/>
      <c r="M551" s="190"/>
      <c r="N551" s="190"/>
      <c r="O551" s="190"/>
      <c r="P551" s="190"/>
      <c r="Q551" s="190"/>
      <c r="R551" s="190"/>
      <c r="S551" s="190" t="s">
        <v>1254</v>
      </c>
      <c r="T551" s="43">
        <f t="shared" si="8"/>
        <v>1</v>
      </c>
      <c r="U551" s="167">
        <f t="shared" si="9"/>
        <v>0</v>
      </c>
      <c r="V551" s="43"/>
      <c r="W551" s="43"/>
      <c r="X551" s="43"/>
    </row>
    <row r="552" spans="1:24" ht="14.25" customHeight="1">
      <c r="A552" s="190"/>
      <c r="B552" s="225"/>
      <c r="C552" s="190"/>
      <c r="D552" s="190"/>
      <c r="E552" s="232"/>
      <c r="F552" s="191"/>
      <c r="G552" s="185"/>
      <c r="H552" s="190"/>
      <c r="I552" s="190"/>
      <c r="J552" s="190"/>
      <c r="K552" s="190"/>
      <c r="L552" s="190"/>
      <c r="M552" s="190"/>
      <c r="N552" s="190"/>
      <c r="O552" s="190"/>
      <c r="P552" s="190"/>
      <c r="Q552" s="190"/>
      <c r="R552" s="190"/>
      <c r="S552" s="190" t="s">
        <v>975</v>
      </c>
      <c r="T552" s="43">
        <f t="shared" si="8"/>
        <v>1</v>
      </c>
      <c r="U552" s="167">
        <f t="shared" si="9"/>
        <v>0</v>
      </c>
      <c r="V552" s="43"/>
      <c r="W552" s="43"/>
      <c r="X552" s="43"/>
    </row>
    <row r="553" spans="1:24" ht="14.25" customHeight="1">
      <c r="A553" s="190"/>
      <c r="B553" s="225"/>
      <c r="C553" s="190"/>
      <c r="D553" s="190"/>
      <c r="E553" s="232"/>
      <c r="F553" s="191"/>
      <c r="G553" s="185"/>
      <c r="H553" s="190"/>
      <c r="I553" s="190"/>
      <c r="J553" s="190"/>
      <c r="K553" s="190"/>
      <c r="L553" s="190"/>
      <c r="M553" s="190"/>
      <c r="N553" s="190"/>
      <c r="O553" s="190"/>
      <c r="P553" s="190"/>
      <c r="Q553" s="190"/>
      <c r="R553" s="190"/>
      <c r="S553" s="190" t="s">
        <v>1246</v>
      </c>
      <c r="T553" s="43">
        <f t="shared" si="8"/>
        <v>1</v>
      </c>
      <c r="U553" s="167">
        <f t="shared" si="9"/>
        <v>0</v>
      </c>
      <c r="V553" s="43"/>
      <c r="W553" s="43"/>
      <c r="X553" s="43"/>
    </row>
    <row r="554" spans="1:24" ht="14.25" customHeight="1">
      <c r="A554" s="190"/>
      <c r="B554" s="225"/>
      <c r="C554" s="190"/>
      <c r="D554" s="190"/>
      <c r="E554" s="232"/>
      <c r="F554" s="185"/>
      <c r="G554" s="185"/>
      <c r="H554" s="190"/>
      <c r="I554" s="190"/>
      <c r="J554" s="190"/>
      <c r="K554" s="190"/>
      <c r="L554" s="190"/>
      <c r="M554" s="190"/>
      <c r="N554" s="190"/>
      <c r="O554" s="190"/>
      <c r="P554" s="190"/>
      <c r="Q554" s="190"/>
      <c r="R554" s="190"/>
      <c r="S554" s="190" t="s">
        <v>1156</v>
      </c>
      <c r="T554" s="43">
        <f t="shared" si="8"/>
        <v>1</v>
      </c>
      <c r="U554" s="167">
        <f t="shared" si="9"/>
        <v>0</v>
      </c>
      <c r="V554" s="167"/>
      <c r="W554" s="43"/>
      <c r="X554" s="43"/>
    </row>
    <row r="555" spans="1:24" ht="14.25" customHeight="1">
      <c r="A555" s="190"/>
      <c r="B555" s="225"/>
      <c r="C555" s="190"/>
      <c r="D555" s="190"/>
      <c r="E555" s="232"/>
      <c r="F555" s="185"/>
      <c r="G555" s="185"/>
      <c r="H555" s="190"/>
      <c r="I555" s="190"/>
      <c r="J555" s="190"/>
      <c r="K555" s="190"/>
      <c r="L555" s="190"/>
      <c r="M555" s="190"/>
      <c r="N555" s="190"/>
      <c r="O555" s="190"/>
      <c r="P555" s="190"/>
      <c r="Q555" s="190"/>
      <c r="R555" s="190"/>
      <c r="S555" s="190" t="s">
        <v>299</v>
      </c>
      <c r="T555" s="43">
        <f t="shared" si="8"/>
        <v>1</v>
      </c>
      <c r="U555" s="167">
        <f t="shared" si="9"/>
        <v>0</v>
      </c>
      <c r="V555" s="43"/>
      <c r="W555" s="43"/>
      <c r="X555" s="43"/>
    </row>
    <row r="556" spans="1:24" ht="14.25" customHeight="1">
      <c r="A556" s="190"/>
      <c r="B556" s="225"/>
      <c r="C556" s="190"/>
      <c r="D556" s="190"/>
      <c r="E556" s="232"/>
      <c r="F556" s="185"/>
      <c r="G556" s="185"/>
      <c r="H556" s="190"/>
      <c r="I556" s="190"/>
      <c r="J556" s="190"/>
      <c r="K556" s="190"/>
      <c r="L556" s="190"/>
      <c r="M556" s="190"/>
      <c r="N556" s="190"/>
      <c r="O556" s="190"/>
      <c r="P556" s="190"/>
      <c r="Q556" s="190"/>
      <c r="R556" s="190"/>
      <c r="S556" s="190" t="s">
        <v>299</v>
      </c>
      <c r="T556" s="43">
        <f t="shared" si="8"/>
        <v>1</v>
      </c>
      <c r="U556" s="167">
        <f t="shared" si="9"/>
        <v>0</v>
      </c>
      <c r="V556" s="43"/>
      <c r="W556" s="43"/>
      <c r="X556" s="43"/>
    </row>
    <row r="557" spans="1:24" ht="14.25" customHeight="1">
      <c r="A557" s="190"/>
      <c r="B557" s="225"/>
      <c r="C557" s="190"/>
      <c r="D557" s="190"/>
      <c r="E557" s="232"/>
      <c r="F557" s="185"/>
      <c r="G557" s="185"/>
      <c r="H557" s="190"/>
      <c r="I557" s="190"/>
      <c r="J557" s="190"/>
      <c r="K557" s="190"/>
      <c r="L557" s="190"/>
      <c r="M557" s="190"/>
      <c r="N557" s="190"/>
      <c r="O557" s="190"/>
      <c r="P557" s="190"/>
      <c r="Q557" s="190"/>
      <c r="R557" s="190"/>
      <c r="S557" s="190" t="s">
        <v>1000</v>
      </c>
      <c r="T557" s="43">
        <f t="shared" si="8"/>
        <v>1</v>
      </c>
      <c r="U557" s="167">
        <f t="shared" si="9"/>
        <v>0</v>
      </c>
      <c r="V557" s="43"/>
      <c r="W557" s="43"/>
      <c r="X557" s="43"/>
    </row>
    <row r="558" spans="1:24" ht="14.25" customHeight="1">
      <c r="A558" s="190"/>
      <c r="B558" s="225"/>
      <c r="C558" s="190"/>
      <c r="D558" s="190"/>
      <c r="E558" s="232"/>
      <c r="F558" s="185"/>
      <c r="G558" s="185"/>
      <c r="H558" s="190"/>
      <c r="I558" s="190"/>
      <c r="J558" s="190"/>
      <c r="K558" s="190"/>
      <c r="L558" s="190"/>
      <c r="M558" s="190"/>
      <c r="N558" s="190"/>
      <c r="O558" s="190"/>
      <c r="P558" s="190"/>
      <c r="Q558" s="190"/>
      <c r="R558" s="190"/>
      <c r="S558" s="190" t="s">
        <v>299</v>
      </c>
      <c r="T558" s="43">
        <f t="shared" si="8"/>
        <v>1</v>
      </c>
      <c r="U558" s="167">
        <f t="shared" si="9"/>
        <v>0</v>
      </c>
      <c r="V558" s="43"/>
      <c r="W558" s="43"/>
      <c r="X558" s="43"/>
    </row>
    <row r="559" spans="1:24" ht="14.25" customHeight="1">
      <c r="A559" s="190"/>
      <c r="B559" s="225"/>
      <c r="C559" s="190"/>
      <c r="D559" s="190"/>
      <c r="E559" s="232"/>
      <c r="F559" s="185"/>
      <c r="G559" s="185"/>
      <c r="H559" s="190"/>
      <c r="I559" s="190"/>
      <c r="J559" s="190"/>
      <c r="K559" s="190"/>
      <c r="L559" s="190"/>
      <c r="M559" s="190"/>
      <c r="N559" s="190"/>
      <c r="O559" s="190"/>
      <c r="P559" s="190"/>
      <c r="Q559" s="190"/>
      <c r="R559" s="190"/>
      <c r="S559" s="190" t="s">
        <v>299</v>
      </c>
      <c r="T559" s="43">
        <f t="shared" si="8"/>
        <v>1</v>
      </c>
      <c r="U559" s="167">
        <f t="shared" si="9"/>
        <v>0</v>
      </c>
      <c r="V559" s="43"/>
      <c r="W559" s="43"/>
      <c r="X559" s="43"/>
    </row>
    <row r="560" spans="1:24" ht="14.25" customHeight="1">
      <c r="A560" s="190"/>
      <c r="B560" s="225"/>
      <c r="C560" s="190"/>
      <c r="D560" s="190"/>
      <c r="E560" s="232"/>
      <c r="F560" s="185"/>
      <c r="G560" s="185"/>
      <c r="H560" s="190"/>
      <c r="I560" s="190"/>
      <c r="J560" s="190"/>
      <c r="K560" s="190"/>
      <c r="L560" s="190"/>
      <c r="M560" s="190"/>
      <c r="N560" s="190"/>
      <c r="O560" s="190"/>
      <c r="P560" s="190"/>
      <c r="Q560" s="190"/>
      <c r="R560" s="190"/>
      <c r="S560" s="190" t="s">
        <v>1016</v>
      </c>
      <c r="T560" s="43">
        <f t="shared" si="8"/>
        <v>1</v>
      </c>
      <c r="U560" s="167">
        <f t="shared" si="9"/>
        <v>0</v>
      </c>
      <c r="V560" s="43"/>
      <c r="W560" s="43"/>
      <c r="X560" s="43"/>
    </row>
    <row r="561" spans="1:24" ht="14.25" customHeight="1">
      <c r="A561" s="190"/>
      <c r="B561" s="225"/>
      <c r="C561" s="190"/>
      <c r="D561" s="190"/>
      <c r="E561" s="232"/>
      <c r="F561" s="185"/>
      <c r="G561" s="185"/>
      <c r="H561" s="190"/>
      <c r="I561" s="190"/>
      <c r="J561" s="190"/>
      <c r="K561" s="190"/>
      <c r="L561" s="190"/>
      <c r="M561" s="190"/>
      <c r="N561" s="190"/>
      <c r="O561" s="190"/>
      <c r="P561" s="190"/>
      <c r="Q561" s="190"/>
      <c r="R561" s="190"/>
      <c r="S561" s="190"/>
      <c r="T561" s="43">
        <f t="shared" si="8"/>
        <v>1</v>
      </c>
      <c r="U561" s="167">
        <f t="shared" si="9"/>
        <v>0</v>
      </c>
      <c r="V561" s="43"/>
      <c r="W561" s="43"/>
      <c r="X561" s="43"/>
    </row>
    <row r="562" spans="1:24" ht="14.25" customHeight="1">
      <c r="A562" s="190"/>
      <c r="B562" s="225"/>
      <c r="C562" s="190"/>
      <c r="D562" s="190"/>
      <c r="E562" s="232"/>
      <c r="F562" s="185"/>
      <c r="G562" s="185"/>
      <c r="H562" s="190"/>
      <c r="I562" s="190"/>
      <c r="J562" s="190"/>
      <c r="K562" s="190"/>
      <c r="L562" s="190"/>
      <c r="M562" s="190"/>
      <c r="N562" s="190"/>
      <c r="O562" s="190"/>
      <c r="P562" s="190"/>
      <c r="Q562" s="190"/>
      <c r="R562" s="190"/>
      <c r="S562" s="190" t="s">
        <v>1154</v>
      </c>
      <c r="T562" s="43">
        <f t="shared" si="8"/>
        <v>1</v>
      </c>
      <c r="U562" s="167">
        <f t="shared" si="9"/>
        <v>0</v>
      </c>
      <c r="V562" s="43"/>
      <c r="W562" s="43"/>
      <c r="X562" s="43"/>
    </row>
    <row r="563" spans="1:24" ht="14.25" customHeight="1">
      <c r="A563" s="190"/>
      <c r="B563" s="225"/>
      <c r="C563" s="190"/>
      <c r="D563" s="190"/>
      <c r="E563" s="232"/>
      <c r="F563" s="185"/>
      <c r="G563" s="185"/>
      <c r="H563" s="190"/>
      <c r="I563" s="190"/>
      <c r="J563" s="190"/>
      <c r="K563" s="190"/>
      <c r="L563" s="190"/>
      <c r="M563" s="190"/>
      <c r="N563" s="190"/>
      <c r="O563" s="190"/>
      <c r="P563" s="190"/>
      <c r="Q563" s="190"/>
      <c r="R563" s="190"/>
      <c r="S563" s="190" t="s">
        <v>923</v>
      </c>
      <c r="T563" s="43">
        <f t="shared" si="8"/>
        <v>1</v>
      </c>
      <c r="U563" s="167">
        <f t="shared" si="9"/>
        <v>0</v>
      </c>
      <c r="V563" s="43"/>
      <c r="W563" s="43"/>
      <c r="X563" s="43"/>
    </row>
    <row r="564" spans="1:24" ht="14.25" customHeight="1">
      <c r="A564" s="190"/>
      <c r="B564" s="225"/>
      <c r="C564" s="190"/>
      <c r="D564" s="190"/>
      <c r="E564" s="232"/>
      <c r="F564" s="185"/>
      <c r="G564" s="185"/>
      <c r="H564" s="190"/>
      <c r="I564" s="190"/>
      <c r="J564" s="190"/>
      <c r="K564" s="190"/>
      <c r="L564" s="190"/>
      <c r="M564" s="190"/>
      <c r="N564" s="190"/>
      <c r="O564" s="190"/>
      <c r="P564" s="190"/>
      <c r="Q564" s="190"/>
      <c r="R564" s="190"/>
      <c r="S564" s="190" t="s">
        <v>923</v>
      </c>
      <c r="T564" s="43">
        <f t="shared" si="8"/>
        <v>1</v>
      </c>
      <c r="U564" s="167">
        <f t="shared" si="9"/>
        <v>0</v>
      </c>
      <c r="V564" s="43"/>
      <c r="W564" s="43"/>
      <c r="X564" s="43"/>
    </row>
    <row r="565" spans="1:24" ht="14.25" customHeight="1">
      <c r="A565" s="190"/>
      <c r="B565" s="225"/>
      <c r="C565" s="190"/>
      <c r="D565" s="190"/>
      <c r="E565" s="232"/>
      <c r="F565" s="185"/>
      <c r="G565" s="185"/>
      <c r="H565" s="190"/>
      <c r="I565" s="190"/>
      <c r="J565" s="190"/>
      <c r="K565" s="190"/>
      <c r="L565" s="190"/>
      <c r="M565" s="190"/>
      <c r="N565" s="190"/>
      <c r="O565" s="190"/>
      <c r="P565" s="190"/>
      <c r="Q565" s="190"/>
      <c r="R565" s="190"/>
      <c r="S565" s="190" t="s">
        <v>997</v>
      </c>
      <c r="T565" s="43">
        <f t="shared" si="8"/>
        <v>1</v>
      </c>
      <c r="U565" s="167">
        <f t="shared" si="9"/>
        <v>0</v>
      </c>
      <c r="V565" s="43"/>
      <c r="W565" s="43"/>
      <c r="X565" s="43"/>
    </row>
    <row r="566" spans="1:24" ht="14.25" customHeight="1">
      <c r="A566" s="190"/>
      <c r="B566" s="225"/>
      <c r="C566" s="190"/>
      <c r="D566" s="190"/>
      <c r="E566" s="232"/>
      <c r="F566" s="185"/>
      <c r="G566" s="185"/>
      <c r="H566" s="190"/>
      <c r="I566" s="190"/>
      <c r="J566" s="190"/>
      <c r="K566" s="190"/>
      <c r="L566" s="190"/>
      <c r="M566" s="190"/>
      <c r="N566" s="190"/>
      <c r="O566" s="190"/>
      <c r="P566" s="190"/>
      <c r="Q566" s="190"/>
      <c r="R566" s="190"/>
      <c r="S566" s="190" t="s">
        <v>1005</v>
      </c>
      <c r="T566" s="43">
        <f t="shared" si="8"/>
        <v>1</v>
      </c>
      <c r="U566" s="167">
        <f t="shared" si="9"/>
        <v>0</v>
      </c>
      <c r="V566" s="43"/>
      <c r="W566" s="43"/>
      <c r="X566" s="43"/>
    </row>
    <row r="567" spans="1:24" ht="14.25" customHeight="1">
      <c r="A567" s="190"/>
      <c r="B567" s="225"/>
      <c r="C567" s="190"/>
      <c r="D567" s="190"/>
      <c r="E567" s="232"/>
      <c r="F567" s="191"/>
      <c r="G567" s="185"/>
      <c r="H567" s="190"/>
      <c r="I567" s="190"/>
      <c r="J567" s="190"/>
      <c r="K567" s="190"/>
      <c r="L567" s="190"/>
      <c r="M567" s="190"/>
      <c r="N567" s="190"/>
      <c r="O567" s="190"/>
      <c r="P567" s="190"/>
      <c r="Q567" s="190"/>
      <c r="R567" s="190"/>
      <c r="S567" s="190"/>
      <c r="T567" s="43">
        <f t="shared" si="8"/>
        <v>1</v>
      </c>
      <c r="U567" s="167">
        <f t="shared" si="9"/>
        <v>0</v>
      </c>
      <c r="V567" s="43"/>
      <c r="W567" s="43"/>
      <c r="X567" s="43"/>
    </row>
    <row r="568" spans="1:24" ht="14.25" customHeight="1">
      <c r="A568" s="190"/>
      <c r="B568" s="225"/>
      <c r="C568" s="190"/>
      <c r="D568" s="190"/>
      <c r="E568" s="232"/>
      <c r="F568" s="191"/>
      <c r="G568" s="185"/>
      <c r="H568" s="190"/>
      <c r="I568" s="190"/>
      <c r="J568" s="190"/>
      <c r="K568" s="190"/>
      <c r="L568" s="190"/>
      <c r="M568" s="190"/>
      <c r="N568" s="190"/>
      <c r="O568" s="190"/>
      <c r="P568" s="190"/>
      <c r="Q568" s="190"/>
      <c r="R568" s="190"/>
      <c r="S568" s="190" t="s">
        <v>1417</v>
      </c>
      <c r="T568" s="43">
        <f t="shared" si="8"/>
        <v>1</v>
      </c>
      <c r="U568" s="167">
        <f t="shared" si="9"/>
        <v>0</v>
      </c>
      <c r="V568" s="43"/>
      <c r="W568" s="43"/>
      <c r="X568" s="43"/>
    </row>
    <row r="569" spans="1:24" ht="14.25" customHeight="1">
      <c r="A569" s="190"/>
      <c r="B569" s="225"/>
      <c r="C569" s="190"/>
      <c r="D569" s="190"/>
      <c r="E569" s="232"/>
      <c r="F569" s="191"/>
      <c r="G569" s="185"/>
      <c r="H569" s="190"/>
      <c r="I569" s="190"/>
      <c r="J569" s="190"/>
      <c r="K569" s="190"/>
      <c r="L569" s="190"/>
      <c r="M569" s="190"/>
      <c r="N569" s="190"/>
      <c r="O569" s="190"/>
      <c r="P569" s="190"/>
      <c r="Q569" s="190"/>
      <c r="R569" s="190"/>
      <c r="S569" s="190" t="s">
        <v>1112</v>
      </c>
      <c r="T569" s="43">
        <f t="shared" si="8"/>
        <v>1</v>
      </c>
      <c r="U569" s="167">
        <f t="shared" si="9"/>
        <v>0</v>
      </c>
      <c r="V569" s="43"/>
      <c r="W569" s="43"/>
      <c r="X569" s="43"/>
    </row>
    <row r="570" spans="1:24" ht="14.25" customHeight="1">
      <c r="A570" s="190"/>
      <c r="B570" s="225"/>
      <c r="C570" s="190"/>
      <c r="D570" s="190"/>
      <c r="E570" s="232"/>
      <c r="F570" s="191"/>
      <c r="G570" s="185"/>
      <c r="H570" s="190"/>
      <c r="I570" s="190"/>
      <c r="J570" s="190"/>
      <c r="K570" s="190"/>
      <c r="L570" s="190"/>
      <c r="M570" s="190"/>
      <c r="N570" s="190"/>
      <c r="O570" s="190"/>
      <c r="P570" s="190"/>
      <c r="Q570" s="190"/>
      <c r="R570" s="190"/>
      <c r="S570" s="190" t="s">
        <v>1085</v>
      </c>
      <c r="T570" s="43">
        <f t="shared" si="8"/>
        <v>1</v>
      </c>
      <c r="U570" s="167">
        <f t="shared" si="9"/>
        <v>0</v>
      </c>
      <c r="V570" s="43"/>
      <c r="W570" s="43"/>
      <c r="X570" s="43"/>
    </row>
    <row r="571" spans="1:24" ht="14.25" customHeight="1">
      <c r="A571" s="190"/>
      <c r="B571" s="225"/>
      <c r="C571" s="190"/>
      <c r="D571" s="190"/>
      <c r="E571" s="232"/>
      <c r="F571" s="191"/>
      <c r="G571" s="185"/>
      <c r="H571" s="190"/>
      <c r="I571" s="190"/>
      <c r="J571" s="190"/>
      <c r="K571" s="190"/>
      <c r="L571" s="190"/>
      <c r="M571" s="190"/>
      <c r="N571" s="190"/>
      <c r="O571" s="190"/>
      <c r="P571" s="190"/>
      <c r="Q571" s="190"/>
      <c r="R571" s="190"/>
      <c r="S571" s="190" t="s">
        <v>1059</v>
      </c>
      <c r="T571" s="43">
        <f t="shared" si="8"/>
        <v>1</v>
      </c>
      <c r="U571" s="167">
        <f t="shared" si="9"/>
        <v>0</v>
      </c>
      <c r="V571" s="43"/>
      <c r="W571" s="43"/>
      <c r="X571" s="43"/>
    </row>
    <row r="572" spans="1:24" ht="14.25" customHeight="1">
      <c r="A572" s="190"/>
      <c r="B572" s="225"/>
      <c r="C572" s="190"/>
      <c r="D572" s="190"/>
      <c r="E572" s="232"/>
      <c r="F572" s="191"/>
      <c r="G572" s="185"/>
      <c r="H572" s="190"/>
      <c r="I572" s="190"/>
      <c r="J572" s="190"/>
      <c r="K572" s="190"/>
      <c r="L572" s="190"/>
      <c r="M572" s="190"/>
      <c r="N572" s="190"/>
      <c r="O572" s="190"/>
      <c r="P572" s="190"/>
      <c r="Q572" s="190"/>
      <c r="R572" s="190"/>
      <c r="S572" s="190" t="s">
        <v>1052</v>
      </c>
      <c r="T572" s="43">
        <f t="shared" si="8"/>
        <v>1</v>
      </c>
      <c r="U572" s="167">
        <f t="shared" si="9"/>
        <v>0</v>
      </c>
      <c r="V572" s="43"/>
      <c r="W572" s="43"/>
      <c r="X572" s="43"/>
    </row>
    <row r="573" spans="1:24" ht="14.25" customHeight="1">
      <c r="A573" s="190"/>
      <c r="B573" s="225"/>
      <c r="C573" s="190"/>
      <c r="D573" s="190"/>
      <c r="E573" s="232"/>
      <c r="F573" s="191"/>
      <c r="G573" s="185"/>
      <c r="H573" s="190"/>
      <c r="I573" s="190"/>
      <c r="J573" s="190"/>
      <c r="K573" s="190"/>
      <c r="L573" s="190"/>
      <c r="M573" s="190"/>
      <c r="N573" s="190"/>
      <c r="O573" s="190"/>
      <c r="P573" s="190"/>
      <c r="Q573" s="190"/>
      <c r="R573" s="190"/>
      <c r="S573" s="190" t="s">
        <v>1025</v>
      </c>
      <c r="T573" s="43">
        <f t="shared" si="8"/>
        <v>1</v>
      </c>
      <c r="U573" s="167">
        <f t="shared" si="9"/>
        <v>0</v>
      </c>
      <c r="V573" s="43"/>
      <c r="W573" s="43"/>
      <c r="X573" s="43"/>
    </row>
    <row r="574" spans="1:24" ht="14.25" customHeight="1">
      <c r="A574" s="190"/>
      <c r="B574" s="225"/>
      <c r="C574" s="190"/>
      <c r="D574" s="190"/>
      <c r="E574" s="232"/>
      <c r="F574" s="185"/>
      <c r="G574" s="185"/>
      <c r="H574" s="190"/>
      <c r="I574" s="190"/>
      <c r="J574" s="190"/>
      <c r="K574" s="190"/>
      <c r="L574" s="190"/>
      <c r="M574" s="190"/>
      <c r="N574" s="190"/>
      <c r="O574" s="190"/>
      <c r="P574" s="190"/>
      <c r="Q574" s="190"/>
      <c r="R574" s="190"/>
      <c r="S574" s="190" t="s">
        <v>390</v>
      </c>
      <c r="T574" s="43">
        <f t="shared" si="8"/>
        <v>1</v>
      </c>
      <c r="U574" s="167">
        <f t="shared" si="9"/>
        <v>0</v>
      </c>
      <c r="V574" s="43"/>
      <c r="W574" s="43"/>
      <c r="X574" s="43"/>
    </row>
    <row r="575" spans="1:24" ht="14.25" customHeight="1">
      <c r="A575" s="190"/>
      <c r="B575" s="225"/>
      <c r="C575" s="190"/>
      <c r="D575" s="190"/>
      <c r="E575" s="232"/>
      <c r="F575" s="185"/>
      <c r="G575" s="185"/>
      <c r="H575" s="190"/>
      <c r="I575" s="190"/>
      <c r="J575" s="190"/>
      <c r="K575" s="190"/>
      <c r="L575" s="190"/>
      <c r="M575" s="190"/>
      <c r="N575" s="190"/>
      <c r="O575" s="190"/>
      <c r="P575" s="190"/>
      <c r="Q575" s="190"/>
      <c r="R575" s="190"/>
      <c r="S575" s="190" t="s">
        <v>354</v>
      </c>
      <c r="T575" s="43">
        <f t="shared" si="8"/>
        <v>1</v>
      </c>
      <c r="U575" s="167">
        <f t="shared" si="9"/>
        <v>0</v>
      </c>
      <c r="V575" s="43"/>
      <c r="W575" s="43"/>
      <c r="X575" s="43"/>
    </row>
    <row r="576" spans="1:24" ht="14.25" customHeight="1">
      <c r="A576" s="190"/>
      <c r="B576" s="225"/>
      <c r="C576" s="190"/>
      <c r="D576" s="190"/>
      <c r="E576" s="232"/>
      <c r="F576" s="185"/>
      <c r="G576" s="185"/>
      <c r="H576" s="190"/>
      <c r="I576" s="190"/>
      <c r="J576" s="190"/>
      <c r="K576" s="190"/>
      <c r="L576" s="190"/>
      <c r="M576" s="190"/>
      <c r="N576" s="190"/>
      <c r="O576" s="190"/>
      <c r="P576" s="190"/>
      <c r="Q576" s="190"/>
      <c r="R576" s="190"/>
      <c r="S576" s="190" t="s">
        <v>1076</v>
      </c>
      <c r="T576" s="43">
        <f t="shared" si="8"/>
        <v>1</v>
      </c>
      <c r="U576" s="167">
        <f t="shared" si="9"/>
        <v>0</v>
      </c>
      <c r="V576" s="43"/>
      <c r="W576" s="43"/>
      <c r="X576" s="43"/>
    </row>
    <row r="577" spans="1:24" ht="14.25" customHeight="1">
      <c r="A577" s="190"/>
      <c r="B577" s="225"/>
      <c r="C577" s="190"/>
      <c r="D577" s="190"/>
      <c r="E577" s="232"/>
      <c r="F577" s="185"/>
      <c r="G577" s="185"/>
      <c r="H577" s="190"/>
      <c r="I577" s="190"/>
      <c r="J577" s="190"/>
      <c r="K577" s="190"/>
      <c r="L577" s="190"/>
      <c r="M577" s="190"/>
      <c r="N577" s="190"/>
      <c r="O577" s="190"/>
      <c r="P577" s="190"/>
      <c r="Q577" s="190"/>
      <c r="R577" s="190"/>
      <c r="S577" s="190" t="s">
        <v>440</v>
      </c>
      <c r="T577" s="43">
        <f t="shared" si="8"/>
        <v>1</v>
      </c>
      <c r="U577" s="167">
        <f t="shared" si="9"/>
        <v>0</v>
      </c>
      <c r="V577" s="43"/>
      <c r="W577" s="43"/>
      <c r="X577" s="43"/>
    </row>
    <row r="578" spans="1:24" ht="14.25" customHeight="1">
      <c r="A578" s="190"/>
      <c r="B578" s="225"/>
      <c r="C578" s="190"/>
      <c r="D578" s="190"/>
      <c r="E578" s="232"/>
      <c r="F578" s="185"/>
      <c r="G578" s="185"/>
      <c r="H578" s="190"/>
      <c r="I578" s="190"/>
      <c r="J578" s="190"/>
      <c r="K578" s="190"/>
      <c r="L578" s="190"/>
      <c r="M578" s="190"/>
      <c r="N578" s="190"/>
      <c r="O578" s="190"/>
      <c r="P578" s="190"/>
      <c r="Q578" s="190"/>
      <c r="R578" s="190"/>
      <c r="S578" s="190" t="s">
        <v>361</v>
      </c>
      <c r="T578" s="43">
        <f t="shared" si="8"/>
        <v>1</v>
      </c>
      <c r="U578" s="167">
        <f t="shared" si="9"/>
        <v>0</v>
      </c>
      <c r="V578" s="43"/>
      <c r="W578" s="43"/>
      <c r="X578" s="43"/>
    </row>
    <row r="579" spans="1:24" ht="14.25" customHeight="1">
      <c r="A579" s="190"/>
      <c r="B579" s="225"/>
      <c r="C579" s="190"/>
      <c r="D579" s="190"/>
      <c r="E579" s="232"/>
      <c r="F579" s="185"/>
      <c r="G579" s="185"/>
      <c r="H579" s="190"/>
      <c r="I579" s="190"/>
      <c r="J579" s="190"/>
      <c r="K579" s="190"/>
      <c r="L579" s="190"/>
      <c r="M579" s="190"/>
      <c r="N579" s="190"/>
      <c r="O579" s="190"/>
      <c r="P579" s="190"/>
      <c r="Q579" s="190"/>
      <c r="R579" s="190"/>
      <c r="S579" s="190" t="s">
        <v>459</v>
      </c>
      <c r="T579" s="43">
        <f t="shared" si="8"/>
        <v>1</v>
      </c>
      <c r="U579" s="167">
        <f t="shared" si="9"/>
        <v>0</v>
      </c>
      <c r="V579" s="43"/>
      <c r="W579" s="43"/>
      <c r="X579" s="43"/>
    </row>
    <row r="580" spans="1:24" ht="14.25" customHeight="1">
      <c r="A580" s="190"/>
      <c r="B580" s="225"/>
      <c r="C580" s="190"/>
      <c r="D580" s="190"/>
      <c r="E580" s="232"/>
      <c r="F580" s="185"/>
      <c r="G580" s="185"/>
      <c r="H580" s="190"/>
      <c r="I580" s="190"/>
      <c r="J580" s="190"/>
      <c r="K580" s="190"/>
      <c r="L580" s="190"/>
      <c r="M580" s="190"/>
      <c r="N580" s="190"/>
      <c r="O580" s="190"/>
      <c r="P580" s="190"/>
      <c r="Q580" s="190"/>
      <c r="R580" s="190"/>
      <c r="S580" s="190" t="s">
        <v>468</v>
      </c>
      <c r="T580" s="43">
        <f t="shared" si="8"/>
        <v>1</v>
      </c>
      <c r="U580" s="167">
        <f t="shared" si="9"/>
        <v>0</v>
      </c>
      <c r="V580" s="43"/>
      <c r="W580" s="43"/>
      <c r="X580" s="43"/>
    </row>
    <row r="581" spans="1:24" ht="14.25" customHeight="1">
      <c r="A581" s="190"/>
      <c r="B581" s="225"/>
      <c r="C581" s="190"/>
      <c r="D581" s="190"/>
      <c r="E581" s="232"/>
      <c r="F581" s="185"/>
      <c r="G581" s="185"/>
      <c r="H581" s="190"/>
      <c r="I581" s="190"/>
      <c r="J581" s="190"/>
      <c r="K581" s="190"/>
      <c r="L581" s="190"/>
      <c r="M581" s="190"/>
      <c r="N581" s="190"/>
      <c r="O581" s="190"/>
      <c r="P581" s="190"/>
      <c r="Q581" s="190"/>
      <c r="R581" s="190"/>
      <c r="S581" s="190"/>
      <c r="T581" s="43">
        <f t="shared" si="8"/>
        <v>1</v>
      </c>
      <c r="U581" s="167">
        <f t="shared" si="9"/>
        <v>0</v>
      </c>
      <c r="V581" s="43"/>
      <c r="W581" s="43"/>
      <c r="X581" s="43"/>
    </row>
    <row r="582" spans="1:24" ht="14.25" customHeight="1">
      <c r="A582" s="190"/>
      <c r="B582" s="225"/>
      <c r="C582" s="190"/>
      <c r="D582" s="190"/>
      <c r="E582" s="232"/>
      <c r="F582" s="185"/>
      <c r="G582" s="185"/>
      <c r="H582" s="190"/>
      <c r="I582" s="190"/>
      <c r="J582" s="190"/>
      <c r="K582" s="190"/>
      <c r="L582" s="190"/>
      <c r="M582" s="190"/>
      <c r="N582" s="190"/>
      <c r="O582" s="190"/>
      <c r="P582" s="190"/>
      <c r="Q582" s="190"/>
      <c r="R582" s="190"/>
      <c r="S582" s="190"/>
      <c r="T582" s="43">
        <f t="shared" si="8"/>
        <v>1</v>
      </c>
      <c r="U582" s="167">
        <f t="shared" si="9"/>
        <v>0</v>
      </c>
      <c r="V582" s="43"/>
      <c r="W582" s="43"/>
      <c r="X582" s="43"/>
    </row>
    <row r="583" spans="1:24" ht="14.25" customHeight="1">
      <c r="A583" s="190"/>
      <c r="B583" s="225"/>
      <c r="C583" s="190"/>
      <c r="D583" s="190"/>
      <c r="E583" s="232"/>
      <c r="F583" s="185"/>
      <c r="G583" s="185"/>
      <c r="H583" s="190"/>
      <c r="I583" s="190"/>
      <c r="J583" s="190"/>
      <c r="K583" s="190"/>
      <c r="L583" s="190"/>
      <c r="M583" s="190"/>
      <c r="N583" s="190"/>
      <c r="O583" s="190"/>
      <c r="P583" s="190"/>
      <c r="Q583" s="190"/>
      <c r="R583" s="190"/>
      <c r="S583" s="190" t="s">
        <v>453</v>
      </c>
      <c r="T583" s="43">
        <f t="shared" si="8"/>
        <v>1</v>
      </c>
      <c r="U583" s="167">
        <f t="shared" si="9"/>
        <v>0</v>
      </c>
      <c r="V583" s="43"/>
      <c r="W583" s="43"/>
      <c r="X583" s="43"/>
    </row>
    <row r="584" spans="1:24" ht="14.25" customHeight="1">
      <c r="A584" s="190"/>
      <c r="B584" s="225"/>
      <c r="C584" s="190"/>
      <c r="D584" s="190"/>
      <c r="E584" s="232"/>
      <c r="F584" s="185"/>
      <c r="G584" s="185"/>
      <c r="H584" s="190"/>
      <c r="I584" s="190"/>
      <c r="J584" s="190"/>
      <c r="K584" s="190"/>
      <c r="L584" s="190"/>
      <c r="M584" s="190"/>
      <c r="N584" s="190"/>
      <c r="O584" s="190"/>
      <c r="P584" s="190"/>
      <c r="Q584" s="190"/>
      <c r="R584" s="190"/>
      <c r="S584" s="190" t="s">
        <v>320</v>
      </c>
      <c r="T584" s="43">
        <f t="shared" si="8"/>
        <v>1</v>
      </c>
      <c r="U584" s="167">
        <f t="shared" si="9"/>
        <v>0</v>
      </c>
      <c r="V584" s="43"/>
      <c r="W584" s="43"/>
      <c r="X584" s="43"/>
    </row>
    <row r="585" spans="1:24" ht="14.25" customHeight="1">
      <c r="A585" s="190"/>
      <c r="B585" s="225"/>
      <c r="C585" s="190"/>
      <c r="D585" s="190"/>
      <c r="E585" s="232"/>
      <c r="F585" s="191"/>
      <c r="G585" s="185"/>
      <c r="H585" s="190"/>
      <c r="I585" s="190"/>
      <c r="J585" s="190"/>
      <c r="K585" s="190"/>
      <c r="L585" s="190"/>
      <c r="M585" s="190"/>
      <c r="N585" s="190"/>
      <c r="O585" s="190"/>
      <c r="P585" s="190"/>
      <c r="Q585" s="190"/>
      <c r="R585" s="190"/>
      <c r="S585" s="190"/>
      <c r="T585" s="43">
        <f t="shared" si="8"/>
        <v>1</v>
      </c>
      <c r="U585" s="167">
        <f t="shared" si="9"/>
        <v>0</v>
      </c>
      <c r="V585" s="43"/>
      <c r="W585" s="43"/>
      <c r="X585" s="43"/>
    </row>
    <row r="586" spans="1:24" ht="14.25" customHeight="1">
      <c r="A586" s="190"/>
      <c r="B586" s="225"/>
      <c r="C586" s="190"/>
      <c r="D586" s="190"/>
      <c r="E586" s="232"/>
      <c r="F586" s="191"/>
      <c r="G586" s="185"/>
      <c r="H586" s="190"/>
      <c r="I586" s="190"/>
      <c r="J586" s="190"/>
      <c r="K586" s="190"/>
      <c r="L586" s="190"/>
      <c r="M586" s="190"/>
      <c r="N586" s="190"/>
      <c r="O586" s="190"/>
      <c r="P586" s="190"/>
      <c r="Q586" s="190"/>
      <c r="R586" s="190"/>
      <c r="S586" s="190" t="s">
        <v>1439</v>
      </c>
      <c r="T586" s="43">
        <f t="shared" si="8"/>
        <v>1</v>
      </c>
      <c r="U586" s="167">
        <f t="shared" si="9"/>
        <v>0</v>
      </c>
      <c r="V586" s="43"/>
      <c r="W586" s="43"/>
      <c r="X586" s="43"/>
    </row>
    <row r="587" spans="1:24" ht="14.25" customHeight="1">
      <c r="A587" s="190"/>
      <c r="B587" s="225"/>
      <c r="C587" s="190"/>
      <c r="D587" s="190"/>
      <c r="E587" s="232"/>
      <c r="F587" s="185"/>
      <c r="G587" s="185"/>
      <c r="H587" s="190"/>
      <c r="I587" s="190"/>
      <c r="J587" s="190"/>
      <c r="K587" s="190"/>
      <c r="L587" s="190"/>
      <c r="M587" s="190"/>
      <c r="N587" s="190"/>
      <c r="O587" s="190"/>
      <c r="P587" s="190"/>
      <c r="Q587" s="190"/>
      <c r="R587" s="190"/>
      <c r="S587" s="190" t="s">
        <v>1212</v>
      </c>
      <c r="T587" s="43">
        <f t="shared" si="8"/>
        <v>1</v>
      </c>
      <c r="U587" s="167">
        <f t="shared" si="9"/>
        <v>0</v>
      </c>
      <c r="V587" s="43"/>
      <c r="W587" s="43"/>
      <c r="X587" s="43"/>
    </row>
    <row r="588" spans="1:24" ht="14.25" customHeight="1">
      <c r="A588" s="190"/>
      <c r="B588" s="225"/>
      <c r="C588" s="190"/>
      <c r="D588" s="190"/>
      <c r="E588" s="232"/>
      <c r="F588" s="185"/>
      <c r="G588" s="185"/>
      <c r="H588" s="190"/>
      <c r="I588" s="190"/>
      <c r="J588" s="190"/>
      <c r="K588" s="190"/>
      <c r="L588" s="190"/>
      <c r="M588" s="190"/>
      <c r="N588" s="190"/>
      <c r="O588" s="190"/>
      <c r="P588" s="190"/>
      <c r="Q588" s="190"/>
      <c r="R588" s="190"/>
      <c r="S588" s="190" t="s">
        <v>1016</v>
      </c>
      <c r="T588" s="43">
        <f t="shared" si="8"/>
        <v>1</v>
      </c>
      <c r="U588" s="167">
        <f t="shared" si="9"/>
        <v>0</v>
      </c>
      <c r="V588" s="43"/>
      <c r="W588" s="43"/>
      <c r="X588" s="43"/>
    </row>
    <row r="589" spans="1:24" ht="14.25" customHeight="1">
      <c r="A589" s="190"/>
      <c r="B589" s="225"/>
      <c r="C589" s="190"/>
      <c r="D589" s="190"/>
      <c r="E589" s="232"/>
      <c r="F589" s="185"/>
      <c r="G589" s="185"/>
      <c r="H589" s="190"/>
      <c r="I589" s="190"/>
      <c r="J589" s="190"/>
      <c r="K589" s="190"/>
      <c r="L589" s="190"/>
      <c r="M589" s="190"/>
      <c r="N589" s="190"/>
      <c r="O589" s="190"/>
      <c r="P589" s="190"/>
      <c r="Q589" s="190"/>
      <c r="R589" s="190"/>
      <c r="S589" s="190" t="s">
        <v>1275</v>
      </c>
      <c r="T589" s="43">
        <f t="shared" si="8"/>
        <v>1</v>
      </c>
      <c r="U589" s="167">
        <f t="shared" si="9"/>
        <v>0</v>
      </c>
      <c r="V589" s="43"/>
      <c r="W589" s="43"/>
      <c r="X589" s="43"/>
    </row>
    <row r="590" spans="1:24" ht="14.25" customHeight="1">
      <c r="A590" s="190"/>
      <c r="B590" s="225"/>
      <c r="C590" s="190"/>
      <c r="D590" s="190"/>
      <c r="E590" s="232"/>
      <c r="F590" s="185"/>
      <c r="G590" s="185"/>
      <c r="H590" s="190"/>
      <c r="I590" s="190"/>
      <c r="J590" s="190"/>
      <c r="K590" s="190"/>
      <c r="L590" s="190"/>
      <c r="M590" s="190"/>
      <c r="N590" s="190"/>
      <c r="O590" s="190"/>
      <c r="P590" s="190"/>
      <c r="Q590" s="190"/>
      <c r="R590" s="190"/>
      <c r="S590" s="190" t="s">
        <v>1100</v>
      </c>
      <c r="T590" s="43">
        <f t="shared" si="8"/>
        <v>1</v>
      </c>
      <c r="U590" s="167">
        <f t="shared" si="9"/>
        <v>0</v>
      </c>
      <c r="V590" s="43"/>
      <c r="W590" s="43"/>
      <c r="X590" s="43"/>
    </row>
    <row r="591" spans="1:24" ht="14.25" customHeight="1">
      <c r="A591" s="190"/>
      <c r="B591" s="225"/>
      <c r="C591" s="190"/>
      <c r="D591" s="190"/>
      <c r="E591" s="232"/>
      <c r="F591" s="185"/>
      <c r="G591" s="185"/>
      <c r="H591" s="190"/>
      <c r="I591" s="190"/>
      <c r="J591" s="190"/>
      <c r="K591" s="190"/>
      <c r="L591" s="190"/>
      <c r="M591" s="190"/>
      <c r="N591" s="190"/>
      <c r="O591" s="190"/>
      <c r="P591" s="190"/>
      <c r="Q591" s="190"/>
      <c r="R591" s="190"/>
      <c r="S591" s="190"/>
      <c r="T591" s="43">
        <f t="shared" si="8"/>
        <v>1</v>
      </c>
      <c r="U591" s="167">
        <f t="shared" si="9"/>
        <v>0</v>
      </c>
      <c r="V591" s="43"/>
      <c r="W591" s="43"/>
      <c r="X591" s="43"/>
    </row>
    <row r="592" spans="1:24" ht="14.25" customHeight="1">
      <c r="A592" s="190"/>
      <c r="B592" s="225"/>
      <c r="C592" s="190"/>
      <c r="D592" s="190"/>
      <c r="E592" s="232"/>
      <c r="F592" s="191"/>
      <c r="G592" s="185"/>
      <c r="H592" s="190"/>
      <c r="I592" s="190"/>
      <c r="J592" s="190"/>
      <c r="K592" s="190"/>
      <c r="L592" s="190"/>
      <c r="M592" s="190"/>
      <c r="N592" s="190"/>
      <c r="O592" s="190"/>
      <c r="P592" s="190"/>
      <c r="Q592" s="190"/>
      <c r="R592" s="190"/>
      <c r="S592" s="190"/>
      <c r="T592" s="43">
        <f t="shared" si="8"/>
        <v>1</v>
      </c>
      <c r="U592" s="167">
        <f t="shared" si="9"/>
        <v>0</v>
      </c>
      <c r="V592" s="43"/>
      <c r="W592" s="43"/>
      <c r="X592" s="43"/>
    </row>
    <row r="593" spans="1:24" ht="14.25" customHeight="1">
      <c r="A593" s="190"/>
      <c r="B593" s="225"/>
      <c r="C593" s="190"/>
      <c r="D593" s="190"/>
      <c r="E593" s="232"/>
      <c r="F593" s="185"/>
      <c r="G593" s="185"/>
      <c r="H593" s="190"/>
      <c r="I593" s="190"/>
      <c r="J593" s="190"/>
      <c r="K593" s="190"/>
      <c r="L593" s="190"/>
      <c r="M593" s="190"/>
      <c r="N593" s="190"/>
      <c r="O593" s="190"/>
      <c r="P593" s="190"/>
      <c r="Q593" s="190"/>
      <c r="R593" s="190"/>
      <c r="S593" s="190"/>
      <c r="T593" s="43">
        <f t="shared" si="8"/>
        <v>1</v>
      </c>
      <c r="U593" s="167">
        <f t="shared" si="9"/>
        <v>0</v>
      </c>
      <c r="V593" s="43"/>
      <c r="W593" s="43"/>
      <c r="X593" s="43"/>
    </row>
    <row r="594" spans="1:24" ht="14.25" customHeight="1">
      <c r="A594" s="190"/>
      <c r="B594" s="225"/>
      <c r="C594" s="190"/>
      <c r="D594" s="190"/>
      <c r="E594" s="232"/>
      <c r="F594" s="185"/>
      <c r="G594" s="185"/>
      <c r="H594" s="190"/>
      <c r="I594" s="190"/>
      <c r="J594" s="190"/>
      <c r="K594" s="190"/>
      <c r="L594" s="190"/>
      <c r="M594" s="190"/>
      <c r="N594" s="190"/>
      <c r="O594" s="190"/>
      <c r="P594" s="190"/>
      <c r="Q594" s="190"/>
      <c r="R594" s="190"/>
      <c r="S594" s="190"/>
      <c r="T594" s="43">
        <f t="shared" si="8"/>
        <v>1</v>
      </c>
      <c r="U594" s="167">
        <f t="shared" si="9"/>
        <v>0</v>
      </c>
      <c r="V594" s="43"/>
      <c r="W594" s="43"/>
      <c r="X594" s="43"/>
    </row>
    <row r="595" spans="1:24" ht="14.25" customHeight="1">
      <c r="A595" s="190"/>
      <c r="B595" s="225"/>
      <c r="C595" s="190"/>
      <c r="D595" s="190"/>
      <c r="E595" s="232"/>
      <c r="F595" s="185"/>
      <c r="G595" s="185"/>
      <c r="H595" s="190"/>
      <c r="I595" s="190"/>
      <c r="J595" s="190"/>
      <c r="K595" s="190"/>
      <c r="L595" s="190"/>
      <c r="M595" s="190"/>
      <c r="N595" s="190"/>
      <c r="O595" s="190"/>
      <c r="P595" s="190"/>
      <c r="Q595" s="190"/>
      <c r="R595" s="190"/>
      <c r="S595" s="190" t="s">
        <v>1446</v>
      </c>
      <c r="T595" s="43">
        <f t="shared" si="8"/>
        <v>1</v>
      </c>
      <c r="U595" s="167">
        <f t="shared" si="9"/>
        <v>0</v>
      </c>
      <c r="V595" s="43"/>
      <c r="W595" s="43"/>
      <c r="X595" s="43"/>
    </row>
    <row r="596" spans="1:24" ht="14.25" customHeight="1">
      <c r="A596" s="190"/>
      <c r="B596" s="225"/>
      <c r="C596" s="190"/>
      <c r="D596" s="190"/>
      <c r="E596" s="232"/>
      <c r="F596" s="191"/>
      <c r="G596" s="185"/>
      <c r="H596" s="190"/>
      <c r="I596" s="190"/>
      <c r="J596" s="190"/>
      <c r="K596" s="190"/>
      <c r="L596" s="190"/>
      <c r="M596" s="190"/>
      <c r="N596" s="190"/>
      <c r="O596" s="190"/>
      <c r="P596" s="190"/>
      <c r="Q596" s="190"/>
      <c r="R596" s="190"/>
      <c r="S596" s="190"/>
      <c r="T596" s="43">
        <f t="shared" si="8"/>
        <v>1</v>
      </c>
      <c r="U596" s="167">
        <f t="shared" si="9"/>
        <v>0</v>
      </c>
      <c r="V596" s="43"/>
      <c r="W596" s="43"/>
      <c r="X596" s="43"/>
    </row>
    <row r="597" spans="1:24" ht="14.25" customHeight="1">
      <c r="A597" s="190"/>
      <c r="B597" s="225"/>
      <c r="C597" s="190"/>
      <c r="D597" s="190"/>
      <c r="E597" s="232"/>
      <c r="F597" s="191"/>
      <c r="G597" s="185"/>
      <c r="H597" s="190"/>
      <c r="I597" s="190"/>
      <c r="J597" s="190"/>
      <c r="K597" s="190"/>
      <c r="L597" s="190"/>
      <c r="M597" s="190"/>
      <c r="N597" s="190"/>
      <c r="O597" s="190"/>
      <c r="P597" s="190"/>
      <c r="Q597" s="190"/>
      <c r="R597" s="190"/>
      <c r="S597" s="190" t="s">
        <v>1208</v>
      </c>
      <c r="T597" s="43">
        <f t="shared" si="8"/>
        <v>1</v>
      </c>
      <c r="U597" s="167">
        <f t="shared" si="9"/>
        <v>0</v>
      </c>
      <c r="V597" s="43"/>
      <c r="W597" s="43"/>
      <c r="X597" s="43"/>
    </row>
    <row r="598" spans="1:24" ht="14.25" customHeight="1">
      <c r="A598" s="190"/>
      <c r="B598" s="225"/>
      <c r="C598" s="190"/>
      <c r="D598" s="190"/>
      <c r="E598" s="232"/>
      <c r="F598" s="191"/>
      <c r="G598" s="185"/>
      <c r="H598" s="190"/>
      <c r="I598" s="190"/>
      <c r="J598" s="190"/>
      <c r="K598" s="190"/>
      <c r="L598" s="190"/>
      <c r="M598" s="190"/>
      <c r="N598" s="190"/>
      <c r="O598" s="190"/>
      <c r="P598" s="190"/>
      <c r="Q598" s="190"/>
      <c r="R598" s="190"/>
      <c r="S598" s="190" t="s">
        <v>1194</v>
      </c>
      <c r="T598" s="43">
        <f t="shared" si="8"/>
        <v>1</v>
      </c>
      <c r="U598" s="167">
        <f t="shared" si="9"/>
        <v>0</v>
      </c>
      <c r="V598" s="43"/>
      <c r="W598" s="43"/>
      <c r="X598" s="43"/>
    </row>
    <row r="599" spans="1:24" ht="14.25" customHeight="1">
      <c r="A599" s="190"/>
      <c r="B599" s="225"/>
      <c r="C599" s="190"/>
      <c r="D599" s="190"/>
      <c r="E599" s="232"/>
      <c r="F599" s="191"/>
      <c r="G599" s="185"/>
      <c r="H599" s="190"/>
      <c r="I599" s="190"/>
      <c r="J599" s="190"/>
      <c r="K599" s="190"/>
      <c r="L599" s="190"/>
      <c r="M599" s="190"/>
      <c r="N599" s="190"/>
      <c r="O599" s="190"/>
      <c r="P599" s="190"/>
      <c r="Q599" s="190"/>
      <c r="R599" s="190"/>
      <c r="S599" s="190" t="s">
        <v>1180</v>
      </c>
      <c r="T599" s="43">
        <f t="shared" si="8"/>
        <v>1</v>
      </c>
      <c r="U599" s="167">
        <f t="shared" si="9"/>
        <v>0</v>
      </c>
      <c r="V599" s="43"/>
      <c r="W599" s="43"/>
      <c r="X599" s="43"/>
    </row>
    <row r="600" spans="1:24" ht="14.25" customHeight="1">
      <c r="A600" s="190"/>
      <c r="B600" s="225"/>
      <c r="C600" s="190"/>
      <c r="D600" s="190"/>
      <c r="E600" s="232"/>
      <c r="F600" s="191"/>
      <c r="G600" s="185"/>
      <c r="H600" s="190"/>
      <c r="I600" s="190"/>
      <c r="J600" s="190"/>
      <c r="K600" s="190"/>
      <c r="L600" s="190"/>
      <c r="M600" s="190"/>
      <c r="N600" s="190"/>
      <c r="O600" s="190"/>
      <c r="P600" s="190"/>
      <c r="Q600" s="190"/>
      <c r="R600" s="190"/>
      <c r="S600" s="190" t="s">
        <v>1164</v>
      </c>
      <c r="T600" s="43">
        <f t="shared" si="8"/>
        <v>1</v>
      </c>
      <c r="U600" s="167">
        <f t="shared" si="9"/>
        <v>0</v>
      </c>
      <c r="V600" s="43"/>
      <c r="W600" s="43"/>
      <c r="X600" s="43"/>
    </row>
    <row r="601" spans="1:24" ht="14.25" customHeight="1">
      <c r="A601" s="190"/>
      <c r="B601" s="225"/>
      <c r="C601" s="190"/>
      <c r="D601" s="190"/>
      <c r="E601" s="232"/>
      <c r="F601" s="191"/>
      <c r="G601" s="185"/>
      <c r="H601" s="190"/>
      <c r="I601" s="190"/>
      <c r="J601" s="190"/>
      <c r="K601" s="190"/>
      <c r="L601" s="190"/>
      <c r="M601" s="190"/>
      <c r="N601" s="190"/>
      <c r="O601" s="190"/>
      <c r="P601" s="190"/>
      <c r="Q601" s="190"/>
      <c r="R601" s="190"/>
      <c r="S601" s="190" t="s">
        <v>1229</v>
      </c>
      <c r="T601" s="43">
        <f t="shared" si="8"/>
        <v>1</v>
      </c>
      <c r="U601" s="167">
        <f t="shared" si="9"/>
        <v>0</v>
      </c>
      <c r="V601" s="43"/>
      <c r="W601" s="43"/>
      <c r="X601" s="43"/>
    </row>
    <row r="602" spans="1:24" ht="14.25" customHeight="1">
      <c r="A602" s="190"/>
      <c r="B602" s="225"/>
      <c r="C602" s="190"/>
      <c r="D602" s="190"/>
      <c r="E602" s="232"/>
      <c r="F602" s="191"/>
      <c r="G602" s="185"/>
      <c r="H602" s="190"/>
      <c r="I602" s="190"/>
      <c r="J602" s="190"/>
      <c r="K602" s="190"/>
      <c r="L602" s="190"/>
      <c r="M602" s="190"/>
      <c r="N602" s="190"/>
      <c r="O602" s="190"/>
      <c r="P602" s="190"/>
      <c r="Q602" s="190"/>
      <c r="R602" s="190"/>
      <c r="S602" s="190" t="s">
        <v>1285</v>
      </c>
      <c r="T602" s="43">
        <f t="shared" si="8"/>
        <v>1</v>
      </c>
      <c r="U602" s="167">
        <f t="shared" si="9"/>
        <v>0</v>
      </c>
      <c r="V602" s="43"/>
      <c r="W602" s="43"/>
      <c r="X602" s="43"/>
    </row>
    <row r="603" spans="1:24" ht="14.25" customHeight="1">
      <c r="A603" s="190"/>
      <c r="B603" s="225"/>
      <c r="C603" s="190"/>
      <c r="D603" s="190"/>
      <c r="E603" s="232"/>
      <c r="F603" s="191"/>
      <c r="G603" s="185"/>
      <c r="H603" s="190"/>
      <c r="I603" s="190"/>
      <c r="J603" s="190"/>
      <c r="K603" s="190"/>
      <c r="L603" s="190"/>
      <c r="M603" s="190"/>
      <c r="N603" s="190"/>
      <c r="O603" s="190"/>
      <c r="P603" s="190"/>
      <c r="Q603" s="190"/>
      <c r="R603" s="190"/>
      <c r="S603" s="190" t="s">
        <v>1262</v>
      </c>
      <c r="T603" s="43">
        <f t="shared" si="8"/>
        <v>1</v>
      </c>
      <c r="U603" s="167">
        <f t="shared" si="9"/>
        <v>0</v>
      </c>
      <c r="V603" s="43"/>
      <c r="W603" s="43"/>
      <c r="X603" s="43"/>
    </row>
    <row r="604" spans="1:24" ht="14.25" customHeight="1">
      <c r="A604" s="190"/>
      <c r="B604" s="225"/>
      <c r="C604" s="190"/>
      <c r="D604" s="190"/>
      <c r="E604" s="232"/>
      <c r="F604" s="191"/>
      <c r="G604" s="185"/>
      <c r="H604" s="190"/>
      <c r="I604" s="190"/>
      <c r="J604" s="190"/>
      <c r="K604" s="190"/>
      <c r="L604" s="190"/>
      <c r="M604" s="190"/>
      <c r="N604" s="190"/>
      <c r="O604" s="190"/>
      <c r="P604" s="190"/>
      <c r="Q604" s="190"/>
      <c r="R604" s="190"/>
      <c r="S604" s="190" t="s">
        <v>1172</v>
      </c>
      <c r="T604" s="43">
        <f t="shared" si="8"/>
        <v>1</v>
      </c>
      <c r="U604" s="167">
        <f t="shared" si="9"/>
        <v>0</v>
      </c>
      <c r="V604" s="43"/>
      <c r="W604" s="43"/>
      <c r="X604" s="43"/>
    </row>
    <row r="605" spans="1:24" ht="14.25" customHeight="1">
      <c r="A605" s="190"/>
      <c r="B605" s="225"/>
      <c r="C605" s="190"/>
      <c r="D605" s="190"/>
      <c r="E605" s="232"/>
      <c r="F605" s="191"/>
      <c r="G605" s="185"/>
      <c r="H605" s="190"/>
      <c r="I605" s="190"/>
      <c r="J605" s="190"/>
      <c r="K605" s="190"/>
      <c r="L605" s="190"/>
      <c r="M605" s="190"/>
      <c r="N605" s="190"/>
      <c r="O605" s="190"/>
      <c r="P605" s="190"/>
      <c r="Q605" s="190"/>
      <c r="R605" s="190"/>
      <c r="S605" s="190" t="s">
        <v>1129</v>
      </c>
      <c r="T605" s="43">
        <f t="shared" si="8"/>
        <v>1</v>
      </c>
      <c r="U605" s="167">
        <f t="shared" si="9"/>
        <v>0</v>
      </c>
      <c r="V605" s="43"/>
      <c r="W605" s="43"/>
      <c r="X605" s="43"/>
    </row>
    <row r="606" spans="1:24" ht="14.25" customHeight="1">
      <c r="A606" s="190"/>
      <c r="B606" s="225"/>
      <c r="C606" s="190"/>
      <c r="D606" s="190"/>
      <c r="E606" s="232"/>
      <c r="F606" s="191"/>
      <c r="G606" s="185"/>
      <c r="H606" s="190"/>
      <c r="I606" s="190"/>
      <c r="J606" s="190"/>
      <c r="K606" s="190"/>
      <c r="L606" s="190"/>
      <c r="M606" s="190"/>
      <c r="N606" s="190"/>
      <c r="O606" s="190"/>
      <c r="P606" s="190"/>
      <c r="Q606" s="190"/>
      <c r="R606" s="190"/>
      <c r="S606" s="190" t="s">
        <v>1121</v>
      </c>
      <c r="T606" s="43">
        <f t="shared" si="8"/>
        <v>1</v>
      </c>
      <c r="U606" s="167">
        <f t="shared" si="9"/>
        <v>0</v>
      </c>
      <c r="V606" s="43"/>
      <c r="W606" s="43"/>
      <c r="X606" s="43"/>
    </row>
    <row r="607" spans="1:24" ht="14.25" customHeight="1">
      <c r="A607" s="190"/>
      <c r="B607" s="225"/>
      <c r="C607" s="190"/>
      <c r="D607" s="190"/>
      <c r="E607" s="232"/>
      <c r="F607" s="191"/>
      <c r="G607" s="185"/>
      <c r="H607" s="190"/>
      <c r="I607" s="190"/>
      <c r="J607" s="190"/>
      <c r="K607" s="190"/>
      <c r="L607" s="190"/>
      <c r="M607" s="190"/>
      <c r="N607" s="190"/>
      <c r="O607" s="190"/>
      <c r="P607" s="190"/>
      <c r="Q607" s="190"/>
      <c r="R607" s="190"/>
      <c r="S607" s="190" t="s">
        <v>1203</v>
      </c>
      <c r="T607" s="43">
        <f t="shared" si="8"/>
        <v>1</v>
      </c>
      <c r="U607" s="167">
        <f t="shared" si="9"/>
        <v>0</v>
      </c>
      <c r="V607" s="43"/>
      <c r="W607" s="43"/>
      <c r="X607" s="43"/>
    </row>
    <row r="608" spans="1:24" ht="14.25" customHeight="1">
      <c r="A608" s="190"/>
      <c r="B608" s="225"/>
      <c r="C608" s="190"/>
      <c r="D608" s="190"/>
      <c r="E608" s="232"/>
      <c r="F608" s="191"/>
      <c r="G608" s="185"/>
      <c r="H608" s="190"/>
      <c r="I608" s="190"/>
      <c r="J608" s="190"/>
      <c r="K608" s="190"/>
      <c r="L608" s="190"/>
      <c r="M608" s="190"/>
      <c r="N608" s="190"/>
      <c r="O608" s="190"/>
      <c r="P608" s="190"/>
      <c r="Q608" s="190"/>
      <c r="R608" s="190"/>
      <c r="S608" s="190" t="s">
        <v>1187</v>
      </c>
      <c r="T608" s="43">
        <f t="shared" si="8"/>
        <v>1</v>
      </c>
      <c r="U608" s="167">
        <f t="shared" si="9"/>
        <v>0</v>
      </c>
      <c r="V608" s="43"/>
      <c r="W608" s="43"/>
      <c r="X608" s="43"/>
    </row>
    <row r="609" spans="1:24" ht="14.25" customHeight="1">
      <c r="A609" s="190"/>
      <c r="B609" s="225"/>
      <c r="C609" s="190"/>
      <c r="D609" s="190"/>
      <c r="E609" s="232"/>
      <c r="F609" s="191"/>
      <c r="G609" s="185"/>
      <c r="H609" s="190"/>
      <c r="I609" s="190"/>
      <c r="J609" s="190"/>
      <c r="K609" s="190"/>
      <c r="L609" s="190"/>
      <c r="M609" s="190"/>
      <c r="N609" s="190"/>
      <c r="O609" s="190"/>
      <c r="P609" s="190"/>
      <c r="Q609" s="190"/>
      <c r="R609" s="190"/>
      <c r="S609" s="190" t="s">
        <v>1137</v>
      </c>
      <c r="T609" s="43">
        <f t="shared" si="8"/>
        <v>1</v>
      </c>
      <c r="U609" s="167">
        <f t="shared" si="9"/>
        <v>0</v>
      </c>
      <c r="V609" s="43"/>
      <c r="W609" s="43"/>
      <c r="X609" s="43"/>
    </row>
    <row r="610" spans="1:24" ht="14.25" customHeight="1">
      <c r="A610" s="190"/>
      <c r="B610" s="225"/>
      <c r="C610" s="190"/>
      <c r="D610" s="190"/>
      <c r="E610" s="232"/>
      <c r="F610" s="191"/>
      <c r="G610" s="185"/>
      <c r="H610" s="190"/>
      <c r="I610" s="190"/>
      <c r="J610" s="190"/>
      <c r="K610" s="190"/>
      <c r="L610" s="190"/>
      <c r="M610" s="190"/>
      <c r="N610" s="190"/>
      <c r="O610" s="190"/>
      <c r="P610" s="190"/>
      <c r="Q610" s="190"/>
      <c r="R610" s="190"/>
      <c r="S610" s="190" t="s">
        <v>621</v>
      </c>
      <c r="T610" s="43">
        <f t="shared" si="8"/>
        <v>1</v>
      </c>
      <c r="U610" s="167">
        <f t="shared" si="9"/>
        <v>0</v>
      </c>
      <c r="V610" s="43"/>
      <c r="W610" s="43"/>
      <c r="X610" s="43"/>
    </row>
    <row r="611" spans="1:24" ht="14.25" customHeight="1">
      <c r="A611" s="190"/>
      <c r="B611" s="225"/>
      <c r="C611" s="190"/>
      <c r="D611" s="190"/>
      <c r="E611" s="232"/>
      <c r="F611" s="185"/>
      <c r="G611" s="185"/>
      <c r="H611" s="190"/>
      <c r="I611" s="190"/>
      <c r="J611" s="190"/>
      <c r="K611" s="190"/>
      <c r="L611" s="190"/>
      <c r="M611" s="190"/>
      <c r="N611" s="190"/>
      <c r="O611" s="190"/>
      <c r="P611" s="190"/>
      <c r="Q611" s="190"/>
      <c r="R611" s="190"/>
      <c r="S611" s="190" t="s">
        <v>1005</v>
      </c>
      <c r="T611" s="43">
        <f t="shared" si="8"/>
        <v>1</v>
      </c>
      <c r="U611" s="167">
        <f t="shared" si="9"/>
        <v>0</v>
      </c>
      <c r="V611" s="43"/>
      <c r="W611" s="43"/>
      <c r="X611" s="43"/>
    </row>
    <row r="612" spans="1:24" ht="14.25" customHeight="1">
      <c r="A612" s="190"/>
      <c r="B612" s="225"/>
      <c r="C612" s="190"/>
      <c r="D612" s="190"/>
      <c r="E612" s="232"/>
      <c r="F612" s="185"/>
      <c r="G612" s="185"/>
      <c r="H612" s="190"/>
      <c r="I612" s="190"/>
      <c r="J612" s="190"/>
      <c r="K612" s="190"/>
      <c r="L612" s="190"/>
      <c r="M612" s="190"/>
      <c r="N612" s="190"/>
      <c r="O612" s="190"/>
      <c r="P612" s="190"/>
      <c r="Q612" s="190"/>
      <c r="R612" s="190"/>
      <c r="S612" s="190" t="s">
        <v>847</v>
      </c>
      <c r="T612" s="43">
        <f t="shared" si="8"/>
        <v>1</v>
      </c>
      <c r="U612" s="167">
        <f t="shared" si="9"/>
        <v>0</v>
      </c>
      <c r="V612" s="43"/>
      <c r="W612" s="43"/>
      <c r="X612" s="43"/>
    </row>
    <row r="613" spans="1:24" ht="14.25" customHeight="1">
      <c r="A613" s="190"/>
      <c r="B613" s="225"/>
      <c r="C613" s="190"/>
      <c r="D613" s="190"/>
      <c r="E613" s="232"/>
      <c r="F613" s="185"/>
      <c r="G613" s="185"/>
      <c r="H613" s="190"/>
      <c r="I613" s="190"/>
      <c r="J613" s="190"/>
      <c r="K613" s="190"/>
      <c r="L613" s="190"/>
      <c r="M613" s="190"/>
      <c r="N613" s="190"/>
      <c r="O613" s="190"/>
      <c r="P613" s="190"/>
      <c r="Q613" s="190"/>
      <c r="R613" s="190"/>
      <c r="S613" s="190"/>
      <c r="T613" s="43">
        <f t="shared" si="8"/>
        <v>1</v>
      </c>
      <c r="U613" s="167">
        <f t="shared" si="9"/>
        <v>0</v>
      </c>
      <c r="V613" s="43"/>
      <c r="W613" s="43"/>
      <c r="X613" s="43"/>
    </row>
    <row r="614" spans="1:24" ht="14.25" customHeight="1">
      <c r="A614" s="190"/>
      <c r="B614" s="225"/>
      <c r="C614" s="190"/>
      <c r="D614" s="190"/>
      <c r="E614" s="232"/>
      <c r="F614" s="191"/>
      <c r="G614" s="185"/>
      <c r="H614" s="190"/>
      <c r="I614" s="190"/>
      <c r="J614" s="190"/>
      <c r="K614" s="190"/>
      <c r="L614" s="190"/>
      <c r="M614" s="190"/>
      <c r="N614" s="190"/>
      <c r="O614" s="190"/>
      <c r="P614" s="190"/>
      <c r="Q614" s="190"/>
      <c r="R614" s="190"/>
      <c r="S614" s="190"/>
      <c r="T614" s="43">
        <f t="shared" si="8"/>
        <v>1</v>
      </c>
      <c r="U614" s="167">
        <f t="shared" si="9"/>
        <v>0</v>
      </c>
      <c r="V614" s="43"/>
      <c r="W614" s="43"/>
      <c r="X614" s="43"/>
    </row>
    <row r="615" spans="1:24" ht="14.25" customHeight="1">
      <c r="A615" s="190"/>
      <c r="B615" s="225"/>
      <c r="C615" s="190"/>
      <c r="D615" s="190"/>
      <c r="E615" s="232"/>
      <c r="F615" s="191"/>
      <c r="G615" s="185"/>
      <c r="H615" s="190"/>
      <c r="I615" s="190"/>
      <c r="J615" s="190"/>
      <c r="K615" s="190"/>
      <c r="L615" s="190"/>
      <c r="M615" s="190"/>
      <c r="N615" s="190"/>
      <c r="O615" s="190"/>
      <c r="P615" s="190"/>
      <c r="Q615" s="190"/>
      <c r="R615" s="190"/>
      <c r="S615" s="190" t="s">
        <v>1238</v>
      </c>
      <c r="T615" s="43">
        <f t="shared" si="8"/>
        <v>1</v>
      </c>
      <c r="U615" s="167">
        <f t="shared" si="9"/>
        <v>0</v>
      </c>
      <c r="V615" s="43"/>
      <c r="W615" s="43"/>
      <c r="X615" s="43"/>
    </row>
    <row r="616" spans="1:24" ht="14.25" customHeight="1">
      <c r="A616" s="190"/>
      <c r="B616" s="225"/>
      <c r="C616" s="190"/>
      <c r="D616" s="190"/>
      <c r="E616" s="232"/>
      <c r="F616" s="185"/>
      <c r="G616" s="185"/>
      <c r="H616" s="190"/>
      <c r="I616" s="190"/>
      <c r="J616" s="190"/>
      <c r="K616" s="190"/>
      <c r="L616" s="190"/>
      <c r="M616" s="190"/>
      <c r="N616" s="190"/>
      <c r="O616" s="190"/>
      <c r="P616" s="190"/>
      <c r="Q616" s="190"/>
      <c r="R616" s="190"/>
      <c r="S616" s="190" t="s">
        <v>991</v>
      </c>
      <c r="T616" s="43">
        <f t="shared" si="8"/>
        <v>1</v>
      </c>
      <c r="U616" s="167">
        <f t="shared" si="9"/>
        <v>0</v>
      </c>
      <c r="V616" s="43"/>
      <c r="W616" s="43"/>
      <c r="X616" s="43"/>
    </row>
    <row r="617" spans="1:24" ht="14.25" customHeight="1">
      <c r="A617" s="190"/>
      <c r="B617" s="225"/>
      <c r="C617" s="190"/>
      <c r="D617" s="190"/>
      <c r="E617" s="232"/>
      <c r="F617" s="185"/>
      <c r="G617" s="185"/>
      <c r="H617" s="190"/>
      <c r="I617" s="190"/>
      <c r="J617" s="190"/>
      <c r="K617" s="190"/>
      <c r="L617" s="190"/>
      <c r="M617" s="190"/>
      <c r="N617" s="190"/>
      <c r="O617" s="190"/>
      <c r="P617" s="190"/>
      <c r="Q617" s="190"/>
      <c r="R617" s="190"/>
      <c r="S617" s="190" t="s">
        <v>1291</v>
      </c>
      <c r="T617" s="43">
        <f t="shared" si="8"/>
        <v>1</v>
      </c>
      <c r="U617" s="167">
        <f t="shared" si="9"/>
        <v>0</v>
      </c>
      <c r="V617" s="43"/>
      <c r="W617" s="43"/>
      <c r="X617" s="43"/>
    </row>
    <row r="618" spans="1:24" ht="14.25" customHeight="1">
      <c r="A618" s="190"/>
      <c r="B618" s="225"/>
      <c r="C618" s="190"/>
      <c r="D618" s="190"/>
      <c r="E618" s="232"/>
      <c r="F618" s="185"/>
      <c r="G618" s="185"/>
      <c r="H618" s="190"/>
      <c r="I618" s="190"/>
      <c r="J618" s="190"/>
      <c r="K618" s="190"/>
      <c r="L618" s="190"/>
      <c r="M618" s="190"/>
      <c r="N618" s="190"/>
      <c r="O618" s="190"/>
      <c r="P618" s="190"/>
      <c r="Q618" s="190"/>
      <c r="R618" s="190"/>
      <c r="S618" s="190" t="s">
        <v>1395</v>
      </c>
      <c r="T618" s="43">
        <f t="shared" si="8"/>
        <v>1</v>
      </c>
      <c r="U618" s="167">
        <f t="shared" si="9"/>
        <v>0</v>
      </c>
      <c r="V618" s="43"/>
      <c r="W618" s="43"/>
      <c r="X618" s="43"/>
    </row>
    <row r="619" spans="1:24" ht="14.25" customHeight="1">
      <c r="A619" s="190"/>
      <c r="B619" s="225"/>
      <c r="C619" s="190"/>
      <c r="D619" s="190"/>
      <c r="E619" s="232"/>
      <c r="F619" s="191"/>
      <c r="G619" s="185"/>
      <c r="H619" s="190"/>
      <c r="I619" s="190"/>
      <c r="J619" s="190"/>
      <c r="K619" s="190"/>
      <c r="L619" s="190"/>
      <c r="M619" s="190"/>
      <c r="N619" s="190"/>
      <c r="O619" s="190"/>
      <c r="P619" s="190"/>
      <c r="Q619" s="190"/>
      <c r="R619" s="190"/>
      <c r="S619" s="190"/>
      <c r="T619" s="43">
        <f t="shared" si="8"/>
        <v>1</v>
      </c>
      <c r="U619" s="167">
        <f t="shared" si="9"/>
        <v>0</v>
      </c>
      <c r="V619" s="43"/>
      <c r="W619" s="43"/>
      <c r="X619" s="43"/>
    </row>
    <row r="620" spans="1:24" ht="14.25" customHeight="1">
      <c r="A620" s="190"/>
      <c r="B620" s="225"/>
      <c r="C620" s="190"/>
      <c r="D620" s="190"/>
      <c r="E620" s="232"/>
      <c r="F620" s="191"/>
      <c r="G620" s="185"/>
      <c r="H620" s="190"/>
      <c r="I620" s="190"/>
      <c r="J620" s="190"/>
      <c r="K620" s="190"/>
      <c r="L620" s="190"/>
      <c r="M620" s="190"/>
      <c r="N620" s="190"/>
      <c r="O620" s="190"/>
      <c r="P620" s="190"/>
      <c r="Q620" s="190"/>
      <c r="R620" s="190"/>
      <c r="S620" s="190" t="s">
        <v>1221</v>
      </c>
      <c r="T620" s="43">
        <f t="shared" si="8"/>
        <v>1</v>
      </c>
      <c r="U620" s="167">
        <f t="shared" si="9"/>
        <v>0</v>
      </c>
      <c r="V620" s="43"/>
      <c r="W620" s="43"/>
      <c r="X620" s="43"/>
    </row>
    <row r="621" spans="1:24" ht="14.25" customHeight="1">
      <c r="A621" s="190"/>
      <c r="B621" s="225"/>
      <c r="C621" s="190"/>
      <c r="D621" s="190"/>
      <c r="E621" s="232"/>
      <c r="F621" s="191"/>
      <c r="G621" s="185"/>
      <c r="H621" s="190"/>
      <c r="I621" s="190"/>
      <c r="J621" s="190"/>
      <c r="K621" s="190"/>
      <c r="L621" s="190"/>
      <c r="M621" s="190"/>
      <c r="N621" s="190"/>
      <c r="O621" s="190"/>
      <c r="P621" s="190"/>
      <c r="Q621" s="190"/>
      <c r="R621" s="190"/>
      <c r="S621" s="190" t="s">
        <v>1634</v>
      </c>
      <c r="T621" s="43">
        <f t="shared" si="8"/>
        <v>1</v>
      </c>
      <c r="U621" s="167">
        <f t="shared" si="9"/>
        <v>0</v>
      </c>
      <c r="V621" s="43"/>
      <c r="W621" s="43"/>
      <c r="X621" s="43"/>
    </row>
    <row r="622" spans="1:24" ht="14.25" customHeight="1">
      <c r="A622" s="190"/>
      <c r="B622" s="225"/>
      <c r="C622" s="190"/>
      <c r="D622" s="190"/>
      <c r="E622" s="232"/>
      <c r="F622" s="185"/>
      <c r="G622" s="185"/>
      <c r="H622" s="190"/>
      <c r="I622" s="190"/>
      <c r="J622" s="190"/>
      <c r="K622" s="190"/>
      <c r="L622" s="190"/>
      <c r="M622" s="190"/>
      <c r="N622" s="190"/>
      <c r="O622" s="190"/>
      <c r="P622" s="190"/>
      <c r="Q622" s="190"/>
      <c r="R622" s="190"/>
      <c r="S622" s="190" t="s">
        <v>323</v>
      </c>
      <c r="T622" s="43">
        <f t="shared" si="8"/>
        <v>1</v>
      </c>
      <c r="U622" s="167">
        <f t="shared" si="9"/>
        <v>0</v>
      </c>
      <c r="V622" s="43"/>
      <c r="W622" s="43"/>
      <c r="X622" s="43"/>
    </row>
    <row r="623" spans="1:24" ht="14.25" customHeight="1">
      <c r="A623" s="190"/>
      <c r="B623" s="225"/>
      <c r="C623" s="190"/>
      <c r="D623" s="190"/>
      <c r="E623" s="232"/>
      <c r="F623" s="185"/>
      <c r="G623" s="185"/>
      <c r="H623" s="190"/>
      <c r="I623" s="190"/>
      <c r="J623" s="190"/>
      <c r="K623" s="190"/>
      <c r="L623" s="190"/>
      <c r="M623" s="190"/>
      <c r="N623" s="190"/>
      <c r="O623" s="190"/>
      <c r="P623" s="190"/>
      <c r="Q623" s="190"/>
      <c r="R623" s="190"/>
      <c r="S623" s="190" t="s">
        <v>449</v>
      </c>
      <c r="T623" s="43">
        <f t="shared" si="8"/>
        <v>1</v>
      </c>
      <c r="U623" s="167">
        <f t="shared" si="9"/>
        <v>0</v>
      </c>
      <c r="V623" s="43"/>
      <c r="W623" s="43"/>
      <c r="X623" s="43"/>
    </row>
    <row r="624" spans="1:24" ht="14.25" customHeight="1">
      <c r="A624" s="190"/>
      <c r="B624" s="225"/>
      <c r="C624" s="190"/>
      <c r="D624" s="190"/>
      <c r="E624" s="232"/>
      <c r="F624" s="185"/>
      <c r="G624" s="185"/>
      <c r="H624" s="190"/>
      <c r="I624" s="190"/>
      <c r="J624" s="190"/>
      <c r="K624" s="190"/>
      <c r="L624" s="190"/>
      <c r="M624" s="190"/>
      <c r="N624" s="190"/>
      <c r="O624" s="190"/>
      <c r="P624" s="190"/>
      <c r="Q624" s="190"/>
      <c r="R624" s="190"/>
      <c r="S624" s="190" t="s">
        <v>453</v>
      </c>
      <c r="T624" s="43">
        <f t="shared" si="8"/>
        <v>1</v>
      </c>
      <c r="U624" s="167">
        <f t="shared" si="9"/>
        <v>0</v>
      </c>
      <c r="V624" s="43"/>
      <c r="W624" s="43"/>
      <c r="X624" s="43"/>
    </row>
    <row r="625" spans="1:24" ht="14.25" customHeight="1">
      <c r="A625" s="190"/>
      <c r="B625" s="225"/>
      <c r="C625" s="190"/>
      <c r="D625" s="190"/>
      <c r="E625" s="232"/>
      <c r="F625" s="185"/>
      <c r="G625" s="185"/>
      <c r="H625" s="190"/>
      <c r="I625" s="190"/>
      <c r="J625" s="190"/>
      <c r="K625" s="190"/>
      <c r="L625" s="190"/>
      <c r="M625" s="190"/>
      <c r="N625" s="190"/>
      <c r="O625" s="190"/>
      <c r="P625" s="190"/>
      <c r="Q625" s="190"/>
      <c r="R625" s="190"/>
      <c r="S625" s="190" t="s">
        <v>465</v>
      </c>
      <c r="T625" s="43">
        <f t="shared" si="8"/>
        <v>1</v>
      </c>
      <c r="U625" s="167">
        <f t="shared" si="9"/>
        <v>0</v>
      </c>
      <c r="V625" s="43"/>
      <c r="W625" s="43"/>
      <c r="X625" s="43"/>
    </row>
    <row r="626" spans="1:24" ht="14.25" customHeight="1">
      <c r="A626" s="190"/>
      <c r="B626" s="225"/>
      <c r="C626" s="190"/>
      <c r="D626" s="190"/>
      <c r="E626" s="232"/>
      <c r="F626" s="185"/>
      <c r="G626" s="185"/>
      <c r="H626" s="190"/>
      <c r="I626" s="190"/>
      <c r="J626" s="190"/>
      <c r="K626" s="190"/>
      <c r="L626" s="190"/>
      <c r="M626" s="190"/>
      <c r="N626" s="190"/>
      <c r="O626" s="190"/>
      <c r="P626" s="190"/>
      <c r="Q626" s="190"/>
      <c r="R626" s="190"/>
      <c r="S626" s="190" t="s">
        <v>471</v>
      </c>
      <c r="T626" s="43">
        <f t="shared" si="8"/>
        <v>1</v>
      </c>
      <c r="U626" s="167">
        <f t="shared" si="9"/>
        <v>0</v>
      </c>
      <c r="V626" s="43"/>
      <c r="W626" s="43"/>
      <c r="X626" s="43"/>
    </row>
    <row r="627" spans="1:24" ht="14.25" customHeight="1">
      <c r="A627" s="190"/>
      <c r="B627" s="225"/>
      <c r="C627" s="190"/>
      <c r="D627" s="190"/>
      <c r="E627" s="232"/>
      <c r="F627" s="185"/>
      <c r="G627" s="185"/>
      <c r="H627" s="190"/>
      <c r="I627" s="190"/>
      <c r="J627" s="190"/>
      <c r="K627" s="190"/>
      <c r="L627" s="190"/>
      <c r="M627" s="190"/>
      <c r="N627" s="190"/>
      <c r="O627" s="190"/>
      <c r="P627" s="190"/>
      <c r="Q627" s="190"/>
      <c r="R627" s="190"/>
      <c r="S627" s="190" t="s">
        <v>1325</v>
      </c>
      <c r="T627" s="43">
        <f t="shared" si="8"/>
        <v>1</v>
      </c>
      <c r="U627" s="167">
        <f t="shared" si="9"/>
        <v>0</v>
      </c>
      <c r="V627" s="43"/>
      <c r="W627" s="43"/>
      <c r="X627" s="43"/>
    </row>
    <row r="628" spans="1:24" ht="14.25" customHeight="1">
      <c r="A628" s="190"/>
      <c r="B628" s="225"/>
      <c r="C628" s="190"/>
      <c r="D628" s="190"/>
      <c r="E628" s="232"/>
      <c r="F628" s="185"/>
      <c r="G628" s="185"/>
      <c r="H628" s="190"/>
      <c r="I628" s="190"/>
      <c r="J628" s="190"/>
      <c r="K628" s="190"/>
      <c r="L628" s="190"/>
      <c r="M628" s="190"/>
      <c r="N628" s="190"/>
      <c r="O628" s="190"/>
      <c r="P628" s="190"/>
      <c r="Q628" s="190"/>
      <c r="R628" s="190"/>
      <c r="S628" s="190" t="s">
        <v>361</v>
      </c>
      <c r="T628" s="43">
        <f t="shared" si="8"/>
        <v>1</v>
      </c>
      <c r="U628" s="167">
        <f t="shared" si="9"/>
        <v>0</v>
      </c>
      <c r="V628" s="43"/>
      <c r="W628" s="43"/>
      <c r="X628" s="43"/>
    </row>
    <row r="629" spans="1:24" ht="14.25" customHeight="1">
      <c r="A629" s="190"/>
      <c r="B629" s="225"/>
      <c r="C629" s="190"/>
      <c r="D629" s="190"/>
      <c r="E629" s="232"/>
      <c r="F629" s="185"/>
      <c r="G629" s="185"/>
      <c r="H629" s="190"/>
      <c r="I629" s="190"/>
      <c r="J629" s="190"/>
      <c r="K629" s="190"/>
      <c r="L629" s="190"/>
      <c r="M629" s="190"/>
      <c r="N629" s="190"/>
      <c r="O629" s="190"/>
      <c r="P629" s="190"/>
      <c r="Q629" s="190"/>
      <c r="R629" s="190"/>
      <c r="S629" s="190"/>
      <c r="T629" s="43">
        <f t="shared" si="8"/>
        <v>1</v>
      </c>
      <c r="U629" s="167">
        <f t="shared" si="9"/>
        <v>0</v>
      </c>
      <c r="V629" s="43"/>
      <c r="W629" s="43"/>
      <c r="X629" s="43"/>
    </row>
    <row r="630" spans="1:24" ht="14.25" customHeight="1">
      <c r="A630" s="190"/>
      <c r="B630" s="225"/>
      <c r="C630" s="190"/>
      <c r="D630" s="190"/>
      <c r="E630" s="232"/>
      <c r="F630" s="185"/>
      <c r="G630" s="185"/>
      <c r="H630" s="190"/>
      <c r="I630" s="190"/>
      <c r="J630" s="190"/>
      <c r="K630" s="190"/>
      <c r="L630" s="190"/>
      <c r="M630" s="190"/>
      <c r="N630" s="190"/>
      <c r="O630" s="190"/>
      <c r="P630" s="190"/>
      <c r="Q630" s="190"/>
      <c r="R630" s="190"/>
      <c r="S630" s="190" t="s">
        <v>1016</v>
      </c>
      <c r="T630" s="43">
        <f t="shared" si="8"/>
        <v>1</v>
      </c>
      <c r="U630" s="167">
        <f t="shared" si="9"/>
        <v>0</v>
      </c>
      <c r="V630" s="43"/>
      <c r="W630" s="43"/>
      <c r="X630" s="43"/>
    </row>
    <row r="631" spans="1:24" ht="14.25" customHeight="1">
      <c r="A631" s="190"/>
      <c r="B631" s="225"/>
      <c r="C631" s="190"/>
      <c r="D631" s="190"/>
      <c r="E631" s="232"/>
      <c r="F631" s="185"/>
      <c r="G631" s="185"/>
      <c r="H631" s="190"/>
      <c r="I631" s="190"/>
      <c r="J631" s="190"/>
      <c r="K631" s="190"/>
      <c r="L631" s="190"/>
      <c r="M631" s="190"/>
      <c r="N631" s="190"/>
      <c r="O631" s="190"/>
      <c r="P631" s="190"/>
      <c r="Q631" s="190"/>
      <c r="R631" s="190"/>
      <c r="S631" s="190" t="s">
        <v>982</v>
      </c>
      <c r="T631" s="43">
        <f t="shared" si="8"/>
        <v>1</v>
      </c>
      <c r="U631" s="167">
        <f t="shared" si="9"/>
        <v>0</v>
      </c>
      <c r="V631" s="43"/>
      <c r="W631" s="43"/>
      <c r="X631" s="43"/>
    </row>
    <row r="632" spans="1:24" ht="14.25" customHeight="1">
      <c r="A632" s="190"/>
      <c r="B632" s="225"/>
      <c r="C632" s="190"/>
      <c r="D632" s="190"/>
      <c r="E632" s="232"/>
      <c r="F632" s="185"/>
      <c r="G632" s="185"/>
      <c r="H632" s="190"/>
      <c r="I632" s="190"/>
      <c r="J632" s="190"/>
      <c r="K632" s="190"/>
      <c r="L632" s="190"/>
      <c r="M632" s="190"/>
      <c r="N632" s="190"/>
      <c r="O632" s="190"/>
      <c r="P632" s="190"/>
      <c r="Q632" s="190"/>
      <c r="R632" s="190"/>
      <c r="S632" s="190" t="s">
        <v>1036</v>
      </c>
      <c r="T632" s="43">
        <f t="shared" si="8"/>
        <v>1</v>
      </c>
      <c r="U632" s="167">
        <f t="shared" si="9"/>
        <v>0</v>
      </c>
      <c r="V632" s="43"/>
      <c r="W632" s="43"/>
      <c r="X632" s="43"/>
    </row>
    <row r="633" spans="1:24" ht="14.25" customHeight="1">
      <c r="A633" s="190"/>
      <c r="B633" s="225"/>
      <c r="C633" s="190"/>
      <c r="D633" s="190"/>
      <c r="E633" s="232"/>
      <c r="F633" s="191"/>
      <c r="G633" s="185"/>
      <c r="H633" s="190"/>
      <c r="I633" s="190"/>
      <c r="J633" s="190"/>
      <c r="K633" s="190"/>
      <c r="L633" s="190"/>
      <c r="M633" s="190"/>
      <c r="N633" s="190"/>
      <c r="O633" s="190"/>
      <c r="P633" s="190"/>
      <c r="Q633" s="190"/>
      <c r="R633" s="190"/>
      <c r="S633" s="190"/>
      <c r="T633" s="43">
        <f t="shared" si="8"/>
        <v>1</v>
      </c>
      <c r="U633" s="167">
        <f t="shared" si="9"/>
        <v>0</v>
      </c>
      <c r="V633" s="43"/>
      <c r="W633" s="43"/>
      <c r="X633" s="43"/>
    </row>
    <row r="634" spans="1:24" ht="14.25" customHeight="1">
      <c r="A634" s="190"/>
      <c r="B634" s="225"/>
      <c r="C634" s="190"/>
      <c r="D634" s="190"/>
      <c r="E634" s="232"/>
      <c r="F634" s="185"/>
      <c r="G634" s="185"/>
      <c r="H634" s="190"/>
      <c r="I634" s="190"/>
      <c r="J634" s="190"/>
      <c r="K634" s="190"/>
      <c r="L634" s="190"/>
      <c r="M634" s="190"/>
      <c r="N634" s="190"/>
      <c r="O634" s="190"/>
      <c r="P634" s="190"/>
      <c r="Q634" s="190"/>
      <c r="R634" s="190"/>
      <c r="S634" s="190"/>
      <c r="T634" s="43">
        <f t="shared" si="8"/>
        <v>1</v>
      </c>
      <c r="U634" s="167">
        <f t="shared" si="9"/>
        <v>0</v>
      </c>
      <c r="V634" s="43"/>
      <c r="W634" s="43"/>
      <c r="X634" s="43"/>
    </row>
    <row r="635" spans="1:24" ht="14.25" customHeight="1">
      <c r="A635" s="190"/>
      <c r="B635" s="225"/>
      <c r="C635" s="190"/>
      <c r="D635" s="190"/>
      <c r="E635" s="232"/>
      <c r="F635" s="185"/>
      <c r="G635" s="185"/>
      <c r="H635" s="190"/>
      <c r="I635" s="190"/>
      <c r="J635" s="190"/>
      <c r="K635" s="190"/>
      <c r="L635" s="190"/>
      <c r="M635" s="190"/>
      <c r="N635" s="190"/>
      <c r="O635" s="190"/>
      <c r="P635" s="190"/>
      <c r="Q635" s="190"/>
      <c r="R635" s="190"/>
      <c r="S635" s="190" t="s">
        <v>438</v>
      </c>
      <c r="T635" s="43">
        <f t="shared" si="8"/>
        <v>1</v>
      </c>
      <c r="U635" s="167">
        <f t="shared" si="9"/>
        <v>0</v>
      </c>
      <c r="V635" s="43"/>
      <c r="W635" s="43"/>
      <c r="X635" s="43"/>
    </row>
    <row r="636" spans="1:24" ht="14.25" customHeight="1">
      <c r="A636" s="190"/>
      <c r="B636" s="225"/>
      <c r="C636" s="190"/>
      <c r="D636" s="190"/>
      <c r="E636" s="232"/>
      <c r="F636" s="185"/>
      <c r="G636" s="185"/>
      <c r="H636" s="190"/>
      <c r="I636" s="190"/>
      <c r="J636" s="190"/>
      <c r="K636" s="190"/>
      <c r="L636" s="190"/>
      <c r="M636" s="190"/>
      <c r="N636" s="190"/>
      <c r="O636" s="190"/>
      <c r="P636" s="190"/>
      <c r="Q636" s="190"/>
      <c r="R636" s="190"/>
      <c r="S636" s="190" t="s">
        <v>468</v>
      </c>
      <c r="T636" s="43">
        <f t="shared" si="8"/>
        <v>1</v>
      </c>
      <c r="U636" s="167">
        <f t="shared" si="9"/>
        <v>0</v>
      </c>
      <c r="V636" s="43"/>
      <c r="W636" s="43"/>
      <c r="X636" s="43"/>
    </row>
    <row r="637" spans="1:24" ht="14.25" customHeight="1">
      <c r="A637" s="190"/>
      <c r="B637" s="225"/>
      <c r="C637" s="190"/>
      <c r="D637" s="190"/>
      <c r="E637" s="232"/>
      <c r="F637" s="185"/>
      <c r="G637" s="185"/>
      <c r="H637" s="190"/>
      <c r="I637" s="190"/>
      <c r="J637" s="190"/>
      <c r="K637" s="190"/>
      <c r="L637" s="190"/>
      <c r="M637" s="190"/>
      <c r="N637" s="190"/>
      <c r="O637" s="190"/>
      <c r="P637" s="190"/>
      <c r="Q637" s="190"/>
      <c r="R637" s="190"/>
      <c r="S637" s="190" t="s">
        <v>503</v>
      </c>
      <c r="T637" s="43">
        <f t="shared" si="8"/>
        <v>1</v>
      </c>
      <c r="U637" s="167">
        <f t="shared" si="9"/>
        <v>0</v>
      </c>
      <c r="V637" s="43"/>
      <c r="W637" s="43"/>
      <c r="X637" s="43"/>
    </row>
    <row r="638" spans="1:24" ht="14.25" customHeight="1">
      <c r="A638" s="190"/>
      <c r="B638" s="225"/>
      <c r="C638" s="190"/>
      <c r="D638" s="190"/>
      <c r="E638" s="232"/>
      <c r="F638" s="185"/>
      <c r="G638" s="185"/>
      <c r="H638" s="190"/>
      <c r="I638" s="190"/>
      <c r="J638" s="190"/>
      <c r="K638" s="190"/>
      <c r="L638" s="190"/>
      <c r="M638" s="190"/>
      <c r="N638" s="190"/>
      <c r="O638" s="190"/>
      <c r="P638" s="190"/>
      <c r="Q638" s="190"/>
      <c r="R638" s="190"/>
      <c r="S638" s="190" t="s">
        <v>507</v>
      </c>
      <c r="T638" s="43">
        <f t="shared" si="8"/>
        <v>1</v>
      </c>
      <c r="U638" s="167">
        <f t="shared" si="9"/>
        <v>0</v>
      </c>
      <c r="V638" s="43"/>
      <c r="W638" s="43"/>
      <c r="X638" s="43"/>
    </row>
    <row r="639" spans="1:24" ht="14.25" customHeight="1">
      <c r="A639" s="190"/>
      <c r="B639" s="225"/>
      <c r="C639" s="190"/>
      <c r="D639" s="190"/>
      <c r="E639" s="232"/>
      <c r="F639" s="185"/>
      <c r="G639" s="185"/>
      <c r="H639" s="190"/>
      <c r="I639" s="190"/>
      <c r="J639" s="190"/>
      <c r="K639" s="190"/>
      <c r="L639" s="190"/>
      <c r="M639" s="190"/>
      <c r="N639" s="190"/>
      <c r="O639" s="190"/>
      <c r="P639" s="190"/>
      <c r="Q639" s="190"/>
      <c r="R639" s="190"/>
      <c r="S639" s="190" t="s">
        <v>487</v>
      </c>
      <c r="T639" s="43">
        <f t="shared" si="8"/>
        <v>1</v>
      </c>
      <c r="U639" s="167">
        <f t="shared" si="9"/>
        <v>0</v>
      </c>
      <c r="V639" s="43"/>
      <c r="W639" s="43"/>
      <c r="X639" s="43"/>
    </row>
    <row r="640" spans="1:24" ht="14.25" customHeight="1">
      <c r="A640" s="190"/>
      <c r="B640" s="225"/>
      <c r="C640" s="190"/>
      <c r="D640" s="190"/>
      <c r="E640" s="232"/>
      <c r="F640" s="185"/>
      <c r="G640" s="185"/>
      <c r="H640" s="190"/>
      <c r="I640" s="190"/>
      <c r="J640" s="190"/>
      <c r="K640" s="190"/>
      <c r="L640" s="190"/>
      <c r="M640" s="190"/>
      <c r="N640" s="190"/>
      <c r="O640" s="190"/>
      <c r="P640" s="190"/>
      <c r="Q640" s="190"/>
      <c r="R640" s="190"/>
      <c r="S640" s="190" t="s">
        <v>1306</v>
      </c>
      <c r="T640" s="43">
        <f t="shared" si="8"/>
        <v>1</v>
      </c>
      <c r="U640" s="167">
        <f t="shared" si="9"/>
        <v>0</v>
      </c>
      <c r="V640" s="43"/>
      <c r="W640" s="43"/>
      <c r="X640" s="43"/>
    </row>
    <row r="641" spans="1:24" ht="14.25" customHeight="1">
      <c r="A641" s="190"/>
      <c r="B641" s="225"/>
      <c r="C641" s="190"/>
      <c r="D641" s="190"/>
      <c r="E641" s="232"/>
      <c r="F641" s="185"/>
      <c r="G641" s="185"/>
      <c r="H641" s="190"/>
      <c r="I641" s="190"/>
      <c r="J641" s="190"/>
      <c r="K641" s="190"/>
      <c r="L641" s="190"/>
      <c r="M641" s="190"/>
      <c r="N641" s="190"/>
      <c r="O641" s="190"/>
      <c r="P641" s="190"/>
      <c r="Q641" s="190"/>
      <c r="R641" s="190"/>
      <c r="S641" s="190" t="s">
        <v>1306</v>
      </c>
      <c r="T641" s="43">
        <f t="shared" si="8"/>
        <v>1</v>
      </c>
      <c r="U641" s="167">
        <f t="shared" si="9"/>
        <v>0</v>
      </c>
      <c r="V641" s="43"/>
      <c r="W641" s="43"/>
      <c r="X641" s="43"/>
    </row>
    <row r="642" spans="1:24" ht="14.25" customHeight="1">
      <c r="A642" s="190"/>
      <c r="B642" s="225"/>
      <c r="C642" s="190"/>
      <c r="D642" s="190"/>
      <c r="E642" s="232"/>
      <c r="F642" s="191"/>
      <c r="G642" s="185"/>
      <c r="H642" s="190"/>
      <c r="I642" s="190"/>
      <c r="J642" s="190"/>
      <c r="K642" s="190"/>
      <c r="L642" s="190"/>
      <c r="M642" s="190"/>
      <c r="N642" s="190"/>
      <c r="O642" s="190"/>
      <c r="P642" s="190"/>
      <c r="Q642" s="190"/>
      <c r="R642" s="190"/>
      <c r="S642" s="190"/>
      <c r="T642" s="43">
        <f t="shared" si="8"/>
        <v>1</v>
      </c>
      <c r="U642" s="167">
        <f t="shared" si="9"/>
        <v>0</v>
      </c>
      <c r="V642" s="43"/>
      <c r="W642" s="43"/>
      <c r="X642" s="43"/>
    </row>
  </sheetData>
  <autoFilter ref="A1:W642" xr:uid="{00000000-0009-0000-0000-000026000000}"/>
  <pageMargins left="0" right="0" top="0.75" bottom="0.75" header="0" footer="0"/>
  <pageSetup paperSize="9" orientation="landscape"/>
  <headerFooter>
    <oddFooter>&amp;LFinanÃ§as - Extrato&amp;RPágina &amp;P de</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B304:B327"/>
  <sheetViews>
    <sheetView showGridLines="0" workbookViewId="0"/>
  </sheetViews>
  <sheetFormatPr defaultColWidth="14.42578125" defaultRowHeight="15" customHeight="1"/>
  <sheetData>
    <row r="304" spans="2:2">
      <c r="B304" s="447"/>
    </row>
    <row r="306" spans="2:2">
      <c r="B306" s="447"/>
    </row>
    <row r="327" spans="2:2">
      <c r="B327" s="447"/>
    </row>
  </sheetData>
  <hyperlinks>
    <hyperlink ref="B304" r:id="rId1" display="http://leads2b.com/" xr:uid="{00000000-0004-0000-2700-000000000000}"/>
    <hyperlink ref="B306" r:id="rId2" display="http://make.com/" xr:uid="{00000000-0004-0000-2700-000001000000}"/>
    <hyperlink ref="B327" r:id="rId3" display="http://stract.to/" xr:uid="{00000000-0004-0000-2700-000002000000}"/>
  </hyperlinks>
  <pageMargins left="0.511811024" right="0.511811024" top="0.78740157499999996" bottom="0.78740157499999996"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B2:D19"/>
  <sheetViews>
    <sheetView workbookViewId="0"/>
  </sheetViews>
  <sheetFormatPr defaultColWidth="14.42578125" defaultRowHeight="15" customHeight="1"/>
  <sheetData>
    <row r="2" spans="2:4" ht="15" customHeight="1">
      <c r="B2" s="49"/>
    </row>
    <row r="3" spans="2:4" ht="15" customHeight="1">
      <c r="B3" s="49"/>
    </row>
    <row r="4" spans="2:4" ht="15" customHeight="1">
      <c r="B4" s="49"/>
    </row>
    <row r="9" spans="2:4" ht="15" customHeight="1">
      <c r="B9" s="49" t="s">
        <v>1692</v>
      </c>
      <c r="C9" s="49" t="s">
        <v>2380</v>
      </c>
      <c r="D9" s="49">
        <f>50+50+80+80+50+50</f>
        <v>360</v>
      </c>
    </row>
    <row r="10" spans="2:4" ht="15" customHeight="1">
      <c r="B10" s="49" t="s">
        <v>1537</v>
      </c>
      <c r="C10" s="49" t="s">
        <v>2381</v>
      </c>
      <c r="D10" s="49">
        <f>80+80+80+80</f>
        <v>320</v>
      </c>
    </row>
    <row r="11" spans="2:4" ht="15" customHeight="1">
      <c r="B11" s="49" t="s">
        <v>2382</v>
      </c>
      <c r="C11" s="49" t="s">
        <v>2381</v>
      </c>
      <c r="D11" s="49">
        <f>80+80+50+50</f>
        <v>260</v>
      </c>
    </row>
    <row r="13" spans="2:4" ht="15" customHeight="1">
      <c r="B13" s="49" t="s">
        <v>1692</v>
      </c>
      <c r="C13" s="49" t="s">
        <v>2383</v>
      </c>
      <c r="D13" s="49">
        <f>50+30</f>
        <v>80</v>
      </c>
    </row>
    <row r="14" spans="2:4" ht="15" customHeight="1">
      <c r="B14" s="49" t="s">
        <v>1537</v>
      </c>
      <c r="C14" s="49" t="s">
        <v>2384</v>
      </c>
      <c r="D14" s="49">
        <f>80*5</f>
        <v>400</v>
      </c>
    </row>
    <row r="15" spans="2:4" ht="15" customHeight="1">
      <c r="B15" s="49" t="s">
        <v>2382</v>
      </c>
      <c r="C15" s="49" t="s">
        <v>2384</v>
      </c>
      <c r="D15" s="49">
        <f>50+50+80+80+80</f>
        <v>340</v>
      </c>
    </row>
    <row r="17" spans="2:4" ht="15" customHeight="1">
      <c r="B17" s="49" t="s">
        <v>1692</v>
      </c>
      <c r="C17" s="49" t="s">
        <v>2385</v>
      </c>
      <c r="D17" s="49">
        <f>250</f>
        <v>250</v>
      </c>
    </row>
    <row r="18" spans="2:4" ht="15" customHeight="1">
      <c r="B18" s="49" t="s">
        <v>1537</v>
      </c>
      <c r="C18" s="49" t="s">
        <v>2385</v>
      </c>
      <c r="D18" s="49">
        <f>80*5</f>
        <v>400</v>
      </c>
    </row>
    <row r="19" spans="2:4" ht="15" customHeight="1">
      <c r="B19" s="49" t="s">
        <v>2382</v>
      </c>
      <c r="C19" s="428">
        <v>45614</v>
      </c>
      <c r="D19" s="49">
        <v>50</v>
      </c>
    </row>
  </sheetData>
  <pageMargins left="0.511811024" right="0.511811024" top="0.78740157499999996" bottom="0.78740157499999996"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B5"/>
  <sheetViews>
    <sheetView workbookViewId="0"/>
  </sheetViews>
  <sheetFormatPr defaultColWidth="14.42578125" defaultRowHeight="15" customHeight="1"/>
  <sheetData>
    <row r="5" spans="2:2" ht="15" customHeight="1">
      <c r="B5" s="49">
        <f>103000/14</f>
        <v>7357.1428571428569</v>
      </c>
    </row>
  </sheetData>
  <pageMargins left="0.511811024" right="0.511811024" top="0.78740157499999996" bottom="0.78740157499999996"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sheetPr>
  <dimension ref="B1:N437"/>
  <sheetViews>
    <sheetView showGridLines="0" workbookViewId="0"/>
  </sheetViews>
  <sheetFormatPr defaultColWidth="14.42578125" defaultRowHeight="15" customHeight="1"/>
  <cols>
    <col min="2" max="2" width="47.28515625" customWidth="1"/>
  </cols>
  <sheetData>
    <row r="1" spans="9:14" ht="15" customHeight="1">
      <c r="I1" s="49"/>
      <c r="J1" s="49"/>
      <c r="K1" s="49"/>
      <c r="L1" s="49"/>
      <c r="M1" s="49"/>
      <c r="N1" s="49"/>
    </row>
    <row r="2" spans="9:14" ht="15" customHeight="1">
      <c r="I2" s="49"/>
      <c r="J2" s="49"/>
      <c r="K2" s="49"/>
      <c r="L2" s="49"/>
      <c r="M2" s="49"/>
      <c r="N2" s="49"/>
    </row>
    <row r="3" spans="9:14" ht="15" customHeight="1">
      <c r="I3" s="49"/>
      <c r="J3" s="49"/>
      <c r="K3" s="49"/>
      <c r="L3" s="49"/>
      <c r="M3" s="49"/>
      <c r="N3" s="49"/>
    </row>
    <row r="4" spans="9:14" ht="15" customHeight="1">
      <c r="I4" s="49"/>
      <c r="J4" s="49"/>
      <c r="K4" s="49"/>
      <c r="L4" s="49"/>
      <c r="M4" s="49"/>
      <c r="N4" s="49"/>
    </row>
    <row r="5" spans="9:14" ht="15" customHeight="1">
      <c r="I5" s="49"/>
      <c r="J5" s="49"/>
      <c r="K5" s="49"/>
      <c r="L5" s="49"/>
      <c r="M5" s="49"/>
      <c r="N5" s="49"/>
    </row>
    <row r="6" spans="9:14" ht="15" customHeight="1">
      <c r="I6" s="49"/>
      <c r="J6" s="49"/>
      <c r="K6" s="49"/>
      <c r="L6" s="49"/>
      <c r="M6" s="49"/>
      <c r="N6" s="49"/>
    </row>
    <row r="7" spans="9:14" ht="15" customHeight="1">
      <c r="I7" s="49"/>
      <c r="J7" s="49"/>
      <c r="K7" s="49"/>
      <c r="L7" s="49"/>
      <c r="M7" s="49"/>
      <c r="N7" s="49"/>
    </row>
    <row r="8" spans="9:14" ht="15" customHeight="1">
      <c r="I8" s="49"/>
      <c r="J8" s="49"/>
      <c r="K8" s="49"/>
      <c r="L8" s="49"/>
      <c r="M8" s="49"/>
      <c r="N8" s="49"/>
    </row>
    <row r="9" spans="9:14" ht="15" customHeight="1">
      <c r="I9" s="49"/>
      <c r="J9" s="49"/>
      <c r="K9" s="49"/>
      <c r="L9" s="49"/>
      <c r="M9" s="49"/>
      <c r="N9" s="49"/>
    </row>
    <row r="10" spans="9:14" ht="15" customHeight="1">
      <c r="I10" s="49"/>
      <c r="J10" s="49"/>
      <c r="K10" s="49"/>
      <c r="L10" s="49"/>
      <c r="M10" s="49"/>
      <c r="N10" s="49"/>
    </row>
    <row r="11" spans="9:14" ht="15" customHeight="1">
      <c r="I11" s="49"/>
      <c r="J11" s="49"/>
      <c r="K11" s="49"/>
      <c r="L11" s="49"/>
      <c r="M11" s="49"/>
      <c r="N11" s="49"/>
    </row>
    <row r="12" spans="9:14" ht="15" customHeight="1">
      <c r="I12" s="49"/>
      <c r="J12" s="49"/>
      <c r="K12" s="49"/>
      <c r="L12" s="49"/>
      <c r="M12" s="49"/>
      <c r="N12" s="49"/>
    </row>
    <row r="13" spans="9:14" ht="15" customHeight="1">
      <c r="I13" s="49"/>
      <c r="J13" s="49"/>
      <c r="K13" s="49"/>
      <c r="L13" s="49"/>
      <c r="M13" s="49"/>
      <c r="N13" s="49"/>
    </row>
    <row r="14" spans="9:14" ht="15" customHeight="1">
      <c r="I14" s="49"/>
      <c r="J14" s="49"/>
      <c r="K14" s="49"/>
      <c r="L14" s="49"/>
      <c r="M14" s="49"/>
      <c r="N14" s="49"/>
    </row>
    <row r="15" spans="9:14" ht="15" customHeight="1">
      <c r="I15" s="49"/>
      <c r="J15" s="49"/>
      <c r="K15" s="49"/>
      <c r="L15" s="49"/>
      <c r="M15" s="49"/>
      <c r="N15" s="49"/>
    </row>
    <row r="16" spans="9:14" ht="15" customHeight="1">
      <c r="I16" s="49"/>
      <c r="J16" s="49"/>
      <c r="K16" s="49"/>
      <c r="L16" s="49"/>
      <c r="M16" s="49"/>
      <c r="N16" s="49"/>
    </row>
    <row r="17" spans="9:14" ht="15" customHeight="1">
      <c r="I17" s="49"/>
      <c r="J17" s="49"/>
      <c r="K17" s="49"/>
      <c r="L17" s="49"/>
      <c r="M17" s="49"/>
      <c r="N17" s="49"/>
    </row>
    <row r="18" spans="9:14" ht="15" customHeight="1">
      <c r="I18" s="49"/>
      <c r="J18" s="49"/>
      <c r="K18" s="49"/>
      <c r="L18" s="49"/>
      <c r="M18" s="49"/>
      <c r="N18" s="49"/>
    </row>
    <row r="19" spans="9:14" ht="15" customHeight="1">
      <c r="I19" s="49"/>
      <c r="J19" s="49"/>
      <c r="K19" s="49"/>
      <c r="L19" s="49"/>
      <c r="M19" s="49"/>
      <c r="N19" s="49"/>
    </row>
    <row r="20" spans="9:14" ht="15" customHeight="1">
      <c r="I20" s="49"/>
      <c r="J20" s="49"/>
      <c r="K20" s="49"/>
      <c r="L20" s="49"/>
      <c r="M20" s="49"/>
      <c r="N20" s="49"/>
    </row>
    <row r="21" spans="9:14" ht="15" customHeight="1">
      <c r="I21" s="49"/>
      <c r="J21" s="49"/>
      <c r="K21" s="49"/>
      <c r="L21" s="49"/>
      <c r="M21" s="49"/>
      <c r="N21" s="49"/>
    </row>
    <row r="22" spans="9:14" ht="15" customHeight="1">
      <c r="I22" s="49"/>
      <c r="J22" s="49"/>
      <c r="K22" s="49"/>
      <c r="L22" s="49"/>
      <c r="M22" s="49"/>
      <c r="N22" s="49"/>
    </row>
    <row r="23" spans="9:14" ht="15" customHeight="1">
      <c r="I23" s="49"/>
      <c r="J23" s="49"/>
      <c r="K23" s="49"/>
      <c r="L23" s="49"/>
      <c r="M23" s="49"/>
      <c r="N23" s="49"/>
    </row>
    <row r="24" spans="9:14" ht="15" customHeight="1">
      <c r="I24" s="49"/>
      <c r="J24" s="49"/>
      <c r="K24" s="49"/>
      <c r="L24" s="49"/>
      <c r="M24" s="49"/>
      <c r="N24" s="49"/>
    </row>
    <row r="25" spans="9:14" ht="15" customHeight="1">
      <c r="I25" s="49"/>
      <c r="J25" s="49"/>
      <c r="K25" s="49"/>
      <c r="L25" s="49"/>
      <c r="M25" s="49"/>
      <c r="N25" s="49"/>
    </row>
    <row r="26" spans="9:14" ht="15" customHeight="1">
      <c r="I26" s="49"/>
      <c r="J26" s="49"/>
      <c r="K26" s="49"/>
      <c r="L26" s="49"/>
      <c r="M26" s="49"/>
      <c r="N26" s="49"/>
    </row>
    <row r="27" spans="9:14" ht="15" customHeight="1">
      <c r="I27" s="49"/>
      <c r="J27" s="49"/>
      <c r="K27" s="49"/>
      <c r="L27" s="49"/>
      <c r="M27" s="49"/>
      <c r="N27" s="49"/>
    </row>
    <row r="28" spans="9:14" ht="15" customHeight="1">
      <c r="I28" s="49"/>
      <c r="J28" s="49"/>
      <c r="K28" s="49"/>
      <c r="L28" s="49"/>
      <c r="M28" s="49"/>
      <c r="N28" s="49"/>
    </row>
    <row r="29" spans="9:14" ht="15" customHeight="1">
      <c r="I29" s="49"/>
      <c r="J29" s="49"/>
      <c r="K29" s="49"/>
      <c r="L29" s="49"/>
      <c r="M29" s="49"/>
      <c r="N29" s="49"/>
    </row>
    <row r="30" spans="9:14" ht="15" customHeight="1">
      <c r="I30" s="49"/>
      <c r="J30" s="49"/>
      <c r="K30" s="49"/>
      <c r="L30" s="49"/>
      <c r="M30" s="49"/>
      <c r="N30" s="49"/>
    </row>
    <row r="31" spans="9:14" ht="15" customHeight="1">
      <c r="I31" s="49"/>
      <c r="J31" s="49"/>
      <c r="K31" s="49"/>
      <c r="L31" s="49"/>
      <c r="M31" s="49"/>
      <c r="N31" s="49"/>
    </row>
    <row r="32" spans="9:14" ht="15" customHeight="1">
      <c r="I32" s="49"/>
      <c r="J32" s="49"/>
      <c r="K32" s="49"/>
      <c r="L32" s="49"/>
      <c r="M32" s="49"/>
      <c r="N32" s="49"/>
    </row>
    <row r="33" spans="9:14" ht="15" customHeight="1">
      <c r="I33" s="49"/>
      <c r="J33" s="49"/>
      <c r="K33" s="49"/>
      <c r="L33" s="49"/>
      <c r="M33" s="49"/>
      <c r="N33" s="49"/>
    </row>
    <row r="34" spans="9:14" ht="15" customHeight="1">
      <c r="I34" s="49"/>
      <c r="J34" s="49"/>
      <c r="K34" s="49"/>
      <c r="L34" s="49"/>
      <c r="M34" s="49"/>
      <c r="N34" s="49"/>
    </row>
    <row r="35" spans="9:14" ht="15" customHeight="1">
      <c r="I35" s="49"/>
      <c r="J35" s="49"/>
      <c r="K35" s="49"/>
      <c r="L35" s="49"/>
      <c r="M35" s="49"/>
      <c r="N35" s="49"/>
    </row>
    <row r="36" spans="9:14" ht="15" customHeight="1">
      <c r="I36" s="49"/>
      <c r="J36" s="49"/>
      <c r="K36" s="49"/>
      <c r="L36" s="49"/>
      <c r="M36" s="49"/>
      <c r="N36" s="49"/>
    </row>
    <row r="37" spans="9:14" ht="15" customHeight="1">
      <c r="I37" s="49"/>
      <c r="J37" s="49"/>
      <c r="K37" s="49"/>
      <c r="L37" s="49"/>
      <c r="M37" s="49"/>
      <c r="N37" s="49"/>
    </row>
    <row r="38" spans="9:14">
      <c r="I38" s="49"/>
      <c r="J38" s="49"/>
      <c r="K38" s="49"/>
      <c r="L38" s="49"/>
      <c r="M38" s="49"/>
      <c r="N38" s="49"/>
    </row>
    <row r="39" spans="9:14">
      <c r="I39" s="49"/>
      <c r="J39" s="49"/>
      <c r="K39" s="49"/>
      <c r="L39" s="49"/>
      <c r="M39" s="49"/>
      <c r="N39" s="49"/>
    </row>
    <row r="40" spans="9:14">
      <c r="I40" s="49"/>
      <c r="J40" s="49"/>
      <c r="K40" s="49"/>
      <c r="L40" s="49"/>
      <c r="M40" s="49"/>
      <c r="N40" s="49"/>
    </row>
    <row r="41" spans="9:14">
      <c r="I41" s="49"/>
      <c r="J41" s="49"/>
      <c r="K41" s="49"/>
      <c r="L41" s="49"/>
      <c r="M41" s="49"/>
      <c r="N41" s="49"/>
    </row>
    <row r="42" spans="9:14">
      <c r="I42" s="49"/>
      <c r="J42" s="49"/>
      <c r="K42" s="49"/>
      <c r="L42" s="49"/>
      <c r="M42" s="49"/>
      <c r="N42" s="49"/>
    </row>
    <row r="43" spans="9:14">
      <c r="I43" s="49"/>
      <c r="J43" s="49"/>
      <c r="K43" s="49"/>
      <c r="L43" s="49"/>
      <c r="M43" s="49"/>
      <c r="N43" s="49"/>
    </row>
    <row r="44" spans="9:14">
      <c r="I44" s="49"/>
      <c r="J44" s="49"/>
      <c r="K44" s="49"/>
      <c r="L44" s="49"/>
      <c r="M44" s="49"/>
      <c r="N44" s="49"/>
    </row>
    <row r="45" spans="9:14">
      <c r="I45" s="49"/>
      <c r="J45" s="49"/>
      <c r="K45" s="49"/>
      <c r="L45" s="49"/>
      <c r="M45" s="49"/>
      <c r="N45" s="49"/>
    </row>
    <row r="46" spans="9:14">
      <c r="I46" s="49"/>
      <c r="J46" s="49"/>
      <c r="K46" s="49"/>
      <c r="L46" s="49"/>
      <c r="M46" s="49"/>
      <c r="N46" s="49"/>
    </row>
    <row r="47" spans="9:14">
      <c r="I47" s="49"/>
      <c r="J47" s="49"/>
      <c r="K47" s="49"/>
      <c r="L47" s="49"/>
      <c r="M47" s="49"/>
      <c r="N47" s="49"/>
    </row>
    <row r="48" spans="9:14">
      <c r="I48" s="49"/>
      <c r="J48" s="49"/>
      <c r="K48" s="49"/>
      <c r="L48" s="49"/>
      <c r="M48" s="49"/>
      <c r="N48" s="49"/>
    </row>
    <row r="49" spans="9:14">
      <c r="I49" s="49"/>
      <c r="J49" s="49"/>
      <c r="K49" s="49"/>
      <c r="L49" s="49"/>
      <c r="M49" s="49"/>
      <c r="N49" s="49"/>
    </row>
    <row r="50" spans="9:14">
      <c r="I50" s="49"/>
      <c r="J50" s="49"/>
      <c r="K50" s="49"/>
      <c r="L50" s="49"/>
      <c r="M50" s="49"/>
      <c r="N50" s="49"/>
    </row>
    <row r="51" spans="9:14">
      <c r="I51" s="49"/>
      <c r="J51" s="49"/>
      <c r="K51" s="49"/>
      <c r="L51" s="49"/>
      <c r="M51" s="49"/>
      <c r="N51" s="49"/>
    </row>
    <row r="52" spans="9:14">
      <c r="I52" s="49"/>
      <c r="J52" s="49"/>
      <c r="K52" s="49"/>
      <c r="L52" s="49"/>
      <c r="M52" s="49"/>
      <c r="N52" s="49"/>
    </row>
    <row r="53" spans="9:14">
      <c r="I53" s="49"/>
      <c r="J53" s="49"/>
      <c r="K53" s="49"/>
      <c r="L53" s="49"/>
      <c r="M53" s="49"/>
      <c r="N53" s="49"/>
    </row>
    <row r="54" spans="9:14">
      <c r="I54" s="49"/>
      <c r="J54" s="49"/>
      <c r="K54" s="49"/>
      <c r="L54" s="49"/>
      <c r="M54" s="49"/>
      <c r="N54" s="49"/>
    </row>
    <row r="55" spans="9:14">
      <c r="I55" s="49"/>
      <c r="J55" s="49"/>
      <c r="K55" s="49"/>
      <c r="L55" s="49"/>
      <c r="M55" s="49"/>
      <c r="N55" s="49"/>
    </row>
    <row r="56" spans="9:14">
      <c r="I56" s="49"/>
      <c r="J56" s="49"/>
      <c r="K56" s="49"/>
      <c r="L56" s="49"/>
      <c r="M56" s="49"/>
      <c r="N56" s="49"/>
    </row>
    <row r="57" spans="9:14">
      <c r="I57" s="49"/>
      <c r="J57" s="49"/>
      <c r="K57" s="49"/>
      <c r="L57" s="49"/>
      <c r="M57" s="49"/>
      <c r="N57" s="49"/>
    </row>
    <row r="58" spans="9:14">
      <c r="I58" s="49"/>
      <c r="J58" s="49"/>
      <c r="K58" s="49"/>
      <c r="L58" s="49"/>
      <c r="M58" s="49"/>
      <c r="N58" s="49"/>
    </row>
    <row r="59" spans="9:14">
      <c r="I59" s="49"/>
      <c r="J59" s="49"/>
      <c r="K59" s="49"/>
      <c r="L59" s="49"/>
      <c r="M59" s="49"/>
      <c r="N59" s="49"/>
    </row>
    <row r="60" spans="9:14">
      <c r="I60" s="49"/>
      <c r="J60" s="49"/>
      <c r="K60" s="49"/>
      <c r="L60" s="49"/>
      <c r="M60" s="49"/>
      <c r="N60" s="49"/>
    </row>
    <row r="61" spans="9:14">
      <c r="I61" s="49"/>
      <c r="J61" s="49"/>
      <c r="K61" s="49"/>
      <c r="L61" s="49"/>
      <c r="M61" s="49"/>
      <c r="N61" s="49"/>
    </row>
    <row r="62" spans="9:14">
      <c r="I62" s="49"/>
      <c r="J62" s="49"/>
      <c r="K62" s="49"/>
      <c r="L62" s="49"/>
      <c r="M62" s="49"/>
      <c r="N62" s="49"/>
    </row>
    <row r="63" spans="9:14">
      <c r="I63" s="49"/>
      <c r="J63" s="49"/>
      <c r="K63" s="49"/>
      <c r="L63" s="49"/>
      <c r="M63" s="49"/>
      <c r="N63" s="49"/>
    </row>
    <row r="64" spans="9:14">
      <c r="I64" s="49"/>
      <c r="J64" s="49"/>
      <c r="K64" s="49"/>
      <c r="L64" s="49"/>
      <c r="M64" s="49"/>
      <c r="N64" s="49"/>
    </row>
    <row r="65" spans="8:14">
      <c r="I65" s="49"/>
      <c r="J65" s="49"/>
      <c r="K65" s="49"/>
      <c r="L65" s="49"/>
      <c r="M65" s="49"/>
      <c r="N65" s="49"/>
    </row>
    <row r="66" spans="8:14">
      <c r="I66" s="49"/>
      <c r="J66" s="49"/>
      <c r="K66" s="49"/>
      <c r="L66" s="49"/>
      <c r="M66" s="49"/>
      <c r="N66" s="49"/>
    </row>
    <row r="67" spans="8:14">
      <c r="I67" s="49"/>
      <c r="J67" s="49"/>
      <c r="K67" s="49"/>
      <c r="L67" s="49"/>
      <c r="M67" s="49"/>
      <c r="N67" s="49"/>
    </row>
    <row r="68" spans="8:14">
      <c r="I68" s="49"/>
      <c r="J68" s="49"/>
      <c r="K68" s="49"/>
      <c r="L68" s="49"/>
      <c r="M68" s="49"/>
      <c r="N68" s="49"/>
    </row>
    <row r="77" spans="8:14">
      <c r="H77" s="49" t="s">
        <v>2386</v>
      </c>
    </row>
    <row r="78" spans="8:14">
      <c r="H78" s="49" t="s">
        <v>2387</v>
      </c>
    </row>
    <row r="79" spans="8:14">
      <c r="H79" s="49" t="s">
        <v>2388</v>
      </c>
    </row>
    <row r="103" spans="8:8">
      <c r="H103" s="49" t="s">
        <v>2389</v>
      </c>
    </row>
    <row r="142" spans="8:8">
      <c r="H142" s="49" t="s">
        <v>2390</v>
      </c>
    </row>
    <row r="153" spans="8:8">
      <c r="H153" s="49" t="s">
        <v>2391</v>
      </c>
    </row>
    <row r="157" spans="8:8">
      <c r="H157" s="49" t="s">
        <v>2390</v>
      </c>
    </row>
    <row r="371" spans="2:2">
      <c r="B371" s="447"/>
    </row>
    <row r="437" spans="2:2">
      <c r="B437" s="447"/>
    </row>
  </sheetData>
  <hyperlinks>
    <hyperlink ref="B371" r:id="rId1" display="http://make.com/" xr:uid="{00000000-0004-0000-2A00-000000000000}"/>
    <hyperlink ref="B437" r:id="rId2" display="http://make.com/" xr:uid="{00000000-0004-0000-2A00-000001000000}"/>
  </hyperlinks>
  <pageMargins left="0.511811024" right="0.511811024" top="0.78740157499999996" bottom="0.78740157499999996"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ummaryRight="0"/>
  </sheetPr>
  <dimension ref="A1:E6"/>
  <sheetViews>
    <sheetView workbookViewId="0"/>
  </sheetViews>
  <sheetFormatPr defaultColWidth="14.42578125" defaultRowHeight="15" customHeight="1"/>
  <cols>
    <col min="1" max="1" width="18.140625" customWidth="1"/>
    <col min="2" max="2" width="58.7109375" customWidth="1"/>
    <col min="3" max="3" width="24.7109375" hidden="1" customWidth="1"/>
    <col min="4" max="4" width="27.5703125" customWidth="1"/>
    <col min="5" max="5" width="28.42578125" customWidth="1"/>
  </cols>
  <sheetData>
    <row r="1" spans="1:5" ht="15" customHeight="1">
      <c r="C1" s="12" t="s">
        <v>2392</v>
      </c>
      <c r="D1" s="12" t="s">
        <v>2393</v>
      </c>
      <c r="E1" s="12" t="s">
        <v>2394</v>
      </c>
    </row>
    <row r="2" spans="1:5" ht="15" customHeight="1">
      <c r="A2" s="307" t="s">
        <v>2395</v>
      </c>
      <c r="B2" s="49" t="s">
        <v>2396</v>
      </c>
      <c r="C2" s="142">
        <v>0</v>
      </c>
      <c r="D2" s="142">
        <f>72728.6+5000+90</f>
        <v>77818.600000000006</v>
      </c>
      <c r="E2" s="142">
        <v>61835.43</v>
      </c>
    </row>
    <row r="3" spans="1:5" ht="15" customHeight="1">
      <c r="A3" s="257" t="s">
        <v>2397</v>
      </c>
      <c r="B3" s="49" t="s">
        <v>2398</v>
      </c>
      <c r="C3" s="142">
        <v>0</v>
      </c>
      <c r="D3" s="142">
        <f>57678.6+5000+90</f>
        <v>62768.6</v>
      </c>
      <c r="E3" s="142">
        <v>61835.43</v>
      </c>
    </row>
    <row r="4" spans="1:5" ht="15" customHeight="1">
      <c r="A4" s="313" t="s">
        <v>2399</v>
      </c>
      <c r="B4" s="49" t="s">
        <v>2400</v>
      </c>
      <c r="C4" s="142">
        <v>0</v>
      </c>
      <c r="D4" s="142">
        <f>28359.68+5000+90</f>
        <v>33449.68</v>
      </c>
      <c r="E4" s="142">
        <v>61835.43</v>
      </c>
    </row>
    <row r="5" spans="1:5" ht="15" customHeight="1">
      <c r="A5" s="270" t="s">
        <v>2401</v>
      </c>
      <c r="B5" s="49" t="s">
        <v>2402</v>
      </c>
      <c r="C5" s="142">
        <v>0</v>
      </c>
      <c r="D5" s="142">
        <f>35041.1+5000+90</f>
        <v>40131.1</v>
      </c>
      <c r="E5" s="142">
        <v>61835.43</v>
      </c>
    </row>
    <row r="6" spans="1:5" ht="15" customHeight="1">
      <c r="E6" s="142"/>
    </row>
  </sheetData>
  <pageMargins left="0.511811024" right="0.511811024" top="0.78740157499999996" bottom="0.78740157499999996"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outlinePr summaryBelow="0" summaryRight="0"/>
  </sheetPr>
  <dimension ref="A1:AS1000"/>
  <sheetViews>
    <sheetView showGridLines="0" tabSelected="1" workbookViewId="0">
      <selection activeCell="G25" sqref="G25"/>
    </sheetView>
  </sheetViews>
  <sheetFormatPr defaultColWidth="14.42578125" defaultRowHeight="15" customHeight="1"/>
  <cols>
    <col min="1" max="1" width="2.85546875" customWidth="1"/>
    <col min="2" max="2" width="20" bestFit="1" customWidth="1"/>
    <col min="3" max="3" width="13.5703125" bestFit="1" customWidth="1"/>
    <col min="4" max="4" width="12.28515625" bestFit="1" customWidth="1"/>
    <col min="5" max="5" width="23.7109375" customWidth="1"/>
    <col min="6" max="6" width="11" bestFit="1" customWidth="1"/>
    <col min="7" max="7" width="12" bestFit="1" customWidth="1"/>
    <col min="8" max="8" width="13.85546875" bestFit="1" customWidth="1"/>
    <col min="9" max="9" width="12" bestFit="1" customWidth="1"/>
    <col min="10" max="10" width="13.85546875" bestFit="1" customWidth="1"/>
    <col min="11" max="11" width="12" bestFit="1" customWidth="1"/>
    <col min="12" max="12" width="12.140625" bestFit="1" customWidth="1"/>
    <col min="13" max="15" width="12" bestFit="1" customWidth="1"/>
    <col min="16" max="22" width="13.140625" bestFit="1" customWidth="1"/>
    <col min="23" max="23" width="14.28515625" bestFit="1" customWidth="1"/>
    <col min="24" max="24" width="13.140625" bestFit="1" customWidth="1"/>
    <col min="25" max="25" width="14.28515625" bestFit="1" customWidth="1"/>
    <col min="26" max="44" width="13.140625" bestFit="1" customWidth="1"/>
  </cols>
  <sheetData>
    <row r="1" spans="1:45" ht="39" customHeight="1">
      <c r="A1" s="489"/>
      <c r="B1" s="676" t="s">
        <v>2454</v>
      </c>
      <c r="C1" s="676"/>
      <c r="D1" s="676"/>
      <c r="E1" s="676"/>
      <c r="F1" s="676"/>
      <c r="G1" s="512"/>
      <c r="H1" s="489"/>
      <c r="K1" s="489"/>
      <c r="L1" s="489"/>
      <c r="M1" s="489"/>
      <c r="N1" s="489"/>
      <c r="O1" s="489"/>
      <c r="P1" s="489"/>
      <c r="Q1" s="489"/>
      <c r="R1" s="489"/>
      <c r="S1" s="489"/>
      <c r="T1" s="489"/>
      <c r="U1" s="489"/>
      <c r="V1" s="534"/>
      <c r="W1" s="535"/>
      <c r="X1" s="536"/>
      <c r="Y1" s="537"/>
      <c r="Z1" s="465"/>
      <c r="AA1" s="465"/>
      <c r="AB1" s="465"/>
      <c r="AC1" s="465"/>
      <c r="AD1" s="465"/>
      <c r="AE1" s="465"/>
      <c r="AF1" s="465"/>
      <c r="AG1" s="465"/>
      <c r="AH1" s="465"/>
      <c r="AI1" s="465"/>
      <c r="AJ1" s="465"/>
      <c r="AK1" s="465"/>
      <c r="AL1" s="465"/>
      <c r="AM1" s="465"/>
      <c r="AN1" s="465"/>
      <c r="AO1" s="465"/>
      <c r="AP1" s="465"/>
      <c r="AQ1" s="465"/>
      <c r="AR1" s="465"/>
      <c r="AS1" s="465"/>
    </row>
    <row r="2" spans="1:45" ht="15.75" thickBot="1">
      <c r="A2" s="489"/>
      <c r="B2" s="676"/>
      <c r="C2" s="676"/>
      <c r="D2" s="676"/>
      <c r="E2" s="676"/>
      <c r="F2" s="676"/>
      <c r="G2" s="489"/>
      <c r="H2" s="489"/>
      <c r="K2" s="489"/>
      <c r="L2" s="489"/>
      <c r="M2" s="489"/>
      <c r="N2" s="489"/>
      <c r="O2" s="489"/>
      <c r="P2" s="489"/>
      <c r="Q2" s="489"/>
      <c r="R2" s="489"/>
      <c r="S2" s="489"/>
      <c r="T2" s="489"/>
      <c r="U2" s="489"/>
      <c r="V2" s="534"/>
      <c r="W2" s="465"/>
      <c r="X2" s="465"/>
      <c r="Y2" s="465"/>
      <c r="Z2" s="465"/>
      <c r="AA2" s="465"/>
      <c r="AB2" s="465"/>
      <c r="AC2" s="465"/>
      <c r="AD2" s="465"/>
      <c r="AE2" s="465"/>
      <c r="AF2" s="465"/>
      <c r="AG2" s="465"/>
      <c r="AH2" s="465"/>
      <c r="AI2" s="465"/>
      <c r="AJ2" s="465"/>
      <c r="AK2" s="465"/>
      <c r="AL2" s="465"/>
      <c r="AM2" s="465"/>
      <c r="AN2" s="465"/>
      <c r="AO2" s="465"/>
      <c r="AP2" s="465"/>
      <c r="AQ2" s="465"/>
      <c r="AR2" s="465"/>
      <c r="AS2" s="465"/>
    </row>
    <row r="3" spans="1:45" ht="24.75" thickTop="1" thickBot="1">
      <c r="A3" s="489"/>
      <c r="B3" s="673" t="s">
        <v>2419</v>
      </c>
      <c r="C3" s="674"/>
      <c r="D3" s="489"/>
      <c r="E3" s="671" t="s">
        <v>2424</v>
      </c>
      <c r="F3" s="672"/>
      <c r="G3" s="493"/>
      <c r="H3" s="489"/>
      <c r="K3" s="489"/>
      <c r="L3" s="489"/>
      <c r="M3" s="489"/>
      <c r="N3" s="489"/>
      <c r="O3" s="489"/>
      <c r="P3" s="489"/>
      <c r="Q3" s="489"/>
      <c r="R3" s="489"/>
      <c r="S3" s="489"/>
      <c r="T3" s="489"/>
      <c r="U3" s="489"/>
      <c r="V3" s="534"/>
      <c r="W3" s="465"/>
      <c r="X3" s="465"/>
      <c r="Y3" s="465"/>
      <c r="Z3" s="465"/>
      <c r="AA3" s="465"/>
      <c r="AB3" s="465"/>
      <c r="AC3" s="465"/>
      <c r="AD3" s="465"/>
      <c r="AE3" s="465"/>
      <c r="AF3" s="465"/>
      <c r="AG3" s="465"/>
      <c r="AH3" s="465"/>
      <c r="AI3" s="465"/>
      <c r="AJ3" s="465"/>
      <c r="AK3" s="465"/>
      <c r="AL3" s="465"/>
      <c r="AM3" s="465"/>
      <c r="AN3" s="465"/>
      <c r="AO3" s="465"/>
      <c r="AP3" s="465"/>
      <c r="AQ3" s="465"/>
      <c r="AR3" s="465"/>
      <c r="AS3" s="465"/>
    </row>
    <row r="4" spans="1:45" ht="15.75" thickBot="1">
      <c r="A4" s="489"/>
      <c r="B4" s="494" t="s">
        <v>2470</v>
      </c>
      <c r="C4" s="513">
        <v>0.4</v>
      </c>
      <c r="D4" s="489"/>
      <c r="E4" s="490" t="s">
        <v>2422</v>
      </c>
      <c r="F4" s="491">
        <v>1999</v>
      </c>
      <c r="G4" s="495"/>
      <c r="H4" s="547" t="s">
        <v>2451</v>
      </c>
      <c r="I4" s="554" t="s">
        <v>2450</v>
      </c>
      <c r="J4" s="547" t="s">
        <v>45</v>
      </c>
      <c r="K4" s="549" t="s">
        <v>90</v>
      </c>
      <c r="L4" s="549" t="s">
        <v>2449</v>
      </c>
      <c r="M4" s="489"/>
      <c r="N4" s="489"/>
      <c r="O4" s="489"/>
      <c r="P4" s="489"/>
      <c r="Q4" s="489"/>
      <c r="R4" s="489"/>
      <c r="S4" s="489"/>
      <c r="T4" s="489"/>
      <c r="U4" s="489"/>
      <c r="V4" s="534"/>
      <c r="W4" s="538"/>
      <c r="X4" s="465"/>
      <c r="Y4" s="538"/>
      <c r="Z4" s="465"/>
      <c r="AA4" s="465"/>
      <c r="AB4" s="465"/>
      <c r="AC4" s="465"/>
      <c r="AD4" s="465"/>
      <c r="AE4" s="465"/>
      <c r="AF4" s="465"/>
      <c r="AG4" s="465"/>
      <c r="AH4" s="465"/>
      <c r="AI4" s="465"/>
      <c r="AJ4" s="465"/>
      <c r="AK4" s="465"/>
      <c r="AL4" s="465"/>
      <c r="AM4" s="465"/>
      <c r="AN4" s="465"/>
      <c r="AO4" s="465"/>
      <c r="AP4" s="465"/>
      <c r="AQ4" s="465"/>
      <c r="AR4" s="465"/>
      <c r="AS4" s="465"/>
    </row>
    <row r="5" spans="1:45" ht="15.75" thickBot="1">
      <c r="A5" s="489"/>
      <c r="B5" s="497">
        <v>1</v>
      </c>
      <c r="C5" s="498">
        <v>0.2</v>
      </c>
      <c r="D5" s="496"/>
      <c r="E5" s="492" t="s">
        <v>56</v>
      </c>
      <c r="F5" s="488">
        <v>2</v>
      </c>
      <c r="G5" s="495"/>
      <c r="H5" s="552">
        <v>1999</v>
      </c>
      <c r="I5" s="555">
        <v>5</v>
      </c>
      <c r="J5" s="553">
        <f>SUM(H5*I5)</f>
        <v>9995</v>
      </c>
      <c r="K5" s="550">
        <f>SUM(J5*C5)</f>
        <v>1999</v>
      </c>
      <c r="L5" s="546">
        <v>2000</v>
      </c>
      <c r="M5" s="489"/>
      <c r="N5" s="489"/>
      <c r="O5" s="489"/>
      <c r="P5" s="489"/>
      <c r="Q5" s="489"/>
      <c r="R5" s="489"/>
      <c r="S5" s="489"/>
      <c r="T5" s="489"/>
      <c r="U5" s="489"/>
      <c r="V5" s="534"/>
      <c r="W5" s="538"/>
      <c r="X5" s="465"/>
      <c r="Y5" s="538"/>
      <c r="Z5" s="465"/>
      <c r="AA5" s="465"/>
      <c r="AB5" s="465"/>
      <c r="AC5" s="465"/>
      <c r="AD5" s="465"/>
      <c r="AE5" s="465"/>
      <c r="AF5" s="465"/>
      <c r="AG5" s="465"/>
      <c r="AH5" s="465"/>
      <c r="AI5" s="465"/>
      <c r="AJ5" s="465"/>
      <c r="AK5" s="465"/>
      <c r="AL5" s="465"/>
      <c r="AM5" s="465"/>
      <c r="AN5" s="465"/>
      <c r="AO5" s="465"/>
      <c r="AP5" s="465"/>
      <c r="AQ5" s="465"/>
      <c r="AR5" s="465"/>
      <c r="AS5" s="465"/>
    </row>
    <row r="6" spans="1:45" ht="15.75" thickBot="1">
      <c r="A6" s="489"/>
      <c r="B6" s="499" t="s">
        <v>2452</v>
      </c>
      <c r="C6" s="498">
        <v>0.1</v>
      </c>
      <c r="D6" s="489"/>
      <c r="E6" s="492" t="s">
        <v>58</v>
      </c>
      <c r="F6" s="488">
        <v>3</v>
      </c>
      <c r="G6" s="496"/>
      <c r="H6" s="489"/>
      <c r="K6" s="489"/>
      <c r="L6" s="489"/>
      <c r="M6" s="489"/>
      <c r="N6" s="489"/>
      <c r="O6" s="489"/>
      <c r="P6" s="489"/>
      <c r="Q6" s="489"/>
      <c r="R6" s="489"/>
      <c r="S6" s="489"/>
      <c r="T6" s="489"/>
      <c r="U6" s="489"/>
      <c r="V6" s="534"/>
      <c r="W6" s="538"/>
      <c r="X6" s="465"/>
      <c r="Y6" s="538"/>
      <c r="Z6" s="465"/>
      <c r="AA6" s="465"/>
      <c r="AB6" s="465"/>
      <c r="AC6" s="465"/>
      <c r="AD6" s="465"/>
      <c r="AE6" s="465"/>
      <c r="AF6" s="465"/>
      <c r="AG6" s="465"/>
      <c r="AH6" s="465"/>
      <c r="AI6" s="465"/>
      <c r="AJ6" s="465"/>
      <c r="AK6" s="465"/>
      <c r="AL6" s="465"/>
      <c r="AM6" s="465"/>
      <c r="AN6" s="465"/>
      <c r="AO6" s="465"/>
      <c r="AP6" s="465"/>
      <c r="AQ6" s="465"/>
      <c r="AR6" s="465"/>
      <c r="AS6" s="465"/>
    </row>
    <row r="7" spans="1:45" ht="15.75" thickBot="1">
      <c r="A7" s="489"/>
      <c r="B7" s="499" t="s">
        <v>2453</v>
      </c>
      <c r="C7" s="498">
        <v>0.05</v>
      </c>
      <c r="D7" s="496"/>
      <c r="E7" s="492" t="s">
        <v>59</v>
      </c>
      <c r="F7" s="488">
        <v>4</v>
      </c>
      <c r="G7" s="493"/>
      <c r="H7" s="489"/>
      <c r="I7" s="489"/>
      <c r="J7" s="489"/>
      <c r="K7" s="489"/>
      <c r="L7" s="489"/>
      <c r="M7" s="489"/>
      <c r="N7" s="489"/>
      <c r="O7" s="489"/>
      <c r="P7" s="489"/>
      <c r="Q7" s="489"/>
      <c r="R7" s="489"/>
      <c r="S7" s="489"/>
      <c r="T7" s="489"/>
      <c r="U7" s="489"/>
      <c r="V7" s="534"/>
      <c r="W7" s="465"/>
      <c r="X7" s="465"/>
      <c r="Y7" s="465"/>
      <c r="Z7" s="465"/>
      <c r="AA7" s="465"/>
      <c r="AB7" s="465"/>
      <c r="AC7" s="465"/>
      <c r="AD7" s="465"/>
      <c r="AE7" s="465"/>
      <c r="AF7" s="465"/>
      <c r="AG7" s="465"/>
      <c r="AH7" s="465"/>
      <c r="AI7" s="465"/>
      <c r="AJ7" s="465"/>
      <c r="AK7" s="465"/>
      <c r="AL7" s="465"/>
      <c r="AM7" s="465"/>
      <c r="AN7" s="465"/>
      <c r="AO7" s="465"/>
      <c r="AP7" s="465"/>
      <c r="AQ7" s="465"/>
      <c r="AR7" s="465"/>
      <c r="AS7" s="465"/>
    </row>
    <row r="8" spans="1:45" ht="15.75" thickBot="1">
      <c r="A8" s="489"/>
      <c r="B8" s="501" t="s">
        <v>2421</v>
      </c>
      <c r="C8" s="510">
        <v>0.02</v>
      </c>
      <c r="D8" s="489"/>
      <c r="E8" s="492" t="s">
        <v>60</v>
      </c>
      <c r="F8" s="488">
        <v>5</v>
      </c>
      <c r="G8" s="502"/>
      <c r="L8" s="489"/>
      <c r="M8" s="489"/>
      <c r="N8" s="489"/>
      <c r="O8" s="489"/>
      <c r="P8" s="489"/>
      <c r="Q8" s="489"/>
      <c r="R8" s="489"/>
      <c r="S8" s="489"/>
      <c r="T8" s="489"/>
      <c r="U8" s="489"/>
      <c r="V8" s="534"/>
      <c r="W8" s="556"/>
      <c r="X8" s="465"/>
      <c r="Y8" s="556"/>
      <c r="Z8" s="465"/>
      <c r="AA8" s="465"/>
      <c r="AB8" s="465"/>
      <c r="AC8" s="465"/>
      <c r="AD8" s="465"/>
      <c r="AE8" s="465"/>
      <c r="AF8" s="465"/>
      <c r="AG8" s="465"/>
      <c r="AH8" s="465"/>
      <c r="AI8" s="465"/>
      <c r="AJ8" s="465"/>
      <c r="AK8" s="465"/>
      <c r="AL8" s="465"/>
      <c r="AM8" s="465"/>
      <c r="AN8" s="465"/>
      <c r="AO8" s="465"/>
      <c r="AP8" s="465"/>
      <c r="AQ8" s="465"/>
      <c r="AR8" s="465"/>
      <c r="AS8" s="465"/>
    </row>
    <row r="9" spans="1:45" ht="15" customHeight="1" thickTop="1">
      <c r="A9" s="489"/>
      <c r="B9" s="489"/>
      <c r="C9" s="493"/>
      <c r="D9" s="489"/>
      <c r="E9" s="500"/>
      <c r="F9" s="493"/>
      <c r="G9" s="496"/>
      <c r="H9" s="489"/>
      <c r="L9" s="489"/>
      <c r="M9" s="489"/>
      <c r="N9" s="489"/>
      <c r="O9" s="489"/>
      <c r="P9" s="489"/>
      <c r="Q9" s="489"/>
      <c r="R9" s="489"/>
      <c r="S9" s="489"/>
      <c r="T9" s="489"/>
      <c r="U9" s="489"/>
      <c r="V9" s="534"/>
      <c r="W9" s="465"/>
      <c r="X9" s="465"/>
      <c r="Y9" s="465"/>
      <c r="Z9" s="465"/>
      <c r="AA9" s="465"/>
      <c r="AB9" s="465"/>
      <c r="AC9" s="465"/>
      <c r="AD9" s="465"/>
      <c r="AE9" s="465"/>
      <c r="AF9" s="465"/>
      <c r="AG9" s="465"/>
      <c r="AH9" s="465"/>
      <c r="AI9" s="465"/>
      <c r="AJ9" s="465"/>
      <c r="AK9" s="465"/>
      <c r="AL9" s="465"/>
      <c r="AM9" s="465"/>
      <c r="AN9" s="465"/>
      <c r="AO9" s="465"/>
      <c r="AP9" s="465"/>
      <c r="AQ9" s="465"/>
      <c r="AR9" s="465"/>
      <c r="AS9" s="465"/>
    </row>
    <row r="10" spans="1:45">
      <c r="A10" s="489"/>
      <c r="B10" s="504" t="s">
        <v>2425</v>
      </c>
      <c r="C10" s="505">
        <v>2000</v>
      </c>
      <c r="D10" s="489"/>
      <c r="E10" s="489"/>
      <c r="F10" s="489"/>
      <c r="G10" s="489"/>
      <c r="H10" s="496"/>
      <c r="M10" s="489"/>
      <c r="N10" s="489"/>
      <c r="O10" s="489"/>
      <c r="P10" s="489"/>
      <c r="Q10" s="489"/>
      <c r="R10" s="489"/>
      <c r="S10" s="489"/>
      <c r="T10" s="489"/>
      <c r="U10" s="489"/>
      <c r="V10" s="534"/>
      <c r="W10" s="557"/>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row>
    <row r="11" spans="1:45">
      <c r="A11" s="489"/>
      <c r="B11" s="489"/>
      <c r="C11" s="489"/>
      <c r="D11" s="489"/>
      <c r="E11" s="489"/>
      <c r="F11" s="489"/>
      <c r="G11" s="489"/>
      <c r="H11" s="496"/>
      <c r="M11" s="489"/>
      <c r="N11" s="489"/>
      <c r="O11" s="489"/>
      <c r="P11" s="489"/>
      <c r="Q11" s="489"/>
      <c r="R11" s="489"/>
      <c r="S11" s="489"/>
      <c r="T11" s="489"/>
      <c r="U11" s="489"/>
      <c r="V11" s="534"/>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row>
    <row r="12" spans="1:45">
      <c r="A12" s="489"/>
      <c r="B12" s="675" t="s">
        <v>2418</v>
      </c>
      <c r="C12" s="675"/>
      <c r="E12" s="468" t="s">
        <v>90</v>
      </c>
      <c r="F12" s="489"/>
      <c r="G12" s="489"/>
      <c r="H12" s="496"/>
      <c r="M12" s="489"/>
      <c r="N12" s="489"/>
      <c r="O12" s="489"/>
      <c r="P12" s="489"/>
      <c r="Q12" s="489"/>
      <c r="R12" s="489"/>
      <c r="S12" s="489"/>
      <c r="T12" s="489"/>
      <c r="U12" s="489"/>
      <c r="V12" s="534"/>
      <c r="W12" s="465"/>
      <c r="X12" s="465"/>
      <c r="Y12" s="465"/>
      <c r="Z12" s="465"/>
      <c r="AA12" s="465"/>
      <c r="AB12" s="465"/>
      <c r="AC12" s="465"/>
      <c r="AD12" s="465"/>
      <c r="AE12" s="465"/>
      <c r="AF12" s="465"/>
      <c r="AG12" s="465"/>
      <c r="AH12" s="465"/>
      <c r="AI12" s="465"/>
      <c r="AJ12" s="465"/>
      <c r="AK12" s="465"/>
      <c r="AL12" s="465"/>
      <c r="AM12" s="465"/>
      <c r="AN12" s="465"/>
      <c r="AO12" s="465"/>
      <c r="AP12" s="465"/>
      <c r="AQ12" s="465"/>
      <c r="AR12" s="465"/>
      <c r="AS12" s="465"/>
    </row>
    <row r="13" spans="1:45">
      <c r="A13" s="489"/>
      <c r="B13" s="508" t="s">
        <v>2420</v>
      </c>
      <c r="C13" s="509">
        <f>SUM(F4*I5)</f>
        <v>9995</v>
      </c>
      <c r="E13" s="511">
        <f>SUM(C13*C5)</f>
        <v>1999</v>
      </c>
      <c r="F13" s="489"/>
      <c r="G13" s="489"/>
      <c r="H13" s="496"/>
      <c r="M13" s="489"/>
      <c r="N13" s="489"/>
      <c r="O13" s="489"/>
      <c r="P13" s="489"/>
      <c r="Q13" s="489"/>
      <c r="R13" s="489"/>
      <c r="S13" s="489"/>
      <c r="T13" s="489"/>
      <c r="U13" s="489"/>
      <c r="V13" s="489"/>
    </row>
    <row r="14" spans="1:45">
      <c r="A14" s="489"/>
      <c r="B14" s="507" t="s">
        <v>2423</v>
      </c>
      <c r="C14" s="503">
        <f>SUM(C13*135%)</f>
        <v>13493.25</v>
      </c>
      <c r="E14" s="511">
        <f>SUM(C14*C4)</f>
        <v>5397.3</v>
      </c>
      <c r="F14" s="489"/>
      <c r="G14" s="489"/>
      <c r="H14" s="493"/>
      <c r="I14" s="489"/>
      <c r="J14" s="489"/>
      <c r="K14" s="489"/>
      <c r="L14" s="489"/>
      <c r="M14" s="489"/>
      <c r="N14" s="489"/>
      <c r="O14" s="489"/>
      <c r="P14" s="489"/>
      <c r="Q14" s="489"/>
      <c r="R14" s="489"/>
      <c r="S14" s="489"/>
      <c r="T14" s="489"/>
      <c r="U14" s="489"/>
      <c r="V14" s="489"/>
    </row>
    <row r="15" spans="1:45">
      <c r="A15" s="489"/>
      <c r="B15" s="489"/>
      <c r="C15" s="489"/>
      <c r="D15" s="489"/>
      <c r="E15" s="489"/>
      <c r="F15" s="489"/>
      <c r="G15" s="489"/>
      <c r="H15" s="489"/>
      <c r="I15" s="489"/>
      <c r="J15" s="489"/>
      <c r="K15" s="489"/>
      <c r="L15" s="489"/>
      <c r="M15" s="489"/>
      <c r="N15" s="489"/>
      <c r="O15" s="489"/>
      <c r="P15" s="489"/>
      <c r="Q15" s="489"/>
      <c r="R15" s="489"/>
      <c r="S15" s="489"/>
      <c r="T15" s="489"/>
      <c r="U15" s="489"/>
      <c r="V15" s="489"/>
    </row>
    <row r="16" spans="1:45">
      <c r="A16" s="489"/>
      <c r="B16" s="489"/>
      <c r="C16" s="489"/>
      <c r="D16" s="489"/>
      <c r="E16" s="489"/>
      <c r="F16" s="489"/>
      <c r="G16" s="489"/>
      <c r="H16" s="489"/>
      <c r="I16" s="489"/>
      <c r="J16" s="489"/>
      <c r="K16" s="489"/>
      <c r="L16" s="489"/>
      <c r="M16" s="489"/>
      <c r="N16" s="489"/>
      <c r="O16" s="489"/>
      <c r="P16" s="489"/>
      <c r="Q16" s="489"/>
      <c r="R16" s="489"/>
      <c r="S16" s="489"/>
      <c r="T16" s="489"/>
      <c r="U16" s="489"/>
      <c r="V16" s="489"/>
    </row>
    <row r="17" spans="1:44" ht="31.5">
      <c r="A17" s="489"/>
      <c r="B17" s="646" t="s">
        <v>29</v>
      </c>
      <c r="C17" s="647"/>
      <c r="D17" s="647"/>
      <c r="E17" s="647"/>
      <c r="F17" s="647"/>
      <c r="G17" s="647"/>
      <c r="H17" s="648"/>
      <c r="I17" s="644" t="s">
        <v>30</v>
      </c>
      <c r="J17" s="635"/>
      <c r="K17" s="635"/>
      <c r="L17" s="635"/>
      <c r="M17" s="635"/>
      <c r="N17" s="635"/>
      <c r="O17" s="635"/>
      <c r="P17" s="635"/>
      <c r="Q17" s="635"/>
      <c r="R17" s="635"/>
      <c r="S17" s="635"/>
      <c r="T17" s="636"/>
      <c r="U17" s="645" t="s">
        <v>31</v>
      </c>
      <c r="V17" s="635"/>
      <c r="W17" s="635"/>
      <c r="X17" s="635"/>
      <c r="Y17" s="635"/>
      <c r="Z17" s="635"/>
      <c r="AA17" s="635"/>
      <c r="AB17" s="635"/>
      <c r="AC17" s="635"/>
      <c r="AD17" s="635"/>
      <c r="AE17" s="635"/>
      <c r="AF17" s="636"/>
      <c r="AG17" s="634" t="s">
        <v>32</v>
      </c>
      <c r="AH17" s="635"/>
      <c r="AI17" s="635"/>
      <c r="AJ17" s="635"/>
      <c r="AK17" s="635"/>
      <c r="AL17" s="635"/>
      <c r="AM17" s="635"/>
      <c r="AN17" s="635"/>
      <c r="AO17" s="635"/>
      <c r="AP17" s="635"/>
      <c r="AQ17" s="635"/>
      <c r="AR17" s="636"/>
    </row>
    <row r="18" spans="1:44">
      <c r="A18" s="489"/>
      <c r="B18" s="43"/>
      <c r="C18" s="43"/>
      <c r="D18" s="459" t="s">
        <v>44</v>
      </c>
      <c r="E18" s="45" t="s">
        <v>33</v>
      </c>
      <c r="F18" s="45" t="s">
        <v>34</v>
      </c>
      <c r="G18" s="45" t="s">
        <v>35</v>
      </c>
      <c r="H18" s="47" t="s">
        <v>36</v>
      </c>
      <c r="I18" s="44" t="s">
        <v>37</v>
      </c>
      <c r="J18" s="45" t="s">
        <v>38</v>
      </c>
      <c r="K18" s="45" t="s">
        <v>39</v>
      </c>
      <c r="L18" s="45" t="s">
        <v>40</v>
      </c>
      <c r="M18" s="45" t="s">
        <v>41</v>
      </c>
      <c r="N18" s="45" t="s">
        <v>42</v>
      </c>
      <c r="O18" s="45" t="s">
        <v>43</v>
      </c>
      <c r="P18" s="45" t="s">
        <v>44</v>
      </c>
      <c r="Q18" s="45" t="s">
        <v>33</v>
      </c>
      <c r="R18" s="45" t="s">
        <v>34</v>
      </c>
      <c r="S18" s="45" t="s">
        <v>35</v>
      </c>
      <c r="T18" s="47" t="s">
        <v>36</v>
      </c>
      <c r="U18" s="44" t="s">
        <v>37</v>
      </c>
      <c r="V18" s="45" t="s">
        <v>38</v>
      </c>
      <c r="W18" s="45" t="s">
        <v>39</v>
      </c>
      <c r="X18" s="45" t="s">
        <v>40</v>
      </c>
      <c r="Y18" s="45" t="s">
        <v>41</v>
      </c>
      <c r="Z18" s="45" t="s">
        <v>42</v>
      </c>
      <c r="AA18" s="45" t="s">
        <v>43</v>
      </c>
      <c r="AB18" s="45" t="s">
        <v>44</v>
      </c>
      <c r="AC18" s="45" t="s">
        <v>33</v>
      </c>
      <c r="AD18" s="45" t="s">
        <v>34</v>
      </c>
      <c r="AE18" s="45" t="s">
        <v>35</v>
      </c>
      <c r="AF18" s="47" t="s">
        <v>36</v>
      </c>
      <c r="AG18" s="44" t="s">
        <v>37</v>
      </c>
      <c r="AH18" s="45" t="s">
        <v>38</v>
      </c>
      <c r="AI18" s="45" t="s">
        <v>39</v>
      </c>
      <c r="AJ18" s="45" t="s">
        <v>40</v>
      </c>
      <c r="AK18" s="45" t="s">
        <v>41</v>
      </c>
      <c r="AL18" s="45" t="s">
        <v>42</v>
      </c>
      <c r="AM18" s="45" t="s">
        <v>43</v>
      </c>
      <c r="AN18" s="45" t="s">
        <v>44</v>
      </c>
      <c r="AO18" s="45" t="s">
        <v>33</v>
      </c>
      <c r="AP18" s="45" t="s">
        <v>34</v>
      </c>
      <c r="AQ18" s="45" t="s">
        <v>35</v>
      </c>
      <c r="AR18" s="47" t="s">
        <v>36</v>
      </c>
    </row>
    <row r="19" spans="1:44" s="484" customFormat="1">
      <c r="A19" s="506"/>
      <c r="B19" s="506"/>
      <c r="C19" s="506"/>
      <c r="D19" s="506"/>
      <c r="E19" s="506"/>
      <c r="F19" s="506"/>
      <c r="G19" s="506"/>
      <c r="H19" s="506"/>
      <c r="I19" s="506"/>
      <c r="J19" s="506"/>
      <c r="K19" s="506"/>
      <c r="L19" s="506"/>
      <c r="M19" s="506"/>
      <c r="N19" s="506"/>
      <c r="O19" s="506"/>
      <c r="P19" s="506"/>
      <c r="Q19" s="506"/>
      <c r="R19" s="506"/>
      <c r="S19" s="506"/>
      <c r="T19" s="506"/>
      <c r="U19" s="506"/>
      <c r="V19" s="506"/>
      <c r="W19" s="506"/>
    </row>
    <row r="20" spans="1:44" s="542" customFormat="1" ht="12.75">
      <c r="A20" s="540"/>
      <c r="B20" s="678" t="s">
        <v>2091</v>
      </c>
      <c r="C20" s="678"/>
      <c r="D20" s="558">
        <f>SUM($K$5:$L$5)</f>
        <v>3999</v>
      </c>
      <c r="E20" s="558">
        <f>SUM($K$5:$L$5)/$I$5*'2.0 - Total Revenue'!I13</f>
        <v>3999</v>
      </c>
      <c r="F20" s="558">
        <f>SUM($K$5:$L$5)/$I$5*'2.0 - Total Revenue'!J13</f>
        <v>5598.5999999999995</v>
      </c>
      <c r="G20" s="558">
        <f>SUM($K$5:$L$5)/$I$5*'2.0 - Total Revenue'!K13</f>
        <v>8797.7999999999993</v>
      </c>
      <c r="H20" s="558">
        <f>SUM($K$5:$L$5)/$I$5*'2.0 - Total Revenue'!L13</f>
        <v>11997</v>
      </c>
      <c r="I20" s="558">
        <f>SUM($K$5:$L$5)/$I$5*'2.0 - Total Revenue'!M13</f>
        <v>15196.199999999999</v>
      </c>
      <c r="J20" s="558">
        <f>SUM($K$5:$L$5)/$I$5*'2.0 - Total Revenue'!N13</f>
        <v>20794.8</v>
      </c>
      <c r="K20" s="558">
        <f>SUM($K$5:$L$5)/$I$5*'2.0 - Total Revenue'!O13</f>
        <v>27193.199999999997</v>
      </c>
      <c r="L20" s="558">
        <f>SUM($K$5:$L$5)/$I$5*'2.0 - Total Revenue'!P13</f>
        <v>34391.4</v>
      </c>
      <c r="M20" s="558">
        <f>SUM($K$5:$L$5)/$I$5*'2.0 - Total Revenue'!Q13</f>
        <v>42389.399999999994</v>
      </c>
      <c r="N20" s="558">
        <f>SUM($K$5:$L$5)/$I$5*'2.0 - Total Revenue'!R13</f>
        <v>51987</v>
      </c>
      <c r="O20" s="558">
        <f>SUM($K$5:$L$5)/$I$5*'2.0 - Total Revenue'!S13</f>
        <v>62384.399999999994</v>
      </c>
      <c r="P20" s="558">
        <f>SUM($K$5:$L$5)/$I$5*'2.0 - Total Revenue'!T13</f>
        <v>73581.599999999991</v>
      </c>
      <c r="Q20" s="558">
        <f>SUM($K$5:$L$5)/$I$5*'2.0 - Total Revenue'!U13</f>
        <v>85578.599999999991</v>
      </c>
      <c r="R20" s="558">
        <f>SUM($K$5:$L$5)/$I$5*'2.0 - Total Revenue'!V13</f>
        <v>97575.599999999991</v>
      </c>
      <c r="S20" s="558">
        <f>SUM($K$5:$L$5)/$I$5*'2.0 - Total Revenue'!W13</f>
        <v>104773.79999999999</v>
      </c>
      <c r="T20" s="558">
        <f>SUM($K$5:$L$5)/$I$5*'2.0 - Total Revenue'!X13</f>
        <v>109572.59999999999</v>
      </c>
      <c r="U20" s="558">
        <f>SUM($K$5:$L$5)/$I$5*'2.0 - Total Revenue'!Y13</f>
        <v>111972</v>
      </c>
      <c r="V20" s="558">
        <f>SUM($K$5:$L$5)/$I$5*'2.0 - Total Revenue'!Z13</f>
        <v>111972</v>
      </c>
      <c r="W20" s="558">
        <f>SUM($K$5:$L$5)/$I$5*'2.0 - Total Revenue'!AA13</f>
        <v>111972</v>
      </c>
      <c r="X20" s="558">
        <f>SUM($K$5:$L$5)/$I$5*'2.0 - Total Revenue'!AB13</f>
        <v>111972</v>
      </c>
      <c r="Y20" s="558">
        <f>SUM($K$5:$L$5)/$I$5*'2.0 - Total Revenue'!AC13</f>
        <v>111972</v>
      </c>
      <c r="Z20" s="558">
        <f>SUM($K$5:$L$5)/$I$5*'2.0 - Total Revenue'!AD13</f>
        <v>111972</v>
      </c>
      <c r="AA20" s="558">
        <f>SUM($K$5:$L$5)/$I$5*'2.0 - Total Revenue'!AE13</f>
        <v>111972</v>
      </c>
      <c r="AB20" s="558">
        <f>SUM($K$5:$L$5)/$I$5*'2.0 - Total Revenue'!AF13</f>
        <v>111972</v>
      </c>
      <c r="AC20" s="558">
        <f>SUM($K$5:$L$5)/$I$5*'2.0 - Total Revenue'!AG13</f>
        <v>111972</v>
      </c>
      <c r="AD20" s="558">
        <f>SUM($K$5:$L$5)/$I$5*'2.0 - Total Revenue'!AH13</f>
        <v>111972</v>
      </c>
      <c r="AE20" s="558">
        <f>SUM($K$5:$L$5)/$I$5*'2.0 - Total Revenue'!AI13</f>
        <v>111972</v>
      </c>
      <c r="AF20" s="558">
        <f>SUM($K$5:$L$5)/$I$5*'2.0 - Total Revenue'!AJ13</f>
        <v>111972</v>
      </c>
      <c r="AG20" s="558">
        <f>SUM($K$5:$L$5)/$I$5*'2.0 - Total Revenue'!AK13</f>
        <v>111972</v>
      </c>
      <c r="AH20" s="558">
        <f>SUM($K$5:$L$5)/$I$5*'2.0 - Total Revenue'!AL13</f>
        <v>111972</v>
      </c>
      <c r="AI20" s="558">
        <f>SUM($K$5:$L$5)/$I$5*'2.0 - Total Revenue'!AM13</f>
        <v>111972</v>
      </c>
      <c r="AJ20" s="558">
        <f>SUM($K$5:$L$5)/$I$5*'2.0 - Total Revenue'!AN13</f>
        <v>111972</v>
      </c>
      <c r="AK20" s="558">
        <f>SUM($K$5:$L$5)/$I$5*'2.0 - Total Revenue'!AO13</f>
        <v>111972</v>
      </c>
      <c r="AL20" s="558">
        <f>SUM($K$5:$L$5)/$I$5*'2.0 - Total Revenue'!AP13</f>
        <v>111972</v>
      </c>
      <c r="AM20" s="558">
        <f>SUM($K$5:$L$5)/$I$5*'2.0 - Total Revenue'!AQ13</f>
        <v>111972</v>
      </c>
      <c r="AN20" s="558">
        <f>SUM($K$5:$L$5)/$I$5*'2.0 - Total Revenue'!AR13</f>
        <v>111972</v>
      </c>
      <c r="AO20" s="558">
        <f>SUM($K$5:$L$5)/$I$5*'2.0 - Total Revenue'!AS13</f>
        <v>111972</v>
      </c>
      <c r="AP20" s="558">
        <f>SUM($K$5:$L$5)/$I$5*'2.0 - Total Revenue'!AT13</f>
        <v>111972</v>
      </c>
      <c r="AQ20" s="558">
        <f>SUM($K$5:$L$5)/$I$5*'2.0 - Total Revenue'!AU13</f>
        <v>111972</v>
      </c>
      <c r="AR20" s="558">
        <f>SUM($K$5:$L$5)/$I$5*'2.0 - Total Revenue'!AV13</f>
        <v>111972</v>
      </c>
    </row>
    <row r="21" spans="1:44">
      <c r="A21" s="489"/>
      <c r="B21" s="489"/>
      <c r="C21" s="489"/>
      <c r="D21" s="489"/>
      <c r="E21" s="489"/>
      <c r="F21" s="489"/>
      <c r="G21" s="489"/>
      <c r="H21" s="489"/>
      <c r="I21" s="489"/>
      <c r="J21" s="489"/>
      <c r="K21" s="489"/>
      <c r="L21" s="489"/>
      <c r="M21" s="489"/>
      <c r="N21" s="489"/>
      <c r="O21" s="489"/>
      <c r="P21" s="489"/>
      <c r="Q21" s="489"/>
      <c r="R21" s="489"/>
      <c r="S21" s="489"/>
      <c r="T21" s="489"/>
      <c r="U21" s="489"/>
      <c r="V21" s="489"/>
    </row>
    <row r="22" spans="1:44" s="560" customFormat="1">
      <c r="A22" s="504"/>
      <c r="B22" s="677" t="s">
        <v>2457</v>
      </c>
      <c r="C22" s="677"/>
      <c r="D22" s="504">
        <v>1</v>
      </c>
      <c r="E22" s="504">
        <f>1/'1.0 - Comercial'!$I$5*'2.0 - Total Revenue'!I13</f>
        <v>1</v>
      </c>
      <c r="F22" s="504">
        <f>1/'1.0 - Comercial'!$I$5*'2.0 - Total Revenue'!J13</f>
        <v>1.4000000000000001</v>
      </c>
      <c r="G22" s="504">
        <f>1/'1.0 - Comercial'!$I$5*'2.0 - Total Revenue'!K13</f>
        <v>2.2000000000000002</v>
      </c>
      <c r="H22" s="504">
        <f>1/'1.0 - Comercial'!$I$5*'2.0 - Total Revenue'!L13</f>
        <v>3</v>
      </c>
      <c r="I22" s="504">
        <f>1/'1.0 - Comercial'!$I$5*'2.0 - Total Revenue'!M13</f>
        <v>3.8000000000000003</v>
      </c>
      <c r="J22" s="504">
        <f>1/'1.0 - Comercial'!$I$5*'2.0 - Total Revenue'!N13</f>
        <v>5.2</v>
      </c>
      <c r="K22" s="504">
        <f>1/'1.0 - Comercial'!$I$5*'2.0 - Total Revenue'!O13</f>
        <v>6.8000000000000007</v>
      </c>
      <c r="L22" s="504">
        <f>1/'1.0 - Comercial'!$I$5*'2.0 - Total Revenue'!P13</f>
        <v>8.6</v>
      </c>
      <c r="M22" s="504">
        <f>1/'1.0 - Comercial'!$I$5*'2.0 - Total Revenue'!Q13</f>
        <v>10.600000000000001</v>
      </c>
      <c r="N22" s="504">
        <f>1/'1.0 - Comercial'!$I$5*'2.0 - Total Revenue'!R13</f>
        <v>13</v>
      </c>
      <c r="O22" s="504">
        <f>1/'1.0 - Comercial'!$I$5*'2.0 - Total Revenue'!S13</f>
        <v>15.600000000000001</v>
      </c>
      <c r="P22" s="504">
        <f>1/'1.0 - Comercial'!$I$5*'2.0 - Total Revenue'!T13</f>
        <v>18.400000000000002</v>
      </c>
      <c r="Q22" s="504">
        <f>1/'1.0 - Comercial'!$I$5*'2.0 - Total Revenue'!U13</f>
        <v>21.400000000000002</v>
      </c>
      <c r="R22" s="504">
        <f>1/'1.0 - Comercial'!$I$5*'2.0 - Total Revenue'!V13</f>
        <v>24.400000000000002</v>
      </c>
      <c r="S22" s="504">
        <f>1/'1.0 - Comercial'!$I$5*'2.0 - Total Revenue'!W13</f>
        <v>26.200000000000003</v>
      </c>
      <c r="T22" s="504">
        <f>1/'1.0 - Comercial'!$I$5*'2.0 - Total Revenue'!X13</f>
        <v>27.400000000000002</v>
      </c>
      <c r="U22" s="504">
        <f>1/'1.0 - Comercial'!$I$5*'2.0 - Total Revenue'!Y13</f>
        <v>28</v>
      </c>
      <c r="V22" s="504">
        <f>1/'1.0 - Comercial'!$I$5*'2.0 - Total Revenue'!Z13</f>
        <v>28</v>
      </c>
      <c r="W22" s="504">
        <f>1/'1.0 - Comercial'!$I$5*'2.0 - Total Revenue'!AA13</f>
        <v>28</v>
      </c>
      <c r="X22" s="504">
        <f>1/'1.0 - Comercial'!$I$5*'2.0 - Total Revenue'!AB13</f>
        <v>28</v>
      </c>
      <c r="Y22" s="504">
        <f>1/'1.0 - Comercial'!$I$5*'2.0 - Total Revenue'!AC13</f>
        <v>28</v>
      </c>
      <c r="Z22" s="504">
        <f>1/'1.0 - Comercial'!$I$5*'2.0 - Total Revenue'!AD13</f>
        <v>28</v>
      </c>
      <c r="AA22" s="504">
        <f>1/'1.0 - Comercial'!$I$5*'2.0 - Total Revenue'!AE13</f>
        <v>28</v>
      </c>
      <c r="AB22" s="504">
        <f>1/'1.0 - Comercial'!$I$5*'2.0 - Total Revenue'!AF13</f>
        <v>28</v>
      </c>
      <c r="AC22" s="504">
        <f>1/'1.0 - Comercial'!$I$5*'2.0 - Total Revenue'!AG13</f>
        <v>28</v>
      </c>
      <c r="AD22" s="504">
        <f>1/'1.0 - Comercial'!$I$5*'2.0 - Total Revenue'!AH13</f>
        <v>28</v>
      </c>
      <c r="AE22" s="504">
        <f>1/'1.0 - Comercial'!$I$5*'2.0 - Total Revenue'!AI13</f>
        <v>28</v>
      </c>
      <c r="AF22" s="504">
        <f>1/'1.0 - Comercial'!$I$5*'2.0 - Total Revenue'!AJ13</f>
        <v>28</v>
      </c>
      <c r="AG22" s="504">
        <f>1/'1.0 - Comercial'!$I$5*'2.0 - Total Revenue'!AK13</f>
        <v>28</v>
      </c>
      <c r="AH22" s="504">
        <f>1/'1.0 - Comercial'!$I$5*'2.0 - Total Revenue'!AL13</f>
        <v>28</v>
      </c>
      <c r="AI22" s="504">
        <f>1/'1.0 - Comercial'!$I$5*'2.0 - Total Revenue'!AM13</f>
        <v>28</v>
      </c>
      <c r="AJ22" s="504">
        <f>1/'1.0 - Comercial'!$I$5*'2.0 - Total Revenue'!AN13</f>
        <v>28</v>
      </c>
      <c r="AK22" s="504">
        <f>1/'1.0 - Comercial'!$I$5*'2.0 - Total Revenue'!AO13</f>
        <v>28</v>
      </c>
      <c r="AL22" s="504">
        <f>1/'1.0 - Comercial'!$I$5*'2.0 - Total Revenue'!AP13</f>
        <v>28</v>
      </c>
      <c r="AM22" s="504">
        <f>1/'1.0 - Comercial'!$I$5*'2.0 - Total Revenue'!AQ13</f>
        <v>28</v>
      </c>
      <c r="AN22" s="504">
        <f>1/'1.0 - Comercial'!$I$5*'2.0 - Total Revenue'!AR13</f>
        <v>28</v>
      </c>
      <c r="AO22" s="504">
        <f>1/'1.0 - Comercial'!$I$5*'2.0 - Total Revenue'!AS13</f>
        <v>28</v>
      </c>
      <c r="AP22" s="504">
        <f>1/'1.0 - Comercial'!$I$5*'2.0 - Total Revenue'!AT13</f>
        <v>28</v>
      </c>
      <c r="AQ22" s="504">
        <f>1/'1.0 - Comercial'!$I$5*'2.0 - Total Revenue'!AU13</f>
        <v>28</v>
      </c>
      <c r="AR22" s="504">
        <f>1/'1.0 - Comercial'!$I$5*'2.0 - Total Revenue'!AV13</f>
        <v>28</v>
      </c>
    </row>
    <row r="23" spans="1:44">
      <c r="A23" s="489"/>
      <c r="B23" s="489"/>
      <c r="C23" s="489"/>
      <c r="D23" s="489"/>
      <c r="E23" s="489"/>
      <c r="F23" s="489"/>
      <c r="G23" s="489"/>
      <c r="H23" s="489"/>
      <c r="I23" s="489"/>
      <c r="J23" s="489"/>
      <c r="K23" s="489"/>
      <c r="L23" s="489"/>
      <c r="M23" s="489"/>
      <c r="N23" s="489"/>
      <c r="O23" s="489"/>
      <c r="P23" s="489"/>
      <c r="Q23" s="489"/>
      <c r="R23" s="489"/>
      <c r="S23" s="489"/>
      <c r="T23" s="489"/>
      <c r="U23" s="489"/>
      <c r="V23" s="489"/>
    </row>
    <row r="24" spans="1:44">
      <c r="A24" s="489"/>
      <c r="B24" s="489"/>
      <c r="C24" s="489"/>
      <c r="D24" s="489"/>
      <c r="E24" s="489"/>
      <c r="F24" s="489"/>
      <c r="G24" s="489"/>
      <c r="H24" s="489"/>
      <c r="I24" s="489"/>
      <c r="J24" s="489"/>
      <c r="K24" s="489"/>
      <c r="L24" s="489"/>
      <c r="M24" s="489"/>
      <c r="N24" s="489"/>
      <c r="O24" s="489"/>
      <c r="P24" s="489"/>
      <c r="Q24" s="489"/>
      <c r="R24" s="489"/>
      <c r="S24" s="489"/>
      <c r="T24" s="489"/>
      <c r="U24" s="489"/>
      <c r="V24" s="489"/>
    </row>
    <row r="25" spans="1:44">
      <c r="A25" s="489"/>
      <c r="B25" s="489"/>
      <c r="C25" s="489"/>
      <c r="D25" s="489"/>
      <c r="E25" s="489"/>
      <c r="F25" s="489"/>
      <c r="G25" s="489"/>
      <c r="H25" s="489"/>
      <c r="I25" s="489"/>
      <c r="J25" s="489"/>
      <c r="K25" s="489"/>
      <c r="L25" s="489"/>
      <c r="M25" s="489"/>
      <c r="N25" s="489"/>
      <c r="O25" s="489"/>
      <c r="P25" s="489"/>
      <c r="Q25" s="489"/>
      <c r="R25" s="489"/>
      <c r="S25" s="489"/>
      <c r="T25" s="489"/>
      <c r="U25" s="489"/>
      <c r="V25" s="489"/>
    </row>
    <row r="26" spans="1:44">
      <c r="A26" s="489"/>
      <c r="B26" s="489"/>
      <c r="C26" s="489"/>
      <c r="D26" s="489"/>
      <c r="E26" s="489"/>
      <c r="F26" s="489"/>
      <c r="G26" s="489"/>
      <c r="H26" s="489"/>
      <c r="I26" s="489"/>
      <c r="J26" s="489"/>
      <c r="K26" s="489"/>
      <c r="L26" s="489"/>
      <c r="M26" s="489"/>
      <c r="N26" s="489"/>
      <c r="O26" s="489"/>
      <c r="P26" s="489"/>
      <c r="Q26" s="489"/>
      <c r="R26" s="489"/>
      <c r="S26" s="489"/>
      <c r="T26" s="489"/>
      <c r="U26" s="489"/>
      <c r="V26" s="489"/>
    </row>
    <row r="27" spans="1:44">
      <c r="A27" s="489"/>
      <c r="B27" s="489"/>
      <c r="C27" s="489"/>
      <c r="D27" s="489"/>
      <c r="E27" s="489"/>
      <c r="F27" s="489"/>
      <c r="G27" s="489"/>
      <c r="H27" s="489"/>
      <c r="I27" s="489"/>
      <c r="J27" s="489"/>
      <c r="K27" s="489"/>
      <c r="L27" s="489"/>
      <c r="M27" s="489"/>
      <c r="N27" s="489"/>
      <c r="O27" s="489"/>
      <c r="P27" s="489"/>
      <c r="Q27" s="489"/>
      <c r="R27" s="489"/>
      <c r="S27" s="489"/>
      <c r="T27" s="489"/>
      <c r="U27" s="489"/>
      <c r="V27" s="489"/>
    </row>
    <row r="28" spans="1:44">
      <c r="A28" s="489"/>
      <c r="B28" s="489"/>
      <c r="C28" s="489"/>
      <c r="D28" s="489"/>
      <c r="E28" s="489"/>
      <c r="F28" s="489"/>
      <c r="G28" s="489"/>
      <c r="H28" s="489"/>
      <c r="I28" s="489"/>
      <c r="J28" s="489"/>
      <c r="K28" s="489"/>
      <c r="L28" s="489"/>
      <c r="M28" s="489"/>
      <c r="N28" s="489"/>
      <c r="O28" s="489"/>
      <c r="P28" s="489"/>
      <c r="Q28" s="489"/>
      <c r="R28" s="489"/>
      <c r="S28" s="489"/>
      <c r="T28" s="489"/>
      <c r="U28" s="489"/>
      <c r="V28" s="489"/>
    </row>
    <row r="29" spans="1:44">
      <c r="A29" s="489"/>
      <c r="B29" s="489"/>
      <c r="C29" s="489"/>
      <c r="D29" s="489"/>
      <c r="E29" s="489"/>
      <c r="F29" s="489"/>
      <c r="G29" s="489"/>
      <c r="H29" s="489"/>
      <c r="I29" s="489"/>
      <c r="J29" s="489"/>
      <c r="K29" s="489"/>
      <c r="L29" s="489"/>
      <c r="M29" s="489"/>
      <c r="N29" s="489"/>
      <c r="O29" s="489"/>
      <c r="P29" s="489"/>
      <c r="Q29" s="489"/>
      <c r="R29" s="489"/>
      <c r="S29" s="489"/>
      <c r="T29" s="489"/>
      <c r="U29" s="489"/>
      <c r="V29" s="489"/>
    </row>
    <row r="30" spans="1:44">
      <c r="A30" s="489"/>
      <c r="B30" s="489"/>
      <c r="C30" s="489"/>
      <c r="D30" s="489"/>
      <c r="E30" s="489"/>
      <c r="F30" s="489"/>
      <c r="G30" s="489"/>
      <c r="H30" s="489"/>
      <c r="I30" s="489"/>
      <c r="J30" s="489"/>
      <c r="K30" s="489"/>
      <c r="L30" s="489"/>
      <c r="M30" s="489"/>
      <c r="N30" s="489"/>
      <c r="O30" s="489"/>
      <c r="P30" s="489"/>
      <c r="Q30" s="489"/>
      <c r="R30" s="489"/>
      <c r="S30" s="489"/>
      <c r="T30" s="489"/>
      <c r="U30" s="489"/>
      <c r="V30" s="489"/>
    </row>
    <row r="31" spans="1:44">
      <c r="A31" s="489"/>
      <c r="B31" s="489"/>
      <c r="C31" s="489"/>
      <c r="D31" s="489"/>
      <c r="E31" s="489"/>
      <c r="F31" s="489"/>
      <c r="G31" s="489"/>
      <c r="H31" s="489"/>
      <c r="I31" s="489"/>
      <c r="J31" s="489"/>
      <c r="K31" s="489"/>
      <c r="L31" s="489"/>
      <c r="M31" s="489"/>
      <c r="N31" s="489"/>
      <c r="O31" s="489"/>
      <c r="P31" s="489"/>
      <c r="Q31" s="489"/>
      <c r="R31" s="489"/>
      <c r="S31" s="489"/>
      <c r="T31" s="489"/>
      <c r="U31" s="489"/>
      <c r="V31" s="489"/>
    </row>
    <row r="32" spans="1:44">
      <c r="A32" s="489"/>
      <c r="B32" s="489"/>
      <c r="C32" s="489"/>
      <c r="D32" s="489"/>
      <c r="E32" s="489"/>
      <c r="F32" s="489"/>
      <c r="G32" s="489"/>
      <c r="H32" s="489"/>
      <c r="I32" s="489"/>
      <c r="J32" s="489"/>
      <c r="K32" s="489"/>
      <c r="L32" s="489"/>
      <c r="M32" s="489"/>
      <c r="N32" s="489"/>
      <c r="O32" s="489"/>
      <c r="P32" s="489"/>
      <c r="Q32" s="489"/>
      <c r="R32" s="489"/>
      <c r="S32" s="489"/>
      <c r="T32" s="489"/>
      <c r="U32" s="489"/>
      <c r="V32" s="489"/>
    </row>
    <row r="33" spans="1:25">
      <c r="A33" s="489"/>
      <c r="B33" s="489"/>
      <c r="C33" s="489"/>
      <c r="D33" s="489"/>
      <c r="E33" s="489"/>
      <c r="F33" s="489"/>
      <c r="G33" s="489"/>
      <c r="H33" s="489"/>
      <c r="I33" s="489"/>
      <c r="J33" s="489"/>
      <c r="K33" s="489"/>
      <c r="L33" s="489"/>
      <c r="M33" s="489"/>
      <c r="N33" s="489"/>
      <c r="O33" s="489"/>
      <c r="P33" s="489"/>
      <c r="Q33" s="489"/>
      <c r="R33" s="489"/>
      <c r="S33" s="489"/>
      <c r="T33" s="489"/>
      <c r="U33" s="489"/>
      <c r="V33" s="489"/>
    </row>
    <row r="34" spans="1:25">
      <c r="A34" s="489"/>
      <c r="B34" s="489"/>
      <c r="C34" s="489"/>
      <c r="D34" s="489"/>
      <c r="E34" s="489"/>
      <c r="F34" s="489"/>
      <c r="G34" s="489"/>
      <c r="H34" s="489"/>
      <c r="I34" s="489"/>
      <c r="J34" s="489"/>
      <c r="K34" s="489"/>
      <c r="L34" s="489"/>
      <c r="M34" s="489"/>
      <c r="N34" s="489"/>
      <c r="O34" s="489"/>
      <c r="P34" s="489"/>
      <c r="Q34" s="489"/>
      <c r="R34" s="489"/>
      <c r="S34" s="489"/>
      <c r="T34" s="489"/>
      <c r="U34" s="489"/>
      <c r="V34" s="489"/>
    </row>
    <row r="35" spans="1:25">
      <c r="A35" s="489"/>
      <c r="B35" s="489"/>
      <c r="C35" s="489"/>
      <c r="D35" s="489"/>
      <c r="E35" s="489"/>
      <c r="F35" s="489"/>
      <c r="G35" s="489"/>
      <c r="H35" s="489"/>
      <c r="I35" s="489"/>
      <c r="J35" s="489"/>
      <c r="K35" s="489"/>
      <c r="L35" s="489"/>
      <c r="M35" s="489"/>
      <c r="N35" s="489"/>
      <c r="O35" s="489"/>
      <c r="P35" s="489"/>
      <c r="Q35" s="489"/>
      <c r="R35" s="489"/>
      <c r="S35" s="489"/>
      <c r="T35" s="489"/>
      <c r="U35" s="489"/>
      <c r="V35" s="489"/>
      <c r="W35" s="104">
        <v>2028</v>
      </c>
      <c r="Y35" s="104">
        <v>2029</v>
      </c>
    </row>
    <row r="36" spans="1:25">
      <c r="A36" s="489"/>
      <c r="B36" s="489"/>
      <c r="C36" s="489"/>
      <c r="D36" s="489"/>
      <c r="E36" s="489"/>
      <c r="F36" s="489"/>
      <c r="G36" s="489"/>
      <c r="H36" s="489"/>
      <c r="I36" s="489"/>
      <c r="J36" s="489"/>
      <c r="K36" s="489"/>
      <c r="L36" s="489"/>
      <c r="M36" s="489"/>
      <c r="N36" s="489"/>
      <c r="O36" s="489"/>
      <c r="P36" s="489"/>
      <c r="Q36" s="489"/>
      <c r="R36" s="489"/>
      <c r="S36" s="489"/>
      <c r="T36" s="489"/>
      <c r="U36" s="489"/>
      <c r="V36" s="489"/>
      <c r="W36" s="105">
        <f>SUM('2.0 - Total Revenue'!Y6:AJ6)</f>
        <v>21700818.490784422</v>
      </c>
      <c r="Y36" s="105">
        <f>SUM('2.0 - Total Revenue'!AK6:AV6)</f>
        <v>35579305.994933128</v>
      </c>
    </row>
    <row r="37" spans="1:25">
      <c r="A37" s="489"/>
      <c r="B37" s="489"/>
      <c r="C37" s="489"/>
      <c r="D37" s="489"/>
      <c r="E37" s="489"/>
      <c r="F37" s="489"/>
      <c r="G37" s="489"/>
      <c r="H37" s="489"/>
      <c r="I37" s="489"/>
      <c r="J37" s="489"/>
      <c r="K37" s="489"/>
      <c r="L37" s="489"/>
      <c r="M37" s="489"/>
      <c r="N37" s="489"/>
      <c r="O37" s="489"/>
      <c r="P37" s="489"/>
      <c r="Q37" s="489"/>
      <c r="R37" s="489"/>
      <c r="S37" s="489"/>
      <c r="T37" s="489"/>
      <c r="U37" s="489"/>
      <c r="V37" s="489"/>
      <c r="W37" s="105">
        <f>SUM('2.0 - Total Revenue'!Y8:AJ8)</f>
        <v>2010960</v>
      </c>
      <c r="Y37" s="105">
        <f>SUM('2.0 - Total Revenue'!AK8:AV8)</f>
        <v>2010960</v>
      </c>
    </row>
    <row r="38" spans="1:25">
      <c r="A38" s="489"/>
      <c r="B38" s="489"/>
      <c r="C38" s="489"/>
      <c r="D38" s="489"/>
      <c r="E38" s="489"/>
      <c r="F38" s="489"/>
      <c r="G38" s="489"/>
      <c r="H38" s="489"/>
      <c r="I38" s="489"/>
      <c r="J38" s="489"/>
      <c r="K38" s="489"/>
      <c r="L38" s="489"/>
      <c r="M38" s="489"/>
      <c r="N38" s="489"/>
      <c r="O38" s="489"/>
      <c r="P38" s="489"/>
      <c r="Q38" s="489"/>
      <c r="R38" s="489"/>
      <c r="S38" s="489"/>
      <c r="T38" s="489"/>
      <c r="U38" s="489"/>
      <c r="V38" s="489"/>
      <c r="W38" s="105">
        <f>SUM('2.0 - Total Revenue'!Y9:AJ9)</f>
        <v>3358320</v>
      </c>
      <c r="Y38" s="105">
        <f>SUM('2.0 - Total Revenue'!AK9:AV9)</f>
        <v>3358320</v>
      </c>
    </row>
    <row r="39" spans="1:25">
      <c r="A39" s="489"/>
      <c r="B39" s="489"/>
      <c r="C39" s="489"/>
      <c r="D39" s="489"/>
      <c r="E39" s="489"/>
      <c r="F39" s="489"/>
      <c r="G39" s="489"/>
      <c r="H39" s="489"/>
      <c r="I39" s="489"/>
      <c r="J39" s="489"/>
      <c r="K39" s="489"/>
      <c r="L39" s="489"/>
      <c r="M39" s="489"/>
      <c r="N39" s="489"/>
      <c r="O39" s="489"/>
      <c r="P39" s="489"/>
      <c r="Q39" s="489"/>
      <c r="R39" s="489"/>
      <c r="S39" s="489"/>
      <c r="T39" s="489"/>
      <c r="U39" s="489"/>
      <c r="V39" s="489"/>
    </row>
    <row r="40" spans="1:25">
      <c r="A40" s="489"/>
      <c r="B40" s="489"/>
      <c r="C40" s="489"/>
      <c r="D40" s="489"/>
      <c r="E40" s="489"/>
      <c r="F40" s="489"/>
      <c r="G40" s="489"/>
      <c r="H40" s="489"/>
      <c r="I40" s="489"/>
      <c r="J40" s="489"/>
      <c r="K40" s="489"/>
      <c r="L40" s="489"/>
      <c r="M40" s="489"/>
      <c r="N40" s="489"/>
      <c r="O40" s="489"/>
      <c r="P40" s="489"/>
      <c r="Q40" s="489"/>
      <c r="R40" s="489"/>
      <c r="S40" s="489"/>
      <c r="T40" s="489"/>
      <c r="U40" s="489"/>
      <c r="V40" s="489"/>
      <c r="W40" s="105">
        <f>W36+W37</f>
        <v>23711778.490784422</v>
      </c>
      <c r="Y40" s="105">
        <f>Y36+Y37</f>
        <v>37590265.994933128</v>
      </c>
    </row>
    <row r="41" spans="1:25">
      <c r="A41" s="489"/>
      <c r="B41" s="489"/>
      <c r="C41" s="489"/>
      <c r="D41" s="489"/>
      <c r="E41" s="489"/>
      <c r="F41" s="489"/>
      <c r="G41" s="489"/>
      <c r="H41" s="489"/>
      <c r="I41" s="489"/>
      <c r="J41" s="489"/>
      <c r="K41" s="489"/>
      <c r="L41" s="489"/>
      <c r="M41" s="489"/>
      <c r="N41" s="489"/>
      <c r="O41" s="489"/>
      <c r="P41" s="489"/>
      <c r="Q41" s="489"/>
      <c r="R41" s="489"/>
      <c r="S41" s="489"/>
      <c r="T41" s="489"/>
      <c r="U41" s="489"/>
      <c r="V41" s="489"/>
    </row>
    <row r="42" spans="1:25">
      <c r="A42" s="489"/>
      <c r="B42" s="489"/>
      <c r="C42" s="489"/>
      <c r="D42" s="489"/>
      <c r="E42" s="489"/>
      <c r="F42" s="489"/>
      <c r="G42" s="489"/>
      <c r="H42" s="489"/>
      <c r="I42" s="489"/>
      <c r="J42" s="489"/>
      <c r="K42" s="489"/>
      <c r="L42" s="489"/>
      <c r="M42" s="489"/>
      <c r="N42" s="489"/>
      <c r="O42" s="489"/>
      <c r="P42" s="489"/>
      <c r="Q42" s="489"/>
      <c r="R42" s="489"/>
      <c r="S42" s="489"/>
      <c r="T42" s="489"/>
      <c r="U42" s="489"/>
      <c r="V42" s="489"/>
    </row>
    <row r="43" spans="1:25">
      <c r="A43" s="489"/>
      <c r="B43" s="489"/>
      <c r="C43" s="489"/>
      <c r="D43" s="489"/>
      <c r="E43" s="489"/>
      <c r="F43" s="489"/>
      <c r="G43" s="489"/>
      <c r="H43" s="489"/>
      <c r="I43" s="489"/>
      <c r="J43" s="489"/>
      <c r="K43" s="489"/>
      <c r="L43" s="489"/>
      <c r="M43" s="489"/>
      <c r="N43" s="489"/>
      <c r="O43" s="489"/>
      <c r="P43" s="489"/>
      <c r="Q43" s="489"/>
      <c r="R43" s="489"/>
      <c r="S43" s="489"/>
      <c r="T43" s="489"/>
      <c r="U43" s="489"/>
      <c r="V43" s="489"/>
    </row>
    <row r="44" spans="1:25">
      <c r="A44" s="489"/>
      <c r="B44" s="489"/>
      <c r="C44" s="489"/>
      <c r="D44" s="489"/>
      <c r="E44" s="489"/>
      <c r="F44" s="489"/>
      <c r="G44" s="489"/>
      <c r="H44" s="489"/>
      <c r="I44" s="489"/>
      <c r="J44" s="489"/>
      <c r="K44" s="489"/>
      <c r="L44" s="489"/>
      <c r="M44" s="489"/>
      <c r="N44" s="489"/>
      <c r="O44" s="489"/>
      <c r="P44" s="489"/>
      <c r="Q44" s="489"/>
      <c r="R44" s="489"/>
      <c r="S44" s="489"/>
      <c r="T44" s="489"/>
      <c r="U44" s="489"/>
      <c r="V44" s="489"/>
    </row>
    <row r="45" spans="1:25">
      <c r="A45" s="489"/>
      <c r="B45" s="489"/>
      <c r="C45" s="489"/>
      <c r="D45" s="489"/>
      <c r="E45" s="489"/>
      <c r="F45" s="489"/>
      <c r="G45" s="489"/>
      <c r="H45" s="489"/>
      <c r="I45" s="489"/>
      <c r="J45" s="489"/>
      <c r="K45" s="489"/>
      <c r="L45" s="489"/>
      <c r="M45" s="489"/>
      <c r="N45" s="489"/>
      <c r="O45" s="489"/>
      <c r="P45" s="489"/>
      <c r="Q45" s="489"/>
      <c r="R45" s="489"/>
      <c r="S45" s="489"/>
      <c r="T45" s="489"/>
      <c r="U45" s="489"/>
      <c r="V45" s="489"/>
    </row>
    <row r="46" spans="1:25">
      <c r="A46" s="489"/>
      <c r="B46" s="489"/>
      <c r="C46" s="489"/>
      <c r="D46" s="489"/>
      <c r="E46" s="489"/>
      <c r="F46" s="489"/>
      <c r="G46" s="489"/>
      <c r="H46" s="489"/>
      <c r="I46" s="489"/>
      <c r="J46" s="489"/>
      <c r="K46" s="489"/>
      <c r="L46" s="489"/>
      <c r="M46" s="489"/>
      <c r="N46" s="489"/>
      <c r="O46" s="489"/>
      <c r="P46" s="489"/>
      <c r="Q46" s="489"/>
      <c r="R46" s="489"/>
      <c r="S46" s="489"/>
      <c r="T46" s="489"/>
      <c r="U46" s="489"/>
      <c r="V46" s="489"/>
    </row>
    <row r="47" spans="1:25">
      <c r="A47" s="489"/>
      <c r="B47" s="489"/>
      <c r="C47" s="489"/>
      <c r="D47" s="489"/>
      <c r="E47" s="489"/>
      <c r="F47" s="489"/>
      <c r="G47" s="489"/>
      <c r="H47" s="489"/>
      <c r="I47" s="489"/>
      <c r="J47" s="489"/>
      <c r="K47" s="489"/>
      <c r="L47" s="489"/>
      <c r="M47" s="489"/>
      <c r="N47" s="489"/>
      <c r="O47" s="489"/>
      <c r="P47" s="489"/>
      <c r="Q47" s="489"/>
      <c r="R47" s="489"/>
      <c r="S47" s="489"/>
      <c r="T47" s="489"/>
      <c r="U47" s="489"/>
      <c r="V47" s="489"/>
    </row>
    <row r="48" spans="1:25">
      <c r="A48" s="489"/>
      <c r="B48" s="489"/>
      <c r="C48" s="489"/>
      <c r="D48" s="489"/>
      <c r="E48" s="489"/>
      <c r="F48" s="489"/>
      <c r="G48" s="489"/>
      <c r="H48" s="489"/>
      <c r="I48" s="489"/>
      <c r="J48" s="489"/>
      <c r="K48" s="489"/>
      <c r="L48" s="489"/>
      <c r="M48" s="489"/>
      <c r="N48" s="489"/>
      <c r="O48" s="489"/>
      <c r="P48" s="489"/>
      <c r="Q48" s="489"/>
      <c r="R48" s="489"/>
      <c r="S48" s="489"/>
      <c r="T48" s="489"/>
      <c r="U48" s="489"/>
      <c r="V48" s="489"/>
    </row>
    <row r="49" spans="1:22">
      <c r="A49" s="489"/>
      <c r="B49" s="489"/>
      <c r="C49" s="489"/>
      <c r="D49" s="489"/>
      <c r="E49" s="489"/>
      <c r="F49" s="489"/>
      <c r="G49" s="489"/>
      <c r="H49" s="489"/>
      <c r="I49" s="489"/>
      <c r="J49" s="489"/>
      <c r="K49" s="489"/>
      <c r="L49" s="489"/>
      <c r="M49" s="489"/>
      <c r="N49" s="489"/>
      <c r="O49" s="489"/>
      <c r="P49" s="489"/>
      <c r="Q49" s="489"/>
      <c r="R49" s="489"/>
      <c r="S49" s="489"/>
      <c r="T49" s="489"/>
      <c r="U49" s="489"/>
      <c r="V49" s="489"/>
    </row>
    <row r="50" spans="1:22">
      <c r="A50" s="489"/>
      <c r="B50" s="489"/>
      <c r="C50" s="489"/>
      <c r="D50" s="489"/>
      <c r="E50" s="489"/>
      <c r="F50" s="489"/>
      <c r="G50" s="489"/>
      <c r="H50" s="489"/>
      <c r="I50" s="489"/>
      <c r="J50" s="489"/>
      <c r="K50" s="489"/>
      <c r="L50" s="489"/>
      <c r="M50" s="489"/>
      <c r="N50" s="489"/>
      <c r="O50" s="489"/>
      <c r="P50" s="489"/>
      <c r="Q50" s="489"/>
      <c r="R50" s="489"/>
      <c r="S50" s="489"/>
      <c r="T50" s="489"/>
      <c r="U50" s="489"/>
      <c r="V50" s="489"/>
    </row>
    <row r="51" spans="1:22">
      <c r="A51" s="489"/>
      <c r="B51" s="489"/>
      <c r="C51" s="489"/>
      <c r="D51" s="489"/>
      <c r="E51" s="489"/>
      <c r="F51" s="489"/>
      <c r="G51" s="489"/>
      <c r="H51" s="489"/>
      <c r="I51" s="489"/>
      <c r="J51" s="489"/>
      <c r="K51" s="489"/>
      <c r="L51" s="489"/>
      <c r="M51" s="489"/>
      <c r="N51" s="489"/>
      <c r="O51" s="489"/>
      <c r="P51" s="489"/>
      <c r="Q51" s="489"/>
      <c r="R51" s="489"/>
      <c r="S51" s="489"/>
      <c r="T51" s="489"/>
      <c r="U51" s="489"/>
      <c r="V51" s="489"/>
    </row>
    <row r="52" spans="1:22">
      <c r="A52" s="489"/>
      <c r="B52" s="489"/>
      <c r="C52" s="489"/>
      <c r="D52" s="489"/>
      <c r="E52" s="489"/>
      <c r="F52" s="489"/>
      <c r="G52" s="489"/>
      <c r="H52" s="489"/>
      <c r="I52" s="489"/>
      <c r="J52" s="489"/>
      <c r="K52" s="489"/>
      <c r="L52" s="489"/>
      <c r="M52" s="489"/>
      <c r="N52" s="489"/>
      <c r="O52" s="489"/>
      <c r="P52" s="489"/>
      <c r="Q52" s="489"/>
      <c r="R52" s="489"/>
      <c r="S52" s="489"/>
      <c r="T52" s="489"/>
      <c r="U52" s="489"/>
      <c r="V52" s="489"/>
    </row>
    <row r="53" spans="1:22">
      <c r="A53" s="489"/>
      <c r="B53" s="489"/>
      <c r="C53" s="489"/>
      <c r="D53" s="489"/>
      <c r="E53" s="489"/>
      <c r="F53" s="489"/>
      <c r="G53" s="489"/>
      <c r="H53" s="489"/>
      <c r="I53" s="489"/>
      <c r="J53" s="489"/>
      <c r="K53" s="489"/>
      <c r="L53" s="489"/>
      <c r="M53" s="489"/>
      <c r="N53" s="489"/>
      <c r="O53" s="489"/>
      <c r="P53" s="489"/>
      <c r="Q53" s="489"/>
      <c r="R53" s="489"/>
      <c r="S53" s="489"/>
      <c r="T53" s="489"/>
      <c r="U53" s="489"/>
      <c r="V53" s="489"/>
    </row>
    <row r="54" spans="1:22">
      <c r="A54" s="489"/>
      <c r="B54" s="489"/>
      <c r="C54" s="489"/>
      <c r="D54" s="489"/>
      <c r="E54" s="489"/>
      <c r="F54" s="489"/>
      <c r="G54" s="489"/>
      <c r="H54" s="489"/>
      <c r="I54" s="489"/>
      <c r="J54" s="489"/>
      <c r="K54" s="489"/>
      <c r="L54" s="489"/>
      <c r="M54" s="489"/>
      <c r="N54" s="489"/>
      <c r="O54" s="489"/>
      <c r="P54" s="489"/>
      <c r="Q54" s="489"/>
      <c r="R54" s="489"/>
      <c r="S54" s="489"/>
      <c r="T54" s="489"/>
      <c r="U54" s="489"/>
      <c r="V54" s="489"/>
    </row>
    <row r="55" spans="1:22">
      <c r="A55" s="489"/>
      <c r="B55" s="489"/>
      <c r="C55" s="489"/>
      <c r="D55" s="489"/>
      <c r="E55" s="489"/>
      <c r="F55" s="489"/>
      <c r="G55" s="489"/>
      <c r="H55" s="489"/>
      <c r="I55" s="489"/>
      <c r="J55" s="489"/>
      <c r="K55" s="489"/>
      <c r="L55" s="489"/>
      <c r="M55" s="489"/>
      <c r="N55" s="489"/>
      <c r="O55" s="489"/>
      <c r="P55" s="489"/>
      <c r="Q55" s="489"/>
      <c r="R55" s="489"/>
      <c r="S55" s="489"/>
      <c r="T55" s="489"/>
      <c r="U55" s="489"/>
      <c r="V55" s="489"/>
    </row>
    <row r="56" spans="1:22">
      <c r="A56" s="489"/>
      <c r="B56" s="489"/>
      <c r="C56" s="489"/>
      <c r="D56" s="489"/>
      <c r="E56" s="489"/>
      <c r="F56" s="489"/>
      <c r="G56" s="489"/>
      <c r="H56" s="489"/>
      <c r="I56" s="489"/>
      <c r="J56" s="489"/>
      <c r="K56" s="489"/>
      <c r="L56" s="489"/>
      <c r="M56" s="489"/>
      <c r="N56" s="489"/>
      <c r="O56" s="489"/>
      <c r="P56" s="489"/>
      <c r="Q56" s="489"/>
      <c r="R56" s="489"/>
      <c r="S56" s="489"/>
      <c r="T56" s="489"/>
      <c r="U56" s="489"/>
      <c r="V56" s="489"/>
    </row>
    <row r="57" spans="1:22">
      <c r="A57" s="489"/>
      <c r="B57" s="489"/>
      <c r="C57" s="489"/>
      <c r="D57" s="489"/>
      <c r="E57" s="489"/>
      <c r="F57" s="489"/>
      <c r="G57" s="489"/>
      <c r="H57" s="489"/>
      <c r="I57" s="489"/>
      <c r="J57" s="489"/>
      <c r="K57" s="489"/>
      <c r="L57" s="489"/>
      <c r="M57" s="489"/>
      <c r="N57" s="489"/>
      <c r="O57" s="489"/>
      <c r="P57" s="489"/>
      <c r="Q57" s="489"/>
      <c r="R57" s="489"/>
      <c r="S57" s="489"/>
      <c r="T57" s="489"/>
      <c r="U57" s="489"/>
      <c r="V57" s="489"/>
    </row>
    <row r="58" spans="1:22">
      <c r="A58" s="489"/>
      <c r="B58" s="489"/>
      <c r="C58" s="489"/>
      <c r="D58" s="489"/>
      <c r="E58" s="489"/>
      <c r="F58" s="489"/>
      <c r="G58" s="489"/>
      <c r="H58" s="489"/>
      <c r="I58" s="489"/>
      <c r="J58" s="489"/>
      <c r="K58" s="489"/>
      <c r="L58" s="489"/>
      <c r="M58" s="489"/>
      <c r="N58" s="489"/>
      <c r="O58" s="489"/>
      <c r="P58" s="489"/>
      <c r="Q58" s="489"/>
      <c r="R58" s="489"/>
      <c r="S58" s="489"/>
      <c r="T58" s="489"/>
      <c r="U58" s="489"/>
      <c r="V58" s="489"/>
    </row>
    <row r="59" spans="1:22">
      <c r="A59" s="489"/>
      <c r="B59" s="489"/>
      <c r="C59" s="489"/>
      <c r="D59" s="489"/>
      <c r="E59" s="489"/>
      <c r="F59" s="489"/>
      <c r="G59" s="489"/>
      <c r="H59" s="489"/>
      <c r="I59" s="489"/>
      <c r="J59" s="489"/>
      <c r="K59" s="489"/>
      <c r="L59" s="489"/>
      <c r="M59" s="489"/>
      <c r="N59" s="489"/>
      <c r="O59" s="489"/>
      <c r="P59" s="489"/>
      <c r="Q59" s="489"/>
      <c r="R59" s="489"/>
      <c r="S59" s="489"/>
      <c r="T59" s="489"/>
      <c r="U59" s="489"/>
      <c r="V59" s="489"/>
    </row>
    <row r="60" spans="1:22">
      <c r="A60" s="489"/>
      <c r="B60" s="489"/>
      <c r="C60" s="489"/>
      <c r="D60" s="489"/>
      <c r="E60" s="489"/>
      <c r="F60" s="489"/>
      <c r="G60" s="489"/>
      <c r="H60" s="489"/>
      <c r="I60" s="489"/>
      <c r="J60" s="489"/>
      <c r="K60" s="489"/>
      <c r="L60" s="489"/>
      <c r="M60" s="489"/>
      <c r="N60" s="489"/>
      <c r="O60" s="489"/>
      <c r="P60" s="489"/>
      <c r="Q60" s="489"/>
      <c r="R60" s="489"/>
      <c r="S60" s="489"/>
      <c r="T60" s="489"/>
      <c r="U60" s="489"/>
      <c r="V60" s="489"/>
    </row>
    <row r="61" spans="1:22">
      <c r="A61" s="489"/>
      <c r="B61" s="489"/>
      <c r="C61" s="489"/>
      <c r="D61" s="489"/>
      <c r="E61" s="489"/>
      <c r="F61" s="489"/>
      <c r="G61" s="489"/>
      <c r="H61" s="489"/>
      <c r="I61" s="489"/>
      <c r="J61" s="489"/>
      <c r="K61" s="489"/>
      <c r="L61" s="489"/>
      <c r="M61" s="489"/>
      <c r="N61" s="489"/>
      <c r="O61" s="489"/>
      <c r="P61" s="489"/>
      <c r="Q61" s="489"/>
      <c r="R61" s="489"/>
      <c r="S61" s="489"/>
      <c r="T61" s="489"/>
      <c r="U61" s="489"/>
      <c r="V61" s="489"/>
    </row>
    <row r="62" spans="1:22">
      <c r="A62" s="489"/>
      <c r="B62" s="489"/>
      <c r="C62" s="489"/>
      <c r="D62" s="489"/>
      <c r="E62" s="489"/>
      <c r="F62" s="489"/>
      <c r="G62" s="489"/>
      <c r="H62" s="489"/>
      <c r="I62" s="489"/>
      <c r="J62" s="489"/>
      <c r="K62" s="489"/>
      <c r="L62" s="489"/>
      <c r="M62" s="489"/>
      <c r="N62" s="489"/>
      <c r="O62" s="489"/>
      <c r="P62" s="489"/>
      <c r="Q62" s="489"/>
      <c r="R62" s="489"/>
      <c r="S62" s="489"/>
      <c r="T62" s="489"/>
      <c r="U62" s="489"/>
      <c r="V62" s="489"/>
    </row>
    <row r="63" spans="1:22">
      <c r="A63" s="489"/>
      <c r="B63" s="489"/>
      <c r="C63" s="489"/>
      <c r="D63" s="489"/>
      <c r="E63" s="489"/>
      <c r="F63" s="489"/>
      <c r="G63" s="489"/>
      <c r="H63" s="489"/>
      <c r="I63" s="489"/>
      <c r="J63" s="489"/>
      <c r="K63" s="489"/>
      <c r="L63" s="489"/>
      <c r="M63" s="489"/>
      <c r="N63" s="489"/>
      <c r="O63" s="489"/>
      <c r="P63" s="489"/>
      <c r="Q63" s="489"/>
      <c r="R63" s="489"/>
      <c r="S63" s="489"/>
      <c r="T63" s="489"/>
      <c r="U63" s="489"/>
      <c r="V63" s="489"/>
    </row>
    <row r="64" spans="1:22">
      <c r="A64" s="489"/>
      <c r="B64" s="489"/>
      <c r="C64" s="489"/>
      <c r="D64" s="489"/>
      <c r="E64" s="489"/>
      <c r="F64" s="489"/>
      <c r="G64" s="489"/>
      <c r="H64" s="489"/>
      <c r="I64" s="489"/>
      <c r="J64" s="489"/>
      <c r="K64" s="489"/>
      <c r="L64" s="489"/>
      <c r="M64" s="489"/>
      <c r="N64" s="489"/>
      <c r="O64" s="489"/>
      <c r="P64" s="489"/>
      <c r="Q64" s="489"/>
      <c r="R64" s="489"/>
      <c r="S64" s="489"/>
      <c r="T64" s="489"/>
      <c r="U64" s="489"/>
      <c r="V64" s="489"/>
    </row>
    <row r="65" spans="1:22">
      <c r="A65" s="489"/>
      <c r="B65" s="489"/>
      <c r="C65" s="489"/>
      <c r="D65" s="489"/>
      <c r="E65" s="489"/>
      <c r="F65" s="489"/>
      <c r="G65" s="489"/>
      <c r="H65" s="489"/>
      <c r="I65" s="489"/>
      <c r="J65" s="489"/>
      <c r="K65" s="489"/>
      <c r="L65" s="489"/>
      <c r="M65" s="489"/>
      <c r="N65" s="489"/>
      <c r="O65" s="489"/>
      <c r="P65" s="489"/>
      <c r="Q65" s="489"/>
      <c r="R65" s="489"/>
      <c r="S65" s="489"/>
      <c r="T65" s="489"/>
      <c r="U65" s="489"/>
      <c r="V65" s="489"/>
    </row>
    <row r="66" spans="1:22">
      <c r="A66" s="489"/>
      <c r="B66" s="489"/>
      <c r="C66" s="489"/>
      <c r="D66" s="489"/>
      <c r="E66" s="489"/>
      <c r="F66" s="489"/>
      <c r="G66" s="489"/>
      <c r="H66" s="489"/>
      <c r="I66" s="489"/>
      <c r="J66" s="489"/>
      <c r="K66" s="489"/>
      <c r="L66" s="489"/>
      <c r="M66" s="489"/>
      <c r="N66" s="489"/>
      <c r="O66" s="489"/>
      <c r="P66" s="489"/>
      <c r="Q66" s="489"/>
      <c r="R66" s="489"/>
      <c r="S66" s="489"/>
      <c r="T66" s="489"/>
      <c r="U66" s="489"/>
      <c r="V66" s="489"/>
    </row>
    <row r="67" spans="1:22">
      <c r="A67" s="489"/>
      <c r="B67" s="489"/>
      <c r="C67" s="489"/>
      <c r="D67" s="489"/>
      <c r="E67" s="489"/>
      <c r="F67" s="489"/>
      <c r="G67" s="489"/>
      <c r="H67" s="489"/>
      <c r="I67" s="489"/>
      <c r="J67" s="489"/>
      <c r="K67" s="489"/>
      <c r="L67" s="489"/>
      <c r="M67" s="489"/>
      <c r="N67" s="489"/>
      <c r="O67" s="489"/>
      <c r="P67" s="489"/>
      <c r="Q67" s="489"/>
      <c r="R67" s="489"/>
      <c r="S67" s="489"/>
      <c r="T67" s="489"/>
      <c r="U67" s="489"/>
      <c r="V67" s="489"/>
    </row>
    <row r="68" spans="1:22">
      <c r="A68" s="489"/>
      <c r="B68" s="489"/>
      <c r="C68" s="489"/>
      <c r="D68" s="489"/>
      <c r="E68" s="489"/>
      <c r="F68" s="489"/>
      <c r="G68" s="489"/>
      <c r="H68" s="489"/>
      <c r="I68" s="489"/>
      <c r="J68" s="489"/>
      <c r="K68" s="489"/>
      <c r="L68" s="489"/>
      <c r="M68" s="489"/>
      <c r="N68" s="489"/>
      <c r="O68" s="489"/>
      <c r="P68" s="489"/>
      <c r="Q68" s="489"/>
      <c r="R68" s="489"/>
      <c r="S68" s="489"/>
      <c r="T68" s="489"/>
      <c r="U68" s="489"/>
      <c r="V68" s="489"/>
    </row>
    <row r="69" spans="1:22">
      <c r="A69" s="489"/>
      <c r="B69" s="489"/>
      <c r="C69" s="489"/>
      <c r="D69" s="489"/>
      <c r="E69" s="489"/>
      <c r="F69" s="489"/>
      <c r="G69" s="489"/>
      <c r="H69" s="489"/>
      <c r="I69" s="489"/>
      <c r="J69" s="489"/>
      <c r="K69" s="489"/>
      <c r="L69" s="489"/>
      <c r="M69" s="489"/>
      <c r="N69" s="489"/>
      <c r="O69" s="489"/>
      <c r="P69" s="489"/>
      <c r="Q69" s="489"/>
      <c r="R69" s="489"/>
      <c r="S69" s="489"/>
      <c r="T69" s="489"/>
      <c r="U69" s="489"/>
      <c r="V69" s="489"/>
    </row>
    <row r="70" spans="1:22">
      <c r="A70" s="489"/>
      <c r="B70" s="489"/>
      <c r="C70" s="489"/>
      <c r="D70" s="489"/>
      <c r="E70" s="489"/>
      <c r="F70" s="489"/>
      <c r="G70" s="489"/>
      <c r="H70" s="489"/>
      <c r="I70" s="489"/>
      <c r="J70" s="489"/>
      <c r="K70" s="489"/>
      <c r="L70" s="489"/>
      <c r="M70" s="489"/>
      <c r="N70" s="489"/>
      <c r="O70" s="489"/>
      <c r="P70" s="489"/>
      <c r="Q70" s="489"/>
      <c r="R70" s="489"/>
      <c r="S70" s="489"/>
      <c r="T70" s="489"/>
      <c r="U70" s="489"/>
      <c r="V70" s="489"/>
    </row>
    <row r="71" spans="1:22">
      <c r="A71" s="489"/>
      <c r="B71" s="489"/>
      <c r="C71" s="489"/>
      <c r="D71" s="489"/>
      <c r="E71" s="489"/>
      <c r="F71" s="489"/>
      <c r="G71" s="489"/>
      <c r="H71" s="489"/>
      <c r="I71" s="489"/>
      <c r="J71" s="489"/>
      <c r="K71" s="489"/>
      <c r="L71" s="489"/>
      <c r="M71" s="489"/>
      <c r="N71" s="489"/>
      <c r="O71" s="489"/>
      <c r="P71" s="489"/>
      <c r="Q71" s="489"/>
      <c r="R71" s="489"/>
      <c r="S71" s="489"/>
      <c r="T71" s="489"/>
      <c r="U71" s="489"/>
      <c r="V71" s="489"/>
    </row>
    <row r="72" spans="1:22">
      <c r="A72" s="489"/>
      <c r="B72" s="489"/>
      <c r="C72" s="489"/>
      <c r="D72" s="489"/>
      <c r="E72" s="489"/>
      <c r="F72" s="489"/>
      <c r="G72" s="489"/>
      <c r="H72" s="489"/>
      <c r="I72" s="489"/>
      <c r="J72" s="489"/>
      <c r="K72" s="489"/>
      <c r="L72" s="489"/>
      <c r="M72" s="489"/>
      <c r="N72" s="489"/>
      <c r="O72" s="489"/>
      <c r="P72" s="489"/>
      <c r="Q72" s="489"/>
      <c r="R72" s="489"/>
      <c r="S72" s="489"/>
      <c r="T72" s="489"/>
      <c r="U72" s="489"/>
      <c r="V72" s="489"/>
    </row>
    <row r="73" spans="1:22">
      <c r="A73" s="489"/>
      <c r="B73" s="489"/>
      <c r="C73" s="489"/>
      <c r="D73" s="489"/>
      <c r="E73" s="489"/>
      <c r="F73" s="489"/>
      <c r="G73" s="489"/>
      <c r="H73" s="489"/>
      <c r="I73" s="489"/>
      <c r="J73" s="489"/>
      <c r="K73" s="489"/>
      <c r="L73" s="489"/>
      <c r="M73" s="489"/>
      <c r="N73" s="489"/>
      <c r="O73" s="489"/>
      <c r="P73" s="489"/>
      <c r="Q73" s="489"/>
      <c r="R73" s="489"/>
      <c r="S73" s="489"/>
      <c r="T73" s="489"/>
      <c r="U73" s="489"/>
      <c r="V73" s="489"/>
    </row>
    <row r="74" spans="1:22">
      <c r="A74" s="489"/>
      <c r="B74" s="489"/>
      <c r="C74" s="489"/>
      <c r="D74" s="489"/>
      <c r="E74" s="489"/>
      <c r="F74" s="489"/>
      <c r="G74" s="489"/>
      <c r="H74" s="489"/>
      <c r="I74" s="489"/>
      <c r="J74" s="489"/>
      <c r="K74" s="489"/>
      <c r="L74" s="489"/>
      <c r="M74" s="489"/>
      <c r="N74" s="489"/>
      <c r="O74" s="489"/>
      <c r="P74" s="489"/>
      <c r="Q74" s="489"/>
      <c r="R74" s="489"/>
      <c r="S74" s="489"/>
      <c r="T74" s="489"/>
      <c r="U74" s="489"/>
      <c r="V74" s="489"/>
    </row>
    <row r="75" spans="1:22">
      <c r="A75" s="489"/>
      <c r="B75" s="489"/>
      <c r="C75" s="489"/>
      <c r="D75" s="489"/>
      <c r="E75" s="489"/>
      <c r="F75" s="489"/>
      <c r="G75" s="489"/>
      <c r="H75" s="489"/>
      <c r="I75" s="489"/>
      <c r="J75" s="489"/>
      <c r="K75" s="489"/>
      <c r="L75" s="489"/>
      <c r="M75" s="489"/>
      <c r="N75" s="489"/>
      <c r="O75" s="489"/>
      <c r="P75" s="489"/>
      <c r="Q75" s="489"/>
      <c r="R75" s="489"/>
      <c r="S75" s="489"/>
      <c r="T75" s="489"/>
      <c r="U75" s="489"/>
      <c r="V75" s="489"/>
    </row>
    <row r="76" spans="1:22">
      <c r="A76" s="489"/>
      <c r="B76" s="489"/>
      <c r="C76" s="489"/>
      <c r="D76" s="489"/>
      <c r="E76" s="489"/>
      <c r="F76" s="489"/>
      <c r="G76" s="489"/>
      <c r="H76" s="489"/>
      <c r="I76" s="489"/>
      <c r="J76" s="489"/>
      <c r="K76" s="489"/>
      <c r="L76" s="489"/>
      <c r="M76" s="489"/>
      <c r="N76" s="489"/>
      <c r="O76" s="489"/>
      <c r="P76" s="489"/>
      <c r="Q76" s="489"/>
      <c r="R76" s="489"/>
      <c r="S76" s="489"/>
      <c r="T76" s="489"/>
      <c r="U76" s="489"/>
      <c r="V76" s="489"/>
    </row>
    <row r="77" spans="1:22">
      <c r="A77" s="489"/>
      <c r="B77" s="489"/>
      <c r="C77" s="489"/>
      <c r="D77" s="489"/>
      <c r="E77" s="489"/>
      <c r="F77" s="489"/>
      <c r="G77" s="489"/>
      <c r="H77" s="489"/>
      <c r="I77" s="489"/>
      <c r="J77" s="489"/>
      <c r="K77" s="489"/>
      <c r="L77" s="489"/>
      <c r="M77" s="489"/>
      <c r="N77" s="489"/>
      <c r="O77" s="489"/>
      <c r="P77" s="489"/>
      <c r="Q77" s="489"/>
      <c r="R77" s="489"/>
      <c r="S77" s="489"/>
      <c r="T77" s="489"/>
      <c r="U77" s="489"/>
      <c r="V77" s="489"/>
    </row>
    <row r="78" spans="1:22">
      <c r="A78" s="489"/>
      <c r="B78" s="489"/>
      <c r="C78" s="489"/>
      <c r="D78" s="489"/>
      <c r="E78" s="489"/>
      <c r="F78" s="489"/>
      <c r="G78" s="489"/>
      <c r="H78" s="489"/>
      <c r="I78" s="489"/>
      <c r="J78" s="489"/>
      <c r="K78" s="489"/>
      <c r="L78" s="489"/>
      <c r="M78" s="489"/>
      <c r="N78" s="489"/>
      <c r="O78" s="489"/>
      <c r="P78" s="489"/>
      <c r="Q78" s="489"/>
      <c r="R78" s="489"/>
      <c r="S78" s="489"/>
      <c r="T78" s="489"/>
      <c r="U78" s="489"/>
      <c r="V78" s="489"/>
    </row>
    <row r="79" spans="1:22">
      <c r="A79" s="489"/>
      <c r="B79" s="489"/>
      <c r="C79" s="489"/>
      <c r="D79" s="489"/>
      <c r="E79" s="489"/>
      <c r="F79" s="489"/>
      <c r="G79" s="489"/>
      <c r="H79" s="489"/>
      <c r="I79" s="489"/>
      <c r="J79" s="489"/>
      <c r="K79" s="489"/>
      <c r="L79" s="489"/>
      <c r="M79" s="489"/>
      <c r="N79" s="489"/>
      <c r="O79" s="489"/>
      <c r="P79" s="489"/>
      <c r="Q79" s="489"/>
      <c r="R79" s="489"/>
      <c r="S79" s="489"/>
      <c r="T79" s="489"/>
      <c r="U79" s="489"/>
      <c r="V79" s="489"/>
    </row>
    <row r="80" spans="1:22">
      <c r="A80" s="489"/>
      <c r="B80" s="489"/>
      <c r="C80" s="489"/>
      <c r="D80" s="489"/>
      <c r="E80" s="489"/>
      <c r="F80" s="489"/>
      <c r="G80" s="489"/>
      <c r="H80" s="489"/>
      <c r="I80" s="489"/>
      <c r="J80" s="489"/>
      <c r="K80" s="489"/>
      <c r="L80" s="489"/>
      <c r="M80" s="489"/>
      <c r="N80" s="489"/>
      <c r="O80" s="489"/>
      <c r="P80" s="489"/>
      <c r="Q80" s="489"/>
      <c r="R80" s="489"/>
      <c r="S80" s="489"/>
      <c r="T80" s="489"/>
      <c r="U80" s="489"/>
      <c r="V80" s="489"/>
    </row>
    <row r="81" spans="1:22">
      <c r="A81" s="489"/>
      <c r="B81" s="489"/>
      <c r="C81" s="489"/>
      <c r="D81" s="489"/>
      <c r="E81" s="489"/>
      <c r="F81" s="489"/>
      <c r="G81" s="489"/>
      <c r="H81" s="489"/>
      <c r="I81" s="489"/>
      <c r="J81" s="489"/>
      <c r="K81" s="489"/>
      <c r="L81" s="489"/>
      <c r="M81" s="489"/>
      <c r="N81" s="489"/>
      <c r="O81" s="489"/>
      <c r="P81" s="489"/>
      <c r="Q81" s="489"/>
      <c r="R81" s="489"/>
      <c r="S81" s="489"/>
      <c r="T81" s="489"/>
      <c r="U81" s="489"/>
      <c r="V81" s="489"/>
    </row>
    <row r="82" spans="1:22">
      <c r="A82" s="489"/>
      <c r="B82" s="489"/>
      <c r="C82" s="489"/>
      <c r="D82" s="489"/>
      <c r="E82" s="489"/>
      <c r="F82" s="489"/>
      <c r="G82" s="489"/>
      <c r="H82" s="489"/>
      <c r="I82" s="489"/>
      <c r="J82" s="489"/>
      <c r="K82" s="489"/>
      <c r="L82" s="489"/>
      <c r="M82" s="489"/>
      <c r="N82" s="489"/>
      <c r="O82" s="489"/>
      <c r="P82" s="489"/>
      <c r="Q82" s="489"/>
      <c r="R82" s="489"/>
      <c r="S82" s="489"/>
      <c r="T82" s="489"/>
      <c r="U82" s="489"/>
      <c r="V82" s="489"/>
    </row>
    <row r="83" spans="1:22">
      <c r="A83" s="489"/>
      <c r="B83" s="489"/>
      <c r="C83" s="489"/>
      <c r="D83" s="489"/>
      <c r="E83" s="489"/>
      <c r="F83" s="489"/>
      <c r="G83" s="489"/>
      <c r="H83" s="489"/>
      <c r="I83" s="489"/>
      <c r="J83" s="489"/>
      <c r="K83" s="489"/>
      <c r="L83" s="489"/>
      <c r="M83" s="489"/>
      <c r="N83" s="489"/>
      <c r="O83" s="489"/>
      <c r="P83" s="489"/>
      <c r="Q83" s="489"/>
      <c r="R83" s="489"/>
      <c r="S83" s="489"/>
      <c r="T83" s="489"/>
      <c r="U83" s="489"/>
      <c r="V83" s="489"/>
    </row>
    <row r="84" spans="1:22">
      <c r="A84" s="489"/>
      <c r="B84" s="489"/>
      <c r="C84" s="489"/>
      <c r="D84" s="489"/>
      <c r="E84" s="489"/>
      <c r="F84" s="489"/>
      <c r="G84" s="489"/>
      <c r="H84" s="489"/>
      <c r="I84" s="489"/>
      <c r="J84" s="489"/>
      <c r="K84" s="489"/>
      <c r="L84" s="489"/>
      <c r="M84" s="489"/>
      <c r="N84" s="489"/>
      <c r="O84" s="489"/>
      <c r="P84" s="489"/>
      <c r="Q84" s="489"/>
      <c r="R84" s="489"/>
      <c r="S84" s="489"/>
      <c r="T84" s="489"/>
      <c r="U84" s="489"/>
      <c r="V84" s="489"/>
    </row>
    <row r="85" spans="1:22">
      <c r="A85" s="489"/>
      <c r="B85" s="489"/>
      <c r="C85" s="489"/>
      <c r="D85" s="489"/>
      <c r="E85" s="489"/>
      <c r="F85" s="489"/>
      <c r="G85" s="489"/>
      <c r="H85" s="489"/>
      <c r="I85" s="489"/>
      <c r="J85" s="489"/>
      <c r="K85" s="489"/>
      <c r="L85" s="489"/>
      <c r="M85" s="489"/>
      <c r="N85" s="489"/>
      <c r="O85" s="489"/>
      <c r="P85" s="489"/>
      <c r="Q85" s="489"/>
      <c r="R85" s="489"/>
      <c r="S85" s="489"/>
      <c r="T85" s="489"/>
      <c r="U85" s="489"/>
      <c r="V85" s="489"/>
    </row>
    <row r="86" spans="1:22">
      <c r="A86" s="489"/>
      <c r="B86" s="489"/>
      <c r="C86" s="489"/>
      <c r="D86" s="489"/>
      <c r="E86" s="489"/>
      <c r="F86" s="489"/>
      <c r="G86" s="489"/>
      <c r="H86" s="489"/>
      <c r="I86" s="489"/>
      <c r="J86" s="489"/>
      <c r="K86" s="489"/>
      <c r="L86" s="489"/>
      <c r="M86" s="489"/>
      <c r="N86" s="489"/>
      <c r="O86" s="489"/>
      <c r="P86" s="489"/>
      <c r="Q86" s="489"/>
      <c r="R86" s="489"/>
      <c r="S86" s="489"/>
      <c r="T86" s="489"/>
      <c r="U86" s="489"/>
      <c r="V86" s="489"/>
    </row>
    <row r="87" spans="1:22">
      <c r="A87" s="489"/>
      <c r="B87" s="489"/>
      <c r="C87" s="489"/>
      <c r="D87" s="489"/>
      <c r="E87" s="489"/>
      <c r="F87" s="489"/>
      <c r="G87" s="489"/>
      <c r="H87" s="489"/>
      <c r="I87" s="489"/>
      <c r="J87" s="489"/>
      <c r="K87" s="489"/>
      <c r="L87" s="489"/>
      <c r="M87" s="489"/>
      <c r="N87" s="489"/>
      <c r="O87" s="489"/>
      <c r="P87" s="489"/>
      <c r="Q87" s="489"/>
      <c r="R87" s="489"/>
      <c r="S87" s="489"/>
      <c r="T87" s="489"/>
      <c r="U87" s="489"/>
      <c r="V87" s="489"/>
    </row>
    <row r="88" spans="1:22">
      <c r="A88" s="489"/>
      <c r="B88" s="489"/>
      <c r="C88" s="489"/>
      <c r="D88" s="489"/>
      <c r="E88" s="489"/>
      <c r="F88" s="489"/>
      <c r="G88" s="489"/>
      <c r="H88" s="489"/>
      <c r="I88" s="489"/>
      <c r="J88" s="489"/>
      <c r="K88" s="489"/>
      <c r="L88" s="489"/>
      <c r="M88" s="489"/>
      <c r="N88" s="489"/>
      <c r="O88" s="489"/>
      <c r="P88" s="489"/>
      <c r="Q88" s="489"/>
      <c r="R88" s="489"/>
      <c r="S88" s="489"/>
      <c r="T88" s="489"/>
      <c r="U88" s="489"/>
      <c r="V88" s="489"/>
    </row>
    <row r="89" spans="1:22">
      <c r="A89" s="489"/>
      <c r="B89" s="489"/>
      <c r="C89" s="489"/>
      <c r="D89" s="489"/>
      <c r="E89" s="489"/>
      <c r="F89" s="489"/>
      <c r="G89" s="489"/>
      <c r="H89" s="489"/>
      <c r="I89" s="489"/>
      <c r="J89" s="489"/>
      <c r="K89" s="489"/>
      <c r="L89" s="489"/>
      <c r="M89" s="489"/>
      <c r="N89" s="489"/>
      <c r="O89" s="489"/>
      <c r="P89" s="489"/>
      <c r="Q89" s="489"/>
      <c r="R89" s="489"/>
      <c r="S89" s="489"/>
      <c r="T89" s="489"/>
      <c r="U89" s="489"/>
      <c r="V89" s="489"/>
    </row>
    <row r="90" spans="1:22">
      <c r="A90" s="489"/>
      <c r="B90" s="489"/>
      <c r="C90" s="489"/>
      <c r="D90" s="489"/>
      <c r="E90" s="489"/>
      <c r="F90" s="489"/>
      <c r="G90" s="489"/>
      <c r="H90" s="489"/>
      <c r="I90" s="489"/>
      <c r="J90" s="489"/>
      <c r="K90" s="489"/>
      <c r="L90" s="489"/>
      <c r="M90" s="489"/>
      <c r="N90" s="489"/>
      <c r="O90" s="489"/>
      <c r="P90" s="489"/>
      <c r="Q90" s="489"/>
      <c r="R90" s="489"/>
      <c r="S90" s="489"/>
      <c r="T90" s="489"/>
      <c r="U90" s="489"/>
      <c r="V90" s="489"/>
    </row>
    <row r="91" spans="1:22">
      <c r="A91" s="489"/>
      <c r="B91" s="489"/>
      <c r="C91" s="489"/>
      <c r="D91" s="489"/>
      <c r="E91" s="489"/>
      <c r="F91" s="489"/>
      <c r="G91" s="489"/>
      <c r="H91" s="489"/>
      <c r="I91" s="489"/>
      <c r="J91" s="489"/>
      <c r="K91" s="489"/>
      <c r="L91" s="489"/>
      <c r="M91" s="489"/>
      <c r="N91" s="489"/>
      <c r="O91" s="489"/>
      <c r="P91" s="489"/>
      <c r="Q91" s="489"/>
      <c r="R91" s="489"/>
      <c r="S91" s="489"/>
      <c r="T91" s="489"/>
      <c r="U91" s="489"/>
      <c r="V91" s="489"/>
    </row>
    <row r="92" spans="1:22">
      <c r="A92" s="489"/>
      <c r="B92" s="489"/>
      <c r="C92" s="489"/>
      <c r="D92" s="489"/>
      <c r="E92" s="489"/>
      <c r="F92" s="489"/>
      <c r="G92" s="489"/>
      <c r="H92" s="489"/>
      <c r="I92" s="489"/>
      <c r="J92" s="489"/>
      <c r="K92" s="489"/>
      <c r="L92" s="489"/>
      <c r="M92" s="489"/>
      <c r="N92" s="489"/>
      <c r="O92" s="489"/>
      <c r="P92" s="489"/>
      <c r="Q92" s="489"/>
      <c r="R92" s="489"/>
      <c r="S92" s="489"/>
      <c r="T92" s="489"/>
      <c r="U92" s="489"/>
      <c r="V92" s="489"/>
    </row>
    <row r="93" spans="1:22">
      <c r="A93" s="489"/>
      <c r="B93" s="489"/>
      <c r="C93" s="489"/>
      <c r="D93" s="489"/>
      <c r="E93" s="489"/>
      <c r="F93" s="489"/>
      <c r="G93" s="489"/>
      <c r="H93" s="489"/>
      <c r="I93" s="489"/>
      <c r="J93" s="489"/>
      <c r="K93" s="489"/>
      <c r="L93" s="489"/>
      <c r="M93" s="489"/>
      <c r="N93" s="489"/>
      <c r="O93" s="489"/>
      <c r="P93" s="489"/>
      <c r="Q93" s="489"/>
      <c r="R93" s="489"/>
      <c r="S93" s="489"/>
      <c r="T93" s="489"/>
      <c r="U93" s="489"/>
      <c r="V93" s="489"/>
    </row>
    <row r="94" spans="1:22">
      <c r="A94" s="489"/>
      <c r="B94" s="489"/>
      <c r="C94" s="489"/>
      <c r="D94" s="489"/>
      <c r="E94" s="489"/>
      <c r="F94" s="489"/>
      <c r="G94" s="489"/>
      <c r="H94" s="489"/>
      <c r="I94" s="489"/>
      <c r="J94" s="489"/>
      <c r="K94" s="489"/>
      <c r="L94" s="489"/>
      <c r="M94" s="489"/>
      <c r="N94" s="489"/>
      <c r="O94" s="489"/>
      <c r="P94" s="489"/>
      <c r="Q94" s="489"/>
      <c r="R94" s="489"/>
      <c r="S94" s="489"/>
      <c r="T94" s="489"/>
      <c r="U94" s="489"/>
      <c r="V94" s="489"/>
    </row>
    <row r="95" spans="1:22">
      <c r="A95" s="489"/>
      <c r="B95" s="489"/>
      <c r="C95" s="489"/>
      <c r="D95" s="489"/>
      <c r="E95" s="489"/>
      <c r="F95" s="489"/>
      <c r="G95" s="489"/>
      <c r="H95" s="489"/>
      <c r="I95" s="489"/>
      <c r="J95" s="489"/>
      <c r="K95" s="489"/>
      <c r="L95" s="489"/>
      <c r="M95" s="489"/>
      <c r="N95" s="489"/>
      <c r="O95" s="489"/>
      <c r="P95" s="489"/>
      <c r="Q95" s="489"/>
      <c r="R95" s="489"/>
      <c r="S95" s="489"/>
      <c r="T95" s="489"/>
      <c r="U95" s="489"/>
      <c r="V95" s="489"/>
    </row>
    <row r="96" spans="1:22">
      <c r="A96" s="489"/>
      <c r="B96" s="489"/>
      <c r="C96" s="489"/>
      <c r="D96" s="489"/>
      <c r="E96" s="489"/>
      <c r="F96" s="489"/>
      <c r="G96" s="489"/>
      <c r="H96" s="489"/>
      <c r="I96" s="489"/>
      <c r="J96" s="489"/>
      <c r="K96" s="489"/>
      <c r="L96" s="489"/>
      <c r="M96" s="489"/>
      <c r="N96" s="489"/>
      <c r="O96" s="489"/>
      <c r="P96" s="489"/>
      <c r="Q96" s="489"/>
      <c r="R96" s="489"/>
      <c r="S96" s="489"/>
      <c r="T96" s="489"/>
      <c r="U96" s="489"/>
      <c r="V96" s="489"/>
    </row>
    <row r="97" spans="1:22">
      <c r="A97" s="489"/>
      <c r="B97" s="489"/>
      <c r="C97" s="489"/>
      <c r="D97" s="489"/>
      <c r="E97" s="489"/>
      <c r="F97" s="489"/>
      <c r="G97" s="489"/>
      <c r="H97" s="489"/>
      <c r="I97" s="489"/>
      <c r="J97" s="489"/>
      <c r="K97" s="489"/>
      <c r="L97" s="489"/>
      <c r="M97" s="489"/>
      <c r="N97" s="489"/>
      <c r="O97" s="489"/>
      <c r="P97" s="489"/>
      <c r="Q97" s="489"/>
      <c r="R97" s="489"/>
      <c r="S97" s="489"/>
      <c r="T97" s="489"/>
      <c r="U97" s="489"/>
      <c r="V97" s="489"/>
    </row>
    <row r="98" spans="1:22">
      <c r="A98" s="489"/>
      <c r="B98" s="489"/>
      <c r="C98" s="489"/>
      <c r="D98" s="489"/>
      <c r="E98" s="489"/>
      <c r="F98" s="489"/>
      <c r="G98" s="489"/>
      <c r="H98" s="489"/>
      <c r="I98" s="489"/>
      <c r="J98" s="489"/>
      <c r="K98" s="489"/>
      <c r="L98" s="489"/>
      <c r="M98" s="489"/>
      <c r="N98" s="489"/>
      <c r="O98" s="489"/>
      <c r="P98" s="489"/>
      <c r="Q98" s="489"/>
      <c r="R98" s="489"/>
      <c r="S98" s="489"/>
      <c r="T98" s="489"/>
      <c r="U98" s="489"/>
      <c r="V98" s="489"/>
    </row>
    <row r="99" spans="1:22">
      <c r="A99" s="489"/>
      <c r="B99" s="489"/>
      <c r="C99" s="489"/>
      <c r="D99" s="489"/>
      <c r="E99" s="489"/>
      <c r="F99" s="489"/>
      <c r="G99" s="489"/>
      <c r="H99" s="489"/>
      <c r="I99" s="489"/>
      <c r="J99" s="489"/>
      <c r="K99" s="489"/>
      <c r="L99" s="489"/>
      <c r="M99" s="489"/>
      <c r="N99" s="489"/>
      <c r="O99" s="489"/>
      <c r="P99" s="489"/>
      <c r="Q99" s="489"/>
      <c r="R99" s="489"/>
      <c r="S99" s="489"/>
      <c r="T99" s="489"/>
      <c r="U99" s="489"/>
      <c r="V99" s="489"/>
    </row>
    <row r="100" spans="1:22">
      <c r="A100" s="489"/>
      <c r="B100" s="489"/>
      <c r="C100" s="489"/>
      <c r="D100" s="489"/>
      <c r="E100" s="489"/>
      <c r="F100" s="489"/>
      <c r="G100" s="489"/>
      <c r="H100" s="489"/>
      <c r="I100" s="489"/>
      <c r="J100" s="489"/>
      <c r="K100" s="489"/>
      <c r="L100" s="489"/>
      <c r="M100" s="489"/>
      <c r="N100" s="489"/>
      <c r="O100" s="489"/>
      <c r="P100" s="489"/>
      <c r="Q100" s="489"/>
      <c r="R100" s="489"/>
      <c r="S100" s="489"/>
      <c r="T100" s="489"/>
      <c r="U100" s="489"/>
      <c r="V100" s="489"/>
    </row>
    <row r="101" spans="1:22">
      <c r="A101" s="489"/>
      <c r="B101" s="489"/>
      <c r="C101" s="489"/>
      <c r="D101" s="489"/>
      <c r="E101" s="489"/>
      <c r="F101" s="489"/>
      <c r="G101" s="489"/>
      <c r="H101" s="489"/>
      <c r="I101" s="489"/>
      <c r="J101" s="489"/>
      <c r="K101" s="489"/>
      <c r="L101" s="489"/>
      <c r="M101" s="489"/>
      <c r="N101" s="489"/>
      <c r="O101" s="489"/>
      <c r="P101" s="489"/>
      <c r="Q101" s="489"/>
      <c r="R101" s="489"/>
      <c r="S101" s="489"/>
      <c r="T101" s="489"/>
      <c r="U101" s="489"/>
      <c r="V101" s="489"/>
    </row>
    <row r="102" spans="1:22">
      <c r="A102" s="489"/>
      <c r="B102" s="489"/>
      <c r="C102" s="489"/>
      <c r="D102" s="489"/>
      <c r="E102" s="489"/>
      <c r="F102" s="489"/>
      <c r="G102" s="489"/>
      <c r="H102" s="489"/>
      <c r="I102" s="489"/>
      <c r="J102" s="489"/>
      <c r="K102" s="489"/>
      <c r="L102" s="489"/>
      <c r="M102" s="489"/>
      <c r="N102" s="489"/>
      <c r="O102" s="489"/>
      <c r="P102" s="489"/>
      <c r="Q102" s="489"/>
      <c r="R102" s="489"/>
      <c r="S102" s="489"/>
      <c r="T102" s="489"/>
      <c r="U102" s="489"/>
      <c r="V102" s="489"/>
    </row>
    <row r="103" spans="1:22">
      <c r="A103" s="489"/>
      <c r="B103" s="489"/>
      <c r="C103" s="489"/>
      <c r="D103" s="489"/>
      <c r="E103" s="489"/>
      <c r="F103" s="489"/>
      <c r="G103" s="489"/>
      <c r="H103" s="489"/>
      <c r="I103" s="489"/>
      <c r="J103" s="489"/>
      <c r="K103" s="489"/>
      <c r="L103" s="489"/>
      <c r="M103" s="489"/>
      <c r="N103" s="489"/>
      <c r="O103" s="489"/>
      <c r="P103" s="489"/>
      <c r="Q103" s="489"/>
      <c r="R103" s="489"/>
      <c r="S103" s="489"/>
      <c r="T103" s="489"/>
      <c r="U103" s="489"/>
      <c r="V103" s="489"/>
    </row>
    <row r="104" spans="1:22">
      <c r="A104" s="489"/>
      <c r="B104" s="489"/>
      <c r="C104" s="489"/>
      <c r="D104" s="489"/>
      <c r="E104" s="489"/>
      <c r="F104" s="489"/>
      <c r="G104" s="489"/>
      <c r="H104" s="489"/>
      <c r="I104" s="489"/>
      <c r="J104" s="489"/>
      <c r="K104" s="489"/>
      <c r="L104" s="489"/>
      <c r="M104" s="489"/>
      <c r="N104" s="489"/>
      <c r="O104" s="489"/>
      <c r="P104" s="489"/>
      <c r="Q104" s="489"/>
      <c r="R104" s="489"/>
      <c r="S104" s="489"/>
      <c r="T104" s="489"/>
      <c r="U104" s="489"/>
      <c r="V104" s="489"/>
    </row>
    <row r="105" spans="1:22">
      <c r="A105" s="489"/>
      <c r="B105" s="489"/>
      <c r="C105" s="489"/>
      <c r="D105" s="489"/>
      <c r="E105" s="489"/>
      <c r="F105" s="489"/>
      <c r="G105" s="489"/>
      <c r="H105" s="489"/>
      <c r="I105" s="489"/>
      <c r="J105" s="489"/>
      <c r="K105" s="489"/>
      <c r="L105" s="489"/>
      <c r="M105" s="489"/>
      <c r="N105" s="489"/>
      <c r="O105" s="489"/>
      <c r="P105" s="489"/>
      <c r="Q105" s="489"/>
      <c r="R105" s="489"/>
      <c r="S105" s="489"/>
      <c r="T105" s="489"/>
      <c r="U105" s="489"/>
      <c r="V105" s="489"/>
    </row>
    <row r="106" spans="1:22">
      <c r="A106" s="489"/>
      <c r="B106" s="489"/>
      <c r="C106" s="489"/>
      <c r="D106" s="489"/>
      <c r="E106" s="489"/>
      <c r="F106" s="489"/>
      <c r="G106" s="489"/>
      <c r="H106" s="489"/>
      <c r="I106" s="489"/>
      <c r="J106" s="489"/>
      <c r="K106" s="489"/>
      <c r="L106" s="489"/>
      <c r="M106" s="489"/>
      <c r="N106" s="489"/>
      <c r="O106" s="489"/>
      <c r="P106" s="489"/>
      <c r="Q106" s="489"/>
      <c r="R106" s="489"/>
      <c r="S106" s="489"/>
      <c r="T106" s="489"/>
      <c r="U106" s="489"/>
      <c r="V106" s="489"/>
    </row>
    <row r="107" spans="1:22">
      <c r="A107" s="489"/>
      <c r="B107" s="489"/>
      <c r="C107" s="489"/>
      <c r="D107" s="489"/>
      <c r="E107" s="489"/>
      <c r="F107" s="489"/>
      <c r="G107" s="489"/>
      <c r="H107" s="489"/>
      <c r="I107" s="489"/>
      <c r="J107" s="489"/>
      <c r="K107" s="489"/>
      <c r="L107" s="489"/>
      <c r="M107" s="489"/>
      <c r="N107" s="489"/>
      <c r="O107" s="489"/>
      <c r="P107" s="489"/>
      <c r="Q107" s="489"/>
      <c r="R107" s="489"/>
      <c r="S107" s="489"/>
      <c r="T107" s="489"/>
      <c r="U107" s="489"/>
      <c r="V107" s="489"/>
    </row>
    <row r="108" spans="1:22">
      <c r="A108" s="489"/>
      <c r="B108" s="489"/>
      <c r="C108" s="489"/>
      <c r="D108" s="489"/>
      <c r="E108" s="489"/>
      <c r="F108" s="489"/>
      <c r="G108" s="489"/>
      <c r="H108" s="489"/>
      <c r="I108" s="489"/>
      <c r="J108" s="489"/>
      <c r="K108" s="489"/>
      <c r="L108" s="489"/>
      <c r="M108" s="489"/>
      <c r="N108" s="489"/>
      <c r="O108" s="489"/>
      <c r="P108" s="489"/>
      <c r="Q108" s="489"/>
      <c r="R108" s="489"/>
      <c r="S108" s="489"/>
      <c r="T108" s="489"/>
      <c r="U108" s="489"/>
      <c r="V108" s="489"/>
    </row>
    <row r="109" spans="1:22">
      <c r="A109" s="489"/>
      <c r="B109" s="489"/>
      <c r="C109" s="489"/>
      <c r="D109" s="489"/>
      <c r="E109" s="489"/>
      <c r="F109" s="489"/>
      <c r="G109" s="489"/>
      <c r="H109" s="489"/>
      <c r="I109" s="489"/>
      <c r="J109" s="489"/>
      <c r="K109" s="489"/>
      <c r="L109" s="489"/>
      <c r="M109" s="489"/>
      <c r="N109" s="489"/>
      <c r="O109" s="489"/>
      <c r="P109" s="489"/>
      <c r="Q109" s="489"/>
      <c r="R109" s="489"/>
      <c r="S109" s="489"/>
      <c r="T109" s="489"/>
      <c r="U109" s="489"/>
      <c r="V109" s="489"/>
    </row>
    <row r="110" spans="1:22">
      <c r="A110" s="489"/>
      <c r="B110" s="489"/>
      <c r="C110" s="489"/>
      <c r="D110" s="489"/>
      <c r="E110" s="489"/>
      <c r="F110" s="489"/>
      <c r="G110" s="489"/>
      <c r="H110" s="489"/>
      <c r="I110" s="489"/>
      <c r="J110" s="489"/>
      <c r="K110" s="489"/>
      <c r="L110" s="489"/>
      <c r="M110" s="489"/>
      <c r="N110" s="489"/>
      <c r="O110" s="489"/>
      <c r="P110" s="489"/>
      <c r="Q110" s="489"/>
      <c r="R110" s="489"/>
      <c r="S110" s="489"/>
      <c r="T110" s="489"/>
      <c r="U110" s="489"/>
      <c r="V110" s="489"/>
    </row>
    <row r="111" spans="1:22">
      <c r="A111" s="489"/>
      <c r="B111" s="489"/>
      <c r="C111" s="489"/>
      <c r="D111" s="489"/>
      <c r="E111" s="489"/>
      <c r="F111" s="489"/>
      <c r="G111" s="489"/>
      <c r="H111" s="489"/>
      <c r="I111" s="489"/>
      <c r="J111" s="489"/>
      <c r="K111" s="489"/>
      <c r="L111" s="489"/>
      <c r="M111" s="489"/>
      <c r="N111" s="489"/>
      <c r="O111" s="489"/>
      <c r="P111" s="489"/>
      <c r="Q111" s="489"/>
      <c r="R111" s="489"/>
      <c r="S111" s="489"/>
      <c r="T111" s="489"/>
      <c r="U111" s="489"/>
      <c r="V111" s="489"/>
    </row>
    <row r="112" spans="1:22">
      <c r="A112" s="489"/>
      <c r="B112" s="489"/>
      <c r="C112" s="489"/>
      <c r="D112" s="489"/>
      <c r="E112" s="489"/>
      <c r="F112" s="489"/>
      <c r="G112" s="489"/>
      <c r="H112" s="489"/>
      <c r="I112" s="489"/>
      <c r="J112" s="489"/>
      <c r="K112" s="489"/>
      <c r="L112" s="489"/>
      <c r="M112" s="489"/>
      <c r="N112" s="489"/>
      <c r="O112" s="489"/>
      <c r="P112" s="489"/>
      <c r="Q112" s="489"/>
      <c r="R112" s="489"/>
      <c r="S112" s="489"/>
      <c r="T112" s="489"/>
      <c r="U112" s="489"/>
      <c r="V112" s="489"/>
    </row>
    <row r="113" spans="1:22">
      <c r="A113" s="489"/>
      <c r="B113" s="489"/>
      <c r="C113" s="489"/>
      <c r="D113" s="489"/>
      <c r="E113" s="489"/>
      <c r="F113" s="489"/>
      <c r="G113" s="489"/>
      <c r="H113" s="489"/>
      <c r="I113" s="489"/>
      <c r="J113" s="489"/>
      <c r="K113" s="489"/>
      <c r="L113" s="489"/>
      <c r="M113" s="489"/>
      <c r="N113" s="489"/>
      <c r="O113" s="489"/>
      <c r="P113" s="489"/>
      <c r="Q113" s="489"/>
      <c r="R113" s="489"/>
      <c r="S113" s="489"/>
      <c r="T113" s="489"/>
      <c r="U113" s="489"/>
      <c r="V113" s="489"/>
    </row>
    <row r="114" spans="1:22">
      <c r="A114" s="489"/>
      <c r="B114" s="489"/>
      <c r="C114" s="489"/>
      <c r="D114" s="489"/>
      <c r="E114" s="489"/>
      <c r="F114" s="489"/>
      <c r="G114" s="489"/>
      <c r="H114" s="489"/>
      <c r="I114" s="489"/>
      <c r="J114" s="489"/>
      <c r="K114" s="489"/>
      <c r="L114" s="489"/>
      <c r="M114" s="489"/>
      <c r="N114" s="489"/>
      <c r="O114" s="489"/>
      <c r="P114" s="489"/>
      <c r="Q114" s="489"/>
      <c r="R114" s="489"/>
      <c r="S114" s="489"/>
      <c r="T114" s="489"/>
      <c r="U114" s="489"/>
      <c r="V114" s="489"/>
    </row>
    <row r="115" spans="1:22">
      <c r="A115" s="489"/>
      <c r="B115" s="489"/>
      <c r="C115" s="489"/>
      <c r="D115" s="489"/>
      <c r="E115" s="489"/>
      <c r="F115" s="489"/>
      <c r="G115" s="489"/>
      <c r="H115" s="489"/>
      <c r="I115" s="489"/>
      <c r="J115" s="489"/>
      <c r="K115" s="489"/>
      <c r="L115" s="489"/>
      <c r="M115" s="489"/>
      <c r="N115" s="489"/>
      <c r="O115" s="489"/>
      <c r="P115" s="489"/>
      <c r="Q115" s="489"/>
      <c r="R115" s="489"/>
      <c r="S115" s="489"/>
      <c r="T115" s="489"/>
      <c r="U115" s="489"/>
      <c r="V115" s="489"/>
    </row>
    <row r="116" spans="1:22">
      <c r="A116" s="489"/>
      <c r="B116" s="489"/>
      <c r="C116" s="489"/>
      <c r="D116" s="489"/>
      <c r="E116" s="489"/>
      <c r="F116" s="489"/>
      <c r="G116" s="489"/>
      <c r="H116" s="489"/>
      <c r="I116" s="489"/>
      <c r="J116" s="489"/>
      <c r="K116" s="489"/>
      <c r="L116" s="489"/>
      <c r="M116" s="489"/>
      <c r="N116" s="489"/>
      <c r="O116" s="489"/>
      <c r="P116" s="489"/>
      <c r="Q116" s="489"/>
      <c r="R116" s="489"/>
      <c r="S116" s="489"/>
      <c r="T116" s="489"/>
      <c r="U116" s="489"/>
      <c r="V116" s="489"/>
    </row>
    <row r="117" spans="1:22">
      <c r="A117" s="489"/>
      <c r="B117" s="489"/>
      <c r="C117" s="489"/>
      <c r="D117" s="489"/>
      <c r="E117" s="489"/>
      <c r="F117" s="489"/>
      <c r="G117" s="489"/>
      <c r="H117" s="489"/>
      <c r="I117" s="489"/>
      <c r="J117" s="489"/>
      <c r="K117" s="489"/>
      <c r="L117" s="489"/>
      <c r="M117" s="489"/>
      <c r="N117" s="489"/>
      <c r="O117" s="489"/>
      <c r="P117" s="489"/>
      <c r="Q117" s="489"/>
      <c r="R117" s="489"/>
      <c r="S117" s="489"/>
      <c r="T117" s="489"/>
      <c r="U117" s="489"/>
      <c r="V117" s="489"/>
    </row>
    <row r="118" spans="1:22">
      <c r="A118" s="489"/>
      <c r="B118" s="489"/>
      <c r="C118" s="489"/>
      <c r="D118" s="489"/>
      <c r="E118" s="489"/>
      <c r="F118" s="489"/>
      <c r="G118" s="489"/>
      <c r="H118" s="489"/>
      <c r="I118" s="489"/>
      <c r="J118" s="489"/>
      <c r="K118" s="489"/>
      <c r="L118" s="489"/>
      <c r="M118" s="489"/>
      <c r="N118" s="489"/>
      <c r="O118" s="489"/>
      <c r="P118" s="489"/>
      <c r="Q118" s="489"/>
      <c r="R118" s="489"/>
      <c r="S118" s="489"/>
      <c r="T118" s="489"/>
      <c r="U118" s="489"/>
      <c r="V118" s="489"/>
    </row>
    <row r="119" spans="1:22">
      <c r="A119" s="489"/>
      <c r="B119" s="489"/>
      <c r="C119" s="489"/>
      <c r="D119" s="489"/>
      <c r="E119" s="489"/>
      <c r="F119" s="489"/>
      <c r="G119" s="489"/>
      <c r="H119" s="489"/>
      <c r="I119" s="489"/>
      <c r="J119" s="489"/>
      <c r="K119" s="489"/>
      <c r="L119" s="489"/>
      <c r="M119" s="489"/>
      <c r="N119" s="489"/>
      <c r="O119" s="489"/>
      <c r="P119" s="489"/>
      <c r="Q119" s="489"/>
      <c r="R119" s="489"/>
      <c r="S119" s="489"/>
      <c r="T119" s="489"/>
      <c r="U119" s="489"/>
      <c r="V119" s="489"/>
    </row>
    <row r="120" spans="1:22">
      <c r="A120" s="489"/>
      <c r="B120" s="489"/>
      <c r="C120" s="489"/>
      <c r="D120" s="489"/>
      <c r="E120" s="489"/>
      <c r="F120" s="489"/>
      <c r="G120" s="489"/>
      <c r="H120" s="489"/>
      <c r="I120" s="489"/>
      <c r="J120" s="489"/>
      <c r="K120" s="489"/>
      <c r="L120" s="489"/>
      <c r="M120" s="489"/>
      <c r="N120" s="489"/>
      <c r="O120" s="489"/>
      <c r="P120" s="489"/>
      <c r="Q120" s="489"/>
      <c r="R120" s="489"/>
      <c r="S120" s="489"/>
      <c r="T120" s="489"/>
      <c r="U120" s="489"/>
      <c r="V120" s="489"/>
    </row>
    <row r="121" spans="1:22">
      <c r="A121" s="489"/>
      <c r="B121" s="489"/>
      <c r="C121" s="489"/>
      <c r="D121" s="489"/>
      <c r="E121" s="489"/>
      <c r="F121" s="489"/>
      <c r="G121" s="489"/>
      <c r="H121" s="489"/>
      <c r="I121" s="489"/>
      <c r="J121" s="489"/>
      <c r="K121" s="489"/>
      <c r="L121" s="489"/>
      <c r="M121" s="489"/>
      <c r="N121" s="489"/>
      <c r="O121" s="489"/>
      <c r="P121" s="489"/>
      <c r="Q121" s="489"/>
      <c r="R121" s="489"/>
      <c r="S121" s="489"/>
      <c r="T121" s="489"/>
      <c r="U121" s="489"/>
      <c r="V121" s="489"/>
    </row>
    <row r="122" spans="1:22">
      <c r="A122" s="489"/>
      <c r="B122" s="489"/>
      <c r="C122" s="489"/>
      <c r="D122" s="489"/>
      <c r="E122" s="489"/>
      <c r="F122" s="489"/>
      <c r="G122" s="489"/>
      <c r="H122" s="489"/>
      <c r="I122" s="489"/>
      <c r="J122" s="489"/>
      <c r="K122" s="489"/>
      <c r="L122" s="489"/>
      <c r="M122" s="489"/>
      <c r="N122" s="489"/>
      <c r="O122" s="489"/>
      <c r="P122" s="489"/>
      <c r="Q122" s="489"/>
      <c r="R122" s="489"/>
      <c r="S122" s="489"/>
      <c r="T122" s="489"/>
      <c r="U122" s="489"/>
      <c r="V122" s="489"/>
    </row>
    <row r="123" spans="1:22">
      <c r="A123" s="489"/>
      <c r="B123" s="489"/>
      <c r="C123" s="489"/>
      <c r="D123" s="489"/>
      <c r="E123" s="489"/>
      <c r="F123" s="489"/>
      <c r="G123" s="489"/>
      <c r="H123" s="489"/>
      <c r="I123" s="489"/>
      <c r="J123" s="489"/>
      <c r="K123" s="489"/>
      <c r="L123" s="489"/>
      <c r="M123" s="489"/>
      <c r="N123" s="489"/>
      <c r="O123" s="489"/>
      <c r="P123" s="489"/>
      <c r="Q123" s="489"/>
      <c r="R123" s="489"/>
      <c r="S123" s="489"/>
      <c r="T123" s="489"/>
      <c r="U123" s="489"/>
      <c r="V123" s="489"/>
    </row>
    <row r="124" spans="1:22">
      <c r="A124" s="489"/>
      <c r="B124" s="489"/>
      <c r="C124" s="489"/>
      <c r="D124" s="489"/>
      <c r="E124" s="489"/>
      <c r="F124" s="489"/>
      <c r="G124" s="489"/>
      <c r="H124" s="489"/>
      <c r="I124" s="489"/>
      <c r="J124" s="489"/>
      <c r="K124" s="489"/>
      <c r="L124" s="489"/>
      <c r="M124" s="489"/>
      <c r="N124" s="489"/>
      <c r="O124" s="489"/>
      <c r="P124" s="489"/>
      <c r="Q124" s="489"/>
      <c r="R124" s="489"/>
      <c r="S124" s="489"/>
      <c r="T124" s="489"/>
      <c r="U124" s="489"/>
      <c r="V124" s="489"/>
    </row>
    <row r="125" spans="1:22">
      <c r="A125" s="489"/>
      <c r="B125" s="489"/>
      <c r="C125" s="489"/>
      <c r="D125" s="489"/>
      <c r="E125" s="489"/>
      <c r="F125" s="489"/>
      <c r="G125" s="489"/>
      <c r="H125" s="489"/>
      <c r="I125" s="489"/>
      <c r="J125" s="489"/>
      <c r="K125" s="489"/>
      <c r="L125" s="489"/>
      <c r="M125" s="489"/>
      <c r="N125" s="489"/>
      <c r="O125" s="489"/>
      <c r="P125" s="489"/>
      <c r="Q125" s="489"/>
      <c r="R125" s="489"/>
      <c r="S125" s="489"/>
      <c r="T125" s="489"/>
      <c r="U125" s="489"/>
      <c r="V125" s="489"/>
    </row>
    <row r="126" spans="1:22">
      <c r="A126" s="489"/>
      <c r="B126" s="489"/>
      <c r="C126" s="489"/>
      <c r="D126" s="489"/>
      <c r="E126" s="489"/>
      <c r="F126" s="489"/>
      <c r="G126" s="489"/>
      <c r="H126" s="489"/>
      <c r="I126" s="489"/>
      <c r="J126" s="489"/>
      <c r="K126" s="489"/>
      <c r="L126" s="489"/>
      <c r="M126" s="489"/>
      <c r="N126" s="489"/>
      <c r="O126" s="489"/>
      <c r="P126" s="489"/>
      <c r="Q126" s="489"/>
      <c r="R126" s="489"/>
      <c r="S126" s="489"/>
      <c r="T126" s="489"/>
      <c r="U126" s="489"/>
      <c r="V126" s="489"/>
    </row>
    <row r="127" spans="1:22">
      <c r="A127" s="489"/>
      <c r="B127" s="489"/>
      <c r="C127" s="489"/>
      <c r="D127" s="489"/>
      <c r="E127" s="489"/>
      <c r="F127" s="489"/>
      <c r="G127" s="489"/>
      <c r="H127" s="489"/>
      <c r="I127" s="489"/>
      <c r="J127" s="489"/>
      <c r="K127" s="489"/>
      <c r="L127" s="489"/>
      <c r="M127" s="489"/>
      <c r="N127" s="489"/>
      <c r="O127" s="489"/>
      <c r="P127" s="489"/>
      <c r="Q127" s="489"/>
      <c r="R127" s="489"/>
      <c r="S127" s="489"/>
      <c r="T127" s="489"/>
      <c r="U127" s="489"/>
      <c r="V127" s="489"/>
    </row>
    <row r="128" spans="1:22">
      <c r="A128" s="489"/>
      <c r="B128" s="489"/>
      <c r="C128" s="489"/>
      <c r="D128" s="489"/>
      <c r="E128" s="489"/>
      <c r="F128" s="489"/>
      <c r="G128" s="489"/>
      <c r="H128" s="489"/>
      <c r="I128" s="489"/>
      <c r="J128" s="489"/>
      <c r="K128" s="489"/>
      <c r="L128" s="489"/>
      <c r="M128" s="489"/>
      <c r="N128" s="489"/>
      <c r="O128" s="489"/>
      <c r="P128" s="489"/>
      <c r="Q128" s="489"/>
      <c r="R128" s="489"/>
      <c r="S128" s="489"/>
      <c r="T128" s="489"/>
      <c r="U128" s="489"/>
      <c r="V128" s="489"/>
    </row>
    <row r="129" spans="1:22">
      <c r="A129" s="489"/>
      <c r="B129" s="489"/>
      <c r="C129" s="489"/>
      <c r="D129" s="489"/>
      <c r="E129" s="489"/>
      <c r="F129" s="489"/>
      <c r="G129" s="489"/>
      <c r="H129" s="489"/>
      <c r="I129" s="489"/>
      <c r="J129" s="489"/>
      <c r="K129" s="489"/>
      <c r="L129" s="489"/>
      <c r="M129" s="489"/>
      <c r="N129" s="489"/>
      <c r="O129" s="489"/>
      <c r="P129" s="489"/>
      <c r="Q129" s="489"/>
      <c r="R129" s="489"/>
      <c r="S129" s="489"/>
      <c r="T129" s="489"/>
      <c r="U129" s="489"/>
      <c r="V129" s="489"/>
    </row>
    <row r="130" spans="1:22">
      <c r="A130" s="489"/>
      <c r="B130" s="489"/>
      <c r="C130" s="489"/>
      <c r="D130" s="489"/>
      <c r="E130" s="489"/>
      <c r="F130" s="489"/>
      <c r="G130" s="489"/>
      <c r="H130" s="489"/>
      <c r="I130" s="489"/>
      <c r="J130" s="489"/>
      <c r="K130" s="489"/>
      <c r="L130" s="489"/>
      <c r="M130" s="489"/>
      <c r="N130" s="489"/>
      <c r="O130" s="489"/>
      <c r="P130" s="489"/>
      <c r="Q130" s="489"/>
      <c r="R130" s="489"/>
      <c r="S130" s="489"/>
      <c r="T130" s="489"/>
      <c r="U130" s="489"/>
      <c r="V130" s="489"/>
    </row>
    <row r="131" spans="1:22">
      <c r="A131" s="489"/>
      <c r="B131" s="489"/>
      <c r="C131" s="489"/>
      <c r="D131" s="489"/>
      <c r="E131" s="489"/>
      <c r="F131" s="489"/>
      <c r="G131" s="489"/>
      <c r="H131" s="489"/>
      <c r="I131" s="489"/>
      <c r="J131" s="489"/>
      <c r="K131" s="489"/>
      <c r="L131" s="489"/>
      <c r="M131" s="489"/>
      <c r="N131" s="489"/>
      <c r="O131" s="489"/>
      <c r="P131" s="489"/>
      <c r="Q131" s="489"/>
      <c r="R131" s="489"/>
      <c r="S131" s="489"/>
      <c r="T131" s="489"/>
      <c r="U131" s="489"/>
      <c r="V131" s="489"/>
    </row>
    <row r="132" spans="1:22">
      <c r="A132" s="489"/>
      <c r="B132" s="489"/>
      <c r="C132" s="489"/>
      <c r="D132" s="489"/>
      <c r="E132" s="489"/>
      <c r="F132" s="489"/>
      <c r="G132" s="489"/>
      <c r="H132" s="489"/>
      <c r="I132" s="489"/>
      <c r="J132" s="489"/>
      <c r="K132" s="489"/>
      <c r="L132" s="489"/>
      <c r="M132" s="489"/>
      <c r="N132" s="489"/>
      <c r="O132" s="489"/>
      <c r="P132" s="489"/>
      <c r="Q132" s="489"/>
      <c r="R132" s="489"/>
      <c r="S132" s="489"/>
      <c r="T132" s="489"/>
      <c r="U132" s="489"/>
      <c r="V132" s="489"/>
    </row>
    <row r="133" spans="1:22">
      <c r="A133" s="489"/>
      <c r="B133" s="489"/>
      <c r="C133" s="489"/>
      <c r="D133" s="489"/>
      <c r="E133" s="489"/>
      <c r="F133" s="489"/>
      <c r="G133" s="489"/>
      <c r="H133" s="489"/>
      <c r="I133" s="489"/>
      <c r="J133" s="489"/>
      <c r="K133" s="489"/>
      <c r="L133" s="489"/>
      <c r="M133" s="489"/>
      <c r="N133" s="489"/>
      <c r="O133" s="489"/>
      <c r="P133" s="489"/>
      <c r="Q133" s="489"/>
      <c r="R133" s="489"/>
      <c r="S133" s="489"/>
      <c r="T133" s="489"/>
      <c r="U133" s="489"/>
      <c r="V133" s="489"/>
    </row>
    <row r="134" spans="1:22">
      <c r="A134" s="489"/>
      <c r="B134" s="489"/>
      <c r="C134" s="489"/>
      <c r="D134" s="489"/>
      <c r="E134" s="489"/>
      <c r="F134" s="489"/>
      <c r="G134" s="489"/>
      <c r="H134" s="489"/>
      <c r="I134" s="489"/>
      <c r="J134" s="489"/>
      <c r="K134" s="489"/>
      <c r="L134" s="489"/>
      <c r="M134" s="489"/>
      <c r="N134" s="489"/>
      <c r="O134" s="489"/>
      <c r="P134" s="489"/>
      <c r="Q134" s="489"/>
      <c r="R134" s="489"/>
      <c r="S134" s="489"/>
      <c r="T134" s="489"/>
      <c r="U134" s="489"/>
      <c r="V134" s="489"/>
    </row>
    <row r="135" spans="1:22">
      <c r="A135" s="489"/>
      <c r="B135" s="489"/>
      <c r="C135" s="489"/>
      <c r="D135" s="489"/>
      <c r="E135" s="489"/>
      <c r="F135" s="489"/>
      <c r="G135" s="489"/>
      <c r="H135" s="489"/>
      <c r="I135" s="489"/>
      <c r="J135" s="489"/>
      <c r="K135" s="489"/>
      <c r="L135" s="489"/>
      <c r="M135" s="489"/>
      <c r="N135" s="489"/>
      <c r="O135" s="489"/>
      <c r="P135" s="489"/>
      <c r="Q135" s="489"/>
      <c r="R135" s="489"/>
      <c r="S135" s="489"/>
      <c r="T135" s="489"/>
      <c r="U135" s="489"/>
      <c r="V135" s="489"/>
    </row>
    <row r="136" spans="1:22">
      <c r="A136" s="489"/>
      <c r="B136" s="489"/>
      <c r="C136" s="489"/>
      <c r="D136" s="489"/>
      <c r="E136" s="489"/>
      <c r="F136" s="489"/>
      <c r="G136" s="489"/>
      <c r="H136" s="489"/>
      <c r="I136" s="489"/>
      <c r="J136" s="489"/>
      <c r="K136" s="489"/>
      <c r="L136" s="489"/>
      <c r="M136" s="489"/>
      <c r="N136" s="489"/>
      <c r="O136" s="489"/>
      <c r="P136" s="489"/>
      <c r="Q136" s="489"/>
      <c r="R136" s="489"/>
      <c r="S136" s="489"/>
      <c r="T136" s="489"/>
      <c r="U136" s="489"/>
      <c r="V136" s="489"/>
    </row>
    <row r="137" spans="1:22">
      <c r="A137" s="489"/>
      <c r="B137" s="489"/>
      <c r="C137" s="489"/>
      <c r="D137" s="489"/>
      <c r="E137" s="489"/>
      <c r="F137" s="489"/>
      <c r="G137" s="489"/>
      <c r="H137" s="489"/>
      <c r="I137" s="489"/>
      <c r="J137" s="489"/>
      <c r="K137" s="489"/>
      <c r="L137" s="489"/>
      <c r="M137" s="489"/>
      <c r="N137" s="489"/>
      <c r="O137" s="489"/>
      <c r="P137" s="489"/>
      <c r="Q137" s="489"/>
      <c r="R137" s="489"/>
      <c r="S137" s="489"/>
      <c r="T137" s="489"/>
      <c r="U137" s="489"/>
      <c r="V137" s="489"/>
    </row>
    <row r="138" spans="1:22">
      <c r="A138" s="489"/>
      <c r="B138" s="489"/>
      <c r="C138" s="489"/>
      <c r="D138" s="489"/>
      <c r="E138" s="489"/>
      <c r="F138" s="489"/>
      <c r="G138" s="489"/>
      <c r="H138" s="489"/>
      <c r="I138" s="489"/>
      <c r="J138" s="489"/>
      <c r="K138" s="489"/>
      <c r="L138" s="489"/>
      <c r="M138" s="489"/>
      <c r="N138" s="489"/>
      <c r="O138" s="489"/>
      <c r="P138" s="489"/>
      <c r="Q138" s="489"/>
      <c r="R138" s="489"/>
      <c r="S138" s="489"/>
      <c r="T138" s="489"/>
      <c r="U138" s="489"/>
      <c r="V138" s="489"/>
    </row>
    <row r="139" spans="1:22">
      <c r="A139" s="489"/>
      <c r="B139" s="489"/>
      <c r="C139" s="489"/>
      <c r="D139" s="489"/>
      <c r="E139" s="489"/>
      <c r="F139" s="489"/>
      <c r="G139" s="489"/>
      <c r="H139" s="489"/>
      <c r="I139" s="489"/>
      <c r="J139" s="489"/>
      <c r="K139" s="489"/>
      <c r="L139" s="489"/>
      <c r="M139" s="489"/>
      <c r="N139" s="489"/>
      <c r="O139" s="489"/>
      <c r="P139" s="489"/>
      <c r="Q139" s="489"/>
      <c r="R139" s="489"/>
      <c r="S139" s="489"/>
      <c r="T139" s="489"/>
      <c r="U139" s="489"/>
      <c r="V139" s="489"/>
    </row>
    <row r="140" spans="1:22">
      <c r="A140" s="489"/>
      <c r="B140" s="489"/>
      <c r="C140" s="489"/>
      <c r="D140" s="489"/>
      <c r="E140" s="489"/>
      <c r="F140" s="489"/>
      <c r="G140" s="489"/>
      <c r="H140" s="489"/>
      <c r="I140" s="489"/>
      <c r="J140" s="489"/>
      <c r="K140" s="489"/>
      <c r="L140" s="489"/>
      <c r="M140" s="489"/>
      <c r="N140" s="489"/>
      <c r="O140" s="489"/>
      <c r="P140" s="489"/>
      <c r="Q140" s="489"/>
      <c r="R140" s="489"/>
      <c r="S140" s="489"/>
      <c r="T140" s="489"/>
      <c r="U140" s="489"/>
      <c r="V140" s="489"/>
    </row>
    <row r="141" spans="1:22">
      <c r="A141" s="489"/>
      <c r="B141" s="489"/>
      <c r="C141" s="489"/>
      <c r="D141" s="489"/>
      <c r="E141" s="489"/>
      <c r="F141" s="489"/>
      <c r="G141" s="489"/>
      <c r="H141" s="489"/>
      <c r="I141" s="489"/>
      <c r="J141" s="489"/>
      <c r="K141" s="489"/>
      <c r="L141" s="489"/>
      <c r="M141" s="489"/>
      <c r="N141" s="489"/>
      <c r="O141" s="489"/>
      <c r="P141" s="489"/>
      <c r="Q141" s="489"/>
      <c r="R141" s="489"/>
      <c r="S141" s="489"/>
      <c r="T141" s="489"/>
      <c r="U141" s="489"/>
      <c r="V141" s="489"/>
    </row>
    <row r="142" spans="1:22">
      <c r="A142" s="489"/>
      <c r="B142" s="489"/>
      <c r="C142" s="489"/>
      <c r="D142" s="489"/>
      <c r="E142" s="489"/>
      <c r="F142" s="489"/>
      <c r="G142" s="489"/>
      <c r="H142" s="489"/>
      <c r="I142" s="489"/>
      <c r="J142" s="489"/>
      <c r="K142" s="489"/>
      <c r="L142" s="489"/>
      <c r="M142" s="489"/>
      <c r="N142" s="489"/>
      <c r="O142" s="489"/>
      <c r="P142" s="489"/>
      <c r="Q142" s="489"/>
      <c r="R142" s="489"/>
      <c r="S142" s="489"/>
      <c r="T142" s="489"/>
      <c r="U142" s="489"/>
      <c r="V142" s="489"/>
    </row>
    <row r="143" spans="1:22">
      <c r="A143" s="489"/>
      <c r="B143" s="489"/>
      <c r="C143" s="489"/>
      <c r="D143" s="489"/>
      <c r="E143" s="489"/>
      <c r="F143" s="489"/>
      <c r="G143" s="489"/>
      <c r="H143" s="489"/>
      <c r="I143" s="489"/>
      <c r="J143" s="489"/>
      <c r="K143" s="489"/>
      <c r="L143" s="489"/>
      <c r="M143" s="489"/>
      <c r="N143" s="489"/>
      <c r="O143" s="489"/>
      <c r="P143" s="489"/>
      <c r="Q143" s="489"/>
      <c r="R143" s="489"/>
      <c r="S143" s="489"/>
      <c r="T143" s="489"/>
      <c r="U143" s="489"/>
      <c r="V143" s="489"/>
    </row>
    <row r="144" spans="1:22">
      <c r="A144" s="489"/>
      <c r="B144" s="489"/>
      <c r="C144" s="489"/>
      <c r="D144" s="489"/>
      <c r="E144" s="489"/>
      <c r="F144" s="489"/>
      <c r="G144" s="489"/>
      <c r="H144" s="489"/>
      <c r="I144" s="489"/>
      <c r="J144" s="489"/>
      <c r="K144" s="489"/>
      <c r="L144" s="489"/>
      <c r="M144" s="489"/>
      <c r="N144" s="489"/>
      <c r="O144" s="489"/>
      <c r="P144" s="489"/>
      <c r="Q144" s="489"/>
      <c r="R144" s="489"/>
      <c r="S144" s="489"/>
      <c r="T144" s="489"/>
      <c r="U144" s="489"/>
      <c r="V144" s="489"/>
    </row>
    <row r="145" spans="1:22">
      <c r="A145" s="489"/>
      <c r="B145" s="489"/>
      <c r="C145" s="489"/>
      <c r="D145" s="489"/>
      <c r="E145" s="489"/>
      <c r="F145" s="489"/>
      <c r="G145" s="489"/>
      <c r="H145" s="489"/>
      <c r="I145" s="489"/>
      <c r="J145" s="489"/>
      <c r="K145" s="489"/>
      <c r="L145" s="489"/>
      <c r="M145" s="489"/>
      <c r="N145" s="489"/>
      <c r="O145" s="489"/>
      <c r="P145" s="489"/>
      <c r="Q145" s="489"/>
      <c r="R145" s="489"/>
      <c r="S145" s="489"/>
      <c r="T145" s="489"/>
      <c r="U145" s="489"/>
      <c r="V145" s="489"/>
    </row>
    <row r="146" spans="1:22">
      <c r="A146" s="489"/>
      <c r="B146" s="489"/>
      <c r="C146" s="489"/>
      <c r="D146" s="489"/>
      <c r="E146" s="489"/>
      <c r="F146" s="489"/>
      <c r="G146" s="489"/>
      <c r="H146" s="489"/>
      <c r="I146" s="489"/>
      <c r="J146" s="489"/>
      <c r="K146" s="489"/>
      <c r="L146" s="489"/>
      <c r="M146" s="489"/>
      <c r="N146" s="489"/>
      <c r="O146" s="489"/>
      <c r="P146" s="489"/>
      <c r="Q146" s="489"/>
      <c r="R146" s="489"/>
      <c r="S146" s="489"/>
      <c r="T146" s="489"/>
      <c r="U146" s="489"/>
      <c r="V146" s="489"/>
    </row>
    <row r="147" spans="1:22">
      <c r="A147" s="489"/>
      <c r="B147" s="489"/>
      <c r="C147" s="489"/>
      <c r="D147" s="489"/>
      <c r="E147" s="489"/>
      <c r="F147" s="489"/>
      <c r="G147" s="489"/>
      <c r="H147" s="489"/>
      <c r="I147" s="489"/>
      <c r="J147" s="489"/>
      <c r="K147" s="489"/>
      <c r="L147" s="489"/>
      <c r="M147" s="489"/>
      <c r="N147" s="489"/>
      <c r="O147" s="489"/>
      <c r="P147" s="489"/>
      <c r="Q147" s="489"/>
      <c r="R147" s="489"/>
      <c r="S147" s="489"/>
      <c r="T147" s="489"/>
      <c r="U147" s="489"/>
      <c r="V147" s="489"/>
    </row>
    <row r="148" spans="1:22">
      <c r="A148" s="489"/>
      <c r="B148" s="489"/>
      <c r="C148" s="489"/>
      <c r="D148" s="489"/>
      <c r="E148" s="489"/>
      <c r="F148" s="489"/>
      <c r="G148" s="489"/>
      <c r="H148" s="489"/>
      <c r="I148" s="489"/>
      <c r="J148" s="489"/>
      <c r="K148" s="489"/>
      <c r="L148" s="489"/>
      <c r="M148" s="489"/>
      <c r="N148" s="489"/>
      <c r="O148" s="489"/>
      <c r="P148" s="489"/>
      <c r="Q148" s="489"/>
      <c r="R148" s="489"/>
      <c r="S148" s="489"/>
      <c r="T148" s="489"/>
      <c r="U148" s="489"/>
      <c r="V148" s="489"/>
    </row>
    <row r="149" spans="1:22">
      <c r="A149" s="489"/>
      <c r="B149" s="489"/>
      <c r="C149" s="489"/>
      <c r="D149" s="489"/>
      <c r="E149" s="489"/>
      <c r="F149" s="489"/>
      <c r="G149" s="489"/>
      <c r="H149" s="489"/>
      <c r="I149" s="489"/>
      <c r="J149" s="489"/>
      <c r="K149" s="489"/>
      <c r="L149" s="489"/>
      <c r="M149" s="489"/>
      <c r="N149" s="489"/>
      <c r="O149" s="489"/>
      <c r="P149" s="489"/>
      <c r="Q149" s="489"/>
      <c r="R149" s="489"/>
      <c r="S149" s="489"/>
      <c r="T149" s="489"/>
      <c r="U149" s="489"/>
      <c r="V149" s="489"/>
    </row>
    <row r="150" spans="1:22">
      <c r="A150" s="489"/>
      <c r="B150" s="489"/>
      <c r="C150" s="489"/>
      <c r="D150" s="489"/>
      <c r="E150" s="489"/>
      <c r="F150" s="489"/>
      <c r="G150" s="489"/>
      <c r="H150" s="489"/>
      <c r="I150" s="489"/>
      <c r="J150" s="489"/>
      <c r="K150" s="489"/>
      <c r="L150" s="489"/>
      <c r="M150" s="489"/>
      <c r="N150" s="489"/>
      <c r="O150" s="489"/>
      <c r="P150" s="489"/>
      <c r="Q150" s="489"/>
      <c r="R150" s="489"/>
      <c r="S150" s="489"/>
      <c r="T150" s="489"/>
      <c r="U150" s="489"/>
      <c r="V150" s="489"/>
    </row>
    <row r="151" spans="1:22">
      <c r="A151" s="489"/>
      <c r="B151" s="489"/>
      <c r="C151" s="489"/>
      <c r="D151" s="489"/>
      <c r="E151" s="489"/>
      <c r="F151" s="489"/>
      <c r="G151" s="489"/>
      <c r="H151" s="489"/>
      <c r="I151" s="489"/>
      <c r="J151" s="489"/>
      <c r="K151" s="489"/>
      <c r="L151" s="489"/>
      <c r="M151" s="489"/>
      <c r="N151" s="489"/>
      <c r="O151" s="489"/>
      <c r="P151" s="489"/>
      <c r="Q151" s="489"/>
      <c r="R151" s="489"/>
      <c r="S151" s="489"/>
      <c r="T151" s="489"/>
      <c r="U151" s="489"/>
      <c r="V151" s="489"/>
    </row>
    <row r="152" spans="1:22">
      <c r="A152" s="489"/>
      <c r="B152" s="489"/>
      <c r="C152" s="489"/>
      <c r="D152" s="489"/>
      <c r="E152" s="489"/>
      <c r="F152" s="489"/>
      <c r="G152" s="489"/>
      <c r="H152" s="489"/>
      <c r="I152" s="489"/>
      <c r="J152" s="489"/>
      <c r="K152" s="489"/>
      <c r="L152" s="489"/>
      <c r="M152" s="489"/>
      <c r="N152" s="489"/>
      <c r="O152" s="489"/>
      <c r="P152" s="489"/>
      <c r="Q152" s="489"/>
      <c r="R152" s="489"/>
      <c r="S152" s="489"/>
      <c r="T152" s="489"/>
      <c r="U152" s="489"/>
      <c r="V152" s="489"/>
    </row>
    <row r="153" spans="1:22">
      <c r="A153" s="489"/>
      <c r="B153" s="489"/>
      <c r="C153" s="489"/>
      <c r="D153" s="489"/>
      <c r="E153" s="489"/>
      <c r="F153" s="489"/>
      <c r="G153" s="489"/>
      <c r="H153" s="489"/>
      <c r="I153" s="489"/>
      <c r="J153" s="489"/>
      <c r="K153" s="489"/>
      <c r="L153" s="489"/>
      <c r="M153" s="489"/>
      <c r="N153" s="489"/>
      <c r="O153" s="489"/>
      <c r="P153" s="489"/>
      <c r="Q153" s="489"/>
      <c r="R153" s="489"/>
      <c r="S153" s="489"/>
      <c r="T153" s="489"/>
      <c r="U153" s="489"/>
      <c r="V153" s="489"/>
    </row>
    <row r="154" spans="1:22">
      <c r="A154" s="489"/>
      <c r="B154" s="489"/>
      <c r="C154" s="489"/>
      <c r="D154" s="489"/>
      <c r="E154" s="489"/>
      <c r="F154" s="489"/>
      <c r="G154" s="489"/>
      <c r="H154" s="489"/>
      <c r="I154" s="489"/>
      <c r="J154" s="489"/>
      <c r="K154" s="489"/>
      <c r="L154" s="489"/>
      <c r="M154" s="489"/>
      <c r="N154" s="489"/>
      <c r="O154" s="489"/>
      <c r="P154" s="489"/>
      <c r="Q154" s="489"/>
      <c r="R154" s="489"/>
      <c r="S154" s="489"/>
      <c r="T154" s="489"/>
      <c r="U154" s="489"/>
      <c r="V154" s="489"/>
    </row>
    <row r="155" spans="1:22">
      <c r="A155" s="489"/>
      <c r="B155" s="489"/>
      <c r="C155" s="489"/>
      <c r="D155" s="489"/>
      <c r="E155" s="489"/>
      <c r="F155" s="489"/>
      <c r="G155" s="489"/>
      <c r="H155" s="489"/>
      <c r="I155" s="489"/>
      <c r="J155" s="489"/>
      <c r="K155" s="489"/>
      <c r="L155" s="489"/>
      <c r="M155" s="489"/>
      <c r="N155" s="489"/>
      <c r="O155" s="489"/>
      <c r="P155" s="489"/>
      <c r="Q155" s="489"/>
      <c r="R155" s="489"/>
      <c r="S155" s="489"/>
      <c r="T155" s="489"/>
      <c r="U155" s="489"/>
      <c r="V155" s="489"/>
    </row>
    <row r="156" spans="1:22">
      <c r="A156" s="489"/>
      <c r="B156" s="489"/>
      <c r="C156" s="489"/>
      <c r="D156" s="489"/>
      <c r="E156" s="489"/>
      <c r="F156" s="489"/>
      <c r="G156" s="489"/>
      <c r="H156" s="489"/>
      <c r="I156" s="489"/>
      <c r="J156" s="489"/>
      <c r="K156" s="489"/>
      <c r="L156" s="489"/>
      <c r="M156" s="489"/>
      <c r="N156" s="489"/>
      <c r="O156" s="489"/>
      <c r="P156" s="489"/>
      <c r="Q156" s="489"/>
      <c r="R156" s="489"/>
      <c r="S156" s="489"/>
      <c r="T156" s="489"/>
      <c r="U156" s="489"/>
      <c r="V156" s="489"/>
    </row>
    <row r="157" spans="1:22">
      <c r="A157" s="489"/>
      <c r="B157" s="489"/>
      <c r="C157" s="489"/>
      <c r="D157" s="489"/>
      <c r="E157" s="489"/>
      <c r="F157" s="489"/>
      <c r="G157" s="489"/>
      <c r="H157" s="489"/>
      <c r="I157" s="489"/>
      <c r="J157" s="489"/>
      <c r="K157" s="489"/>
      <c r="L157" s="489"/>
      <c r="M157" s="489"/>
      <c r="N157" s="489"/>
      <c r="O157" s="489"/>
      <c r="P157" s="489"/>
      <c r="Q157" s="489"/>
      <c r="R157" s="489"/>
      <c r="S157" s="489"/>
      <c r="T157" s="489"/>
      <c r="U157" s="489"/>
      <c r="V157" s="489"/>
    </row>
    <row r="158" spans="1:22">
      <c r="A158" s="489"/>
      <c r="B158" s="489"/>
      <c r="C158" s="489"/>
      <c r="D158" s="489"/>
      <c r="E158" s="489"/>
      <c r="F158" s="489"/>
      <c r="G158" s="489"/>
      <c r="H158" s="489"/>
      <c r="I158" s="489"/>
      <c r="J158" s="489"/>
      <c r="K158" s="489"/>
      <c r="L158" s="489"/>
      <c r="M158" s="489"/>
      <c r="N158" s="489"/>
      <c r="O158" s="489"/>
      <c r="P158" s="489"/>
      <c r="Q158" s="489"/>
      <c r="R158" s="489"/>
      <c r="S158" s="489"/>
      <c r="T158" s="489"/>
      <c r="U158" s="489"/>
      <c r="V158" s="489"/>
    </row>
    <row r="159" spans="1:22">
      <c r="A159" s="489"/>
      <c r="B159" s="489"/>
      <c r="C159" s="489"/>
      <c r="D159" s="489"/>
      <c r="E159" s="489"/>
      <c r="F159" s="489"/>
      <c r="G159" s="489"/>
      <c r="H159" s="489"/>
      <c r="I159" s="489"/>
      <c r="J159" s="489"/>
      <c r="K159" s="489"/>
      <c r="L159" s="489"/>
      <c r="M159" s="489"/>
      <c r="N159" s="489"/>
      <c r="O159" s="489"/>
      <c r="P159" s="489"/>
      <c r="Q159" s="489"/>
      <c r="R159" s="489"/>
      <c r="S159" s="489"/>
      <c r="T159" s="489"/>
      <c r="U159" s="489"/>
      <c r="V159" s="489"/>
    </row>
    <row r="160" spans="1:22">
      <c r="A160" s="489"/>
      <c r="B160" s="489"/>
      <c r="C160" s="489"/>
      <c r="D160" s="489"/>
      <c r="E160" s="489"/>
      <c r="F160" s="489"/>
      <c r="G160" s="489"/>
      <c r="H160" s="489"/>
      <c r="I160" s="489"/>
      <c r="J160" s="489"/>
      <c r="K160" s="489"/>
      <c r="L160" s="489"/>
      <c r="M160" s="489"/>
      <c r="N160" s="489"/>
      <c r="O160" s="489"/>
      <c r="P160" s="489"/>
      <c r="Q160" s="489"/>
      <c r="R160" s="489"/>
      <c r="S160" s="489"/>
      <c r="T160" s="489"/>
      <c r="U160" s="489"/>
      <c r="V160" s="489"/>
    </row>
    <row r="161" spans="1:22">
      <c r="A161" s="489"/>
      <c r="B161" s="489"/>
      <c r="C161" s="489"/>
      <c r="D161" s="489"/>
      <c r="E161" s="489"/>
      <c r="F161" s="489"/>
      <c r="G161" s="489"/>
      <c r="H161" s="489"/>
      <c r="I161" s="489"/>
      <c r="J161" s="489"/>
      <c r="K161" s="489"/>
      <c r="L161" s="489"/>
      <c r="M161" s="489"/>
      <c r="N161" s="489"/>
      <c r="O161" s="489"/>
      <c r="P161" s="489"/>
      <c r="Q161" s="489"/>
      <c r="R161" s="489"/>
      <c r="S161" s="489"/>
      <c r="T161" s="489"/>
      <c r="U161" s="489"/>
      <c r="V161" s="489"/>
    </row>
    <row r="162" spans="1:22">
      <c r="A162" s="489"/>
      <c r="B162" s="489"/>
      <c r="C162" s="489"/>
      <c r="D162" s="489"/>
      <c r="E162" s="489"/>
      <c r="F162" s="489"/>
      <c r="G162" s="489"/>
      <c r="H162" s="489"/>
      <c r="I162" s="489"/>
      <c r="J162" s="489"/>
      <c r="K162" s="489"/>
      <c r="L162" s="489"/>
      <c r="M162" s="489"/>
      <c r="N162" s="489"/>
      <c r="O162" s="489"/>
      <c r="P162" s="489"/>
      <c r="Q162" s="489"/>
      <c r="R162" s="489"/>
      <c r="S162" s="489"/>
      <c r="T162" s="489"/>
      <c r="U162" s="489"/>
      <c r="V162" s="489"/>
    </row>
    <row r="163" spans="1:22">
      <c r="A163" s="489"/>
      <c r="B163" s="489"/>
      <c r="C163" s="489"/>
      <c r="D163" s="489"/>
      <c r="E163" s="489"/>
      <c r="F163" s="489"/>
      <c r="G163" s="489"/>
      <c r="H163" s="489"/>
      <c r="I163" s="489"/>
      <c r="J163" s="489"/>
      <c r="K163" s="489"/>
      <c r="L163" s="489"/>
      <c r="M163" s="489"/>
      <c r="N163" s="489"/>
      <c r="O163" s="489"/>
      <c r="P163" s="489"/>
      <c r="Q163" s="489"/>
      <c r="R163" s="489"/>
      <c r="S163" s="489"/>
      <c r="T163" s="489"/>
      <c r="U163" s="489"/>
      <c r="V163" s="489"/>
    </row>
    <row r="164" spans="1:22">
      <c r="A164" s="489"/>
      <c r="B164" s="489"/>
      <c r="C164" s="489"/>
      <c r="D164" s="489"/>
      <c r="E164" s="489"/>
      <c r="F164" s="489"/>
      <c r="G164" s="489"/>
      <c r="H164" s="489"/>
      <c r="I164" s="489"/>
      <c r="J164" s="489"/>
      <c r="K164" s="489"/>
      <c r="L164" s="489"/>
      <c r="M164" s="489"/>
      <c r="N164" s="489"/>
      <c r="O164" s="489"/>
      <c r="P164" s="489"/>
      <c r="Q164" s="489"/>
      <c r="R164" s="489"/>
      <c r="S164" s="489"/>
      <c r="T164" s="489"/>
      <c r="U164" s="489"/>
      <c r="V164" s="489"/>
    </row>
    <row r="165" spans="1:22">
      <c r="A165" s="489"/>
      <c r="B165" s="489"/>
      <c r="C165" s="489"/>
      <c r="D165" s="489"/>
      <c r="E165" s="489"/>
      <c r="F165" s="489"/>
      <c r="G165" s="489"/>
      <c r="H165" s="489"/>
      <c r="I165" s="489"/>
      <c r="J165" s="489"/>
      <c r="K165" s="489"/>
      <c r="L165" s="489"/>
      <c r="M165" s="489"/>
      <c r="N165" s="489"/>
      <c r="O165" s="489"/>
      <c r="P165" s="489"/>
      <c r="Q165" s="489"/>
      <c r="R165" s="489"/>
      <c r="S165" s="489"/>
      <c r="T165" s="489"/>
      <c r="U165" s="489"/>
      <c r="V165" s="489"/>
    </row>
    <row r="166" spans="1:22">
      <c r="A166" s="489"/>
      <c r="B166" s="489"/>
      <c r="C166" s="489"/>
      <c r="D166" s="489"/>
      <c r="E166" s="489"/>
      <c r="F166" s="489"/>
      <c r="G166" s="489"/>
      <c r="H166" s="489"/>
      <c r="I166" s="489"/>
      <c r="J166" s="489"/>
      <c r="K166" s="489"/>
      <c r="L166" s="489"/>
      <c r="M166" s="489"/>
      <c r="N166" s="489"/>
      <c r="O166" s="489"/>
      <c r="P166" s="489"/>
      <c r="Q166" s="489"/>
      <c r="R166" s="489"/>
      <c r="S166" s="489"/>
      <c r="T166" s="489"/>
      <c r="U166" s="489"/>
      <c r="V166" s="489"/>
    </row>
    <row r="167" spans="1:22">
      <c r="A167" s="489"/>
      <c r="B167" s="489"/>
      <c r="C167" s="489"/>
      <c r="D167" s="489"/>
      <c r="E167" s="489"/>
      <c r="F167" s="489"/>
      <c r="G167" s="489"/>
      <c r="H167" s="489"/>
      <c r="I167" s="489"/>
      <c r="J167" s="489"/>
      <c r="K167" s="489"/>
      <c r="L167" s="489"/>
      <c r="M167" s="489"/>
      <c r="N167" s="489"/>
      <c r="O167" s="489"/>
      <c r="P167" s="489"/>
      <c r="Q167" s="489"/>
      <c r="R167" s="489"/>
      <c r="S167" s="489"/>
      <c r="T167" s="489"/>
      <c r="U167" s="489"/>
      <c r="V167" s="489"/>
    </row>
    <row r="168" spans="1:22">
      <c r="A168" s="489"/>
      <c r="B168" s="489"/>
      <c r="C168" s="489"/>
      <c r="D168" s="489"/>
      <c r="E168" s="489"/>
      <c r="F168" s="489"/>
      <c r="G168" s="489"/>
      <c r="H168" s="489"/>
      <c r="I168" s="489"/>
      <c r="J168" s="489"/>
      <c r="K168" s="489"/>
      <c r="L168" s="489"/>
      <c r="M168" s="489"/>
      <c r="N168" s="489"/>
      <c r="O168" s="489"/>
      <c r="P168" s="489"/>
      <c r="Q168" s="489"/>
      <c r="R168" s="489"/>
      <c r="S168" s="489"/>
      <c r="T168" s="489"/>
      <c r="U168" s="489"/>
      <c r="V168" s="489"/>
    </row>
    <row r="169" spans="1:22">
      <c r="A169" s="489"/>
      <c r="B169" s="489"/>
      <c r="C169" s="489"/>
      <c r="D169" s="489"/>
      <c r="E169" s="489"/>
      <c r="F169" s="489"/>
      <c r="G169" s="489"/>
      <c r="H169" s="489"/>
      <c r="I169" s="489"/>
      <c r="J169" s="489"/>
      <c r="K169" s="489"/>
      <c r="L169" s="489"/>
      <c r="M169" s="489"/>
      <c r="N169" s="489"/>
      <c r="O169" s="489"/>
      <c r="P169" s="489"/>
      <c r="Q169" s="489"/>
      <c r="R169" s="489"/>
      <c r="S169" s="489"/>
      <c r="T169" s="489"/>
      <c r="U169" s="489"/>
      <c r="V169" s="489"/>
    </row>
    <row r="170" spans="1:22">
      <c r="A170" s="489"/>
      <c r="B170" s="489"/>
      <c r="C170" s="489"/>
      <c r="D170" s="489"/>
      <c r="E170" s="489"/>
      <c r="F170" s="489"/>
      <c r="G170" s="489"/>
      <c r="H170" s="489"/>
      <c r="I170" s="489"/>
      <c r="J170" s="489"/>
      <c r="K170" s="489"/>
      <c r="L170" s="489"/>
      <c r="M170" s="489"/>
      <c r="N170" s="489"/>
      <c r="O170" s="489"/>
      <c r="P170" s="489"/>
      <c r="Q170" s="489"/>
      <c r="R170" s="489"/>
      <c r="S170" s="489"/>
      <c r="T170" s="489"/>
      <c r="U170" s="489"/>
      <c r="V170" s="489"/>
    </row>
    <row r="171" spans="1:22">
      <c r="A171" s="489"/>
      <c r="B171" s="489"/>
      <c r="C171" s="489"/>
      <c r="D171" s="489"/>
      <c r="E171" s="489"/>
      <c r="F171" s="489"/>
      <c r="G171" s="489"/>
      <c r="H171" s="489"/>
      <c r="I171" s="489"/>
      <c r="J171" s="489"/>
      <c r="K171" s="489"/>
      <c r="L171" s="489"/>
      <c r="M171" s="489"/>
      <c r="N171" s="489"/>
      <c r="O171" s="489"/>
      <c r="P171" s="489"/>
      <c r="Q171" s="489"/>
      <c r="R171" s="489"/>
      <c r="S171" s="489"/>
      <c r="T171" s="489"/>
      <c r="U171" s="489"/>
      <c r="V171" s="489"/>
    </row>
    <row r="172" spans="1:22">
      <c r="A172" s="489"/>
      <c r="B172" s="489"/>
      <c r="C172" s="489"/>
      <c r="D172" s="489"/>
      <c r="E172" s="489"/>
      <c r="F172" s="489"/>
      <c r="G172" s="489"/>
      <c r="H172" s="489"/>
      <c r="I172" s="489"/>
      <c r="J172" s="489"/>
      <c r="K172" s="489"/>
      <c r="L172" s="489"/>
      <c r="M172" s="489"/>
      <c r="N172" s="489"/>
      <c r="O172" s="489"/>
      <c r="P172" s="489"/>
      <c r="Q172" s="489"/>
      <c r="R172" s="489"/>
      <c r="S172" s="489"/>
      <c r="T172" s="489"/>
      <c r="U172" s="489"/>
      <c r="V172" s="489"/>
    </row>
    <row r="173" spans="1:22">
      <c r="A173" s="489"/>
      <c r="B173" s="489"/>
      <c r="C173" s="489"/>
      <c r="D173" s="489"/>
      <c r="E173" s="489"/>
      <c r="F173" s="489"/>
      <c r="G173" s="489"/>
      <c r="H173" s="489"/>
      <c r="I173" s="489"/>
      <c r="J173" s="489"/>
      <c r="K173" s="489"/>
      <c r="L173" s="489"/>
      <c r="M173" s="489"/>
      <c r="N173" s="489"/>
      <c r="O173" s="489"/>
      <c r="P173" s="489"/>
      <c r="Q173" s="489"/>
      <c r="R173" s="489"/>
      <c r="S173" s="489"/>
      <c r="T173" s="489"/>
      <c r="U173" s="489"/>
      <c r="V173" s="489"/>
    </row>
    <row r="174" spans="1:22">
      <c r="A174" s="489"/>
      <c r="B174" s="489"/>
      <c r="C174" s="489"/>
      <c r="D174" s="489"/>
      <c r="E174" s="489"/>
      <c r="F174" s="489"/>
      <c r="G174" s="489"/>
      <c r="H174" s="489"/>
      <c r="I174" s="489"/>
      <c r="J174" s="489"/>
      <c r="K174" s="489"/>
      <c r="L174" s="489"/>
      <c r="M174" s="489"/>
      <c r="N174" s="489"/>
      <c r="O174" s="489"/>
      <c r="P174" s="489"/>
      <c r="Q174" s="489"/>
      <c r="R174" s="489"/>
      <c r="S174" s="489"/>
      <c r="T174" s="489"/>
      <c r="U174" s="489"/>
      <c r="V174" s="489"/>
    </row>
    <row r="175" spans="1:22">
      <c r="A175" s="489"/>
      <c r="B175" s="489"/>
      <c r="C175" s="489"/>
      <c r="D175" s="489"/>
      <c r="E175" s="489"/>
      <c r="F175" s="489"/>
      <c r="G175" s="489"/>
      <c r="H175" s="489"/>
      <c r="I175" s="489"/>
      <c r="J175" s="489"/>
      <c r="K175" s="489"/>
      <c r="L175" s="489"/>
      <c r="M175" s="489"/>
      <c r="N175" s="489"/>
      <c r="O175" s="489"/>
      <c r="P175" s="489"/>
      <c r="Q175" s="489"/>
      <c r="R175" s="489"/>
      <c r="S175" s="489"/>
      <c r="T175" s="489"/>
      <c r="U175" s="489"/>
      <c r="V175" s="489"/>
    </row>
    <row r="176" spans="1:22">
      <c r="A176" s="489"/>
      <c r="B176" s="489"/>
      <c r="C176" s="489"/>
      <c r="D176" s="489"/>
      <c r="E176" s="489"/>
      <c r="F176" s="489"/>
      <c r="G176" s="489"/>
      <c r="H176" s="489"/>
      <c r="I176" s="489"/>
      <c r="J176" s="489"/>
      <c r="K176" s="489"/>
      <c r="L176" s="489"/>
      <c r="M176" s="489"/>
      <c r="N176" s="489"/>
      <c r="O176" s="489"/>
      <c r="P176" s="489"/>
      <c r="Q176" s="489"/>
      <c r="R176" s="489"/>
      <c r="S176" s="489"/>
      <c r="T176" s="489"/>
      <c r="U176" s="489"/>
      <c r="V176" s="489"/>
    </row>
    <row r="177" spans="1:22">
      <c r="A177" s="489"/>
      <c r="B177" s="489"/>
      <c r="C177" s="489"/>
      <c r="D177" s="489"/>
      <c r="E177" s="489"/>
      <c r="F177" s="489"/>
      <c r="G177" s="489"/>
      <c r="H177" s="489"/>
      <c r="I177" s="489"/>
      <c r="J177" s="489"/>
      <c r="K177" s="489"/>
      <c r="L177" s="489"/>
      <c r="M177" s="489"/>
      <c r="N177" s="489"/>
      <c r="O177" s="489"/>
      <c r="P177" s="489"/>
      <c r="Q177" s="489"/>
      <c r="R177" s="489"/>
      <c r="S177" s="489"/>
      <c r="T177" s="489"/>
      <c r="U177" s="489"/>
      <c r="V177" s="489"/>
    </row>
    <row r="178" spans="1:22">
      <c r="A178" s="489"/>
      <c r="B178" s="489"/>
      <c r="C178" s="489"/>
      <c r="D178" s="489"/>
      <c r="E178" s="489"/>
      <c r="F178" s="489"/>
      <c r="G178" s="489"/>
      <c r="H178" s="489"/>
      <c r="I178" s="489"/>
      <c r="J178" s="489"/>
      <c r="K178" s="489"/>
      <c r="L178" s="489"/>
      <c r="M178" s="489"/>
      <c r="N178" s="489"/>
      <c r="O178" s="489"/>
      <c r="P178" s="489"/>
      <c r="Q178" s="489"/>
      <c r="R178" s="489"/>
      <c r="S178" s="489"/>
      <c r="T178" s="489"/>
      <c r="U178" s="489"/>
      <c r="V178" s="489"/>
    </row>
    <row r="179" spans="1:22">
      <c r="A179" s="489"/>
      <c r="B179" s="489"/>
      <c r="C179" s="489"/>
      <c r="D179" s="489"/>
      <c r="E179" s="489"/>
      <c r="F179" s="489"/>
      <c r="G179" s="489"/>
      <c r="H179" s="489"/>
      <c r="I179" s="489"/>
      <c r="J179" s="489"/>
      <c r="K179" s="489"/>
      <c r="L179" s="489"/>
      <c r="M179" s="489"/>
      <c r="N179" s="489"/>
      <c r="O179" s="489"/>
      <c r="P179" s="489"/>
      <c r="Q179" s="489"/>
      <c r="R179" s="489"/>
      <c r="S179" s="489"/>
      <c r="T179" s="489"/>
      <c r="U179" s="489"/>
      <c r="V179" s="489"/>
    </row>
    <row r="180" spans="1:22">
      <c r="A180" s="489"/>
      <c r="B180" s="489"/>
      <c r="C180" s="489"/>
      <c r="D180" s="489"/>
      <c r="E180" s="489"/>
      <c r="F180" s="489"/>
      <c r="G180" s="489"/>
      <c r="H180" s="489"/>
      <c r="I180" s="489"/>
      <c r="J180" s="489"/>
      <c r="K180" s="489"/>
      <c r="L180" s="489"/>
      <c r="M180" s="489"/>
      <c r="N180" s="489"/>
      <c r="O180" s="489"/>
      <c r="P180" s="489"/>
      <c r="Q180" s="489"/>
      <c r="R180" s="489"/>
      <c r="S180" s="489"/>
      <c r="T180" s="489"/>
      <c r="U180" s="489"/>
      <c r="V180" s="489"/>
    </row>
    <row r="181" spans="1:22">
      <c r="A181" s="489"/>
      <c r="B181" s="489"/>
      <c r="C181" s="489"/>
      <c r="D181" s="489"/>
      <c r="E181" s="489"/>
      <c r="F181" s="489"/>
      <c r="G181" s="489"/>
      <c r="H181" s="489"/>
      <c r="I181" s="489"/>
      <c r="J181" s="489"/>
      <c r="K181" s="489"/>
      <c r="L181" s="489"/>
      <c r="M181" s="489"/>
      <c r="N181" s="489"/>
      <c r="O181" s="489"/>
      <c r="P181" s="489"/>
      <c r="Q181" s="489"/>
      <c r="R181" s="489"/>
      <c r="S181" s="489"/>
      <c r="T181" s="489"/>
      <c r="U181" s="489"/>
      <c r="V181" s="489"/>
    </row>
    <row r="182" spans="1:22">
      <c r="A182" s="489"/>
      <c r="B182" s="489"/>
      <c r="C182" s="489"/>
      <c r="D182" s="489"/>
      <c r="E182" s="489"/>
      <c r="F182" s="489"/>
      <c r="G182" s="489"/>
      <c r="H182" s="489"/>
      <c r="I182" s="489"/>
      <c r="J182" s="489"/>
      <c r="K182" s="489"/>
      <c r="L182" s="489"/>
      <c r="M182" s="489"/>
      <c r="N182" s="489"/>
      <c r="O182" s="489"/>
      <c r="P182" s="489"/>
      <c r="Q182" s="489"/>
      <c r="R182" s="489"/>
      <c r="S182" s="489"/>
      <c r="T182" s="489"/>
      <c r="U182" s="489"/>
      <c r="V182" s="489"/>
    </row>
    <row r="183" spans="1:22">
      <c r="A183" s="489"/>
      <c r="B183" s="489"/>
      <c r="C183" s="489"/>
      <c r="D183" s="489"/>
      <c r="E183" s="489"/>
      <c r="F183" s="489"/>
      <c r="G183" s="489"/>
      <c r="H183" s="489"/>
      <c r="I183" s="489"/>
      <c r="J183" s="489"/>
      <c r="K183" s="489"/>
      <c r="L183" s="489"/>
      <c r="M183" s="489"/>
      <c r="N183" s="489"/>
      <c r="O183" s="489"/>
      <c r="P183" s="489"/>
      <c r="Q183" s="489"/>
      <c r="R183" s="489"/>
      <c r="S183" s="489"/>
      <c r="T183" s="489"/>
      <c r="U183" s="489"/>
      <c r="V183" s="489"/>
    </row>
    <row r="184" spans="1:22">
      <c r="A184" s="489"/>
      <c r="B184" s="489"/>
      <c r="C184" s="489"/>
      <c r="D184" s="489"/>
      <c r="E184" s="489"/>
      <c r="F184" s="489"/>
      <c r="G184" s="489"/>
      <c r="H184" s="489"/>
      <c r="I184" s="489"/>
      <c r="J184" s="489"/>
      <c r="K184" s="489"/>
      <c r="L184" s="489"/>
      <c r="M184" s="489"/>
      <c r="N184" s="489"/>
      <c r="O184" s="489"/>
      <c r="P184" s="489"/>
      <c r="Q184" s="489"/>
      <c r="R184" s="489"/>
      <c r="S184" s="489"/>
      <c r="T184" s="489"/>
      <c r="U184" s="489"/>
      <c r="V184" s="489"/>
    </row>
    <row r="185" spans="1:22">
      <c r="A185" s="489"/>
      <c r="B185" s="489"/>
      <c r="C185" s="489"/>
      <c r="D185" s="489"/>
      <c r="E185" s="489"/>
      <c r="F185" s="489"/>
      <c r="G185" s="489"/>
      <c r="H185" s="489"/>
      <c r="I185" s="489"/>
      <c r="J185" s="489"/>
      <c r="K185" s="489"/>
      <c r="L185" s="489"/>
      <c r="M185" s="489"/>
      <c r="N185" s="489"/>
      <c r="O185" s="489"/>
      <c r="P185" s="489"/>
      <c r="Q185" s="489"/>
      <c r="R185" s="489"/>
      <c r="S185" s="489"/>
      <c r="T185" s="489"/>
      <c r="U185" s="489"/>
      <c r="V185" s="489"/>
    </row>
    <row r="186" spans="1:22">
      <c r="A186" s="489"/>
      <c r="B186" s="489"/>
      <c r="C186" s="489"/>
      <c r="D186" s="489"/>
      <c r="E186" s="489"/>
      <c r="F186" s="489"/>
      <c r="G186" s="489"/>
      <c r="H186" s="489"/>
      <c r="I186" s="489"/>
      <c r="J186" s="489"/>
      <c r="K186" s="489"/>
      <c r="L186" s="489"/>
      <c r="M186" s="489"/>
      <c r="N186" s="489"/>
      <c r="O186" s="489"/>
      <c r="P186" s="489"/>
      <c r="Q186" s="489"/>
      <c r="R186" s="489"/>
      <c r="S186" s="489"/>
      <c r="T186" s="489"/>
      <c r="U186" s="489"/>
      <c r="V186" s="489"/>
    </row>
    <row r="187" spans="1:22">
      <c r="A187" s="489"/>
      <c r="B187" s="489"/>
      <c r="C187" s="489"/>
      <c r="D187" s="489"/>
      <c r="E187" s="489"/>
      <c r="F187" s="489"/>
      <c r="G187" s="489"/>
      <c r="H187" s="489"/>
      <c r="I187" s="489"/>
      <c r="J187" s="489"/>
      <c r="K187" s="489"/>
      <c r="L187" s="489"/>
      <c r="M187" s="489"/>
      <c r="N187" s="489"/>
      <c r="O187" s="489"/>
      <c r="P187" s="489"/>
      <c r="Q187" s="489"/>
      <c r="R187" s="489"/>
      <c r="S187" s="489"/>
      <c r="T187" s="489"/>
      <c r="U187" s="489"/>
      <c r="V187" s="489"/>
    </row>
    <row r="188" spans="1:22">
      <c r="A188" s="489"/>
      <c r="B188" s="489"/>
      <c r="C188" s="489"/>
      <c r="D188" s="489"/>
      <c r="E188" s="489"/>
      <c r="F188" s="489"/>
      <c r="G188" s="489"/>
      <c r="H188" s="489"/>
      <c r="I188" s="489"/>
      <c r="J188" s="489"/>
      <c r="K188" s="489"/>
      <c r="L188" s="489"/>
      <c r="M188" s="489"/>
      <c r="N188" s="489"/>
      <c r="O188" s="489"/>
      <c r="P188" s="489"/>
      <c r="Q188" s="489"/>
      <c r="R188" s="489"/>
      <c r="S188" s="489"/>
      <c r="T188" s="489"/>
      <c r="U188" s="489"/>
      <c r="V188" s="489"/>
    </row>
    <row r="189" spans="1:22">
      <c r="A189" s="489"/>
      <c r="B189" s="489"/>
      <c r="C189" s="489"/>
      <c r="D189" s="489"/>
      <c r="E189" s="489"/>
      <c r="F189" s="489"/>
      <c r="G189" s="489"/>
      <c r="H189" s="489"/>
      <c r="I189" s="489"/>
      <c r="J189" s="489"/>
      <c r="K189" s="489"/>
      <c r="L189" s="489"/>
      <c r="M189" s="489"/>
      <c r="N189" s="489"/>
      <c r="O189" s="489"/>
      <c r="P189" s="489"/>
      <c r="Q189" s="489"/>
      <c r="R189" s="489"/>
      <c r="S189" s="489"/>
      <c r="T189" s="489"/>
      <c r="U189" s="489"/>
      <c r="V189" s="489"/>
    </row>
    <row r="190" spans="1:22">
      <c r="A190" s="489"/>
      <c r="B190" s="489"/>
      <c r="C190" s="489"/>
      <c r="D190" s="489"/>
      <c r="E190" s="489"/>
      <c r="F190" s="489"/>
      <c r="G190" s="489"/>
      <c r="H190" s="489"/>
      <c r="I190" s="489"/>
      <c r="J190" s="489"/>
      <c r="K190" s="489"/>
      <c r="L190" s="489"/>
      <c r="M190" s="489"/>
      <c r="N190" s="489"/>
      <c r="O190" s="489"/>
      <c r="P190" s="489"/>
      <c r="Q190" s="489"/>
      <c r="R190" s="489"/>
      <c r="S190" s="489"/>
      <c r="T190" s="489"/>
      <c r="U190" s="489"/>
      <c r="V190" s="489"/>
    </row>
    <row r="191" spans="1:22">
      <c r="A191" s="489"/>
      <c r="B191" s="489"/>
      <c r="C191" s="489"/>
      <c r="D191" s="489"/>
      <c r="E191" s="489"/>
      <c r="F191" s="489"/>
      <c r="G191" s="489"/>
      <c r="H191" s="489"/>
      <c r="I191" s="489"/>
      <c r="J191" s="489"/>
      <c r="K191" s="489"/>
      <c r="L191" s="489"/>
      <c r="M191" s="489"/>
      <c r="N191" s="489"/>
      <c r="O191" s="489"/>
      <c r="P191" s="489"/>
      <c r="Q191" s="489"/>
      <c r="R191" s="489"/>
      <c r="S191" s="489"/>
      <c r="T191" s="489"/>
      <c r="U191" s="489"/>
      <c r="V191" s="489"/>
    </row>
    <row r="192" spans="1:22">
      <c r="A192" s="489"/>
      <c r="B192" s="489"/>
      <c r="C192" s="489"/>
      <c r="D192" s="489"/>
      <c r="E192" s="489"/>
      <c r="F192" s="489"/>
      <c r="G192" s="489"/>
      <c r="H192" s="489"/>
      <c r="I192" s="489"/>
      <c r="J192" s="489"/>
      <c r="K192" s="489"/>
      <c r="L192" s="489"/>
      <c r="M192" s="489"/>
      <c r="N192" s="489"/>
      <c r="O192" s="489"/>
      <c r="P192" s="489"/>
      <c r="Q192" s="489"/>
      <c r="R192" s="489"/>
      <c r="S192" s="489"/>
      <c r="T192" s="489"/>
      <c r="U192" s="489"/>
      <c r="V192" s="489"/>
    </row>
    <row r="193" spans="1:22">
      <c r="A193" s="489"/>
      <c r="B193" s="489"/>
      <c r="C193" s="489"/>
      <c r="D193" s="489"/>
      <c r="E193" s="489"/>
      <c r="F193" s="489"/>
      <c r="G193" s="489"/>
      <c r="H193" s="489"/>
      <c r="I193" s="489"/>
      <c r="J193" s="489"/>
      <c r="K193" s="489"/>
      <c r="L193" s="489"/>
      <c r="M193" s="489"/>
      <c r="N193" s="489"/>
      <c r="O193" s="489"/>
      <c r="P193" s="489"/>
      <c r="Q193" s="489"/>
      <c r="R193" s="489"/>
      <c r="S193" s="489"/>
      <c r="T193" s="489"/>
      <c r="U193" s="489"/>
      <c r="V193" s="489"/>
    </row>
    <row r="194" spans="1:22">
      <c r="A194" s="489"/>
      <c r="B194" s="489"/>
      <c r="C194" s="489"/>
      <c r="D194" s="489"/>
      <c r="E194" s="489"/>
      <c r="F194" s="489"/>
      <c r="G194" s="489"/>
      <c r="H194" s="489"/>
      <c r="I194" s="489"/>
      <c r="J194" s="489"/>
      <c r="K194" s="489"/>
      <c r="L194" s="489"/>
      <c r="M194" s="489"/>
      <c r="N194" s="489"/>
      <c r="O194" s="489"/>
      <c r="P194" s="489"/>
      <c r="Q194" s="489"/>
      <c r="R194" s="489"/>
      <c r="S194" s="489"/>
      <c r="T194" s="489"/>
      <c r="U194" s="489"/>
      <c r="V194" s="489"/>
    </row>
    <row r="195" spans="1:22">
      <c r="A195" s="489"/>
      <c r="B195" s="489"/>
      <c r="C195" s="489"/>
      <c r="D195" s="489"/>
      <c r="E195" s="489"/>
      <c r="F195" s="489"/>
      <c r="G195" s="489"/>
      <c r="H195" s="489"/>
      <c r="I195" s="489"/>
      <c r="J195" s="489"/>
      <c r="K195" s="489"/>
      <c r="L195" s="489"/>
      <c r="M195" s="489"/>
      <c r="N195" s="489"/>
      <c r="O195" s="489"/>
      <c r="P195" s="489"/>
      <c r="Q195" s="489"/>
      <c r="R195" s="489"/>
      <c r="S195" s="489"/>
      <c r="T195" s="489"/>
      <c r="U195" s="489"/>
      <c r="V195" s="489"/>
    </row>
    <row r="196" spans="1:22">
      <c r="A196" s="489"/>
      <c r="B196" s="489"/>
      <c r="C196" s="489"/>
      <c r="D196" s="489"/>
      <c r="E196" s="489"/>
      <c r="F196" s="489"/>
      <c r="G196" s="489"/>
      <c r="H196" s="489"/>
      <c r="I196" s="489"/>
      <c r="J196" s="489"/>
      <c r="K196" s="489"/>
      <c r="L196" s="489"/>
      <c r="M196" s="489"/>
      <c r="N196" s="489"/>
      <c r="O196" s="489"/>
      <c r="P196" s="489"/>
      <c r="Q196" s="489"/>
      <c r="R196" s="489"/>
      <c r="S196" s="489"/>
      <c r="T196" s="489"/>
      <c r="U196" s="489"/>
      <c r="V196" s="489"/>
    </row>
    <row r="197" spans="1:22">
      <c r="A197" s="489"/>
      <c r="B197" s="489"/>
      <c r="C197" s="489"/>
      <c r="D197" s="489"/>
      <c r="E197" s="489"/>
      <c r="F197" s="489"/>
      <c r="G197" s="489"/>
      <c r="H197" s="489"/>
      <c r="I197" s="489"/>
      <c r="J197" s="489"/>
      <c r="K197" s="489"/>
      <c r="L197" s="489"/>
      <c r="M197" s="489"/>
      <c r="N197" s="489"/>
      <c r="O197" s="489"/>
      <c r="P197" s="489"/>
      <c r="Q197" s="489"/>
      <c r="R197" s="489"/>
      <c r="S197" s="489"/>
      <c r="T197" s="489"/>
      <c r="U197" s="489"/>
      <c r="V197" s="489"/>
    </row>
    <row r="198" spans="1:22">
      <c r="A198" s="489"/>
      <c r="B198" s="489"/>
      <c r="C198" s="489"/>
      <c r="D198" s="489"/>
      <c r="E198" s="489"/>
      <c r="F198" s="489"/>
      <c r="G198" s="489"/>
      <c r="H198" s="489"/>
      <c r="I198" s="489"/>
      <c r="J198" s="489"/>
      <c r="K198" s="489"/>
      <c r="L198" s="489"/>
      <c r="M198" s="489"/>
      <c r="N198" s="489"/>
      <c r="O198" s="489"/>
      <c r="P198" s="489"/>
      <c r="Q198" s="489"/>
      <c r="R198" s="489"/>
      <c r="S198" s="489"/>
      <c r="T198" s="489"/>
      <c r="U198" s="489"/>
      <c r="V198" s="489"/>
    </row>
    <row r="199" spans="1:22">
      <c r="A199" s="489"/>
      <c r="B199" s="489"/>
      <c r="C199" s="489"/>
      <c r="D199" s="489"/>
      <c r="E199" s="489"/>
      <c r="F199" s="489"/>
      <c r="G199" s="489"/>
      <c r="H199" s="489"/>
      <c r="I199" s="489"/>
      <c r="J199" s="489"/>
      <c r="K199" s="489"/>
      <c r="L199" s="489"/>
      <c r="M199" s="489"/>
      <c r="N199" s="489"/>
      <c r="O199" s="489"/>
      <c r="P199" s="489"/>
      <c r="Q199" s="489"/>
      <c r="R199" s="489"/>
      <c r="S199" s="489"/>
      <c r="T199" s="489"/>
      <c r="U199" s="489"/>
      <c r="V199" s="489"/>
    </row>
    <row r="200" spans="1:22">
      <c r="A200" s="489"/>
      <c r="B200" s="489"/>
      <c r="C200" s="489"/>
      <c r="D200" s="489"/>
      <c r="E200" s="489"/>
      <c r="F200" s="489"/>
      <c r="G200" s="489"/>
      <c r="H200" s="489"/>
      <c r="I200" s="489"/>
      <c r="J200" s="489"/>
      <c r="K200" s="489"/>
      <c r="L200" s="489"/>
      <c r="M200" s="489"/>
      <c r="N200" s="489"/>
      <c r="O200" s="489"/>
      <c r="P200" s="489"/>
      <c r="Q200" s="489"/>
      <c r="R200" s="489"/>
      <c r="S200" s="489"/>
      <c r="T200" s="489"/>
      <c r="U200" s="489"/>
      <c r="V200" s="489"/>
    </row>
    <row r="201" spans="1:22">
      <c r="A201" s="489"/>
      <c r="B201" s="489"/>
      <c r="C201" s="489"/>
      <c r="D201" s="489"/>
      <c r="E201" s="489"/>
      <c r="F201" s="489"/>
      <c r="G201" s="489"/>
      <c r="H201" s="489"/>
      <c r="I201" s="489"/>
      <c r="J201" s="489"/>
      <c r="K201" s="489"/>
      <c r="L201" s="489"/>
      <c r="M201" s="489"/>
      <c r="N201" s="489"/>
      <c r="O201" s="489"/>
      <c r="P201" s="489"/>
      <c r="Q201" s="489"/>
      <c r="R201" s="489"/>
      <c r="S201" s="489"/>
      <c r="T201" s="489"/>
      <c r="U201" s="489"/>
      <c r="V201" s="489"/>
    </row>
    <row r="202" spans="1:22">
      <c r="A202" s="489"/>
      <c r="B202" s="489"/>
      <c r="C202" s="489"/>
      <c r="D202" s="489"/>
      <c r="E202" s="489"/>
      <c r="F202" s="489"/>
      <c r="G202" s="489"/>
      <c r="H202" s="489"/>
      <c r="I202" s="489"/>
      <c r="J202" s="489"/>
      <c r="K202" s="489"/>
      <c r="L202" s="489"/>
      <c r="M202" s="489"/>
      <c r="N202" s="489"/>
      <c r="O202" s="489"/>
      <c r="P202" s="489"/>
      <c r="Q202" s="489"/>
      <c r="R202" s="489"/>
      <c r="S202" s="489"/>
      <c r="T202" s="489"/>
      <c r="U202" s="489"/>
      <c r="V202" s="489"/>
    </row>
    <row r="203" spans="1:22">
      <c r="A203" s="489"/>
      <c r="B203" s="489"/>
      <c r="C203" s="489"/>
      <c r="D203" s="489"/>
      <c r="E203" s="489"/>
      <c r="F203" s="489"/>
      <c r="G203" s="489"/>
      <c r="H203" s="489"/>
      <c r="I203" s="489"/>
      <c r="J203" s="489"/>
      <c r="K203" s="489"/>
      <c r="L203" s="489"/>
      <c r="M203" s="489"/>
      <c r="N203" s="489"/>
      <c r="O203" s="489"/>
      <c r="P203" s="489"/>
      <c r="Q203" s="489"/>
      <c r="R203" s="489"/>
      <c r="S203" s="489"/>
      <c r="T203" s="489"/>
      <c r="U203" s="489"/>
      <c r="V203" s="489"/>
    </row>
    <row r="204" spans="1:22">
      <c r="A204" s="489"/>
      <c r="B204" s="489"/>
      <c r="C204" s="489"/>
      <c r="D204" s="489"/>
      <c r="E204" s="489"/>
      <c r="F204" s="489"/>
      <c r="G204" s="489"/>
      <c r="H204" s="489"/>
      <c r="I204" s="489"/>
      <c r="J204" s="489"/>
      <c r="K204" s="489"/>
      <c r="L204" s="489"/>
      <c r="M204" s="489"/>
      <c r="N204" s="489"/>
      <c r="O204" s="489"/>
      <c r="P204" s="489"/>
      <c r="Q204" s="489"/>
      <c r="R204" s="489"/>
      <c r="S204" s="489"/>
      <c r="T204" s="489"/>
      <c r="U204" s="489"/>
      <c r="V204" s="489"/>
    </row>
    <row r="205" spans="1:22">
      <c r="A205" s="489"/>
      <c r="B205" s="489"/>
      <c r="C205" s="489"/>
      <c r="D205" s="489"/>
      <c r="E205" s="489"/>
      <c r="F205" s="489"/>
      <c r="G205" s="489"/>
      <c r="H205" s="489"/>
      <c r="I205" s="489"/>
      <c r="J205" s="489"/>
      <c r="K205" s="489"/>
      <c r="L205" s="489"/>
      <c r="M205" s="489"/>
      <c r="N205" s="489"/>
      <c r="O205" s="489"/>
      <c r="P205" s="489"/>
      <c r="Q205" s="489"/>
      <c r="R205" s="489"/>
      <c r="S205" s="489"/>
      <c r="T205" s="489"/>
      <c r="U205" s="489"/>
      <c r="V205" s="489"/>
    </row>
    <row r="206" spans="1:22">
      <c r="A206" s="489"/>
      <c r="B206" s="489"/>
      <c r="C206" s="489"/>
      <c r="D206" s="489"/>
      <c r="E206" s="489"/>
      <c r="F206" s="489"/>
      <c r="G206" s="489"/>
      <c r="H206" s="489"/>
      <c r="I206" s="489"/>
      <c r="J206" s="489"/>
      <c r="K206" s="489"/>
      <c r="L206" s="489"/>
      <c r="M206" s="489"/>
      <c r="N206" s="489"/>
      <c r="O206" s="489"/>
      <c r="P206" s="489"/>
      <c r="Q206" s="489"/>
      <c r="R206" s="489"/>
      <c r="S206" s="489"/>
      <c r="T206" s="489"/>
      <c r="U206" s="489"/>
      <c r="V206" s="489"/>
    </row>
    <row r="207" spans="1:22">
      <c r="A207" s="489"/>
      <c r="B207" s="489"/>
      <c r="C207" s="489"/>
      <c r="D207" s="489"/>
      <c r="E207" s="489"/>
      <c r="F207" s="489"/>
      <c r="G207" s="489"/>
      <c r="H207" s="489"/>
      <c r="I207" s="489"/>
      <c r="J207" s="489"/>
      <c r="K207" s="489"/>
      <c r="L207" s="489"/>
      <c r="M207" s="489"/>
      <c r="N207" s="489"/>
      <c r="O207" s="489"/>
      <c r="P207" s="489"/>
      <c r="Q207" s="489"/>
      <c r="R207" s="489"/>
      <c r="S207" s="489"/>
      <c r="T207" s="489"/>
      <c r="U207" s="489"/>
      <c r="V207" s="489"/>
    </row>
    <row r="208" spans="1:22">
      <c r="A208" s="489"/>
      <c r="B208" s="489"/>
      <c r="C208" s="489"/>
      <c r="D208" s="489"/>
      <c r="E208" s="489"/>
      <c r="F208" s="489"/>
      <c r="G208" s="489"/>
      <c r="H208" s="489"/>
      <c r="I208" s="489"/>
      <c r="J208" s="489"/>
      <c r="K208" s="489"/>
      <c r="L208" s="489"/>
      <c r="M208" s="489"/>
      <c r="N208" s="489"/>
      <c r="O208" s="489"/>
      <c r="P208" s="489"/>
      <c r="Q208" s="489"/>
      <c r="R208" s="489"/>
      <c r="S208" s="489"/>
      <c r="T208" s="489"/>
      <c r="U208" s="489"/>
      <c r="V208" s="489"/>
    </row>
    <row r="209" spans="1:22">
      <c r="A209" s="489"/>
      <c r="B209" s="489"/>
      <c r="C209" s="489"/>
      <c r="D209" s="489"/>
      <c r="E209" s="489"/>
      <c r="F209" s="489"/>
      <c r="G209" s="489"/>
      <c r="H209" s="489"/>
      <c r="I209" s="489"/>
      <c r="J209" s="489"/>
      <c r="K209" s="489"/>
      <c r="L209" s="489"/>
      <c r="M209" s="489"/>
      <c r="N209" s="489"/>
      <c r="O209" s="489"/>
      <c r="P209" s="489"/>
      <c r="Q209" s="489"/>
      <c r="R209" s="489"/>
      <c r="S209" s="489"/>
      <c r="T209" s="489"/>
      <c r="U209" s="489"/>
      <c r="V209" s="489"/>
    </row>
    <row r="210" spans="1:22">
      <c r="A210" s="489"/>
      <c r="B210" s="489"/>
      <c r="C210" s="489"/>
      <c r="D210" s="489"/>
      <c r="E210" s="489"/>
      <c r="F210" s="489"/>
      <c r="G210" s="489"/>
      <c r="H210" s="489"/>
      <c r="I210" s="489"/>
      <c r="J210" s="489"/>
      <c r="K210" s="489"/>
      <c r="L210" s="489"/>
      <c r="M210" s="489"/>
      <c r="N210" s="489"/>
      <c r="O210" s="489"/>
      <c r="P210" s="489"/>
      <c r="Q210" s="489"/>
      <c r="R210" s="489"/>
      <c r="S210" s="489"/>
      <c r="T210" s="489"/>
      <c r="U210" s="489"/>
      <c r="V210" s="489"/>
    </row>
    <row r="211" spans="1:22">
      <c r="A211" s="489"/>
      <c r="B211" s="489"/>
      <c r="C211" s="489"/>
      <c r="D211" s="489"/>
      <c r="E211" s="489"/>
      <c r="F211" s="489"/>
      <c r="G211" s="489"/>
      <c r="H211" s="489"/>
      <c r="I211" s="489"/>
      <c r="J211" s="489"/>
      <c r="K211" s="489"/>
      <c r="L211" s="489"/>
      <c r="M211" s="489"/>
      <c r="N211" s="489"/>
      <c r="O211" s="489"/>
      <c r="P211" s="489"/>
      <c r="Q211" s="489"/>
      <c r="R211" s="489"/>
      <c r="S211" s="489"/>
      <c r="T211" s="489"/>
      <c r="U211" s="489"/>
      <c r="V211" s="489"/>
    </row>
    <row r="212" spans="1:22">
      <c r="A212" s="489"/>
      <c r="B212" s="489"/>
      <c r="C212" s="489"/>
      <c r="D212" s="489"/>
      <c r="E212" s="489"/>
      <c r="F212" s="489"/>
      <c r="G212" s="489"/>
      <c r="H212" s="489"/>
      <c r="I212" s="489"/>
      <c r="J212" s="489"/>
      <c r="K212" s="489"/>
      <c r="L212" s="489"/>
      <c r="M212" s="489"/>
      <c r="N212" s="489"/>
      <c r="O212" s="489"/>
      <c r="P212" s="489"/>
      <c r="Q212" s="489"/>
      <c r="R212" s="489"/>
      <c r="S212" s="489"/>
      <c r="T212" s="489"/>
      <c r="U212" s="489"/>
      <c r="V212" s="489"/>
    </row>
    <row r="213" spans="1:22">
      <c r="A213" s="489"/>
      <c r="B213" s="489"/>
      <c r="C213" s="489"/>
      <c r="D213" s="489"/>
      <c r="E213" s="489"/>
      <c r="F213" s="489"/>
      <c r="G213" s="489"/>
      <c r="H213" s="489"/>
      <c r="I213" s="489"/>
      <c r="J213" s="489"/>
      <c r="K213" s="489"/>
      <c r="L213" s="489"/>
      <c r="M213" s="489"/>
      <c r="N213" s="489"/>
      <c r="O213" s="489"/>
      <c r="P213" s="489"/>
      <c r="Q213" s="489"/>
      <c r="R213" s="489"/>
      <c r="S213" s="489"/>
      <c r="T213" s="489"/>
      <c r="U213" s="489"/>
      <c r="V213" s="489"/>
    </row>
    <row r="214" spans="1:22">
      <c r="A214" s="489"/>
      <c r="B214" s="489"/>
      <c r="C214" s="489"/>
      <c r="D214" s="489"/>
      <c r="E214" s="489"/>
      <c r="F214" s="489"/>
      <c r="G214" s="489"/>
      <c r="H214" s="489"/>
      <c r="I214" s="489"/>
      <c r="J214" s="489"/>
      <c r="K214" s="489"/>
      <c r="L214" s="489"/>
      <c r="M214" s="489"/>
      <c r="N214" s="489"/>
      <c r="O214" s="489"/>
      <c r="P214" s="489"/>
      <c r="Q214" s="489"/>
      <c r="R214" s="489"/>
      <c r="S214" s="489"/>
      <c r="T214" s="489"/>
      <c r="U214" s="489"/>
      <c r="V214" s="489"/>
    </row>
    <row r="215" spans="1:22">
      <c r="A215" s="489"/>
      <c r="B215" s="489"/>
      <c r="C215" s="489"/>
      <c r="D215" s="489"/>
      <c r="E215" s="489"/>
      <c r="F215" s="489"/>
      <c r="G215" s="489"/>
      <c r="H215" s="489"/>
      <c r="I215" s="489"/>
      <c r="J215" s="489"/>
      <c r="K215" s="489"/>
      <c r="L215" s="489"/>
      <c r="M215" s="489"/>
      <c r="N215" s="489"/>
      <c r="O215" s="489"/>
      <c r="P215" s="489"/>
      <c r="Q215" s="489"/>
      <c r="R215" s="489"/>
      <c r="S215" s="489"/>
      <c r="T215" s="489"/>
      <c r="U215" s="489"/>
      <c r="V215" s="489"/>
    </row>
    <row r="216" spans="1:22">
      <c r="A216" s="489"/>
      <c r="B216" s="489"/>
      <c r="C216" s="489"/>
      <c r="D216" s="489"/>
      <c r="E216" s="489"/>
      <c r="F216" s="489"/>
      <c r="G216" s="489"/>
      <c r="H216" s="489"/>
      <c r="I216" s="489"/>
      <c r="J216" s="489"/>
      <c r="K216" s="489"/>
      <c r="L216" s="489"/>
      <c r="M216" s="489"/>
      <c r="N216" s="489"/>
      <c r="O216" s="489"/>
      <c r="P216" s="489"/>
      <c r="Q216" s="489"/>
      <c r="R216" s="489"/>
      <c r="S216" s="489"/>
      <c r="T216" s="489"/>
      <c r="U216" s="489"/>
      <c r="V216" s="489"/>
    </row>
    <row r="217" spans="1:22">
      <c r="A217" s="489"/>
      <c r="B217" s="489"/>
      <c r="C217" s="489"/>
      <c r="D217" s="489"/>
      <c r="E217" s="489"/>
      <c r="F217" s="489"/>
      <c r="G217" s="489"/>
      <c r="H217" s="489"/>
      <c r="I217" s="489"/>
      <c r="J217" s="489"/>
      <c r="K217" s="489"/>
      <c r="L217" s="489"/>
      <c r="M217" s="489"/>
      <c r="N217" s="489"/>
      <c r="O217" s="489"/>
      <c r="P217" s="489"/>
      <c r="Q217" s="489"/>
      <c r="R217" s="489"/>
      <c r="S217" s="489"/>
      <c r="T217" s="489"/>
      <c r="U217" s="489"/>
      <c r="V217" s="489"/>
    </row>
    <row r="218" spans="1:22">
      <c r="A218" s="489"/>
      <c r="B218" s="489"/>
      <c r="C218" s="489"/>
      <c r="D218" s="489"/>
      <c r="E218" s="489"/>
      <c r="F218" s="489"/>
      <c r="G218" s="489"/>
      <c r="H218" s="489"/>
      <c r="I218" s="489"/>
      <c r="J218" s="489"/>
      <c r="K218" s="489"/>
      <c r="L218" s="489"/>
      <c r="M218" s="489"/>
      <c r="N218" s="489"/>
      <c r="O218" s="489"/>
      <c r="P218" s="489"/>
      <c r="Q218" s="489"/>
      <c r="R218" s="489"/>
      <c r="S218" s="489"/>
      <c r="T218" s="489"/>
      <c r="U218" s="489"/>
      <c r="V218" s="489"/>
    </row>
    <row r="219" spans="1:22">
      <c r="A219" s="489"/>
      <c r="B219" s="489"/>
      <c r="C219" s="489"/>
      <c r="D219" s="489"/>
      <c r="E219" s="489"/>
      <c r="F219" s="489"/>
      <c r="G219" s="489"/>
      <c r="H219" s="489"/>
      <c r="I219" s="489"/>
      <c r="J219" s="489"/>
      <c r="K219" s="489"/>
      <c r="L219" s="489"/>
      <c r="M219" s="489"/>
      <c r="N219" s="489"/>
      <c r="O219" s="489"/>
      <c r="P219" s="489"/>
      <c r="Q219" s="489"/>
      <c r="R219" s="489"/>
      <c r="S219" s="489"/>
      <c r="T219" s="489"/>
      <c r="U219" s="489"/>
      <c r="V219" s="489"/>
    </row>
    <row r="220" spans="1:22">
      <c r="A220" s="489"/>
      <c r="B220" s="489"/>
      <c r="C220" s="489"/>
      <c r="D220" s="489"/>
      <c r="E220" s="489"/>
      <c r="F220" s="489"/>
      <c r="G220" s="489"/>
      <c r="H220" s="489"/>
      <c r="I220" s="489"/>
      <c r="J220" s="489"/>
      <c r="K220" s="489"/>
      <c r="L220" s="489"/>
      <c r="M220" s="489"/>
      <c r="N220" s="489"/>
      <c r="O220" s="489"/>
      <c r="P220" s="489"/>
      <c r="Q220" s="489"/>
      <c r="R220" s="489"/>
      <c r="S220" s="489"/>
      <c r="T220" s="489"/>
      <c r="U220" s="489"/>
      <c r="V220" s="489"/>
    </row>
    <row r="221" spans="1:22">
      <c r="A221" s="489"/>
      <c r="B221" s="489"/>
      <c r="C221" s="489"/>
      <c r="D221" s="489"/>
      <c r="E221" s="489"/>
      <c r="F221" s="489"/>
      <c r="G221" s="489"/>
      <c r="H221" s="489"/>
      <c r="I221" s="489"/>
      <c r="J221" s="489"/>
      <c r="K221" s="489"/>
      <c r="L221" s="489"/>
      <c r="M221" s="489"/>
      <c r="N221" s="489"/>
      <c r="O221" s="489"/>
      <c r="P221" s="489"/>
      <c r="Q221" s="489"/>
      <c r="R221" s="489"/>
      <c r="S221" s="489"/>
      <c r="T221" s="489"/>
      <c r="U221" s="489"/>
      <c r="V221" s="489"/>
    </row>
    <row r="222" spans="1:22">
      <c r="A222" s="489"/>
      <c r="B222" s="489"/>
      <c r="C222" s="489"/>
      <c r="D222" s="489"/>
      <c r="E222" s="489"/>
      <c r="F222" s="489"/>
      <c r="G222" s="489"/>
      <c r="H222" s="489"/>
      <c r="I222" s="489"/>
      <c r="J222" s="489"/>
      <c r="K222" s="489"/>
      <c r="L222" s="489"/>
      <c r="M222" s="489"/>
      <c r="N222" s="489"/>
      <c r="O222" s="489"/>
      <c r="P222" s="489"/>
      <c r="Q222" s="489"/>
      <c r="R222" s="489"/>
      <c r="S222" s="489"/>
      <c r="T222" s="489"/>
      <c r="U222" s="489"/>
      <c r="V222" s="489"/>
    </row>
    <row r="223" spans="1:22">
      <c r="A223" s="489"/>
      <c r="B223" s="489"/>
      <c r="C223" s="489"/>
      <c r="D223" s="489"/>
      <c r="E223" s="489"/>
      <c r="F223" s="489"/>
      <c r="G223" s="489"/>
      <c r="H223" s="489"/>
      <c r="I223" s="489"/>
      <c r="J223" s="489"/>
      <c r="K223" s="489"/>
      <c r="L223" s="489"/>
      <c r="M223" s="489"/>
      <c r="N223" s="489"/>
      <c r="O223" s="489"/>
      <c r="P223" s="489"/>
      <c r="Q223" s="489"/>
      <c r="R223" s="489"/>
      <c r="S223" s="489"/>
      <c r="T223" s="489"/>
      <c r="U223" s="489"/>
      <c r="V223" s="489"/>
    </row>
    <row r="224" spans="1:22">
      <c r="A224" s="489"/>
      <c r="B224" s="489"/>
      <c r="C224" s="489"/>
      <c r="D224" s="489"/>
      <c r="E224" s="489"/>
      <c r="F224" s="489"/>
      <c r="G224" s="489"/>
      <c r="H224" s="489"/>
      <c r="I224" s="489"/>
      <c r="J224" s="489"/>
      <c r="K224" s="489"/>
      <c r="L224" s="489"/>
      <c r="M224" s="489"/>
      <c r="N224" s="489"/>
      <c r="O224" s="489"/>
      <c r="P224" s="489"/>
      <c r="Q224" s="489"/>
      <c r="R224" s="489"/>
      <c r="S224" s="489"/>
      <c r="T224" s="489"/>
      <c r="U224" s="489"/>
      <c r="V224" s="489"/>
    </row>
    <row r="225" spans="1:22">
      <c r="A225" s="489"/>
      <c r="B225" s="489"/>
      <c r="C225" s="489"/>
      <c r="D225" s="489"/>
      <c r="E225" s="489"/>
      <c r="F225" s="489"/>
      <c r="G225" s="489"/>
      <c r="H225" s="489"/>
      <c r="I225" s="489"/>
      <c r="J225" s="489"/>
      <c r="K225" s="489"/>
      <c r="L225" s="489"/>
      <c r="M225" s="489"/>
      <c r="N225" s="489"/>
      <c r="O225" s="489"/>
      <c r="P225" s="489"/>
      <c r="Q225" s="489"/>
      <c r="R225" s="489"/>
      <c r="S225" s="489"/>
      <c r="T225" s="489"/>
      <c r="U225" s="489"/>
      <c r="V225" s="489"/>
    </row>
    <row r="226" spans="1:22">
      <c r="A226" s="489"/>
      <c r="B226" s="489"/>
      <c r="C226" s="489"/>
      <c r="D226" s="489"/>
      <c r="E226" s="489"/>
      <c r="F226" s="489"/>
      <c r="G226" s="489"/>
      <c r="H226" s="489"/>
      <c r="I226" s="489"/>
      <c r="J226" s="489"/>
      <c r="K226" s="489"/>
      <c r="L226" s="489"/>
      <c r="M226" s="489"/>
      <c r="N226" s="489"/>
      <c r="O226" s="489"/>
      <c r="P226" s="489"/>
      <c r="Q226" s="489"/>
      <c r="R226" s="489"/>
      <c r="S226" s="489"/>
      <c r="T226" s="489"/>
      <c r="U226" s="489"/>
      <c r="V226" s="489"/>
    </row>
    <row r="227" spans="1:22">
      <c r="A227" s="489"/>
      <c r="B227" s="489"/>
      <c r="C227" s="489"/>
      <c r="D227" s="489"/>
      <c r="E227" s="489"/>
      <c r="F227" s="489"/>
      <c r="G227" s="489"/>
      <c r="H227" s="489"/>
      <c r="I227" s="489"/>
      <c r="J227" s="489"/>
      <c r="K227" s="489"/>
      <c r="L227" s="489"/>
      <c r="M227" s="489"/>
      <c r="N227" s="489"/>
      <c r="O227" s="489"/>
      <c r="P227" s="489"/>
      <c r="Q227" s="489"/>
      <c r="R227" s="489"/>
      <c r="S227" s="489"/>
      <c r="T227" s="489"/>
      <c r="U227" s="489"/>
      <c r="V227" s="489"/>
    </row>
    <row r="228" spans="1:22">
      <c r="A228" s="489"/>
      <c r="B228" s="489"/>
      <c r="C228" s="489"/>
      <c r="D228" s="489"/>
      <c r="E228" s="489"/>
      <c r="F228" s="489"/>
      <c r="G228" s="489"/>
      <c r="H228" s="489"/>
      <c r="I228" s="489"/>
      <c r="J228" s="489"/>
      <c r="K228" s="489"/>
      <c r="L228" s="489"/>
      <c r="M228" s="489"/>
      <c r="N228" s="489"/>
      <c r="O228" s="489"/>
      <c r="P228" s="489"/>
      <c r="Q228" s="489"/>
      <c r="R228" s="489"/>
      <c r="S228" s="489"/>
      <c r="T228" s="489"/>
      <c r="U228" s="489"/>
      <c r="V228" s="489"/>
    </row>
    <row r="229" spans="1:22">
      <c r="A229" s="489"/>
      <c r="B229" s="489"/>
      <c r="C229" s="489"/>
      <c r="D229" s="489"/>
      <c r="E229" s="489"/>
      <c r="F229" s="489"/>
      <c r="G229" s="489"/>
      <c r="H229" s="489"/>
      <c r="I229" s="489"/>
      <c r="J229" s="489"/>
      <c r="K229" s="489"/>
      <c r="L229" s="489"/>
      <c r="M229" s="489"/>
      <c r="N229" s="489"/>
      <c r="O229" s="489"/>
      <c r="P229" s="489"/>
      <c r="Q229" s="489"/>
      <c r="R229" s="489"/>
      <c r="S229" s="489"/>
      <c r="T229" s="489"/>
      <c r="U229" s="489"/>
      <c r="V229" s="489"/>
    </row>
    <row r="230" spans="1:22">
      <c r="A230" s="489"/>
      <c r="B230" s="489"/>
      <c r="C230" s="489"/>
      <c r="D230" s="489"/>
      <c r="E230" s="489"/>
      <c r="F230" s="489"/>
      <c r="G230" s="489"/>
      <c r="H230" s="489"/>
      <c r="I230" s="489"/>
      <c r="J230" s="489"/>
      <c r="K230" s="489"/>
      <c r="L230" s="489"/>
      <c r="M230" s="489"/>
      <c r="N230" s="489"/>
      <c r="O230" s="489"/>
      <c r="P230" s="489"/>
      <c r="Q230" s="489"/>
      <c r="R230" s="489"/>
      <c r="S230" s="489"/>
      <c r="T230" s="489"/>
      <c r="U230" s="489"/>
      <c r="V230" s="489"/>
    </row>
    <row r="231" spans="1:22">
      <c r="A231" s="489"/>
      <c r="B231" s="489"/>
      <c r="C231" s="489"/>
      <c r="D231" s="489"/>
      <c r="E231" s="489"/>
      <c r="F231" s="489"/>
      <c r="G231" s="489"/>
      <c r="H231" s="489"/>
      <c r="I231" s="489"/>
      <c r="J231" s="489"/>
      <c r="K231" s="489"/>
      <c r="L231" s="489"/>
      <c r="M231" s="489"/>
      <c r="N231" s="489"/>
      <c r="O231" s="489"/>
      <c r="P231" s="489"/>
      <c r="Q231" s="489"/>
      <c r="R231" s="489"/>
      <c r="S231" s="489"/>
      <c r="T231" s="489"/>
      <c r="U231" s="489"/>
      <c r="V231" s="489"/>
    </row>
    <row r="232" spans="1:22">
      <c r="A232" s="489"/>
      <c r="B232" s="489"/>
      <c r="C232" s="489"/>
      <c r="D232" s="489"/>
      <c r="E232" s="489"/>
      <c r="F232" s="489"/>
      <c r="G232" s="489"/>
      <c r="H232" s="489"/>
      <c r="I232" s="489"/>
      <c r="J232" s="489"/>
      <c r="K232" s="489"/>
      <c r="L232" s="489"/>
      <c r="M232" s="489"/>
      <c r="N232" s="489"/>
      <c r="O232" s="489"/>
      <c r="P232" s="489"/>
      <c r="Q232" s="489"/>
      <c r="R232" s="489"/>
      <c r="S232" s="489"/>
      <c r="T232" s="489"/>
      <c r="U232" s="489"/>
      <c r="V232" s="489"/>
    </row>
    <row r="233" spans="1:22">
      <c r="A233" s="489"/>
      <c r="B233" s="489"/>
      <c r="C233" s="489"/>
      <c r="D233" s="489"/>
      <c r="E233" s="489"/>
      <c r="F233" s="489"/>
      <c r="G233" s="489"/>
      <c r="H233" s="489"/>
      <c r="I233" s="489"/>
      <c r="J233" s="489"/>
      <c r="K233" s="489"/>
      <c r="L233" s="489"/>
      <c r="M233" s="489"/>
      <c r="N233" s="489"/>
      <c r="O233" s="489"/>
      <c r="P233" s="489"/>
      <c r="Q233" s="489"/>
      <c r="R233" s="489"/>
      <c r="S233" s="489"/>
      <c r="T233" s="489"/>
      <c r="U233" s="489"/>
      <c r="V233" s="489"/>
    </row>
    <row r="234" spans="1:22">
      <c r="A234" s="489"/>
      <c r="B234" s="489"/>
      <c r="C234" s="489"/>
      <c r="D234" s="489"/>
      <c r="E234" s="489"/>
      <c r="F234" s="489"/>
      <c r="G234" s="489"/>
      <c r="H234" s="489"/>
      <c r="I234" s="489"/>
      <c r="J234" s="489"/>
      <c r="K234" s="489"/>
      <c r="L234" s="489"/>
      <c r="M234" s="489"/>
      <c r="N234" s="489"/>
      <c r="O234" s="489"/>
      <c r="P234" s="489"/>
      <c r="Q234" s="489"/>
      <c r="R234" s="489"/>
      <c r="S234" s="489"/>
      <c r="T234" s="489"/>
      <c r="U234" s="489"/>
      <c r="V234" s="489"/>
    </row>
    <row r="235" spans="1:22">
      <c r="A235" s="489"/>
      <c r="B235" s="489"/>
      <c r="C235" s="489"/>
      <c r="D235" s="489"/>
      <c r="E235" s="489"/>
      <c r="F235" s="489"/>
      <c r="G235" s="489"/>
      <c r="H235" s="489"/>
      <c r="I235" s="489"/>
      <c r="J235" s="489"/>
      <c r="K235" s="489"/>
      <c r="L235" s="489"/>
      <c r="M235" s="489"/>
      <c r="N235" s="489"/>
      <c r="O235" s="489"/>
      <c r="P235" s="489"/>
      <c r="Q235" s="489"/>
      <c r="R235" s="489"/>
      <c r="S235" s="489"/>
      <c r="T235" s="489"/>
      <c r="U235" s="489"/>
      <c r="V235" s="489"/>
    </row>
    <row r="236" spans="1:22">
      <c r="A236" s="489"/>
      <c r="B236" s="489"/>
      <c r="C236" s="489"/>
      <c r="D236" s="489"/>
      <c r="E236" s="489"/>
      <c r="F236" s="489"/>
      <c r="G236" s="489"/>
      <c r="H236" s="489"/>
      <c r="I236" s="489"/>
      <c r="J236" s="489"/>
      <c r="K236" s="489"/>
      <c r="L236" s="489"/>
      <c r="M236" s="489"/>
      <c r="N236" s="489"/>
      <c r="O236" s="489"/>
      <c r="P236" s="489"/>
      <c r="Q236" s="489"/>
      <c r="R236" s="489"/>
      <c r="S236" s="489"/>
      <c r="T236" s="489"/>
      <c r="U236" s="489"/>
      <c r="V236" s="489"/>
    </row>
    <row r="237" spans="1:22">
      <c r="A237" s="489"/>
      <c r="B237" s="489"/>
      <c r="C237" s="489"/>
      <c r="D237" s="489"/>
      <c r="E237" s="489"/>
      <c r="F237" s="489"/>
      <c r="G237" s="489"/>
      <c r="H237" s="489"/>
      <c r="I237" s="489"/>
      <c r="J237" s="489"/>
      <c r="K237" s="489"/>
      <c r="L237" s="489"/>
      <c r="M237" s="489"/>
      <c r="N237" s="489"/>
      <c r="O237" s="489"/>
      <c r="P237" s="489"/>
      <c r="Q237" s="489"/>
      <c r="R237" s="489"/>
      <c r="S237" s="489"/>
      <c r="T237" s="489"/>
      <c r="U237" s="489"/>
      <c r="V237" s="489"/>
    </row>
    <row r="238" spans="1:22">
      <c r="A238" s="489"/>
      <c r="B238" s="489"/>
      <c r="C238" s="489"/>
      <c r="D238" s="489"/>
      <c r="E238" s="489"/>
      <c r="F238" s="489"/>
      <c r="G238" s="489"/>
      <c r="H238" s="489"/>
      <c r="I238" s="489"/>
      <c r="J238" s="489"/>
      <c r="K238" s="489"/>
      <c r="L238" s="489"/>
      <c r="M238" s="489"/>
      <c r="N238" s="489"/>
      <c r="O238" s="489"/>
      <c r="P238" s="489"/>
      <c r="Q238" s="489"/>
      <c r="R238" s="489"/>
      <c r="S238" s="489"/>
      <c r="T238" s="489"/>
      <c r="U238" s="489"/>
      <c r="V238" s="489"/>
    </row>
    <row r="239" spans="1:22">
      <c r="A239" s="489"/>
      <c r="B239" s="489"/>
      <c r="C239" s="489"/>
      <c r="D239" s="489"/>
      <c r="E239" s="489"/>
      <c r="F239" s="489"/>
      <c r="G239" s="489"/>
      <c r="H239" s="489"/>
      <c r="I239" s="489"/>
      <c r="J239" s="489"/>
      <c r="K239" s="489"/>
      <c r="L239" s="489"/>
      <c r="M239" s="489"/>
      <c r="N239" s="489"/>
      <c r="O239" s="489"/>
      <c r="P239" s="489"/>
      <c r="Q239" s="489"/>
      <c r="R239" s="489"/>
      <c r="S239" s="489"/>
      <c r="T239" s="489"/>
      <c r="U239" s="489"/>
      <c r="V239" s="489"/>
    </row>
    <row r="240" spans="1:22">
      <c r="A240" s="489"/>
      <c r="B240" s="489"/>
      <c r="C240" s="489"/>
      <c r="D240" s="489"/>
      <c r="E240" s="489"/>
      <c r="F240" s="489"/>
      <c r="G240" s="489"/>
      <c r="H240" s="489"/>
      <c r="I240" s="489"/>
      <c r="J240" s="489"/>
      <c r="K240" s="489"/>
      <c r="L240" s="489"/>
      <c r="M240" s="489"/>
      <c r="N240" s="489"/>
      <c r="O240" s="489"/>
      <c r="P240" s="489"/>
      <c r="Q240" s="489"/>
      <c r="R240" s="489"/>
      <c r="S240" s="489"/>
      <c r="T240" s="489"/>
      <c r="U240" s="489"/>
      <c r="V240" s="489"/>
    </row>
    <row r="241" spans="1:22">
      <c r="A241" s="489"/>
      <c r="B241" s="489"/>
      <c r="C241" s="489"/>
      <c r="D241" s="489"/>
      <c r="E241" s="489"/>
      <c r="F241" s="489"/>
      <c r="G241" s="489"/>
      <c r="H241" s="489"/>
      <c r="I241" s="489"/>
      <c r="J241" s="489"/>
      <c r="K241" s="489"/>
      <c r="L241" s="489"/>
      <c r="M241" s="489"/>
      <c r="N241" s="489"/>
      <c r="O241" s="489"/>
      <c r="P241" s="489"/>
      <c r="Q241" s="489"/>
      <c r="R241" s="489"/>
      <c r="S241" s="489"/>
      <c r="T241" s="489"/>
      <c r="U241" s="489"/>
      <c r="V241" s="489"/>
    </row>
    <row r="242" spans="1:22">
      <c r="A242" s="489"/>
      <c r="B242" s="489"/>
      <c r="C242" s="489"/>
      <c r="D242" s="489"/>
      <c r="E242" s="489"/>
      <c r="F242" s="489"/>
      <c r="G242" s="489"/>
      <c r="H242" s="489"/>
      <c r="I242" s="489"/>
      <c r="J242" s="489"/>
      <c r="K242" s="489"/>
      <c r="L242" s="489"/>
      <c r="M242" s="489"/>
      <c r="N242" s="489"/>
      <c r="O242" s="489"/>
      <c r="P242" s="489"/>
      <c r="Q242" s="489"/>
      <c r="R242" s="489"/>
      <c r="S242" s="489"/>
      <c r="T242" s="489"/>
      <c r="U242" s="489"/>
      <c r="V242" s="489"/>
    </row>
    <row r="243" spans="1:22">
      <c r="A243" s="489"/>
      <c r="B243" s="489"/>
      <c r="C243" s="489"/>
      <c r="D243" s="489"/>
      <c r="E243" s="489"/>
      <c r="F243" s="489"/>
      <c r="G243" s="489"/>
      <c r="H243" s="489"/>
      <c r="I243" s="489"/>
      <c r="J243" s="489"/>
      <c r="K243" s="489"/>
      <c r="L243" s="489"/>
      <c r="M243" s="489"/>
      <c r="N243" s="489"/>
      <c r="O243" s="489"/>
      <c r="P243" s="489"/>
      <c r="Q243" s="489"/>
      <c r="R243" s="489"/>
      <c r="S243" s="489"/>
      <c r="T243" s="489"/>
      <c r="U243" s="489"/>
      <c r="V243" s="489"/>
    </row>
    <row r="244" spans="1:22">
      <c r="A244" s="489"/>
      <c r="B244" s="489"/>
      <c r="C244" s="489"/>
      <c r="D244" s="489"/>
      <c r="E244" s="489"/>
      <c r="F244" s="489"/>
      <c r="G244" s="489"/>
      <c r="H244" s="489"/>
      <c r="I244" s="489"/>
      <c r="J244" s="489"/>
      <c r="K244" s="489"/>
      <c r="L244" s="489"/>
      <c r="M244" s="489"/>
      <c r="N244" s="489"/>
      <c r="O244" s="489"/>
      <c r="P244" s="489"/>
      <c r="Q244" s="489"/>
      <c r="R244" s="489"/>
      <c r="S244" s="489"/>
      <c r="T244" s="489"/>
      <c r="U244" s="489"/>
      <c r="V244" s="489"/>
    </row>
    <row r="245" spans="1:22">
      <c r="A245" s="489"/>
      <c r="B245" s="489"/>
      <c r="C245" s="489"/>
      <c r="D245" s="489"/>
      <c r="E245" s="489"/>
      <c r="F245" s="489"/>
      <c r="G245" s="489"/>
      <c r="H245" s="489"/>
      <c r="I245" s="489"/>
      <c r="J245" s="489"/>
      <c r="K245" s="489"/>
      <c r="L245" s="489"/>
      <c r="M245" s="489"/>
      <c r="N245" s="489"/>
      <c r="O245" s="489"/>
      <c r="P245" s="489"/>
      <c r="Q245" s="489"/>
      <c r="R245" s="489"/>
      <c r="S245" s="489"/>
      <c r="T245" s="489"/>
      <c r="U245" s="489"/>
      <c r="V245" s="489"/>
    </row>
    <row r="246" spans="1:22">
      <c r="A246" s="489"/>
      <c r="B246" s="489"/>
      <c r="C246" s="489"/>
      <c r="D246" s="489"/>
      <c r="E246" s="489"/>
      <c r="F246" s="489"/>
      <c r="G246" s="489"/>
      <c r="H246" s="489"/>
      <c r="I246" s="489"/>
      <c r="J246" s="489"/>
      <c r="K246" s="489"/>
      <c r="L246" s="489"/>
      <c r="M246" s="489"/>
      <c r="N246" s="489"/>
      <c r="O246" s="489"/>
      <c r="P246" s="489"/>
      <c r="Q246" s="489"/>
      <c r="R246" s="489"/>
      <c r="S246" s="489"/>
      <c r="T246" s="489"/>
      <c r="U246" s="489"/>
      <c r="V246" s="489"/>
    </row>
    <row r="247" spans="1:22">
      <c r="A247" s="489"/>
      <c r="B247" s="489"/>
      <c r="C247" s="489"/>
      <c r="D247" s="489"/>
      <c r="E247" s="489"/>
      <c r="F247" s="489"/>
      <c r="G247" s="489"/>
      <c r="H247" s="489"/>
      <c r="I247" s="489"/>
      <c r="J247" s="489"/>
      <c r="K247" s="489"/>
      <c r="L247" s="489"/>
      <c r="M247" s="489"/>
      <c r="N247" s="489"/>
      <c r="O247" s="489"/>
      <c r="P247" s="489"/>
      <c r="Q247" s="489"/>
      <c r="R247" s="489"/>
      <c r="S247" s="489"/>
      <c r="T247" s="489"/>
      <c r="U247" s="489"/>
      <c r="V247" s="489"/>
    </row>
    <row r="248" spans="1:22">
      <c r="A248" s="489"/>
      <c r="B248" s="489"/>
      <c r="C248" s="489"/>
      <c r="D248" s="489"/>
      <c r="E248" s="489"/>
      <c r="F248" s="489"/>
      <c r="G248" s="489"/>
      <c r="H248" s="489"/>
      <c r="I248" s="489"/>
      <c r="J248" s="489"/>
      <c r="K248" s="489"/>
      <c r="L248" s="489"/>
      <c r="M248" s="489"/>
      <c r="N248" s="489"/>
      <c r="O248" s="489"/>
      <c r="P248" s="489"/>
      <c r="Q248" s="489"/>
      <c r="R248" s="489"/>
      <c r="S248" s="489"/>
      <c r="T248" s="489"/>
      <c r="U248" s="489"/>
      <c r="V248" s="489"/>
    </row>
    <row r="249" spans="1:22">
      <c r="A249" s="489"/>
      <c r="B249" s="489"/>
      <c r="C249" s="489"/>
      <c r="D249" s="489"/>
      <c r="E249" s="489"/>
      <c r="F249" s="489"/>
      <c r="G249" s="489"/>
      <c r="H249" s="489"/>
      <c r="I249" s="489"/>
      <c r="J249" s="489"/>
      <c r="K249" s="489"/>
      <c r="L249" s="489"/>
      <c r="M249" s="489"/>
      <c r="N249" s="489"/>
      <c r="O249" s="489"/>
      <c r="P249" s="489"/>
      <c r="Q249" s="489"/>
      <c r="R249" s="489"/>
      <c r="S249" s="489"/>
      <c r="T249" s="489"/>
      <c r="U249" s="489"/>
      <c r="V249" s="489"/>
    </row>
    <row r="250" spans="1:22">
      <c r="A250" s="489"/>
      <c r="B250" s="489"/>
      <c r="C250" s="489"/>
      <c r="D250" s="489"/>
      <c r="E250" s="489"/>
      <c r="F250" s="489"/>
      <c r="G250" s="489"/>
      <c r="H250" s="489"/>
      <c r="I250" s="489"/>
      <c r="J250" s="489"/>
      <c r="K250" s="489"/>
      <c r="L250" s="489"/>
      <c r="M250" s="489"/>
      <c r="N250" s="489"/>
      <c r="O250" s="489"/>
      <c r="P250" s="489"/>
      <c r="Q250" s="489"/>
      <c r="R250" s="489"/>
      <c r="S250" s="489"/>
      <c r="T250" s="489"/>
      <c r="U250" s="489"/>
      <c r="V250" s="489"/>
    </row>
    <row r="251" spans="1:22">
      <c r="A251" s="489"/>
      <c r="B251" s="489"/>
      <c r="C251" s="489"/>
      <c r="D251" s="489"/>
      <c r="E251" s="489"/>
      <c r="F251" s="489"/>
      <c r="G251" s="489"/>
      <c r="H251" s="489"/>
      <c r="I251" s="489"/>
      <c r="J251" s="489"/>
      <c r="K251" s="489"/>
      <c r="L251" s="489"/>
      <c r="M251" s="489"/>
      <c r="N251" s="489"/>
      <c r="O251" s="489"/>
      <c r="P251" s="489"/>
      <c r="Q251" s="489"/>
      <c r="R251" s="489"/>
      <c r="S251" s="489"/>
      <c r="T251" s="489"/>
      <c r="U251" s="489"/>
      <c r="V251" s="489"/>
    </row>
    <row r="252" spans="1:22">
      <c r="A252" s="489"/>
      <c r="B252" s="489"/>
      <c r="C252" s="489"/>
      <c r="D252" s="489"/>
      <c r="E252" s="489"/>
      <c r="F252" s="489"/>
      <c r="G252" s="489"/>
      <c r="H252" s="489"/>
      <c r="I252" s="489"/>
      <c r="J252" s="489"/>
      <c r="K252" s="489"/>
      <c r="L252" s="489"/>
      <c r="M252" s="489"/>
      <c r="N252" s="489"/>
      <c r="O252" s="489"/>
      <c r="P252" s="489"/>
      <c r="Q252" s="489"/>
      <c r="R252" s="489"/>
      <c r="S252" s="489"/>
      <c r="T252" s="489"/>
      <c r="U252" s="489"/>
      <c r="V252" s="489"/>
    </row>
    <row r="253" spans="1:22">
      <c r="A253" s="489"/>
      <c r="B253" s="489"/>
      <c r="C253" s="489"/>
      <c r="D253" s="489"/>
      <c r="E253" s="489"/>
      <c r="F253" s="489"/>
      <c r="G253" s="489"/>
      <c r="H253" s="489"/>
      <c r="I253" s="489"/>
      <c r="J253" s="489"/>
      <c r="K253" s="489"/>
      <c r="L253" s="489"/>
      <c r="M253" s="489"/>
      <c r="N253" s="489"/>
      <c r="O253" s="489"/>
      <c r="P253" s="489"/>
      <c r="Q253" s="489"/>
      <c r="R253" s="489"/>
      <c r="S253" s="489"/>
      <c r="T253" s="489"/>
      <c r="U253" s="489"/>
      <c r="V253" s="489"/>
    </row>
    <row r="254" spans="1:22">
      <c r="A254" s="489"/>
      <c r="B254" s="489"/>
      <c r="C254" s="489"/>
      <c r="D254" s="489"/>
      <c r="E254" s="489"/>
      <c r="F254" s="489"/>
      <c r="G254" s="489"/>
      <c r="H254" s="489"/>
      <c r="I254" s="489"/>
      <c r="J254" s="489"/>
      <c r="K254" s="489"/>
      <c r="L254" s="489"/>
      <c r="M254" s="489"/>
      <c r="N254" s="489"/>
      <c r="O254" s="489"/>
      <c r="P254" s="489"/>
      <c r="Q254" s="489"/>
      <c r="R254" s="489"/>
      <c r="S254" s="489"/>
      <c r="T254" s="489"/>
      <c r="U254" s="489"/>
      <c r="V254" s="489"/>
    </row>
    <row r="255" spans="1:22">
      <c r="A255" s="489"/>
      <c r="B255" s="489"/>
      <c r="C255" s="489"/>
      <c r="D255" s="489"/>
      <c r="E255" s="489"/>
      <c r="F255" s="489"/>
      <c r="G255" s="489"/>
      <c r="H255" s="489"/>
      <c r="I255" s="489"/>
      <c r="J255" s="489"/>
      <c r="K255" s="489"/>
      <c r="L255" s="489"/>
      <c r="M255" s="489"/>
      <c r="N255" s="489"/>
      <c r="O255" s="489"/>
      <c r="P255" s="489"/>
      <c r="Q255" s="489"/>
      <c r="R255" s="489"/>
      <c r="S255" s="489"/>
      <c r="T255" s="489"/>
      <c r="U255" s="489"/>
      <c r="V255" s="489"/>
    </row>
    <row r="256" spans="1:22">
      <c r="A256" s="489"/>
      <c r="B256" s="489"/>
      <c r="C256" s="489"/>
      <c r="D256" s="489"/>
      <c r="E256" s="489"/>
      <c r="F256" s="489"/>
      <c r="G256" s="489"/>
      <c r="H256" s="489"/>
      <c r="I256" s="489"/>
      <c r="J256" s="489"/>
      <c r="K256" s="489"/>
      <c r="L256" s="489"/>
      <c r="M256" s="489"/>
      <c r="N256" s="489"/>
      <c r="O256" s="489"/>
      <c r="P256" s="489"/>
      <c r="Q256" s="489"/>
      <c r="R256" s="489"/>
      <c r="S256" s="489"/>
      <c r="T256" s="489"/>
      <c r="U256" s="489"/>
      <c r="V256" s="489"/>
    </row>
    <row r="257" spans="1:22">
      <c r="A257" s="489"/>
      <c r="B257" s="489"/>
      <c r="C257" s="489"/>
      <c r="D257" s="489"/>
      <c r="E257" s="489"/>
      <c r="F257" s="489"/>
      <c r="G257" s="489"/>
      <c r="H257" s="489"/>
      <c r="I257" s="489"/>
      <c r="J257" s="489"/>
      <c r="K257" s="489"/>
      <c r="L257" s="489"/>
      <c r="M257" s="489"/>
      <c r="N257" s="489"/>
      <c r="O257" s="489"/>
      <c r="P257" s="489"/>
      <c r="Q257" s="489"/>
      <c r="R257" s="489"/>
      <c r="S257" s="489"/>
      <c r="T257" s="489"/>
      <c r="U257" s="489"/>
      <c r="V257" s="489"/>
    </row>
    <row r="258" spans="1:22">
      <c r="A258" s="489"/>
      <c r="B258" s="489"/>
      <c r="C258" s="489"/>
      <c r="D258" s="489"/>
      <c r="E258" s="489"/>
      <c r="F258" s="489"/>
      <c r="G258" s="489"/>
      <c r="H258" s="489"/>
      <c r="I258" s="489"/>
      <c r="J258" s="489"/>
      <c r="K258" s="489"/>
      <c r="L258" s="489"/>
      <c r="M258" s="489"/>
      <c r="N258" s="489"/>
      <c r="O258" s="489"/>
      <c r="P258" s="489"/>
      <c r="Q258" s="489"/>
      <c r="R258" s="489"/>
      <c r="S258" s="489"/>
      <c r="T258" s="489"/>
      <c r="U258" s="489"/>
      <c r="V258" s="489"/>
    </row>
    <row r="259" spans="1:22">
      <c r="A259" s="489"/>
      <c r="B259" s="489"/>
      <c r="C259" s="489"/>
      <c r="D259" s="489"/>
      <c r="E259" s="489"/>
      <c r="F259" s="489"/>
      <c r="G259" s="489"/>
      <c r="H259" s="489"/>
      <c r="I259" s="489"/>
      <c r="J259" s="489"/>
      <c r="K259" s="489"/>
      <c r="L259" s="489"/>
      <c r="M259" s="489"/>
      <c r="N259" s="489"/>
      <c r="O259" s="489"/>
      <c r="P259" s="489"/>
      <c r="Q259" s="489"/>
      <c r="R259" s="489"/>
      <c r="S259" s="489"/>
      <c r="T259" s="489"/>
      <c r="U259" s="489"/>
      <c r="V259" s="489"/>
    </row>
    <row r="260" spans="1:22">
      <c r="A260" s="489"/>
      <c r="B260" s="489"/>
      <c r="C260" s="489"/>
      <c r="D260" s="489"/>
      <c r="E260" s="489"/>
      <c r="F260" s="489"/>
      <c r="G260" s="489"/>
      <c r="H260" s="489"/>
      <c r="I260" s="489"/>
      <c r="J260" s="489"/>
      <c r="K260" s="489"/>
      <c r="L260" s="489"/>
      <c r="M260" s="489"/>
      <c r="N260" s="489"/>
      <c r="O260" s="489"/>
      <c r="P260" s="489"/>
      <c r="Q260" s="489"/>
      <c r="R260" s="489"/>
      <c r="S260" s="489"/>
      <c r="T260" s="489"/>
      <c r="U260" s="489"/>
      <c r="V260" s="489"/>
    </row>
    <row r="261" spans="1:22">
      <c r="A261" s="489"/>
      <c r="B261" s="489"/>
      <c r="C261" s="489"/>
      <c r="D261" s="489"/>
      <c r="E261" s="489"/>
      <c r="F261" s="489"/>
      <c r="G261" s="489"/>
      <c r="H261" s="489"/>
      <c r="I261" s="489"/>
      <c r="J261" s="489"/>
      <c r="K261" s="489"/>
      <c r="L261" s="489"/>
      <c r="M261" s="489"/>
      <c r="N261" s="489"/>
      <c r="O261" s="489"/>
      <c r="P261" s="489"/>
      <c r="Q261" s="489"/>
      <c r="R261" s="489"/>
      <c r="S261" s="489"/>
      <c r="T261" s="489"/>
      <c r="U261" s="489"/>
      <c r="V261" s="489"/>
    </row>
    <row r="262" spans="1:22">
      <c r="A262" s="489"/>
      <c r="B262" s="489"/>
      <c r="C262" s="489"/>
      <c r="D262" s="489"/>
      <c r="E262" s="489"/>
      <c r="F262" s="489"/>
      <c r="G262" s="489"/>
      <c r="H262" s="489"/>
      <c r="I262" s="489"/>
      <c r="J262" s="489"/>
      <c r="K262" s="489"/>
      <c r="L262" s="489"/>
      <c r="M262" s="489"/>
      <c r="N262" s="489"/>
      <c r="O262" s="489"/>
      <c r="P262" s="489"/>
      <c r="Q262" s="489"/>
      <c r="R262" s="489"/>
      <c r="S262" s="489"/>
      <c r="T262" s="489"/>
      <c r="U262" s="489"/>
      <c r="V262" s="489"/>
    </row>
    <row r="263" spans="1:22">
      <c r="A263" s="489"/>
      <c r="B263" s="489"/>
      <c r="C263" s="489"/>
      <c r="D263" s="489"/>
      <c r="E263" s="489"/>
      <c r="F263" s="489"/>
      <c r="G263" s="489"/>
      <c r="H263" s="489"/>
      <c r="I263" s="489"/>
      <c r="J263" s="489"/>
      <c r="K263" s="489"/>
      <c r="L263" s="489"/>
      <c r="M263" s="489"/>
      <c r="N263" s="489"/>
      <c r="O263" s="489"/>
      <c r="P263" s="489"/>
      <c r="Q263" s="489"/>
      <c r="R263" s="489"/>
      <c r="S263" s="489"/>
      <c r="T263" s="489"/>
      <c r="U263" s="489"/>
      <c r="V263" s="489"/>
    </row>
    <row r="264" spans="1:22">
      <c r="A264" s="489"/>
      <c r="B264" s="489"/>
      <c r="C264" s="489"/>
      <c r="D264" s="489"/>
      <c r="E264" s="489"/>
      <c r="F264" s="489"/>
      <c r="G264" s="489"/>
      <c r="H264" s="489"/>
      <c r="I264" s="489"/>
      <c r="J264" s="489"/>
      <c r="K264" s="489"/>
      <c r="L264" s="489"/>
      <c r="M264" s="489"/>
      <c r="N264" s="489"/>
      <c r="O264" s="489"/>
      <c r="P264" s="489"/>
      <c r="Q264" s="489"/>
      <c r="R264" s="489"/>
      <c r="S264" s="489"/>
      <c r="T264" s="489"/>
      <c r="U264" s="489"/>
      <c r="V264" s="489"/>
    </row>
    <row r="265" spans="1:22">
      <c r="A265" s="489"/>
      <c r="B265" s="489"/>
      <c r="C265" s="489"/>
      <c r="D265" s="489"/>
      <c r="E265" s="489"/>
      <c r="F265" s="489"/>
      <c r="G265" s="489"/>
      <c r="H265" s="489"/>
      <c r="I265" s="489"/>
      <c r="J265" s="489"/>
      <c r="K265" s="489"/>
      <c r="L265" s="489"/>
      <c r="M265" s="489"/>
      <c r="N265" s="489"/>
      <c r="O265" s="489"/>
      <c r="P265" s="489"/>
      <c r="Q265" s="489"/>
      <c r="R265" s="489"/>
      <c r="S265" s="489"/>
      <c r="T265" s="489"/>
      <c r="U265" s="489"/>
      <c r="V265" s="489"/>
    </row>
    <row r="266" spans="1:22">
      <c r="A266" s="489"/>
      <c r="B266" s="489"/>
      <c r="C266" s="489"/>
      <c r="D266" s="489"/>
      <c r="E266" s="489"/>
      <c r="F266" s="489"/>
      <c r="G266" s="489"/>
      <c r="H266" s="489"/>
      <c r="I266" s="489"/>
      <c r="J266" s="489"/>
      <c r="K266" s="489"/>
      <c r="L266" s="489"/>
      <c r="M266" s="489"/>
      <c r="N266" s="489"/>
      <c r="O266" s="489"/>
      <c r="P266" s="489"/>
      <c r="Q266" s="489"/>
      <c r="R266" s="489"/>
      <c r="S266" s="489"/>
      <c r="T266" s="489"/>
      <c r="U266" s="489"/>
      <c r="V266" s="489"/>
    </row>
    <row r="267" spans="1:22">
      <c r="A267" s="489"/>
      <c r="B267" s="489"/>
      <c r="C267" s="489"/>
      <c r="D267" s="489"/>
      <c r="E267" s="489"/>
      <c r="F267" s="489"/>
      <c r="G267" s="489"/>
      <c r="H267" s="489"/>
      <c r="I267" s="489"/>
      <c r="J267" s="489"/>
      <c r="K267" s="489"/>
      <c r="L267" s="489"/>
      <c r="M267" s="489"/>
      <c r="N267" s="489"/>
      <c r="O267" s="489"/>
      <c r="P267" s="489"/>
      <c r="Q267" s="489"/>
      <c r="R267" s="489"/>
      <c r="S267" s="489"/>
      <c r="T267" s="489"/>
      <c r="U267" s="489"/>
      <c r="V267" s="489"/>
    </row>
    <row r="268" spans="1:22">
      <c r="A268" s="489"/>
      <c r="B268" s="489"/>
      <c r="C268" s="489"/>
      <c r="D268" s="489"/>
      <c r="E268" s="489"/>
      <c r="F268" s="489"/>
      <c r="G268" s="489"/>
      <c r="H268" s="489"/>
      <c r="I268" s="489"/>
      <c r="J268" s="489"/>
      <c r="K268" s="489"/>
      <c r="L268" s="489"/>
      <c r="M268" s="489"/>
      <c r="N268" s="489"/>
      <c r="O268" s="489"/>
      <c r="P268" s="489"/>
      <c r="Q268" s="489"/>
      <c r="R268" s="489"/>
      <c r="S268" s="489"/>
      <c r="T268" s="489"/>
      <c r="U268" s="489"/>
      <c r="V268" s="489"/>
    </row>
    <row r="269" spans="1:22">
      <c r="A269" s="489"/>
      <c r="B269" s="489"/>
      <c r="C269" s="489"/>
      <c r="D269" s="489"/>
      <c r="E269" s="489"/>
      <c r="F269" s="489"/>
      <c r="G269" s="489"/>
      <c r="H269" s="489"/>
      <c r="I269" s="489"/>
      <c r="J269" s="489"/>
      <c r="K269" s="489"/>
      <c r="L269" s="489"/>
      <c r="M269" s="489"/>
      <c r="N269" s="489"/>
      <c r="O269" s="489"/>
      <c r="P269" s="489"/>
      <c r="Q269" s="489"/>
      <c r="R269" s="489"/>
      <c r="S269" s="489"/>
      <c r="T269" s="489"/>
      <c r="U269" s="489"/>
      <c r="V269" s="489"/>
    </row>
    <row r="270" spans="1:22">
      <c r="A270" s="489"/>
      <c r="B270" s="489"/>
      <c r="C270" s="489"/>
      <c r="D270" s="489"/>
      <c r="E270" s="489"/>
      <c r="F270" s="489"/>
      <c r="G270" s="489"/>
      <c r="H270" s="489"/>
      <c r="I270" s="489"/>
      <c r="J270" s="489"/>
      <c r="K270" s="489"/>
      <c r="L270" s="489"/>
      <c r="M270" s="489"/>
      <c r="N270" s="489"/>
      <c r="O270" s="489"/>
      <c r="P270" s="489"/>
      <c r="Q270" s="489"/>
      <c r="R270" s="489"/>
      <c r="S270" s="489"/>
      <c r="T270" s="489"/>
      <c r="U270" s="489"/>
      <c r="V270" s="489"/>
    </row>
    <row r="271" spans="1:22">
      <c r="A271" s="489"/>
      <c r="B271" s="489"/>
      <c r="C271" s="489"/>
      <c r="D271" s="489"/>
      <c r="E271" s="489"/>
      <c r="F271" s="489"/>
      <c r="G271" s="489"/>
      <c r="H271" s="489"/>
      <c r="I271" s="489"/>
      <c r="J271" s="489"/>
      <c r="K271" s="489"/>
      <c r="L271" s="489"/>
      <c r="M271" s="489"/>
      <c r="N271" s="489"/>
      <c r="O271" s="489"/>
      <c r="P271" s="489"/>
      <c r="Q271" s="489"/>
      <c r="R271" s="489"/>
      <c r="S271" s="489"/>
      <c r="T271" s="489"/>
      <c r="U271" s="489"/>
      <c r="V271" s="489"/>
    </row>
    <row r="272" spans="1:22">
      <c r="A272" s="489"/>
      <c r="B272" s="489"/>
      <c r="C272" s="489"/>
      <c r="D272" s="489"/>
      <c r="E272" s="489"/>
      <c r="F272" s="489"/>
      <c r="G272" s="489"/>
      <c r="H272" s="489"/>
      <c r="I272" s="489"/>
      <c r="J272" s="489"/>
      <c r="K272" s="489"/>
      <c r="L272" s="489"/>
      <c r="M272" s="489"/>
      <c r="N272" s="489"/>
      <c r="O272" s="489"/>
      <c r="P272" s="489"/>
      <c r="Q272" s="489"/>
      <c r="R272" s="489"/>
      <c r="S272" s="489"/>
      <c r="T272" s="489"/>
      <c r="U272" s="489"/>
      <c r="V272" s="489"/>
    </row>
    <row r="273" spans="1:22">
      <c r="A273" s="489"/>
      <c r="B273" s="489"/>
      <c r="C273" s="489"/>
      <c r="D273" s="489"/>
      <c r="E273" s="489"/>
      <c r="F273" s="489"/>
      <c r="G273" s="489"/>
      <c r="H273" s="489"/>
      <c r="I273" s="489"/>
      <c r="J273" s="489"/>
      <c r="K273" s="489"/>
      <c r="L273" s="489"/>
      <c r="M273" s="489"/>
      <c r="N273" s="489"/>
      <c r="O273" s="489"/>
      <c r="P273" s="489"/>
      <c r="Q273" s="489"/>
      <c r="R273" s="489"/>
      <c r="S273" s="489"/>
      <c r="T273" s="489"/>
      <c r="U273" s="489"/>
      <c r="V273" s="489"/>
    </row>
    <row r="274" spans="1:22">
      <c r="A274" s="489"/>
      <c r="B274" s="489"/>
      <c r="C274" s="489"/>
      <c r="D274" s="489"/>
      <c r="E274" s="489"/>
      <c r="F274" s="489"/>
      <c r="G274" s="489"/>
      <c r="H274" s="489"/>
      <c r="I274" s="489"/>
      <c r="J274" s="489"/>
      <c r="K274" s="489"/>
      <c r="L274" s="489"/>
      <c r="M274" s="489"/>
      <c r="N274" s="489"/>
      <c r="O274" s="489"/>
      <c r="P274" s="489"/>
      <c r="Q274" s="489"/>
      <c r="R274" s="489"/>
      <c r="S274" s="489"/>
      <c r="T274" s="489"/>
      <c r="U274" s="489"/>
      <c r="V274" s="489"/>
    </row>
    <row r="275" spans="1:22">
      <c r="A275" s="489"/>
      <c r="B275" s="489"/>
      <c r="C275" s="489"/>
      <c r="D275" s="489"/>
      <c r="E275" s="489"/>
      <c r="F275" s="489"/>
      <c r="G275" s="489"/>
      <c r="H275" s="489"/>
      <c r="I275" s="489"/>
      <c r="J275" s="489"/>
      <c r="K275" s="489"/>
      <c r="L275" s="489"/>
      <c r="M275" s="489"/>
      <c r="N275" s="489"/>
      <c r="O275" s="489"/>
      <c r="P275" s="489"/>
      <c r="Q275" s="489"/>
      <c r="R275" s="489"/>
      <c r="S275" s="489"/>
      <c r="T275" s="489"/>
      <c r="U275" s="489"/>
      <c r="V275" s="489"/>
    </row>
    <row r="276" spans="1:22">
      <c r="A276" s="489"/>
      <c r="B276" s="489"/>
      <c r="C276" s="489"/>
      <c r="D276" s="489"/>
      <c r="E276" s="489"/>
      <c r="F276" s="489"/>
      <c r="G276" s="489"/>
      <c r="H276" s="489"/>
      <c r="I276" s="489"/>
      <c r="J276" s="489"/>
      <c r="K276" s="489"/>
      <c r="L276" s="489"/>
      <c r="M276" s="489"/>
      <c r="N276" s="489"/>
      <c r="O276" s="489"/>
      <c r="P276" s="489"/>
      <c r="Q276" s="489"/>
      <c r="R276" s="489"/>
      <c r="S276" s="489"/>
      <c r="T276" s="489"/>
      <c r="U276" s="489"/>
      <c r="V276" s="489"/>
    </row>
    <row r="277" spans="1:22">
      <c r="A277" s="489"/>
      <c r="B277" s="489"/>
      <c r="C277" s="489"/>
      <c r="D277" s="489"/>
      <c r="E277" s="489"/>
      <c r="F277" s="489"/>
      <c r="G277" s="489"/>
      <c r="H277" s="489"/>
      <c r="I277" s="489"/>
      <c r="J277" s="489"/>
      <c r="K277" s="489"/>
      <c r="L277" s="489"/>
      <c r="M277" s="489"/>
      <c r="N277" s="489"/>
      <c r="O277" s="489"/>
      <c r="P277" s="489"/>
      <c r="Q277" s="489"/>
      <c r="R277" s="489"/>
      <c r="S277" s="489"/>
      <c r="T277" s="489"/>
      <c r="U277" s="489"/>
      <c r="V277" s="489"/>
    </row>
    <row r="278" spans="1:22">
      <c r="A278" s="489"/>
      <c r="B278" s="489"/>
      <c r="C278" s="489"/>
      <c r="D278" s="489"/>
      <c r="E278" s="489"/>
      <c r="F278" s="489"/>
      <c r="G278" s="489"/>
      <c r="H278" s="489"/>
      <c r="I278" s="489"/>
      <c r="J278" s="489"/>
      <c r="K278" s="489"/>
      <c r="L278" s="489"/>
      <c r="M278" s="489"/>
      <c r="N278" s="489"/>
      <c r="O278" s="489"/>
      <c r="P278" s="489"/>
      <c r="Q278" s="489"/>
      <c r="R278" s="489"/>
      <c r="S278" s="489"/>
      <c r="T278" s="489"/>
      <c r="U278" s="489"/>
      <c r="V278" s="489"/>
    </row>
    <row r="279" spans="1:22">
      <c r="A279" s="489"/>
      <c r="B279" s="489"/>
      <c r="C279" s="489"/>
      <c r="D279" s="489"/>
      <c r="E279" s="489"/>
      <c r="F279" s="489"/>
      <c r="G279" s="489"/>
      <c r="H279" s="489"/>
      <c r="I279" s="489"/>
      <c r="J279" s="489"/>
      <c r="K279" s="489"/>
      <c r="L279" s="489"/>
      <c r="M279" s="489"/>
      <c r="N279" s="489"/>
      <c r="O279" s="489"/>
      <c r="P279" s="489"/>
      <c r="Q279" s="489"/>
      <c r="R279" s="489"/>
      <c r="S279" s="489"/>
      <c r="T279" s="489"/>
      <c r="U279" s="489"/>
      <c r="V279" s="489"/>
    </row>
    <row r="280" spans="1:22">
      <c r="A280" s="489"/>
      <c r="B280" s="489"/>
      <c r="C280" s="489"/>
      <c r="D280" s="489"/>
      <c r="E280" s="489"/>
      <c r="F280" s="489"/>
      <c r="G280" s="489"/>
      <c r="H280" s="489"/>
      <c r="I280" s="489"/>
      <c r="J280" s="489"/>
      <c r="K280" s="489"/>
      <c r="L280" s="489"/>
      <c r="M280" s="489"/>
      <c r="N280" s="489"/>
      <c r="O280" s="489"/>
      <c r="P280" s="489"/>
      <c r="Q280" s="489"/>
      <c r="R280" s="489"/>
      <c r="S280" s="489"/>
      <c r="T280" s="489"/>
      <c r="U280" s="489"/>
      <c r="V280" s="489"/>
    </row>
    <row r="281" spans="1:22">
      <c r="A281" s="489"/>
      <c r="B281" s="489"/>
      <c r="C281" s="489"/>
      <c r="D281" s="489"/>
      <c r="E281" s="489"/>
      <c r="F281" s="489"/>
      <c r="G281" s="489"/>
      <c r="H281" s="489"/>
      <c r="I281" s="489"/>
      <c r="J281" s="489"/>
      <c r="K281" s="489"/>
      <c r="L281" s="489"/>
      <c r="M281" s="489"/>
      <c r="N281" s="489"/>
      <c r="O281" s="489"/>
      <c r="P281" s="489"/>
      <c r="Q281" s="489"/>
      <c r="R281" s="489"/>
      <c r="S281" s="489"/>
      <c r="T281" s="489"/>
      <c r="U281" s="489"/>
      <c r="V281" s="489"/>
    </row>
    <row r="282" spans="1:22">
      <c r="A282" s="489"/>
      <c r="B282" s="489"/>
      <c r="C282" s="489"/>
      <c r="D282" s="489"/>
      <c r="E282" s="489"/>
      <c r="F282" s="489"/>
      <c r="G282" s="489"/>
      <c r="H282" s="489"/>
      <c r="I282" s="489"/>
      <c r="J282" s="489"/>
      <c r="K282" s="489"/>
      <c r="L282" s="489"/>
      <c r="M282" s="489"/>
      <c r="N282" s="489"/>
      <c r="O282" s="489"/>
      <c r="P282" s="489"/>
      <c r="Q282" s="489"/>
      <c r="R282" s="489"/>
      <c r="S282" s="489"/>
      <c r="T282" s="489"/>
      <c r="U282" s="489"/>
      <c r="V282" s="489"/>
    </row>
    <row r="283" spans="1:22">
      <c r="A283" s="489"/>
      <c r="B283" s="489"/>
      <c r="C283" s="489"/>
      <c r="D283" s="489"/>
      <c r="E283" s="489"/>
      <c r="F283" s="489"/>
      <c r="G283" s="489"/>
      <c r="H283" s="489"/>
      <c r="I283" s="489"/>
      <c r="J283" s="489"/>
      <c r="K283" s="489"/>
      <c r="L283" s="489"/>
      <c r="M283" s="489"/>
      <c r="N283" s="489"/>
      <c r="O283" s="489"/>
      <c r="P283" s="489"/>
      <c r="Q283" s="489"/>
      <c r="R283" s="489"/>
      <c r="S283" s="489"/>
      <c r="T283" s="489"/>
      <c r="U283" s="489"/>
      <c r="V283" s="489"/>
    </row>
    <row r="284" spans="1:22">
      <c r="A284" s="489"/>
      <c r="B284" s="489"/>
      <c r="C284" s="489"/>
      <c r="D284" s="489"/>
      <c r="E284" s="489"/>
      <c r="F284" s="489"/>
      <c r="G284" s="489"/>
      <c r="H284" s="489"/>
      <c r="I284" s="489"/>
      <c r="J284" s="489"/>
      <c r="K284" s="489"/>
      <c r="L284" s="489"/>
      <c r="M284" s="489"/>
      <c r="N284" s="489"/>
      <c r="O284" s="489"/>
      <c r="P284" s="489"/>
      <c r="Q284" s="489"/>
      <c r="R284" s="489"/>
      <c r="S284" s="489"/>
      <c r="T284" s="489"/>
      <c r="U284" s="489"/>
      <c r="V284" s="489"/>
    </row>
    <row r="285" spans="1:22">
      <c r="A285" s="489"/>
      <c r="B285" s="489"/>
      <c r="C285" s="489"/>
      <c r="D285" s="489"/>
      <c r="E285" s="489"/>
      <c r="F285" s="489"/>
      <c r="G285" s="489"/>
      <c r="H285" s="489"/>
      <c r="I285" s="489"/>
      <c r="J285" s="489"/>
      <c r="K285" s="489"/>
      <c r="L285" s="489"/>
      <c r="M285" s="489"/>
      <c r="N285" s="489"/>
      <c r="O285" s="489"/>
      <c r="P285" s="489"/>
      <c r="Q285" s="489"/>
      <c r="R285" s="489"/>
      <c r="S285" s="489"/>
      <c r="T285" s="489"/>
      <c r="U285" s="489"/>
      <c r="V285" s="489"/>
    </row>
    <row r="286" spans="1:22">
      <c r="A286" s="489"/>
      <c r="B286" s="489"/>
      <c r="C286" s="489"/>
      <c r="D286" s="489"/>
      <c r="E286" s="489"/>
      <c r="F286" s="489"/>
      <c r="G286" s="489"/>
      <c r="H286" s="489"/>
      <c r="I286" s="489"/>
      <c r="J286" s="489"/>
      <c r="K286" s="489"/>
      <c r="L286" s="489"/>
      <c r="M286" s="489"/>
      <c r="N286" s="489"/>
      <c r="O286" s="489"/>
      <c r="P286" s="489"/>
      <c r="Q286" s="489"/>
      <c r="R286" s="489"/>
      <c r="S286" s="489"/>
      <c r="T286" s="489"/>
      <c r="U286" s="489"/>
      <c r="V286" s="489"/>
    </row>
    <row r="287" spans="1:22">
      <c r="A287" s="489"/>
      <c r="B287" s="489"/>
      <c r="C287" s="489"/>
      <c r="D287" s="489"/>
      <c r="E287" s="489"/>
      <c r="F287" s="489"/>
      <c r="G287" s="489"/>
      <c r="H287" s="489"/>
      <c r="I287" s="489"/>
      <c r="J287" s="489"/>
      <c r="K287" s="489"/>
      <c r="L287" s="489"/>
      <c r="M287" s="489"/>
      <c r="N287" s="489"/>
      <c r="O287" s="489"/>
      <c r="P287" s="489"/>
      <c r="Q287" s="489"/>
      <c r="R287" s="489"/>
      <c r="S287" s="489"/>
      <c r="T287" s="489"/>
      <c r="U287" s="489"/>
      <c r="V287" s="489"/>
    </row>
    <row r="288" spans="1:22">
      <c r="A288" s="489"/>
      <c r="B288" s="489"/>
      <c r="C288" s="489"/>
      <c r="D288" s="489"/>
      <c r="E288" s="489"/>
      <c r="F288" s="489"/>
      <c r="G288" s="489"/>
      <c r="H288" s="489"/>
      <c r="I288" s="489"/>
      <c r="J288" s="489"/>
      <c r="K288" s="489"/>
      <c r="L288" s="489"/>
      <c r="M288" s="489"/>
      <c r="N288" s="489"/>
      <c r="O288" s="489"/>
      <c r="P288" s="489"/>
      <c r="Q288" s="489"/>
      <c r="R288" s="489"/>
      <c r="S288" s="489"/>
      <c r="T288" s="489"/>
      <c r="U288" s="489"/>
      <c r="V288" s="489"/>
    </row>
    <row r="289" spans="1:22">
      <c r="A289" s="489"/>
      <c r="B289" s="489"/>
      <c r="C289" s="489"/>
      <c r="D289" s="489"/>
      <c r="E289" s="489"/>
      <c r="F289" s="489"/>
      <c r="G289" s="489"/>
      <c r="H289" s="489"/>
      <c r="I289" s="489"/>
      <c r="J289" s="489"/>
      <c r="K289" s="489"/>
      <c r="L289" s="489"/>
      <c r="M289" s="489"/>
      <c r="N289" s="489"/>
      <c r="O289" s="489"/>
      <c r="P289" s="489"/>
      <c r="Q289" s="489"/>
      <c r="R289" s="489"/>
      <c r="S289" s="489"/>
      <c r="T289" s="489"/>
      <c r="U289" s="489"/>
      <c r="V289" s="489"/>
    </row>
    <row r="290" spans="1:22">
      <c r="A290" s="489"/>
      <c r="B290" s="489"/>
      <c r="C290" s="489"/>
      <c r="D290" s="489"/>
      <c r="E290" s="489"/>
      <c r="F290" s="489"/>
      <c r="G290" s="489"/>
      <c r="H290" s="489"/>
      <c r="I290" s="489"/>
      <c r="J290" s="489"/>
      <c r="K290" s="489"/>
      <c r="L290" s="489"/>
      <c r="M290" s="489"/>
      <c r="N290" s="489"/>
      <c r="O290" s="489"/>
      <c r="P290" s="489"/>
      <c r="Q290" s="489"/>
      <c r="R290" s="489"/>
      <c r="S290" s="489"/>
      <c r="T290" s="489"/>
      <c r="U290" s="489"/>
      <c r="V290" s="489"/>
    </row>
    <row r="291" spans="1:22">
      <c r="A291" s="489"/>
      <c r="B291" s="489"/>
      <c r="C291" s="489"/>
      <c r="D291" s="489"/>
      <c r="E291" s="489"/>
      <c r="F291" s="489"/>
      <c r="G291" s="489"/>
      <c r="H291" s="489"/>
      <c r="I291" s="489"/>
      <c r="J291" s="489"/>
      <c r="K291" s="489"/>
      <c r="L291" s="489"/>
      <c r="M291" s="489"/>
      <c r="N291" s="489"/>
      <c r="O291" s="489"/>
      <c r="P291" s="489"/>
      <c r="Q291" s="489"/>
      <c r="R291" s="489"/>
      <c r="S291" s="489"/>
      <c r="T291" s="489"/>
      <c r="U291" s="489"/>
      <c r="V291" s="489"/>
    </row>
    <row r="292" spans="1:22">
      <c r="A292" s="489"/>
      <c r="B292" s="489"/>
      <c r="C292" s="489"/>
      <c r="D292" s="489"/>
      <c r="E292" s="489"/>
      <c r="F292" s="489"/>
      <c r="G292" s="489"/>
      <c r="H292" s="489"/>
      <c r="I292" s="489"/>
      <c r="J292" s="489"/>
      <c r="K292" s="489"/>
      <c r="L292" s="489"/>
      <c r="M292" s="489"/>
      <c r="N292" s="489"/>
      <c r="O292" s="489"/>
      <c r="P292" s="489"/>
      <c r="Q292" s="489"/>
      <c r="R292" s="489"/>
      <c r="S292" s="489"/>
      <c r="T292" s="489"/>
      <c r="U292" s="489"/>
      <c r="V292" s="489"/>
    </row>
    <row r="293" spans="1:22">
      <c r="A293" s="489"/>
      <c r="B293" s="489"/>
      <c r="C293" s="489"/>
      <c r="D293" s="489"/>
      <c r="E293" s="489"/>
      <c r="F293" s="489"/>
      <c r="G293" s="489"/>
      <c r="H293" s="489"/>
      <c r="I293" s="489"/>
      <c r="J293" s="489"/>
      <c r="K293" s="489"/>
      <c r="L293" s="489"/>
      <c r="M293" s="489"/>
      <c r="N293" s="489"/>
      <c r="O293" s="489"/>
      <c r="P293" s="489"/>
      <c r="Q293" s="489"/>
      <c r="R293" s="489"/>
      <c r="S293" s="489"/>
      <c r="T293" s="489"/>
      <c r="U293" s="489"/>
      <c r="V293" s="489"/>
    </row>
    <row r="294" spans="1:22">
      <c r="A294" s="489"/>
      <c r="B294" s="489"/>
      <c r="C294" s="489"/>
      <c r="D294" s="489"/>
      <c r="E294" s="489"/>
      <c r="F294" s="489"/>
      <c r="G294" s="489"/>
      <c r="H294" s="489"/>
      <c r="I294" s="489"/>
      <c r="J294" s="489"/>
      <c r="K294" s="489"/>
      <c r="L294" s="489"/>
      <c r="M294" s="489"/>
      <c r="N294" s="489"/>
      <c r="O294" s="489"/>
      <c r="P294" s="489"/>
      <c r="Q294" s="489"/>
      <c r="R294" s="489"/>
      <c r="S294" s="489"/>
      <c r="T294" s="489"/>
      <c r="U294" s="489"/>
      <c r="V294" s="489"/>
    </row>
    <row r="295" spans="1:22">
      <c r="A295" s="489"/>
      <c r="B295" s="489"/>
      <c r="C295" s="489"/>
      <c r="D295" s="489"/>
      <c r="E295" s="489"/>
      <c r="F295" s="489"/>
      <c r="G295" s="489"/>
      <c r="H295" s="489"/>
      <c r="I295" s="489"/>
      <c r="J295" s="489"/>
      <c r="K295" s="489"/>
      <c r="L295" s="489"/>
      <c r="M295" s="489"/>
      <c r="N295" s="489"/>
      <c r="O295" s="489"/>
      <c r="P295" s="489"/>
      <c r="Q295" s="489"/>
      <c r="R295" s="489"/>
      <c r="S295" s="489"/>
      <c r="T295" s="489"/>
      <c r="U295" s="489"/>
      <c r="V295" s="489"/>
    </row>
    <row r="296" spans="1:22">
      <c r="A296" s="489"/>
      <c r="B296" s="489"/>
      <c r="C296" s="489"/>
      <c r="D296" s="489"/>
      <c r="E296" s="489"/>
      <c r="F296" s="489"/>
      <c r="G296" s="489"/>
      <c r="H296" s="489"/>
      <c r="I296" s="489"/>
      <c r="J296" s="489"/>
      <c r="K296" s="489"/>
      <c r="L296" s="489"/>
      <c r="M296" s="489"/>
      <c r="N296" s="489"/>
      <c r="O296" s="489"/>
      <c r="P296" s="489"/>
      <c r="Q296" s="489"/>
      <c r="R296" s="489"/>
      <c r="S296" s="489"/>
      <c r="T296" s="489"/>
      <c r="U296" s="489"/>
      <c r="V296" s="489"/>
    </row>
    <row r="297" spans="1:22">
      <c r="A297" s="489"/>
      <c r="B297" s="489"/>
      <c r="C297" s="489"/>
      <c r="D297" s="489"/>
      <c r="E297" s="489"/>
      <c r="F297" s="489"/>
      <c r="G297" s="489"/>
      <c r="H297" s="489"/>
      <c r="I297" s="489"/>
      <c r="J297" s="489"/>
      <c r="K297" s="489"/>
      <c r="L297" s="489"/>
      <c r="M297" s="489"/>
      <c r="N297" s="489"/>
      <c r="O297" s="489"/>
      <c r="P297" s="489"/>
      <c r="Q297" s="489"/>
      <c r="R297" s="489"/>
      <c r="S297" s="489"/>
      <c r="T297" s="489"/>
      <c r="U297" s="489"/>
      <c r="V297" s="489"/>
    </row>
    <row r="298" spans="1:22">
      <c r="A298" s="489"/>
      <c r="B298" s="489"/>
      <c r="C298" s="489"/>
      <c r="D298" s="489"/>
      <c r="E298" s="489"/>
      <c r="F298" s="489"/>
      <c r="G298" s="489"/>
      <c r="H298" s="489"/>
      <c r="I298" s="489"/>
      <c r="J298" s="489"/>
      <c r="K298" s="489"/>
      <c r="L298" s="489"/>
      <c r="M298" s="489"/>
      <c r="N298" s="489"/>
      <c r="O298" s="489"/>
      <c r="P298" s="489"/>
      <c r="Q298" s="489"/>
      <c r="R298" s="489"/>
      <c r="S298" s="489"/>
      <c r="T298" s="489"/>
      <c r="U298" s="489"/>
      <c r="V298" s="489"/>
    </row>
    <row r="299" spans="1:22">
      <c r="A299" s="489"/>
      <c r="B299" s="489"/>
      <c r="C299" s="489"/>
      <c r="D299" s="489"/>
      <c r="E299" s="489"/>
      <c r="F299" s="489"/>
      <c r="G299" s="489"/>
      <c r="H299" s="489"/>
      <c r="I299" s="489"/>
      <c r="J299" s="489"/>
      <c r="K299" s="489"/>
      <c r="L299" s="489"/>
      <c r="M299" s="489"/>
      <c r="N299" s="489"/>
      <c r="O299" s="489"/>
      <c r="P299" s="489"/>
      <c r="Q299" s="489"/>
      <c r="R299" s="489"/>
      <c r="S299" s="489"/>
      <c r="T299" s="489"/>
      <c r="U299" s="489"/>
      <c r="V299" s="489"/>
    </row>
    <row r="300" spans="1:22">
      <c r="A300" s="489"/>
      <c r="B300" s="489"/>
      <c r="C300" s="489"/>
      <c r="D300" s="489"/>
      <c r="E300" s="489"/>
      <c r="F300" s="489"/>
      <c r="G300" s="489"/>
      <c r="H300" s="489"/>
      <c r="I300" s="489"/>
      <c r="J300" s="489"/>
      <c r="K300" s="489"/>
      <c r="L300" s="489"/>
      <c r="M300" s="489"/>
      <c r="N300" s="489"/>
      <c r="O300" s="489"/>
      <c r="P300" s="489"/>
      <c r="Q300" s="489"/>
      <c r="R300" s="489"/>
      <c r="S300" s="489"/>
      <c r="T300" s="489"/>
      <c r="U300" s="489"/>
      <c r="V300" s="489"/>
    </row>
    <row r="301" spans="1:22">
      <c r="A301" s="489"/>
      <c r="B301" s="489"/>
      <c r="C301" s="489"/>
      <c r="D301" s="489"/>
      <c r="E301" s="489"/>
      <c r="F301" s="489"/>
      <c r="G301" s="489"/>
      <c r="H301" s="489"/>
      <c r="I301" s="489"/>
      <c r="J301" s="489"/>
      <c r="K301" s="489"/>
      <c r="L301" s="489"/>
      <c r="M301" s="489"/>
      <c r="N301" s="489"/>
      <c r="O301" s="489"/>
      <c r="P301" s="489"/>
      <c r="Q301" s="489"/>
      <c r="R301" s="489"/>
      <c r="S301" s="489"/>
      <c r="T301" s="489"/>
      <c r="U301" s="489"/>
      <c r="V301" s="489"/>
    </row>
    <row r="302" spans="1:22">
      <c r="A302" s="489"/>
      <c r="B302" s="489"/>
      <c r="C302" s="489"/>
      <c r="D302" s="489"/>
      <c r="E302" s="489"/>
      <c r="F302" s="489"/>
      <c r="G302" s="489"/>
      <c r="H302" s="489"/>
      <c r="I302" s="489"/>
      <c r="J302" s="489"/>
      <c r="K302" s="489"/>
      <c r="L302" s="489"/>
      <c r="M302" s="489"/>
      <c r="N302" s="489"/>
      <c r="O302" s="489"/>
      <c r="P302" s="489"/>
      <c r="Q302" s="489"/>
      <c r="R302" s="489"/>
      <c r="S302" s="489"/>
      <c r="T302" s="489"/>
      <c r="U302" s="489"/>
      <c r="V302" s="489"/>
    </row>
    <row r="303" spans="1:22">
      <c r="A303" s="489"/>
      <c r="B303" s="489"/>
      <c r="C303" s="489"/>
      <c r="D303" s="489"/>
      <c r="E303" s="489"/>
      <c r="F303" s="489"/>
      <c r="G303" s="489"/>
      <c r="H303" s="489"/>
      <c r="I303" s="489"/>
      <c r="J303" s="489"/>
      <c r="K303" s="489"/>
      <c r="L303" s="489"/>
      <c r="M303" s="489"/>
      <c r="N303" s="489"/>
      <c r="O303" s="489"/>
      <c r="P303" s="489"/>
      <c r="Q303" s="489"/>
      <c r="R303" s="489"/>
      <c r="S303" s="489"/>
      <c r="T303" s="489"/>
      <c r="U303" s="489"/>
      <c r="V303" s="489"/>
    </row>
    <row r="304" spans="1:22">
      <c r="A304" s="489"/>
      <c r="B304" s="489"/>
      <c r="C304" s="489"/>
      <c r="D304" s="489"/>
      <c r="E304" s="489"/>
      <c r="F304" s="489"/>
      <c r="G304" s="489"/>
      <c r="H304" s="489"/>
      <c r="I304" s="489"/>
      <c r="J304" s="489"/>
      <c r="K304" s="489"/>
      <c r="L304" s="489"/>
      <c r="M304" s="489"/>
      <c r="N304" s="489"/>
      <c r="O304" s="489"/>
      <c r="P304" s="489"/>
      <c r="Q304" s="489"/>
      <c r="R304" s="489"/>
      <c r="S304" s="489"/>
      <c r="T304" s="489"/>
      <c r="U304" s="489"/>
      <c r="V304" s="489"/>
    </row>
    <row r="305" spans="1:22">
      <c r="A305" s="489"/>
      <c r="B305" s="489"/>
      <c r="C305" s="489"/>
      <c r="D305" s="489"/>
      <c r="E305" s="489"/>
      <c r="F305" s="489"/>
      <c r="G305" s="489"/>
      <c r="H305" s="489"/>
      <c r="I305" s="489"/>
      <c r="J305" s="489"/>
      <c r="K305" s="489"/>
      <c r="L305" s="489"/>
      <c r="M305" s="489"/>
      <c r="N305" s="489"/>
      <c r="O305" s="489"/>
      <c r="P305" s="489"/>
      <c r="Q305" s="489"/>
      <c r="R305" s="489"/>
      <c r="S305" s="489"/>
      <c r="T305" s="489"/>
      <c r="U305" s="489"/>
      <c r="V305" s="489"/>
    </row>
    <row r="306" spans="1:22">
      <c r="A306" s="489"/>
      <c r="B306" s="489"/>
      <c r="C306" s="489"/>
      <c r="D306" s="489"/>
      <c r="E306" s="489"/>
      <c r="F306" s="489"/>
      <c r="G306" s="489"/>
      <c r="H306" s="489"/>
      <c r="I306" s="489"/>
      <c r="J306" s="489"/>
      <c r="K306" s="489"/>
      <c r="L306" s="489"/>
      <c r="M306" s="489"/>
      <c r="N306" s="489"/>
      <c r="O306" s="489"/>
      <c r="P306" s="489"/>
      <c r="Q306" s="489"/>
      <c r="R306" s="489"/>
      <c r="S306" s="489"/>
      <c r="T306" s="489"/>
      <c r="U306" s="489"/>
      <c r="V306" s="489"/>
    </row>
    <row r="307" spans="1:22">
      <c r="A307" s="489"/>
      <c r="B307" s="489"/>
      <c r="C307" s="489"/>
      <c r="D307" s="489"/>
      <c r="E307" s="489"/>
      <c r="F307" s="489"/>
      <c r="G307" s="489"/>
      <c r="H307" s="489"/>
      <c r="I307" s="489"/>
      <c r="J307" s="489"/>
      <c r="K307" s="489"/>
      <c r="L307" s="489"/>
      <c r="M307" s="489"/>
      <c r="N307" s="489"/>
      <c r="O307" s="489"/>
      <c r="P307" s="489"/>
      <c r="Q307" s="489"/>
      <c r="R307" s="489"/>
      <c r="S307" s="489"/>
      <c r="T307" s="489"/>
      <c r="U307" s="489"/>
      <c r="V307" s="489"/>
    </row>
    <row r="308" spans="1:22">
      <c r="A308" s="489"/>
      <c r="B308" s="489"/>
      <c r="C308" s="489"/>
      <c r="D308" s="489"/>
      <c r="E308" s="489"/>
      <c r="F308" s="489"/>
      <c r="G308" s="489"/>
      <c r="H308" s="489"/>
      <c r="I308" s="489"/>
      <c r="J308" s="489"/>
      <c r="K308" s="489"/>
      <c r="L308" s="489"/>
      <c r="M308" s="489"/>
      <c r="N308" s="489"/>
      <c r="O308" s="489"/>
      <c r="P308" s="489"/>
      <c r="Q308" s="489"/>
      <c r="R308" s="489"/>
      <c r="S308" s="489"/>
      <c r="T308" s="489"/>
      <c r="U308" s="489"/>
      <c r="V308" s="489"/>
    </row>
    <row r="309" spans="1:22">
      <c r="A309" s="489"/>
      <c r="B309" s="489"/>
      <c r="C309" s="489"/>
      <c r="D309" s="489"/>
      <c r="E309" s="489"/>
      <c r="F309" s="489"/>
      <c r="G309" s="489"/>
      <c r="H309" s="489"/>
      <c r="I309" s="489"/>
      <c r="J309" s="489"/>
      <c r="K309" s="489"/>
      <c r="L309" s="489"/>
      <c r="M309" s="489"/>
      <c r="N309" s="489"/>
      <c r="O309" s="489"/>
      <c r="P309" s="489"/>
      <c r="Q309" s="489"/>
      <c r="R309" s="489"/>
      <c r="S309" s="489"/>
      <c r="T309" s="489"/>
      <c r="U309" s="489"/>
      <c r="V309" s="489"/>
    </row>
    <row r="310" spans="1:22">
      <c r="A310" s="489"/>
      <c r="B310" s="489"/>
      <c r="C310" s="489"/>
      <c r="D310" s="489"/>
      <c r="E310" s="489"/>
      <c r="F310" s="489"/>
      <c r="G310" s="489"/>
      <c r="H310" s="489"/>
      <c r="I310" s="489"/>
      <c r="J310" s="489"/>
      <c r="K310" s="489"/>
      <c r="L310" s="489"/>
      <c r="M310" s="489"/>
      <c r="N310" s="489"/>
      <c r="O310" s="489"/>
      <c r="P310" s="489"/>
      <c r="Q310" s="489"/>
      <c r="R310" s="489"/>
      <c r="S310" s="489"/>
      <c r="T310" s="489"/>
      <c r="U310" s="489"/>
      <c r="V310" s="489"/>
    </row>
    <row r="311" spans="1:22">
      <c r="A311" s="489"/>
      <c r="B311" s="489"/>
      <c r="C311" s="489"/>
      <c r="D311" s="489"/>
      <c r="E311" s="489"/>
      <c r="F311" s="489"/>
      <c r="G311" s="489"/>
      <c r="H311" s="489"/>
      <c r="I311" s="489"/>
      <c r="J311" s="489"/>
      <c r="K311" s="489"/>
      <c r="L311" s="489"/>
      <c r="M311" s="489"/>
      <c r="N311" s="489"/>
      <c r="O311" s="489"/>
      <c r="P311" s="489"/>
      <c r="Q311" s="489"/>
      <c r="R311" s="489"/>
      <c r="S311" s="489"/>
      <c r="T311" s="489"/>
      <c r="U311" s="489"/>
      <c r="V311" s="489"/>
    </row>
    <row r="312" spans="1:22">
      <c r="A312" s="489"/>
      <c r="B312" s="489"/>
      <c r="C312" s="489"/>
      <c r="D312" s="489"/>
      <c r="E312" s="489"/>
      <c r="F312" s="489"/>
      <c r="G312" s="489"/>
      <c r="H312" s="489"/>
      <c r="I312" s="489"/>
      <c r="J312" s="489"/>
      <c r="K312" s="489"/>
      <c r="L312" s="489"/>
      <c r="M312" s="489"/>
      <c r="N312" s="489"/>
      <c r="O312" s="489"/>
      <c r="P312" s="489"/>
      <c r="Q312" s="489"/>
      <c r="R312" s="489"/>
      <c r="S312" s="489"/>
      <c r="T312" s="489"/>
      <c r="U312" s="489"/>
      <c r="V312" s="489"/>
    </row>
    <row r="313" spans="1:22">
      <c r="A313" s="489"/>
      <c r="B313" s="489"/>
      <c r="C313" s="489"/>
      <c r="D313" s="489"/>
      <c r="E313" s="489"/>
      <c r="F313" s="489"/>
      <c r="G313" s="489"/>
      <c r="H313" s="489"/>
      <c r="I313" s="489"/>
      <c r="J313" s="489"/>
      <c r="K313" s="489"/>
      <c r="L313" s="489"/>
      <c r="M313" s="489"/>
      <c r="N313" s="489"/>
      <c r="O313" s="489"/>
      <c r="P313" s="489"/>
      <c r="Q313" s="489"/>
      <c r="R313" s="489"/>
      <c r="S313" s="489"/>
      <c r="T313" s="489"/>
      <c r="U313" s="489"/>
      <c r="V313" s="489"/>
    </row>
    <row r="314" spans="1:22">
      <c r="A314" s="489"/>
      <c r="B314" s="489"/>
      <c r="C314" s="489"/>
      <c r="D314" s="489"/>
      <c r="E314" s="489"/>
      <c r="F314" s="489"/>
      <c r="G314" s="489"/>
      <c r="H314" s="489"/>
      <c r="I314" s="489"/>
      <c r="J314" s="489"/>
      <c r="K314" s="489"/>
      <c r="L314" s="489"/>
      <c r="M314" s="489"/>
      <c r="N314" s="489"/>
      <c r="O314" s="489"/>
      <c r="P314" s="489"/>
      <c r="Q314" s="489"/>
      <c r="R314" s="489"/>
      <c r="S314" s="489"/>
      <c r="T314" s="489"/>
      <c r="U314" s="489"/>
      <c r="V314" s="489"/>
    </row>
    <row r="315" spans="1:22">
      <c r="A315" s="489"/>
      <c r="B315" s="489"/>
      <c r="C315" s="489"/>
      <c r="D315" s="489"/>
      <c r="E315" s="489"/>
      <c r="F315" s="489"/>
      <c r="G315" s="489"/>
      <c r="H315" s="489"/>
      <c r="I315" s="489"/>
      <c r="J315" s="489"/>
      <c r="K315" s="489"/>
      <c r="L315" s="489"/>
      <c r="M315" s="489"/>
      <c r="N315" s="489"/>
      <c r="O315" s="489"/>
      <c r="P315" s="489"/>
      <c r="Q315" s="489"/>
      <c r="R315" s="489"/>
      <c r="S315" s="489"/>
      <c r="T315" s="489"/>
      <c r="U315" s="489"/>
      <c r="V315" s="489"/>
    </row>
    <row r="316" spans="1:22">
      <c r="A316" s="489"/>
      <c r="B316" s="489"/>
      <c r="C316" s="489"/>
      <c r="D316" s="489"/>
      <c r="E316" s="489"/>
      <c r="F316" s="489"/>
      <c r="G316" s="489"/>
      <c r="H316" s="489"/>
      <c r="I316" s="489"/>
      <c r="J316" s="489"/>
      <c r="K316" s="489"/>
      <c r="L316" s="489"/>
      <c r="M316" s="489"/>
      <c r="N316" s="489"/>
      <c r="O316" s="489"/>
      <c r="P316" s="489"/>
      <c r="Q316" s="489"/>
      <c r="R316" s="489"/>
      <c r="S316" s="489"/>
      <c r="T316" s="489"/>
      <c r="U316" s="489"/>
      <c r="V316" s="489"/>
    </row>
    <row r="317" spans="1:22">
      <c r="A317" s="489"/>
      <c r="B317" s="489"/>
      <c r="C317" s="489"/>
      <c r="D317" s="489"/>
      <c r="E317" s="489"/>
      <c r="F317" s="489"/>
      <c r="G317" s="489"/>
      <c r="H317" s="489"/>
      <c r="I317" s="489"/>
      <c r="J317" s="489"/>
      <c r="K317" s="489"/>
      <c r="L317" s="489"/>
      <c r="M317" s="489"/>
      <c r="N317" s="489"/>
      <c r="O317" s="489"/>
      <c r="P317" s="489"/>
      <c r="Q317" s="489"/>
      <c r="R317" s="489"/>
      <c r="S317" s="489"/>
      <c r="T317" s="489"/>
      <c r="U317" s="489"/>
      <c r="V317" s="489"/>
    </row>
    <row r="318" spans="1:22">
      <c r="A318" s="489"/>
      <c r="B318" s="489"/>
      <c r="C318" s="489"/>
      <c r="D318" s="489"/>
      <c r="E318" s="489"/>
      <c r="F318" s="489"/>
      <c r="G318" s="489"/>
      <c r="H318" s="489"/>
      <c r="I318" s="489"/>
      <c r="J318" s="489"/>
      <c r="K318" s="489"/>
      <c r="L318" s="489"/>
      <c r="M318" s="489"/>
      <c r="N318" s="489"/>
      <c r="O318" s="489"/>
      <c r="P318" s="489"/>
      <c r="Q318" s="489"/>
      <c r="R318" s="489"/>
      <c r="S318" s="489"/>
      <c r="T318" s="489"/>
      <c r="U318" s="489"/>
      <c r="V318" s="489"/>
    </row>
    <row r="319" spans="1:22">
      <c r="A319" s="489"/>
      <c r="B319" s="489"/>
      <c r="C319" s="489"/>
      <c r="D319" s="489"/>
      <c r="E319" s="489"/>
      <c r="F319" s="489"/>
      <c r="G319" s="489"/>
      <c r="H319" s="489"/>
      <c r="I319" s="489"/>
      <c r="J319" s="489"/>
      <c r="K319" s="489"/>
      <c r="L319" s="489"/>
      <c r="M319" s="489"/>
      <c r="N319" s="489"/>
      <c r="O319" s="489"/>
      <c r="P319" s="489"/>
      <c r="Q319" s="489"/>
      <c r="R319" s="489"/>
      <c r="S319" s="489"/>
      <c r="T319" s="489"/>
      <c r="U319" s="489"/>
      <c r="V319" s="489"/>
    </row>
    <row r="320" spans="1:22">
      <c r="A320" s="489"/>
      <c r="B320" s="489"/>
      <c r="C320" s="489"/>
      <c r="D320" s="489"/>
      <c r="E320" s="489"/>
      <c r="F320" s="489"/>
      <c r="G320" s="489"/>
      <c r="H320" s="489"/>
      <c r="I320" s="489"/>
      <c r="J320" s="489"/>
      <c r="K320" s="489"/>
      <c r="L320" s="489"/>
      <c r="M320" s="489"/>
      <c r="N320" s="489"/>
      <c r="O320" s="489"/>
      <c r="P320" s="489"/>
      <c r="Q320" s="489"/>
      <c r="R320" s="489"/>
      <c r="S320" s="489"/>
      <c r="T320" s="489"/>
      <c r="U320" s="489"/>
      <c r="V320" s="489"/>
    </row>
    <row r="321" spans="1:22">
      <c r="A321" s="489"/>
      <c r="B321" s="489"/>
      <c r="C321" s="489"/>
      <c r="D321" s="489"/>
      <c r="E321" s="489"/>
      <c r="F321" s="489"/>
      <c r="G321" s="489"/>
      <c r="H321" s="489"/>
      <c r="I321" s="489"/>
      <c r="J321" s="489"/>
      <c r="K321" s="489"/>
      <c r="L321" s="489"/>
      <c r="M321" s="489"/>
      <c r="N321" s="489"/>
      <c r="O321" s="489"/>
      <c r="P321" s="489"/>
      <c r="Q321" s="489"/>
      <c r="R321" s="489"/>
      <c r="S321" s="489"/>
      <c r="T321" s="489"/>
      <c r="U321" s="489"/>
      <c r="V321" s="489"/>
    </row>
    <row r="322" spans="1:22">
      <c r="A322" s="489"/>
      <c r="B322" s="489"/>
      <c r="C322" s="489"/>
      <c r="D322" s="489"/>
      <c r="E322" s="489"/>
      <c r="F322" s="489"/>
      <c r="G322" s="489"/>
      <c r="H322" s="489"/>
      <c r="I322" s="489"/>
      <c r="J322" s="489"/>
      <c r="K322" s="489"/>
      <c r="L322" s="489"/>
      <c r="M322" s="489"/>
      <c r="N322" s="489"/>
      <c r="O322" s="489"/>
      <c r="P322" s="489"/>
      <c r="Q322" s="489"/>
      <c r="R322" s="489"/>
      <c r="S322" s="489"/>
      <c r="T322" s="489"/>
      <c r="U322" s="489"/>
      <c r="V322" s="489"/>
    </row>
    <row r="323" spans="1:22">
      <c r="A323" s="489"/>
      <c r="B323" s="489"/>
      <c r="C323" s="489"/>
      <c r="D323" s="489"/>
      <c r="E323" s="489"/>
      <c r="F323" s="489"/>
      <c r="G323" s="489"/>
      <c r="H323" s="489"/>
      <c r="I323" s="489"/>
      <c r="J323" s="489"/>
      <c r="K323" s="489"/>
      <c r="L323" s="489"/>
      <c r="M323" s="489"/>
      <c r="N323" s="489"/>
      <c r="O323" s="489"/>
      <c r="P323" s="489"/>
      <c r="Q323" s="489"/>
      <c r="R323" s="489"/>
      <c r="S323" s="489"/>
      <c r="T323" s="489"/>
      <c r="U323" s="489"/>
      <c r="V323" s="489"/>
    </row>
    <row r="324" spans="1:22">
      <c r="A324" s="489"/>
      <c r="B324" s="489"/>
      <c r="C324" s="489"/>
      <c r="D324" s="489"/>
      <c r="E324" s="489"/>
      <c r="F324" s="489"/>
      <c r="G324" s="489"/>
      <c r="H324" s="489"/>
      <c r="I324" s="489"/>
      <c r="J324" s="489"/>
      <c r="K324" s="489"/>
      <c r="L324" s="489"/>
      <c r="M324" s="489"/>
      <c r="N324" s="489"/>
      <c r="O324" s="489"/>
      <c r="P324" s="489"/>
      <c r="Q324" s="489"/>
      <c r="R324" s="489"/>
      <c r="S324" s="489"/>
      <c r="T324" s="489"/>
      <c r="U324" s="489"/>
      <c r="V324" s="489"/>
    </row>
    <row r="325" spans="1:22">
      <c r="A325" s="489"/>
      <c r="B325" s="489"/>
      <c r="C325" s="489"/>
      <c r="D325" s="489"/>
      <c r="E325" s="489"/>
      <c r="F325" s="489"/>
      <c r="G325" s="489"/>
      <c r="H325" s="489"/>
      <c r="I325" s="489"/>
      <c r="J325" s="489"/>
      <c r="K325" s="489"/>
      <c r="L325" s="489"/>
      <c r="M325" s="489"/>
      <c r="N325" s="489"/>
      <c r="O325" s="489"/>
      <c r="P325" s="489"/>
      <c r="Q325" s="489"/>
      <c r="R325" s="489"/>
      <c r="S325" s="489"/>
      <c r="T325" s="489"/>
      <c r="U325" s="489"/>
      <c r="V325" s="489"/>
    </row>
    <row r="326" spans="1:22">
      <c r="A326" s="489"/>
      <c r="B326" s="489"/>
      <c r="C326" s="489"/>
      <c r="D326" s="489"/>
      <c r="E326" s="489"/>
      <c r="F326" s="489"/>
      <c r="G326" s="489"/>
      <c r="H326" s="489"/>
      <c r="I326" s="489"/>
      <c r="J326" s="489"/>
      <c r="K326" s="489"/>
      <c r="L326" s="489"/>
      <c r="M326" s="489"/>
      <c r="N326" s="489"/>
      <c r="O326" s="489"/>
      <c r="P326" s="489"/>
      <c r="Q326" s="489"/>
      <c r="R326" s="489"/>
      <c r="S326" s="489"/>
      <c r="T326" s="489"/>
      <c r="U326" s="489"/>
      <c r="V326" s="489"/>
    </row>
    <row r="327" spans="1:22">
      <c r="A327" s="489"/>
      <c r="B327" s="489"/>
      <c r="C327" s="489"/>
      <c r="D327" s="489"/>
      <c r="E327" s="489"/>
      <c r="F327" s="489"/>
      <c r="G327" s="489"/>
      <c r="H327" s="489"/>
      <c r="I327" s="489"/>
      <c r="J327" s="489"/>
      <c r="K327" s="489"/>
      <c r="L327" s="489"/>
      <c r="M327" s="489"/>
      <c r="N327" s="489"/>
      <c r="O327" s="489"/>
      <c r="P327" s="489"/>
      <c r="Q327" s="489"/>
      <c r="R327" s="489"/>
      <c r="S327" s="489"/>
      <c r="T327" s="489"/>
      <c r="U327" s="489"/>
      <c r="V327" s="489"/>
    </row>
    <row r="328" spans="1:22">
      <c r="A328" s="489"/>
      <c r="B328" s="489"/>
      <c r="C328" s="489"/>
      <c r="D328" s="489"/>
      <c r="E328" s="489"/>
      <c r="F328" s="489"/>
      <c r="G328" s="489"/>
      <c r="H328" s="489"/>
      <c r="I328" s="489"/>
      <c r="J328" s="489"/>
      <c r="K328" s="489"/>
      <c r="L328" s="489"/>
      <c r="M328" s="489"/>
      <c r="N328" s="489"/>
      <c r="O328" s="489"/>
      <c r="P328" s="489"/>
      <c r="Q328" s="489"/>
      <c r="R328" s="489"/>
      <c r="S328" s="489"/>
      <c r="T328" s="489"/>
      <c r="U328" s="489"/>
      <c r="V328" s="489"/>
    </row>
    <row r="329" spans="1:22">
      <c r="A329" s="489"/>
      <c r="B329" s="489"/>
      <c r="C329" s="489"/>
      <c r="D329" s="489"/>
      <c r="E329" s="489"/>
      <c r="F329" s="489"/>
      <c r="G329" s="489"/>
      <c r="H329" s="489"/>
      <c r="I329" s="489"/>
      <c r="J329" s="489"/>
      <c r="K329" s="489"/>
      <c r="L329" s="489"/>
      <c r="M329" s="489"/>
      <c r="N329" s="489"/>
      <c r="O329" s="489"/>
      <c r="P329" s="489"/>
      <c r="Q329" s="489"/>
      <c r="R329" s="489"/>
      <c r="S329" s="489"/>
      <c r="T329" s="489"/>
      <c r="U329" s="489"/>
      <c r="V329" s="489"/>
    </row>
    <row r="330" spans="1:22">
      <c r="A330" s="489"/>
      <c r="B330" s="489"/>
      <c r="C330" s="489"/>
      <c r="D330" s="489"/>
      <c r="E330" s="489"/>
      <c r="F330" s="489"/>
      <c r="G330" s="489"/>
      <c r="H330" s="489"/>
      <c r="I330" s="489"/>
      <c r="J330" s="489"/>
      <c r="K330" s="489"/>
      <c r="L330" s="489"/>
      <c r="M330" s="489"/>
      <c r="N330" s="489"/>
      <c r="O330" s="489"/>
      <c r="P330" s="489"/>
      <c r="Q330" s="489"/>
      <c r="R330" s="489"/>
      <c r="S330" s="489"/>
      <c r="T330" s="489"/>
      <c r="U330" s="489"/>
      <c r="V330" s="489"/>
    </row>
    <row r="331" spans="1:22">
      <c r="A331" s="489"/>
      <c r="B331" s="489"/>
      <c r="C331" s="489"/>
      <c r="D331" s="489"/>
      <c r="E331" s="489"/>
      <c r="F331" s="489"/>
      <c r="G331" s="489"/>
      <c r="H331" s="489"/>
      <c r="I331" s="489"/>
      <c r="J331" s="489"/>
      <c r="K331" s="489"/>
      <c r="L331" s="489"/>
      <c r="M331" s="489"/>
      <c r="N331" s="489"/>
      <c r="O331" s="489"/>
      <c r="P331" s="489"/>
      <c r="Q331" s="489"/>
      <c r="R331" s="489"/>
      <c r="S331" s="489"/>
      <c r="T331" s="489"/>
      <c r="U331" s="489"/>
      <c r="V331" s="489"/>
    </row>
    <row r="332" spans="1:22">
      <c r="A332" s="489"/>
      <c r="B332" s="489"/>
      <c r="C332" s="489"/>
      <c r="D332" s="489"/>
      <c r="E332" s="489"/>
      <c r="F332" s="489"/>
      <c r="G332" s="489"/>
      <c r="H332" s="489"/>
      <c r="I332" s="489"/>
      <c r="J332" s="489"/>
      <c r="K332" s="489"/>
      <c r="L332" s="489"/>
      <c r="M332" s="489"/>
      <c r="N332" s="489"/>
      <c r="O332" s="489"/>
      <c r="P332" s="489"/>
      <c r="Q332" s="489"/>
      <c r="R332" s="489"/>
      <c r="S332" s="489"/>
      <c r="T332" s="489"/>
      <c r="U332" s="489"/>
      <c r="V332" s="489"/>
    </row>
    <row r="333" spans="1:22">
      <c r="A333" s="489"/>
      <c r="B333" s="489"/>
      <c r="C333" s="489"/>
      <c r="D333" s="489"/>
      <c r="E333" s="489"/>
      <c r="F333" s="489"/>
      <c r="G333" s="489"/>
      <c r="H333" s="489"/>
      <c r="I333" s="489"/>
      <c r="J333" s="489"/>
      <c r="K333" s="489"/>
      <c r="L333" s="489"/>
      <c r="M333" s="489"/>
      <c r="N333" s="489"/>
      <c r="O333" s="489"/>
      <c r="P333" s="489"/>
      <c r="Q333" s="489"/>
      <c r="R333" s="489"/>
      <c r="S333" s="489"/>
      <c r="T333" s="489"/>
      <c r="U333" s="489"/>
      <c r="V333" s="489"/>
    </row>
    <row r="334" spans="1:22">
      <c r="A334" s="489"/>
      <c r="B334" s="489"/>
      <c r="C334" s="489"/>
      <c r="D334" s="489"/>
      <c r="E334" s="489"/>
      <c r="F334" s="489"/>
      <c r="G334" s="489"/>
      <c r="H334" s="489"/>
      <c r="I334" s="489"/>
      <c r="J334" s="489"/>
      <c r="K334" s="489"/>
      <c r="L334" s="489"/>
      <c r="M334" s="489"/>
      <c r="N334" s="489"/>
      <c r="O334" s="489"/>
      <c r="P334" s="489"/>
      <c r="Q334" s="489"/>
      <c r="R334" s="489"/>
      <c r="S334" s="489"/>
      <c r="T334" s="489"/>
      <c r="U334" s="489"/>
      <c r="V334" s="489"/>
    </row>
    <row r="335" spans="1:22">
      <c r="A335" s="489"/>
      <c r="B335" s="489"/>
      <c r="C335" s="489"/>
      <c r="D335" s="489"/>
      <c r="E335" s="489"/>
      <c r="F335" s="489"/>
      <c r="G335" s="489"/>
      <c r="H335" s="489"/>
      <c r="I335" s="489"/>
      <c r="J335" s="489"/>
      <c r="K335" s="489"/>
      <c r="L335" s="489"/>
      <c r="M335" s="489"/>
      <c r="N335" s="489"/>
      <c r="O335" s="489"/>
      <c r="P335" s="489"/>
      <c r="Q335" s="489"/>
      <c r="R335" s="489"/>
      <c r="S335" s="489"/>
      <c r="T335" s="489"/>
      <c r="U335" s="489"/>
      <c r="V335" s="489"/>
    </row>
    <row r="336" spans="1:22">
      <c r="A336" s="489"/>
      <c r="B336" s="489"/>
      <c r="C336" s="489"/>
      <c r="D336" s="489"/>
      <c r="E336" s="489"/>
      <c r="F336" s="489"/>
      <c r="G336" s="489"/>
      <c r="H336" s="489"/>
      <c r="I336" s="489"/>
      <c r="J336" s="489"/>
      <c r="K336" s="489"/>
      <c r="L336" s="489"/>
      <c r="M336" s="489"/>
      <c r="N336" s="489"/>
      <c r="O336" s="489"/>
      <c r="P336" s="489"/>
      <c r="Q336" s="489"/>
      <c r="R336" s="489"/>
      <c r="S336" s="489"/>
      <c r="T336" s="489"/>
      <c r="U336" s="489"/>
      <c r="V336" s="489"/>
    </row>
    <row r="337" spans="1:22">
      <c r="A337" s="489"/>
      <c r="B337" s="489"/>
      <c r="C337" s="489"/>
      <c r="D337" s="489"/>
      <c r="E337" s="489"/>
      <c r="F337" s="489"/>
      <c r="G337" s="489"/>
      <c r="H337" s="489"/>
      <c r="I337" s="489"/>
      <c r="J337" s="489"/>
      <c r="K337" s="489"/>
      <c r="L337" s="489"/>
      <c r="M337" s="489"/>
      <c r="N337" s="489"/>
      <c r="O337" s="489"/>
      <c r="P337" s="489"/>
      <c r="Q337" s="489"/>
      <c r="R337" s="489"/>
      <c r="S337" s="489"/>
      <c r="T337" s="489"/>
      <c r="U337" s="489"/>
      <c r="V337" s="489"/>
    </row>
    <row r="338" spans="1:22">
      <c r="A338" s="489"/>
      <c r="B338" s="489"/>
      <c r="C338" s="489"/>
      <c r="D338" s="489"/>
      <c r="E338" s="489"/>
      <c r="F338" s="489"/>
      <c r="G338" s="489"/>
      <c r="H338" s="489"/>
      <c r="I338" s="489"/>
      <c r="J338" s="489"/>
      <c r="K338" s="489"/>
      <c r="L338" s="489"/>
      <c r="M338" s="489"/>
      <c r="N338" s="489"/>
      <c r="O338" s="489"/>
      <c r="P338" s="489"/>
      <c r="Q338" s="489"/>
      <c r="R338" s="489"/>
      <c r="S338" s="489"/>
      <c r="T338" s="489"/>
      <c r="U338" s="489"/>
      <c r="V338" s="489"/>
    </row>
    <row r="339" spans="1:22">
      <c r="A339" s="489"/>
      <c r="B339" s="489"/>
      <c r="C339" s="489"/>
      <c r="D339" s="489"/>
      <c r="E339" s="489"/>
      <c r="F339" s="489"/>
      <c r="G339" s="489"/>
      <c r="H339" s="489"/>
      <c r="I339" s="489"/>
      <c r="J339" s="489"/>
      <c r="K339" s="489"/>
      <c r="L339" s="489"/>
      <c r="M339" s="489"/>
      <c r="N339" s="489"/>
      <c r="O339" s="489"/>
      <c r="P339" s="489"/>
      <c r="Q339" s="489"/>
      <c r="R339" s="489"/>
      <c r="S339" s="489"/>
      <c r="T339" s="489"/>
      <c r="U339" s="489"/>
      <c r="V339" s="489"/>
    </row>
    <row r="340" spans="1:22">
      <c r="A340" s="489"/>
      <c r="B340" s="489"/>
      <c r="C340" s="489"/>
      <c r="D340" s="489"/>
      <c r="E340" s="489"/>
      <c r="F340" s="489"/>
      <c r="G340" s="489"/>
      <c r="H340" s="489"/>
      <c r="I340" s="489"/>
      <c r="J340" s="489"/>
      <c r="K340" s="489"/>
      <c r="L340" s="489"/>
      <c r="M340" s="489"/>
      <c r="N340" s="489"/>
      <c r="O340" s="489"/>
      <c r="P340" s="489"/>
      <c r="Q340" s="489"/>
      <c r="R340" s="489"/>
      <c r="S340" s="489"/>
      <c r="T340" s="489"/>
      <c r="U340" s="489"/>
      <c r="V340" s="489"/>
    </row>
    <row r="341" spans="1:22">
      <c r="A341" s="489"/>
      <c r="B341" s="489"/>
      <c r="C341" s="489"/>
      <c r="D341" s="489"/>
      <c r="E341" s="489"/>
      <c r="F341" s="489"/>
      <c r="G341" s="489"/>
      <c r="H341" s="489"/>
      <c r="I341" s="489"/>
      <c r="J341" s="489"/>
      <c r="K341" s="489"/>
      <c r="L341" s="489"/>
      <c r="M341" s="489"/>
      <c r="N341" s="489"/>
      <c r="O341" s="489"/>
      <c r="P341" s="489"/>
      <c r="Q341" s="489"/>
      <c r="R341" s="489"/>
      <c r="S341" s="489"/>
      <c r="T341" s="489"/>
      <c r="U341" s="489"/>
      <c r="V341" s="489"/>
    </row>
    <row r="342" spans="1:22">
      <c r="A342" s="489"/>
      <c r="B342" s="489"/>
      <c r="C342" s="489"/>
      <c r="D342" s="489"/>
      <c r="E342" s="489"/>
      <c r="F342" s="489"/>
      <c r="G342" s="489"/>
      <c r="H342" s="489"/>
      <c r="I342" s="489"/>
      <c r="J342" s="489"/>
      <c r="K342" s="489"/>
      <c r="L342" s="489"/>
      <c r="M342" s="489"/>
      <c r="N342" s="489"/>
      <c r="O342" s="489"/>
      <c r="P342" s="489"/>
      <c r="Q342" s="489"/>
      <c r="R342" s="489"/>
      <c r="S342" s="489"/>
      <c r="T342" s="489"/>
      <c r="U342" s="489"/>
      <c r="V342" s="489"/>
    </row>
    <row r="343" spans="1:22">
      <c r="A343" s="489"/>
      <c r="B343" s="489"/>
      <c r="C343" s="489"/>
      <c r="D343" s="489"/>
      <c r="E343" s="489"/>
      <c r="F343" s="489"/>
      <c r="G343" s="489"/>
      <c r="H343" s="489"/>
      <c r="I343" s="489"/>
      <c r="J343" s="489"/>
      <c r="K343" s="489"/>
      <c r="L343" s="489"/>
      <c r="M343" s="489"/>
      <c r="N343" s="489"/>
      <c r="O343" s="489"/>
      <c r="P343" s="489"/>
      <c r="Q343" s="489"/>
      <c r="R343" s="489"/>
      <c r="S343" s="489"/>
      <c r="T343" s="489"/>
      <c r="U343" s="489"/>
      <c r="V343" s="489"/>
    </row>
    <row r="344" spans="1:22">
      <c r="A344" s="489"/>
      <c r="B344" s="489"/>
      <c r="C344" s="489"/>
      <c r="D344" s="489"/>
      <c r="E344" s="489"/>
      <c r="F344" s="489"/>
      <c r="G344" s="489"/>
      <c r="H344" s="489"/>
      <c r="I344" s="489"/>
      <c r="J344" s="489"/>
      <c r="K344" s="489"/>
      <c r="L344" s="489"/>
      <c r="M344" s="489"/>
      <c r="N344" s="489"/>
      <c r="O344" s="489"/>
      <c r="P344" s="489"/>
      <c r="Q344" s="489"/>
      <c r="R344" s="489"/>
      <c r="S344" s="489"/>
      <c r="T344" s="489"/>
      <c r="U344" s="489"/>
      <c r="V344" s="489"/>
    </row>
    <row r="345" spans="1:22">
      <c r="A345" s="489"/>
      <c r="B345" s="489"/>
      <c r="C345" s="489"/>
      <c r="D345" s="489"/>
      <c r="E345" s="489"/>
      <c r="F345" s="489"/>
      <c r="G345" s="489"/>
      <c r="H345" s="489"/>
      <c r="I345" s="489"/>
      <c r="J345" s="489"/>
      <c r="K345" s="489"/>
      <c r="L345" s="489"/>
      <c r="M345" s="489"/>
      <c r="N345" s="489"/>
      <c r="O345" s="489"/>
      <c r="P345" s="489"/>
      <c r="Q345" s="489"/>
      <c r="R345" s="489"/>
      <c r="S345" s="489"/>
      <c r="T345" s="489"/>
      <c r="U345" s="489"/>
      <c r="V345" s="489"/>
    </row>
    <row r="346" spans="1:22">
      <c r="A346" s="489"/>
      <c r="B346" s="489"/>
      <c r="C346" s="489"/>
      <c r="D346" s="489"/>
      <c r="E346" s="489"/>
      <c r="F346" s="489"/>
      <c r="G346" s="489"/>
      <c r="H346" s="489"/>
      <c r="I346" s="489"/>
      <c r="J346" s="489"/>
      <c r="K346" s="489"/>
      <c r="L346" s="489"/>
      <c r="M346" s="489"/>
      <c r="N346" s="489"/>
      <c r="O346" s="489"/>
      <c r="P346" s="489"/>
      <c r="Q346" s="489"/>
      <c r="R346" s="489"/>
      <c r="S346" s="489"/>
      <c r="T346" s="489"/>
      <c r="U346" s="489"/>
      <c r="V346" s="489"/>
    </row>
    <row r="347" spans="1:22">
      <c r="A347" s="489"/>
      <c r="B347" s="489"/>
      <c r="C347" s="489"/>
      <c r="D347" s="489"/>
      <c r="E347" s="489"/>
      <c r="F347" s="489"/>
      <c r="G347" s="489"/>
      <c r="H347" s="489"/>
      <c r="I347" s="489"/>
      <c r="J347" s="489"/>
      <c r="K347" s="489"/>
      <c r="L347" s="489"/>
      <c r="M347" s="489"/>
      <c r="N347" s="489"/>
      <c r="O347" s="489"/>
      <c r="P347" s="489"/>
      <c r="Q347" s="489"/>
      <c r="R347" s="489"/>
      <c r="S347" s="489"/>
      <c r="T347" s="489"/>
      <c r="U347" s="489"/>
      <c r="V347" s="489"/>
    </row>
    <row r="348" spans="1:22">
      <c r="A348" s="489"/>
      <c r="B348" s="489"/>
      <c r="C348" s="489"/>
      <c r="D348" s="489"/>
      <c r="E348" s="489"/>
      <c r="F348" s="489"/>
      <c r="G348" s="489"/>
      <c r="H348" s="489"/>
      <c r="I348" s="489"/>
      <c r="J348" s="489"/>
      <c r="K348" s="489"/>
      <c r="L348" s="489"/>
      <c r="M348" s="489"/>
      <c r="N348" s="489"/>
      <c r="O348" s="489"/>
      <c r="P348" s="489"/>
      <c r="Q348" s="489"/>
      <c r="R348" s="489"/>
      <c r="S348" s="489"/>
      <c r="T348" s="489"/>
      <c r="U348" s="489"/>
      <c r="V348" s="489"/>
    </row>
    <row r="349" spans="1:22">
      <c r="A349" s="489"/>
      <c r="B349" s="489"/>
      <c r="C349" s="489"/>
      <c r="D349" s="489"/>
      <c r="E349" s="489"/>
      <c r="F349" s="489"/>
      <c r="G349" s="489"/>
      <c r="H349" s="489"/>
      <c r="I349" s="489"/>
      <c r="J349" s="489"/>
      <c r="K349" s="489"/>
      <c r="L349" s="489"/>
      <c r="M349" s="489"/>
      <c r="N349" s="489"/>
      <c r="O349" s="489"/>
      <c r="P349" s="489"/>
      <c r="Q349" s="489"/>
      <c r="R349" s="489"/>
      <c r="S349" s="489"/>
      <c r="T349" s="489"/>
      <c r="U349" s="489"/>
      <c r="V349" s="489"/>
    </row>
    <row r="350" spans="1:22">
      <c r="A350" s="489"/>
      <c r="B350" s="489"/>
      <c r="C350" s="489"/>
      <c r="D350" s="489"/>
      <c r="E350" s="489"/>
      <c r="F350" s="489"/>
      <c r="G350" s="489"/>
      <c r="H350" s="489"/>
      <c r="I350" s="489"/>
      <c r="J350" s="489"/>
      <c r="K350" s="489"/>
      <c r="L350" s="489"/>
      <c r="M350" s="489"/>
      <c r="N350" s="489"/>
      <c r="O350" s="489"/>
      <c r="P350" s="489"/>
      <c r="Q350" s="489"/>
      <c r="R350" s="489"/>
      <c r="S350" s="489"/>
      <c r="T350" s="489"/>
      <c r="U350" s="489"/>
      <c r="V350" s="489"/>
    </row>
    <row r="351" spans="1:22">
      <c r="A351" s="489"/>
      <c r="B351" s="489"/>
      <c r="C351" s="489"/>
      <c r="D351" s="489"/>
      <c r="E351" s="489"/>
      <c r="F351" s="489"/>
      <c r="G351" s="489"/>
      <c r="H351" s="489"/>
      <c r="I351" s="489"/>
      <c r="J351" s="489"/>
      <c r="K351" s="489"/>
      <c r="L351" s="489"/>
      <c r="M351" s="489"/>
      <c r="N351" s="489"/>
      <c r="O351" s="489"/>
      <c r="P351" s="489"/>
      <c r="Q351" s="489"/>
      <c r="R351" s="489"/>
      <c r="S351" s="489"/>
      <c r="T351" s="489"/>
      <c r="U351" s="489"/>
      <c r="V351" s="489"/>
    </row>
    <row r="352" spans="1:22">
      <c r="A352" s="489"/>
      <c r="B352" s="489"/>
      <c r="C352" s="489"/>
      <c r="D352" s="489"/>
      <c r="E352" s="489"/>
      <c r="F352" s="489"/>
      <c r="G352" s="489"/>
      <c r="H352" s="489"/>
      <c r="I352" s="489"/>
      <c r="J352" s="489"/>
      <c r="K352" s="489"/>
      <c r="L352" s="489"/>
      <c r="M352" s="489"/>
      <c r="N352" s="489"/>
      <c r="O352" s="489"/>
      <c r="P352" s="489"/>
      <c r="Q352" s="489"/>
      <c r="R352" s="489"/>
      <c r="S352" s="489"/>
      <c r="T352" s="489"/>
      <c r="U352" s="489"/>
      <c r="V352" s="489"/>
    </row>
    <row r="353" spans="1:22">
      <c r="A353" s="489"/>
      <c r="B353" s="489"/>
      <c r="C353" s="489"/>
      <c r="D353" s="489"/>
      <c r="E353" s="489"/>
      <c r="F353" s="489"/>
      <c r="G353" s="489"/>
      <c r="H353" s="489"/>
      <c r="I353" s="489"/>
      <c r="J353" s="489"/>
      <c r="K353" s="489"/>
      <c r="L353" s="489"/>
      <c r="M353" s="489"/>
      <c r="N353" s="489"/>
      <c r="O353" s="489"/>
      <c r="P353" s="489"/>
      <c r="Q353" s="489"/>
      <c r="R353" s="489"/>
      <c r="S353" s="489"/>
      <c r="T353" s="489"/>
      <c r="U353" s="489"/>
      <c r="V353" s="489"/>
    </row>
    <row r="354" spans="1:22">
      <c r="A354" s="489"/>
      <c r="B354" s="489"/>
      <c r="C354" s="489"/>
      <c r="D354" s="489"/>
      <c r="E354" s="489"/>
      <c r="F354" s="489"/>
      <c r="G354" s="489"/>
      <c r="H354" s="489"/>
      <c r="I354" s="489"/>
      <c r="J354" s="489"/>
      <c r="K354" s="489"/>
      <c r="L354" s="489"/>
      <c r="M354" s="489"/>
      <c r="N354" s="489"/>
      <c r="O354" s="489"/>
      <c r="P354" s="489"/>
      <c r="Q354" s="489"/>
      <c r="R354" s="489"/>
      <c r="S354" s="489"/>
      <c r="T354" s="489"/>
      <c r="U354" s="489"/>
      <c r="V354" s="489"/>
    </row>
    <row r="355" spans="1:22">
      <c r="A355" s="489"/>
      <c r="B355" s="489"/>
      <c r="C355" s="489"/>
      <c r="D355" s="489"/>
      <c r="E355" s="489"/>
      <c r="F355" s="489"/>
      <c r="G355" s="489"/>
      <c r="H355" s="489"/>
      <c r="I355" s="489"/>
      <c r="J355" s="489"/>
      <c r="K355" s="489"/>
      <c r="L355" s="489"/>
      <c r="M355" s="489"/>
      <c r="N355" s="489"/>
      <c r="O355" s="489"/>
      <c r="P355" s="489"/>
      <c r="Q355" s="489"/>
      <c r="R355" s="489"/>
      <c r="S355" s="489"/>
      <c r="T355" s="489"/>
      <c r="U355" s="489"/>
      <c r="V355" s="489"/>
    </row>
    <row r="356" spans="1:22">
      <c r="A356" s="489"/>
      <c r="B356" s="489"/>
      <c r="C356" s="489"/>
      <c r="D356" s="489"/>
      <c r="E356" s="489"/>
      <c r="F356" s="489"/>
      <c r="G356" s="489"/>
      <c r="H356" s="489"/>
      <c r="I356" s="489"/>
      <c r="J356" s="489"/>
      <c r="K356" s="489"/>
      <c r="L356" s="489"/>
      <c r="M356" s="489"/>
      <c r="N356" s="489"/>
      <c r="O356" s="489"/>
      <c r="P356" s="489"/>
      <c r="Q356" s="489"/>
      <c r="R356" s="489"/>
      <c r="S356" s="489"/>
      <c r="T356" s="489"/>
      <c r="U356" s="489"/>
      <c r="V356" s="489"/>
    </row>
    <row r="357" spans="1:22">
      <c r="A357" s="489"/>
      <c r="B357" s="489"/>
      <c r="C357" s="489"/>
      <c r="D357" s="489"/>
      <c r="E357" s="489"/>
      <c r="F357" s="489"/>
      <c r="G357" s="489"/>
      <c r="H357" s="489"/>
      <c r="I357" s="489"/>
      <c r="J357" s="489"/>
      <c r="K357" s="489"/>
      <c r="L357" s="489"/>
      <c r="M357" s="489"/>
      <c r="N357" s="489"/>
      <c r="O357" s="489"/>
      <c r="P357" s="489"/>
      <c r="Q357" s="489"/>
      <c r="R357" s="489"/>
      <c r="S357" s="489"/>
      <c r="T357" s="489"/>
      <c r="U357" s="489"/>
      <c r="V357" s="489"/>
    </row>
    <row r="358" spans="1:22">
      <c r="A358" s="489"/>
      <c r="B358" s="489"/>
      <c r="C358" s="489"/>
      <c r="D358" s="489"/>
      <c r="E358" s="489"/>
      <c r="F358" s="489"/>
      <c r="G358" s="489"/>
      <c r="H358" s="489"/>
      <c r="I358" s="489"/>
      <c r="J358" s="489"/>
      <c r="K358" s="489"/>
      <c r="L358" s="489"/>
      <c r="M358" s="489"/>
      <c r="N358" s="489"/>
      <c r="O358" s="489"/>
      <c r="P358" s="489"/>
      <c r="Q358" s="489"/>
      <c r="R358" s="489"/>
      <c r="S358" s="489"/>
      <c r="T358" s="489"/>
      <c r="U358" s="489"/>
      <c r="V358" s="489"/>
    </row>
    <row r="359" spans="1:22">
      <c r="A359" s="489"/>
      <c r="B359" s="489"/>
      <c r="C359" s="489"/>
      <c r="D359" s="489"/>
      <c r="E359" s="489"/>
      <c r="F359" s="489"/>
      <c r="G359" s="489"/>
      <c r="H359" s="489"/>
      <c r="I359" s="489"/>
      <c r="J359" s="489"/>
      <c r="K359" s="489"/>
      <c r="L359" s="489"/>
      <c r="M359" s="489"/>
      <c r="N359" s="489"/>
      <c r="O359" s="489"/>
      <c r="P359" s="489"/>
      <c r="Q359" s="489"/>
      <c r="R359" s="489"/>
      <c r="S359" s="489"/>
      <c r="T359" s="489"/>
      <c r="U359" s="489"/>
      <c r="V359" s="489"/>
    </row>
    <row r="360" spans="1:22">
      <c r="A360" s="489"/>
      <c r="B360" s="489"/>
      <c r="C360" s="489"/>
      <c r="D360" s="489"/>
      <c r="E360" s="489"/>
      <c r="F360" s="489"/>
      <c r="G360" s="489"/>
      <c r="H360" s="489"/>
      <c r="I360" s="489"/>
      <c r="J360" s="489"/>
      <c r="K360" s="489"/>
      <c r="L360" s="489"/>
      <c r="M360" s="489"/>
      <c r="N360" s="489"/>
      <c r="O360" s="489"/>
      <c r="P360" s="489"/>
      <c r="Q360" s="489"/>
      <c r="R360" s="489"/>
      <c r="S360" s="489"/>
      <c r="T360" s="489"/>
      <c r="U360" s="489"/>
      <c r="V360" s="489"/>
    </row>
    <row r="361" spans="1:22">
      <c r="A361" s="489"/>
      <c r="B361" s="489"/>
      <c r="C361" s="489"/>
      <c r="D361" s="489"/>
      <c r="E361" s="489"/>
      <c r="F361" s="489"/>
      <c r="G361" s="489"/>
      <c r="H361" s="489"/>
      <c r="I361" s="489"/>
      <c r="J361" s="489"/>
      <c r="K361" s="489"/>
      <c r="L361" s="489"/>
      <c r="M361" s="489"/>
      <c r="N361" s="489"/>
      <c r="O361" s="489"/>
      <c r="P361" s="489"/>
      <c r="Q361" s="489"/>
      <c r="R361" s="489"/>
      <c r="S361" s="489"/>
      <c r="T361" s="489"/>
      <c r="U361" s="489"/>
      <c r="V361" s="489"/>
    </row>
    <row r="362" spans="1:22">
      <c r="A362" s="489"/>
      <c r="B362" s="489"/>
      <c r="C362" s="489"/>
      <c r="D362" s="489"/>
      <c r="E362" s="489"/>
      <c r="F362" s="489"/>
      <c r="G362" s="489"/>
      <c r="H362" s="489"/>
      <c r="I362" s="489"/>
      <c r="J362" s="489"/>
      <c r="K362" s="489"/>
      <c r="L362" s="489"/>
      <c r="M362" s="489"/>
      <c r="N362" s="489"/>
      <c r="O362" s="489"/>
      <c r="P362" s="489"/>
      <c r="Q362" s="489"/>
      <c r="R362" s="489"/>
      <c r="S362" s="489"/>
      <c r="T362" s="489"/>
      <c r="U362" s="489"/>
      <c r="V362" s="489"/>
    </row>
    <row r="363" spans="1:22">
      <c r="A363" s="489"/>
      <c r="B363" s="489"/>
      <c r="C363" s="489"/>
      <c r="D363" s="489"/>
      <c r="E363" s="489"/>
      <c r="F363" s="489"/>
      <c r="G363" s="489"/>
      <c r="H363" s="489"/>
      <c r="I363" s="489"/>
      <c r="J363" s="489"/>
      <c r="K363" s="489"/>
      <c r="L363" s="489"/>
      <c r="M363" s="489"/>
      <c r="N363" s="489"/>
      <c r="O363" s="489"/>
      <c r="P363" s="489"/>
      <c r="Q363" s="489"/>
      <c r="R363" s="489"/>
      <c r="S363" s="489"/>
      <c r="T363" s="489"/>
      <c r="U363" s="489"/>
      <c r="V363" s="489"/>
    </row>
    <row r="364" spans="1:22">
      <c r="A364" s="489"/>
      <c r="B364" s="489"/>
      <c r="C364" s="489"/>
      <c r="D364" s="489"/>
      <c r="E364" s="489"/>
      <c r="F364" s="489"/>
      <c r="G364" s="489"/>
      <c r="H364" s="489"/>
      <c r="I364" s="489"/>
      <c r="J364" s="489"/>
      <c r="K364" s="489"/>
      <c r="L364" s="489"/>
      <c r="M364" s="489"/>
      <c r="N364" s="489"/>
      <c r="O364" s="489"/>
      <c r="P364" s="489"/>
      <c r="Q364" s="489"/>
      <c r="R364" s="489"/>
      <c r="S364" s="489"/>
      <c r="T364" s="489"/>
      <c r="U364" s="489"/>
      <c r="V364" s="489"/>
    </row>
    <row r="365" spans="1:22">
      <c r="A365" s="489"/>
      <c r="B365" s="489"/>
      <c r="C365" s="489"/>
      <c r="D365" s="489"/>
      <c r="E365" s="489"/>
      <c r="F365" s="489"/>
      <c r="G365" s="489"/>
      <c r="H365" s="489"/>
      <c r="I365" s="489"/>
      <c r="J365" s="489"/>
      <c r="K365" s="489"/>
      <c r="L365" s="489"/>
      <c r="M365" s="489"/>
      <c r="N365" s="489"/>
      <c r="O365" s="489"/>
      <c r="P365" s="489"/>
      <c r="Q365" s="489"/>
      <c r="R365" s="489"/>
      <c r="S365" s="489"/>
      <c r="T365" s="489"/>
      <c r="U365" s="489"/>
      <c r="V365" s="489"/>
    </row>
    <row r="366" spans="1:22">
      <c r="A366" s="489"/>
      <c r="B366" s="489"/>
      <c r="C366" s="489"/>
      <c r="D366" s="489"/>
      <c r="E366" s="489"/>
      <c r="F366" s="489"/>
      <c r="G366" s="489"/>
      <c r="H366" s="489"/>
      <c r="I366" s="489"/>
      <c r="J366" s="489"/>
      <c r="K366" s="489"/>
      <c r="L366" s="489"/>
      <c r="M366" s="489"/>
      <c r="N366" s="489"/>
      <c r="O366" s="489"/>
      <c r="P366" s="489"/>
      <c r="Q366" s="489"/>
      <c r="R366" s="489"/>
      <c r="S366" s="489"/>
      <c r="T366" s="489"/>
      <c r="U366" s="489"/>
      <c r="V366" s="489"/>
    </row>
    <row r="367" spans="1:22">
      <c r="A367" s="489"/>
      <c r="B367" s="489"/>
      <c r="C367" s="489"/>
      <c r="D367" s="489"/>
      <c r="E367" s="489"/>
      <c r="F367" s="489"/>
      <c r="G367" s="489"/>
      <c r="H367" s="489"/>
      <c r="I367" s="489"/>
      <c r="J367" s="489"/>
      <c r="K367" s="489"/>
      <c r="L367" s="489"/>
      <c r="M367" s="489"/>
      <c r="N367" s="489"/>
      <c r="O367" s="489"/>
      <c r="P367" s="489"/>
      <c r="Q367" s="489"/>
      <c r="R367" s="489"/>
      <c r="S367" s="489"/>
      <c r="T367" s="489"/>
      <c r="U367" s="489"/>
      <c r="V367" s="489"/>
    </row>
    <row r="368" spans="1:22">
      <c r="A368" s="489"/>
      <c r="B368" s="489"/>
      <c r="C368" s="489"/>
      <c r="D368" s="489"/>
      <c r="E368" s="489"/>
      <c r="F368" s="489"/>
      <c r="G368" s="489"/>
      <c r="H368" s="489"/>
      <c r="I368" s="489"/>
      <c r="J368" s="489"/>
      <c r="K368" s="489"/>
      <c r="L368" s="489"/>
      <c r="M368" s="489"/>
      <c r="N368" s="489"/>
      <c r="O368" s="489"/>
      <c r="P368" s="489"/>
      <c r="Q368" s="489"/>
      <c r="R368" s="489"/>
      <c r="S368" s="489"/>
      <c r="T368" s="489"/>
      <c r="U368" s="489"/>
      <c r="V368" s="489"/>
    </row>
    <row r="369" spans="1:22">
      <c r="A369" s="489"/>
      <c r="B369" s="489"/>
      <c r="C369" s="489"/>
      <c r="D369" s="489"/>
      <c r="E369" s="489"/>
      <c r="F369" s="489"/>
      <c r="G369" s="489"/>
      <c r="H369" s="489"/>
      <c r="I369" s="489"/>
      <c r="J369" s="489"/>
      <c r="K369" s="489"/>
      <c r="L369" s="489"/>
      <c r="M369" s="489"/>
      <c r="N369" s="489"/>
      <c r="O369" s="489"/>
      <c r="P369" s="489"/>
      <c r="Q369" s="489"/>
      <c r="R369" s="489"/>
      <c r="S369" s="489"/>
      <c r="T369" s="489"/>
      <c r="U369" s="489"/>
      <c r="V369" s="489"/>
    </row>
    <row r="370" spans="1:22">
      <c r="A370" s="489"/>
      <c r="B370" s="489"/>
      <c r="C370" s="489"/>
      <c r="D370" s="489"/>
      <c r="E370" s="489"/>
      <c r="F370" s="489"/>
      <c r="G370" s="489"/>
      <c r="H370" s="489"/>
      <c r="I370" s="489"/>
      <c r="J370" s="489"/>
      <c r="K370" s="489"/>
      <c r="L370" s="489"/>
      <c r="M370" s="489"/>
      <c r="N370" s="489"/>
      <c r="O370" s="489"/>
      <c r="P370" s="489"/>
      <c r="Q370" s="489"/>
      <c r="R370" s="489"/>
      <c r="S370" s="489"/>
      <c r="T370" s="489"/>
      <c r="U370" s="489"/>
      <c r="V370" s="489"/>
    </row>
    <row r="371" spans="1:22">
      <c r="A371" s="489"/>
      <c r="B371" s="489"/>
      <c r="C371" s="489"/>
      <c r="D371" s="489"/>
      <c r="E371" s="489"/>
      <c r="F371" s="489"/>
      <c r="G371" s="489"/>
      <c r="H371" s="489"/>
      <c r="I371" s="489"/>
      <c r="J371" s="489"/>
      <c r="K371" s="489"/>
      <c r="L371" s="489"/>
      <c r="M371" s="489"/>
      <c r="N371" s="489"/>
      <c r="O371" s="489"/>
      <c r="P371" s="489"/>
      <c r="Q371" s="489"/>
      <c r="R371" s="489"/>
      <c r="S371" s="489"/>
      <c r="T371" s="489"/>
      <c r="U371" s="489"/>
      <c r="V371" s="489"/>
    </row>
    <row r="372" spans="1:22">
      <c r="A372" s="489"/>
      <c r="B372" s="489"/>
      <c r="C372" s="489"/>
      <c r="D372" s="489"/>
      <c r="E372" s="489"/>
      <c r="F372" s="489"/>
      <c r="G372" s="489"/>
      <c r="H372" s="489"/>
      <c r="I372" s="489"/>
      <c r="J372" s="489"/>
      <c r="K372" s="489"/>
      <c r="L372" s="489"/>
      <c r="M372" s="489"/>
      <c r="N372" s="489"/>
      <c r="O372" s="489"/>
      <c r="P372" s="489"/>
      <c r="Q372" s="489"/>
      <c r="R372" s="489"/>
      <c r="S372" s="489"/>
      <c r="T372" s="489"/>
      <c r="U372" s="489"/>
      <c r="V372" s="489"/>
    </row>
    <row r="373" spans="1:22">
      <c r="A373" s="489"/>
      <c r="B373" s="489"/>
      <c r="C373" s="489"/>
      <c r="D373" s="489"/>
      <c r="E373" s="489"/>
      <c r="F373" s="489"/>
      <c r="G373" s="489"/>
      <c r="H373" s="489"/>
      <c r="I373" s="489"/>
      <c r="J373" s="489"/>
      <c r="K373" s="489"/>
      <c r="L373" s="489"/>
      <c r="M373" s="489"/>
      <c r="N373" s="489"/>
      <c r="O373" s="489"/>
      <c r="P373" s="489"/>
      <c r="Q373" s="489"/>
      <c r="R373" s="489"/>
      <c r="S373" s="489"/>
      <c r="T373" s="489"/>
      <c r="U373" s="489"/>
      <c r="V373" s="489"/>
    </row>
    <row r="374" spans="1:22">
      <c r="A374" s="489"/>
      <c r="B374" s="489"/>
      <c r="C374" s="489"/>
      <c r="D374" s="489"/>
      <c r="E374" s="489"/>
      <c r="F374" s="489"/>
      <c r="G374" s="489"/>
      <c r="H374" s="489"/>
      <c r="I374" s="489"/>
      <c r="J374" s="489"/>
      <c r="K374" s="489"/>
      <c r="L374" s="489"/>
      <c r="M374" s="489"/>
      <c r="N374" s="489"/>
      <c r="O374" s="489"/>
      <c r="P374" s="489"/>
      <c r="Q374" s="489"/>
      <c r="R374" s="489"/>
      <c r="S374" s="489"/>
      <c r="T374" s="489"/>
      <c r="U374" s="489"/>
      <c r="V374" s="489"/>
    </row>
    <row r="375" spans="1:22">
      <c r="A375" s="489"/>
      <c r="B375" s="489"/>
      <c r="C375" s="489"/>
      <c r="D375" s="489"/>
      <c r="E375" s="489"/>
      <c r="F375" s="489"/>
      <c r="G375" s="489"/>
      <c r="H375" s="489"/>
      <c r="I375" s="489"/>
      <c r="J375" s="489"/>
      <c r="K375" s="489"/>
      <c r="L375" s="489"/>
      <c r="M375" s="489"/>
      <c r="N375" s="489"/>
      <c r="O375" s="489"/>
      <c r="P375" s="489"/>
      <c r="Q375" s="489"/>
      <c r="R375" s="489"/>
      <c r="S375" s="489"/>
      <c r="T375" s="489"/>
      <c r="U375" s="489"/>
      <c r="V375" s="489"/>
    </row>
    <row r="376" spans="1:22">
      <c r="A376" s="489"/>
      <c r="B376" s="489"/>
      <c r="C376" s="489"/>
      <c r="D376" s="489"/>
      <c r="E376" s="489"/>
      <c r="F376" s="489"/>
      <c r="G376" s="489"/>
      <c r="H376" s="489"/>
      <c r="I376" s="489"/>
      <c r="J376" s="489"/>
      <c r="K376" s="489"/>
      <c r="L376" s="489"/>
      <c r="M376" s="489"/>
      <c r="N376" s="489"/>
      <c r="O376" s="489"/>
      <c r="P376" s="489"/>
      <c r="Q376" s="489"/>
      <c r="R376" s="489"/>
      <c r="S376" s="489"/>
      <c r="T376" s="489"/>
      <c r="U376" s="489"/>
      <c r="V376" s="489"/>
    </row>
    <row r="377" spans="1:22">
      <c r="A377" s="489"/>
      <c r="B377" s="489"/>
      <c r="C377" s="489"/>
      <c r="D377" s="489"/>
      <c r="E377" s="489"/>
      <c r="F377" s="489"/>
      <c r="G377" s="489"/>
      <c r="H377" s="489"/>
      <c r="I377" s="489"/>
      <c r="J377" s="489"/>
      <c r="K377" s="489"/>
      <c r="L377" s="489"/>
      <c r="M377" s="489"/>
      <c r="N377" s="489"/>
      <c r="O377" s="489"/>
      <c r="P377" s="489"/>
      <c r="Q377" s="489"/>
      <c r="R377" s="489"/>
      <c r="S377" s="489"/>
      <c r="T377" s="489"/>
      <c r="U377" s="489"/>
      <c r="V377" s="489"/>
    </row>
    <row r="378" spans="1:22">
      <c r="A378" s="489"/>
      <c r="B378" s="489"/>
      <c r="C378" s="489"/>
      <c r="D378" s="489"/>
      <c r="E378" s="489"/>
      <c r="F378" s="489"/>
      <c r="G378" s="489"/>
      <c r="H378" s="489"/>
      <c r="I378" s="489"/>
      <c r="J378" s="489"/>
      <c r="K378" s="489"/>
      <c r="L378" s="489"/>
      <c r="M378" s="489"/>
      <c r="N378" s="489"/>
      <c r="O378" s="489"/>
      <c r="P378" s="489"/>
      <c r="Q378" s="489"/>
      <c r="R378" s="489"/>
      <c r="S378" s="489"/>
      <c r="T378" s="489"/>
      <c r="U378" s="489"/>
      <c r="V378" s="489"/>
    </row>
    <row r="379" spans="1:22">
      <c r="A379" s="489"/>
      <c r="B379" s="489"/>
      <c r="C379" s="489"/>
      <c r="D379" s="489"/>
      <c r="E379" s="489"/>
      <c r="F379" s="489"/>
      <c r="G379" s="489"/>
      <c r="H379" s="489"/>
      <c r="I379" s="489"/>
      <c r="J379" s="489"/>
      <c r="K379" s="489"/>
      <c r="L379" s="489"/>
      <c r="M379" s="489"/>
      <c r="N379" s="489"/>
      <c r="O379" s="489"/>
      <c r="P379" s="489"/>
      <c r="Q379" s="489"/>
      <c r="R379" s="489"/>
      <c r="S379" s="489"/>
      <c r="T379" s="489"/>
      <c r="U379" s="489"/>
      <c r="V379" s="489"/>
    </row>
    <row r="380" spans="1:22">
      <c r="A380" s="489"/>
      <c r="B380" s="489"/>
      <c r="C380" s="489"/>
      <c r="D380" s="489"/>
      <c r="E380" s="489"/>
      <c r="F380" s="489"/>
      <c r="G380" s="489"/>
      <c r="H380" s="489"/>
      <c r="I380" s="489"/>
      <c r="J380" s="489"/>
      <c r="K380" s="489"/>
      <c r="L380" s="489"/>
      <c r="M380" s="489"/>
      <c r="N380" s="489"/>
      <c r="O380" s="489"/>
      <c r="P380" s="489"/>
      <c r="Q380" s="489"/>
      <c r="R380" s="489"/>
      <c r="S380" s="489"/>
      <c r="T380" s="489"/>
      <c r="U380" s="489"/>
      <c r="V380" s="489"/>
    </row>
    <row r="381" spans="1:22">
      <c r="A381" s="489"/>
      <c r="B381" s="489"/>
      <c r="C381" s="489"/>
      <c r="D381" s="489"/>
      <c r="E381" s="489"/>
      <c r="F381" s="489"/>
      <c r="G381" s="489"/>
      <c r="H381" s="489"/>
      <c r="I381" s="489"/>
      <c r="J381" s="489"/>
      <c r="K381" s="489"/>
      <c r="L381" s="489"/>
      <c r="M381" s="489"/>
      <c r="N381" s="489"/>
      <c r="O381" s="489"/>
      <c r="P381" s="489"/>
      <c r="Q381" s="489"/>
      <c r="R381" s="489"/>
      <c r="S381" s="489"/>
      <c r="T381" s="489"/>
      <c r="U381" s="489"/>
      <c r="V381" s="489"/>
    </row>
    <row r="382" spans="1:22">
      <c r="A382" s="489"/>
      <c r="B382" s="489"/>
      <c r="C382" s="489"/>
      <c r="D382" s="489"/>
      <c r="E382" s="489"/>
      <c r="F382" s="489"/>
      <c r="G382" s="489"/>
      <c r="H382" s="489"/>
      <c r="I382" s="489"/>
      <c r="J382" s="489"/>
      <c r="K382" s="489"/>
      <c r="L382" s="489"/>
      <c r="M382" s="489"/>
      <c r="N382" s="489"/>
      <c r="O382" s="489"/>
      <c r="P382" s="489"/>
      <c r="Q382" s="489"/>
      <c r="R382" s="489"/>
      <c r="S382" s="489"/>
      <c r="T382" s="489"/>
      <c r="U382" s="489"/>
      <c r="V382" s="489"/>
    </row>
    <row r="383" spans="1:22">
      <c r="A383" s="489"/>
      <c r="B383" s="489"/>
      <c r="C383" s="489"/>
      <c r="D383" s="489"/>
      <c r="E383" s="489"/>
      <c r="F383" s="489"/>
      <c r="G383" s="489"/>
      <c r="H383" s="489"/>
      <c r="I383" s="489"/>
      <c r="J383" s="489"/>
      <c r="K383" s="489"/>
      <c r="L383" s="489"/>
      <c r="M383" s="489"/>
      <c r="N383" s="489"/>
      <c r="O383" s="489"/>
      <c r="P383" s="489"/>
      <c r="Q383" s="489"/>
      <c r="R383" s="489"/>
      <c r="S383" s="489"/>
      <c r="T383" s="489"/>
      <c r="U383" s="489"/>
      <c r="V383" s="489"/>
    </row>
    <row r="384" spans="1:22">
      <c r="A384" s="489"/>
      <c r="B384" s="489"/>
      <c r="C384" s="489"/>
      <c r="D384" s="489"/>
      <c r="E384" s="489"/>
      <c r="F384" s="489"/>
      <c r="G384" s="489"/>
      <c r="H384" s="489"/>
      <c r="I384" s="489"/>
      <c r="J384" s="489"/>
      <c r="K384" s="489"/>
      <c r="L384" s="489"/>
      <c r="M384" s="489"/>
      <c r="N384" s="489"/>
      <c r="O384" s="489"/>
      <c r="P384" s="489"/>
      <c r="Q384" s="489"/>
      <c r="R384" s="489"/>
      <c r="S384" s="489"/>
      <c r="T384" s="489"/>
      <c r="U384" s="489"/>
      <c r="V384" s="489"/>
    </row>
    <row r="385" spans="1:22">
      <c r="A385" s="489"/>
      <c r="B385" s="489"/>
      <c r="C385" s="489"/>
      <c r="D385" s="489"/>
      <c r="E385" s="489"/>
      <c r="F385" s="489"/>
      <c r="G385" s="489"/>
      <c r="H385" s="489"/>
      <c r="I385" s="489"/>
      <c r="J385" s="489"/>
      <c r="K385" s="489"/>
      <c r="L385" s="489"/>
      <c r="M385" s="489"/>
      <c r="N385" s="489"/>
      <c r="O385" s="489"/>
      <c r="P385" s="489"/>
      <c r="Q385" s="489"/>
      <c r="R385" s="489"/>
      <c r="S385" s="489"/>
      <c r="T385" s="489"/>
      <c r="U385" s="489"/>
      <c r="V385" s="489"/>
    </row>
    <row r="386" spans="1:22">
      <c r="A386" s="489"/>
      <c r="B386" s="489"/>
      <c r="C386" s="489"/>
      <c r="D386" s="489"/>
      <c r="E386" s="489"/>
      <c r="F386" s="489"/>
      <c r="G386" s="489"/>
      <c r="H386" s="489"/>
      <c r="I386" s="489"/>
      <c r="J386" s="489"/>
      <c r="K386" s="489"/>
      <c r="L386" s="489"/>
      <c r="M386" s="489"/>
      <c r="N386" s="489"/>
      <c r="O386" s="489"/>
      <c r="P386" s="489"/>
      <c r="Q386" s="489"/>
      <c r="R386" s="489"/>
      <c r="S386" s="489"/>
      <c r="T386" s="489"/>
      <c r="U386" s="489"/>
      <c r="V386" s="489"/>
    </row>
    <row r="387" spans="1:22">
      <c r="A387" s="489"/>
      <c r="B387" s="489"/>
      <c r="C387" s="489"/>
      <c r="D387" s="489"/>
      <c r="E387" s="489"/>
      <c r="F387" s="489"/>
      <c r="G387" s="489"/>
      <c r="H387" s="489"/>
      <c r="I387" s="489"/>
      <c r="J387" s="489"/>
      <c r="K387" s="489"/>
      <c r="L387" s="489"/>
      <c r="M387" s="489"/>
      <c r="N387" s="489"/>
      <c r="O387" s="489"/>
      <c r="P387" s="489"/>
      <c r="Q387" s="489"/>
      <c r="R387" s="489"/>
      <c r="S387" s="489"/>
      <c r="T387" s="489"/>
      <c r="U387" s="489"/>
      <c r="V387" s="489"/>
    </row>
    <row r="388" spans="1:22">
      <c r="A388" s="489"/>
      <c r="B388" s="489"/>
      <c r="C388" s="489"/>
      <c r="D388" s="489"/>
      <c r="E388" s="489"/>
      <c r="F388" s="489"/>
      <c r="G388" s="489"/>
      <c r="H388" s="489"/>
      <c r="I388" s="489"/>
      <c r="J388" s="489"/>
      <c r="K388" s="489"/>
      <c r="L388" s="489"/>
      <c r="M388" s="489"/>
      <c r="N388" s="489"/>
      <c r="O388" s="489"/>
      <c r="P388" s="489"/>
      <c r="Q388" s="489"/>
      <c r="R388" s="489"/>
      <c r="S388" s="489"/>
      <c r="T388" s="489"/>
      <c r="U388" s="489"/>
      <c r="V388" s="489"/>
    </row>
    <row r="389" spans="1:22">
      <c r="A389" s="489"/>
      <c r="B389" s="489"/>
      <c r="C389" s="489"/>
      <c r="D389" s="489"/>
      <c r="E389" s="489"/>
      <c r="F389" s="489"/>
      <c r="G389" s="489"/>
      <c r="H389" s="489"/>
      <c r="I389" s="489"/>
      <c r="J389" s="489"/>
      <c r="K389" s="489"/>
      <c r="L389" s="489"/>
      <c r="M389" s="489"/>
      <c r="N389" s="489"/>
      <c r="O389" s="489"/>
      <c r="P389" s="489"/>
      <c r="Q389" s="489"/>
      <c r="R389" s="489"/>
      <c r="S389" s="489"/>
      <c r="T389" s="489"/>
      <c r="U389" s="489"/>
      <c r="V389" s="489"/>
    </row>
    <row r="390" spans="1:22">
      <c r="A390" s="489"/>
      <c r="B390" s="489"/>
      <c r="C390" s="489"/>
      <c r="D390" s="489"/>
      <c r="E390" s="489"/>
      <c r="F390" s="489"/>
      <c r="G390" s="489"/>
      <c r="H390" s="489"/>
      <c r="I390" s="489"/>
      <c r="J390" s="489"/>
      <c r="K390" s="489"/>
      <c r="L390" s="489"/>
      <c r="M390" s="489"/>
      <c r="N390" s="489"/>
      <c r="O390" s="489"/>
      <c r="P390" s="489"/>
      <c r="Q390" s="489"/>
      <c r="R390" s="489"/>
      <c r="S390" s="489"/>
      <c r="T390" s="489"/>
      <c r="U390" s="489"/>
      <c r="V390" s="489"/>
    </row>
    <row r="391" spans="1:22">
      <c r="A391" s="489"/>
      <c r="B391" s="489"/>
      <c r="C391" s="489"/>
      <c r="D391" s="489"/>
      <c r="E391" s="489"/>
      <c r="F391" s="489"/>
      <c r="G391" s="489"/>
      <c r="H391" s="489"/>
      <c r="I391" s="489"/>
      <c r="J391" s="489"/>
      <c r="K391" s="489"/>
      <c r="L391" s="489"/>
      <c r="M391" s="489"/>
      <c r="N391" s="489"/>
      <c r="O391" s="489"/>
      <c r="P391" s="489"/>
      <c r="Q391" s="489"/>
      <c r="R391" s="489"/>
      <c r="S391" s="489"/>
      <c r="T391" s="489"/>
      <c r="U391" s="489"/>
      <c r="V391" s="489"/>
    </row>
    <row r="392" spans="1:22">
      <c r="A392" s="489"/>
      <c r="B392" s="489"/>
      <c r="C392" s="489"/>
      <c r="D392" s="489"/>
      <c r="E392" s="489"/>
      <c r="F392" s="489"/>
      <c r="G392" s="489"/>
      <c r="H392" s="489"/>
      <c r="I392" s="489"/>
      <c r="J392" s="489"/>
      <c r="K392" s="489"/>
      <c r="L392" s="489"/>
      <c r="M392" s="489"/>
      <c r="N392" s="489"/>
      <c r="O392" s="489"/>
      <c r="P392" s="489"/>
      <c r="Q392" s="489"/>
      <c r="R392" s="489"/>
      <c r="S392" s="489"/>
      <c r="T392" s="489"/>
      <c r="U392" s="489"/>
      <c r="V392" s="489"/>
    </row>
    <row r="393" spans="1:22">
      <c r="A393" s="489"/>
      <c r="B393" s="489"/>
      <c r="C393" s="489"/>
      <c r="D393" s="489"/>
      <c r="E393" s="489"/>
      <c r="F393" s="489"/>
      <c r="G393" s="489"/>
      <c r="H393" s="489"/>
      <c r="I393" s="489"/>
      <c r="J393" s="489"/>
      <c r="K393" s="489"/>
      <c r="L393" s="489"/>
      <c r="M393" s="489"/>
      <c r="N393" s="489"/>
      <c r="O393" s="489"/>
      <c r="P393" s="489"/>
      <c r="Q393" s="489"/>
      <c r="R393" s="489"/>
      <c r="S393" s="489"/>
      <c r="T393" s="489"/>
      <c r="U393" s="489"/>
      <c r="V393" s="489"/>
    </row>
    <row r="394" spans="1:22">
      <c r="A394" s="489"/>
      <c r="B394" s="489"/>
      <c r="C394" s="489"/>
      <c r="D394" s="489"/>
      <c r="E394" s="489"/>
      <c r="F394" s="489"/>
      <c r="G394" s="489"/>
      <c r="H394" s="489"/>
      <c r="I394" s="489"/>
      <c r="J394" s="489"/>
      <c r="K394" s="489"/>
      <c r="L394" s="489"/>
      <c r="M394" s="489"/>
      <c r="N394" s="489"/>
      <c r="O394" s="489"/>
      <c r="P394" s="489"/>
      <c r="Q394" s="489"/>
      <c r="R394" s="489"/>
      <c r="S394" s="489"/>
      <c r="T394" s="489"/>
      <c r="U394" s="489"/>
      <c r="V394" s="489"/>
    </row>
    <row r="395" spans="1:22">
      <c r="A395" s="489"/>
      <c r="B395" s="489"/>
      <c r="C395" s="489"/>
      <c r="D395" s="489"/>
      <c r="E395" s="489"/>
      <c r="F395" s="489"/>
      <c r="G395" s="489"/>
      <c r="H395" s="489"/>
      <c r="I395" s="489"/>
      <c r="J395" s="489"/>
      <c r="K395" s="489"/>
      <c r="L395" s="489"/>
      <c r="M395" s="489"/>
      <c r="N395" s="489"/>
      <c r="O395" s="489"/>
      <c r="P395" s="489"/>
      <c r="Q395" s="489"/>
      <c r="R395" s="489"/>
      <c r="S395" s="489"/>
      <c r="T395" s="489"/>
      <c r="U395" s="489"/>
      <c r="V395" s="489"/>
    </row>
    <row r="396" spans="1:22">
      <c r="A396" s="489"/>
      <c r="B396" s="489"/>
      <c r="C396" s="489"/>
      <c r="D396" s="489"/>
      <c r="E396" s="489"/>
      <c r="F396" s="489"/>
      <c r="G396" s="489"/>
      <c r="H396" s="489"/>
      <c r="I396" s="489"/>
      <c r="J396" s="489"/>
      <c r="K396" s="489"/>
      <c r="L396" s="489"/>
      <c r="M396" s="489"/>
      <c r="N396" s="489"/>
      <c r="O396" s="489"/>
      <c r="P396" s="489"/>
      <c r="Q396" s="489"/>
      <c r="R396" s="489"/>
      <c r="S396" s="489"/>
      <c r="T396" s="489"/>
      <c r="U396" s="489"/>
      <c r="V396" s="489"/>
    </row>
    <row r="397" spans="1:22">
      <c r="A397" s="489"/>
      <c r="B397" s="489"/>
      <c r="C397" s="489"/>
      <c r="D397" s="489"/>
      <c r="E397" s="489"/>
      <c r="F397" s="489"/>
      <c r="G397" s="489"/>
      <c r="H397" s="489"/>
      <c r="I397" s="489"/>
      <c r="J397" s="489"/>
      <c r="K397" s="489"/>
      <c r="L397" s="489"/>
      <c r="M397" s="489"/>
      <c r="N397" s="489"/>
      <c r="O397" s="489"/>
      <c r="P397" s="489"/>
      <c r="Q397" s="489"/>
      <c r="R397" s="489"/>
      <c r="S397" s="489"/>
      <c r="T397" s="489"/>
      <c r="U397" s="489"/>
      <c r="V397" s="489"/>
    </row>
    <row r="398" spans="1:22">
      <c r="A398" s="489"/>
      <c r="B398" s="489"/>
      <c r="C398" s="489"/>
      <c r="D398" s="489"/>
      <c r="E398" s="489"/>
      <c r="F398" s="489"/>
      <c r="G398" s="489"/>
      <c r="H398" s="489"/>
      <c r="I398" s="489"/>
      <c r="J398" s="489"/>
      <c r="K398" s="489"/>
      <c r="L398" s="489"/>
      <c r="M398" s="489"/>
      <c r="N398" s="489"/>
      <c r="O398" s="489"/>
      <c r="P398" s="489"/>
      <c r="Q398" s="489"/>
      <c r="R398" s="489"/>
      <c r="S398" s="489"/>
      <c r="T398" s="489"/>
      <c r="U398" s="489"/>
      <c r="V398" s="489"/>
    </row>
    <row r="399" spans="1:22">
      <c r="A399" s="489"/>
      <c r="B399" s="489"/>
      <c r="C399" s="489"/>
      <c r="D399" s="489"/>
      <c r="E399" s="489"/>
      <c r="F399" s="489"/>
      <c r="G399" s="489"/>
      <c r="H399" s="489"/>
      <c r="I399" s="489"/>
      <c r="J399" s="489"/>
      <c r="K399" s="489"/>
      <c r="L399" s="489"/>
      <c r="M399" s="489"/>
      <c r="N399" s="489"/>
      <c r="O399" s="489"/>
      <c r="P399" s="489"/>
      <c r="Q399" s="489"/>
      <c r="R399" s="489"/>
      <c r="S399" s="489"/>
      <c r="T399" s="489"/>
      <c r="U399" s="489"/>
      <c r="V399" s="489"/>
    </row>
    <row r="400" spans="1:22">
      <c r="A400" s="489"/>
      <c r="B400" s="489"/>
      <c r="C400" s="489"/>
      <c r="D400" s="489"/>
      <c r="E400" s="489"/>
      <c r="F400" s="489"/>
      <c r="G400" s="489"/>
      <c r="H400" s="489"/>
      <c r="I400" s="489"/>
      <c r="J400" s="489"/>
      <c r="K400" s="489"/>
      <c r="L400" s="489"/>
      <c r="M400" s="489"/>
      <c r="N400" s="489"/>
      <c r="O400" s="489"/>
      <c r="P400" s="489"/>
      <c r="Q400" s="489"/>
      <c r="R400" s="489"/>
      <c r="S400" s="489"/>
      <c r="T400" s="489"/>
      <c r="U400" s="489"/>
      <c r="V400" s="489"/>
    </row>
    <row r="401" spans="1:22">
      <c r="A401" s="489"/>
      <c r="B401" s="489"/>
      <c r="C401" s="489"/>
      <c r="D401" s="489"/>
      <c r="E401" s="489"/>
      <c r="F401" s="489"/>
      <c r="G401" s="489"/>
      <c r="H401" s="489"/>
      <c r="I401" s="489"/>
      <c r="J401" s="489"/>
      <c r="K401" s="489"/>
      <c r="L401" s="489"/>
      <c r="M401" s="489"/>
      <c r="N401" s="489"/>
      <c r="O401" s="489"/>
      <c r="P401" s="489"/>
      <c r="Q401" s="489"/>
      <c r="R401" s="489"/>
      <c r="S401" s="489"/>
      <c r="T401" s="489"/>
      <c r="U401" s="489"/>
      <c r="V401" s="489"/>
    </row>
    <row r="402" spans="1:22">
      <c r="A402" s="489"/>
      <c r="B402" s="489"/>
      <c r="C402" s="489"/>
      <c r="D402" s="489"/>
      <c r="E402" s="489"/>
      <c r="F402" s="489"/>
      <c r="G402" s="489"/>
      <c r="H402" s="489"/>
      <c r="I402" s="489"/>
      <c r="J402" s="489"/>
      <c r="K402" s="489"/>
      <c r="L402" s="489"/>
      <c r="M402" s="489"/>
      <c r="N402" s="489"/>
      <c r="O402" s="489"/>
      <c r="P402" s="489"/>
      <c r="Q402" s="489"/>
      <c r="R402" s="489"/>
      <c r="S402" s="489"/>
      <c r="T402" s="489"/>
      <c r="U402" s="489"/>
      <c r="V402" s="489"/>
    </row>
    <row r="403" spans="1:22">
      <c r="A403" s="489"/>
      <c r="B403" s="489"/>
      <c r="C403" s="489"/>
      <c r="D403" s="489"/>
      <c r="E403" s="489"/>
      <c r="F403" s="489"/>
      <c r="G403" s="489"/>
      <c r="H403" s="489"/>
      <c r="I403" s="489"/>
      <c r="J403" s="489"/>
      <c r="K403" s="489"/>
      <c r="L403" s="489"/>
      <c r="M403" s="489"/>
      <c r="N403" s="489"/>
      <c r="O403" s="489"/>
      <c r="P403" s="489"/>
      <c r="Q403" s="489"/>
      <c r="R403" s="489"/>
      <c r="S403" s="489"/>
      <c r="T403" s="489"/>
      <c r="U403" s="489"/>
      <c r="V403" s="489"/>
    </row>
    <row r="404" spans="1:22">
      <c r="A404" s="489"/>
      <c r="B404" s="489"/>
      <c r="C404" s="489"/>
      <c r="D404" s="489"/>
      <c r="E404" s="489"/>
      <c r="F404" s="489"/>
      <c r="G404" s="489"/>
      <c r="H404" s="489"/>
      <c r="I404" s="489"/>
      <c r="J404" s="489"/>
      <c r="K404" s="489"/>
      <c r="L404" s="489"/>
      <c r="M404" s="489"/>
      <c r="N404" s="489"/>
      <c r="O404" s="489"/>
      <c r="P404" s="489"/>
      <c r="Q404" s="489"/>
      <c r="R404" s="489"/>
      <c r="S404" s="489"/>
      <c r="T404" s="489"/>
      <c r="U404" s="489"/>
      <c r="V404" s="489"/>
    </row>
    <row r="405" spans="1:22">
      <c r="A405" s="489"/>
      <c r="B405" s="489"/>
      <c r="C405" s="489"/>
      <c r="D405" s="489"/>
      <c r="E405" s="489"/>
      <c r="F405" s="489"/>
      <c r="G405" s="489"/>
      <c r="H405" s="489"/>
      <c r="I405" s="489"/>
      <c r="J405" s="489"/>
      <c r="K405" s="489"/>
      <c r="L405" s="489"/>
      <c r="M405" s="489"/>
      <c r="N405" s="489"/>
      <c r="O405" s="489"/>
      <c r="P405" s="489"/>
      <c r="Q405" s="489"/>
      <c r="R405" s="489"/>
      <c r="S405" s="489"/>
      <c r="T405" s="489"/>
      <c r="U405" s="489"/>
      <c r="V405" s="489"/>
    </row>
    <row r="406" spans="1:22">
      <c r="A406" s="489"/>
      <c r="B406" s="489"/>
      <c r="C406" s="489"/>
      <c r="D406" s="489"/>
      <c r="E406" s="489"/>
      <c r="F406" s="489"/>
      <c r="G406" s="489"/>
      <c r="H406" s="489"/>
      <c r="I406" s="489"/>
      <c r="J406" s="489"/>
      <c r="K406" s="489"/>
      <c r="L406" s="489"/>
      <c r="M406" s="489"/>
      <c r="N406" s="489"/>
      <c r="O406" s="489"/>
      <c r="P406" s="489"/>
      <c r="Q406" s="489"/>
      <c r="R406" s="489"/>
      <c r="S406" s="489"/>
      <c r="T406" s="489"/>
      <c r="U406" s="489"/>
      <c r="V406" s="489"/>
    </row>
    <row r="407" spans="1:22">
      <c r="A407" s="489"/>
      <c r="B407" s="489"/>
      <c r="C407" s="489"/>
      <c r="D407" s="489"/>
      <c r="E407" s="489"/>
      <c r="F407" s="489"/>
      <c r="G407" s="489"/>
      <c r="H407" s="489"/>
      <c r="I407" s="489"/>
      <c r="J407" s="489"/>
      <c r="K407" s="489"/>
      <c r="L407" s="489"/>
      <c r="M407" s="489"/>
      <c r="N407" s="489"/>
      <c r="O407" s="489"/>
      <c r="P407" s="489"/>
      <c r="Q407" s="489"/>
      <c r="R407" s="489"/>
      <c r="S407" s="489"/>
      <c r="T407" s="489"/>
      <c r="U407" s="489"/>
      <c r="V407" s="489"/>
    </row>
    <row r="408" spans="1:22">
      <c r="A408" s="489"/>
      <c r="B408" s="489"/>
      <c r="C408" s="489"/>
      <c r="D408" s="489"/>
      <c r="E408" s="489"/>
      <c r="F408" s="489"/>
      <c r="G408" s="489"/>
      <c r="H408" s="489"/>
      <c r="I408" s="489"/>
      <c r="J408" s="489"/>
      <c r="K408" s="489"/>
      <c r="L408" s="489"/>
      <c r="M408" s="489"/>
      <c r="N408" s="489"/>
      <c r="O408" s="489"/>
      <c r="P408" s="489"/>
      <c r="Q408" s="489"/>
      <c r="R408" s="489"/>
      <c r="S408" s="489"/>
      <c r="T408" s="489"/>
      <c r="U408" s="489"/>
      <c r="V408" s="489"/>
    </row>
    <row r="409" spans="1:22">
      <c r="A409" s="489"/>
      <c r="B409" s="489"/>
      <c r="C409" s="489"/>
      <c r="D409" s="489"/>
      <c r="E409" s="489"/>
      <c r="F409" s="489"/>
      <c r="G409" s="489"/>
      <c r="H409" s="489"/>
      <c r="I409" s="489"/>
      <c r="J409" s="489"/>
      <c r="K409" s="489"/>
      <c r="L409" s="489"/>
      <c r="M409" s="489"/>
      <c r="N409" s="489"/>
      <c r="O409" s="489"/>
      <c r="P409" s="489"/>
      <c r="Q409" s="489"/>
      <c r="R409" s="489"/>
      <c r="S409" s="489"/>
      <c r="T409" s="489"/>
      <c r="U409" s="489"/>
      <c r="V409" s="489"/>
    </row>
    <row r="410" spans="1:22">
      <c r="A410" s="489"/>
      <c r="B410" s="489"/>
      <c r="C410" s="489"/>
      <c r="D410" s="489"/>
      <c r="E410" s="489"/>
      <c r="F410" s="489"/>
      <c r="G410" s="489"/>
      <c r="H410" s="489"/>
      <c r="I410" s="489"/>
      <c r="J410" s="489"/>
      <c r="K410" s="489"/>
      <c r="L410" s="489"/>
      <c r="M410" s="489"/>
      <c r="N410" s="489"/>
      <c r="O410" s="489"/>
      <c r="P410" s="489"/>
      <c r="Q410" s="489"/>
      <c r="R410" s="489"/>
      <c r="S410" s="489"/>
      <c r="T410" s="489"/>
      <c r="U410" s="489"/>
      <c r="V410" s="489"/>
    </row>
    <row r="411" spans="1:22">
      <c r="A411" s="489"/>
      <c r="B411" s="489"/>
      <c r="C411" s="489"/>
      <c r="D411" s="489"/>
      <c r="E411" s="489"/>
      <c r="F411" s="489"/>
      <c r="G411" s="489"/>
      <c r="H411" s="489"/>
      <c r="I411" s="489"/>
      <c r="J411" s="489"/>
      <c r="K411" s="489"/>
      <c r="L411" s="489"/>
      <c r="M411" s="489"/>
      <c r="N411" s="489"/>
      <c r="O411" s="489"/>
      <c r="P411" s="489"/>
      <c r="Q411" s="489"/>
      <c r="R411" s="489"/>
      <c r="S411" s="489"/>
      <c r="T411" s="489"/>
      <c r="U411" s="489"/>
      <c r="V411" s="489"/>
    </row>
    <row r="412" spans="1:22">
      <c r="A412" s="489"/>
      <c r="B412" s="489"/>
      <c r="C412" s="489"/>
      <c r="D412" s="489"/>
      <c r="E412" s="489"/>
      <c r="F412" s="489"/>
      <c r="G412" s="489"/>
      <c r="H412" s="489"/>
      <c r="I412" s="489"/>
      <c r="J412" s="489"/>
      <c r="K412" s="489"/>
      <c r="L412" s="489"/>
      <c r="M412" s="489"/>
      <c r="N412" s="489"/>
      <c r="O412" s="489"/>
      <c r="P412" s="489"/>
      <c r="Q412" s="489"/>
      <c r="R412" s="489"/>
      <c r="S412" s="489"/>
      <c r="T412" s="489"/>
      <c r="U412" s="489"/>
      <c r="V412" s="489"/>
    </row>
    <row r="413" spans="1:22">
      <c r="A413" s="489"/>
      <c r="B413" s="489"/>
      <c r="C413" s="489"/>
      <c r="D413" s="489"/>
      <c r="E413" s="489"/>
      <c r="F413" s="489"/>
      <c r="G413" s="489"/>
      <c r="H413" s="489"/>
      <c r="I413" s="489"/>
      <c r="J413" s="489"/>
      <c r="K413" s="489"/>
      <c r="L413" s="489"/>
      <c r="M413" s="489"/>
      <c r="N413" s="489"/>
      <c r="O413" s="489"/>
      <c r="P413" s="489"/>
      <c r="Q413" s="489"/>
      <c r="R413" s="489"/>
      <c r="S413" s="489"/>
      <c r="T413" s="489"/>
      <c r="U413" s="489"/>
      <c r="V413" s="489"/>
    </row>
    <row r="414" spans="1:22">
      <c r="A414" s="489"/>
      <c r="B414" s="489"/>
      <c r="C414" s="489"/>
      <c r="D414" s="489"/>
      <c r="E414" s="489"/>
      <c r="F414" s="489"/>
      <c r="G414" s="489"/>
      <c r="H414" s="489"/>
      <c r="I414" s="489"/>
      <c r="J414" s="489"/>
      <c r="K414" s="489"/>
      <c r="L414" s="489"/>
      <c r="M414" s="489"/>
      <c r="N414" s="489"/>
      <c r="O414" s="489"/>
      <c r="P414" s="489"/>
      <c r="Q414" s="489"/>
      <c r="R414" s="489"/>
      <c r="S414" s="489"/>
      <c r="T414" s="489"/>
      <c r="U414" s="489"/>
      <c r="V414" s="489"/>
    </row>
    <row r="415" spans="1:22">
      <c r="A415" s="489"/>
      <c r="B415" s="489"/>
      <c r="C415" s="489"/>
      <c r="D415" s="489"/>
      <c r="E415" s="489"/>
      <c r="F415" s="489"/>
      <c r="G415" s="489"/>
      <c r="H415" s="489"/>
      <c r="I415" s="489"/>
      <c r="J415" s="489"/>
      <c r="K415" s="489"/>
      <c r="L415" s="489"/>
      <c r="M415" s="489"/>
      <c r="N415" s="489"/>
      <c r="O415" s="489"/>
      <c r="P415" s="489"/>
      <c r="Q415" s="489"/>
      <c r="R415" s="489"/>
      <c r="S415" s="489"/>
      <c r="T415" s="489"/>
      <c r="U415" s="489"/>
      <c r="V415" s="489"/>
    </row>
    <row r="416" spans="1:22">
      <c r="A416" s="489"/>
      <c r="B416" s="489"/>
      <c r="C416" s="489"/>
      <c r="D416" s="489"/>
      <c r="E416" s="489"/>
      <c r="F416" s="489"/>
      <c r="G416" s="489"/>
      <c r="H416" s="489"/>
      <c r="I416" s="489"/>
      <c r="J416" s="489"/>
      <c r="K416" s="489"/>
      <c r="L416" s="489"/>
      <c r="M416" s="489"/>
      <c r="N416" s="489"/>
      <c r="O416" s="489"/>
      <c r="P416" s="489"/>
      <c r="Q416" s="489"/>
      <c r="R416" s="489"/>
      <c r="S416" s="489"/>
      <c r="T416" s="489"/>
      <c r="U416" s="489"/>
      <c r="V416" s="489"/>
    </row>
    <row r="417" spans="1:22">
      <c r="A417" s="489"/>
      <c r="B417" s="489"/>
      <c r="C417" s="489"/>
      <c r="D417" s="489"/>
      <c r="E417" s="489"/>
      <c r="F417" s="489"/>
      <c r="G417" s="489"/>
      <c r="H417" s="489"/>
      <c r="I417" s="489"/>
      <c r="J417" s="489"/>
      <c r="K417" s="489"/>
      <c r="L417" s="489"/>
      <c r="M417" s="489"/>
      <c r="N417" s="489"/>
      <c r="O417" s="489"/>
      <c r="P417" s="489"/>
      <c r="Q417" s="489"/>
      <c r="R417" s="489"/>
      <c r="S417" s="489"/>
      <c r="T417" s="489"/>
      <c r="U417" s="489"/>
      <c r="V417" s="489"/>
    </row>
    <row r="418" spans="1:22">
      <c r="A418" s="489"/>
      <c r="B418" s="489"/>
      <c r="C418" s="489"/>
      <c r="D418" s="489"/>
      <c r="E418" s="489"/>
      <c r="F418" s="489"/>
      <c r="G418" s="489"/>
      <c r="H418" s="489"/>
      <c r="I418" s="489"/>
      <c r="J418" s="489"/>
      <c r="K418" s="489"/>
      <c r="L418" s="489"/>
      <c r="M418" s="489"/>
      <c r="N418" s="489"/>
      <c r="O418" s="489"/>
      <c r="P418" s="489"/>
      <c r="Q418" s="489"/>
      <c r="R418" s="489"/>
      <c r="S418" s="489"/>
      <c r="T418" s="489"/>
      <c r="U418" s="489"/>
      <c r="V418" s="489"/>
    </row>
    <row r="419" spans="1:22">
      <c r="A419" s="489"/>
      <c r="B419" s="489"/>
      <c r="C419" s="489"/>
      <c r="D419" s="489"/>
      <c r="E419" s="489"/>
      <c r="F419" s="489"/>
      <c r="G419" s="489"/>
      <c r="H419" s="489"/>
      <c r="I419" s="489"/>
      <c r="J419" s="489"/>
      <c r="K419" s="489"/>
      <c r="L419" s="489"/>
      <c r="M419" s="489"/>
      <c r="N419" s="489"/>
      <c r="O419" s="489"/>
      <c r="P419" s="489"/>
      <c r="Q419" s="489"/>
      <c r="R419" s="489"/>
      <c r="S419" s="489"/>
      <c r="T419" s="489"/>
      <c r="U419" s="489"/>
      <c r="V419" s="489"/>
    </row>
    <row r="420" spans="1:22">
      <c r="A420" s="489"/>
      <c r="B420" s="489"/>
      <c r="C420" s="489"/>
      <c r="D420" s="489"/>
      <c r="E420" s="489"/>
      <c r="F420" s="489"/>
      <c r="G420" s="489"/>
      <c r="H420" s="489"/>
      <c r="I420" s="489"/>
      <c r="J420" s="489"/>
      <c r="K420" s="489"/>
      <c r="L420" s="489"/>
      <c r="M420" s="489"/>
      <c r="N420" s="489"/>
      <c r="O420" s="489"/>
      <c r="P420" s="489"/>
      <c r="Q420" s="489"/>
      <c r="R420" s="489"/>
      <c r="S420" s="489"/>
      <c r="T420" s="489"/>
      <c r="U420" s="489"/>
      <c r="V420" s="489"/>
    </row>
    <row r="421" spans="1:22">
      <c r="A421" s="489"/>
      <c r="B421" s="489"/>
      <c r="C421" s="489"/>
      <c r="D421" s="489"/>
      <c r="E421" s="489"/>
      <c r="F421" s="489"/>
      <c r="G421" s="489"/>
      <c r="H421" s="489"/>
      <c r="I421" s="489"/>
      <c r="J421" s="489"/>
      <c r="K421" s="489"/>
      <c r="L421" s="489"/>
      <c r="M421" s="489"/>
      <c r="N421" s="489"/>
      <c r="O421" s="489"/>
      <c r="P421" s="489"/>
      <c r="Q421" s="489"/>
      <c r="R421" s="489"/>
      <c r="S421" s="489"/>
      <c r="T421" s="489"/>
      <c r="U421" s="489"/>
      <c r="V421" s="489"/>
    </row>
    <row r="422" spans="1:22">
      <c r="A422" s="489"/>
      <c r="B422" s="489"/>
      <c r="C422" s="489"/>
      <c r="D422" s="489"/>
      <c r="E422" s="489"/>
      <c r="F422" s="489"/>
      <c r="G422" s="489"/>
      <c r="H422" s="489"/>
      <c r="I422" s="489"/>
      <c r="J422" s="489"/>
      <c r="K422" s="489"/>
      <c r="L422" s="489"/>
      <c r="M422" s="489"/>
      <c r="N422" s="489"/>
      <c r="O422" s="489"/>
      <c r="P422" s="489"/>
      <c r="Q422" s="489"/>
      <c r="R422" s="489"/>
      <c r="S422" s="489"/>
      <c r="T422" s="489"/>
      <c r="U422" s="489"/>
      <c r="V422" s="489"/>
    </row>
    <row r="423" spans="1:22">
      <c r="A423" s="489"/>
      <c r="B423" s="489"/>
      <c r="C423" s="489"/>
      <c r="D423" s="489"/>
      <c r="E423" s="489"/>
      <c r="F423" s="489"/>
      <c r="G423" s="489"/>
      <c r="H423" s="489"/>
      <c r="I423" s="489"/>
      <c r="J423" s="489"/>
      <c r="K423" s="489"/>
      <c r="L423" s="489"/>
      <c r="M423" s="489"/>
      <c r="N423" s="489"/>
      <c r="O423" s="489"/>
      <c r="P423" s="489"/>
      <c r="Q423" s="489"/>
      <c r="R423" s="489"/>
      <c r="S423" s="489"/>
      <c r="T423" s="489"/>
      <c r="U423" s="489"/>
      <c r="V423" s="489"/>
    </row>
    <row r="424" spans="1:22">
      <c r="A424" s="489"/>
      <c r="B424" s="489"/>
      <c r="C424" s="489"/>
      <c r="D424" s="489"/>
      <c r="E424" s="489"/>
      <c r="F424" s="489"/>
      <c r="G424" s="489"/>
      <c r="H424" s="489"/>
      <c r="I424" s="489"/>
      <c r="J424" s="489"/>
      <c r="K424" s="489"/>
      <c r="L424" s="489"/>
      <c r="M424" s="489"/>
      <c r="N424" s="489"/>
      <c r="O424" s="489"/>
      <c r="P424" s="489"/>
      <c r="Q424" s="489"/>
      <c r="R424" s="489"/>
      <c r="S424" s="489"/>
      <c r="T424" s="489"/>
      <c r="U424" s="489"/>
      <c r="V424" s="489"/>
    </row>
    <row r="425" spans="1:22">
      <c r="A425" s="489"/>
      <c r="B425" s="489"/>
      <c r="C425" s="489"/>
      <c r="D425" s="489"/>
      <c r="E425" s="489"/>
      <c r="F425" s="489"/>
      <c r="G425" s="489"/>
      <c r="H425" s="489"/>
      <c r="I425" s="489"/>
      <c r="J425" s="489"/>
      <c r="K425" s="489"/>
      <c r="L425" s="489"/>
      <c r="M425" s="489"/>
      <c r="N425" s="489"/>
      <c r="O425" s="489"/>
      <c r="P425" s="489"/>
      <c r="Q425" s="489"/>
      <c r="R425" s="489"/>
      <c r="S425" s="489"/>
      <c r="T425" s="489"/>
      <c r="U425" s="489"/>
      <c r="V425" s="489"/>
    </row>
    <row r="426" spans="1:22">
      <c r="A426" s="489"/>
      <c r="B426" s="489"/>
      <c r="C426" s="489"/>
      <c r="D426" s="489"/>
      <c r="E426" s="489"/>
      <c r="F426" s="489"/>
      <c r="G426" s="489"/>
      <c r="H426" s="489"/>
      <c r="I426" s="489"/>
      <c r="J426" s="489"/>
      <c r="K426" s="489"/>
      <c r="L426" s="489"/>
      <c r="M426" s="489"/>
      <c r="N426" s="489"/>
      <c r="O426" s="489"/>
      <c r="P426" s="489"/>
      <c r="Q426" s="489"/>
      <c r="R426" s="489"/>
      <c r="S426" s="489"/>
      <c r="T426" s="489"/>
      <c r="U426" s="489"/>
      <c r="V426" s="489"/>
    </row>
    <row r="427" spans="1:22">
      <c r="A427" s="489"/>
      <c r="B427" s="489"/>
      <c r="C427" s="489"/>
      <c r="D427" s="489"/>
      <c r="E427" s="489"/>
      <c r="F427" s="489"/>
      <c r="G427" s="489"/>
      <c r="H427" s="489"/>
      <c r="I427" s="489"/>
      <c r="J427" s="489"/>
      <c r="K427" s="489"/>
      <c r="L427" s="489"/>
      <c r="M427" s="489"/>
      <c r="N427" s="489"/>
      <c r="O427" s="489"/>
      <c r="P427" s="489"/>
      <c r="Q427" s="489"/>
      <c r="R427" s="489"/>
      <c r="S427" s="489"/>
      <c r="T427" s="489"/>
      <c r="U427" s="489"/>
      <c r="V427" s="489"/>
    </row>
    <row r="428" spans="1:22">
      <c r="A428" s="489"/>
      <c r="B428" s="489"/>
      <c r="C428" s="489"/>
      <c r="D428" s="489"/>
      <c r="E428" s="489"/>
      <c r="F428" s="489"/>
      <c r="G428" s="489"/>
      <c r="H428" s="489"/>
      <c r="I428" s="489"/>
      <c r="J428" s="489"/>
      <c r="K428" s="489"/>
      <c r="L428" s="489"/>
      <c r="M428" s="489"/>
      <c r="N428" s="489"/>
      <c r="O428" s="489"/>
      <c r="P428" s="489"/>
      <c r="Q428" s="489"/>
      <c r="R428" s="489"/>
      <c r="S428" s="489"/>
      <c r="T428" s="489"/>
      <c r="U428" s="489"/>
      <c r="V428" s="489"/>
    </row>
    <row r="429" spans="1:22">
      <c r="A429" s="489"/>
      <c r="B429" s="489"/>
      <c r="C429" s="489"/>
      <c r="D429" s="489"/>
      <c r="E429" s="489"/>
      <c r="F429" s="489"/>
      <c r="G429" s="489"/>
      <c r="H429" s="489"/>
      <c r="I429" s="489"/>
      <c r="J429" s="489"/>
      <c r="K429" s="489"/>
      <c r="L429" s="489"/>
      <c r="M429" s="489"/>
      <c r="N429" s="489"/>
      <c r="O429" s="489"/>
      <c r="P429" s="489"/>
      <c r="Q429" s="489"/>
      <c r="R429" s="489"/>
      <c r="S429" s="489"/>
      <c r="T429" s="489"/>
      <c r="U429" s="489"/>
      <c r="V429" s="489"/>
    </row>
    <row r="430" spans="1:22">
      <c r="A430" s="489"/>
      <c r="B430" s="489"/>
      <c r="C430" s="489"/>
      <c r="D430" s="489"/>
      <c r="E430" s="489"/>
      <c r="F430" s="489"/>
      <c r="G430" s="489"/>
      <c r="H430" s="489"/>
      <c r="I430" s="489"/>
      <c r="J430" s="489"/>
      <c r="K430" s="489"/>
      <c r="L430" s="489"/>
      <c r="M430" s="489"/>
      <c r="N430" s="489"/>
      <c r="O430" s="489"/>
      <c r="P430" s="489"/>
      <c r="Q430" s="489"/>
      <c r="R430" s="489"/>
      <c r="S430" s="489"/>
      <c r="T430" s="489"/>
      <c r="U430" s="489"/>
      <c r="V430" s="489"/>
    </row>
    <row r="431" spans="1:22">
      <c r="A431" s="489"/>
      <c r="B431" s="489"/>
      <c r="C431" s="489"/>
      <c r="D431" s="489"/>
      <c r="E431" s="489"/>
      <c r="F431" s="489"/>
      <c r="G431" s="489"/>
      <c r="H431" s="489"/>
      <c r="I431" s="489"/>
      <c r="J431" s="489"/>
      <c r="K431" s="489"/>
      <c r="L431" s="489"/>
      <c r="M431" s="489"/>
      <c r="N431" s="489"/>
      <c r="O431" s="489"/>
      <c r="P431" s="489"/>
      <c r="Q431" s="489"/>
      <c r="R431" s="489"/>
      <c r="S431" s="489"/>
      <c r="T431" s="489"/>
      <c r="U431" s="489"/>
      <c r="V431" s="489"/>
    </row>
    <row r="432" spans="1:22">
      <c r="A432" s="489"/>
      <c r="B432" s="489"/>
      <c r="C432" s="489"/>
      <c r="D432" s="489"/>
      <c r="E432" s="489"/>
      <c r="F432" s="489"/>
      <c r="G432" s="489"/>
      <c r="H432" s="489"/>
      <c r="I432" s="489"/>
      <c r="J432" s="489"/>
      <c r="K432" s="489"/>
      <c r="L432" s="489"/>
      <c r="M432" s="489"/>
      <c r="N432" s="489"/>
      <c r="O432" s="489"/>
      <c r="P432" s="489"/>
      <c r="Q432" s="489"/>
      <c r="R432" s="489"/>
      <c r="S432" s="489"/>
      <c r="T432" s="489"/>
      <c r="U432" s="489"/>
      <c r="V432" s="489"/>
    </row>
    <row r="433" spans="1:22">
      <c r="A433" s="489"/>
      <c r="B433" s="489"/>
      <c r="C433" s="489"/>
      <c r="D433" s="489"/>
      <c r="E433" s="489"/>
      <c r="F433" s="489"/>
      <c r="G433" s="489"/>
      <c r="H433" s="489"/>
      <c r="I433" s="489"/>
      <c r="J433" s="489"/>
      <c r="K433" s="489"/>
      <c r="L433" s="489"/>
      <c r="M433" s="489"/>
      <c r="N433" s="489"/>
      <c r="O433" s="489"/>
      <c r="P433" s="489"/>
      <c r="Q433" s="489"/>
      <c r="R433" s="489"/>
      <c r="S433" s="489"/>
      <c r="T433" s="489"/>
      <c r="U433" s="489"/>
      <c r="V433" s="489"/>
    </row>
    <row r="434" spans="1:22">
      <c r="A434" s="489"/>
      <c r="B434" s="489"/>
      <c r="C434" s="489"/>
      <c r="D434" s="489"/>
      <c r="E434" s="489"/>
      <c r="F434" s="489"/>
      <c r="G434" s="489"/>
      <c r="H434" s="489"/>
      <c r="I434" s="489"/>
      <c r="J434" s="489"/>
      <c r="K434" s="489"/>
      <c r="L434" s="489"/>
      <c r="M434" s="489"/>
      <c r="N434" s="489"/>
      <c r="O434" s="489"/>
      <c r="P434" s="489"/>
      <c r="Q434" s="489"/>
      <c r="R434" s="489"/>
      <c r="S434" s="489"/>
      <c r="T434" s="489"/>
      <c r="U434" s="489"/>
      <c r="V434" s="489"/>
    </row>
    <row r="435" spans="1:22">
      <c r="A435" s="489"/>
      <c r="B435" s="489"/>
      <c r="C435" s="489"/>
      <c r="D435" s="489"/>
      <c r="E435" s="489"/>
      <c r="F435" s="489"/>
      <c r="G435" s="489"/>
      <c r="H435" s="489"/>
      <c r="I435" s="489"/>
      <c r="J435" s="489"/>
      <c r="K435" s="489"/>
      <c r="L435" s="489"/>
      <c r="M435" s="489"/>
      <c r="N435" s="489"/>
      <c r="O435" s="489"/>
      <c r="P435" s="489"/>
      <c r="Q435" s="489"/>
      <c r="R435" s="489"/>
      <c r="S435" s="489"/>
      <c r="T435" s="489"/>
      <c r="U435" s="489"/>
      <c r="V435" s="489"/>
    </row>
    <row r="436" spans="1:22">
      <c r="A436" s="489"/>
      <c r="B436" s="489"/>
      <c r="C436" s="489"/>
      <c r="D436" s="489"/>
      <c r="E436" s="489"/>
      <c r="F436" s="489"/>
      <c r="G436" s="489"/>
      <c r="H436" s="489"/>
      <c r="I436" s="489"/>
      <c r="J436" s="489"/>
      <c r="K436" s="489"/>
      <c r="L436" s="489"/>
      <c r="M436" s="489"/>
      <c r="N436" s="489"/>
      <c r="O436" s="489"/>
      <c r="P436" s="489"/>
      <c r="Q436" s="489"/>
      <c r="R436" s="489"/>
      <c r="S436" s="489"/>
      <c r="T436" s="489"/>
      <c r="U436" s="489"/>
      <c r="V436" s="489"/>
    </row>
    <row r="437" spans="1:22">
      <c r="A437" s="489"/>
      <c r="B437" s="489"/>
      <c r="C437" s="489"/>
      <c r="D437" s="489"/>
      <c r="E437" s="489"/>
      <c r="F437" s="489"/>
      <c r="G437" s="489"/>
      <c r="H437" s="489"/>
      <c r="I437" s="489"/>
      <c r="J437" s="489"/>
      <c r="K437" s="489"/>
      <c r="L437" s="489"/>
      <c r="M437" s="489"/>
      <c r="N437" s="489"/>
      <c r="O437" s="489"/>
      <c r="P437" s="489"/>
      <c r="Q437" s="489"/>
      <c r="R437" s="489"/>
      <c r="S437" s="489"/>
      <c r="T437" s="489"/>
      <c r="U437" s="489"/>
      <c r="V437" s="489"/>
    </row>
    <row r="438" spans="1:22">
      <c r="A438" s="489"/>
      <c r="B438" s="489"/>
      <c r="C438" s="489"/>
      <c r="D438" s="489"/>
      <c r="E438" s="489"/>
      <c r="F438" s="489"/>
      <c r="G438" s="489"/>
      <c r="H438" s="489"/>
      <c r="I438" s="489"/>
      <c r="J438" s="489"/>
      <c r="K438" s="489"/>
      <c r="L438" s="489"/>
      <c r="M438" s="489"/>
      <c r="N438" s="489"/>
      <c r="O438" s="489"/>
      <c r="P438" s="489"/>
      <c r="Q438" s="489"/>
      <c r="R438" s="489"/>
      <c r="S438" s="489"/>
      <c r="T438" s="489"/>
      <c r="U438" s="489"/>
      <c r="V438" s="489"/>
    </row>
    <row r="439" spans="1:22">
      <c r="A439" s="489"/>
      <c r="B439" s="489"/>
      <c r="C439" s="489"/>
      <c r="D439" s="489"/>
      <c r="E439" s="489"/>
      <c r="F439" s="489"/>
      <c r="G439" s="489"/>
      <c r="H439" s="489"/>
      <c r="I439" s="489"/>
      <c r="J439" s="489"/>
      <c r="K439" s="489"/>
      <c r="L439" s="489"/>
      <c r="M439" s="489"/>
      <c r="N439" s="489"/>
      <c r="O439" s="489"/>
      <c r="P439" s="489"/>
      <c r="Q439" s="489"/>
      <c r="R439" s="489"/>
      <c r="S439" s="489"/>
      <c r="T439" s="489"/>
      <c r="U439" s="489"/>
      <c r="V439" s="489"/>
    </row>
    <row r="440" spans="1:22">
      <c r="A440" s="489"/>
      <c r="B440" s="489"/>
      <c r="C440" s="489"/>
      <c r="D440" s="489"/>
      <c r="E440" s="489"/>
      <c r="F440" s="489"/>
      <c r="G440" s="489"/>
      <c r="H440" s="489"/>
      <c r="I440" s="489"/>
      <c r="J440" s="489"/>
      <c r="K440" s="489"/>
      <c r="L440" s="489"/>
      <c r="M440" s="489"/>
      <c r="N440" s="489"/>
      <c r="O440" s="489"/>
      <c r="P440" s="489"/>
      <c r="Q440" s="489"/>
      <c r="R440" s="489"/>
      <c r="S440" s="489"/>
      <c r="T440" s="489"/>
      <c r="U440" s="489"/>
      <c r="V440" s="489"/>
    </row>
    <row r="441" spans="1:22">
      <c r="A441" s="489"/>
      <c r="B441" s="489"/>
      <c r="C441" s="489"/>
      <c r="D441" s="489"/>
      <c r="E441" s="489"/>
      <c r="F441" s="489"/>
      <c r="G441" s="489"/>
      <c r="H441" s="489"/>
      <c r="I441" s="489"/>
      <c r="J441" s="489"/>
      <c r="K441" s="489"/>
      <c r="L441" s="489"/>
      <c r="M441" s="489"/>
      <c r="N441" s="489"/>
      <c r="O441" s="489"/>
      <c r="P441" s="489"/>
      <c r="Q441" s="489"/>
      <c r="R441" s="489"/>
      <c r="S441" s="489"/>
      <c r="T441" s="489"/>
      <c r="U441" s="489"/>
      <c r="V441" s="489"/>
    </row>
    <row r="442" spans="1:22">
      <c r="A442" s="489"/>
      <c r="B442" s="489"/>
      <c r="C442" s="489"/>
      <c r="D442" s="489"/>
      <c r="E442" s="489"/>
      <c r="F442" s="489"/>
      <c r="G442" s="489"/>
      <c r="H442" s="489"/>
      <c r="I442" s="489"/>
      <c r="J442" s="489"/>
      <c r="K442" s="489"/>
      <c r="L442" s="489"/>
      <c r="M442" s="489"/>
      <c r="N442" s="489"/>
      <c r="O442" s="489"/>
      <c r="P442" s="489"/>
      <c r="Q442" s="489"/>
      <c r="R442" s="489"/>
      <c r="S442" s="489"/>
      <c r="T442" s="489"/>
      <c r="U442" s="489"/>
      <c r="V442" s="489"/>
    </row>
    <row r="443" spans="1:22">
      <c r="A443" s="489"/>
      <c r="B443" s="489"/>
      <c r="C443" s="489"/>
      <c r="D443" s="489"/>
      <c r="E443" s="489"/>
      <c r="F443" s="489"/>
      <c r="G443" s="489"/>
      <c r="H443" s="489"/>
      <c r="I443" s="489"/>
      <c r="J443" s="489"/>
      <c r="K443" s="489"/>
      <c r="L443" s="489"/>
      <c r="M443" s="489"/>
      <c r="N443" s="489"/>
      <c r="O443" s="489"/>
      <c r="P443" s="489"/>
      <c r="Q443" s="489"/>
      <c r="R443" s="489"/>
      <c r="S443" s="489"/>
      <c r="T443" s="489"/>
      <c r="U443" s="489"/>
      <c r="V443" s="489"/>
    </row>
    <row r="444" spans="1:22">
      <c r="A444" s="489"/>
      <c r="B444" s="489"/>
      <c r="C444" s="489"/>
      <c r="D444" s="489"/>
      <c r="E444" s="489"/>
      <c r="F444" s="489"/>
      <c r="G444" s="489"/>
      <c r="H444" s="489"/>
      <c r="I444" s="489"/>
      <c r="J444" s="489"/>
      <c r="K444" s="489"/>
      <c r="L444" s="489"/>
      <c r="M444" s="489"/>
      <c r="N444" s="489"/>
      <c r="O444" s="489"/>
      <c r="P444" s="489"/>
      <c r="Q444" s="489"/>
      <c r="R444" s="489"/>
      <c r="S444" s="489"/>
      <c r="T444" s="489"/>
      <c r="U444" s="489"/>
      <c r="V444" s="489"/>
    </row>
    <row r="445" spans="1:22">
      <c r="A445" s="489"/>
      <c r="B445" s="489"/>
      <c r="C445" s="489"/>
      <c r="D445" s="489"/>
      <c r="E445" s="489"/>
      <c r="F445" s="489"/>
      <c r="G445" s="489"/>
      <c r="H445" s="489"/>
      <c r="I445" s="489"/>
      <c r="J445" s="489"/>
      <c r="K445" s="489"/>
      <c r="L445" s="489"/>
      <c r="M445" s="489"/>
      <c r="N445" s="489"/>
      <c r="O445" s="489"/>
      <c r="P445" s="489"/>
      <c r="Q445" s="489"/>
      <c r="R445" s="489"/>
      <c r="S445" s="489"/>
      <c r="T445" s="489"/>
      <c r="U445" s="489"/>
      <c r="V445" s="489"/>
    </row>
    <row r="446" spans="1:22">
      <c r="A446" s="489"/>
      <c r="B446" s="489"/>
      <c r="C446" s="489"/>
      <c r="D446" s="489"/>
      <c r="E446" s="489"/>
      <c r="F446" s="489"/>
      <c r="G446" s="489"/>
      <c r="H446" s="489"/>
      <c r="I446" s="489"/>
      <c r="J446" s="489"/>
      <c r="K446" s="489"/>
      <c r="L446" s="489"/>
      <c r="M446" s="489"/>
      <c r="N446" s="489"/>
      <c r="O446" s="489"/>
      <c r="P446" s="489"/>
      <c r="Q446" s="489"/>
      <c r="R446" s="489"/>
      <c r="S446" s="489"/>
      <c r="T446" s="489"/>
      <c r="U446" s="489"/>
      <c r="V446" s="489"/>
    </row>
    <row r="447" spans="1:22">
      <c r="A447" s="489"/>
      <c r="B447" s="489"/>
      <c r="C447" s="489"/>
      <c r="D447" s="489"/>
      <c r="E447" s="489"/>
      <c r="F447" s="489"/>
      <c r="G447" s="489"/>
      <c r="H447" s="489"/>
      <c r="I447" s="489"/>
      <c r="J447" s="489"/>
      <c r="K447" s="489"/>
      <c r="L447" s="489"/>
      <c r="M447" s="489"/>
      <c r="N447" s="489"/>
      <c r="O447" s="489"/>
      <c r="P447" s="489"/>
      <c r="Q447" s="489"/>
      <c r="R447" s="489"/>
      <c r="S447" s="489"/>
      <c r="T447" s="489"/>
      <c r="U447" s="489"/>
      <c r="V447" s="489"/>
    </row>
    <row r="448" spans="1:22">
      <c r="A448" s="489"/>
      <c r="B448" s="489"/>
      <c r="C448" s="489"/>
      <c r="D448" s="489"/>
      <c r="E448" s="489"/>
      <c r="F448" s="489"/>
      <c r="G448" s="489"/>
      <c r="H448" s="489"/>
      <c r="I448" s="489"/>
      <c r="J448" s="489"/>
      <c r="K448" s="489"/>
      <c r="L448" s="489"/>
      <c r="M448" s="489"/>
      <c r="N448" s="489"/>
      <c r="O448" s="489"/>
      <c r="P448" s="489"/>
      <c r="Q448" s="489"/>
      <c r="R448" s="489"/>
      <c r="S448" s="489"/>
      <c r="T448" s="489"/>
      <c r="U448" s="489"/>
      <c r="V448" s="489"/>
    </row>
    <row r="449" spans="1:22">
      <c r="A449" s="489"/>
      <c r="B449" s="489"/>
      <c r="C449" s="489"/>
      <c r="D449" s="489"/>
      <c r="E449" s="489"/>
      <c r="F449" s="489"/>
      <c r="G449" s="489"/>
      <c r="H449" s="489"/>
      <c r="I449" s="489"/>
      <c r="J449" s="489"/>
      <c r="K449" s="489"/>
      <c r="L449" s="489"/>
      <c r="M449" s="489"/>
      <c r="N449" s="489"/>
      <c r="O449" s="489"/>
      <c r="P449" s="489"/>
      <c r="Q449" s="489"/>
      <c r="R449" s="489"/>
      <c r="S449" s="489"/>
      <c r="T449" s="489"/>
      <c r="U449" s="489"/>
      <c r="V449" s="489"/>
    </row>
    <row r="450" spans="1:22">
      <c r="A450" s="489"/>
      <c r="B450" s="489"/>
      <c r="C450" s="489"/>
      <c r="D450" s="489"/>
      <c r="E450" s="489"/>
      <c r="F450" s="489"/>
      <c r="G450" s="489"/>
      <c r="H450" s="489"/>
      <c r="I450" s="489"/>
      <c r="J450" s="489"/>
      <c r="K450" s="489"/>
      <c r="L450" s="489"/>
      <c r="M450" s="489"/>
      <c r="N450" s="489"/>
      <c r="O450" s="489"/>
      <c r="P450" s="489"/>
      <c r="Q450" s="489"/>
      <c r="R450" s="489"/>
      <c r="S450" s="489"/>
      <c r="T450" s="489"/>
      <c r="U450" s="489"/>
      <c r="V450" s="489"/>
    </row>
    <row r="451" spans="1:22">
      <c r="A451" s="489"/>
      <c r="B451" s="489"/>
      <c r="C451" s="489"/>
      <c r="D451" s="489"/>
      <c r="E451" s="489"/>
      <c r="F451" s="489"/>
      <c r="G451" s="489"/>
      <c r="H451" s="489"/>
      <c r="I451" s="489"/>
      <c r="J451" s="489"/>
      <c r="K451" s="489"/>
      <c r="L451" s="489"/>
      <c r="M451" s="489"/>
      <c r="N451" s="489"/>
      <c r="O451" s="489"/>
      <c r="P451" s="489"/>
      <c r="Q451" s="489"/>
      <c r="R451" s="489"/>
      <c r="S451" s="489"/>
      <c r="T451" s="489"/>
      <c r="U451" s="489"/>
      <c r="V451" s="489"/>
    </row>
    <row r="452" spans="1:22">
      <c r="A452" s="489"/>
      <c r="B452" s="489"/>
      <c r="C452" s="489"/>
      <c r="D452" s="489"/>
      <c r="E452" s="489"/>
      <c r="F452" s="489"/>
      <c r="G452" s="489"/>
      <c r="H452" s="489"/>
      <c r="I452" s="489"/>
      <c r="J452" s="489"/>
      <c r="K452" s="489"/>
      <c r="L452" s="489"/>
      <c r="M452" s="489"/>
      <c r="N452" s="489"/>
      <c r="O452" s="489"/>
      <c r="P452" s="489"/>
      <c r="Q452" s="489"/>
      <c r="R452" s="489"/>
      <c r="S452" s="489"/>
      <c r="T452" s="489"/>
      <c r="U452" s="489"/>
      <c r="V452" s="489"/>
    </row>
    <row r="453" spans="1:22">
      <c r="A453" s="489"/>
      <c r="B453" s="489"/>
      <c r="C453" s="489"/>
      <c r="D453" s="489"/>
      <c r="E453" s="489"/>
      <c r="F453" s="489"/>
      <c r="G453" s="489"/>
      <c r="H453" s="489"/>
      <c r="I453" s="489"/>
      <c r="J453" s="489"/>
      <c r="K453" s="489"/>
      <c r="L453" s="489"/>
      <c r="M453" s="489"/>
      <c r="N453" s="489"/>
      <c r="O453" s="489"/>
      <c r="P453" s="489"/>
      <c r="Q453" s="489"/>
      <c r="R453" s="489"/>
      <c r="S453" s="489"/>
      <c r="T453" s="489"/>
      <c r="U453" s="489"/>
      <c r="V453" s="489"/>
    </row>
    <row r="454" spans="1:22">
      <c r="A454" s="489"/>
      <c r="B454" s="489"/>
      <c r="C454" s="489"/>
      <c r="D454" s="489"/>
      <c r="E454" s="489"/>
      <c r="F454" s="489"/>
      <c r="G454" s="489"/>
      <c r="H454" s="489"/>
      <c r="I454" s="489"/>
      <c r="J454" s="489"/>
      <c r="K454" s="489"/>
      <c r="L454" s="489"/>
      <c r="M454" s="489"/>
      <c r="N454" s="489"/>
      <c r="O454" s="489"/>
      <c r="P454" s="489"/>
      <c r="Q454" s="489"/>
      <c r="R454" s="489"/>
      <c r="S454" s="489"/>
      <c r="T454" s="489"/>
      <c r="U454" s="489"/>
      <c r="V454" s="489"/>
    </row>
    <row r="455" spans="1:22">
      <c r="A455" s="489"/>
      <c r="B455" s="489"/>
      <c r="C455" s="489"/>
      <c r="D455" s="489"/>
      <c r="E455" s="489"/>
      <c r="F455" s="489"/>
      <c r="G455" s="489"/>
      <c r="H455" s="489"/>
      <c r="I455" s="489"/>
      <c r="J455" s="489"/>
      <c r="K455" s="489"/>
      <c r="L455" s="489"/>
      <c r="M455" s="489"/>
      <c r="N455" s="489"/>
      <c r="O455" s="489"/>
      <c r="P455" s="489"/>
      <c r="Q455" s="489"/>
      <c r="R455" s="489"/>
      <c r="S455" s="489"/>
      <c r="T455" s="489"/>
      <c r="U455" s="489"/>
      <c r="V455" s="489"/>
    </row>
    <row r="456" spans="1:22">
      <c r="A456" s="489"/>
      <c r="B456" s="489"/>
      <c r="C456" s="489"/>
      <c r="D456" s="489"/>
      <c r="E456" s="489"/>
      <c r="F456" s="489"/>
      <c r="G456" s="489"/>
      <c r="H456" s="489"/>
      <c r="I456" s="489"/>
      <c r="J456" s="489"/>
      <c r="K456" s="489"/>
      <c r="L456" s="489"/>
      <c r="M456" s="489"/>
      <c r="N456" s="489"/>
      <c r="O456" s="489"/>
      <c r="P456" s="489"/>
      <c r="Q456" s="489"/>
      <c r="R456" s="489"/>
      <c r="S456" s="489"/>
      <c r="T456" s="489"/>
      <c r="U456" s="489"/>
      <c r="V456" s="489"/>
    </row>
    <row r="457" spans="1:22">
      <c r="A457" s="489"/>
      <c r="B457" s="489"/>
      <c r="C457" s="489"/>
      <c r="D457" s="489"/>
      <c r="E457" s="489"/>
      <c r="F457" s="489"/>
      <c r="G457" s="489"/>
      <c r="H457" s="489"/>
      <c r="I457" s="489"/>
      <c r="J457" s="489"/>
      <c r="K457" s="489"/>
      <c r="L457" s="489"/>
      <c r="M457" s="489"/>
      <c r="N457" s="489"/>
      <c r="O457" s="489"/>
      <c r="P457" s="489"/>
      <c r="Q457" s="489"/>
      <c r="R457" s="489"/>
      <c r="S457" s="489"/>
      <c r="T457" s="489"/>
      <c r="U457" s="489"/>
      <c r="V457" s="489"/>
    </row>
    <row r="458" spans="1:22">
      <c r="A458" s="489"/>
      <c r="B458" s="489"/>
      <c r="C458" s="489"/>
      <c r="D458" s="489"/>
      <c r="E458" s="489"/>
      <c r="F458" s="489"/>
      <c r="G458" s="489"/>
      <c r="H458" s="489"/>
      <c r="I458" s="489"/>
      <c r="J458" s="489"/>
      <c r="K458" s="489"/>
      <c r="L458" s="489"/>
      <c r="M458" s="489"/>
      <c r="N458" s="489"/>
      <c r="O458" s="489"/>
      <c r="P458" s="489"/>
      <c r="Q458" s="489"/>
      <c r="R458" s="489"/>
      <c r="S458" s="489"/>
      <c r="T458" s="489"/>
      <c r="U458" s="489"/>
      <c r="V458" s="489"/>
    </row>
    <row r="459" spans="1:22">
      <c r="A459" s="489"/>
      <c r="B459" s="489"/>
      <c r="C459" s="489"/>
      <c r="D459" s="489"/>
      <c r="E459" s="489"/>
      <c r="F459" s="489"/>
      <c r="G459" s="489"/>
      <c r="H459" s="489"/>
      <c r="I459" s="489"/>
      <c r="J459" s="489"/>
      <c r="K459" s="489"/>
      <c r="L459" s="489"/>
      <c r="M459" s="489"/>
      <c r="N459" s="489"/>
      <c r="O459" s="489"/>
      <c r="P459" s="489"/>
      <c r="Q459" s="489"/>
      <c r="R459" s="489"/>
      <c r="S459" s="489"/>
      <c r="T459" s="489"/>
      <c r="U459" s="489"/>
      <c r="V459" s="489"/>
    </row>
    <row r="460" spans="1:22">
      <c r="A460" s="489"/>
      <c r="B460" s="489"/>
      <c r="C460" s="489"/>
      <c r="D460" s="489"/>
      <c r="E460" s="489"/>
      <c r="F460" s="489"/>
      <c r="G460" s="489"/>
      <c r="H460" s="489"/>
      <c r="I460" s="489"/>
      <c r="J460" s="489"/>
      <c r="K460" s="489"/>
      <c r="L460" s="489"/>
      <c r="M460" s="489"/>
      <c r="N460" s="489"/>
      <c r="O460" s="489"/>
      <c r="P460" s="489"/>
      <c r="Q460" s="489"/>
      <c r="R460" s="489"/>
      <c r="S460" s="489"/>
      <c r="T460" s="489"/>
      <c r="U460" s="489"/>
      <c r="V460" s="489"/>
    </row>
    <row r="461" spans="1:22">
      <c r="A461" s="489"/>
      <c r="B461" s="489"/>
      <c r="C461" s="489"/>
      <c r="D461" s="489"/>
      <c r="E461" s="489"/>
      <c r="F461" s="489"/>
      <c r="G461" s="489"/>
      <c r="H461" s="489"/>
      <c r="I461" s="489"/>
      <c r="J461" s="489"/>
      <c r="K461" s="489"/>
      <c r="L461" s="489"/>
      <c r="M461" s="489"/>
      <c r="N461" s="489"/>
      <c r="O461" s="489"/>
      <c r="P461" s="489"/>
      <c r="Q461" s="489"/>
      <c r="R461" s="489"/>
      <c r="S461" s="489"/>
      <c r="T461" s="489"/>
      <c r="U461" s="489"/>
      <c r="V461" s="489"/>
    </row>
    <row r="462" spans="1:22">
      <c r="A462" s="489"/>
      <c r="B462" s="489"/>
      <c r="C462" s="489"/>
      <c r="D462" s="489"/>
      <c r="E462" s="489"/>
      <c r="F462" s="489"/>
      <c r="G462" s="489"/>
      <c r="H462" s="489"/>
      <c r="I462" s="489"/>
      <c r="J462" s="489"/>
      <c r="K462" s="489"/>
      <c r="L462" s="489"/>
      <c r="M462" s="489"/>
      <c r="N462" s="489"/>
      <c r="O462" s="489"/>
      <c r="P462" s="489"/>
      <c r="Q462" s="489"/>
      <c r="R462" s="489"/>
      <c r="S462" s="489"/>
      <c r="T462" s="489"/>
      <c r="U462" s="489"/>
      <c r="V462" s="489"/>
    </row>
    <row r="463" spans="1:22">
      <c r="A463" s="489"/>
      <c r="B463" s="489"/>
      <c r="C463" s="489"/>
      <c r="D463" s="489"/>
      <c r="E463" s="489"/>
      <c r="F463" s="489"/>
      <c r="G463" s="489"/>
      <c r="H463" s="489"/>
      <c r="I463" s="489"/>
      <c r="J463" s="489"/>
      <c r="K463" s="489"/>
      <c r="L463" s="489"/>
      <c r="M463" s="489"/>
      <c r="N463" s="489"/>
      <c r="O463" s="489"/>
      <c r="P463" s="489"/>
      <c r="Q463" s="489"/>
      <c r="R463" s="489"/>
      <c r="S463" s="489"/>
      <c r="T463" s="489"/>
      <c r="U463" s="489"/>
      <c r="V463" s="489"/>
    </row>
    <row r="464" spans="1:22">
      <c r="A464" s="489"/>
      <c r="B464" s="489"/>
      <c r="C464" s="489"/>
      <c r="D464" s="489"/>
      <c r="E464" s="489"/>
      <c r="F464" s="489"/>
      <c r="G464" s="489"/>
      <c r="H464" s="489"/>
      <c r="I464" s="489"/>
      <c r="J464" s="489"/>
      <c r="K464" s="489"/>
      <c r="L464" s="489"/>
      <c r="M464" s="489"/>
      <c r="N464" s="489"/>
      <c r="O464" s="489"/>
      <c r="P464" s="489"/>
      <c r="Q464" s="489"/>
      <c r="R464" s="489"/>
      <c r="S464" s="489"/>
      <c r="T464" s="489"/>
      <c r="U464" s="489"/>
      <c r="V464" s="489"/>
    </row>
    <row r="465" spans="1:22">
      <c r="A465" s="489"/>
      <c r="B465" s="489"/>
      <c r="C465" s="489"/>
      <c r="D465" s="489"/>
      <c r="E465" s="489"/>
      <c r="F465" s="489"/>
      <c r="G465" s="489"/>
      <c r="H465" s="489"/>
      <c r="I465" s="489"/>
      <c r="J465" s="489"/>
      <c r="K465" s="489"/>
      <c r="L465" s="489"/>
      <c r="M465" s="489"/>
      <c r="N465" s="489"/>
      <c r="O465" s="489"/>
      <c r="P465" s="489"/>
      <c r="Q465" s="489"/>
      <c r="R465" s="489"/>
      <c r="S465" s="489"/>
      <c r="T465" s="489"/>
      <c r="U465" s="489"/>
      <c r="V465" s="489"/>
    </row>
    <row r="466" spans="1:22">
      <c r="A466" s="489"/>
      <c r="B466" s="489"/>
      <c r="C466" s="489"/>
      <c r="D466" s="489"/>
      <c r="E466" s="489"/>
      <c r="F466" s="489"/>
      <c r="G466" s="489"/>
      <c r="H466" s="489"/>
      <c r="I466" s="489"/>
      <c r="J466" s="489"/>
      <c r="K466" s="489"/>
      <c r="L466" s="489"/>
      <c r="M466" s="489"/>
      <c r="N466" s="489"/>
      <c r="O466" s="489"/>
      <c r="P466" s="489"/>
      <c r="Q466" s="489"/>
      <c r="R466" s="489"/>
      <c r="S466" s="489"/>
      <c r="T466" s="489"/>
      <c r="U466" s="489"/>
      <c r="V466" s="489"/>
    </row>
    <row r="467" spans="1:22">
      <c r="A467" s="489"/>
      <c r="B467" s="489"/>
      <c r="C467" s="489"/>
      <c r="D467" s="489"/>
      <c r="E467" s="489"/>
      <c r="F467" s="489"/>
      <c r="G467" s="489"/>
      <c r="H467" s="489"/>
      <c r="I467" s="489"/>
      <c r="J467" s="489"/>
      <c r="K467" s="489"/>
      <c r="L467" s="489"/>
      <c r="M467" s="489"/>
      <c r="N467" s="489"/>
      <c r="O467" s="489"/>
      <c r="P467" s="489"/>
      <c r="Q467" s="489"/>
      <c r="R467" s="489"/>
      <c r="S467" s="489"/>
      <c r="T467" s="489"/>
      <c r="U467" s="489"/>
      <c r="V467" s="489"/>
    </row>
    <row r="468" spans="1:22">
      <c r="A468" s="489"/>
      <c r="B468" s="489"/>
      <c r="C468" s="489"/>
      <c r="D468" s="489"/>
      <c r="E468" s="489"/>
      <c r="F468" s="489"/>
      <c r="G468" s="489"/>
      <c r="H468" s="489"/>
      <c r="I468" s="489"/>
      <c r="J468" s="489"/>
      <c r="K468" s="489"/>
      <c r="L468" s="489"/>
      <c r="M468" s="489"/>
      <c r="N468" s="489"/>
      <c r="O468" s="489"/>
      <c r="P468" s="489"/>
      <c r="Q468" s="489"/>
      <c r="R468" s="489"/>
      <c r="S468" s="489"/>
      <c r="T468" s="489"/>
      <c r="U468" s="489"/>
      <c r="V468" s="489"/>
    </row>
    <row r="469" spans="1:22">
      <c r="A469" s="489"/>
      <c r="B469" s="489"/>
      <c r="C469" s="489"/>
      <c r="D469" s="489"/>
      <c r="E469" s="489"/>
      <c r="F469" s="489"/>
      <c r="G469" s="489"/>
      <c r="H469" s="489"/>
      <c r="I469" s="489"/>
      <c r="J469" s="489"/>
      <c r="K469" s="489"/>
      <c r="L469" s="489"/>
      <c r="M469" s="489"/>
      <c r="N469" s="489"/>
      <c r="O469" s="489"/>
      <c r="P469" s="489"/>
      <c r="Q469" s="489"/>
      <c r="R469" s="489"/>
      <c r="S469" s="489"/>
      <c r="T469" s="489"/>
      <c r="U469" s="489"/>
      <c r="V469" s="489"/>
    </row>
    <row r="470" spans="1:22">
      <c r="A470" s="489"/>
      <c r="B470" s="489"/>
      <c r="C470" s="489"/>
      <c r="D470" s="489"/>
      <c r="E470" s="489"/>
      <c r="F470" s="489"/>
      <c r="G470" s="489"/>
      <c r="H470" s="489"/>
      <c r="I470" s="489"/>
      <c r="J470" s="489"/>
      <c r="K470" s="489"/>
      <c r="L470" s="489"/>
      <c r="M470" s="489"/>
      <c r="N470" s="489"/>
      <c r="O470" s="489"/>
      <c r="P470" s="489"/>
      <c r="Q470" s="489"/>
      <c r="R470" s="489"/>
      <c r="S470" s="489"/>
      <c r="T470" s="489"/>
      <c r="U470" s="489"/>
      <c r="V470" s="489"/>
    </row>
    <row r="471" spans="1:22">
      <c r="A471" s="489"/>
      <c r="B471" s="489"/>
      <c r="C471" s="489"/>
      <c r="D471" s="489"/>
      <c r="E471" s="489"/>
      <c r="F471" s="489"/>
      <c r="G471" s="489"/>
      <c r="H471" s="489"/>
      <c r="I471" s="489"/>
      <c r="J471" s="489"/>
      <c r="K471" s="489"/>
      <c r="L471" s="489"/>
      <c r="M471" s="489"/>
      <c r="N471" s="489"/>
      <c r="O471" s="489"/>
      <c r="P471" s="489"/>
      <c r="Q471" s="489"/>
      <c r="R471" s="489"/>
      <c r="S471" s="489"/>
      <c r="T471" s="489"/>
      <c r="U471" s="489"/>
      <c r="V471" s="489"/>
    </row>
    <row r="472" spans="1:22">
      <c r="A472" s="489"/>
      <c r="B472" s="489"/>
      <c r="C472" s="489"/>
      <c r="D472" s="489"/>
      <c r="E472" s="489"/>
      <c r="F472" s="489"/>
      <c r="G472" s="489"/>
      <c r="H472" s="489"/>
      <c r="I472" s="489"/>
      <c r="J472" s="489"/>
      <c r="K472" s="489"/>
      <c r="L472" s="489"/>
      <c r="M472" s="489"/>
      <c r="N472" s="489"/>
      <c r="O472" s="489"/>
      <c r="P472" s="489"/>
      <c r="Q472" s="489"/>
      <c r="R472" s="489"/>
      <c r="S472" s="489"/>
      <c r="T472" s="489"/>
      <c r="U472" s="489"/>
      <c r="V472" s="489"/>
    </row>
    <row r="473" spans="1:22">
      <c r="A473" s="489"/>
      <c r="B473" s="489"/>
      <c r="C473" s="489"/>
      <c r="D473" s="489"/>
      <c r="E473" s="489"/>
      <c r="F473" s="489"/>
      <c r="G473" s="489"/>
      <c r="H473" s="489"/>
      <c r="I473" s="489"/>
      <c r="J473" s="489"/>
      <c r="K473" s="489"/>
      <c r="L473" s="489"/>
      <c r="M473" s="489"/>
      <c r="N473" s="489"/>
      <c r="O473" s="489"/>
      <c r="P473" s="489"/>
      <c r="Q473" s="489"/>
      <c r="R473" s="489"/>
      <c r="S473" s="489"/>
      <c r="T473" s="489"/>
      <c r="U473" s="489"/>
      <c r="V473" s="489"/>
    </row>
    <row r="474" spans="1:22">
      <c r="A474" s="489"/>
      <c r="B474" s="489"/>
      <c r="C474" s="489"/>
      <c r="D474" s="489"/>
      <c r="E474" s="489"/>
      <c r="F474" s="489"/>
      <c r="G474" s="489"/>
      <c r="H474" s="489"/>
      <c r="I474" s="489"/>
      <c r="J474" s="489"/>
      <c r="K474" s="489"/>
      <c r="L474" s="489"/>
      <c r="M474" s="489"/>
      <c r="N474" s="489"/>
      <c r="O474" s="489"/>
      <c r="P474" s="489"/>
      <c r="Q474" s="489"/>
      <c r="R474" s="489"/>
      <c r="S474" s="489"/>
      <c r="T474" s="489"/>
      <c r="U474" s="489"/>
      <c r="V474" s="489"/>
    </row>
    <row r="475" spans="1:22">
      <c r="A475" s="489"/>
      <c r="B475" s="489"/>
      <c r="C475" s="489"/>
      <c r="D475" s="489"/>
      <c r="E475" s="489"/>
      <c r="F475" s="489"/>
      <c r="G475" s="489"/>
      <c r="H475" s="489"/>
      <c r="I475" s="489"/>
      <c r="J475" s="489"/>
      <c r="K475" s="489"/>
      <c r="L475" s="489"/>
      <c r="M475" s="489"/>
      <c r="N475" s="489"/>
      <c r="O475" s="489"/>
      <c r="P475" s="489"/>
      <c r="Q475" s="489"/>
      <c r="R475" s="489"/>
      <c r="S475" s="489"/>
      <c r="T475" s="489"/>
      <c r="U475" s="489"/>
      <c r="V475" s="489"/>
    </row>
    <row r="476" spans="1:22">
      <c r="A476" s="489"/>
      <c r="B476" s="489"/>
      <c r="C476" s="489"/>
      <c r="D476" s="489"/>
      <c r="E476" s="489"/>
      <c r="F476" s="489"/>
      <c r="G476" s="489"/>
      <c r="H476" s="489"/>
      <c r="I476" s="489"/>
      <c r="J476" s="489"/>
      <c r="K476" s="489"/>
      <c r="L476" s="489"/>
      <c r="M476" s="489"/>
      <c r="N476" s="489"/>
      <c r="O476" s="489"/>
      <c r="P476" s="489"/>
      <c r="Q476" s="489"/>
      <c r="R476" s="489"/>
      <c r="S476" s="489"/>
      <c r="T476" s="489"/>
      <c r="U476" s="489"/>
      <c r="V476" s="489"/>
    </row>
    <row r="477" spans="1:22">
      <c r="A477" s="489"/>
      <c r="B477" s="489"/>
      <c r="C477" s="489"/>
      <c r="D477" s="489"/>
      <c r="E477" s="489"/>
      <c r="F477" s="489"/>
      <c r="G477" s="489"/>
      <c r="H477" s="489"/>
      <c r="I477" s="489"/>
      <c r="J477" s="489"/>
      <c r="K477" s="489"/>
      <c r="L477" s="489"/>
      <c r="M477" s="489"/>
      <c r="N477" s="489"/>
      <c r="O477" s="489"/>
      <c r="P477" s="489"/>
      <c r="Q477" s="489"/>
      <c r="R477" s="489"/>
      <c r="S477" s="489"/>
      <c r="T477" s="489"/>
      <c r="U477" s="489"/>
      <c r="V477" s="489"/>
    </row>
    <row r="478" spans="1:22">
      <c r="A478" s="489"/>
      <c r="B478" s="489"/>
      <c r="C478" s="489"/>
      <c r="D478" s="489"/>
      <c r="E478" s="489"/>
      <c r="F478" s="489"/>
      <c r="G478" s="489"/>
      <c r="H478" s="489"/>
      <c r="I478" s="489"/>
      <c r="J478" s="489"/>
      <c r="K478" s="489"/>
      <c r="L478" s="489"/>
      <c r="M478" s="489"/>
      <c r="N478" s="489"/>
      <c r="O478" s="489"/>
      <c r="P478" s="489"/>
      <c r="Q478" s="489"/>
      <c r="R478" s="489"/>
      <c r="S478" s="489"/>
      <c r="T478" s="489"/>
      <c r="U478" s="489"/>
      <c r="V478" s="489"/>
    </row>
    <row r="479" spans="1:22">
      <c r="A479" s="489"/>
      <c r="B479" s="489"/>
      <c r="C479" s="489"/>
      <c r="D479" s="489"/>
      <c r="E479" s="489"/>
      <c r="F479" s="489"/>
      <c r="G479" s="489"/>
      <c r="H479" s="489"/>
      <c r="I479" s="489"/>
      <c r="J479" s="489"/>
      <c r="K479" s="489"/>
      <c r="L479" s="489"/>
      <c r="M479" s="489"/>
      <c r="N479" s="489"/>
      <c r="O479" s="489"/>
      <c r="P479" s="489"/>
      <c r="Q479" s="489"/>
      <c r="R479" s="489"/>
      <c r="S479" s="489"/>
      <c r="T479" s="489"/>
      <c r="U479" s="489"/>
      <c r="V479" s="489"/>
    </row>
    <row r="480" spans="1:22">
      <c r="A480" s="489"/>
      <c r="B480" s="489"/>
      <c r="C480" s="489"/>
      <c r="D480" s="489"/>
      <c r="E480" s="489"/>
      <c r="F480" s="489"/>
      <c r="G480" s="489"/>
      <c r="H480" s="489"/>
      <c r="I480" s="489"/>
      <c r="J480" s="489"/>
      <c r="K480" s="489"/>
      <c r="L480" s="489"/>
      <c r="M480" s="489"/>
      <c r="N480" s="489"/>
      <c r="O480" s="489"/>
      <c r="P480" s="489"/>
      <c r="Q480" s="489"/>
      <c r="R480" s="489"/>
      <c r="S480" s="489"/>
      <c r="T480" s="489"/>
      <c r="U480" s="489"/>
      <c r="V480" s="489"/>
    </row>
    <row r="481" spans="1:22">
      <c r="A481" s="489"/>
      <c r="B481" s="489"/>
      <c r="C481" s="489"/>
      <c r="D481" s="489"/>
      <c r="E481" s="489"/>
      <c r="F481" s="489"/>
      <c r="G481" s="489"/>
      <c r="H481" s="489"/>
      <c r="I481" s="489"/>
      <c r="J481" s="489"/>
      <c r="K481" s="489"/>
      <c r="L481" s="489"/>
      <c r="M481" s="489"/>
      <c r="N481" s="489"/>
      <c r="O481" s="489"/>
      <c r="P481" s="489"/>
      <c r="Q481" s="489"/>
      <c r="R481" s="489"/>
      <c r="S481" s="489"/>
      <c r="T481" s="489"/>
      <c r="U481" s="489"/>
      <c r="V481" s="489"/>
    </row>
    <row r="482" spans="1:22">
      <c r="A482" s="489"/>
      <c r="B482" s="489"/>
      <c r="C482" s="489"/>
      <c r="D482" s="489"/>
      <c r="E482" s="489"/>
      <c r="F482" s="489"/>
      <c r="G482" s="489"/>
      <c r="H482" s="489"/>
      <c r="I482" s="489"/>
      <c r="J482" s="489"/>
      <c r="K482" s="489"/>
      <c r="L482" s="489"/>
      <c r="M482" s="489"/>
      <c r="N482" s="489"/>
      <c r="O482" s="489"/>
      <c r="P482" s="489"/>
      <c r="Q482" s="489"/>
      <c r="R482" s="489"/>
      <c r="S482" s="489"/>
      <c r="T482" s="489"/>
      <c r="U482" s="489"/>
      <c r="V482" s="489"/>
    </row>
    <row r="483" spans="1:22">
      <c r="A483" s="489"/>
      <c r="B483" s="489"/>
      <c r="C483" s="489"/>
      <c r="D483" s="489"/>
      <c r="E483" s="489"/>
      <c r="F483" s="489"/>
      <c r="G483" s="489"/>
      <c r="H483" s="489"/>
      <c r="I483" s="489"/>
      <c r="J483" s="489"/>
      <c r="K483" s="489"/>
      <c r="L483" s="489"/>
      <c r="M483" s="489"/>
      <c r="N483" s="489"/>
      <c r="O483" s="489"/>
      <c r="P483" s="489"/>
      <c r="Q483" s="489"/>
      <c r="R483" s="489"/>
      <c r="S483" s="489"/>
      <c r="T483" s="489"/>
      <c r="U483" s="489"/>
      <c r="V483" s="489"/>
    </row>
    <row r="484" spans="1:22">
      <c r="A484" s="489"/>
      <c r="B484" s="489"/>
      <c r="C484" s="489"/>
      <c r="D484" s="489"/>
      <c r="E484" s="489"/>
      <c r="F484" s="489"/>
      <c r="G484" s="489"/>
      <c r="H484" s="489"/>
      <c r="I484" s="489"/>
      <c r="J484" s="489"/>
      <c r="K484" s="489"/>
      <c r="L484" s="489"/>
      <c r="M484" s="489"/>
      <c r="N484" s="489"/>
      <c r="O484" s="489"/>
      <c r="P484" s="489"/>
      <c r="Q484" s="489"/>
      <c r="R484" s="489"/>
      <c r="S484" s="489"/>
      <c r="T484" s="489"/>
      <c r="U484" s="489"/>
      <c r="V484" s="489"/>
    </row>
    <row r="485" spans="1:22">
      <c r="A485" s="489"/>
      <c r="B485" s="489"/>
      <c r="C485" s="489"/>
      <c r="D485" s="489"/>
      <c r="E485" s="489"/>
      <c r="F485" s="489"/>
      <c r="G485" s="489"/>
      <c r="H485" s="489"/>
      <c r="I485" s="489"/>
      <c r="J485" s="489"/>
      <c r="K485" s="489"/>
      <c r="L485" s="489"/>
      <c r="M485" s="489"/>
      <c r="N485" s="489"/>
      <c r="O485" s="489"/>
      <c r="P485" s="489"/>
      <c r="Q485" s="489"/>
      <c r="R485" s="489"/>
      <c r="S485" s="489"/>
      <c r="T485" s="489"/>
      <c r="U485" s="489"/>
      <c r="V485" s="489"/>
    </row>
    <row r="486" spans="1:22">
      <c r="A486" s="489"/>
      <c r="B486" s="489"/>
      <c r="C486" s="489"/>
      <c r="D486" s="489"/>
      <c r="E486" s="489"/>
      <c r="F486" s="489"/>
      <c r="G486" s="489"/>
      <c r="H486" s="489"/>
      <c r="I486" s="489"/>
      <c r="J486" s="489"/>
      <c r="K486" s="489"/>
      <c r="L486" s="489"/>
      <c r="M486" s="489"/>
      <c r="N486" s="489"/>
      <c r="O486" s="489"/>
      <c r="P486" s="489"/>
      <c r="Q486" s="489"/>
      <c r="R486" s="489"/>
      <c r="S486" s="489"/>
      <c r="T486" s="489"/>
      <c r="U486" s="489"/>
      <c r="V486" s="489"/>
    </row>
    <row r="487" spans="1:22">
      <c r="A487" s="489"/>
      <c r="B487" s="489"/>
      <c r="C487" s="489"/>
      <c r="D487" s="489"/>
      <c r="E487" s="489"/>
      <c r="F487" s="489"/>
      <c r="G487" s="489"/>
      <c r="H487" s="489"/>
      <c r="I487" s="489"/>
      <c r="J487" s="489"/>
      <c r="K487" s="489"/>
      <c r="L487" s="489"/>
      <c r="M487" s="489"/>
      <c r="N487" s="489"/>
      <c r="O487" s="489"/>
      <c r="P487" s="489"/>
      <c r="Q487" s="489"/>
      <c r="R487" s="489"/>
      <c r="S487" s="489"/>
      <c r="T487" s="489"/>
      <c r="U487" s="489"/>
      <c r="V487" s="489"/>
    </row>
    <row r="488" spans="1:22">
      <c r="A488" s="489"/>
      <c r="B488" s="489"/>
      <c r="C488" s="489"/>
      <c r="D488" s="489"/>
      <c r="E488" s="489"/>
      <c r="F488" s="489"/>
      <c r="G488" s="489"/>
      <c r="H488" s="489"/>
      <c r="I488" s="489"/>
      <c r="J488" s="489"/>
      <c r="K488" s="489"/>
      <c r="L488" s="489"/>
      <c r="M488" s="489"/>
      <c r="N488" s="489"/>
      <c r="O488" s="489"/>
      <c r="P488" s="489"/>
      <c r="Q488" s="489"/>
      <c r="R488" s="489"/>
      <c r="S488" s="489"/>
      <c r="T488" s="489"/>
      <c r="U488" s="489"/>
      <c r="V488" s="489"/>
    </row>
    <row r="489" spans="1:22">
      <c r="A489" s="489"/>
      <c r="B489" s="489"/>
      <c r="C489" s="489"/>
      <c r="D489" s="489"/>
      <c r="E489" s="489"/>
      <c r="F489" s="489"/>
      <c r="G489" s="489"/>
      <c r="H489" s="489"/>
      <c r="I489" s="489"/>
      <c r="J489" s="489"/>
      <c r="K489" s="489"/>
      <c r="L489" s="489"/>
      <c r="M489" s="489"/>
      <c r="N489" s="489"/>
      <c r="O489" s="489"/>
      <c r="P489" s="489"/>
      <c r="Q489" s="489"/>
      <c r="R489" s="489"/>
      <c r="S489" s="489"/>
      <c r="T489" s="489"/>
      <c r="U489" s="489"/>
      <c r="V489" s="489"/>
    </row>
    <row r="490" spans="1:22">
      <c r="A490" s="489"/>
      <c r="B490" s="489"/>
      <c r="C490" s="489"/>
      <c r="D490" s="489"/>
      <c r="E490" s="489"/>
      <c r="F490" s="489"/>
      <c r="G490" s="489"/>
      <c r="H490" s="489"/>
      <c r="I490" s="489"/>
      <c r="J490" s="489"/>
      <c r="K490" s="489"/>
      <c r="L490" s="489"/>
      <c r="M490" s="489"/>
      <c r="N490" s="489"/>
      <c r="O490" s="489"/>
      <c r="P490" s="489"/>
      <c r="Q490" s="489"/>
      <c r="R490" s="489"/>
      <c r="S490" s="489"/>
      <c r="T490" s="489"/>
      <c r="U490" s="489"/>
      <c r="V490" s="489"/>
    </row>
    <row r="491" spans="1:22">
      <c r="A491" s="489"/>
      <c r="B491" s="489"/>
      <c r="C491" s="489"/>
      <c r="D491" s="489"/>
      <c r="E491" s="489"/>
      <c r="F491" s="489"/>
      <c r="G491" s="489"/>
      <c r="H491" s="489"/>
      <c r="I491" s="489"/>
      <c r="J491" s="489"/>
      <c r="K491" s="489"/>
      <c r="L491" s="489"/>
      <c r="M491" s="489"/>
      <c r="N491" s="489"/>
      <c r="O491" s="489"/>
      <c r="P491" s="489"/>
      <c r="Q491" s="489"/>
      <c r="R491" s="489"/>
      <c r="S491" s="489"/>
      <c r="T491" s="489"/>
      <c r="U491" s="489"/>
      <c r="V491" s="489"/>
    </row>
    <row r="492" spans="1:22">
      <c r="A492" s="489"/>
      <c r="B492" s="489"/>
      <c r="C492" s="489"/>
      <c r="D492" s="489"/>
      <c r="E492" s="489"/>
      <c r="F492" s="489"/>
      <c r="G492" s="489"/>
      <c r="H492" s="489"/>
      <c r="I492" s="489"/>
      <c r="J492" s="489"/>
      <c r="K492" s="489"/>
      <c r="L492" s="489"/>
      <c r="M492" s="489"/>
      <c r="N492" s="489"/>
      <c r="O492" s="489"/>
      <c r="P492" s="489"/>
      <c r="Q492" s="489"/>
      <c r="R492" s="489"/>
      <c r="S492" s="489"/>
      <c r="T492" s="489"/>
      <c r="U492" s="489"/>
      <c r="V492" s="489"/>
    </row>
    <row r="493" spans="1:22">
      <c r="A493" s="489"/>
      <c r="B493" s="489"/>
      <c r="C493" s="489"/>
      <c r="D493" s="489"/>
      <c r="E493" s="489"/>
      <c r="F493" s="489"/>
      <c r="G493" s="489"/>
      <c r="H493" s="489"/>
      <c r="I493" s="489"/>
      <c r="J493" s="489"/>
      <c r="K493" s="489"/>
      <c r="L493" s="489"/>
      <c r="M493" s="489"/>
      <c r="N493" s="489"/>
      <c r="O493" s="489"/>
      <c r="P493" s="489"/>
      <c r="Q493" s="489"/>
      <c r="R493" s="489"/>
      <c r="S493" s="489"/>
      <c r="T493" s="489"/>
      <c r="U493" s="489"/>
      <c r="V493" s="489"/>
    </row>
    <row r="494" spans="1:22">
      <c r="A494" s="489"/>
      <c r="B494" s="489"/>
      <c r="C494" s="489"/>
      <c r="D494" s="489"/>
      <c r="E494" s="489"/>
      <c r="F494" s="489"/>
      <c r="G494" s="489"/>
      <c r="H494" s="489"/>
      <c r="I494" s="489"/>
      <c r="J494" s="489"/>
      <c r="K494" s="489"/>
      <c r="L494" s="489"/>
      <c r="M494" s="489"/>
      <c r="N494" s="489"/>
      <c r="O494" s="489"/>
      <c r="P494" s="489"/>
      <c r="Q494" s="489"/>
      <c r="R494" s="489"/>
      <c r="S494" s="489"/>
      <c r="T494" s="489"/>
      <c r="U494" s="489"/>
      <c r="V494" s="489"/>
    </row>
    <row r="495" spans="1:22">
      <c r="A495" s="489"/>
      <c r="B495" s="489"/>
      <c r="C495" s="489"/>
      <c r="D495" s="489"/>
      <c r="E495" s="489"/>
      <c r="F495" s="489"/>
      <c r="G495" s="489"/>
      <c r="H495" s="489"/>
      <c r="I495" s="489"/>
      <c r="J495" s="489"/>
      <c r="K495" s="489"/>
      <c r="L495" s="489"/>
      <c r="M495" s="489"/>
      <c r="N495" s="489"/>
      <c r="O495" s="489"/>
      <c r="P495" s="489"/>
      <c r="Q495" s="489"/>
      <c r="R495" s="489"/>
      <c r="S495" s="489"/>
      <c r="T495" s="489"/>
      <c r="U495" s="489"/>
      <c r="V495" s="489"/>
    </row>
    <row r="496" spans="1:22">
      <c r="A496" s="489"/>
      <c r="B496" s="489"/>
      <c r="C496" s="489"/>
      <c r="D496" s="489"/>
      <c r="E496" s="489"/>
      <c r="F496" s="489"/>
      <c r="G496" s="489"/>
      <c r="H496" s="489"/>
      <c r="I496" s="489"/>
      <c r="J496" s="489"/>
      <c r="K496" s="489"/>
      <c r="L496" s="489"/>
      <c r="M496" s="489"/>
      <c r="N496" s="489"/>
      <c r="O496" s="489"/>
      <c r="P496" s="489"/>
      <c r="Q496" s="489"/>
      <c r="R496" s="489"/>
      <c r="S496" s="489"/>
      <c r="T496" s="489"/>
      <c r="U496" s="489"/>
      <c r="V496" s="489"/>
    </row>
    <row r="497" spans="1:22">
      <c r="A497" s="489"/>
      <c r="B497" s="489"/>
      <c r="C497" s="489"/>
      <c r="D497" s="489"/>
      <c r="E497" s="489"/>
      <c r="F497" s="489"/>
      <c r="G497" s="489"/>
      <c r="H497" s="489"/>
      <c r="I497" s="489"/>
      <c r="J497" s="489"/>
      <c r="K497" s="489"/>
      <c r="L497" s="489"/>
      <c r="M497" s="489"/>
      <c r="N497" s="489"/>
      <c r="O497" s="489"/>
      <c r="P497" s="489"/>
      <c r="Q497" s="489"/>
      <c r="R497" s="489"/>
      <c r="S497" s="489"/>
      <c r="T497" s="489"/>
      <c r="U497" s="489"/>
      <c r="V497" s="489"/>
    </row>
    <row r="498" spans="1:22">
      <c r="A498" s="489"/>
      <c r="B498" s="489"/>
      <c r="C498" s="489"/>
      <c r="D498" s="489"/>
      <c r="E498" s="489"/>
      <c r="F498" s="489"/>
      <c r="G498" s="489"/>
      <c r="H498" s="489"/>
      <c r="I498" s="489"/>
      <c r="J498" s="489"/>
      <c r="K498" s="489"/>
      <c r="L498" s="489"/>
      <c r="M498" s="489"/>
      <c r="N498" s="489"/>
      <c r="O498" s="489"/>
      <c r="P498" s="489"/>
      <c r="Q498" s="489"/>
      <c r="R498" s="489"/>
      <c r="S498" s="489"/>
      <c r="T498" s="489"/>
      <c r="U498" s="489"/>
      <c r="V498" s="489"/>
    </row>
    <row r="499" spans="1:22">
      <c r="A499" s="489"/>
      <c r="B499" s="489"/>
      <c r="C499" s="489"/>
      <c r="D499" s="489"/>
      <c r="E499" s="489"/>
      <c r="F499" s="489"/>
      <c r="G499" s="489"/>
      <c r="H499" s="489"/>
      <c r="I499" s="489"/>
      <c r="J499" s="489"/>
      <c r="K499" s="489"/>
      <c r="L499" s="489"/>
      <c r="M499" s="489"/>
      <c r="N499" s="489"/>
      <c r="O499" s="489"/>
      <c r="P499" s="489"/>
      <c r="Q499" s="489"/>
      <c r="R499" s="489"/>
      <c r="S499" s="489"/>
      <c r="T499" s="489"/>
      <c r="U499" s="489"/>
      <c r="V499" s="489"/>
    </row>
    <row r="500" spans="1:22">
      <c r="A500" s="489"/>
      <c r="B500" s="489"/>
      <c r="C500" s="489"/>
      <c r="D500" s="489"/>
      <c r="E500" s="489"/>
      <c r="F500" s="489"/>
      <c r="G500" s="489"/>
      <c r="H500" s="489"/>
      <c r="I500" s="489"/>
      <c r="J500" s="489"/>
      <c r="K500" s="489"/>
      <c r="L500" s="489"/>
      <c r="M500" s="489"/>
      <c r="N500" s="489"/>
      <c r="O500" s="489"/>
      <c r="P500" s="489"/>
      <c r="Q500" s="489"/>
      <c r="R500" s="489"/>
      <c r="S500" s="489"/>
      <c r="T500" s="489"/>
      <c r="U500" s="489"/>
      <c r="V500" s="489"/>
    </row>
    <row r="501" spans="1:22">
      <c r="A501" s="489"/>
      <c r="B501" s="489"/>
      <c r="C501" s="489"/>
      <c r="D501" s="489"/>
      <c r="E501" s="489"/>
      <c r="F501" s="489"/>
      <c r="G501" s="489"/>
      <c r="H501" s="489"/>
      <c r="I501" s="489"/>
      <c r="J501" s="489"/>
      <c r="K501" s="489"/>
      <c r="L501" s="489"/>
      <c r="M501" s="489"/>
      <c r="N501" s="489"/>
      <c r="O501" s="489"/>
      <c r="P501" s="489"/>
      <c r="Q501" s="489"/>
      <c r="R501" s="489"/>
      <c r="S501" s="489"/>
      <c r="T501" s="489"/>
      <c r="U501" s="489"/>
      <c r="V501" s="489"/>
    </row>
    <row r="502" spans="1:22">
      <c r="A502" s="489"/>
      <c r="B502" s="489"/>
      <c r="C502" s="489"/>
      <c r="D502" s="489"/>
      <c r="E502" s="489"/>
      <c r="F502" s="489"/>
      <c r="G502" s="489"/>
      <c r="H502" s="489"/>
      <c r="I502" s="489"/>
      <c r="J502" s="489"/>
      <c r="K502" s="489"/>
      <c r="L502" s="489"/>
      <c r="M502" s="489"/>
      <c r="N502" s="489"/>
      <c r="O502" s="489"/>
      <c r="P502" s="489"/>
      <c r="Q502" s="489"/>
      <c r="R502" s="489"/>
      <c r="S502" s="489"/>
      <c r="T502" s="489"/>
      <c r="U502" s="489"/>
      <c r="V502" s="489"/>
    </row>
    <row r="503" spans="1:22">
      <c r="A503" s="489"/>
      <c r="B503" s="489"/>
      <c r="C503" s="489"/>
      <c r="D503" s="489"/>
      <c r="E503" s="489"/>
      <c r="F503" s="489"/>
      <c r="G503" s="489"/>
      <c r="H503" s="489"/>
      <c r="I503" s="489"/>
      <c r="J503" s="489"/>
      <c r="K503" s="489"/>
      <c r="L503" s="489"/>
      <c r="M503" s="489"/>
      <c r="N503" s="489"/>
      <c r="O503" s="489"/>
      <c r="P503" s="489"/>
      <c r="Q503" s="489"/>
      <c r="R503" s="489"/>
      <c r="S503" s="489"/>
      <c r="T503" s="489"/>
      <c r="U503" s="489"/>
      <c r="V503" s="489"/>
    </row>
    <row r="504" spans="1:22">
      <c r="A504" s="489"/>
      <c r="B504" s="489"/>
      <c r="C504" s="489"/>
      <c r="D504" s="489"/>
      <c r="E504" s="489"/>
      <c r="F504" s="489"/>
      <c r="G504" s="489"/>
      <c r="H504" s="489"/>
      <c r="I504" s="489"/>
      <c r="J504" s="489"/>
      <c r="K504" s="489"/>
      <c r="L504" s="489"/>
      <c r="M504" s="489"/>
      <c r="N504" s="489"/>
      <c r="O504" s="489"/>
      <c r="P504" s="489"/>
      <c r="Q504" s="489"/>
      <c r="R504" s="489"/>
      <c r="S504" s="489"/>
      <c r="T504" s="489"/>
      <c r="U504" s="489"/>
      <c r="V504" s="489"/>
    </row>
    <row r="505" spans="1:22">
      <c r="A505" s="489"/>
      <c r="B505" s="489"/>
      <c r="C505" s="489"/>
      <c r="D505" s="489"/>
      <c r="E505" s="489"/>
      <c r="F505" s="489"/>
      <c r="G505" s="489"/>
      <c r="H505" s="489"/>
      <c r="I505" s="489"/>
      <c r="J505" s="489"/>
      <c r="K505" s="489"/>
      <c r="L505" s="489"/>
      <c r="M505" s="489"/>
      <c r="N505" s="489"/>
      <c r="O505" s="489"/>
      <c r="P505" s="489"/>
      <c r="Q505" s="489"/>
      <c r="R505" s="489"/>
      <c r="S505" s="489"/>
      <c r="T505" s="489"/>
      <c r="U505" s="489"/>
      <c r="V505" s="489"/>
    </row>
    <row r="506" spans="1:22">
      <c r="A506" s="489"/>
      <c r="B506" s="489"/>
      <c r="C506" s="489"/>
      <c r="D506" s="489"/>
      <c r="E506" s="489"/>
      <c r="F506" s="489"/>
      <c r="G506" s="489"/>
      <c r="H506" s="489"/>
      <c r="I506" s="489"/>
      <c r="J506" s="489"/>
      <c r="K506" s="489"/>
      <c r="L506" s="489"/>
      <c r="M506" s="489"/>
      <c r="N506" s="489"/>
      <c r="O506" s="489"/>
      <c r="P506" s="489"/>
      <c r="Q506" s="489"/>
      <c r="R506" s="489"/>
      <c r="S506" s="489"/>
      <c r="T506" s="489"/>
      <c r="U506" s="489"/>
      <c r="V506" s="489"/>
    </row>
    <row r="507" spans="1:22">
      <c r="A507" s="489"/>
      <c r="B507" s="489"/>
      <c r="C507" s="489"/>
      <c r="D507" s="489"/>
      <c r="E507" s="489"/>
      <c r="F507" s="489"/>
      <c r="G507" s="489"/>
      <c r="H507" s="489"/>
      <c r="I507" s="489"/>
      <c r="J507" s="489"/>
      <c r="K507" s="489"/>
      <c r="L507" s="489"/>
      <c r="M507" s="489"/>
      <c r="N507" s="489"/>
      <c r="O507" s="489"/>
      <c r="P507" s="489"/>
      <c r="Q507" s="489"/>
      <c r="R507" s="489"/>
      <c r="S507" s="489"/>
      <c r="T507" s="489"/>
      <c r="U507" s="489"/>
      <c r="V507" s="489"/>
    </row>
    <row r="508" spans="1:22">
      <c r="A508" s="489"/>
      <c r="B508" s="489"/>
      <c r="C508" s="489"/>
      <c r="D508" s="489"/>
      <c r="E508" s="489"/>
      <c r="F508" s="489"/>
      <c r="G508" s="489"/>
      <c r="H508" s="489"/>
      <c r="I508" s="489"/>
      <c r="J508" s="489"/>
      <c r="K508" s="489"/>
      <c r="L508" s="489"/>
      <c r="M508" s="489"/>
      <c r="N508" s="489"/>
      <c r="O508" s="489"/>
      <c r="P508" s="489"/>
      <c r="Q508" s="489"/>
      <c r="R508" s="489"/>
      <c r="S508" s="489"/>
      <c r="T508" s="489"/>
      <c r="U508" s="489"/>
      <c r="V508" s="489"/>
    </row>
    <row r="509" spans="1:22">
      <c r="A509" s="489"/>
      <c r="B509" s="489"/>
      <c r="C509" s="489"/>
      <c r="D509" s="489"/>
      <c r="E509" s="489"/>
      <c r="F509" s="489"/>
      <c r="G509" s="489"/>
      <c r="H509" s="489"/>
      <c r="I509" s="489"/>
      <c r="J509" s="489"/>
      <c r="K509" s="489"/>
      <c r="L509" s="489"/>
      <c r="M509" s="489"/>
      <c r="N509" s="489"/>
      <c r="O509" s="489"/>
      <c r="P509" s="489"/>
      <c r="Q509" s="489"/>
      <c r="R509" s="489"/>
      <c r="S509" s="489"/>
      <c r="T509" s="489"/>
      <c r="U509" s="489"/>
      <c r="V509" s="489"/>
    </row>
    <row r="510" spans="1:22">
      <c r="A510" s="489"/>
      <c r="B510" s="489"/>
      <c r="C510" s="489"/>
      <c r="D510" s="489"/>
      <c r="E510" s="489"/>
      <c r="F510" s="489"/>
      <c r="G510" s="489"/>
      <c r="H510" s="489"/>
      <c r="I510" s="489"/>
      <c r="J510" s="489"/>
      <c r="K510" s="489"/>
      <c r="L510" s="489"/>
      <c r="M510" s="489"/>
      <c r="N510" s="489"/>
      <c r="O510" s="489"/>
      <c r="P510" s="489"/>
      <c r="Q510" s="489"/>
      <c r="R510" s="489"/>
      <c r="S510" s="489"/>
      <c r="T510" s="489"/>
      <c r="U510" s="489"/>
      <c r="V510" s="489"/>
    </row>
    <row r="511" spans="1:22">
      <c r="A511" s="489"/>
      <c r="B511" s="489"/>
      <c r="C511" s="489"/>
      <c r="D511" s="489"/>
      <c r="E511" s="489"/>
      <c r="F511" s="489"/>
      <c r="G511" s="489"/>
      <c r="H511" s="489"/>
      <c r="I511" s="489"/>
      <c r="J511" s="489"/>
      <c r="K511" s="489"/>
      <c r="L511" s="489"/>
      <c r="M511" s="489"/>
      <c r="N511" s="489"/>
      <c r="O511" s="489"/>
      <c r="P511" s="489"/>
      <c r="Q511" s="489"/>
      <c r="R511" s="489"/>
      <c r="S511" s="489"/>
      <c r="T511" s="489"/>
      <c r="U511" s="489"/>
      <c r="V511" s="489"/>
    </row>
    <row r="512" spans="1:22">
      <c r="A512" s="489"/>
      <c r="B512" s="489"/>
      <c r="C512" s="489"/>
      <c r="D512" s="489"/>
      <c r="E512" s="489"/>
      <c r="F512" s="489"/>
      <c r="G512" s="489"/>
      <c r="H512" s="489"/>
      <c r="I512" s="489"/>
      <c r="J512" s="489"/>
      <c r="K512" s="489"/>
      <c r="L512" s="489"/>
      <c r="M512" s="489"/>
      <c r="N512" s="489"/>
      <c r="O512" s="489"/>
      <c r="P512" s="489"/>
      <c r="Q512" s="489"/>
      <c r="R512" s="489"/>
      <c r="S512" s="489"/>
      <c r="T512" s="489"/>
      <c r="U512" s="489"/>
      <c r="V512" s="489"/>
    </row>
    <row r="513" spans="1:22">
      <c r="A513" s="489"/>
      <c r="B513" s="489"/>
      <c r="C513" s="489"/>
      <c r="D513" s="489"/>
      <c r="E513" s="489"/>
      <c r="F513" s="489"/>
      <c r="G513" s="489"/>
      <c r="H513" s="489"/>
      <c r="I513" s="489"/>
      <c r="J513" s="489"/>
      <c r="K513" s="489"/>
      <c r="L513" s="489"/>
      <c r="M513" s="489"/>
      <c r="N513" s="489"/>
      <c r="O513" s="489"/>
      <c r="P513" s="489"/>
      <c r="Q513" s="489"/>
      <c r="R513" s="489"/>
      <c r="S513" s="489"/>
      <c r="T513" s="489"/>
      <c r="U513" s="489"/>
      <c r="V513" s="489"/>
    </row>
    <row r="514" spans="1:22">
      <c r="A514" s="489"/>
      <c r="B514" s="489"/>
      <c r="C514" s="489"/>
      <c r="D514" s="489"/>
      <c r="E514" s="489"/>
      <c r="F514" s="489"/>
      <c r="G514" s="489"/>
      <c r="H514" s="489"/>
      <c r="I514" s="489"/>
      <c r="J514" s="489"/>
      <c r="K514" s="489"/>
      <c r="L514" s="489"/>
      <c r="M514" s="489"/>
      <c r="N514" s="489"/>
      <c r="O514" s="489"/>
      <c r="P514" s="489"/>
      <c r="Q514" s="489"/>
      <c r="R514" s="489"/>
      <c r="S514" s="489"/>
      <c r="T514" s="489"/>
      <c r="U514" s="489"/>
      <c r="V514" s="489"/>
    </row>
    <row r="515" spans="1:22">
      <c r="A515" s="489"/>
      <c r="B515" s="489"/>
      <c r="C515" s="489"/>
      <c r="D515" s="489"/>
      <c r="E515" s="489"/>
      <c r="F515" s="489"/>
      <c r="G515" s="489"/>
      <c r="H515" s="489"/>
      <c r="I515" s="489"/>
      <c r="J515" s="489"/>
      <c r="K515" s="489"/>
      <c r="L515" s="489"/>
      <c r="M515" s="489"/>
      <c r="N515" s="489"/>
      <c r="O515" s="489"/>
      <c r="P515" s="489"/>
      <c r="Q515" s="489"/>
      <c r="R515" s="489"/>
      <c r="S515" s="489"/>
      <c r="T515" s="489"/>
      <c r="U515" s="489"/>
      <c r="V515" s="489"/>
    </row>
    <row r="516" spans="1:22">
      <c r="A516" s="489"/>
      <c r="B516" s="489"/>
      <c r="C516" s="489"/>
      <c r="D516" s="489"/>
      <c r="E516" s="489"/>
      <c r="F516" s="489"/>
      <c r="G516" s="489"/>
      <c r="H516" s="489"/>
      <c r="I516" s="489"/>
      <c r="J516" s="489"/>
      <c r="K516" s="489"/>
      <c r="L516" s="489"/>
      <c r="M516" s="489"/>
      <c r="N516" s="489"/>
      <c r="O516" s="489"/>
      <c r="P516" s="489"/>
      <c r="Q516" s="489"/>
      <c r="R516" s="489"/>
      <c r="S516" s="489"/>
      <c r="T516" s="489"/>
      <c r="U516" s="489"/>
      <c r="V516" s="489"/>
    </row>
    <row r="517" spans="1:22">
      <c r="A517" s="489"/>
      <c r="B517" s="489"/>
      <c r="C517" s="489"/>
      <c r="D517" s="489"/>
      <c r="E517" s="489"/>
      <c r="F517" s="489"/>
      <c r="G517" s="489"/>
      <c r="H517" s="489"/>
      <c r="I517" s="489"/>
      <c r="J517" s="489"/>
      <c r="K517" s="489"/>
      <c r="L517" s="489"/>
      <c r="M517" s="489"/>
      <c r="N517" s="489"/>
      <c r="O517" s="489"/>
      <c r="P517" s="489"/>
      <c r="Q517" s="489"/>
      <c r="R517" s="489"/>
      <c r="S517" s="489"/>
      <c r="T517" s="489"/>
      <c r="U517" s="489"/>
      <c r="V517" s="489"/>
    </row>
    <row r="518" spans="1:22">
      <c r="A518" s="489"/>
      <c r="B518" s="489"/>
      <c r="C518" s="489"/>
      <c r="D518" s="489"/>
      <c r="E518" s="489"/>
      <c r="F518" s="489"/>
      <c r="G518" s="489"/>
      <c r="H518" s="489"/>
      <c r="I518" s="489"/>
      <c r="J518" s="489"/>
      <c r="K518" s="489"/>
      <c r="L518" s="489"/>
      <c r="M518" s="489"/>
      <c r="N518" s="489"/>
      <c r="O518" s="489"/>
      <c r="P518" s="489"/>
      <c r="Q518" s="489"/>
      <c r="R518" s="489"/>
      <c r="S518" s="489"/>
      <c r="T518" s="489"/>
      <c r="U518" s="489"/>
      <c r="V518" s="489"/>
    </row>
    <row r="519" spans="1:22">
      <c r="A519" s="489"/>
      <c r="B519" s="489"/>
      <c r="C519" s="489"/>
      <c r="D519" s="489"/>
      <c r="E519" s="489"/>
      <c r="F519" s="489"/>
      <c r="G519" s="489"/>
      <c r="H519" s="489"/>
      <c r="I519" s="489"/>
      <c r="J519" s="489"/>
      <c r="K519" s="489"/>
      <c r="L519" s="489"/>
      <c r="M519" s="489"/>
      <c r="N519" s="489"/>
      <c r="O519" s="489"/>
      <c r="P519" s="489"/>
      <c r="Q519" s="489"/>
      <c r="R519" s="489"/>
      <c r="S519" s="489"/>
      <c r="T519" s="489"/>
      <c r="U519" s="489"/>
      <c r="V519" s="489"/>
    </row>
    <row r="520" spans="1:22">
      <c r="A520" s="489"/>
      <c r="B520" s="489"/>
      <c r="C520" s="489"/>
      <c r="D520" s="489"/>
      <c r="E520" s="489"/>
      <c r="F520" s="489"/>
      <c r="G520" s="489"/>
      <c r="H520" s="489"/>
      <c r="I520" s="489"/>
      <c r="J520" s="489"/>
      <c r="K520" s="489"/>
      <c r="L520" s="489"/>
      <c r="M520" s="489"/>
      <c r="N520" s="489"/>
      <c r="O520" s="489"/>
      <c r="P520" s="489"/>
      <c r="Q520" s="489"/>
      <c r="R520" s="489"/>
      <c r="S520" s="489"/>
      <c r="T520" s="489"/>
      <c r="U520" s="489"/>
      <c r="V520" s="489"/>
    </row>
    <row r="521" spans="1:22">
      <c r="A521" s="489"/>
      <c r="B521" s="489"/>
      <c r="C521" s="489"/>
      <c r="D521" s="489"/>
      <c r="E521" s="489"/>
      <c r="F521" s="489"/>
      <c r="G521" s="489"/>
      <c r="H521" s="489"/>
      <c r="I521" s="489"/>
      <c r="J521" s="489"/>
      <c r="K521" s="489"/>
      <c r="L521" s="489"/>
      <c r="M521" s="489"/>
      <c r="N521" s="489"/>
      <c r="O521" s="489"/>
      <c r="P521" s="489"/>
      <c r="Q521" s="489"/>
      <c r="R521" s="489"/>
      <c r="S521" s="489"/>
      <c r="T521" s="489"/>
      <c r="U521" s="489"/>
      <c r="V521" s="489"/>
    </row>
    <row r="522" spans="1:22">
      <c r="A522" s="489"/>
      <c r="B522" s="489"/>
      <c r="C522" s="489"/>
      <c r="D522" s="489"/>
      <c r="E522" s="489"/>
      <c r="F522" s="489"/>
      <c r="G522" s="489"/>
      <c r="H522" s="489"/>
      <c r="I522" s="489"/>
      <c r="J522" s="489"/>
      <c r="K522" s="489"/>
      <c r="L522" s="489"/>
      <c r="M522" s="489"/>
      <c r="N522" s="489"/>
      <c r="O522" s="489"/>
      <c r="P522" s="489"/>
      <c r="Q522" s="489"/>
      <c r="R522" s="489"/>
      <c r="S522" s="489"/>
      <c r="T522" s="489"/>
      <c r="U522" s="489"/>
      <c r="V522" s="489"/>
    </row>
    <row r="523" spans="1:22">
      <c r="A523" s="489"/>
      <c r="B523" s="489"/>
      <c r="C523" s="489"/>
      <c r="D523" s="489"/>
      <c r="E523" s="489"/>
      <c r="F523" s="489"/>
      <c r="G523" s="489"/>
      <c r="H523" s="489"/>
      <c r="I523" s="489"/>
      <c r="J523" s="489"/>
      <c r="K523" s="489"/>
      <c r="L523" s="489"/>
      <c r="M523" s="489"/>
      <c r="N523" s="489"/>
      <c r="O523" s="489"/>
      <c r="P523" s="489"/>
      <c r="Q523" s="489"/>
      <c r="R523" s="489"/>
      <c r="S523" s="489"/>
      <c r="T523" s="489"/>
      <c r="U523" s="489"/>
      <c r="V523" s="489"/>
    </row>
    <row r="524" spans="1:22">
      <c r="A524" s="489"/>
      <c r="B524" s="489"/>
      <c r="C524" s="489"/>
      <c r="D524" s="489"/>
      <c r="E524" s="489"/>
      <c r="F524" s="489"/>
      <c r="G524" s="489"/>
      <c r="H524" s="489"/>
      <c r="I524" s="489"/>
      <c r="J524" s="489"/>
      <c r="K524" s="489"/>
      <c r="L524" s="489"/>
      <c r="M524" s="489"/>
      <c r="N524" s="489"/>
      <c r="O524" s="489"/>
      <c r="P524" s="489"/>
      <c r="Q524" s="489"/>
      <c r="R524" s="489"/>
      <c r="S524" s="489"/>
      <c r="T524" s="489"/>
      <c r="U524" s="489"/>
      <c r="V524" s="489"/>
    </row>
    <row r="525" spans="1:22">
      <c r="A525" s="489"/>
      <c r="B525" s="489"/>
      <c r="C525" s="489"/>
      <c r="D525" s="489"/>
      <c r="E525" s="489"/>
      <c r="F525" s="489"/>
      <c r="G525" s="489"/>
      <c r="H525" s="489"/>
      <c r="I525" s="489"/>
      <c r="J525" s="489"/>
      <c r="K525" s="489"/>
      <c r="L525" s="489"/>
      <c r="M525" s="489"/>
      <c r="N525" s="489"/>
      <c r="O525" s="489"/>
      <c r="P525" s="489"/>
      <c r="Q525" s="489"/>
      <c r="R525" s="489"/>
      <c r="S525" s="489"/>
      <c r="T525" s="489"/>
      <c r="U525" s="489"/>
      <c r="V525" s="489"/>
    </row>
    <row r="526" spans="1:22">
      <c r="A526" s="489"/>
      <c r="B526" s="489"/>
      <c r="C526" s="489"/>
      <c r="D526" s="489"/>
      <c r="E526" s="489"/>
      <c r="F526" s="489"/>
      <c r="G526" s="489"/>
      <c r="H526" s="489"/>
      <c r="I526" s="489"/>
      <c r="J526" s="489"/>
      <c r="K526" s="489"/>
      <c r="L526" s="489"/>
      <c r="M526" s="489"/>
      <c r="N526" s="489"/>
      <c r="O526" s="489"/>
      <c r="P526" s="489"/>
      <c r="Q526" s="489"/>
      <c r="R526" s="489"/>
      <c r="S526" s="489"/>
      <c r="T526" s="489"/>
      <c r="U526" s="489"/>
      <c r="V526" s="489"/>
    </row>
    <row r="527" spans="1:22">
      <c r="A527" s="489"/>
      <c r="B527" s="489"/>
      <c r="C527" s="489"/>
      <c r="D527" s="489"/>
      <c r="E527" s="489"/>
      <c r="F527" s="489"/>
      <c r="G527" s="489"/>
      <c r="H527" s="489"/>
      <c r="I527" s="489"/>
      <c r="J527" s="489"/>
      <c r="K527" s="489"/>
      <c r="L527" s="489"/>
      <c r="M527" s="489"/>
      <c r="N527" s="489"/>
      <c r="O527" s="489"/>
      <c r="P527" s="489"/>
      <c r="Q527" s="489"/>
      <c r="R527" s="489"/>
      <c r="S527" s="489"/>
      <c r="T527" s="489"/>
      <c r="U527" s="489"/>
      <c r="V527" s="489"/>
    </row>
    <row r="528" spans="1:22">
      <c r="A528" s="489"/>
      <c r="B528" s="489"/>
      <c r="C528" s="489"/>
      <c r="D528" s="489"/>
      <c r="E528" s="489"/>
      <c r="F528" s="489"/>
      <c r="G528" s="489"/>
      <c r="H528" s="489"/>
      <c r="I528" s="489"/>
      <c r="J528" s="489"/>
      <c r="K528" s="489"/>
      <c r="L528" s="489"/>
      <c r="M528" s="489"/>
      <c r="N528" s="489"/>
      <c r="O528" s="489"/>
      <c r="P528" s="489"/>
      <c r="Q528" s="489"/>
      <c r="R528" s="489"/>
      <c r="S528" s="489"/>
      <c r="T528" s="489"/>
      <c r="U528" s="489"/>
      <c r="V528" s="489"/>
    </row>
    <row r="529" spans="1:22">
      <c r="A529" s="489"/>
      <c r="B529" s="489"/>
      <c r="C529" s="489"/>
      <c r="D529" s="489"/>
      <c r="E529" s="489"/>
      <c r="F529" s="489"/>
      <c r="G529" s="489"/>
      <c r="H529" s="489"/>
      <c r="I529" s="489"/>
      <c r="J529" s="489"/>
      <c r="K529" s="489"/>
      <c r="L529" s="489"/>
      <c r="M529" s="489"/>
      <c r="N529" s="489"/>
      <c r="O529" s="489"/>
      <c r="P529" s="489"/>
      <c r="Q529" s="489"/>
      <c r="R529" s="489"/>
      <c r="S529" s="489"/>
      <c r="T529" s="489"/>
      <c r="U529" s="489"/>
      <c r="V529" s="489"/>
    </row>
    <row r="530" spans="1:22">
      <c r="A530" s="489"/>
      <c r="B530" s="489"/>
      <c r="C530" s="489"/>
      <c r="D530" s="489"/>
      <c r="E530" s="489"/>
      <c r="F530" s="489"/>
      <c r="G530" s="489"/>
      <c r="H530" s="489"/>
      <c r="I530" s="489"/>
      <c r="J530" s="489"/>
      <c r="K530" s="489"/>
      <c r="L530" s="489"/>
      <c r="M530" s="489"/>
      <c r="N530" s="489"/>
      <c r="O530" s="489"/>
      <c r="P530" s="489"/>
      <c r="Q530" s="489"/>
      <c r="R530" s="489"/>
      <c r="S530" s="489"/>
      <c r="T530" s="489"/>
      <c r="U530" s="489"/>
      <c r="V530" s="489"/>
    </row>
    <row r="531" spans="1:22">
      <c r="A531" s="489"/>
      <c r="B531" s="489"/>
      <c r="C531" s="489"/>
      <c r="D531" s="489"/>
      <c r="E531" s="489"/>
      <c r="F531" s="489"/>
      <c r="G531" s="489"/>
      <c r="H531" s="489"/>
      <c r="I531" s="489"/>
      <c r="J531" s="489"/>
      <c r="K531" s="489"/>
      <c r="L531" s="489"/>
      <c r="M531" s="489"/>
      <c r="N531" s="489"/>
      <c r="O531" s="489"/>
      <c r="P531" s="489"/>
      <c r="Q531" s="489"/>
      <c r="R531" s="489"/>
      <c r="S531" s="489"/>
      <c r="T531" s="489"/>
      <c r="U531" s="489"/>
      <c r="V531" s="489"/>
    </row>
    <row r="532" spans="1:22">
      <c r="A532" s="489"/>
      <c r="B532" s="489"/>
      <c r="C532" s="489"/>
      <c r="D532" s="489"/>
      <c r="E532" s="489"/>
      <c r="F532" s="489"/>
      <c r="G532" s="489"/>
      <c r="H532" s="489"/>
      <c r="I532" s="489"/>
      <c r="J532" s="489"/>
      <c r="K532" s="489"/>
      <c r="L532" s="489"/>
      <c r="M532" s="489"/>
      <c r="N532" s="489"/>
      <c r="O532" s="489"/>
      <c r="P532" s="489"/>
      <c r="Q532" s="489"/>
      <c r="R532" s="489"/>
      <c r="S532" s="489"/>
      <c r="T532" s="489"/>
      <c r="U532" s="489"/>
      <c r="V532" s="489"/>
    </row>
    <row r="533" spans="1:22">
      <c r="A533" s="489"/>
      <c r="B533" s="489"/>
      <c r="C533" s="489"/>
      <c r="D533" s="489"/>
      <c r="E533" s="489"/>
      <c r="F533" s="489"/>
      <c r="G533" s="489"/>
      <c r="H533" s="489"/>
      <c r="I533" s="489"/>
      <c r="J533" s="489"/>
      <c r="K533" s="489"/>
      <c r="L533" s="489"/>
      <c r="M533" s="489"/>
      <c r="N533" s="489"/>
      <c r="O533" s="489"/>
      <c r="P533" s="489"/>
      <c r="Q533" s="489"/>
      <c r="R533" s="489"/>
      <c r="S533" s="489"/>
      <c r="T533" s="489"/>
      <c r="U533" s="489"/>
      <c r="V533" s="489"/>
    </row>
    <row r="534" spans="1:22">
      <c r="A534" s="489"/>
      <c r="B534" s="489"/>
      <c r="C534" s="489"/>
      <c r="D534" s="489"/>
      <c r="E534" s="489"/>
      <c r="F534" s="489"/>
      <c r="G534" s="489"/>
      <c r="H534" s="489"/>
      <c r="I534" s="489"/>
      <c r="J534" s="489"/>
      <c r="K534" s="489"/>
      <c r="L534" s="489"/>
      <c r="M534" s="489"/>
      <c r="N534" s="489"/>
      <c r="O534" s="489"/>
      <c r="P534" s="489"/>
      <c r="Q534" s="489"/>
      <c r="R534" s="489"/>
      <c r="S534" s="489"/>
      <c r="T534" s="489"/>
      <c r="U534" s="489"/>
      <c r="V534" s="489"/>
    </row>
    <row r="535" spans="1:22">
      <c r="A535" s="489"/>
      <c r="B535" s="489"/>
      <c r="C535" s="489"/>
      <c r="D535" s="489"/>
      <c r="E535" s="489"/>
      <c r="F535" s="489"/>
      <c r="G535" s="489"/>
      <c r="H535" s="489"/>
      <c r="I535" s="489"/>
      <c r="J535" s="489"/>
      <c r="K535" s="489"/>
      <c r="L535" s="489"/>
      <c r="M535" s="489"/>
      <c r="N535" s="489"/>
      <c r="O535" s="489"/>
      <c r="P535" s="489"/>
      <c r="Q535" s="489"/>
      <c r="R535" s="489"/>
      <c r="S535" s="489"/>
      <c r="T535" s="489"/>
      <c r="U535" s="489"/>
      <c r="V535" s="489"/>
    </row>
    <row r="536" spans="1:22">
      <c r="A536" s="489"/>
      <c r="B536" s="489"/>
      <c r="C536" s="489"/>
      <c r="D536" s="489"/>
      <c r="E536" s="489"/>
      <c r="F536" s="489"/>
      <c r="G536" s="489"/>
      <c r="H536" s="489"/>
      <c r="I536" s="489"/>
      <c r="J536" s="489"/>
      <c r="K536" s="489"/>
      <c r="L536" s="489"/>
      <c r="M536" s="489"/>
      <c r="N536" s="489"/>
      <c r="O536" s="489"/>
      <c r="P536" s="489"/>
      <c r="Q536" s="489"/>
      <c r="R536" s="489"/>
      <c r="S536" s="489"/>
      <c r="T536" s="489"/>
      <c r="U536" s="489"/>
      <c r="V536" s="489"/>
    </row>
    <row r="537" spans="1:22">
      <c r="A537" s="489"/>
      <c r="B537" s="489"/>
      <c r="C537" s="489"/>
      <c r="D537" s="489"/>
      <c r="E537" s="489"/>
      <c r="F537" s="489"/>
      <c r="G537" s="489"/>
      <c r="H537" s="489"/>
      <c r="I537" s="489"/>
      <c r="J537" s="489"/>
      <c r="K537" s="489"/>
      <c r="L537" s="489"/>
      <c r="M537" s="489"/>
      <c r="N537" s="489"/>
      <c r="O537" s="489"/>
      <c r="P537" s="489"/>
      <c r="Q537" s="489"/>
      <c r="R537" s="489"/>
      <c r="S537" s="489"/>
      <c r="T537" s="489"/>
      <c r="U537" s="489"/>
      <c r="V537" s="489"/>
    </row>
    <row r="538" spans="1:22">
      <c r="A538" s="489"/>
      <c r="B538" s="489"/>
      <c r="C538" s="489"/>
      <c r="D538" s="489"/>
      <c r="E538" s="489"/>
      <c r="F538" s="489"/>
      <c r="G538" s="489"/>
      <c r="H538" s="489"/>
      <c r="I538" s="489"/>
      <c r="J538" s="489"/>
      <c r="K538" s="489"/>
      <c r="L538" s="489"/>
      <c r="M538" s="489"/>
      <c r="N538" s="489"/>
      <c r="O538" s="489"/>
      <c r="P538" s="489"/>
      <c r="Q538" s="489"/>
      <c r="R538" s="489"/>
      <c r="S538" s="489"/>
      <c r="T538" s="489"/>
      <c r="U538" s="489"/>
      <c r="V538" s="489"/>
    </row>
    <row r="539" spans="1:22">
      <c r="A539" s="489"/>
      <c r="B539" s="489"/>
      <c r="C539" s="489"/>
      <c r="D539" s="489"/>
      <c r="E539" s="489"/>
      <c r="F539" s="489"/>
      <c r="G539" s="489"/>
      <c r="H539" s="489"/>
      <c r="I539" s="489"/>
      <c r="J539" s="489"/>
      <c r="K539" s="489"/>
      <c r="L539" s="489"/>
      <c r="M539" s="489"/>
      <c r="N539" s="489"/>
      <c r="O539" s="489"/>
      <c r="P539" s="489"/>
      <c r="Q539" s="489"/>
      <c r="R539" s="489"/>
      <c r="S539" s="489"/>
      <c r="T539" s="489"/>
      <c r="U539" s="489"/>
      <c r="V539" s="489"/>
    </row>
    <row r="540" spans="1:22">
      <c r="A540" s="489"/>
      <c r="B540" s="489"/>
      <c r="C540" s="489"/>
      <c r="D540" s="489"/>
      <c r="E540" s="489"/>
      <c r="F540" s="489"/>
      <c r="G540" s="489"/>
      <c r="H540" s="489"/>
      <c r="I540" s="489"/>
      <c r="J540" s="489"/>
      <c r="K540" s="489"/>
      <c r="L540" s="489"/>
      <c r="M540" s="489"/>
      <c r="N540" s="489"/>
      <c r="O540" s="489"/>
      <c r="P540" s="489"/>
      <c r="Q540" s="489"/>
      <c r="R540" s="489"/>
      <c r="S540" s="489"/>
      <c r="T540" s="489"/>
      <c r="U540" s="489"/>
      <c r="V540" s="489"/>
    </row>
    <row r="541" spans="1:22">
      <c r="A541" s="489"/>
      <c r="B541" s="489"/>
      <c r="C541" s="489"/>
      <c r="D541" s="489"/>
      <c r="E541" s="489"/>
      <c r="F541" s="489"/>
      <c r="G541" s="489"/>
      <c r="H541" s="489"/>
      <c r="I541" s="489"/>
      <c r="J541" s="489"/>
      <c r="K541" s="489"/>
      <c r="L541" s="489"/>
      <c r="M541" s="489"/>
      <c r="N541" s="489"/>
      <c r="O541" s="489"/>
      <c r="P541" s="489"/>
      <c r="Q541" s="489"/>
      <c r="R541" s="489"/>
      <c r="S541" s="489"/>
      <c r="T541" s="489"/>
      <c r="U541" s="489"/>
      <c r="V541" s="489"/>
    </row>
    <row r="542" spans="1:22">
      <c r="A542" s="489"/>
      <c r="B542" s="489"/>
      <c r="C542" s="489"/>
      <c r="D542" s="489"/>
      <c r="E542" s="489"/>
      <c r="F542" s="489"/>
      <c r="G542" s="489"/>
      <c r="H542" s="489"/>
      <c r="I542" s="489"/>
      <c r="J542" s="489"/>
      <c r="K542" s="489"/>
      <c r="L542" s="489"/>
      <c r="M542" s="489"/>
      <c r="N542" s="489"/>
      <c r="O542" s="489"/>
      <c r="P542" s="489"/>
      <c r="Q542" s="489"/>
      <c r="R542" s="489"/>
      <c r="S542" s="489"/>
      <c r="T542" s="489"/>
      <c r="U542" s="489"/>
      <c r="V542" s="489"/>
    </row>
    <row r="543" spans="1:22">
      <c r="A543" s="489"/>
      <c r="B543" s="489"/>
      <c r="C543" s="489"/>
      <c r="D543" s="489"/>
      <c r="E543" s="489"/>
      <c r="F543" s="489"/>
      <c r="G543" s="489"/>
      <c r="H543" s="489"/>
      <c r="I543" s="489"/>
      <c r="J543" s="489"/>
      <c r="K543" s="489"/>
      <c r="L543" s="489"/>
      <c r="M543" s="489"/>
      <c r="N543" s="489"/>
      <c r="O543" s="489"/>
      <c r="P543" s="489"/>
      <c r="Q543" s="489"/>
      <c r="R543" s="489"/>
      <c r="S543" s="489"/>
      <c r="T543" s="489"/>
      <c r="U543" s="489"/>
      <c r="V543" s="489"/>
    </row>
    <row r="544" spans="1:22">
      <c r="A544" s="489"/>
      <c r="B544" s="489"/>
      <c r="C544" s="489"/>
      <c r="D544" s="489"/>
      <c r="E544" s="489"/>
      <c r="F544" s="489"/>
      <c r="G544" s="489"/>
      <c r="H544" s="489"/>
      <c r="I544" s="489"/>
      <c r="J544" s="489"/>
      <c r="K544" s="489"/>
      <c r="L544" s="489"/>
      <c r="M544" s="489"/>
      <c r="N544" s="489"/>
      <c r="O544" s="489"/>
      <c r="P544" s="489"/>
      <c r="Q544" s="489"/>
      <c r="R544" s="489"/>
      <c r="S544" s="489"/>
      <c r="T544" s="489"/>
      <c r="U544" s="489"/>
      <c r="V544" s="489"/>
    </row>
    <row r="545" spans="1:22">
      <c r="A545" s="489"/>
      <c r="B545" s="489"/>
      <c r="C545" s="489"/>
      <c r="D545" s="489"/>
      <c r="E545" s="489"/>
      <c r="F545" s="489"/>
      <c r="G545" s="489"/>
      <c r="H545" s="489"/>
      <c r="I545" s="489"/>
      <c r="J545" s="489"/>
      <c r="K545" s="489"/>
      <c r="L545" s="489"/>
      <c r="M545" s="489"/>
      <c r="N545" s="489"/>
      <c r="O545" s="489"/>
      <c r="P545" s="489"/>
      <c r="Q545" s="489"/>
      <c r="R545" s="489"/>
      <c r="S545" s="489"/>
      <c r="T545" s="489"/>
      <c r="U545" s="489"/>
      <c r="V545" s="489"/>
    </row>
    <row r="546" spans="1:22">
      <c r="A546" s="489"/>
      <c r="B546" s="489"/>
      <c r="C546" s="489"/>
      <c r="D546" s="489"/>
      <c r="E546" s="489"/>
      <c r="F546" s="489"/>
      <c r="G546" s="489"/>
      <c r="H546" s="489"/>
      <c r="I546" s="489"/>
      <c r="J546" s="489"/>
      <c r="K546" s="489"/>
      <c r="L546" s="489"/>
      <c r="M546" s="489"/>
      <c r="N546" s="489"/>
      <c r="O546" s="489"/>
      <c r="P546" s="489"/>
      <c r="Q546" s="489"/>
      <c r="R546" s="489"/>
      <c r="S546" s="489"/>
      <c r="T546" s="489"/>
      <c r="U546" s="489"/>
      <c r="V546" s="489"/>
    </row>
    <row r="547" spans="1:22">
      <c r="A547" s="489"/>
      <c r="B547" s="489"/>
      <c r="C547" s="489"/>
      <c r="D547" s="489"/>
      <c r="E547" s="489"/>
      <c r="F547" s="489"/>
      <c r="G547" s="489"/>
      <c r="H547" s="489"/>
      <c r="I547" s="489"/>
      <c r="J547" s="489"/>
      <c r="K547" s="489"/>
      <c r="L547" s="489"/>
      <c r="M547" s="489"/>
      <c r="N547" s="489"/>
      <c r="O547" s="489"/>
      <c r="P547" s="489"/>
      <c r="Q547" s="489"/>
      <c r="R547" s="489"/>
      <c r="S547" s="489"/>
      <c r="T547" s="489"/>
      <c r="U547" s="489"/>
      <c r="V547" s="489"/>
    </row>
    <row r="548" spans="1:22">
      <c r="A548" s="489"/>
      <c r="B548" s="489"/>
      <c r="C548" s="489"/>
      <c r="D548" s="489"/>
      <c r="E548" s="489"/>
      <c r="F548" s="489"/>
      <c r="G548" s="489"/>
      <c r="H548" s="489"/>
      <c r="I548" s="489"/>
      <c r="J548" s="489"/>
      <c r="K548" s="489"/>
      <c r="L548" s="489"/>
      <c r="M548" s="489"/>
      <c r="N548" s="489"/>
      <c r="O548" s="489"/>
      <c r="P548" s="489"/>
      <c r="Q548" s="489"/>
      <c r="R548" s="489"/>
      <c r="S548" s="489"/>
      <c r="T548" s="489"/>
      <c r="U548" s="489"/>
      <c r="V548" s="489"/>
    </row>
    <row r="549" spans="1:22">
      <c r="A549" s="489"/>
      <c r="B549" s="489"/>
      <c r="C549" s="489"/>
      <c r="D549" s="489"/>
      <c r="E549" s="489"/>
      <c r="F549" s="489"/>
      <c r="G549" s="489"/>
      <c r="H549" s="489"/>
      <c r="I549" s="489"/>
      <c r="J549" s="489"/>
      <c r="K549" s="489"/>
      <c r="L549" s="489"/>
      <c r="M549" s="489"/>
      <c r="N549" s="489"/>
      <c r="O549" s="489"/>
      <c r="P549" s="489"/>
      <c r="Q549" s="489"/>
      <c r="R549" s="489"/>
      <c r="S549" s="489"/>
      <c r="T549" s="489"/>
      <c r="U549" s="489"/>
      <c r="V549" s="489"/>
    </row>
    <row r="550" spans="1:22">
      <c r="A550" s="489"/>
      <c r="B550" s="489"/>
      <c r="C550" s="489"/>
      <c r="D550" s="489"/>
      <c r="E550" s="489"/>
      <c r="F550" s="489"/>
      <c r="G550" s="489"/>
      <c r="H550" s="489"/>
      <c r="I550" s="489"/>
      <c r="J550" s="489"/>
      <c r="K550" s="489"/>
      <c r="L550" s="489"/>
      <c r="M550" s="489"/>
      <c r="N550" s="489"/>
      <c r="O550" s="489"/>
      <c r="P550" s="489"/>
      <c r="Q550" s="489"/>
      <c r="R550" s="489"/>
      <c r="S550" s="489"/>
      <c r="T550" s="489"/>
      <c r="U550" s="489"/>
      <c r="V550" s="489"/>
    </row>
    <row r="551" spans="1:22">
      <c r="A551" s="489"/>
      <c r="B551" s="489"/>
      <c r="C551" s="489"/>
      <c r="D551" s="489"/>
      <c r="E551" s="489"/>
      <c r="F551" s="489"/>
      <c r="G551" s="489"/>
      <c r="H551" s="489"/>
      <c r="I551" s="489"/>
      <c r="J551" s="489"/>
      <c r="K551" s="489"/>
      <c r="L551" s="489"/>
      <c r="M551" s="489"/>
      <c r="N551" s="489"/>
      <c r="O551" s="489"/>
      <c r="P551" s="489"/>
      <c r="Q551" s="489"/>
      <c r="R551" s="489"/>
      <c r="S551" s="489"/>
      <c r="T551" s="489"/>
      <c r="U551" s="489"/>
      <c r="V551" s="489"/>
    </row>
    <row r="552" spans="1:22">
      <c r="A552" s="489"/>
      <c r="B552" s="489"/>
      <c r="C552" s="489"/>
      <c r="D552" s="489"/>
      <c r="E552" s="489"/>
      <c r="F552" s="489"/>
      <c r="G552" s="489"/>
      <c r="H552" s="489"/>
      <c r="I552" s="489"/>
      <c r="J552" s="489"/>
      <c r="K552" s="489"/>
      <c r="L552" s="489"/>
      <c r="M552" s="489"/>
      <c r="N552" s="489"/>
      <c r="O552" s="489"/>
      <c r="P552" s="489"/>
      <c r="Q552" s="489"/>
      <c r="R552" s="489"/>
      <c r="S552" s="489"/>
      <c r="T552" s="489"/>
      <c r="U552" s="489"/>
      <c r="V552" s="489"/>
    </row>
    <row r="553" spans="1:22">
      <c r="A553" s="489"/>
      <c r="B553" s="489"/>
      <c r="C553" s="489"/>
      <c r="D553" s="489"/>
      <c r="E553" s="489"/>
      <c r="F553" s="489"/>
      <c r="G553" s="489"/>
      <c r="H553" s="489"/>
      <c r="I553" s="489"/>
      <c r="J553" s="489"/>
      <c r="K553" s="489"/>
      <c r="L553" s="489"/>
      <c r="M553" s="489"/>
      <c r="N553" s="489"/>
      <c r="O553" s="489"/>
      <c r="P553" s="489"/>
      <c r="Q553" s="489"/>
      <c r="R553" s="489"/>
      <c r="S553" s="489"/>
      <c r="T553" s="489"/>
      <c r="U553" s="489"/>
      <c r="V553" s="489"/>
    </row>
    <row r="554" spans="1:22">
      <c r="A554" s="489"/>
      <c r="B554" s="489"/>
      <c r="C554" s="489"/>
      <c r="D554" s="489"/>
      <c r="E554" s="489"/>
      <c r="F554" s="489"/>
      <c r="G554" s="489"/>
      <c r="H554" s="489"/>
      <c r="I554" s="489"/>
      <c r="J554" s="489"/>
      <c r="K554" s="489"/>
      <c r="L554" s="489"/>
      <c r="M554" s="489"/>
      <c r="N554" s="489"/>
      <c r="O554" s="489"/>
      <c r="P554" s="489"/>
      <c r="Q554" s="489"/>
      <c r="R554" s="489"/>
      <c r="S554" s="489"/>
      <c r="T554" s="489"/>
      <c r="U554" s="489"/>
      <c r="V554" s="489"/>
    </row>
    <row r="555" spans="1:22">
      <c r="A555" s="489"/>
      <c r="B555" s="489"/>
      <c r="C555" s="489"/>
      <c r="D555" s="489"/>
      <c r="E555" s="489"/>
      <c r="F555" s="489"/>
      <c r="G555" s="489"/>
      <c r="H555" s="489"/>
      <c r="I555" s="489"/>
      <c r="J555" s="489"/>
      <c r="K555" s="489"/>
      <c r="L555" s="489"/>
      <c r="M555" s="489"/>
      <c r="N555" s="489"/>
      <c r="O555" s="489"/>
      <c r="P555" s="489"/>
      <c r="Q555" s="489"/>
      <c r="R555" s="489"/>
      <c r="S555" s="489"/>
      <c r="T555" s="489"/>
      <c r="U555" s="489"/>
      <c r="V555" s="489"/>
    </row>
    <row r="556" spans="1:22">
      <c r="A556" s="489"/>
      <c r="B556" s="489"/>
      <c r="C556" s="489"/>
      <c r="D556" s="489"/>
      <c r="E556" s="489"/>
      <c r="F556" s="489"/>
      <c r="G556" s="489"/>
      <c r="H556" s="489"/>
      <c r="I556" s="489"/>
      <c r="J556" s="489"/>
      <c r="K556" s="489"/>
      <c r="L556" s="489"/>
      <c r="M556" s="489"/>
      <c r="N556" s="489"/>
      <c r="O556" s="489"/>
      <c r="P556" s="489"/>
      <c r="Q556" s="489"/>
      <c r="R556" s="489"/>
      <c r="S556" s="489"/>
      <c r="T556" s="489"/>
      <c r="U556" s="489"/>
      <c r="V556" s="489"/>
    </row>
    <row r="557" spans="1:22">
      <c r="A557" s="489"/>
      <c r="B557" s="489"/>
      <c r="C557" s="489"/>
      <c r="D557" s="489"/>
      <c r="E557" s="489"/>
      <c r="F557" s="489"/>
      <c r="G557" s="489"/>
      <c r="H557" s="489"/>
      <c r="I557" s="489"/>
      <c r="J557" s="489"/>
      <c r="K557" s="489"/>
      <c r="L557" s="489"/>
      <c r="M557" s="489"/>
      <c r="N557" s="489"/>
      <c r="O557" s="489"/>
      <c r="P557" s="489"/>
      <c r="Q557" s="489"/>
      <c r="R557" s="489"/>
      <c r="S557" s="489"/>
      <c r="T557" s="489"/>
      <c r="U557" s="489"/>
      <c r="V557" s="489"/>
    </row>
    <row r="558" spans="1:22">
      <c r="A558" s="489"/>
      <c r="B558" s="489"/>
      <c r="C558" s="489"/>
      <c r="D558" s="489"/>
      <c r="E558" s="489"/>
      <c r="F558" s="489"/>
      <c r="G558" s="489"/>
      <c r="H558" s="489"/>
      <c r="I558" s="489"/>
      <c r="J558" s="489"/>
      <c r="K558" s="489"/>
      <c r="L558" s="489"/>
      <c r="M558" s="489"/>
      <c r="N558" s="489"/>
      <c r="O558" s="489"/>
      <c r="P558" s="489"/>
      <c r="Q558" s="489"/>
      <c r="R558" s="489"/>
      <c r="S558" s="489"/>
      <c r="T558" s="489"/>
      <c r="U558" s="489"/>
      <c r="V558" s="489"/>
    </row>
    <row r="559" spans="1:22">
      <c r="A559" s="489"/>
      <c r="B559" s="489"/>
      <c r="C559" s="489"/>
      <c r="D559" s="489"/>
      <c r="E559" s="489"/>
      <c r="F559" s="489"/>
      <c r="G559" s="489"/>
      <c r="H559" s="489"/>
      <c r="I559" s="489"/>
      <c r="J559" s="489"/>
      <c r="K559" s="489"/>
      <c r="L559" s="489"/>
      <c r="M559" s="489"/>
      <c r="N559" s="489"/>
      <c r="O559" s="489"/>
      <c r="P559" s="489"/>
      <c r="Q559" s="489"/>
      <c r="R559" s="489"/>
      <c r="S559" s="489"/>
      <c r="T559" s="489"/>
      <c r="U559" s="489"/>
      <c r="V559" s="489"/>
    </row>
    <row r="560" spans="1:22">
      <c r="A560" s="489"/>
      <c r="B560" s="489"/>
      <c r="C560" s="489"/>
      <c r="D560" s="489"/>
      <c r="E560" s="489"/>
      <c r="F560" s="489"/>
      <c r="G560" s="489"/>
      <c r="H560" s="489"/>
      <c r="I560" s="489"/>
      <c r="J560" s="489"/>
      <c r="K560" s="489"/>
      <c r="L560" s="489"/>
      <c r="M560" s="489"/>
      <c r="N560" s="489"/>
      <c r="O560" s="489"/>
      <c r="P560" s="489"/>
      <c r="Q560" s="489"/>
      <c r="R560" s="489"/>
      <c r="S560" s="489"/>
      <c r="T560" s="489"/>
      <c r="U560" s="489"/>
      <c r="V560" s="489"/>
    </row>
    <row r="561" spans="1:22">
      <c r="A561" s="489"/>
      <c r="B561" s="489"/>
      <c r="C561" s="489"/>
      <c r="D561" s="489"/>
      <c r="E561" s="489"/>
      <c r="F561" s="489"/>
      <c r="G561" s="489"/>
      <c r="H561" s="489"/>
      <c r="I561" s="489"/>
      <c r="J561" s="489"/>
      <c r="K561" s="489"/>
      <c r="L561" s="489"/>
      <c r="M561" s="489"/>
      <c r="N561" s="489"/>
      <c r="O561" s="489"/>
      <c r="P561" s="489"/>
      <c r="Q561" s="489"/>
      <c r="R561" s="489"/>
      <c r="S561" s="489"/>
      <c r="T561" s="489"/>
      <c r="U561" s="489"/>
      <c r="V561" s="489"/>
    </row>
    <row r="562" spans="1:22">
      <c r="A562" s="489"/>
      <c r="B562" s="489"/>
      <c r="C562" s="489"/>
      <c r="D562" s="489"/>
      <c r="E562" s="489"/>
      <c r="F562" s="489"/>
      <c r="G562" s="489"/>
      <c r="H562" s="489"/>
      <c r="I562" s="489"/>
      <c r="J562" s="489"/>
      <c r="K562" s="489"/>
      <c r="L562" s="489"/>
      <c r="M562" s="489"/>
      <c r="N562" s="489"/>
      <c r="O562" s="489"/>
      <c r="P562" s="489"/>
      <c r="Q562" s="489"/>
      <c r="R562" s="489"/>
      <c r="S562" s="489"/>
      <c r="T562" s="489"/>
      <c r="U562" s="489"/>
      <c r="V562" s="489"/>
    </row>
    <row r="563" spans="1:22">
      <c r="A563" s="489"/>
      <c r="B563" s="489"/>
      <c r="C563" s="489"/>
      <c r="D563" s="489"/>
      <c r="E563" s="489"/>
      <c r="F563" s="489"/>
      <c r="G563" s="489"/>
      <c r="H563" s="489"/>
      <c r="I563" s="489"/>
      <c r="J563" s="489"/>
      <c r="K563" s="489"/>
      <c r="L563" s="489"/>
      <c r="M563" s="489"/>
      <c r="N563" s="489"/>
      <c r="O563" s="489"/>
      <c r="P563" s="489"/>
      <c r="Q563" s="489"/>
      <c r="R563" s="489"/>
      <c r="S563" s="489"/>
      <c r="T563" s="489"/>
      <c r="U563" s="489"/>
      <c r="V563" s="489"/>
    </row>
    <row r="564" spans="1:22">
      <c r="A564" s="489"/>
      <c r="B564" s="489"/>
      <c r="C564" s="489"/>
      <c r="D564" s="489"/>
      <c r="E564" s="489"/>
      <c r="F564" s="489"/>
      <c r="G564" s="489"/>
      <c r="H564" s="489"/>
      <c r="I564" s="489"/>
      <c r="J564" s="489"/>
      <c r="K564" s="489"/>
      <c r="L564" s="489"/>
      <c r="M564" s="489"/>
      <c r="N564" s="489"/>
      <c r="O564" s="489"/>
      <c r="P564" s="489"/>
      <c r="Q564" s="489"/>
      <c r="R564" s="489"/>
      <c r="S564" s="489"/>
      <c r="T564" s="489"/>
      <c r="U564" s="489"/>
      <c r="V564" s="489"/>
    </row>
    <row r="565" spans="1:22">
      <c r="A565" s="489"/>
      <c r="B565" s="489"/>
      <c r="C565" s="489"/>
      <c r="D565" s="489"/>
      <c r="E565" s="489"/>
      <c r="F565" s="489"/>
      <c r="G565" s="489"/>
      <c r="H565" s="489"/>
      <c r="I565" s="489"/>
      <c r="J565" s="489"/>
      <c r="K565" s="489"/>
      <c r="L565" s="489"/>
      <c r="M565" s="489"/>
      <c r="N565" s="489"/>
      <c r="O565" s="489"/>
      <c r="P565" s="489"/>
      <c r="Q565" s="489"/>
      <c r="R565" s="489"/>
      <c r="S565" s="489"/>
      <c r="T565" s="489"/>
      <c r="U565" s="489"/>
      <c r="V565" s="489"/>
    </row>
    <row r="566" spans="1:22">
      <c r="A566" s="489"/>
      <c r="B566" s="489"/>
      <c r="C566" s="489"/>
      <c r="D566" s="489"/>
      <c r="E566" s="489"/>
      <c r="F566" s="489"/>
      <c r="G566" s="489"/>
      <c r="H566" s="489"/>
      <c r="I566" s="489"/>
      <c r="J566" s="489"/>
      <c r="K566" s="489"/>
      <c r="L566" s="489"/>
      <c r="M566" s="489"/>
      <c r="N566" s="489"/>
      <c r="O566" s="489"/>
      <c r="P566" s="489"/>
      <c r="Q566" s="489"/>
      <c r="R566" s="489"/>
      <c r="S566" s="489"/>
      <c r="T566" s="489"/>
      <c r="U566" s="489"/>
      <c r="V566" s="489"/>
    </row>
    <row r="567" spans="1:22">
      <c r="A567" s="489"/>
      <c r="B567" s="489"/>
      <c r="C567" s="489"/>
      <c r="D567" s="489"/>
      <c r="E567" s="489"/>
      <c r="F567" s="489"/>
      <c r="G567" s="489"/>
      <c r="H567" s="489"/>
      <c r="I567" s="489"/>
      <c r="J567" s="489"/>
      <c r="K567" s="489"/>
      <c r="L567" s="489"/>
      <c r="M567" s="489"/>
      <c r="N567" s="489"/>
      <c r="O567" s="489"/>
      <c r="P567" s="489"/>
      <c r="Q567" s="489"/>
      <c r="R567" s="489"/>
      <c r="S567" s="489"/>
      <c r="T567" s="489"/>
      <c r="U567" s="489"/>
      <c r="V567" s="489"/>
    </row>
    <row r="568" spans="1:22">
      <c r="A568" s="489"/>
      <c r="B568" s="489"/>
      <c r="C568" s="489"/>
      <c r="D568" s="489"/>
      <c r="E568" s="489"/>
      <c r="F568" s="489"/>
      <c r="G568" s="489"/>
      <c r="H568" s="489"/>
      <c r="I568" s="489"/>
      <c r="J568" s="489"/>
      <c r="K568" s="489"/>
      <c r="L568" s="489"/>
      <c r="M568" s="489"/>
      <c r="N568" s="489"/>
      <c r="O568" s="489"/>
      <c r="P568" s="489"/>
      <c r="Q568" s="489"/>
      <c r="R568" s="489"/>
      <c r="S568" s="489"/>
      <c r="T568" s="489"/>
      <c r="U568" s="489"/>
      <c r="V568" s="489"/>
    </row>
    <row r="569" spans="1:22">
      <c r="A569" s="489"/>
      <c r="B569" s="489"/>
      <c r="C569" s="489"/>
      <c r="D569" s="489"/>
      <c r="E569" s="489"/>
      <c r="F569" s="489"/>
      <c r="G569" s="489"/>
      <c r="H569" s="489"/>
      <c r="I569" s="489"/>
      <c r="J569" s="489"/>
      <c r="K569" s="489"/>
      <c r="L569" s="489"/>
      <c r="M569" s="489"/>
      <c r="N569" s="489"/>
      <c r="O569" s="489"/>
      <c r="P569" s="489"/>
      <c r="Q569" s="489"/>
      <c r="R569" s="489"/>
      <c r="S569" s="489"/>
      <c r="T569" s="489"/>
      <c r="U569" s="489"/>
      <c r="V569" s="489"/>
    </row>
    <row r="570" spans="1:22">
      <c r="A570" s="489"/>
      <c r="B570" s="489"/>
      <c r="C570" s="489"/>
      <c r="D570" s="489"/>
      <c r="E570" s="489"/>
      <c r="F570" s="489"/>
      <c r="G570" s="489"/>
      <c r="H570" s="489"/>
      <c r="I570" s="489"/>
      <c r="J570" s="489"/>
      <c r="K570" s="489"/>
      <c r="L570" s="489"/>
      <c r="M570" s="489"/>
      <c r="N570" s="489"/>
      <c r="O570" s="489"/>
      <c r="P570" s="489"/>
      <c r="Q570" s="489"/>
      <c r="R570" s="489"/>
      <c r="S570" s="489"/>
      <c r="T570" s="489"/>
      <c r="U570" s="489"/>
      <c r="V570" s="489"/>
    </row>
    <row r="571" spans="1:22">
      <c r="A571" s="489"/>
      <c r="B571" s="489"/>
      <c r="C571" s="489"/>
      <c r="D571" s="489"/>
      <c r="E571" s="489"/>
      <c r="F571" s="489"/>
      <c r="G571" s="489"/>
      <c r="H571" s="489"/>
      <c r="I571" s="489"/>
      <c r="J571" s="489"/>
      <c r="K571" s="489"/>
      <c r="L571" s="489"/>
      <c r="M571" s="489"/>
      <c r="N571" s="489"/>
      <c r="O571" s="489"/>
      <c r="P571" s="489"/>
      <c r="Q571" s="489"/>
      <c r="R571" s="489"/>
      <c r="S571" s="489"/>
      <c r="T571" s="489"/>
      <c r="U571" s="489"/>
      <c r="V571" s="489"/>
    </row>
    <row r="572" spans="1:22">
      <c r="A572" s="489"/>
      <c r="B572" s="489"/>
      <c r="C572" s="489"/>
      <c r="D572" s="489"/>
      <c r="E572" s="489"/>
      <c r="F572" s="489"/>
      <c r="G572" s="489"/>
      <c r="H572" s="489"/>
      <c r="I572" s="489"/>
      <c r="J572" s="489"/>
      <c r="K572" s="489"/>
      <c r="L572" s="489"/>
      <c r="M572" s="489"/>
      <c r="N572" s="489"/>
      <c r="O572" s="489"/>
      <c r="P572" s="489"/>
      <c r="Q572" s="489"/>
      <c r="R572" s="489"/>
      <c r="S572" s="489"/>
      <c r="T572" s="489"/>
      <c r="U572" s="489"/>
      <c r="V572" s="489"/>
    </row>
    <row r="573" spans="1:22">
      <c r="A573" s="489"/>
      <c r="B573" s="489"/>
      <c r="C573" s="489"/>
      <c r="D573" s="489"/>
      <c r="E573" s="489"/>
      <c r="F573" s="489"/>
      <c r="G573" s="489"/>
      <c r="H573" s="489"/>
      <c r="I573" s="489"/>
      <c r="J573" s="489"/>
      <c r="K573" s="489"/>
      <c r="L573" s="489"/>
      <c r="M573" s="489"/>
      <c r="N573" s="489"/>
      <c r="O573" s="489"/>
      <c r="P573" s="489"/>
      <c r="Q573" s="489"/>
      <c r="R573" s="489"/>
      <c r="S573" s="489"/>
      <c r="T573" s="489"/>
      <c r="U573" s="489"/>
      <c r="V573" s="489"/>
    </row>
    <row r="574" spans="1:22">
      <c r="A574" s="489"/>
      <c r="B574" s="489"/>
      <c r="C574" s="489"/>
      <c r="D574" s="489"/>
      <c r="E574" s="489"/>
      <c r="F574" s="489"/>
      <c r="G574" s="489"/>
      <c r="H574" s="489"/>
      <c r="I574" s="489"/>
      <c r="J574" s="489"/>
      <c r="K574" s="489"/>
      <c r="L574" s="489"/>
      <c r="M574" s="489"/>
      <c r="N574" s="489"/>
      <c r="O574" s="489"/>
      <c r="P574" s="489"/>
      <c r="Q574" s="489"/>
      <c r="R574" s="489"/>
      <c r="S574" s="489"/>
      <c r="T574" s="489"/>
      <c r="U574" s="489"/>
      <c r="V574" s="489"/>
    </row>
    <row r="575" spans="1:22">
      <c r="A575" s="489"/>
      <c r="B575" s="489"/>
      <c r="C575" s="489"/>
      <c r="D575" s="489"/>
      <c r="E575" s="489"/>
      <c r="F575" s="489"/>
      <c r="G575" s="489"/>
      <c r="H575" s="489"/>
      <c r="I575" s="489"/>
      <c r="J575" s="489"/>
      <c r="K575" s="489"/>
      <c r="L575" s="489"/>
      <c r="M575" s="489"/>
      <c r="N575" s="489"/>
      <c r="O575" s="489"/>
      <c r="P575" s="489"/>
      <c r="Q575" s="489"/>
      <c r="R575" s="489"/>
      <c r="S575" s="489"/>
      <c r="T575" s="489"/>
      <c r="U575" s="489"/>
      <c r="V575" s="489"/>
    </row>
    <row r="576" spans="1:22">
      <c r="A576" s="489"/>
      <c r="B576" s="489"/>
      <c r="C576" s="489"/>
      <c r="D576" s="489"/>
      <c r="E576" s="489"/>
      <c r="F576" s="489"/>
      <c r="G576" s="489"/>
      <c r="H576" s="489"/>
      <c r="I576" s="489"/>
      <c r="J576" s="489"/>
      <c r="K576" s="489"/>
      <c r="L576" s="489"/>
      <c r="M576" s="489"/>
      <c r="N576" s="489"/>
      <c r="O576" s="489"/>
      <c r="P576" s="489"/>
      <c r="Q576" s="489"/>
      <c r="R576" s="489"/>
      <c r="S576" s="489"/>
      <c r="T576" s="489"/>
      <c r="U576" s="489"/>
      <c r="V576" s="489"/>
    </row>
    <row r="577" spans="1:22">
      <c r="A577" s="489"/>
      <c r="B577" s="489"/>
      <c r="C577" s="489"/>
      <c r="D577" s="489"/>
      <c r="E577" s="489"/>
      <c r="F577" s="489"/>
      <c r="G577" s="489"/>
      <c r="H577" s="489"/>
      <c r="I577" s="489"/>
      <c r="J577" s="489"/>
      <c r="K577" s="489"/>
      <c r="L577" s="489"/>
      <c r="M577" s="489"/>
      <c r="N577" s="489"/>
      <c r="O577" s="489"/>
      <c r="P577" s="489"/>
      <c r="Q577" s="489"/>
      <c r="R577" s="489"/>
      <c r="S577" s="489"/>
      <c r="T577" s="489"/>
      <c r="U577" s="489"/>
      <c r="V577" s="489"/>
    </row>
    <row r="578" spans="1:22">
      <c r="A578" s="489"/>
      <c r="B578" s="489"/>
      <c r="C578" s="489"/>
      <c r="D578" s="489"/>
      <c r="E578" s="489"/>
      <c r="F578" s="489"/>
      <c r="G578" s="489"/>
      <c r="H578" s="489"/>
      <c r="I578" s="489"/>
      <c r="J578" s="489"/>
      <c r="K578" s="489"/>
      <c r="L578" s="489"/>
      <c r="M578" s="489"/>
      <c r="N578" s="489"/>
      <c r="O578" s="489"/>
      <c r="P578" s="489"/>
      <c r="Q578" s="489"/>
      <c r="R578" s="489"/>
      <c r="S578" s="489"/>
      <c r="T578" s="489"/>
      <c r="U578" s="489"/>
      <c r="V578" s="489"/>
    </row>
    <row r="579" spans="1:22">
      <c r="A579" s="489"/>
      <c r="B579" s="489"/>
      <c r="C579" s="489"/>
      <c r="D579" s="489"/>
      <c r="E579" s="489"/>
      <c r="F579" s="489"/>
      <c r="G579" s="489"/>
      <c r="H579" s="489"/>
      <c r="I579" s="489"/>
      <c r="J579" s="489"/>
      <c r="K579" s="489"/>
      <c r="L579" s="489"/>
      <c r="M579" s="489"/>
      <c r="N579" s="489"/>
      <c r="O579" s="489"/>
      <c r="P579" s="489"/>
      <c r="Q579" s="489"/>
      <c r="R579" s="489"/>
      <c r="S579" s="489"/>
      <c r="T579" s="489"/>
      <c r="U579" s="489"/>
      <c r="V579" s="489"/>
    </row>
    <row r="580" spans="1:22">
      <c r="A580" s="489"/>
      <c r="B580" s="489"/>
      <c r="C580" s="489"/>
      <c r="D580" s="489"/>
      <c r="E580" s="489"/>
      <c r="F580" s="489"/>
      <c r="G580" s="489"/>
      <c r="H580" s="489"/>
      <c r="I580" s="489"/>
      <c r="J580" s="489"/>
      <c r="K580" s="489"/>
      <c r="L580" s="489"/>
      <c r="M580" s="489"/>
      <c r="N580" s="489"/>
      <c r="O580" s="489"/>
      <c r="P580" s="489"/>
      <c r="Q580" s="489"/>
      <c r="R580" s="489"/>
      <c r="S580" s="489"/>
      <c r="T580" s="489"/>
      <c r="U580" s="489"/>
      <c r="V580" s="489"/>
    </row>
    <row r="581" spans="1:22">
      <c r="A581" s="489"/>
      <c r="B581" s="489"/>
      <c r="C581" s="489"/>
      <c r="D581" s="489"/>
      <c r="E581" s="489"/>
      <c r="F581" s="489"/>
      <c r="G581" s="489"/>
      <c r="H581" s="489"/>
      <c r="I581" s="489"/>
      <c r="J581" s="489"/>
      <c r="K581" s="489"/>
      <c r="L581" s="489"/>
      <c r="M581" s="489"/>
      <c r="N581" s="489"/>
      <c r="O581" s="489"/>
      <c r="P581" s="489"/>
      <c r="Q581" s="489"/>
      <c r="R581" s="489"/>
      <c r="S581" s="489"/>
      <c r="T581" s="489"/>
      <c r="U581" s="489"/>
      <c r="V581" s="489"/>
    </row>
    <row r="582" spans="1:22">
      <c r="A582" s="489"/>
      <c r="B582" s="489"/>
      <c r="C582" s="489"/>
      <c r="D582" s="489"/>
      <c r="E582" s="489"/>
      <c r="F582" s="489"/>
      <c r="G582" s="489"/>
      <c r="H582" s="489"/>
      <c r="I582" s="489"/>
      <c r="J582" s="489"/>
      <c r="K582" s="489"/>
      <c r="L582" s="489"/>
      <c r="M582" s="489"/>
      <c r="N582" s="489"/>
      <c r="O582" s="489"/>
      <c r="P582" s="489"/>
      <c r="Q582" s="489"/>
      <c r="R582" s="489"/>
      <c r="S582" s="489"/>
      <c r="T582" s="489"/>
      <c r="U582" s="489"/>
      <c r="V582" s="489"/>
    </row>
    <row r="583" spans="1:22">
      <c r="A583" s="489"/>
      <c r="B583" s="489"/>
      <c r="C583" s="489"/>
      <c r="D583" s="489"/>
      <c r="E583" s="489"/>
      <c r="F583" s="489"/>
      <c r="G583" s="489"/>
      <c r="H583" s="489"/>
      <c r="I583" s="489"/>
      <c r="J583" s="489"/>
      <c r="K583" s="489"/>
      <c r="L583" s="489"/>
      <c r="M583" s="489"/>
      <c r="N583" s="489"/>
      <c r="O583" s="489"/>
      <c r="P583" s="489"/>
      <c r="Q583" s="489"/>
      <c r="R583" s="489"/>
      <c r="S583" s="489"/>
      <c r="T583" s="489"/>
      <c r="U583" s="489"/>
      <c r="V583" s="489"/>
    </row>
    <row r="584" spans="1:22">
      <c r="A584" s="489"/>
      <c r="B584" s="489"/>
      <c r="C584" s="489"/>
      <c r="D584" s="489"/>
      <c r="E584" s="489"/>
      <c r="F584" s="489"/>
      <c r="G584" s="489"/>
      <c r="H584" s="489"/>
      <c r="I584" s="489"/>
      <c r="J584" s="489"/>
      <c r="K584" s="489"/>
      <c r="L584" s="489"/>
      <c r="M584" s="489"/>
      <c r="N584" s="489"/>
      <c r="O584" s="489"/>
      <c r="P584" s="489"/>
      <c r="Q584" s="489"/>
      <c r="R584" s="489"/>
      <c r="S584" s="489"/>
      <c r="T584" s="489"/>
      <c r="U584" s="489"/>
      <c r="V584" s="489"/>
    </row>
    <row r="585" spans="1:22">
      <c r="A585" s="489"/>
      <c r="B585" s="489"/>
      <c r="C585" s="489"/>
      <c r="D585" s="489"/>
      <c r="E585" s="489"/>
      <c r="F585" s="489"/>
      <c r="G585" s="489"/>
      <c r="H585" s="489"/>
      <c r="I585" s="489"/>
      <c r="J585" s="489"/>
      <c r="K585" s="489"/>
      <c r="L585" s="489"/>
      <c r="M585" s="489"/>
      <c r="N585" s="489"/>
      <c r="O585" s="489"/>
      <c r="P585" s="489"/>
      <c r="Q585" s="489"/>
      <c r="R585" s="489"/>
      <c r="S585" s="489"/>
      <c r="T585" s="489"/>
      <c r="U585" s="489"/>
      <c r="V585" s="489"/>
    </row>
    <row r="586" spans="1:22">
      <c r="A586" s="489"/>
      <c r="B586" s="489"/>
      <c r="C586" s="489"/>
      <c r="D586" s="489"/>
      <c r="E586" s="489"/>
      <c r="F586" s="489"/>
      <c r="G586" s="489"/>
      <c r="H586" s="489"/>
      <c r="I586" s="489"/>
      <c r="J586" s="489"/>
      <c r="K586" s="489"/>
      <c r="L586" s="489"/>
      <c r="M586" s="489"/>
      <c r="N586" s="489"/>
      <c r="O586" s="489"/>
      <c r="P586" s="489"/>
      <c r="Q586" s="489"/>
      <c r="R586" s="489"/>
      <c r="S586" s="489"/>
      <c r="T586" s="489"/>
      <c r="U586" s="489"/>
      <c r="V586" s="489"/>
    </row>
    <row r="587" spans="1:22">
      <c r="A587" s="489"/>
      <c r="B587" s="489"/>
      <c r="C587" s="489"/>
      <c r="D587" s="489"/>
      <c r="E587" s="489"/>
      <c r="F587" s="489"/>
      <c r="G587" s="489"/>
      <c r="H587" s="489"/>
      <c r="I587" s="489"/>
      <c r="J587" s="489"/>
      <c r="K587" s="489"/>
      <c r="L587" s="489"/>
      <c r="M587" s="489"/>
      <c r="N587" s="489"/>
      <c r="O587" s="489"/>
      <c r="P587" s="489"/>
      <c r="Q587" s="489"/>
      <c r="R587" s="489"/>
      <c r="S587" s="489"/>
      <c r="T587" s="489"/>
      <c r="U587" s="489"/>
      <c r="V587" s="489"/>
    </row>
    <row r="588" spans="1:22">
      <c r="A588" s="489"/>
      <c r="B588" s="489"/>
      <c r="C588" s="489"/>
      <c r="D588" s="489"/>
      <c r="E588" s="489"/>
      <c r="F588" s="489"/>
      <c r="G588" s="489"/>
      <c r="H588" s="489"/>
      <c r="I588" s="489"/>
      <c r="J588" s="489"/>
      <c r="K588" s="489"/>
      <c r="L588" s="489"/>
      <c r="M588" s="489"/>
      <c r="N588" s="489"/>
      <c r="O588" s="489"/>
      <c r="P588" s="489"/>
      <c r="Q588" s="489"/>
      <c r="R588" s="489"/>
      <c r="S588" s="489"/>
      <c r="T588" s="489"/>
      <c r="U588" s="489"/>
      <c r="V588" s="489"/>
    </row>
    <row r="589" spans="1:22">
      <c r="A589" s="489"/>
      <c r="B589" s="489"/>
      <c r="C589" s="489"/>
      <c r="D589" s="489"/>
      <c r="E589" s="489"/>
      <c r="F589" s="489"/>
      <c r="G589" s="489"/>
      <c r="H589" s="489"/>
      <c r="I589" s="489"/>
      <c r="J589" s="489"/>
      <c r="K589" s="489"/>
      <c r="L589" s="489"/>
      <c r="M589" s="489"/>
      <c r="N589" s="489"/>
      <c r="O589" s="489"/>
      <c r="P589" s="489"/>
      <c r="Q589" s="489"/>
      <c r="R589" s="489"/>
      <c r="S589" s="489"/>
      <c r="T589" s="489"/>
      <c r="U589" s="489"/>
      <c r="V589" s="489"/>
    </row>
    <row r="590" spans="1:22">
      <c r="A590" s="489"/>
      <c r="B590" s="489"/>
      <c r="C590" s="489"/>
      <c r="D590" s="489"/>
      <c r="E590" s="489"/>
      <c r="F590" s="489"/>
      <c r="G590" s="489"/>
      <c r="H590" s="489"/>
      <c r="I590" s="489"/>
      <c r="J590" s="489"/>
      <c r="K590" s="489"/>
      <c r="L590" s="489"/>
      <c r="M590" s="489"/>
      <c r="N590" s="489"/>
      <c r="O590" s="489"/>
      <c r="P590" s="489"/>
      <c r="Q590" s="489"/>
      <c r="R590" s="489"/>
      <c r="S590" s="489"/>
      <c r="T590" s="489"/>
      <c r="U590" s="489"/>
      <c r="V590" s="489"/>
    </row>
    <row r="591" spans="1:22">
      <c r="A591" s="489"/>
      <c r="B591" s="489"/>
      <c r="C591" s="489"/>
      <c r="D591" s="489"/>
      <c r="E591" s="489"/>
      <c r="F591" s="489"/>
      <c r="G591" s="489"/>
      <c r="H591" s="489"/>
      <c r="I591" s="489"/>
      <c r="J591" s="489"/>
      <c r="K591" s="489"/>
      <c r="L591" s="489"/>
      <c r="M591" s="489"/>
      <c r="N591" s="489"/>
      <c r="O591" s="489"/>
      <c r="P591" s="489"/>
      <c r="Q591" s="489"/>
      <c r="R591" s="489"/>
      <c r="S591" s="489"/>
      <c r="T591" s="489"/>
      <c r="U591" s="489"/>
      <c r="V591" s="489"/>
    </row>
    <row r="592" spans="1:22">
      <c r="A592" s="489"/>
      <c r="B592" s="489"/>
      <c r="C592" s="489"/>
      <c r="D592" s="489"/>
      <c r="E592" s="489"/>
      <c r="F592" s="489"/>
      <c r="G592" s="489"/>
      <c r="H592" s="489"/>
      <c r="I592" s="489"/>
      <c r="J592" s="489"/>
      <c r="K592" s="489"/>
      <c r="L592" s="489"/>
      <c r="M592" s="489"/>
      <c r="N592" s="489"/>
      <c r="O592" s="489"/>
      <c r="P592" s="489"/>
      <c r="Q592" s="489"/>
      <c r="R592" s="489"/>
      <c r="S592" s="489"/>
      <c r="T592" s="489"/>
      <c r="U592" s="489"/>
      <c r="V592" s="489"/>
    </row>
    <row r="593" spans="1:22">
      <c r="A593" s="489"/>
      <c r="B593" s="489"/>
      <c r="C593" s="489"/>
      <c r="D593" s="489"/>
      <c r="E593" s="489"/>
      <c r="F593" s="489"/>
      <c r="G593" s="489"/>
      <c r="H593" s="489"/>
      <c r="I593" s="489"/>
      <c r="J593" s="489"/>
      <c r="K593" s="489"/>
      <c r="L593" s="489"/>
      <c r="M593" s="489"/>
      <c r="N593" s="489"/>
      <c r="O593" s="489"/>
      <c r="P593" s="489"/>
      <c r="Q593" s="489"/>
      <c r="R593" s="489"/>
      <c r="S593" s="489"/>
      <c r="T593" s="489"/>
      <c r="U593" s="489"/>
      <c r="V593" s="489"/>
    </row>
    <row r="594" spans="1:22">
      <c r="A594" s="489"/>
      <c r="B594" s="489"/>
      <c r="C594" s="489"/>
      <c r="D594" s="489"/>
      <c r="E594" s="489"/>
      <c r="F594" s="489"/>
      <c r="G594" s="489"/>
      <c r="H594" s="489"/>
      <c r="I594" s="489"/>
      <c r="J594" s="489"/>
      <c r="K594" s="489"/>
      <c r="L594" s="489"/>
      <c r="M594" s="489"/>
      <c r="N594" s="489"/>
      <c r="O594" s="489"/>
      <c r="P594" s="489"/>
      <c r="Q594" s="489"/>
      <c r="R594" s="489"/>
      <c r="S594" s="489"/>
      <c r="T594" s="489"/>
      <c r="U594" s="489"/>
      <c r="V594" s="489"/>
    </row>
    <row r="595" spans="1:22">
      <c r="A595" s="489"/>
      <c r="B595" s="489"/>
      <c r="C595" s="489"/>
      <c r="D595" s="489"/>
      <c r="E595" s="489"/>
      <c r="F595" s="489"/>
      <c r="G595" s="489"/>
      <c r="H595" s="489"/>
      <c r="I595" s="489"/>
      <c r="J595" s="489"/>
      <c r="K595" s="489"/>
      <c r="L595" s="489"/>
      <c r="M595" s="489"/>
      <c r="N595" s="489"/>
      <c r="O595" s="489"/>
      <c r="P595" s="489"/>
      <c r="Q595" s="489"/>
      <c r="R595" s="489"/>
      <c r="S595" s="489"/>
      <c r="T595" s="489"/>
      <c r="U595" s="489"/>
      <c r="V595" s="489"/>
    </row>
    <row r="596" spans="1:22">
      <c r="A596" s="489"/>
      <c r="B596" s="489"/>
      <c r="C596" s="489"/>
      <c r="D596" s="489"/>
      <c r="E596" s="489"/>
      <c r="F596" s="489"/>
      <c r="G596" s="489"/>
      <c r="H596" s="489"/>
      <c r="I596" s="489"/>
      <c r="J596" s="489"/>
      <c r="K596" s="489"/>
      <c r="L596" s="489"/>
      <c r="M596" s="489"/>
      <c r="N596" s="489"/>
      <c r="O596" s="489"/>
      <c r="P596" s="489"/>
      <c r="Q596" s="489"/>
      <c r="R596" s="489"/>
      <c r="S596" s="489"/>
      <c r="T596" s="489"/>
      <c r="U596" s="489"/>
      <c r="V596" s="489"/>
    </row>
    <row r="597" spans="1:22">
      <c r="A597" s="489"/>
      <c r="B597" s="489"/>
      <c r="C597" s="489"/>
      <c r="D597" s="489"/>
      <c r="E597" s="489"/>
      <c r="F597" s="489"/>
      <c r="G597" s="489"/>
      <c r="H597" s="489"/>
      <c r="I597" s="489"/>
      <c r="J597" s="489"/>
      <c r="K597" s="489"/>
      <c r="L597" s="489"/>
      <c r="M597" s="489"/>
      <c r="N597" s="489"/>
      <c r="O597" s="489"/>
      <c r="P597" s="489"/>
      <c r="Q597" s="489"/>
      <c r="R597" s="489"/>
      <c r="S597" s="489"/>
      <c r="T597" s="489"/>
      <c r="U597" s="489"/>
      <c r="V597" s="489"/>
    </row>
    <row r="598" spans="1:22">
      <c r="A598" s="489"/>
      <c r="B598" s="489"/>
      <c r="C598" s="489"/>
      <c r="D598" s="489"/>
      <c r="E598" s="489"/>
      <c r="F598" s="489"/>
      <c r="G598" s="489"/>
      <c r="H598" s="489"/>
      <c r="I598" s="489"/>
      <c r="J598" s="489"/>
      <c r="K598" s="489"/>
      <c r="L598" s="489"/>
      <c r="M598" s="489"/>
      <c r="N598" s="489"/>
      <c r="O598" s="489"/>
      <c r="P598" s="489"/>
      <c r="Q598" s="489"/>
      <c r="R598" s="489"/>
      <c r="S598" s="489"/>
      <c r="T598" s="489"/>
      <c r="U598" s="489"/>
      <c r="V598" s="489"/>
    </row>
    <row r="599" spans="1:22">
      <c r="A599" s="489"/>
      <c r="B599" s="489"/>
      <c r="C599" s="489"/>
      <c r="D599" s="489"/>
      <c r="E599" s="489"/>
      <c r="F599" s="489"/>
      <c r="G599" s="489"/>
      <c r="H599" s="489"/>
      <c r="I599" s="489"/>
      <c r="J599" s="489"/>
      <c r="K599" s="489"/>
      <c r="L599" s="489"/>
      <c r="M599" s="489"/>
      <c r="N599" s="489"/>
      <c r="O599" s="489"/>
      <c r="P599" s="489"/>
      <c r="Q599" s="489"/>
      <c r="R599" s="489"/>
      <c r="S599" s="489"/>
      <c r="T599" s="489"/>
      <c r="U599" s="489"/>
      <c r="V599" s="489"/>
    </row>
    <row r="600" spans="1:22">
      <c r="A600" s="489"/>
      <c r="B600" s="489"/>
      <c r="C600" s="489"/>
      <c r="D600" s="489"/>
      <c r="E600" s="489"/>
      <c r="F600" s="489"/>
      <c r="G600" s="489"/>
      <c r="H600" s="489"/>
      <c r="I600" s="489"/>
      <c r="J600" s="489"/>
      <c r="K600" s="489"/>
      <c r="L600" s="489"/>
      <c r="M600" s="489"/>
      <c r="N600" s="489"/>
      <c r="O600" s="489"/>
      <c r="P600" s="489"/>
      <c r="Q600" s="489"/>
      <c r="R600" s="489"/>
      <c r="S600" s="489"/>
      <c r="T600" s="489"/>
      <c r="U600" s="489"/>
      <c r="V600" s="489"/>
    </row>
    <row r="601" spans="1:22">
      <c r="A601" s="489"/>
      <c r="B601" s="489"/>
      <c r="C601" s="489"/>
      <c r="D601" s="489"/>
      <c r="E601" s="489"/>
      <c r="F601" s="489"/>
      <c r="G601" s="489"/>
      <c r="H601" s="489"/>
      <c r="I601" s="489"/>
      <c r="J601" s="489"/>
      <c r="K601" s="489"/>
      <c r="L601" s="489"/>
      <c r="M601" s="489"/>
      <c r="N601" s="489"/>
      <c r="O601" s="489"/>
      <c r="P601" s="489"/>
      <c r="Q601" s="489"/>
      <c r="R601" s="489"/>
      <c r="S601" s="489"/>
      <c r="T601" s="489"/>
      <c r="U601" s="489"/>
      <c r="V601" s="489"/>
    </row>
    <row r="602" spans="1:22">
      <c r="A602" s="489"/>
      <c r="B602" s="489"/>
      <c r="C602" s="489"/>
      <c r="D602" s="489"/>
      <c r="E602" s="489"/>
      <c r="F602" s="489"/>
      <c r="G602" s="489"/>
      <c r="H602" s="489"/>
      <c r="I602" s="489"/>
      <c r="J602" s="489"/>
      <c r="K602" s="489"/>
      <c r="L602" s="489"/>
      <c r="M602" s="489"/>
      <c r="N602" s="489"/>
      <c r="O602" s="489"/>
      <c r="P602" s="489"/>
      <c r="Q602" s="489"/>
      <c r="R602" s="489"/>
      <c r="S602" s="489"/>
      <c r="T602" s="489"/>
      <c r="U602" s="489"/>
      <c r="V602" s="489"/>
    </row>
    <row r="603" spans="1:22">
      <c r="A603" s="489"/>
      <c r="B603" s="489"/>
      <c r="C603" s="489"/>
      <c r="D603" s="489"/>
      <c r="E603" s="489"/>
      <c r="F603" s="489"/>
      <c r="G603" s="489"/>
      <c r="H603" s="489"/>
      <c r="I603" s="489"/>
      <c r="J603" s="489"/>
      <c r="K603" s="489"/>
      <c r="L603" s="489"/>
      <c r="M603" s="489"/>
      <c r="N603" s="489"/>
      <c r="O603" s="489"/>
      <c r="P603" s="489"/>
      <c r="Q603" s="489"/>
      <c r="R603" s="489"/>
      <c r="S603" s="489"/>
      <c r="T603" s="489"/>
      <c r="U603" s="489"/>
      <c r="V603" s="489"/>
    </row>
    <row r="604" spans="1:22">
      <c r="A604" s="489"/>
      <c r="B604" s="489"/>
      <c r="C604" s="489"/>
      <c r="D604" s="489"/>
      <c r="E604" s="489"/>
      <c r="F604" s="489"/>
      <c r="G604" s="489"/>
      <c r="H604" s="489"/>
      <c r="I604" s="489"/>
      <c r="J604" s="489"/>
      <c r="K604" s="489"/>
      <c r="L604" s="489"/>
      <c r="M604" s="489"/>
      <c r="N604" s="489"/>
      <c r="O604" s="489"/>
      <c r="P604" s="489"/>
      <c r="Q604" s="489"/>
      <c r="R604" s="489"/>
      <c r="S604" s="489"/>
      <c r="T604" s="489"/>
      <c r="U604" s="489"/>
      <c r="V604" s="489"/>
    </row>
    <row r="605" spans="1:22">
      <c r="A605" s="489"/>
      <c r="B605" s="489"/>
      <c r="C605" s="489"/>
      <c r="D605" s="489"/>
      <c r="E605" s="489"/>
      <c r="F605" s="489"/>
      <c r="G605" s="489"/>
      <c r="H605" s="489"/>
      <c r="I605" s="489"/>
      <c r="J605" s="489"/>
      <c r="K605" s="489"/>
      <c r="L605" s="489"/>
      <c r="M605" s="489"/>
      <c r="N605" s="489"/>
      <c r="O605" s="489"/>
      <c r="P605" s="489"/>
      <c r="Q605" s="489"/>
      <c r="R605" s="489"/>
      <c r="S605" s="489"/>
      <c r="T605" s="489"/>
      <c r="U605" s="489"/>
      <c r="V605" s="489"/>
    </row>
    <row r="606" spans="1:22">
      <c r="A606" s="489"/>
      <c r="B606" s="489"/>
      <c r="C606" s="489"/>
      <c r="D606" s="489"/>
      <c r="E606" s="489"/>
      <c r="F606" s="489"/>
      <c r="G606" s="489"/>
      <c r="H606" s="489"/>
      <c r="I606" s="489"/>
      <c r="J606" s="489"/>
      <c r="K606" s="489"/>
      <c r="L606" s="489"/>
      <c r="M606" s="489"/>
      <c r="N606" s="489"/>
      <c r="O606" s="489"/>
      <c r="P606" s="489"/>
      <c r="Q606" s="489"/>
      <c r="R606" s="489"/>
      <c r="S606" s="489"/>
      <c r="T606" s="489"/>
      <c r="U606" s="489"/>
      <c r="V606" s="489"/>
    </row>
    <row r="607" spans="1:22">
      <c r="A607" s="489"/>
      <c r="B607" s="489"/>
      <c r="C607" s="489"/>
      <c r="D607" s="489"/>
      <c r="E607" s="489"/>
      <c r="F607" s="489"/>
      <c r="G607" s="489"/>
      <c r="H607" s="489"/>
      <c r="I607" s="489"/>
      <c r="J607" s="489"/>
      <c r="K607" s="489"/>
      <c r="L607" s="489"/>
      <c r="M607" s="489"/>
      <c r="N607" s="489"/>
      <c r="O607" s="489"/>
      <c r="P607" s="489"/>
      <c r="Q607" s="489"/>
      <c r="R607" s="489"/>
      <c r="S607" s="489"/>
      <c r="T607" s="489"/>
      <c r="U607" s="489"/>
      <c r="V607" s="489"/>
    </row>
    <row r="608" spans="1:22">
      <c r="A608" s="489"/>
      <c r="B608" s="489"/>
      <c r="C608" s="489"/>
      <c r="D608" s="489"/>
      <c r="E608" s="489"/>
      <c r="F608" s="489"/>
      <c r="G608" s="489"/>
      <c r="H608" s="489"/>
      <c r="I608" s="489"/>
      <c r="J608" s="489"/>
      <c r="K608" s="489"/>
      <c r="L608" s="489"/>
      <c r="M608" s="489"/>
      <c r="N608" s="489"/>
      <c r="O608" s="489"/>
      <c r="P608" s="489"/>
      <c r="Q608" s="489"/>
      <c r="R608" s="489"/>
      <c r="S608" s="489"/>
      <c r="T608" s="489"/>
      <c r="U608" s="489"/>
      <c r="V608" s="489"/>
    </row>
    <row r="609" spans="1:22">
      <c r="A609" s="489"/>
      <c r="B609" s="489"/>
      <c r="C609" s="489"/>
      <c r="D609" s="489"/>
      <c r="E609" s="489"/>
      <c r="F609" s="489"/>
      <c r="G609" s="489"/>
      <c r="H609" s="489"/>
      <c r="I609" s="489"/>
      <c r="J609" s="489"/>
      <c r="K609" s="489"/>
      <c r="L609" s="489"/>
      <c r="M609" s="489"/>
      <c r="N609" s="489"/>
      <c r="O609" s="489"/>
      <c r="P609" s="489"/>
      <c r="Q609" s="489"/>
      <c r="R609" s="489"/>
      <c r="S609" s="489"/>
      <c r="T609" s="489"/>
      <c r="U609" s="489"/>
      <c r="V609" s="489"/>
    </row>
    <row r="610" spans="1:22">
      <c r="A610" s="489"/>
      <c r="B610" s="489"/>
      <c r="C610" s="489"/>
      <c r="D610" s="489"/>
      <c r="E610" s="489"/>
      <c r="F610" s="489"/>
      <c r="G610" s="489"/>
      <c r="H610" s="489"/>
      <c r="I610" s="489"/>
      <c r="J610" s="489"/>
      <c r="K610" s="489"/>
      <c r="L610" s="489"/>
      <c r="M610" s="489"/>
      <c r="N610" s="489"/>
      <c r="O610" s="489"/>
      <c r="P610" s="489"/>
      <c r="Q610" s="489"/>
      <c r="R610" s="489"/>
      <c r="S610" s="489"/>
      <c r="T610" s="489"/>
      <c r="U610" s="489"/>
      <c r="V610" s="489"/>
    </row>
    <row r="611" spans="1:22">
      <c r="A611" s="489"/>
      <c r="B611" s="489"/>
      <c r="C611" s="489"/>
      <c r="D611" s="489"/>
      <c r="E611" s="489"/>
      <c r="F611" s="489"/>
      <c r="G611" s="489"/>
      <c r="H611" s="489"/>
      <c r="I611" s="489"/>
      <c r="J611" s="489"/>
      <c r="K611" s="489"/>
      <c r="L611" s="489"/>
      <c r="M611" s="489"/>
      <c r="N611" s="489"/>
      <c r="O611" s="489"/>
      <c r="P611" s="489"/>
      <c r="Q611" s="489"/>
      <c r="R611" s="489"/>
      <c r="S611" s="489"/>
      <c r="T611" s="489"/>
      <c r="U611" s="489"/>
      <c r="V611" s="489"/>
    </row>
    <row r="612" spans="1:22">
      <c r="A612" s="489"/>
      <c r="B612" s="489"/>
      <c r="C612" s="489"/>
      <c r="D612" s="489"/>
      <c r="E612" s="489"/>
      <c r="F612" s="489"/>
      <c r="G612" s="489"/>
      <c r="H612" s="489"/>
      <c r="I612" s="489"/>
      <c r="J612" s="489"/>
      <c r="K612" s="489"/>
      <c r="L612" s="489"/>
      <c r="M612" s="489"/>
      <c r="N612" s="489"/>
      <c r="O612" s="489"/>
      <c r="P612" s="489"/>
      <c r="Q612" s="489"/>
      <c r="R612" s="489"/>
      <c r="S612" s="489"/>
      <c r="T612" s="489"/>
      <c r="U612" s="489"/>
      <c r="V612" s="489"/>
    </row>
    <row r="613" spans="1:22">
      <c r="A613" s="489"/>
      <c r="B613" s="489"/>
      <c r="C613" s="489"/>
      <c r="D613" s="489"/>
      <c r="E613" s="489"/>
      <c r="F613" s="489"/>
      <c r="G613" s="489"/>
      <c r="H613" s="489"/>
      <c r="I613" s="489"/>
      <c r="J613" s="489"/>
      <c r="K613" s="489"/>
      <c r="L613" s="489"/>
      <c r="M613" s="489"/>
      <c r="N613" s="489"/>
      <c r="O613" s="489"/>
      <c r="P613" s="489"/>
      <c r="Q613" s="489"/>
      <c r="R613" s="489"/>
      <c r="S613" s="489"/>
      <c r="T613" s="489"/>
      <c r="U613" s="489"/>
      <c r="V613" s="489"/>
    </row>
    <row r="614" spans="1:22">
      <c r="A614" s="489"/>
      <c r="B614" s="489"/>
      <c r="C614" s="489"/>
      <c r="D614" s="489"/>
      <c r="E614" s="489"/>
      <c r="F614" s="489"/>
      <c r="G614" s="489"/>
      <c r="H614" s="489"/>
      <c r="I614" s="489"/>
      <c r="J614" s="489"/>
      <c r="K614" s="489"/>
      <c r="L614" s="489"/>
      <c r="M614" s="489"/>
      <c r="N614" s="489"/>
      <c r="O614" s="489"/>
      <c r="P614" s="489"/>
      <c r="Q614" s="489"/>
      <c r="R614" s="489"/>
      <c r="S614" s="489"/>
      <c r="T614" s="489"/>
      <c r="U614" s="489"/>
      <c r="V614" s="489"/>
    </row>
    <row r="615" spans="1:22">
      <c r="A615" s="489"/>
      <c r="B615" s="489"/>
      <c r="C615" s="489"/>
      <c r="D615" s="489"/>
      <c r="E615" s="489"/>
      <c r="F615" s="489"/>
      <c r="G615" s="489"/>
      <c r="H615" s="489"/>
      <c r="I615" s="489"/>
      <c r="J615" s="489"/>
      <c r="K615" s="489"/>
      <c r="L615" s="489"/>
      <c r="M615" s="489"/>
      <c r="N615" s="489"/>
      <c r="O615" s="489"/>
      <c r="P615" s="489"/>
      <c r="Q615" s="489"/>
      <c r="R615" s="489"/>
      <c r="S615" s="489"/>
      <c r="T615" s="489"/>
      <c r="U615" s="489"/>
      <c r="V615" s="489"/>
    </row>
    <row r="616" spans="1:22">
      <c r="A616" s="489"/>
      <c r="B616" s="489"/>
      <c r="C616" s="489"/>
      <c r="D616" s="489"/>
      <c r="E616" s="489"/>
      <c r="F616" s="489"/>
      <c r="G616" s="489"/>
      <c r="H616" s="489"/>
      <c r="I616" s="489"/>
      <c r="J616" s="489"/>
      <c r="K616" s="489"/>
      <c r="L616" s="489"/>
      <c r="M616" s="489"/>
      <c r="N616" s="489"/>
      <c r="O616" s="489"/>
      <c r="P616" s="489"/>
      <c r="Q616" s="489"/>
      <c r="R616" s="489"/>
      <c r="S616" s="489"/>
      <c r="T616" s="489"/>
      <c r="U616" s="489"/>
      <c r="V616" s="489"/>
    </row>
    <row r="617" spans="1:22">
      <c r="A617" s="489"/>
      <c r="B617" s="489"/>
      <c r="C617" s="489"/>
      <c r="D617" s="489"/>
      <c r="E617" s="489"/>
      <c r="F617" s="489"/>
      <c r="G617" s="489"/>
      <c r="H617" s="489"/>
      <c r="I617" s="489"/>
      <c r="J617" s="489"/>
      <c r="K617" s="489"/>
      <c r="L617" s="489"/>
      <c r="M617" s="489"/>
      <c r="N617" s="489"/>
      <c r="O617" s="489"/>
      <c r="P617" s="489"/>
      <c r="Q617" s="489"/>
      <c r="R617" s="489"/>
      <c r="S617" s="489"/>
      <c r="T617" s="489"/>
      <c r="U617" s="489"/>
      <c r="V617" s="489"/>
    </row>
    <row r="618" spans="1:22">
      <c r="A618" s="489"/>
      <c r="B618" s="489"/>
      <c r="C618" s="489"/>
      <c r="D618" s="489"/>
      <c r="E618" s="489"/>
      <c r="F618" s="489"/>
      <c r="G618" s="489"/>
      <c r="H618" s="489"/>
      <c r="I618" s="489"/>
      <c r="J618" s="489"/>
      <c r="K618" s="489"/>
      <c r="L618" s="489"/>
      <c r="M618" s="489"/>
      <c r="N618" s="489"/>
      <c r="O618" s="489"/>
      <c r="P618" s="489"/>
      <c r="Q618" s="489"/>
      <c r="R618" s="489"/>
      <c r="S618" s="489"/>
      <c r="T618" s="489"/>
      <c r="U618" s="489"/>
      <c r="V618" s="489"/>
    </row>
    <row r="619" spans="1:22">
      <c r="A619" s="489"/>
      <c r="B619" s="489"/>
      <c r="C619" s="489"/>
      <c r="D619" s="489"/>
      <c r="E619" s="489"/>
      <c r="F619" s="489"/>
      <c r="G619" s="489"/>
      <c r="H619" s="489"/>
      <c r="I619" s="489"/>
      <c r="J619" s="489"/>
      <c r="K619" s="489"/>
      <c r="L619" s="489"/>
      <c r="M619" s="489"/>
      <c r="N619" s="489"/>
      <c r="O619" s="489"/>
      <c r="P619" s="489"/>
      <c r="Q619" s="489"/>
      <c r="R619" s="489"/>
      <c r="S619" s="489"/>
      <c r="T619" s="489"/>
      <c r="U619" s="489"/>
      <c r="V619" s="489"/>
    </row>
    <row r="620" spans="1:22">
      <c r="A620" s="489"/>
      <c r="B620" s="489"/>
      <c r="C620" s="489"/>
      <c r="D620" s="489"/>
      <c r="E620" s="489"/>
      <c r="F620" s="489"/>
      <c r="G620" s="489"/>
      <c r="H620" s="489"/>
      <c r="I620" s="489"/>
      <c r="J620" s="489"/>
      <c r="K620" s="489"/>
      <c r="L620" s="489"/>
      <c r="M620" s="489"/>
      <c r="N620" s="489"/>
      <c r="O620" s="489"/>
      <c r="P620" s="489"/>
      <c r="Q620" s="489"/>
      <c r="R620" s="489"/>
      <c r="S620" s="489"/>
      <c r="T620" s="489"/>
      <c r="U620" s="489"/>
      <c r="V620" s="489"/>
    </row>
    <row r="621" spans="1:22">
      <c r="A621" s="489"/>
      <c r="B621" s="489"/>
      <c r="C621" s="489"/>
      <c r="D621" s="489"/>
      <c r="E621" s="489"/>
      <c r="F621" s="489"/>
      <c r="G621" s="489"/>
      <c r="H621" s="489"/>
      <c r="I621" s="489"/>
      <c r="J621" s="489"/>
      <c r="K621" s="489"/>
      <c r="L621" s="489"/>
      <c r="M621" s="489"/>
      <c r="N621" s="489"/>
      <c r="O621" s="489"/>
      <c r="P621" s="489"/>
      <c r="Q621" s="489"/>
      <c r="R621" s="489"/>
      <c r="S621" s="489"/>
      <c r="T621" s="489"/>
      <c r="U621" s="489"/>
      <c r="V621" s="489"/>
    </row>
    <row r="622" spans="1:22">
      <c r="A622" s="489"/>
      <c r="B622" s="489"/>
      <c r="C622" s="489"/>
      <c r="D622" s="489"/>
      <c r="E622" s="489"/>
      <c r="F622" s="489"/>
      <c r="G622" s="489"/>
      <c r="H622" s="489"/>
      <c r="I622" s="489"/>
      <c r="J622" s="489"/>
      <c r="K622" s="489"/>
      <c r="L622" s="489"/>
      <c r="M622" s="489"/>
      <c r="N622" s="489"/>
      <c r="O622" s="489"/>
      <c r="P622" s="489"/>
      <c r="Q622" s="489"/>
      <c r="R622" s="489"/>
      <c r="S622" s="489"/>
      <c r="T622" s="489"/>
      <c r="U622" s="489"/>
      <c r="V622" s="489"/>
    </row>
    <row r="623" spans="1:22">
      <c r="A623" s="489"/>
      <c r="B623" s="489"/>
      <c r="C623" s="489"/>
      <c r="D623" s="489"/>
      <c r="E623" s="489"/>
      <c r="F623" s="489"/>
      <c r="G623" s="489"/>
      <c r="H623" s="489"/>
      <c r="I623" s="489"/>
      <c r="J623" s="489"/>
      <c r="K623" s="489"/>
      <c r="L623" s="489"/>
      <c r="M623" s="489"/>
      <c r="N623" s="489"/>
      <c r="O623" s="489"/>
      <c r="P623" s="489"/>
      <c r="Q623" s="489"/>
      <c r="R623" s="489"/>
      <c r="S623" s="489"/>
      <c r="T623" s="489"/>
      <c r="U623" s="489"/>
      <c r="V623" s="489"/>
    </row>
    <row r="624" spans="1:22">
      <c r="A624" s="489"/>
      <c r="B624" s="489"/>
      <c r="C624" s="489"/>
      <c r="D624" s="489"/>
      <c r="E624" s="489"/>
      <c r="F624" s="489"/>
      <c r="G624" s="489"/>
      <c r="H624" s="489"/>
      <c r="I624" s="489"/>
      <c r="J624" s="489"/>
      <c r="K624" s="489"/>
      <c r="L624" s="489"/>
      <c r="M624" s="489"/>
      <c r="N624" s="489"/>
      <c r="O624" s="489"/>
      <c r="P624" s="489"/>
      <c r="Q624" s="489"/>
      <c r="R624" s="489"/>
      <c r="S624" s="489"/>
      <c r="T624" s="489"/>
      <c r="U624" s="489"/>
      <c r="V624" s="489"/>
    </row>
    <row r="625" spans="1:22">
      <c r="A625" s="489"/>
      <c r="B625" s="489"/>
      <c r="C625" s="489"/>
      <c r="D625" s="489"/>
      <c r="E625" s="489"/>
      <c r="F625" s="489"/>
      <c r="G625" s="489"/>
      <c r="H625" s="489"/>
      <c r="I625" s="489"/>
      <c r="J625" s="489"/>
      <c r="K625" s="489"/>
      <c r="L625" s="489"/>
      <c r="M625" s="489"/>
      <c r="N625" s="489"/>
      <c r="O625" s="489"/>
      <c r="P625" s="489"/>
      <c r="Q625" s="489"/>
      <c r="R625" s="489"/>
      <c r="S625" s="489"/>
      <c r="T625" s="489"/>
      <c r="U625" s="489"/>
      <c r="V625" s="489"/>
    </row>
    <row r="626" spans="1:22">
      <c r="A626" s="489"/>
      <c r="B626" s="489"/>
      <c r="C626" s="489"/>
      <c r="D626" s="489"/>
      <c r="E626" s="489"/>
      <c r="F626" s="489"/>
      <c r="G626" s="489"/>
      <c r="H626" s="489"/>
      <c r="I626" s="489"/>
      <c r="J626" s="489"/>
      <c r="K626" s="489"/>
      <c r="L626" s="489"/>
      <c r="M626" s="489"/>
      <c r="N626" s="489"/>
      <c r="O626" s="489"/>
      <c r="P626" s="489"/>
      <c r="Q626" s="489"/>
      <c r="R626" s="489"/>
      <c r="S626" s="489"/>
      <c r="T626" s="489"/>
      <c r="U626" s="489"/>
      <c r="V626" s="489"/>
    </row>
    <row r="627" spans="1:22">
      <c r="A627" s="489"/>
      <c r="B627" s="489"/>
      <c r="C627" s="489"/>
      <c r="D627" s="489"/>
      <c r="E627" s="489"/>
      <c r="F627" s="489"/>
      <c r="G627" s="489"/>
      <c r="H627" s="489"/>
      <c r="I627" s="489"/>
      <c r="J627" s="489"/>
      <c r="K627" s="489"/>
      <c r="L627" s="489"/>
      <c r="M627" s="489"/>
      <c r="N627" s="489"/>
      <c r="O627" s="489"/>
      <c r="P627" s="489"/>
      <c r="Q627" s="489"/>
      <c r="R627" s="489"/>
      <c r="S627" s="489"/>
      <c r="T627" s="489"/>
      <c r="U627" s="489"/>
      <c r="V627" s="489"/>
    </row>
    <row r="628" spans="1:22">
      <c r="A628" s="489"/>
      <c r="B628" s="489"/>
      <c r="C628" s="489"/>
      <c r="D628" s="489"/>
      <c r="E628" s="489"/>
      <c r="F628" s="489"/>
      <c r="G628" s="489"/>
      <c r="H628" s="489"/>
      <c r="I628" s="489"/>
      <c r="J628" s="489"/>
      <c r="K628" s="489"/>
      <c r="L628" s="489"/>
      <c r="M628" s="489"/>
      <c r="N628" s="489"/>
      <c r="O628" s="489"/>
      <c r="P628" s="489"/>
      <c r="Q628" s="489"/>
      <c r="R628" s="489"/>
      <c r="S628" s="489"/>
      <c r="T628" s="489"/>
      <c r="U628" s="489"/>
      <c r="V628" s="489"/>
    </row>
    <row r="629" spans="1:22">
      <c r="A629" s="489"/>
      <c r="B629" s="489"/>
      <c r="C629" s="489"/>
      <c r="D629" s="489"/>
      <c r="E629" s="489"/>
      <c r="F629" s="489"/>
      <c r="G629" s="489"/>
      <c r="H629" s="489"/>
      <c r="I629" s="489"/>
      <c r="J629" s="489"/>
      <c r="K629" s="489"/>
      <c r="L629" s="489"/>
      <c r="M629" s="489"/>
      <c r="N629" s="489"/>
      <c r="O629" s="489"/>
      <c r="P629" s="489"/>
      <c r="Q629" s="489"/>
      <c r="R629" s="489"/>
      <c r="S629" s="489"/>
      <c r="T629" s="489"/>
      <c r="U629" s="489"/>
      <c r="V629" s="489"/>
    </row>
    <row r="630" spans="1:22">
      <c r="A630" s="489"/>
      <c r="B630" s="489"/>
      <c r="C630" s="489"/>
      <c r="D630" s="489"/>
      <c r="E630" s="489"/>
      <c r="F630" s="489"/>
      <c r="G630" s="489"/>
      <c r="H630" s="489"/>
      <c r="I630" s="489"/>
      <c r="J630" s="489"/>
      <c r="K630" s="489"/>
      <c r="L630" s="489"/>
      <c r="M630" s="489"/>
      <c r="N630" s="489"/>
      <c r="O630" s="489"/>
      <c r="P630" s="489"/>
      <c r="Q630" s="489"/>
      <c r="R630" s="489"/>
      <c r="S630" s="489"/>
      <c r="T630" s="489"/>
      <c r="U630" s="489"/>
      <c r="V630" s="489"/>
    </row>
    <row r="631" spans="1:22">
      <c r="A631" s="489"/>
      <c r="B631" s="489"/>
      <c r="C631" s="489"/>
      <c r="D631" s="489"/>
      <c r="E631" s="489"/>
      <c r="F631" s="489"/>
      <c r="G631" s="489"/>
      <c r="H631" s="489"/>
      <c r="I631" s="489"/>
      <c r="J631" s="489"/>
      <c r="K631" s="489"/>
      <c r="L631" s="489"/>
      <c r="M631" s="489"/>
      <c r="N631" s="489"/>
      <c r="O631" s="489"/>
      <c r="P631" s="489"/>
      <c r="Q631" s="489"/>
      <c r="R631" s="489"/>
      <c r="S631" s="489"/>
      <c r="T631" s="489"/>
      <c r="U631" s="489"/>
      <c r="V631" s="489"/>
    </row>
    <row r="632" spans="1:22">
      <c r="A632" s="489"/>
      <c r="B632" s="489"/>
      <c r="C632" s="489"/>
      <c r="D632" s="489"/>
      <c r="E632" s="489"/>
      <c r="F632" s="489"/>
      <c r="G632" s="489"/>
      <c r="H632" s="489"/>
      <c r="I632" s="489"/>
      <c r="J632" s="489"/>
      <c r="K632" s="489"/>
      <c r="L632" s="489"/>
      <c r="M632" s="489"/>
      <c r="N632" s="489"/>
      <c r="O632" s="489"/>
      <c r="P632" s="489"/>
      <c r="Q632" s="489"/>
      <c r="R632" s="489"/>
      <c r="S632" s="489"/>
      <c r="T632" s="489"/>
      <c r="U632" s="489"/>
      <c r="V632" s="489"/>
    </row>
    <row r="633" spans="1:22">
      <c r="A633" s="489"/>
      <c r="B633" s="489"/>
      <c r="C633" s="489"/>
      <c r="D633" s="489"/>
      <c r="E633" s="489"/>
      <c r="F633" s="489"/>
      <c r="G633" s="489"/>
      <c r="H633" s="489"/>
      <c r="I633" s="489"/>
      <c r="J633" s="489"/>
      <c r="K633" s="489"/>
      <c r="L633" s="489"/>
      <c r="M633" s="489"/>
      <c r="N633" s="489"/>
      <c r="O633" s="489"/>
      <c r="P633" s="489"/>
      <c r="Q633" s="489"/>
      <c r="R633" s="489"/>
      <c r="S633" s="489"/>
      <c r="T633" s="489"/>
      <c r="U633" s="489"/>
      <c r="V633" s="489"/>
    </row>
    <row r="634" spans="1:22">
      <c r="A634" s="489"/>
      <c r="B634" s="489"/>
      <c r="C634" s="489"/>
      <c r="D634" s="489"/>
      <c r="E634" s="489"/>
      <c r="F634" s="489"/>
      <c r="G634" s="489"/>
      <c r="H634" s="489"/>
      <c r="I634" s="489"/>
      <c r="J634" s="489"/>
      <c r="K634" s="489"/>
      <c r="L634" s="489"/>
      <c r="M634" s="489"/>
      <c r="N634" s="489"/>
      <c r="O634" s="489"/>
      <c r="P634" s="489"/>
      <c r="Q634" s="489"/>
      <c r="R634" s="489"/>
      <c r="S634" s="489"/>
      <c r="T634" s="489"/>
      <c r="U634" s="489"/>
      <c r="V634" s="489"/>
    </row>
    <row r="635" spans="1:22">
      <c r="A635" s="489"/>
      <c r="B635" s="489"/>
      <c r="C635" s="489"/>
      <c r="D635" s="489"/>
      <c r="E635" s="489"/>
      <c r="F635" s="489"/>
      <c r="G635" s="489"/>
      <c r="H635" s="489"/>
      <c r="I635" s="489"/>
      <c r="J635" s="489"/>
      <c r="K635" s="489"/>
      <c r="L635" s="489"/>
      <c r="M635" s="489"/>
      <c r="N635" s="489"/>
      <c r="O635" s="489"/>
      <c r="P635" s="489"/>
      <c r="Q635" s="489"/>
      <c r="R635" s="489"/>
      <c r="S635" s="489"/>
      <c r="T635" s="489"/>
      <c r="U635" s="489"/>
      <c r="V635" s="489"/>
    </row>
    <row r="636" spans="1:22">
      <c r="A636" s="489"/>
      <c r="B636" s="489"/>
      <c r="C636" s="489"/>
      <c r="D636" s="489"/>
      <c r="E636" s="489"/>
      <c r="F636" s="489"/>
      <c r="G636" s="489"/>
      <c r="H636" s="489"/>
      <c r="I636" s="489"/>
      <c r="J636" s="489"/>
      <c r="K636" s="489"/>
      <c r="L636" s="489"/>
      <c r="M636" s="489"/>
      <c r="N636" s="489"/>
      <c r="O636" s="489"/>
      <c r="P636" s="489"/>
      <c r="Q636" s="489"/>
      <c r="R636" s="489"/>
      <c r="S636" s="489"/>
      <c r="T636" s="489"/>
      <c r="U636" s="489"/>
      <c r="V636" s="489"/>
    </row>
    <row r="637" spans="1:22">
      <c r="A637" s="489"/>
      <c r="B637" s="489"/>
      <c r="C637" s="489"/>
      <c r="D637" s="489"/>
      <c r="E637" s="489"/>
      <c r="F637" s="489"/>
      <c r="G637" s="489"/>
      <c r="H637" s="489"/>
      <c r="I637" s="489"/>
      <c r="J637" s="489"/>
      <c r="K637" s="489"/>
      <c r="L637" s="489"/>
      <c r="M637" s="489"/>
      <c r="N637" s="489"/>
      <c r="O637" s="489"/>
      <c r="P637" s="489"/>
      <c r="Q637" s="489"/>
      <c r="R637" s="489"/>
      <c r="S637" s="489"/>
      <c r="T637" s="489"/>
      <c r="U637" s="489"/>
      <c r="V637" s="489"/>
    </row>
    <row r="638" spans="1:22">
      <c r="A638" s="489"/>
      <c r="B638" s="489"/>
      <c r="C638" s="489"/>
      <c r="D638" s="489"/>
      <c r="E638" s="489"/>
      <c r="F638" s="489"/>
      <c r="G638" s="489"/>
      <c r="H638" s="489"/>
      <c r="I638" s="489"/>
      <c r="J638" s="489"/>
      <c r="K638" s="489"/>
      <c r="L638" s="489"/>
      <c r="M638" s="489"/>
      <c r="N638" s="489"/>
      <c r="O638" s="489"/>
      <c r="P638" s="489"/>
      <c r="Q638" s="489"/>
      <c r="R638" s="489"/>
      <c r="S638" s="489"/>
      <c r="T638" s="489"/>
      <c r="U638" s="489"/>
      <c r="V638" s="489"/>
    </row>
    <row r="639" spans="1:22">
      <c r="A639" s="489"/>
      <c r="B639" s="489"/>
      <c r="C639" s="489"/>
      <c r="D639" s="489"/>
      <c r="E639" s="489"/>
      <c r="F639" s="489"/>
      <c r="G639" s="489"/>
      <c r="H639" s="489"/>
      <c r="I639" s="489"/>
      <c r="J639" s="489"/>
      <c r="K639" s="489"/>
      <c r="L639" s="489"/>
      <c r="M639" s="489"/>
      <c r="N639" s="489"/>
      <c r="O639" s="489"/>
      <c r="P639" s="489"/>
      <c r="Q639" s="489"/>
      <c r="R639" s="489"/>
      <c r="S639" s="489"/>
      <c r="T639" s="489"/>
      <c r="U639" s="489"/>
      <c r="V639" s="489"/>
    </row>
    <row r="640" spans="1:22">
      <c r="A640" s="489"/>
      <c r="B640" s="489"/>
      <c r="C640" s="489"/>
      <c r="D640" s="489"/>
      <c r="E640" s="489"/>
      <c r="F640" s="489"/>
      <c r="G640" s="489"/>
      <c r="H640" s="489"/>
      <c r="I640" s="489"/>
      <c r="J640" s="489"/>
      <c r="K640" s="489"/>
      <c r="L640" s="489"/>
      <c r="M640" s="489"/>
      <c r="N640" s="489"/>
      <c r="O640" s="489"/>
      <c r="P640" s="489"/>
      <c r="Q640" s="489"/>
      <c r="R640" s="489"/>
      <c r="S640" s="489"/>
      <c r="T640" s="489"/>
      <c r="U640" s="489"/>
      <c r="V640" s="489"/>
    </row>
    <row r="641" spans="1:22">
      <c r="A641" s="489"/>
      <c r="B641" s="489"/>
      <c r="C641" s="489"/>
      <c r="D641" s="489"/>
      <c r="E641" s="489"/>
      <c r="F641" s="489"/>
      <c r="G641" s="489"/>
      <c r="H641" s="489"/>
      <c r="I641" s="489"/>
      <c r="J641" s="489"/>
      <c r="K641" s="489"/>
      <c r="L641" s="489"/>
      <c r="M641" s="489"/>
      <c r="N641" s="489"/>
      <c r="O641" s="489"/>
      <c r="P641" s="489"/>
      <c r="Q641" s="489"/>
      <c r="R641" s="489"/>
      <c r="S641" s="489"/>
      <c r="T641" s="489"/>
      <c r="U641" s="489"/>
      <c r="V641" s="489"/>
    </row>
    <row r="642" spans="1:22">
      <c r="A642" s="489"/>
      <c r="B642" s="489"/>
      <c r="C642" s="489"/>
      <c r="D642" s="489"/>
      <c r="E642" s="489"/>
      <c r="F642" s="489"/>
      <c r="G642" s="489"/>
      <c r="H642" s="489"/>
      <c r="I642" s="489"/>
      <c r="J642" s="489"/>
      <c r="K642" s="489"/>
      <c r="L642" s="489"/>
      <c r="M642" s="489"/>
      <c r="N642" s="489"/>
      <c r="O642" s="489"/>
      <c r="P642" s="489"/>
      <c r="Q642" s="489"/>
      <c r="R642" s="489"/>
      <c r="S642" s="489"/>
      <c r="T642" s="489"/>
      <c r="U642" s="489"/>
      <c r="V642" s="489"/>
    </row>
    <row r="643" spans="1:22">
      <c r="A643" s="489"/>
      <c r="B643" s="489"/>
      <c r="C643" s="489"/>
      <c r="D643" s="489"/>
      <c r="E643" s="489"/>
      <c r="F643" s="489"/>
      <c r="G643" s="489"/>
      <c r="H643" s="489"/>
      <c r="I643" s="489"/>
      <c r="J643" s="489"/>
      <c r="K643" s="489"/>
      <c r="L643" s="489"/>
      <c r="M643" s="489"/>
      <c r="N643" s="489"/>
      <c r="O643" s="489"/>
      <c r="P643" s="489"/>
      <c r="Q643" s="489"/>
      <c r="R643" s="489"/>
      <c r="S643" s="489"/>
      <c r="T643" s="489"/>
      <c r="U643" s="489"/>
      <c r="V643" s="489"/>
    </row>
    <row r="644" spans="1:22">
      <c r="A644" s="489"/>
      <c r="B644" s="489"/>
      <c r="C644" s="489"/>
      <c r="D644" s="489"/>
      <c r="E644" s="489"/>
      <c r="F644" s="489"/>
      <c r="G644" s="489"/>
      <c r="H644" s="489"/>
      <c r="I644" s="489"/>
      <c r="J644" s="489"/>
      <c r="K644" s="489"/>
      <c r="L644" s="489"/>
      <c r="M644" s="489"/>
      <c r="N644" s="489"/>
      <c r="O644" s="489"/>
      <c r="P644" s="489"/>
      <c r="Q644" s="489"/>
      <c r="R644" s="489"/>
      <c r="S644" s="489"/>
      <c r="T644" s="489"/>
      <c r="U644" s="489"/>
      <c r="V644" s="489"/>
    </row>
    <row r="645" spans="1:22">
      <c r="A645" s="489"/>
      <c r="B645" s="489"/>
      <c r="C645" s="489"/>
      <c r="D645" s="489"/>
      <c r="E645" s="489"/>
      <c r="F645" s="489"/>
      <c r="G645" s="489"/>
      <c r="H645" s="489"/>
      <c r="I645" s="489"/>
      <c r="J645" s="489"/>
      <c r="K645" s="489"/>
      <c r="L645" s="489"/>
      <c r="M645" s="489"/>
      <c r="N645" s="489"/>
      <c r="O645" s="489"/>
      <c r="P645" s="489"/>
      <c r="Q645" s="489"/>
      <c r="R645" s="489"/>
      <c r="S645" s="489"/>
      <c r="T645" s="489"/>
      <c r="U645" s="489"/>
      <c r="V645" s="489"/>
    </row>
    <row r="646" spans="1:22">
      <c r="A646" s="489"/>
      <c r="B646" s="489"/>
      <c r="C646" s="489"/>
      <c r="D646" s="489"/>
      <c r="E646" s="489"/>
      <c r="F646" s="489"/>
      <c r="G646" s="489"/>
      <c r="H646" s="489"/>
      <c r="I646" s="489"/>
      <c r="J646" s="489"/>
      <c r="K646" s="489"/>
      <c r="L646" s="489"/>
      <c r="M646" s="489"/>
      <c r="N646" s="489"/>
      <c r="O646" s="489"/>
      <c r="P646" s="489"/>
      <c r="Q646" s="489"/>
      <c r="R646" s="489"/>
      <c r="S646" s="489"/>
      <c r="T646" s="489"/>
      <c r="U646" s="489"/>
      <c r="V646" s="489"/>
    </row>
    <row r="647" spans="1:22">
      <c r="A647" s="489"/>
      <c r="B647" s="489"/>
      <c r="C647" s="489"/>
      <c r="D647" s="489"/>
      <c r="E647" s="489"/>
      <c r="F647" s="489"/>
      <c r="G647" s="489"/>
      <c r="H647" s="489"/>
      <c r="I647" s="489"/>
      <c r="J647" s="489"/>
      <c r="K647" s="489"/>
      <c r="L647" s="489"/>
      <c r="M647" s="489"/>
      <c r="N647" s="489"/>
      <c r="O647" s="489"/>
      <c r="P647" s="489"/>
      <c r="Q647" s="489"/>
      <c r="R647" s="489"/>
      <c r="S647" s="489"/>
      <c r="T647" s="489"/>
      <c r="U647" s="489"/>
      <c r="V647" s="489"/>
    </row>
    <row r="648" spans="1:22">
      <c r="A648" s="489"/>
      <c r="B648" s="489"/>
      <c r="C648" s="489"/>
      <c r="D648" s="489"/>
      <c r="E648" s="489"/>
      <c r="F648" s="489"/>
      <c r="G648" s="489"/>
      <c r="H648" s="489"/>
      <c r="I648" s="489"/>
      <c r="J648" s="489"/>
      <c r="K648" s="489"/>
      <c r="L648" s="489"/>
      <c r="M648" s="489"/>
      <c r="N648" s="489"/>
      <c r="O648" s="489"/>
      <c r="P648" s="489"/>
      <c r="Q648" s="489"/>
      <c r="R648" s="489"/>
      <c r="S648" s="489"/>
      <c r="T648" s="489"/>
      <c r="U648" s="489"/>
      <c r="V648" s="489"/>
    </row>
    <row r="649" spans="1:22">
      <c r="A649" s="489"/>
      <c r="B649" s="489"/>
      <c r="C649" s="489"/>
      <c r="D649" s="489"/>
      <c r="E649" s="489"/>
      <c r="F649" s="489"/>
      <c r="G649" s="489"/>
      <c r="H649" s="489"/>
      <c r="I649" s="489"/>
      <c r="J649" s="489"/>
      <c r="K649" s="489"/>
      <c r="L649" s="489"/>
      <c r="M649" s="489"/>
      <c r="N649" s="489"/>
      <c r="O649" s="489"/>
      <c r="P649" s="489"/>
      <c r="Q649" s="489"/>
      <c r="R649" s="489"/>
      <c r="S649" s="489"/>
      <c r="T649" s="489"/>
      <c r="U649" s="489"/>
      <c r="V649" s="489"/>
    </row>
    <row r="650" spans="1:22">
      <c r="A650" s="489"/>
      <c r="B650" s="489"/>
      <c r="C650" s="489"/>
      <c r="D650" s="489"/>
      <c r="E650" s="489"/>
      <c r="F650" s="489"/>
      <c r="G650" s="489"/>
      <c r="H650" s="489"/>
      <c r="I650" s="489"/>
      <c r="J650" s="489"/>
      <c r="K650" s="489"/>
      <c r="L650" s="489"/>
      <c r="M650" s="489"/>
      <c r="N650" s="489"/>
      <c r="O650" s="489"/>
      <c r="P650" s="489"/>
      <c r="Q650" s="489"/>
      <c r="R650" s="489"/>
      <c r="S650" s="489"/>
      <c r="T650" s="489"/>
      <c r="U650" s="489"/>
      <c r="V650" s="489"/>
    </row>
    <row r="651" spans="1:22">
      <c r="A651" s="489"/>
      <c r="B651" s="489"/>
      <c r="C651" s="489"/>
      <c r="D651" s="489"/>
      <c r="E651" s="489"/>
      <c r="F651" s="489"/>
      <c r="G651" s="489"/>
      <c r="H651" s="489"/>
      <c r="I651" s="489"/>
      <c r="J651" s="489"/>
      <c r="K651" s="489"/>
      <c r="L651" s="489"/>
      <c r="M651" s="489"/>
      <c r="N651" s="489"/>
      <c r="O651" s="489"/>
      <c r="P651" s="489"/>
      <c r="Q651" s="489"/>
      <c r="R651" s="489"/>
      <c r="S651" s="489"/>
      <c r="T651" s="489"/>
      <c r="U651" s="489"/>
      <c r="V651" s="489"/>
    </row>
    <row r="652" spans="1:22">
      <c r="A652" s="489"/>
      <c r="B652" s="489"/>
      <c r="C652" s="489"/>
      <c r="D652" s="489"/>
      <c r="E652" s="489"/>
      <c r="F652" s="489"/>
      <c r="G652" s="489"/>
      <c r="H652" s="489"/>
      <c r="I652" s="489"/>
      <c r="J652" s="489"/>
      <c r="K652" s="489"/>
      <c r="L652" s="489"/>
      <c r="M652" s="489"/>
      <c r="N652" s="489"/>
      <c r="O652" s="489"/>
      <c r="P652" s="489"/>
      <c r="Q652" s="489"/>
      <c r="R652" s="489"/>
      <c r="S652" s="489"/>
      <c r="T652" s="489"/>
      <c r="U652" s="489"/>
      <c r="V652" s="489"/>
    </row>
    <row r="653" spans="1:22">
      <c r="A653" s="489"/>
      <c r="B653" s="489"/>
      <c r="C653" s="489"/>
      <c r="D653" s="489"/>
      <c r="E653" s="489"/>
      <c r="F653" s="489"/>
      <c r="G653" s="489"/>
      <c r="H653" s="489"/>
      <c r="I653" s="489"/>
      <c r="J653" s="489"/>
      <c r="K653" s="489"/>
      <c r="L653" s="489"/>
      <c r="M653" s="489"/>
      <c r="N653" s="489"/>
      <c r="O653" s="489"/>
      <c r="P653" s="489"/>
      <c r="Q653" s="489"/>
      <c r="R653" s="489"/>
      <c r="S653" s="489"/>
      <c r="T653" s="489"/>
      <c r="U653" s="489"/>
      <c r="V653" s="489"/>
    </row>
    <row r="654" spans="1:22">
      <c r="A654" s="489"/>
      <c r="B654" s="489"/>
      <c r="C654" s="489"/>
      <c r="D654" s="489"/>
      <c r="E654" s="489"/>
      <c r="F654" s="489"/>
      <c r="G654" s="489"/>
      <c r="H654" s="489"/>
      <c r="I654" s="489"/>
      <c r="J654" s="489"/>
      <c r="K654" s="489"/>
      <c r="L654" s="489"/>
      <c r="M654" s="489"/>
      <c r="N654" s="489"/>
      <c r="O654" s="489"/>
      <c r="P654" s="489"/>
      <c r="Q654" s="489"/>
      <c r="R654" s="489"/>
      <c r="S654" s="489"/>
      <c r="T654" s="489"/>
      <c r="U654" s="489"/>
      <c r="V654" s="489"/>
    </row>
    <row r="655" spans="1:22">
      <c r="A655" s="489"/>
      <c r="B655" s="489"/>
      <c r="C655" s="489"/>
      <c r="D655" s="489"/>
      <c r="E655" s="489"/>
      <c r="F655" s="489"/>
      <c r="G655" s="489"/>
      <c r="H655" s="489"/>
      <c r="I655" s="489"/>
      <c r="J655" s="489"/>
      <c r="K655" s="489"/>
      <c r="L655" s="489"/>
      <c r="M655" s="489"/>
      <c r="N655" s="489"/>
      <c r="O655" s="489"/>
      <c r="P655" s="489"/>
      <c r="Q655" s="489"/>
      <c r="R655" s="489"/>
      <c r="S655" s="489"/>
      <c r="T655" s="489"/>
      <c r="U655" s="489"/>
      <c r="V655" s="489"/>
    </row>
    <row r="656" spans="1:22">
      <c r="A656" s="489"/>
      <c r="B656" s="489"/>
      <c r="C656" s="489"/>
      <c r="D656" s="489"/>
      <c r="E656" s="489"/>
      <c r="F656" s="489"/>
      <c r="G656" s="489"/>
      <c r="H656" s="489"/>
      <c r="I656" s="489"/>
      <c r="J656" s="489"/>
      <c r="K656" s="489"/>
      <c r="L656" s="489"/>
      <c r="M656" s="489"/>
      <c r="N656" s="489"/>
      <c r="O656" s="489"/>
      <c r="P656" s="489"/>
      <c r="Q656" s="489"/>
      <c r="R656" s="489"/>
      <c r="S656" s="489"/>
      <c r="T656" s="489"/>
      <c r="U656" s="489"/>
      <c r="V656" s="489"/>
    </row>
    <row r="657" spans="1:22">
      <c r="A657" s="489"/>
      <c r="B657" s="489"/>
      <c r="C657" s="489"/>
      <c r="D657" s="489"/>
      <c r="E657" s="489"/>
      <c r="F657" s="489"/>
      <c r="G657" s="489"/>
      <c r="H657" s="489"/>
      <c r="I657" s="489"/>
      <c r="J657" s="489"/>
      <c r="K657" s="489"/>
      <c r="L657" s="489"/>
      <c r="M657" s="489"/>
      <c r="N657" s="489"/>
      <c r="O657" s="489"/>
      <c r="P657" s="489"/>
      <c r="Q657" s="489"/>
      <c r="R657" s="489"/>
      <c r="S657" s="489"/>
      <c r="T657" s="489"/>
      <c r="U657" s="489"/>
      <c r="V657" s="489"/>
    </row>
    <row r="658" spans="1:22">
      <c r="A658" s="489"/>
      <c r="B658" s="489"/>
      <c r="C658" s="489"/>
      <c r="D658" s="489"/>
      <c r="E658" s="489"/>
      <c r="F658" s="489"/>
      <c r="G658" s="489"/>
      <c r="H658" s="489"/>
      <c r="I658" s="489"/>
      <c r="J658" s="489"/>
      <c r="K658" s="489"/>
      <c r="L658" s="489"/>
      <c r="M658" s="489"/>
      <c r="N658" s="489"/>
      <c r="O658" s="489"/>
      <c r="P658" s="489"/>
      <c r="Q658" s="489"/>
      <c r="R658" s="489"/>
      <c r="S658" s="489"/>
      <c r="T658" s="489"/>
      <c r="U658" s="489"/>
      <c r="V658" s="489"/>
    </row>
    <row r="659" spans="1:22">
      <c r="A659" s="489"/>
      <c r="B659" s="489"/>
      <c r="C659" s="489"/>
      <c r="D659" s="489"/>
      <c r="E659" s="489"/>
      <c r="F659" s="489"/>
      <c r="G659" s="489"/>
      <c r="H659" s="489"/>
      <c r="I659" s="489"/>
      <c r="J659" s="489"/>
      <c r="K659" s="489"/>
      <c r="L659" s="489"/>
      <c r="M659" s="489"/>
      <c r="N659" s="489"/>
      <c r="O659" s="489"/>
      <c r="P659" s="489"/>
      <c r="Q659" s="489"/>
      <c r="R659" s="489"/>
      <c r="S659" s="489"/>
      <c r="T659" s="489"/>
      <c r="U659" s="489"/>
      <c r="V659" s="489"/>
    </row>
    <row r="660" spans="1:22">
      <c r="A660" s="489"/>
      <c r="B660" s="489"/>
      <c r="C660" s="489"/>
      <c r="D660" s="489"/>
      <c r="E660" s="489"/>
      <c r="F660" s="489"/>
      <c r="G660" s="489"/>
      <c r="H660" s="489"/>
      <c r="I660" s="489"/>
      <c r="J660" s="489"/>
      <c r="K660" s="489"/>
      <c r="L660" s="489"/>
      <c r="M660" s="489"/>
      <c r="N660" s="489"/>
      <c r="O660" s="489"/>
      <c r="P660" s="489"/>
      <c r="Q660" s="489"/>
      <c r="R660" s="489"/>
      <c r="S660" s="489"/>
      <c r="T660" s="489"/>
      <c r="U660" s="489"/>
      <c r="V660" s="489"/>
    </row>
    <row r="661" spans="1:22">
      <c r="A661" s="489"/>
      <c r="B661" s="489"/>
      <c r="C661" s="489"/>
      <c r="D661" s="489"/>
      <c r="E661" s="489"/>
      <c r="F661" s="489"/>
      <c r="G661" s="489"/>
      <c r="H661" s="489"/>
      <c r="I661" s="489"/>
      <c r="J661" s="489"/>
      <c r="K661" s="489"/>
      <c r="L661" s="489"/>
      <c r="M661" s="489"/>
      <c r="N661" s="489"/>
      <c r="O661" s="489"/>
      <c r="P661" s="489"/>
      <c r="Q661" s="489"/>
      <c r="R661" s="489"/>
      <c r="S661" s="489"/>
      <c r="T661" s="489"/>
      <c r="U661" s="489"/>
      <c r="V661" s="489"/>
    </row>
    <row r="662" spans="1:22">
      <c r="A662" s="489"/>
      <c r="B662" s="489"/>
      <c r="C662" s="489"/>
      <c r="D662" s="489"/>
      <c r="E662" s="489"/>
      <c r="F662" s="489"/>
      <c r="G662" s="489"/>
      <c r="H662" s="489"/>
      <c r="I662" s="489"/>
      <c r="J662" s="489"/>
      <c r="K662" s="489"/>
      <c r="L662" s="489"/>
      <c r="M662" s="489"/>
      <c r="N662" s="489"/>
      <c r="O662" s="489"/>
      <c r="P662" s="489"/>
      <c r="Q662" s="489"/>
      <c r="R662" s="489"/>
      <c r="S662" s="489"/>
      <c r="T662" s="489"/>
      <c r="U662" s="489"/>
      <c r="V662" s="489"/>
    </row>
    <row r="663" spans="1:22">
      <c r="A663" s="489"/>
      <c r="B663" s="489"/>
      <c r="C663" s="489"/>
      <c r="D663" s="489"/>
      <c r="E663" s="489"/>
      <c r="F663" s="489"/>
      <c r="G663" s="489"/>
      <c r="H663" s="489"/>
      <c r="I663" s="489"/>
      <c r="J663" s="489"/>
      <c r="K663" s="489"/>
      <c r="L663" s="489"/>
      <c r="M663" s="489"/>
      <c r="N663" s="489"/>
      <c r="O663" s="489"/>
      <c r="P663" s="489"/>
      <c r="Q663" s="489"/>
      <c r="R663" s="489"/>
      <c r="S663" s="489"/>
      <c r="T663" s="489"/>
      <c r="U663" s="489"/>
      <c r="V663" s="489"/>
    </row>
    <row r="664" spans="1:22">
      <c r="A664" s="489"/>
      <c r="B664" s="489"/>
      <c r="C664" s="489"/>
      <c r="D664" s="489"/>
      <c r="E664" s="489"/>
      <c r="F664" s="489"/>
      <c r="G664" s="489"/>
      <c r="H664" s="489"/>
      <c r="I664" s="489"/>
      <c r="J664" s="489"/>
      <c r="K664" s="489"/>
      <c r="L664" s="489"/>
      <c r="M664" s="489"/>
      <c r="N664" s="489"/>
      <c r="O664" s="489"/>
      <c r="P664" s="489"/>
      <c r="Q664" s="489"/>
      <c r="R664" s="489"/>
      <c r="S664" s="489"/>
      <c r="T664" s="489"/>
      <c r="U664" s="489"/>
      <c r="V664" s="489"/>
    </row>
    <row r="665" spans="1:22">
      <c r="A665" s="489"/>
      <c r="B665" s="489"/>
      <c r="C665" s="489"/>
      <c r="D665" s="489"/>
      <c r="E665" s="489"/>
      <c r="F665" s="489"/>
      <c r="G665" s="489"/>
      <c r="H665" s="489"/>
      <c r="I665" s="489"/>
      <c r="J665" s="489"/>
      <c r="K665" s="489"/>
      <c r="L665" s="489"/>
      <c r="M665" s="489"/>
      <c r="N665" s="489"/>
      <c r="O665" s="489"/>
      <c r="P665" s="489"/>
      <c r="Q665" s="489"/>
      <c r="R665" s="489"/>
      <c r="S665" s="489"/>
      <c r="T665" s="489"/>
      <c r="U665" s="489"/>
      <c r="V665" s="489"/>
    </row>
    <row r="666" spans="1:22">
      <c r="A666" s="489"/>
      <c r="B666" s="489"/>
      <c r="C666" s="489"/>
      <c r="D666" s="489"/>
      <c r="E666" s="489"/>
      <c r="F666" s="489"/>
      <c r="G666" s="489"/>
      <c r="H666" s="489"/>
      <c r="I666" s="489"/>
      <c r="J666" s="489"/>
      <c r="K666" s="489"/>
      <c r="L666" s="489"/>
      <c r="M666" s="489"/>
      <c r="N666" s="489"/>
      <c r="O666" s="489"/>
      <c r="P666" s="489"/>
      <c r="Q666" s="489"/>
      <c r="R666" s="489"/>
      <c r="S666" s="489"/>
      <c r="T666" s="489"/>
      <c r="U666" s="489"/>
      <c r="V666" s="489"/>
    </row>
    <row r="667" spans="1:22">
      <c r="A667" s="489"/>
      <c r="B667" s="489"/>
      <c r="C667" s="489"/>
      <c r="D667" s="489"/>
      <c r="E667" s="489"/>
      <c r="F667" s="489"/>
      <c r="G667" s="489"/>
      <c r="H667" s="489"/>
      <c r="I667" s="489"/>
      <c r="J667" s="489"/>
      <c r="K667" s="489"/>
      <c r="L667" s="489"/>
      <c r="M667" s="489"/>
      <c r="N667" s="489"/>
      <c r="O667" s="489"/>
      <c r="P667" s="489"/>
      <c r="Q667" s="489"/>
      <c r="R667" s="489"/>
      <c r="S667" s="489"/>
      <c r="T667" s="489"/>
      <c r="U667" s="489"/>
      <c r="V667" s="489"/>
    </row>
    <row r="668" spans="1:22">
      <c r="A668" s="489"/>
      <c r="B668" s="489"/>
      <c r="C668" s="489"/>
      <c r="D668" s="489"/>
      <c r="E668" s="489"/>
      <c r="F668" s="489"/>
      <c r="G668" s="489"/>
      <c r="H668" s="489"/>
      <c r="I668" s="489"/>
      <c r="J668" s="489"/>
      <c r="K668" s="489"/>
      <c r="L668" s="489"/>
      <c r="M668" s="489"/>
      <c r="N668" s="489"/>
      <c r="O668" s="489"/>
      <c r="P668" s="489"/>
      <c r="Q668" s="489"/>
      <c r="R668" s="489"/>
      <c r="S668" s="489"/>
      <c r="T668" s="489"/>
      <c r="U668" s="489"/>
      <c r="V668" s="489"/>
    </row>
    <row r="669" spans="1:22">
      <c r="A669" s="489"/>
      <c r="B669" s="489"/>
      <c r="C669" s="489"/>
      <c r="D669" s="489"/>
      <c r="E669" s="489"/>
      <c r="F669" s="489"/>
      <c r="G669" s="489"/>
      <c r="H669" s="489"/>
      <c r="I669" s="489"/>
      <c r="J669" s="489"/>
      <c r="K669" s="489"/>
      <c r="L669" s="489"/>
      <c r="M669" s="489"/>
      <c r="N669" s="489"/>
      <c r="O669" s="489"/>
      <c r="P669" s="489"/>
      <c r="Q669" s="489"/>
      <c r="R669" s="489"/>
      <c r="S669" s="489"/>
      <c r="T669" s="489"/>
      <c r="U669" s="489"/>
      <c r="V669" s="489"/>
    </row>
    <row r="670" spans="1:22">
      <c r="A670" s="489"/>
      <c r="B670" s="489"/>
      <c r="C670" s="489"/>
      <c r="D670" s="489"/>
      <c r="E670" s="489"/>
      <c r="F670" s="489"/>
      <c r="G670" s="489"/>
      <c r="H670" s="489"/>
      <c r="I670" s="489"/>
      <c r="J670" s="489"/>
      <c r="K670" s="489"/>
      <c r="L670" s="489"/>
      <c r="M670" s="489"/>
      <c r="N670" s="489"/>
      <c r="O670" s="489"/>
      <c r="P670" s="489"/>
      <c r="Q670" s="489"/>
      <c r="R670" s="489"/>
      <c r="S670" s="489"/>
      <c r="T670" s="489"/>
      <c r="U670" s="489"/>
      <c r="V670" s="489"/>
    </row>
    <row r="671" spans="1:22">
      <c r="A671" s="489"/>
      <c r="B671" s="489"/>
      <c r="C671" s="489"/>
      <c r="D671" s="489"/>
      <c r="E671" s="489"/>
      <c r="F671" s="489"/>
      <c r="G671" s="489"/>
      <c r="H671" s="489"/>
      <c r="I671" s="489"/>
      <c r="J671" s="489"/>
      <c r="K671" s="489"/>
      <c r="L671" s="489"/>
      <c r="M671" s="489"/>
      <c r="N671" s="489"/>
      <c r="O671" s="489"/>
      <c r="P671" s="489"/>
      <c r="Q671" s="489"/>
      <c r="R671" s="489"/>
      <c r="S671" s="489"/>
      <c r="T671" s="489"/>
      <c r="U671" s="489"/>
      <c r="V671" s="489"/>
    </row>
    <row r="672" spans="1:22">
      <c r="A672" s="489"/>
      <c r="B672" s="489"/>
      <c r="C672" s="489"/>
      <c r="D672" s="489"/>
      <c r="E672" s="489"/>
      <c r="F672" s="489"/>
      <c r="G672" s="489"/>
      <c r="H672" s="489"/>
      <c r="I672" s="489"/>
      <c r="J672" s="489"/>
      <c r="K672" s="489"/>
      <c r="L672" s="489"/>
      <c r="M672" s="489"/>
      <c r="N672" s="489"/>
      <c r="O672" s="489"/>
      <c r="P672" s="489"/>
      <c r="Q672" s="489"/>
      <c r="R672" s="489"/>
      <c r="S672" s="489"/>
      <c r="T672" s="489"/>
      <c r="U672" s="489"/>
      <c r="V672" s="489"/>
    </row>
    <row r="673" spans="1:22">
      <c r="A673" s="489"/>
      <c r="B673" s="489"/>
      <c r="C673" s="489"/>
      <c r="D673" s="489"/>
      <c r="E673" s="489"/>
      <c r="F673" s="489"/>
      <c r="G673" s="489"/>
      <c r="H673" s="489"/>
      <c r="I673" s="489"/>
      <c r="J673" s="489"/>
      <c r="K673" s="489"/>
      <c r="L673" s="489"/>
      <c r="M673" s="489"/>
      <c r="N673" s="489"/>
      <c r="O673" s="489"/>
      <c r="P673" s="489"/>
      <c r="Q673" s="489"/>
      <c r="R673" s="489"/>
      <c r="S673" s="489"/>
      <c r="T673" s="489"/>
      <c r="U673" s="489"/>
      <c r="V673" s="489"/>
    </row>
    <row r="674" spans="1:22">
      <c r="A674" s="489"/>
      <c r="B674" s="489"/>
      <c r="C674" s="489"/>
      <c r="D674" s="489"/>
      <c r="E674" s="489"/>
      <c r="F674" s="489"/>
      <c r="G674" s="489"/>
      <c r="H674" s="489"/>
      <c r="I674" s="489"/>
      <c r="J674" s="489"/>
      <c r="K674" s="489"/>
      <c r="L674" s="489"/>
      <c r="M674" s="489"/>
      <c r="N674" s="489"/>
      <c r="O674" s="489"/>
      <c r="P674" s="489"/>
      <c r="Q674" s="489"/>
      <c r="R674" s="489"/>
      <c r="S674" s="489"/>
      <c r="T674" s="489"/>
      <c r="U674" s="489"/>
      <c r="V674" s="489"/>
    </row>
    <row r="675" spans="1:22">
      <c r="A675" s="489"/>
      <c r="B675" s="489"/>
      <c r="C675" s="489"/>
      <c r="D675" s="489"/>
      <c r="E675" s="489"/>
      <c r="F675" s="489"/>
      <c r="G675" s="489"/>
      <c r="H675" s="489"/>
      <c r="I675" s="489"/>
      <c r="J675" s="489"/>
      <c r="K675" s="489"/>
      <c r="L675" s="489"/>
      <c r="M675" s="489"/>
      <c r="N675" s="489"/>
      <c r="O675" s="489"/>
      <c r="P675" s="489"/>
      <c r="Q675" s="489"/>
      <c r="R675" s="489"/>
      <c r="S675" s="489"/>
      <c r="T675" s="489"/>
      <c r="U675" s="489"/>
      <c r="V675" s="489"/>
    </row>
    <row r="676" spans="1:22">
      <c r="A676" s="489"/>
      <c r="B676" s="489"/>
      <c r="C676" s="489"/>
      <c r="D676" s="489"/>
      <c r="E676" s="489"/>
      <c r="F676" s="489"/>
      <c r="G676" s="489"/>
      <c r="H676" s="489"/>
      <c r="I676" s="489"/>
      <c r="J676" s="489"/>
      <c r="K676" s="489"/>
      <c r="L676" s="489"/>
      <c r="M676" s="489"/>
      <c r="N676" s="489"/>
      <c r="O676" s="489"/>
      <c r="P676" s="489"/>
      <c r="Q676" s="489"/>
      <c r="R676" s="489"/>
      <c r="S676" s="489"/>
      <c r="T676" s="489"/>
      <c r="U676" s="489"/>
      <c r="V676" s="489"/>
    </row>
    <row r="677" spans="1:22">
      <c r="A677" s="489"/>
      <c r="B677" s="489"/>
      <c r="C677" s="489"/>
      <c r="D677" s="489"/>
      <c r="E677" s="489"/>
      <c r="F677" s="489"/>
      <c r="G677" s="489"/>
      <c r="H677" s="489"/>
      <c r="I677" s="489"/>
      <c r="J677" s="489"/>
      <c r="K677" s="489"/>
      <c r="L677" s="489"/>
      <c r="M677" s="489"/>
      <c r="N677" s="489"/>
      <c r="O677" s="489"/>
      <c r="P677" s="489"/>
      <c r="Q677" s="489"/>
      <c r="R677" s="489"/>
      <c r="S677" s="489"/>
      <c r="T677" s="489"/>
      <c r="U677" s="489"/>
      <c r="V677" s="489"/>
    </row>
    <row r="678" spans="1:22">
      <c r="A678" s="489"/>
      <c r="B678" s="489"/>
      <c r="C678" s="489"/>
      <c r="D678" s="489"/>
      <c r="E678" s="489"/>
      <c r="F678" s="489"/>
      <c r="G678" s="489"/>
      <c r="H678" s="489"/>
      <c r="I678" s="489"/>
      <c r="J678" s="489"/>
      <c r="K678" s="489"/>
      <c r="L678" s="489"/>
      <c r="M678" s="489"/>
      <c r="N678" s="489"/>
      <c r="O678" s="489"/>
      <c r="P678" s="489"/>
      <c r="Q678" s="489"/>
      <c r="R678" s="489"/>
      <c r="S678" s="489"/>
      <c r="T678" s="489"/>
      <c r="U678" s="489"/>
      <c r="V678" s="489"/>
    </row>
    <row r="679" spans="1:22">
      <c r="A679" s="489"/>
      <c r="B679" s="489"/>
      <c r="C679" s="489"/>
      <c r="D679" s="489"/>
      <c r="E679" s="489"/>
      <c r="F679" s="489"/>
      <c r="G679" s="489"/>
      <c r="H679" s="489"/>
      <c r="I679" s="489"/>
      <c r="J679" s="489"/>
      <c r="K679" s="489"/>
      <c r="L679" s="489"/>
      <c r="M679" s="489"/>
      <c r="N679" s="489"/>
      <c r="O679" s="489"/>
      <c r="P679" s="489"/>
      <c r="Q679" s="489"/>
      <c r="R679" s="489"/>
      <c r="S679" s="489"/>
      <c r="T679" s="489"/>
      <c r="U679" s="489"/>
      <c r="V679" s="489"/>
    </row>
    <row r="680" spans="1:22">
      <c r="A680" s="489"/>
      <c r="B680" s="489"/>
      <c r="C680" s="489"/>
      <c r="D680" s="489"/>
      <c r="E680" s="489"/>
      <c r="F680" s="489"/>
      <c r="G680" s="489"/>
      <c r="H680" s="489"/>
      <c r="I680" s="489"/>
      <c r="J680" s="489"/>
      <c r="K680" s="489"/>
      <c r="L680" s="489"/>
      <c r="M680" s="489"/>
      <c r="N680" s="489"/>
      <c r="O680" s="489"/>
      <c r="P680" s="489"/>
      <c r="Q680" s="489"/>
      <c r="R680" s="489"/>
      <c r="S680" s="489"/>
      <c r="T680" s="489"/>
      <c r="U680" s="489"/>
      <c r="V680" s="489"/>
    </row>
    <row r="681" spans="1:22">
      <c r="A681" s="489"/>
      <c r="B681" s="489"/>
      <c r="C681" s="489"/>
      <c r="D681" s="489"/>
      <c r="E681" s="489"/>
      <c r="F681" s="489"/>
      <c r="G681" s="489"/>
      <c r="H681" s="489"/>
      <c r="I681" s="489"/>
      <c r="J681" s="489"/>
      <c r="K681" s="489"/>
      <c r="L681" s="489"/>
      <c r="M681" s="489"/>
      <c r="N681" s="489"/>
      <c r="O681" s="489"/>
      <c r="P681" s="489"/>
      <c r="Q681" s="489"/>
      <c r="R681" s="489"/>
      <c r="S681" s="489"/>
      <c r="T681" s="489"/>
      <c r="U681" s="489"/>
      <c r="V681" s="489"/>
    </row>
    <row r="682" spans="1:22">
      <c r="A682" s="489"/>
      <c r="B682" s="489"/>
      <c r="C682" s="489"/>
      <c r="D682" s="489"/>
      <c r="E682" s="489"/>
      <c r="F682" s="489"/>
      <c r="G682" s="489"/>
      <c r="H682" s="489"/>
      <c r="I682" s="489"/>
      <c r="J682" s="489"/>
      <c r="K682" s="489"/>
      <c r="L682" s="489"/>
      <c r="M682" s="489"/>
      <c r="N682" s="489"/>
      <c r="O682" s="489"/>
      <c r="P682" s="489"/>
      <c r="Q682" s="489"/>
      <c r="R682" s="489"/>
      <c r="S682" s="489"/>
      <c r="T682" s="489"/>
      <c r="U682" s="489"/>
      <c r="V682" s="489"/>
    </row>
    <row r="683" spans="1:22">
      <c r="A683" s="489"/>
      <c r="B683" s="489"/>
      <c r="C683" s="489"/>
      <c r="D683" s="489"/>
      <c r="E683" s="489"/>
      <c r="F683" s="489"/>
      <c r="G683" s="489"/>
      <c r="H683" s="489"/>
      <c r="I683" s="489"/>
      <c r="J683" s="489"/>
      <c r="K683" s="489"/>
      <c r="L683" s="489"/>
      <c r="M683" s="489"/>
      <c r="N683" s="489"/>
      <c r="O683" s="489"/>
      <c r="P683" s="489"/>
      <c r="Q683" s="489"/>
      <c r="R683" s="489"/>
      <c r="S683" s="489"/>
      <c r="T683" s="489"/>
      <c r="U683" s="489"/>
      <c r="V683" s="489"/>
    </row>
    <row r="684" spans="1:22">
      <c r="A684" s="489"/>
      <c r="B684" s="489"/>
      <c r="C684" s="489"/>
      <c r="D684" s="489"/>
      <c r="E684" s="489"/>
      <c r="F684" s="489"/>
      <c r="G684" s="489"/>
      <c r="H684" s="489"/>
      <c r="I684" s="489"/>
      <c r="J684" s="489"/>
      <c r="K684" s="489"/>
      <c r="L684" s="489"/>
      <c r="M684" s="489"/>
      <c r="N684" s="489"/>
      <c r="O684" s="489"/>
      <c r="P684" s="489"/>
      <c r="Q684" s="489"/>
      <c r="R684" s="489"/>
      <c r="S684" s="489"/>
      <c r="T684" s="489"/>
      <c r="U684" s="489"/>
      <c r="V684" s="489"/>
    </row>
    <row r="685" spans="1:22">
      <c r="A685" s="489"/>
      <c r="B685" s="489"/>
      <c r="C685" s="489"/>
      <c r="D685" s="489"/>
      <c r="E685" s="489"/>
      <c r="F685" s="489"/>
      <c r="G685" s="489"/>
      <c r="H685" s="489"/>
      <c r="I685" s="489"/>
      <c r="J685" s="489"/>
      <c r="K685" s="489"/>
      <c r="L685" s="489"/>
      <c r="M685" s="489"/>
      <c r="N685" s="489"/>
      <c r="O685" s="489"/>
      <c r="P685" s="489"/>
      <c r="Q685" s="489"/>
      <c r="R685" s="489"/>
      <c r="S685" s="489"/>
      <c r="T685" s="489"/>
      <c r="U685" s="489"/>
      <c r="V685" s="489"/>
    </row>
    <row r="686" spans="1:22">
      <c r="A686" s="489"/>
      <c r="B686" s="489"/>
      <c r="C686" s="489"/>
      <c r="D686" s="489"/>
      <c r="E686" s="489"/>
      <c r="F686" s="489"/>
      <c r="G686" s="489"/>
      <c r="H686" s="489"/>
      <c r="I686" s="489"/>
      <c r="J686" s="489"/>
      <c r="K686" s="489"/>
      <c r="L686" s="489"/>
      <c r="M686" s="489"/>
      <c r="N686" s="489"/>
      <c r="O686" s="489"/>
      <c r="P686" s="489"/>
      <c r="Q686" s="489"/>
      <c r="R686" s="489"/>
      <c r="S686" s="489"/>
      <c r="T686" s="489"/>
      <c r="U686" s="489"/>
      <c r="V686" s="489"/>
    </row>
    <row r="687" spans="1:22">
      <c r="A687" s="489"/>
      <c r="B687" s="489"/>
      <c r="C687" s="489"/>
      <c r="D687" s="489"/>
      <c r="E687" s="489"/>
      <c r="F687" s="489"/>
      <c r="G687" s="489"/>
      <c r="H687" s="489"/>
      <c r="I687" s="489"/>
      <c r="J687" s="489"/>
      <c r="K687" s="489"/>
      <c r="L687" s="489"/>
      <c r="M687" s="489"/>
      <c r="N687" s="489"/>
      <c r="O687" s="489"/>
      <c r="P687" s="489"/>
      <c r="Q687" s="489"/>
      <c r="R687" s="489"/>
      <c r="S687" s="489"/>
      <c r="T687" s="489"/>
      <c r="U687" s="489"/>
      <c r="V687" s="489"/>
    </row>
    <row r="688" spans="1:22">
      <c r="A688" s="489"/>
      <c r="B688" s="489"/>
      <c r="C688" s="489"/>
      <c r="D688" s="489"/>
      <c r="E688" s="489"/>
      <c r="F688" s="489"/>
      <c r="G688" s="489"/>
      <c r="H688" s="489"/>
      <c r="I688" s="489"/>
      <c r="J688" s="489"/>
      <c r="K688" s="489"/>
      <c r="L688" s="489"/>
      <c r="M688" s="489"/>
      <c r="N688" s="489"/>
      <c r="O688" s="489"/>
      <c r="P688" s="489"/>
      <c r="Q688" s="489"/>
      <c r="R688" s="489"/>
      <c r="S688" s="489"/>
      <c r="T688" s="489"/>
      <c r="U688" s="489"/>
      <c r="V688" s="489"/>
    </row>
    <row r="689" spans="1:22">
      <c r="A689" s="489"/>
      <c r="B689" s="489"/>
      <c r="C689" s="489"/>
      <c r="D689" s="489"/>
      <c r="E689" s="489"/>
      <c r="F689" s="489"/>
      <c r="G689" s="489"/>
      <c r="H689" s="489"/>
      <c r="I689" s="489"/>
      <c r="J689" s="489"/>
      <c r="K689" s="489"/>
      <c r="L689" s="489"/>
      <c r="M689" s="489"/>
      <c r="N689" s="489"/>
      <c r="O689" s="489"/>
      <c r="P689" s="489"/>
      <c r="Q689" s="489"/>
      <c r="R689" s="489"/>
      <c r="S689" s="489"/>
      <c r="T689" s="489"/>
      <c r="U689" s="489"/>
      <c r="V689" s="489"/>
    </row>
    <row r="690" spans="1:22">
      <c r="A690" s="489"/>
      <c r="B690" s="489"/>
      <c r="C690" s="489"/>
      <c r="D690" s="489"/>
      <c r="E690" s="489"/>
      <c r="F690" s="489"/>
      <c r="G690" s="489"/>
      <c r="H690" s="489"/>
      <c r="I690" s="489"/>
      <c r="J690" s="489"/>
      <c r="K690" s="489"/>
      <c r="L690" s="489"/>
      <c r="M690" s="489"/>
      <c r="N690" s="489"/>
      <c r="O690" s="489"/>
      <c r="P690" s="489"/>
      <c r="Q690" s="489"/>
      <c r="R690" s="489"/>
      <c r="S690" s="489"/>
      <c r="T690" s="489"/>
      <c r="U690" s="489"/>
      <c r="V690" s="489"/>
    </row>
    <row r="691" spans="1:22">
      <c r="A691" s="489"/>
      <c r="B691" s="489"/>
      <c r="C691" s="489"/>
      <c r="D691" s="489"/>
      <c r="E691" s="489"/>
      <c r="F691" s="489"/>
      <c r="G691" s="489"/>
      <c r="H691" s="489"/>
      <c r="I691" s="489"/>
      <c r="J691" s="489"/>
      <c r="K691" s="489"/>
      <c r="L691" s="489"/>
      <c r="M691" s="489"/>
      <c r="N691" s="489"/>
      <c r="O691" s="489"/>
      <c r="P691" s="489"/>
      <c r="Q691" s="489"/>
      <c r="R691" s="489"/>
      <c r="S691" s="489"/>
      <c r="T691" s="489"/>
      <c r="U691" s="489"/>
      <c r="V691" s="489"/>
    </row>
    <row r="692" spans="1:22">
      <c r="A692" s="489"/>
      <c r="B692" s="489"/>
      <c r="C692" s="489"/>
      <c r="D692" s="489"/>
      <c r="E692" s="489"/>
      <c r="F692" s="489"/>
      <c r="G692" s="489"/>
      <c r="H692" s="489"/>
      <c r="I692" s="489"/>
      <c r="J692" s="489"/>
      <c r="K692" s="489"/>
      <c r="L692" s="489"/>
      <c r="M692" s="489"/>
      <c r="N692" s="489"/>
      <c r="O692" s="489"/>
      <c r="P692" s="489"/>
      <c r="Q692" s="489"/>
      <c r="R692" s="489"/>
      <c r="S692" s="489"/>
      <c r="T692" s="489"/>
      <c r="U692" s="489"/>
      <c r="V692" s="489"/>
    </row>
    <row r="693" spans="1:22">
      <c r="A693" s="489"/>
      <c r="B693" s="489"/>
      <c r="C693" s="489"/>
      <c r="D693" s="489"/>
      <c r="E693" s="489"/>
      <c r="F693" s="489"/>
      <c r="G693" s="489"/>
      <c r="H693" s="489"/>
      <c r="I693" s="489"/>
      <c r="J693" s="489"/>
      <c r="K693" s="489"/>
      <c r="L693" s="489"/>
      <c r="M693" s="489"/>
      <c r="N693" s="489"/>
      <c r="O693" s="489"/>
      <c r="P693" s="489"/>
      <c r="Q693" s="489"/>
      <c r="R693" s="489"/>
      <c r="S693" s="489"/>
      <c r="T693" s="489"/>
      <c r="U693" s="489"/>
      <c r="V693" s="489"/>
    </row>
    <row r="694" spans="1:22">
      <c r="A694" s="489"/>
      <c r="B694" s="489"/>
      <c r="C694" s="489"/>
      <c r="D694" s="489"/>
      <c r="E694" s="489"/>
      <c r="F694" s="489"/>
      <c r="G694" s="489"/>
      <c r="H694" s="489"/>
      <c r="I694" s="489"/>
      <c r="J694" s="489"/>
      <c r="K694" s="489"/>
      <c r="L694" s="489"/>
      <c r="M694" s="489"/>
      <c r="N694" s="489"/>
      <c r="O694" s="489"/>
      <c r="P694" s="489"/>
      <c r="Q694" s="489"/>
      <c r="R694" s="489"/>
      <c r="S694" s="489"/>
      <c r="T694" s="489"/>
      <c r="U694" s="489"/>
      <c r="V694" s="489"/>
    </row>
    <row r="695" spans="1:22">
      <c r="A695" s="489"/>
      <c r="B695" s="489"/>
      <c r="C695" s="489"/>
      <c r="D695" s="489"/>
      <c r="E695" s="489"/>
      <c r="F695" s="489"/>
      <c r="G695" s="489"/>
      <c r="H695" s="489"/>
      <c r="I695" s="489"/>
      <c r="J695" s="489"/>
      <c r="K695" s="489"/>
      <c r="L695" s="489"/>
      <c r="M695" s="489"/>
      <c r="N695" s="489"/>
      <c r="O695" s="489"/>
      <c r="P695" s="489"/>
      <c r="Q695" s="489"/>
      <c r="R695" s="489"/>
      <c r="S695" s="489"/>
      <c r="T695" s="489"/>
      <c r="U695" s="489"/>
      <c r="V695" s="489"/>
    </row>
    <row r="696" spans="1:22">
      <c r="A696" s="489"/>
      <c r="B696" s="489"/>
      <c r="C696" s="489"/>
      <c r="D696" s="489"/>
      <c r="E696" s="489"/>
      <c r="F696" s="489"/>
      <c r="G696" s="489"/>
      <c r="H696" s="489"/>
      <c r="I696" s="489"/>
      <c r="J696" s="489"/>
      <c r="K696" s="489"/>
      <c r="L696" s="489"/>
      <c r="M696" s="489"/>
      <c r="N696" s="489"/>
      <c r="O696" s="489"/>
      <c r="P696" s="489"/>
      <c r="Q696" s="489"/>
      <c r="R696" s="489"/>
      <c r="S696" s="489"/>
      <c r="T696" s="489"/>
      <c r="U696" s="489"/>
      <c r="V696" s="489"/>
    </row>
    <row r="697" spans="1:22">
      <c r="A697" s="489"/>
      <c r="B697" s="489"/>
      <c r="C697" s="489"/>
      <c r="D697" s="489"/>
      <c r="E697" s="489"/>
      <c r="F697" s="489"/>
      <c r="G697" s="489"/>
      <c r="H697" s="489"/>
      <c r="I697" s="489"/>
      <c r="J697" s="489"/>
      <c r="K697" s="489"/>
      <c r="L697" s="489"/>
      <c r="M697" s="489"/>
      <c r="N697" s="489"/>
      <c r="O697" s="489"/>
      <c r="P697" s="489"/>
      <c r="Q697" s="489"/>
      <c r="R697" s="489"/>
      <c r="S697" s="489"/>
      <c r="T697" s="489"/>
      <c r="U697" s="489"/>
      <c r="V697" s="489"/>
    </row>
    <row r="698" spans="1:22">
      <c r="A698" s="489"/>
      <c r="B698" s="489"/>
      <c r="C698" s="489"/>
      <c r="D698" s="489"/>
      <c r="E698" s="489"/>
      <c r="F698" s="489"/>
      <c r="G698" s="489"/>
      <c r="H698" s="489"/>
      <c r="I698" s="489"/>
      <c r="J698" s="489"/>
      <c r="K698" s="489"/>
      <c r="L698" s="489"/>
      <c r="M698" s="489"/>
      <c r="N698" s="489"/>
      <c r="O698" s="489"/>
      <c r="P698" s="489"/>
      <c r="Q698" s="489"/>
      <c r="R698" s="489"/>
      <c r="S698" s="489"/>
      <c r="T698" s="489"/>
      <c r="U698" s="489"/>
      <c r="V698" s="489"/>
    </row>
    <row r="699" spans="1:22">
      <c r="A699" s="489"/>
      <c r="B699" s="489"/>
      <c r="C699" s="489"/>
      <c r="D699" s="489"/>
      <c r="E699" s="489"/>
      <c r="F699" s="489"/>
      <c r="G699" s="489"/>
      <c r="H699" s="489"/>
      <c r="I699" s="489"/>
      <c r="J699" s="489"/>
      <c r="K699" s="489"/>
      <c r="L699" s="489"/>
      <c r="M699" s="489"/>
      <c r="N699" s="489"/>
      <c r="O699" s="489"/>
      <c r="P699" s="489"/>
      <c r="Q699" s="489"/>
      <c r="R699" s="489"/>
      <c r="S699" s="489"/>
      <c r="T699" s="489"/>
      <c r="U699" s="489"/>
      <c r="V699" s="489"/>
    </row>
    <row r="700" spans="1:22">
      <c r="A700" s="489"/>
      <c r="B700" s="489"/>
      <c r="C700" s="489"/>
      <c r="D700" s="489"/>
      <c r="E700" s="489"/>
      <c r="F700" s="489"/>
      <c r="G700" s="489"/>
      <c r="H700" s="489"/>
      <c r="I700" s="489"/>
      <c r="J700" s="489"/>
      <c r="K700" s="489"/>
      <c r="L700" s="489"/>
      <c r="M700" s="489"/>
      <c r="N700" s="489"/>
      <c r="O700" s="489"/>
      <c r="P700" s="489"/>
      <c r="Q700" s="489"/>
      <c r="R700" s="489"/>
      <c r="S700" s="489"/>
      <c r="T700" s="489"/>
      <c r="U700" s="489"/>
      <c r="V700" s="489"/>
    </row>
    <row r="701" spans="1:22">
      <c r="A701" s="489"/>
      <c r="B701" s="489"/>
      <c r="C701" s="489"/>
      <c r="D701" s="489"/>
      <c r="E701" s="489"/>
      <c r="F701" s="489"/>
      <c r="G701" s="489"/>
      <c r="H701" s="489"/>
      <c r="I701" s="489"/>
      <c r="J701" s="489"/>
      <c r="K701" s="489"/>
      <c r="L701" s="489"/>
      <c r="M701" s="489"/>
      <c r="N701" s="489"/>
      <c r="O701" s="489"/>
      <c r="P701" s="489"/>
      <c r="Q701" s="489"/>
      <c r="R701" s="489"/>
      <c r="S701" s="489"/>
      <c r="T701" s="489"/>
      <c r="U701" s="489"/>
      <c r="V701" s="489"/>
    </row>
    <row r="702" spans="1:22">
      <c r="A702" s="489"/>
      <c r="B702" s="489"/>
      <c r="C702" s="489"/>
      <c r="D702" s="489"/>
      <c r="E702" s="489"/>
      <c r="F702" s="489"/>
      <c r="G702" s="489"/>
      <c r="H702" s="489"/>
      <c r="I702" s="489"/>
      <c r="J702" s="489"/>
      <c r="K702" s="489"/>
      <c r="L702" s="489"/>
      <c r="M702" s="489"/>
      <c r="N702" s="489"/>
      <c r="O702" s="489"/>
      <c r="P702" s="489"/>
      <c r="Q702" s="489"/>
      <c r="R702" s="489"/>
      <c r="S702" s="489"/>
      <c r="T702" s="489"/>
      <c r="U702" s="489"/>
      <c r="V702" s="489"/>
    </row>
    <row r="703" spans="1:22">
      <c r="A703" s="489"/>
      <c r="B703" s="489"/>
      <c r="C703" s="489"/>
      <c r="D703" s="489"/>
      <c r="E703" s="489"/>
      <c r="F703" s="489"/>
      <c r="G703" s="489"/>
      <c r="H703" s="489"/>
      <c r="I703" s="489"/>
      <c r="J703" s="489"/>
      <c r="K703" s="489"/>
      <c r="L703" s="489"/>
      <c r="M703" s="489"/>
      <c r="N703" s="489"/>
      <c r="O703" s="489"/>
      <c r="P703" s="489"/>
      <c r="Q703" s="489"/>
      <c r="R703" s="489"/>
      <c r="S703" s="489"/>
      <c r="T703" s="489"/>
      <c r="U703" s="489"/>
      <c r="V703" s="489"/>
    </row>
    <row r="704" spans="1:22">
      <c r="A704" s="489"/>
      <c r="B704" s="489"/>
      <c r="C704" s="489"/>
      <c r="D704" s="489"/>
      <c r="E704" s="489"/>
      <c r="F704" s="489"/>
      <c r="G704" s="489"/>
      <c r="H704" s="489"/>
      <c r="I704" s="489"/>
      <c r="J704" s="489"/>
      <c r="K704" s="489"/>
      <c r="L704" s="489"/>
      <c r="M704" s="489"/>
      <c r="N704" s="489"/>
      <c r="O704" s="489"/>
      <c r="P704" s="489"/>
      <c r="Q704" s="489"/>
      <c r="R704" s="489"/>
      <c r="S704" s="489"/>
      <c r="T704" s="489"/>
      <c r="U704" s="489"/>
      <c r="V704" s="489"/>
    </row>
    <row r="705" spans="1:22">
      <c r="A705" s="489"/>
      <c r="B705" s="489"/>
      <c r="C705" s="489"/>
      <c r="D705" s="489"/>
      <c r="E705" s="489"/>
      <c r="F705" s="489"/>
      <c r="G705" s="489"/>
      <c r="H705" s="489"/>
      <c r="I705" s="489"/>
      <c r="J705" s="489"/>
      <c r="K705" s="489"/>
      <c r="L705" s="489"/>
      <c r="M705" s="489"/>
      <c r="N705" s="489"/>
      <c r="O705" s="489"/>
      <c r="P705" s="489"/>
      <c r="Q705" s="489"/>
      <c r="R705" s="489"/>
      <c r="S705" s="489"/>
      <c r="T705" s="489"/>
      <c r="U705" s="489"/>
      <c r="V705" s="489"/>
    </row>
    <row r="706" spans="1:22">
      <c r="A706" s="489"/>
      <c r="B706" s="489"/>
      <c r="C706" s="489"/>
      <c r="D706" s="489"/>
      <c r="E706" s="489"/>
      <c r="F706" s="489"/>
      <c r="G706" s="489"/>
      <c r="H706" s="489"/>
      <c r="I706" s="489"/>
      <c r="J706" s="489"/>
      <c r="K706" s="489"/>
      <c r="L706" s="489"/>
      <c r="M706" s="489"/>
      <c r="N706" s="489"/>
      <c r="O706" s="489"/>
      <c r="P706" s="489"/>
      <c r="Q706" s="489"/>
      <c r="R706" s="489"/>
      <c r="S706" s="489"/>
      <c r="T706" s="489"/>
      <c r="U706" s="489"/>
      <c r="V706" s="489"/>
    </row>
    <row r="707" spans="1:22">
      <c r="A707" s="489"/>
      <c r="B707" s="489"/>
      <c r="C707" s="489"/>
      <c r="D707" s="489"/>
      <c r="E707" s="489"/>
      <c r="F707" s="489"/>
      <c r="G707" s="489"/>
      <c r="H707" s="489"/>
      <c r="I707" s="489"/>
      <c r="J707" s="489"/>
      <c r="K707" s="489"/>
      <c r="L707" s="489"/>
      <c r="M707" s="489"/>
      <c r="N707" s="489"/>
      <c r="O707" s="489"/>
      <c r="P707" s="489"/>
      <c r="Q707" s="489"/>
      <c r="R707" s="489"/>
      <c r="S707" s="489"/>
      <c r="T707" s="489"/>
      <c r="U707" s="489"/>
      <c r="V707" s="489"/>
    </row>
    <row r="708" spans="1:22">
      <c r="A708" s="489"/>
      <c r="B708" s="489"/>
      <c r="C708" s="489"/>
      <c r="D708" s="489"/>
      <c r="E708" s="489"/>
      <c r="F708" s="489"/>
      <c r="G708" s="489"/>
      <c r="H708" s="489"/>
      <c r="I708" s="489"/>
      <c r="J708" s="489"/>
      <c r="K708" s="489"/>
      <c r="L708" s="489"/>
      <c r="M708" s="489"/>
      <c r="N708" s="489"/>
      <c r="O708" s="489"/>
      <c r="P708" s="489"/>
      <c r="Q708" s="489"/>
      <c r="R708" s="489"/>
      <c r="S708" s="489"/>
      <c r="T708" s="489"/>
      <c r="U708" s="489"/>
      <c r="V708" s="489"/>
    </row>
    <row r="709" spans="1:22">
      <c r="A709" s="489"/>
      <c r="B709" s="489"/>
      <c r="C709" s="489"/>
      <c r="D709" s="489"/>
      <c r="E709" s="489"/>
      <c r="F709" s="489"/>
      <c r="G709" s="489"/>
      <c r="H709" s="489"/>
      <c r="I709" s="489"/>
      <c r="J709" s="489"/>
      <c r="K709" s="489"/>
      <c r="L709" s="489"/>
      <c r="M709" s="489"/>
      <c r="N709" s="489"/>
      <c r="O709" s="489"/>
      <c r="P709" s="489"/>
      <c r="Q709" s="489"/>
      <c r="R709" s="489"/>
      <c r="S709" s="489"/>
      <c r="T709" s="489"/>
      <c r="U709" s="489"/>
      <c r="V709" s="489"/>
    </row>
    <row r="710" spans="1:22">
      <c r="A710" s="489"/>
      <c r="B710" s="489"/>
      <c r="C710" s="489"/>
      <c r="D710" s="489"/>
      <c r="E710" s="489"/>
      <c r="F710" s="489"/>
      <c r="G710" s="489"/>
      <c r="H710" s="489"/>
      <c r="I710" s="489"/>
      <c r="J710" s="489"/>
      <c r="K710" s="489"/>
      <c r="L710" s="489"/>
      <c r="M710" s="489"/>
      <c r="N710" s="489"/>
      <c r="O710" s="489"/>
      <c r="P710" s="489"/>
      <c r="Q710" s="489"/>
      <c r="R710" s="489"/>
      <c r="S710" s="489"/>
      <c r="T710" s="489"/>
      <c r="U710" s="489"/>
      <c r="V710" s="489"/>
    </row>
    <row r="711" spans="1:22">
      <c r="A711" s="489"/>
      <c r="B711" s="489"/>
      <c r="C711" s="489"/>
      <c r="D711" s="489"/>
      <c r="E711" s="489"/>
      <c r="F711" s="489"/>
      <c r="G711" s="489"/>
      <c r="H711" s="489"/>
      <c r="I711" s="489"/>
      <c r="J711" s="489"/>
      <c r="K711" s="489"/>
      <c r="L711" s="489"/>
      <c r="M711" s="489"/>
      <c r="N711" s="489"/>
      <c r="O711" s="489"/>
      <c r="P711" s="489"/>
      <c r="Q711" s="489"/>
      <c r="R711" s="489"/>
      <c r="S711" s="489"/>
      <c r="T711" s="489"/>
      <c r="U711" s="489"/>
      <c r="V711" s="489"/>
    </row>
    <row r="712" spans="1:22">
      <c r="A712" s="489"/>
      <c r="B712" s="489"/>
      <c r="C712" s="489"/>
      <c r="D712" s="489"/>
      <c r="E712" s="489"/>
      <c r="F712" s="489"/>
      <c r="G712" s="489"/>
      <c r="H712" s="489"/>
      <c r="I712" s="489"/>
      <c r="J712" s="489"/>
      <c r="K712" s="489"/>
      <c r="L712" s="489"/>
      <c r="M712" s="489"/>
      <c r="N712" s="489"/>
      <c r="O712" s="489"/>
      <c r="P712" s="489"/>
      <c r="Q712" s="489"/>
      <c r="R712" s="489"/>
      <c r="S712" s="489"/>
      <c r="T712" s="489"/>
      <c r="U712" s="489"/>
      <c r="V712" s="489"/>
    </row>
    <row r="713" spans="1:22">
      <c r="A713" s="489"/>
      <c r="B713" s="489"/>
      <c r="C713" s="489"/>
      <c r="D713" s="489"/>
      <c r="E713" s="489"/>
      <c r="F713" s="489"/>
      <c r="G713" s="489"/>
      <c r="H713" s="489"/>
      <c r="I713" s="489"/>
      <c r="J713" s="489"/>
      <c r="K713" s="489"/>
      <c r="L713" s="489"/>
      <c r="M713" s="489"/>
      <c r="N713" s="489"/>
      <c r="O713" s="489"/>
      <c r="P713" s="489"/>
      <c r="Q713" s="489"/>
      <c r="R713" s="489"/>
      <c r="S713" s="489"/>
      <c r="T713" s="489"/>
      <c r="U713" s="489"/>
      <c r="V713" s="489"/>
    </row>
    <row r="714" spans="1:22">
      <c r="A714" s="489"/>
      <c r="B714" s="489"/>
      <c r="C714" s="489"/>
      <c r="D714" s="489"/>
      <c r="E714" s="489"/>
      <c r="F714" s="489"/>
      <c r="G714" s="489"/>
      <c r="H714" s="489"/>
      <c r="I714" s="489"/>
      <c r="J714" s="489"/>
      <c r="K714" s="489"/>
      <c r="L714" s="489"/>
      <c r="M714" s="489"/>
      <c r="N714" s="489"/>
      <c r="O714" s="489"/>
      <c r="P714" s="489"/>
      <c r="Q714" s="489"/>
      <c r="R714" s="489"/>
      <c r="S714" s="489"/>
      <c r="T714" s="489"/>
      <c r="U714" s="489"/>
      <c r="V714" s="489"/>
    </row>
    <row r="715" spans="1:22">
      <c r="A715" s="489"/>
      <c r="B715" s="489"/>
      <c r="C715" s="489"/>
      <c r="D715" s="489"/>
      <c r="E715" s="489"/>
      <c r="F715" s="489"/>
      <c r="G715" s="489"/>
      <c r="H715" s="489"/>
      <c r="I715" s="489"/>
      <c r="J715" s="489"/>
      <c r="K715" s="489"/>
      <c r="L715" s="489"/>
      <c r="M715" s="489"/>
      <c r="N715" s="489"/>
      <c r="O715" s="489"/>
      <c r="P715" s="489"/>
      <c r="Q715" s="489"/>
      <c r="R715" s="489"/>
      <c r="S715" s="489"/>
      <c r="T715" s="489"/>
      <c r="U715" s="489"/>
      <c r="V715" s="489"/>
    </row>
    <row r="716" spans="1:22">
      <c r="A716" s="489"/>
      <c r="B716" s="489"/>
      <c r="C716" s="489"/>
      <c r="D716" s="489"/>
      <c r="E716" s="489"/>
      <c r="F716" s="489"/>
      <c r="G716" s="489"/>
      <c r="H716" s="489"/>
      <c r="I716" s="489"/>
      <c r="J716" s="489"/>
      <c r="K716" s="489"/>
      <c r="L716" s="489"/>
      <c r="M716" s="489"/>
      <c r="N716" s="489"/>
      <c r="O716" s="489"/>
      <c r="P716" s="489"/>
      <c r="Q716" s="489"/>
      <c r="R716" s="489"/>
      <c r="S716" s="489"/>
      <c r="T716" s="489"/>
      <c r="U716" s="489"/>
      <c r="V716" s="489"/>
    </row>
    <row r="717" spans="1:22">
      <c r="A717" s="489"/>
      <c r="B717" s="489"/>
      <c r="C717" s="489"/>
      <c r="D717" s="489"/>
      <c r="E717" s="489"/>
      <c r="F717" s="489"/>
      <c r="G717" s="489"/>
      <c r="H717" s="489"/>
      <c r="I717" s="489"/>
      <c r="J717" s="489"/>
      <c r="K717" s="489"/>
      <c r="L717" s="489"/>
      <c r="M717" s="489"/>
      <c r="N717" s="489"/>
      <c r="O717" s="489"/>
      <c r="P717" s="489"/>
      <c r="Q717" s="489"/>
      <c r="R717" s="489"/>
      <c r="S717" s="489"/>
      <c r="T717" s="489"/>
      <c r="U717" s="489"/>
      <c r="V717" s="489"/>
    </row>
    <row r="718" spans="1:22">
      <c r="A718" s="489"/>
      <c r="B718" s="489"/>
      <c r="C718" s="489"/>
      <c r="D718" s="489"/>
      <c r="E718" s="489"/>
      <c r="F718" s="489"/>
      <c r="G718" s="489"/>
      <c r="H718" s="489"/>
      <c r="I718" s="489"/>
      <c r="J718" s="489"/>
      <c r="K718" s="489"/>
      <c r="L718" s="489"/>
      <c r="M718" s="489"/>
      <c r="N718" s="489"/>
      <c r="O718" s="489"/>
      <c r="P718" s="489"/>
      <c r="Q718" s="489"/>
      <c r="R718" s="489"/>
      <c r="S718" s="489"/>
      <c r="T718" s="489"/>
      <c r="U718" s="489"/>
      <c r="V718" s="489"/>
    </row>
    <row r="719" spans="1:22">
      <c r="A719" s="489"/>
      <c r="B719" s="489"/>
      <c r="C719" s="489"/>
      <c r="D719" s="489"/>
      <c r="E719" s="489"/>
      <c r="F719" s="489"/>
      <c r="G719" s="489"/>
      <c r="H719" s="489"/>
      <c r="I719" s="489"/>
      <c r="J719" s="489"/>
      <c r="K719" s="489"/>
      <c r="L719" s="489"/>
      <c r="M719" s="489"/>
      <c r="N719" s="489"/>
      <c r="O719" s="489"/>
      <c r="P719" s="489"/>
      <c r="Q719" s="489"/>
      <c r="R719" s="489"/>
      <c r="S719" s="489"/>
      <c r="T719" s="489"/>
      <c r="U719" s="489"/>
      <c r="V719" s="489"/>
    </row>
    <row r="720" spans="1:22">
      <c r="A720" s="489"/>
      <c r="B720" s="489"/>
      <c r="C720" s="489"/>
      <c r="D720" s="489"/>
      <c r="E720" s="489"/>
      <c r="F720" s="489"/>
      <c r="G720" s="489"/>
      <c r="H720" s="489"/>
      <c r="I720" s="489"/>
      <c r="J720" s="489"/>
      <c r="K720" s="489"/>
      <c r="L720" s="489"/>
      <c r="M720" s="489"/>
      <c r="N720" s="489"/>
      <c r="O720" s="489"/>
      <c r="P720" s="489"/>
      <c r="Q720" s="489"/>
      <c r="R720" s="489"/>
      <c r="S720" s="489"/>
      <c r="T720" s="489"/>
      <c r="U720" s="489"/>
      <c r="V720" s="489"/>
    </row>
    <row r="721" spans="1:22">
      <c r="A721" s="489"/>
      <c r="B721" s="489"/>
      <c r="C721" s="489"/>
      <c r="D721" s="489"/>
      <c r="E721" s="489"/>
      <c r="F721" s="489"/>
      <c r="G721" s="489"/>
      <c r="H721" s="489"/>
      <c r="I721" s="489"/>
      <c r="J721" s="489"/>
      <c r="K721" s="489"/>
      <c r="L721" s="489"/>
      <c r="M721" s="489"/>
      <c r="N721" s="489"/>
      <c r="O721" s="489"/>
      <c r="P721" s="489"/>
      <c r="Q721" s="489"/>
      <c r="R721" s="489"/>
      <c r="S721" s="489"/>
      <c r="T721" s="489"/>
      <c r="U721" s="489"/>
      <c r="V721" s="489"/>
    </row>
    <row r="722" spans="1:22">
      <c r="A722" s="489"/>
      <c r="B722" s="489"/>
      <c r="C722" s="489"/>
      <c r="D722" s="489"/>
      <c r="E722" s="489"/>
      <c r="F722" s="489"/>
      <c r="G722" s="489"/>
      <c r="H722" s="489"/>
      <c r="I722" s="489"/>
      <c r="J722" s="489"/>
      <c r="K722" s="489"/>
      <c r="L722" s="489"/>
      <c r="M722" s="489"/>
      <c r="N722" s="489"/>
      <c r="O722" s="489"/>
      <c r="P722" s="489"/>
      <c r="Q722" s="489"/>
      <c r="R722" s="489"/>
      <c r="S722" s="489"/>
      <c r="T722" s="489"/>
      <c r="U722" s="489"/>
      <c r="V722" s="489"/>
    </row>
    <row r="723" spans="1:22">
      <c r="A723" s="489"/>
      <c r="B723" s="489"/>
      <c r="C723" s="489"/>
      <c r="D723" s="489"/>
      <c r="E723" s="489"/>
      <c r="F723" s="489"/>
      <c r="G723" s="489"/>
      <c r="H723" s="489"/>
      <c r="I723" s="489"/>
      <c r="J723" s="489"/>
      <c r="K723" s="489"/>
      <c r="L723" s="489"/>
      <c r="M723" s="489"/>
      <c r="N723" s="489"/>
      <c r="O723" s="489"/>
      <c r="P723" s="489"/>
      <c r="Q723" s="489"/>
      <c r="R723" s="489"/>
      <c r="S723" s="489"/>
      <c r="T723" s="489"/>
      <c r="U723" s="489"/>
      <c r="V723" s="489"/>
    </row>
    <row r="724" spans="1:22">
      <c r="A724" s="489"/>
      <c r="B724" s="489"/>
      <c r="C724" s="489"/>
      <c r="D724" s="489"/>
      <c r="E724" s="489"/>
      <c r="F724" s="489"/>
      <c r="G724" s="489"/>
      <c r="H724" s="489"/>
      <c r="I724" s="489"/>
      <c r="J724" s="489"/>
      <c r="K724" s="489"/>
      <c r="L724" s="489"/>
      <c r="M724" s="489"/>
      <c r="N724" s="489"/>
      <c r="O724" s="489"/>
      <c r="P724" s="489"/>
      <c r="Q724" s="489"/>
      <c r="R724" s="489"/>
      <c r="S724" s="489"/>
      <c r="T724" s="489"/>
      <c r="U724" s="489"/>
      <c r="V724" s="489"/>
    </row>
    <row r="725" spans="1:22">
      <c r="A725" s="489"/>
      <c r="B725" s="489"/>
      <c r="C725" s="489"/>
      <c r="D725" s="489"/>
      <c r="E725" s="489"/>
      <c r="F725" s="489"/>
      <c r="G725" s="489"/>
      <c r="H725" s="489"/>
      <c r="I725" s="489"/>
      <c r="J725" s="489"/>
      <c r="K725" s="489"/>
      <c r="L725" s="489"/>
      <c r="M725" s="489"/>
      <c r="N725" s="489"/>
      <c r="O725" s="489"/>
      <c r="P725" s="489"/>
      <c r="Q725" s="489"/>
      <c r="R725" s="489"/>
      <c r="S725" s="489"/>
      <c r="T725" s="489"/>
      <c r="U725" s="489"/>
      <c r="V725" s="489"/>
    </row>
    <row r="726" spans="1:22">
      <c r="A726" s="489"/>
      <c r="B726" s="489"/>
      <c r="C726" s="489"/>
      <c r="D726" s="489"/>
      <c r="E726" s="489"/>
      <c r="F726" s="489"/>
      <c r="G726" s="489"/>
      <c r="H726" s="489"/>
      <c r="I726" s="489"/>
      <c r="J726" s="489"/>
      <c r="K726" s="489"/>
      <c r="L726" s="489"/>
      <c r="M726" s="489"/>
      <c r="N726" s="489"/>
      <c r="O726" s="489"/>
      <c r="P726" s="489"/>
      <c r="Q726" s="489"/>
      <c r="R726" s="489"/>
      <c r="S726" s="489"/>
      <c r="T726" s="489"/>
      <c r="U726" s="489"/>
      <c r="V726" s="489"/>
    </row>
    <row r="727" spans="1:22">
      <c r="A727" s="489"/>
      <c r="B727" s="489"/>
      <c r="C727" s="489"/>
      <c r="D727" s="489"/>
      <c r="E727" s="489"/>
      <c r="F727" s="489"/>
      <c r="G727" s="489"/>
      <c r="H727" s="489"/>
      <c r="I727" s="489"/>
      <c r="J727" s="489"/>
      <c r="K727" s="489"/>
      <c r="L727" s="489"/>
      <c r="M727" s="489"/>
      <c r="N727" s="489"/>
      <c r="O727" s="489"/>
      <c r="P727" s="489"/>
      <c r="Q727" s="489"/>
      <c r="R727" s="489"/>
      <c r="S727" s="489"/>
      <c r="T727" s="489"/>
      <c r="U727" s="489"/>
      <c r="V727" s="489"/>
    </row>
    <row r="728" spans="1:22">
      <c r="A728" s="489"/>
      <c r="B728" s="489"/>
      <c r="C728" s="489"/>
      <c r="D728" s="489"/>
      <c r="E728" s="489"/>
      <c r="F728" s="489"/>
      <c r="G728" s="489"/>
      <c r="H728" s="489"/>
      <c r="I728" s="489"/>
      <c r="J728" s="489"/>
      <c r="K728" s="489"/>
      <c r="L728" s="489"/>
      <c r="M728" s="489"/>
      <c r="N728" s="489"/>
      <c r="O728" s="489"/>
      <c r="P728" s="489"/>
      <c r="Q728" s="489"/>
      <c r="R728" s="489"/>
      <c r="S728" s="489"/>
      <c r="T728" s="489"/>
      <c r="U728" s="489"/>
      <c r="V728" s="489"/>
    </row>
    <row r="729" spans="1:22">
      <c r="A729" s="489"/>
      <c r="B729" s="489"/>
      <c r="C729" s="489"/>
      <c r="D729" s="489"/>
      <c r="E729" s="489"/>
      <c r="F729" s="489"/>
      <c r="G729" s="489"/>
      <c r="H729" s="489"/>
      <c r="I729" s="489"/>
      <c r="J729" s="489"/>
      <c r="K729" s="489"/>
      <c r="L729" s="489"/>
      <c r="M729" s="489"/>
      <c r="N729" s="489"/>
      <c r="O729" s="489"/>
      <c r="P729" s="489"/>
      <c r="Q729" s="489"/>
      <c r="R729" s="489"/>
      <c r="S729" s="489"/>
      <c r="T729" s="489"/>
      <c r="U729" s="489"/>
      <c r="V729" s="489"/>
    </row>
    <row r="730" spans="1:22">
      <c r="A730" s="489"/>
      <c r="B730" s="489"/>
      <c r="C730" s="489"/>
      <c r="D730" s="489"/>
      <c r="E730" s="489"/>
      <c r="F730" s="489"/>
      <c r="G730" s="489"/>
      <c r="H730" s="489"/>
      <c r="I730" s="489"/>
      <c r="J730" s="489"/>
      <c r="K730" s="489"/>
      <c r="L730" s="489"/>
      <c r="M730" s="489"/>
      <c r="N730" s="489"/>
      <c r="O730" s="489"/>
      <c r="P730" s="489"/>
      <c r="Q730" s="489"/>
      <c r="R730" s="489"/>
      <c r="S730" s="489"/>
      <c r="T730" s="489"/>
      <c r="U730" s="489"/>
      <c r="V730" s="489"/>
    </row>
    <row r="731" spans="1:22">
      <c r="A731" s="489"/>
      <c r="B731" s="489"/>
      <c r="C731" s="489"/>
      <c r="D731" s="489"/>
      <c r="E731" s="489"/>
      <c r="F731" s="489"/>
      <c r="G731" s="489"/>
      <c r="H731" s="489"/>
      <c r="I731" s="489"/>
      <c r="J731" s="489"/>
      <c r="K731" s="489"/>
      <c r="L731" s="489"/>
      <c r="M731" s="489"/>
      <c r="N731" s="489"/>
      <c r="O731" s="489"/>
      <c r="P731" s="489"/>
      <c r="Q731" s="489"/>
      <c r="R731" s="489"/>
      <c r="S731" s="489"/>
      <c r="T731" s="489"/>
      <c r="U731" s="489"/>
      <c r="V731" s="489"/>
    </row>
    <row r="732" spans="1:22">
      <c r="A732" s="489"/>
      <c r="B732" s="489"/>
      <c r="C732" s="489"/>
      <c r="D732" s="489"/>
      <c r="E732" s="489"/>
      <c r="F732" s="489"/>
      <c r="G732" s="489"/>
      <c r="H732" s="489"/>
      <c r="I732" s="489"/>
      <c r="J732" s="489"/>
      <c r="K732" s="489"/>
      <c r="L732" s="489"/>
      <c r="M732" s="489"/>
      <c r="N732" s="489"/>
      <c r="O732" s="489"/>
      <c r="P732" s="489"/>
      <c r="Q732" s="489"/>
      <c r="R732" s="489"/>
      <c r="S732" s="489"/>
      <c r="T732" s="489"/>
      <c r="U732" s="489"/>
      <c r="V732" s="489"/>
    </row>
    <row r="733" spans="1:22">
      <c r="A733" s="489"/>
      <c r="B733" s="489"/>
      <c r="C733" s="489"/>
      <c r="D733" s="489"/>
      <c r="E733" s="489"/>
      <c r="F733" s="489"/>
      <c r="G733" s="489"/>
      <c r="H733" s="489"/>
      <c r="I733" s="489"/>
      <c r="J733" s="489"/>
      <c r="K733" s="489"/>
      <c r="L733" s="489"/>
      <c r="M733" s="489"/>
      <c r="N733" s="489"/>
      <c r="O733" s="489"/>
      <c r="P733" s="489"/>
      <c r="Q733" s="489"/>
      <c r="R733" s="489"/>
      <c r="S733" s="489"/>
      <c r="T733" s="489"/>
      <c r="U733" s="489"/>
      <c r="V733" s="489"/>
    </row>
    <row r="734" spans="1:22">
      <c r="A734" s="489"/>
      <c r="B734" s="489"/>
      <c r="C734" s="489"/>
      <c r="D734" s="489"/>
      <c r="E734" s="489"/>
      <c r="F734" s="489"/>
      <c r="G734" s="489"/>
      <c r="H734" s="489"/>
      <c r="I734" s="489"/>
      <c r="J734" s="489"/>
      <c r="K734" s="489"/>
      <c r="L734" s="489"/>
      <c r="M734" s="489"/>
      <c r="N734" s="489"/>
      <c r="O734" s="489"/>
      <c r="P734" s="489"/>
      <c r="Q734" s="489"/>
      <c r="R734" s="489"/>
      <c r="S734" s="489"/>
      <c r="T734" s="489"/>
      <c r="U734" s="489"/>
      <c r="V734" s="489"/>
    </row>
    <row r="735" spans="1:22">
      <c r="A735" s="489"/>
      <c r="B735" s="489"/>
      <c r="C735" s="489"/>
      <c r="D735" s="489"/>
      <c r="E735" s="489"/>
      <c r="F735" s="489"/>
      <c r="G735" s="489"/>
      <c r="H735" s="489"/>
      <c r="I735" s="489"/>
      <c r="J735" s="489"/>
      <c r="K735" s="489"/>
      <c r="L735" s="489"/>
      <c r="M735" s="489"/>
      <c r="N735" s="489"/>
      <c r="O735" s="489"/>
      <c r="P735" s="489"/>
      <c r="Q735" s="489"/>
      <c r="R735" s="489"/>
      <c r="S735" s="489"/>
      <c r="T735" s="489"/>
      <c r="U735" s="489"/>
      <c r="V735" s="489"/>
    </row>
    <row r="736" spans="1:22">
      <c r="A736" s="489"/>
      <c r="B736" s="489"/>
      <c r="C736" s="489"/>
      <c r="D736" s="489"/>
      <c r="E736" s="489"/>
      <c r="F736" s="489"/>
      <c r="G736" s="489"/>
      <c r="H736" s="489"/>
      <c r="I736" s="489"/>
      <c r="J736" s="489"/>
      <c r="K736" s="489"/>
      <c r="L736" s="489"/>
      <c r="M736" s="489"/>
      <c r="N736" s="489"/>
      <c r="O736" s="489"/>
      <c r="P736" s="489"/>
      <c r="Q736" s="489"/>
      <c r="R736" s="489"/>
      <c r="S736" s="489"/>
      <c r="T736" s="489"/>
      <c r="U736" s="489"/>
      <c r="V736" s="489"/>
    </row>
    <row r="737" spans="1:22">
      <c r="A737" s="489"/>
      <c r="B737" s="489"/>
      <c r="C737" s="489"/>
      <c r="D737" s="489"/>
      <c r="E737" s="489"/>
      <c r="F737" s="489"/>
      <c r="G737" s="489"/>
      <c r="H737" s="489"/>
      <c r="I737" s="489"/>
      <c r="J737" s="489"/>
      <c r="K737" s="489"/>
      <c r="L737" s="489"/>
      <c r="M737" s="489"/>
      <c r="N737" s="489"/>
      <c r="O737" s="489"/>
      <c r="P737" s="489"/>
      <c r="Q737" s="489"/>
      <c r="R737" s="489"/>
      <c r="S737" s="489"/>
      <c r="T737" s="489"/>
      <c r="U737" s="489"/>
      <c r="V737" s="489"/>
    </row>
    <row r="738" spans="1:22">
      <c r="A738" s="489"/>
      <c r="B738" s="489"/>
      <c r="C738" s="489"/>
      <c r="D738" s="489"/>
      <c r="E738" s="489"/>
      <c r="F738" s="489"/>
      <c r="G738" s="489"/>
      <c r="H738" s="489"/>
      <c r="I738" s="489"/>
      <c r="J738" s="489"/>
      <c r="K738" s="489"/>
      <c r="L738" s="489"/>
      <c r="M738" s="489"/>
      <c r="N738" s="489"/>
      <c r="O738" s="489"/>
      <c r="P738" s="489"/>
      <c r="Q738" s="489"/>
      <c r="R738" s="489"/>
      <c r="S738" s="489"/>
      <c r="T738" s="489"/>
      <c r="U738" s="489"/>
      <c r="V738" s="489"/>
    </row>
    <row r="739" spans="1:22">
      <c r="A739" s="489"/>
      <c r="B739" s="489"/>
      <c r="C739" s="489"/>
      <c r="D739" s="489"/>
      <c r="E739" s="489"/>
      <c r="F739" s="489"/>
      <c r="G739" s="489"/>
      <c r="H739" s="489"/>
      <c r="I739" s="489"/>
      <c r="J739" s="489"/>
      <c r="K739" s="489"/>
      <c r="L739" s="489"/>
      <c r="M739" s="489"/>
      <c r="N739" s="489"/>
      <c r="O739" s="489"/>
      <c r="P739" s="489"/>
      <c r="Q739" s="489"/>
      <c r="R739" s="489"/>
      <c r="S739" s="489"/>
      <c r="T739" s="489"/>
      <c r="U739" s="489"/>
      <c r="V739" s="489"/>
    </row>
    <row r="740" spans="1:22">
      <c r="A740" s="489"/>
      <c r="B740" s="489"/>
      <c r="C740" s="489"/>
      <c r="D740" s="489"/>
      <c r="E740" s="489"/>
      <c r="F740" s="489"/>
      <c r="G740" s="489"/>
      <c r="H740" s="489"/>
      <c r="I740" s="489"/>
      <c r="J740" s="489"/>
      <c r="K740" s="489"/>
      <c r="L740" s="489"/>
      <c r="M740" s="489"/>
      <c r="N740" s="489"/>
      <c r="O740" s="489"/>
      <c r="P740" s="489"/>
      <c r="Q740" s="489"/>
      <c r="R740" s="489"/>
      <c r="S740" s="489"/>
      <c r="T740" s="489"/>
      <c r="U740" s="489"/>
      <c r="V740" s="489"/>
    </row>
    <row r="741" spans="1:22">
      <c r="A741" s="489"/>
      <c r="B741" s="489"/>
      <c r="C741" s="489"/>
      <c r="D741" s="489"/>
      <c r="E741" s="489"/>
      <c r="F741" s="489"/>
      <c r="G741" s="489"/>
      <c r="H741" s="489"/>
      <c r="I741" s="489"/>
      <c r="J741" s="489"/>
      <c r="K741" s="489"/>
      <c r="L741" s="489"/>
      <c r="M741" s="489"/>
      <c r="N741" s="489"/>
      <c r="O741" s="489"/>
      <c r="P741" s="489"/>
      <c r="Q741" s="489"/>
      <c r="R741" s="489"/>
      <c r="S741" s="489"/>
      <c r="T741" s="489"/>
      <c r="U741" s="489"/>
      <c r="V741" s="489"/>
    </row>
    <row r="742" spans="1:22">
      <c r="A742" s="489"/>
      <c r="B742" s="489"/>
      <c r="C742" s="489"/>
      <c r="D742" s="489"/>
      <c r="E742" s="489"/>
      <c r="F742" s="489"/>
      <c r="G742" s="489"/>
      <c r="H742" s="489"/>
      <c r="I742" s="489"/>
      <c r="J742" s="489"/>
      <c r="K742" s="489"/>
      <c r="L742" s="489"/>
      <c r="M742" s="489"/>
      <c r="N742" s="489"/>
      <c r="O742" s="489"/>
      <c r="P742" s="489"/>
      <c r="Q742" s="489"/>
      <c r="R742" s="489"/>
      <c r="S742" s="489"/>
      <c r="T742" s="489"/>
      <c r="U742" s="489"/>
      <c r="V742" s="489"/>
    </row>
    <row r="743" spans="1:22">
      <c r="A743" s="489"/>
      <c r="B743" s="489"/>
      <c r="C743" s="489"/>
      <c r="D743" s="489"/>
      <c r="E743" s="489"/>
      <c r="F743" s="489"/>
      <c r="G743" s="489"/>
      <c r="H743" s="489"/>
      <c r="I743" s="489"/>
      <c r="J743" s="489"/>
      <c r="K743" s="489"/>
      <c r="L743" s="489"/>
      <c r="M743" s="489"/>
      <c r="N743" s="489"/>
      <c r="O743" s="489"/>
      <c r="P743" s="489"/>
      <c r="Q743" s="489"/>
      <c r="R743" s="489"/>
      <c r="S743" s="489"/>
      <c r="T743" s="489"/>
      <c r="U743" s="489"/>
      <c r="V743" s="489"/>
    </row>
    <row r="744" spans="1:22">
      <c r="A744" s="489"/>
      <c r="B744" s="489"/>
      <c r="C744" s="489"/>
      <c r="D744" s="489"/>
      <c r="E744" s="489"/>
      <c r="F744" s="489"/>
      <c r="G744" s="489"/>
      <c r="H744" s="489"/>
      <c r="I744" s="489"/>
      <c r="J744" s="489"/>
      <c r="K744" s="489"/>
      <c r="L744" s="489"/>
      <c r="M744" s="489"/>
      <c r="N744" s="489"/>
      <c r="O744" s="489"/>
      <c r="P744" s="489"/>
      <c r="Q744" s="489"/>
      <c r="R744" s="489"/>
      <c r="S744" s="489"/>
      <c r="T744" s="489"/>
      <c r="U744" s="489"/>
      <c r="V744" s="489"/>
    </row>
    <row r="745" spans="1:22">
      <c r="A745" s="489"/>
      <c r="B745" s="489"/>
      <c r="C745" s="489"/>
      <c r="D745" s="489"/>
      <c r="E745" s="489"/>
      <c r="F745" s="489"/>
      <c r="G745" s="489"/>
      <c r="H745" s="489"/>
      <c r="I745" s="489"/>
      <c r="J745" s="489"/>
      <c r="K745" s="489"/>
      <c r="L745" s="489"/>
      <c r="M745" s="489"/>
      <c r="N745" s="489"/>
      <c r="O745" s="489"/>
      <c r="P745" s="489"/>
      <c r="Q745" s="489"/>
      <c r="R745" s="489"/>
      <c r="S745" s="489"/>
      <c r="T745" s="489"/>
      <c r="U745" s="489"/>
      <c r="V745" s="489"/>
    </row>
    <row r="746" spans="1:22">
      <c r="A746" s="489"/>
      <c r="B746" s="489"/>
      <c r="C746" s="489"/>
      <c r="D746" s="489"/>
      <c r="E746" s="489"/>
      <c r="F746" s="489"/>
      <c r="G746" s="489"/>
      <c r="H746" s="489"/>
      <c r="I746" s="489"/>
      <c r="J746" s="489"/>
      <c r="K746" s="489"/>
      <c r="L746" s="489"/>
      <c r="M746" s="489"/>
      <c r="N746" s="489"/>
      <c r="O746" s="489"/>
      <c r="P746" s="489"/>
      <c r="Q746" s="489"/>
      <c r="R746" s="489"/>
      <c r="S746" s="489"/>
      <c r="T746" s="489"/>
      <c r="U746" s="489"/>
      <c r="V746" s="489"/>
    </row>
    <row r="747" spans="1:22">
      <c r="A747" s="489"/>
      <c r="B747" s="489"/>
      <c r="C747" s="489"/>
      <c r="D747" s="489"/>
      <c r="E747" s="489"/>
      <c r="F747" s="489"/>
      <c r="G747" s="489"/>
      <c r="H747" s="489"/>
      <c r="I747" s="489"/>
      <c r="J747" s="489"/>
      <c r="K747" s="489"/>
      <c r="L747" s="489"/>
      <c r="M747" s="489"/>
      <c r="N747" s="489"/>
      <c r="O747" s="489"/>
      <c r="P747" s="489"/>
      <c r="Q747" s="489"/>
      <c r="R747" s="489"/>
      <c r="S747" s="489"/>
      <c r="T747" s="489"/>
      <c r="U747" s="489"/>
      <c r="V747" s="489"/>
    </row>
    <row r="748" spans="1:22">
      <c r="A748" s="489"/>
      <c r="B748" s="489"/>
      <c r="C748" s="489"/>
      <c r="D748" s="489"/>
      <c r="E748" s="489"/>
      <c r="F748" s="489"/>
      <c r="G748" s="489"/>
      <c r="H748" s="489"/>
      <c r="I748" s="489"/>
      <c r="J748" s="489"/>
      <c r="K748" s="489"/>
      <c r="L748" s="489"/>
      <c r="M748" s="489"/>
      <c r="N748" s="489"/>
      <c r="O748" s="489"/>
      <c r="P748" s="489"/>
      <c r="Q748" s="489"/>
      <c r="R748" s="489"/>
      <c r="S748" s="489"/>
      <c r="T748" s="489"/>
      <c r="U748" s="489"/>
      <c r="V748" s="489"/>
    </row>
    <row r="749" spans="1:22">
      <c r="A749" s="489"/>
      <c r="B749" s="489"/>
      <c r="C749" s="489"/>
      <c r="D749" s="489"/>
      <c r="E749" s="489"/>
      <c r="F749" s="489"/>
      <c r="G749" s="489"/>
      <c r="H749" s="489"/>
      <c r="I749" s="489"/>
      <c r="J749" s="489"/>
      <c r="K749" s="489"/>
      <c r="L749" s="489"/>
      <c r="M749" s="489"/>
      <c r="N749" s="489"/>
      <c r="O749" s="489"/>
      <c r="P749" s="489"/>
      <c r="Q749" s="489"/>
      <c r="R749" s="489"/>
      <c r="S749" s="489"/>
      <c r="T749" s="489"/>
      <c r="U749" s="489"/>
      <c r="V749" s="489"/>
    </row>
    <row r="750" spans="1:22">
      <c r="A750" s="489"/>
      <c r="B750" s="489"/>
      <c r="C750" s="489"/>
      <c r="D750" s="489"/>
      <c r="E750" s="489"/>
      <c r="F750" s="489"/>
      <c r="G750" s="489"/>
      <c r="H750" s="489"/>
      <c r="I750" s="489"/>
      <c r="J750" s="489"/>
      <c r="K750" s="489"/>
      <c r="L750" s="489"/>
      <c r="M750" s="489"/>
      <c r="N750" s="489"/>
      <c r="O750" s="489"/>
      <c r="P750" s="489"/>
      <c r="Q750" s="489"/>
      <c r="R750" s="489"/>
      <c r="S750" s="489"/>
      <c r="T750" s="489"/>
      <c r="U750" s="489"/>
      <c r="V750" s="489"/>
    </row>
    <row r="751" spans="1:22">
      <c r="A751" s="489"/>
      <c r="B751" s="489"/>
      <c r="C751" s="489"/>
      <c r="D751" s="489"/>
      <c r="E751" s="489"/>
      <c r="F751" s="489"/>
      <c r="G751" s="489"/>
      <c r="H751" s="489"/>
      <c r="I751" s="489"/>
      <c r="J751" s="489"/>
      <c r="K751" s="489"/>
      <c r="L751" s="489"/>
      <c r="M751" s="489"/>
      <c r="N751" s="489"/>
      <c r="O751" s="489"/>
      <c r="P751" s="489"/>
      <c r="Q751" s="489"/>
      <c r="R751" s="489"/>
      <c r="S751" s="489"/>
      <c r="T751" s="489"/>
      <c r="U751" s="489"/>
      <c r="V751" s="489"/>
    </row>
    <row r="752" spans="1:22">
      <c r="A752" s="489"/>
      <c r="B752" s="489"/>
      <c r="C752" s="489"/>
      <c r="D752" s="489"/>
      <c r="E752" s="489"/>
      <c r="F752" s="489"/>
      <c r="G752" s="489"/>
      <c r="H752" s="489"/>
      <c r="I752" s="489"/>
      <c r="J752" s="489"/>
      <c r="K752" s="489"/>
      <c r="L752" s="489"/>
      <c r="M752" s="489"/>
      <c r="N752" s="489"/>
      <c r="O752" s="489"/>
      <c r="P752" s="489"/>
      <c r="Q752" s="489"/>
      <c r="R752" s="489"/>
      <c r="S752" s="489"/>
      <c r="T752" s="489"/>
      <c r="U752" s="489"/>
      <c r="V752" s="489"/>
    </row>
    <row r="753" spans="1:22">
      <c r="A753" s="489"/>
      <c r="B753" s="489"/>
      <c r="C753" s="489"/>
      <c r="D753" s="489"/>
      <c r="E753" s="489"/>
      <c r="F753" s="489"/>
      <c r="G753" s="489"/>
      <c r="H753" s="489"/>
      <c r="I753" s="489"/>
      <c r="J753" s="489"/>
      <c r="K753" s="489"/>
      <c r="L753" s="489"/>
      <c r="M753" s="489"/>
      <c r="N753" s="489"/>
      <c r="O753" s="489"/>
      <c r="P753" s="489"/>
      <c r="Q753" s="489"/>
      <c r="R753" s="489"/>
      <c r="S753" s="489"/>
      <c r="T753" s="489"/>
      <c r="U753" s="489"/>
      <c r="V753" s="489"/>
    </row>
    <row r="754" spans="1:22">
      <c r="A754" s="489"/>
      <c r="B754" s="489"/>
      <c r="C754" s="489"/>
      <c r="D754" s="489"/>
      <c r="E754" s="489"/>
      <c r="F754" s="489"/>
      <c r="G754" s="489"/>
      <c r="H754" s="489"/>
      <c r="I754" s="489"/>
      <c r="J754" s="489"/>
      <c r="K754" s="489"/>
      <c r="L754" s="489"/>
      <c r="M754" s="489"/>
      <c r="N754" s="489"/>
      <c r="O754" s="489"/>
      <c r="P754" s="489"/>
      <c r="Q754" s="489"/>
      <c r="R754" s="489"/>
      <c r="S754" s="489"/>
      <c r="T754" s="489"/>
      <c r="U754" s="489"/>
      <c r="V754" s="489"/>
    </row>
    <row r="755" spans="1:22">
      <c r="A755" s="489"/>
      <c r="B755" s="489"/>
      <c r="C755" s="489"/>
      <c r="D755" s="489"/>
      <c r="E755" s="489"/>
      <c r="F755" s="489"/>
      <c r="G755" s="489"/>
      <c r="H755" s="489"/>
      <c r="I755" s="489"/>
      <c r="J755" s="489"/>
      <c r="K755" s="489"/>
      <c r="L755" s="489"/>
      <c r="M755" s="489"/>
      <c r="N755" s="489"/>
      <c r="O755" s="489"/>
      <c r="P755" s="489"/>
      <c r="Q755" s="489"/>
      <c r="R755" s="489"/>
      <c r="S755" s="489"/>
      <c r="T755" s="489"/>
      <c r="U755" s="489"/>
      <c r="V755" s="489"/>
    </row>
    <row r="756" spans="1:22">
      <c r="A756" s="489"/>
      <c r="B756" s="489"/>
      <c r="C756" s="489"/>
      <c r="D756" s="489"/>
      <c r="E756" s="489"/>
      <c r="F756" s="489"/>
      <c r="G756" s="489"/>
      <c r="H756" s="489"/>
      <c r="I756" s="489"/>
      <c r="J756" s="489"/>
      <c r="K756" s="489"/>
      <c r="L756" s="489"/>
      <c r="M756" s="489"/>
      <c r="N756" s="489"/>
      <c r="O756" s="489"/>
      <c r="P756" s="489"/>
      <c r="Q756" s="489"/>
      <c r="R756" s="489"/>
      <c r="S756" s="489"/>
      <c r="T756" s="489"/>
      <c r="U756" s="489"/>
      <c r="V756" s="489"/>
    </row>
    <row r="757" spans="1:22">
      <c r="A757" s="489"/>
      <c r="B757" s="489"/>
      <c r="C757" s="489"/>
      <c r="D757" s="489"/>
      <c r="E757" s="489"/>
      <c r="F757" s="489"/>
      <c r="G757" s="489"/>
      <c r="H757" s="489"/>
      <c r="I757" s="489"/>
      <c r="J757" s="489"/>
      <c r="K757" s="489"/>
      <c r="L757" s="489"/>
      <c r="M757" s="489"/>
      <c r="N757" s="489"/>
      <c r="O757" s="489"/>
      <c r="P757" s="489"/>
      <c r="Q757" s="489"/>
      <c r="R757" s="489"/>
      <c r="S757" s="489"/>
      <c r="T757" s="489"/>
      <c r="U757" s="489"/>
      <c r="V757" s="489"/>
    </row>
    <row r="758" spans="1:22">
      <c r="A758" s="489"/>
      <c r="B758" s="489"/>
      <c r="C758" s="489"/>
      <c r="D758" s="489"/>
      <c r="E758" s="489"/>
      <c r="F758" s="489"/>
      <c r="G758" s="489"/>
      <c r="H758" s="489"/>
      <c r="I758" s="489"/>
      <c r="J758" s="489"/>
      <c r="K758" s="489"/>
      <c r="L758" s="489"/>
      <c r="M758" s="489"/>
      <c r="N758" s="489"/>
      <c r="O758" s="489"/>
      <c r="P758" s="489"/>
      <c r="Q758" s="489"/>
      <c r="R758" s="489"/>
      <c r="S758" s="489"/>
      <c r="T758" s="489"/>
      <c r="U758" s="489"/>
      <c r="V758" s="489"/>
    </row>
    <row r="759" spans="1:22">
      <c r="A759" s="489"/>
      <c r="B759" s="489"/>
      <c r="C759" s="489"/>
      <c r="D759" s="489"/>
      <c r="E759" s="489"/>
      <c r="F759" s="489"/>
      <c r="G759" s="489"/>
      <c r="H759" s="489"/>
      <c r="I759" s="489"/>
      <c r="J759" s="489"/>
      <c r="K759" s="489"/>
      <c r="L759" s="489"/>
      <c r="M759" s="489"/>
      <c r="N759" s="489"/>
      <c r="O759" s="489"/>
      <c r="P759" s="489"/>
      <c r="Q759" s="489"/>
      <c r="R759" s="489"/>
      <c r="S759" s="489"/>
      <c r="T759" s="489"/>
      <c r="U759" s="489"/>
      <c r="V759" s="489"/>
    </row>
    <row r="760" spans="1:22">
      <c r="A760" s="489"/>
      <c r="B760" s="489"/>
      <c r="C760" s="489"/>
      <c r="D760" s="489"/>
      <c r="E760" s="489"/>
      <c r="F760" s="489"/>
      <c r="G760" s="489"/>
      <c r="H760" s="489"/>
      <c r="I760" s="489"/>
      <c r="J760" s="489"/>
      <c r="K760" s="489"/>
      <c r="L760" s="489"/>
      <c r="M760" s="489"/>
      <c r="N760" s="489"/>
      <c r="O760" s="489"/>
      <c r="P760" s="489"/>
      <c r="Q760" s="489"/>
      <c r="R760" s="489"/>
      <c r="S760" s="489"/>
      <c r="T760" s="489"/>
      <c r="U760" s="489"/>
      <c r="V760" s="489"/>
    </row>
    <row r="761" spans="1:22">
      <c r="A761" s="489"/>
      <c r="B761" s="489"/>
      <c r="C761" s="489"/>
      <c r="D761" s="489"/>
      <c r="E761" s="489"/>
      <c r="F761" s="489"/>
      <c r="G761" s="489"/>
      <c r="H761" s="489"/>
      <c r="I761" s="489"/>
      <c r="J761" s="489"/>
      <c r="K761" s="489"/>
      <c r="L761" s="489"/>
      <c r="M761" s="489"/>
      <c r="N761" s="489"/>
      <c r="O761" s="489"/>
      <c r="P761" s="489"/>
      <c r="Q761" s="489"/>
      <c r="R761" s="489"/>
      <c r="S761" s="489"/>
      <c r="T761" s="489"/>
      <c r="U761" s="489"/>
      <c r="V761" s="489"/>
    </row>
    <row r="762" spans="1:22">
      <c r="A762" s="489"/>
      <c r="B762" s="489"/>
      <c r="C762" s="489"/>
      <c r="D762" s="489"/>
      <c r="E762" s="489"/>
      <c r="F762" s="489"/>
      <c r="G762" s="489"/>
      <c r="H762" s="489"/>
      <c r="I762" s="489"/>
      <c r="J762" s="489"/>
      <c r="K762" s="489"/>
      <c r="L762" s="489"/>
      <c r="M762" s="489"/>
      <c r="N762" s="489"/>
      <c r="O762" s="489"/>
      <c r="P762" s="489"/>
      <c r="Q762" s="489"/>
      <c r="R762" s="489"/>
      <c r="S762" s="489"/>
      <c r="T762" s="489"/>
      <c r="U762" s="489"/>
      <c r="V762" s="489"/>
    </row>
    <row r="763" spans="1:22">
      <c r="A763" s="489"/>
      <c r="B763" s="489"/>
      <c r="C763" s="489"/>
      <c r="D763" s="489"/>
      <c r="E763" s="489"/>
      <c r="F763" s="489"/>
      <c r="G763" s="489"/>
      <c r="H763" s="489"/>
      <c r="I763" s="489"/>
      <c r="J763" s="489"/>
      <c r="K763" s="489"/>
      <c r="L763" s="489"/>
      <c r="M763" s="489"/>
      <c r="N763" s="489"/>
      <c r="O763" s="489"/>
      <c r="P763" s="489"/>
      <c r="Q763" s="489"/>
      <c r="R763" s="489"/>
      <c r="S763" s="489"/>
      <c r="T763" s="489"/>
      <c r="U763" s="489"/>
      <c r="V763" s="489"/>
    </row>
    <row r="764" spans="1:22">
      <c r="A764" s="489"/>
      <c r="B764" s="489"/>
      <c r="C764" s="489"/>
      <c r="D764" s="489"/>
      <c r="E764" s="489"/>
      <c r="F764" s="489"/>
      <c r="G764" s="489"/>
      <c r="H764" s="489"/>
      <c r="I764" s="489"/>
      <c r="J764" s="489"/>
      <c r="K764" s="489"/>
      <c r="L764" s="489"/>
      <c r="M764" s="489"/>
      <c r="N764" s="489"/>
      <c r="O764" s="489"/>
      <c r="P764" s="489"/>
      <c r="Q764" s="489"/>
      <c r="R764" s="489"/>
      <c r="S764" s="489"/>
      <c r="T764" s="489"/>
      <c r="U764" s="489"/>
      <c r="V764" s="489"/>
    </row>
    <row r="765" spans="1:22">
      <c r="A765" s="489"/>
      <c r="B765" s="489"/>
      <c r="C765" s="489"/>
      <c r="D765" s="489"/>
      <c r="E765" s="489"/>
      <c r="F765" s="489"/>
      <c r="G765" s="489"/>
      <c r="H765" s="489"/>
      <c r="I765" s="489"/>
      <c r="J765" s="489"/>
      <c r="K765" s="489"/>
      <c r="L765" s="489"/>
      <c r="M765" s="489"/>
      <c r="N765" s="489"/>
      <c r="O765" s="489"/>
      <c r="P765" s="489"/>
      <c r="Q765" s="489"/>
      <c r="R765" s="489"/>
      <c r="S765" s="489"/>
      <c r="T765" s="489"/>
      <c r="U765" s="489"/>
      <c r="V765" s="489"/>
    </row>
    <row r="766" spans="1:22">
      <c r="A766" s="489"/>
      <c r="B766" s="489"/>
      <c r="C766" s="489"/>
      <c r="D766" s="489"/>
      <c r="E766" s="489"/>
      <c r="F766" s="489"/>
      <c r="G766" s="489"/>
      <c r="H766" s="489"/>
      <c r="I766" s="489"/>
      <c r="J766" s="489"/>
      <c r="K766" s="489"/>
      <c r="L766" s="489"/>
      <c r="M766" s="489"/>
      <c r="N766" s="489"/>
      <c r="O766" s="489"/>
      <c r="P766" s="489"/>
      <c r="Q766" s="489"/>
      <c r="R766" s="489"/>
      <c r="S766" s="489"/>
      <c r="T766" s="489"/>
      <c r="U766" s="489"/>
      <c r="V766" s="489"/>
    </row>
    <row r="767" spans="1:22">
      <c r="A767" s="489"/>
      <c r="B767" s="489"/>
      <c r="C767" s="489"/>
      <c r="D767" s="489"/>
      <c r="E767" s="489"/>
      <c r="F767" s="489"/>
      <c r="G767" s="489"/>
      <c r="H767" s="489"/>
      <c r="I767" s="489"/>
      <c r="J767" s="489"/>
      <c r="K767" s="489"/>
      <c r="L767" s="489"/>
      <c r="M767" s="489"/>
      <c r="N767" s="489"/>
      <c r="O767" s="489"/>
      <c r="P767" s="489"/>
      <c r="Q767" s="489"/>
      <c r="R767" s="489"/>
      <c r="S767" s="489"/>
      <c r="T767" s="489"/>
      <c r="U767" s="489"/>
      <c r="V767" s="489"/>
    </row>
    <row r="768" spans="1:22">
      <c r="A768" s="489"/>
      <c r="B768" s="489"/>
      <c r="C768" s="489"/>
      <c r="D768" s="489"/>
      <c r="E768" s="489"/>
      <c r="F768" s="489"/>
      <c r="G768" s="489"/>
      <c r="H768" s="489"/>
      <c r="I768" s="489"/>
      <c r="J768" s="489"/>
      <c r="K768" s="489"/>
      <c r="L768" s="489"/>
      <c r="M768" s="489"/>
      <c r="N768" s="489"/>
      <c r="O768" s="489"/>
      <c r="P768" s="489"/>
      <c r="Q768" s="489"/>
      <c r="R768" s="489"/>
      <c r="S768" s="489"/>
      <c r="T768" s="489"/>
      <c r="U768" s="489"/>
      <c r="V768" s="489"/>
    </row>
    <row r="769" spans="1:22">
      <c r="A769" s="489"/>
      <c r="B769" s="489"/>
      <c r="C769" s="489"/>
      <c r="D769" s="489"/>
      <c r="E769" s="489"/>
      <c r="F769" s="489"/>
      <c r="G769" s="489"/>
      <c r="H769" s="489"/>
      <c r="I769" s="489"/>
      <c r="J769" s="489"/>
      <c r="K769" s="489"/>
      <c r="L769" s="489"/>
      <c r="M769" s="489"/>
      <c r="N769" s="489"/>
      <c r="O769" s="489"/>
      <c r="P769" s="489"/>
      <c r="Q769" s="489"/>
      <c r="R769" s="489"/>
      <c r="S769" s="489"/>
      <c r="T769" s="489"/>
      <c r="U769" s="489"/>
      <c r="V769" s="489"/>
    </row>
    <row r="770" spans="1:22">
      <c r="A770" s="489"/>
      <c r="B770" s="489"/>
      <c r="C770" s="489"/>
      <c r="D770" s="489"/>
      <c r="E770" s="489"/>
      <c r="F770" s="489"/>
      <c r="G770" s="489"/>
      <c r="H770" s="489"/>
      <c r="I770" s="489"/>
      <c r="J770" s="489"/>
      <c r="K770" s="489"/>
      <c r="L770" s="489"/>
      <c r="M770" s="489"/>
      <c r="N770" s="489"/>
      <c r="O770" s="489"/>
      <c r="P770" s="489"/>
      <c r="Q770" s="489"/>
      <c r="R770" s="489"/>
      <c r="S770" s="489"/>
      <c r="T770" s="489"/>
      <c r="U770" s="489"/>
      <c r="V770" s="489"/>
    </row>
    <row r="771" spans="1:22">
      <c r="A771" s="489"/>
      <c r="B771" s="489"/>
      <c r="C771" s="489"/>
      <c r="D771" s="489"/>
      <c r="E771" s="489"/>
      <c r="F771" s="489"/>
      <c r="G771" s="489"/>
      <c r="H771" s="489"/>
      <c r="I771" s="489"/>
      <c r="J771" s="489"/>
      <c r="K771" s="489"/>
      <c r="L771" s="489"/>
      <c r="M771" s="489"/>
      <c r="N771" s="489"/>
      <c r="O771" s="489"/>
      <c r="P771" s="489"/>
      <c r="Q771" s="489"/>
      <c r="R771" s="489"/>
      <c r="S771" s="489"/>
      <c r="T771" s="489"/>
      <c r="U771" s="489"/>
      <c r="V771" s="489"/>
    </row>
    <row r="772" spans="1:22">
      <c r="A772" s="489"/>
      <c r="B772" s="489"/>
      <c r="C772" s="489"/>
      <c r="D772" s="489"/>
      <c r="E772" s="489"/>
      <c r="F772" s="489"/>
      <c r="G772" s="489"/>
      <c r="H772" s="489"/>
      <c r="I772" s="489"/>
      <c r="J772" s="489"/>
      <c r="K772" s="489"/>
      <c r="L772" s="489"/>
      <c r="M772" s="489"/>
      <c r="N772" s="489"/>
      <c r="O772" s="489"/>
      <c r="P772" s="489"/>
      <c r="Q772" s="489"/>
      <c r="R772" s="489"/>
      <c r="S772" s="489"/>
      <c r="T772" s="489"/>
      <c r="U772" s="489"/>
      <c r="V772" s="489"/>
    </row>
    <row r="773" spans="1:22">
      <c r="A773" s="489"/>
      <c r="B773" s="489"/>
      <c r="C773" s="489"/>
      <c r="D773" s="489"/>
      <c r="E773" s="489"/>
      <c r="F773" s="489"/>
      <c r="G773" s="489"/>
      <c r="H773" s="489"/>
      <c r="I773" s="489"/>
      <c r="J773" s="489"/>
      <c r="K773" s="489"/>
      <c r="L773" s="489"/>
      <c r="M773" s="489"/>
      <c r="N773" s="489"/>
      <c r="O773" s="489"/>
      <c r="P773" s="489"/>
      <c r="Q773" s="489"/>
      <c r="R773" s="489"/>
      <c r="S773" s="489"/>
      <c r="T773" s="489"/>
      <c r="U773" s="489"/>
      <c r="V773" s="489"/>
    </row>
    <row r="774" spans="1:22">
      <c r="A774" s="489"/>
      <c r="B774" s="489"/>
      <c r="C774" s="489"/>
      <c r="D774" s="489"/>
      <c r="E774" s="489"/>
      <c r="F774" s="489"/>
      <c r="G774" s="489"/>
      <c r="H774" s="489"/>
      <c r="I774" s="489"/>
      <c r="J774" s="489"/>
      <c r="K774" s="489"/>
      <c r="L774" s="489"/>
      <c r="M774" s="489"/>
      <c r="N774" s="489"/>
      <c r="O774" s="489"/>
      <c r="P774" s="489"/>
      <c r="Q774" s="489"/>
      <c r="R774" s="489"/>
      <c r="S774" s="489"/>
      <c r="T774" s="489"/>
      <c r="U774" s="489"/>
      <c r="V774" s="489"/>
    </row>
    <row r="775" spans="1:22">
      <c r="A775" s="489"/>
      <c r="B775" s="489"/>
      <c r="C775" s="489"/>
      <c r="D775" s="489"/>
      <c r="E775" s="489"/>
      <c r="F775" s="489"/>
      <c r="G775" s="489"/>
      <c r="H775" s="489"/>
      <c r="I775" s="489"/>
      <c r="J775" s="489"/>
      <c r="K775" s="489"/>
      <c r="L775" s="489"/>
      <c r="M775" s="489"/>
      <c r="N775" s="489"/>
      <c r="O775" s="489"/>
      <c r="P775" s="489"/>
      <c r="Q775" s="489"/>
      <c r="R775" s="489"/>
      <c r="S775" s="489"/>
      <c r="T775" s="489"/>
      <c r="U775" s="489"/>
      <c r="V775" s="489"/>
    </row>
    <row r="776" spans="1:22">
      <c r="A776" s="489"/>
      <c r="B776" s="489"/>
      <c r="C776" s="489"/>
      <c r="D776" s="489"/>
      <c r="E776" s="489"/>
      <c r="F776" s="489"/>
      <c r="G776" s="489"/>
      <c r="H776" s="489"/>
      <c r="I776" s="489"/>
      <c r="J776" s="489"/>
      <c r="K776" s="489"/>
      <c r="L776" s="489"/>
      <c r="M776" s="489"/>
      <c r="N776" s="489"/>
      <c r="O776" s="489"/>
      <c r="P776" s="489"/>
      <c r="Q776" s="489"/>
      <c r="R776" s="489"/>
      <c r="S776" s="489"/>
      <c r="T776" s="489"/>
      <c r="U776" s="489"/>
      <c r="V776" s="489"/>
    </row>
    <row r="777" spans="1:22">
      <c r="A777" s="489"/>
      <c r="B777" s="489"/>
      <c r="C777" s="489"/>
      <c r="D777" s="489"/>
      <c r="E777" s="489"/>
      <c r="F777" s="489"/>
      <c r="G777" s="489"/>
      <c r="H777" s="489"/>
      <c r="I777" s="489"/>
      <c r="J777" s="489"/>
      <c r="K777" s="489"/>
      <c r="L777" s="489"/>
      <c r="M777" s="489"/>
      <c r="N777" s="489"/>
      <c r="O777" s="489"/>
      <c r="P777" s="489"/>
      <c r="Q777" s="489"/>
      <c r="R777" s="489"/>
      <c r="S777" s="489"/>
      <c r="T777" s="489"/>
      <c r="U777" s="489"/>
      <c r="V777" s="489"/>
    </row>
    <row r="778" spans="1:22">
      <c r="A778" s="489"/>
      <c r="B778" s="489"/>
      <c r="C778" s="489"/>
      <c r="D778" s="489"/>
      <c r="E778" s="489"/>
      <c r="F778" s="489"/>
      <c r="G778" s="489"/>
      <c r="H778" s="489"/>
      <c r="I778" s="489"/>
      <c r="J778" s="489"/>
      <c r="K778" s="489"/>
      <c r="L778" s="489"/>
      <c r="M778" s="489"/>
      <c r="N778" s="489"/>
      <c r="O778" s="489"/>
      <c r="P778" s="489"/>
      <c r="Q778" s="489"/>
      <c r="R778" s="489"/>
      <c r="S778" s="489"/>
      <c r="T778" s="489"/>
      <c r="U778" s="489"/>
      <c r="V778" s="489"/>
    </row>
    <row r="779" spans="1:22">
      <c r="A779" s="489"/>
      <c r="B779" s="489"/>
      <c r="C779" s="489"/>
      <c r="D779" s="489"/>
      <c r="E779" s="489"/>
      <c r="F779" s="489"/>
      <c r="G779" s="489"/>
      <c r="H779" s="489"/>
      <c r="I779" s="489"/>
      <c r="J779" s="489"/>
      <c r="K779" s="489"/>
      <c r="L779" s="489"/>
      <c r="M779" s="489"/>
      <c r="N779" s="489"/>
      <c r="O779" s="489"/>
      <c r="P779" s="489"/>
      <c r="Q779" s="489"/>
      <c r="R779" s="489"/>
      <c r="S779" s="489"/>
      <c r="T779" s="489"/>
      <c r="U779" s="489"/>
      <c r="V779" s="489"/>
    </row>
    <row r="780" spans="1:22">
      <c r="A780" s="489"/>
      <c r="B780" s="489"/>
      <c r="C780" s="489"/>
      <c r="D780" s="489"/>
      <c r="E780" s="489"/>
      <c r="F780" s="489"/>
      <c r="G780" s="489"/>
      <c r="H780" s="489"/>
      <c r="I780" s="489"/>
      <c r="J780" s="489"/>
      <c r="K780" s="489"/>
      <c r="L780" s="489"/>
      <c r="M780" s="489"/>
      <c r="N780" s="489"/>
      <c r="O780" s="489"/>
      <c r="P780" s="489"/>
      <c r="Q780" s="489"/>
      <c r="R780" s="489"/>
      <c r="S780" s="489"/>
      <c r="T780" s="489"/>
      <c r="U780" s="489"/>
      <c r="V780" s="489"/>
    </row>
    <row r="781" spans="1:22">
      <c r="A781" s="489"/>
      <c r="B781" s="489"/>
      <c r="C781" s="489"/>
      <c r="D781" s="489"/>
      <c r="E781" s="489"/>
      <c r="F781" s="489"/>
      <c r="G781" s="489"/>
      <c r="H781" s="489"/>
      <c r="I781" s="489"/>
      <c r="J781" s="489"/>
      <c r="K781" s="489"/>
      <c r="L781" s="489"/>
      <c r="M781" s="489"/>
      <c r="N781" s="489"/>
      <c r="O781" s="489"/>
      <c r="P781" s="489"/>
      <c r="Q781" s="489"/>
      <c r="R781" s="489"/>
      <c r="S781" s="489"/>
      <c r="T781" s="489"/>
      <c r="U781" s="489"/>
      <c r="V781" s="489"/>
    </row>
    <row r="782" spans="1:22">
      <c r="A782" s="489"/>
      <c r="B782" s="489"/>
      <c r="C782" s="489"/>
      <c r="D782" s="489"/>
      <c r="E782" s="489"/>
      <c r="F782" s="489"/>
      <c r="G782" s="489"/>
      <c r="H782" s="489"/>
      <c r="I782" s="489"/>
      <c r="J782" s="489"/>
      <c r="K782" s="489"/>
      <c r="L782" s="489"/>
      <c r="M782" s="489"/>
      <c r="N782" s="489"/>
      <c r="O782" s="489"/>
      <c r="P782" s="489"/>
      <c r="Q782" s="489"/>
      <c r="R782" s="489"/>
      <c r="S782" s="489"/>
      <c r="T782" s="489"/>
      <c r="U782" s="489"/>
      <c r="V782" s="489"/>
    </row>
    <row r="783" spans="1:22">
      <c r="A783" s="489"/>
      <c r="B783" s="489"/>
      <c r="C783" s="489"/>
      <c r="D783" s="489"/>
      <c r="E783" s="489"/>
      <c r="F783" s="489"/>
      <c r="G783" s="489"/>
      <c r="H783" s="489"/>
      <c r="I783" s="489"/>
      <c r="J783" s="489"/>
      <c r="K783" s="489"/>
      <c r="L783" s="489"/>
      <c r="M783" s="489"/>
      <c r="N783" s="489"/>
      <c r="O783" s="489"/>
      <c r="P783" s="489"/>
      <c r="Q783" s="489"/>
      <c r="R783" s="489"/>
      <c r="S783" s="489"/>
      <c r="T783" s="489"/>
      <c r="U783" s="489"/>
      <c r="V783" s="489"/>
    </row>
    <row r="784" spans="1:22">
      <c r="A784" s="489"/>
      <c r="B784" s="489"/>
      <c r="C784" s="489"/>
      <c r="D784" s="489"/>
      <c r="E784" s="489"/>
      <c r="F784" s="489"/>
      <c r="G784" s="489"/>
      <c r="H784" s="489"/>
      <c r="I784" s="489"/>
      <c r="J784" s="489"/>
      <c r="K784" s="489"/>
      <c r="L784" s="489"/>
      <c r="M784" s="489"/>
      <c r="N784" s="489"/>
      <c r="O784" s="489"/>
      <c r="P784" s="489"/>
      <c r="Q784" s="489"/>
      <c r="R784" s="489"/>
      <c r="S784" s="489"/>
      <c r="T784" s="489"/>
      <c r="U784" s="489"/>
      <c r="V784" s="489"/>
    </row>
    <row r="785" spans="1:22">
      <c r="A785" s="489"/>
      <c r="B785" s="489"/>
      <c r="C785" s="489"/>
      <c r="D785" s="489"/>
      <c r="E785" s="489"/>
      <c r="F785" s="489"/>
      <c r="G785" s="489"/>
      <c r="H785" s="489"/>
      <c r="I785" s="489"/>
      <c r="J785" s="489"/>
      <c r="K785" s="489"/>
      <c r="L785" s="489"/>
      <c r="M785" s="489"/>
      <c r="N785" s="489"/>
      <c r="O785" s="489"/>
      <c r="P785" s="489"/>
      <c r="Q785" s="489"/>
      <c r="R785" s="489"/>
      <c r="S785" s="489"/>
      <c r="T785" s="489"/>
      <c r="U785" s="489"/>
      <c r="V785" s="489"/>
    </row>
    <row r="786" spans="1:22">
      <c r="A786" s="489"/>
      <c r="B786" s="489"/>
      <c r="C786" s="489"/>
      <c r="D786" s="489"/>
      <c r="E786" s="489"/>
      <c r="F786" s="489"/>
      <c r="G786" s="489"/>
      <c r="H786" s="489"/>
      <c r="I786" s="489"/>
      <c r="J786" s="489"/>
      <c r="K786" s="489"/>
      <c r="L786" s="489"/>
      <c r="M786" s="489"/>
      <c r="N786" s="489"/>
      <c r="O786" s="489"/>
      <c r="P786" s="489"/>
      <c r="Q786" s="489"/>
      <c r="R786" s="489"/>
      <c r="S786" s="489"/>
      <c r="T786" s="489"/>
      <c r="U786" s="489"/>
      <c r="V786" s="489"/>
    </row>
    <row r="787" spans="1:22">
      <c r="A787" s="489"/>
      <c r="B787" s="489"/>
      <c r="C787" s="489"/>
      <c r="D787" s="489"/>
      <c r="E787" s="489"/>
      <c r="F787" s="489"/>
      <c r="G787" s="489"/>
      <c r="H787" s="489"/>
      <c r="I787" s="489"/>
      <c r="J787" s="489"/>
      <c r="K787" s="489"/>
      <c r="L787" s="489"/>
      <c r="M787" s="489"/>
      <c r="N787" s="489"/>
      <c r="O787" s="489"/>
      <c r="P787" s="489"/>
      <c r="Q787" s="489"/>
      <c r="R787" s="489"/>
      <c r="S787" s="489"/>
      <c r="T787" s="489"/>
      <c r="U787" s="489"/>
      <c r="V787" s="489"/>
    </row>
    <row r="788" spans="1:22">
      <c r="A788" s="489"/>
      <c r="B788" s="489"/>
      <c r="C788" s="489"/>
      <c r="D788" s="489"/>
      <c r="E788" s="489"/>
      <c r="F788" s="489"/>
      <c r="G788" s="489"/>
      <c r="H788" s="489"/>
      <c r="I788" s="489"/>
      <c r="J788" s="489"/>
      <c r="K788" s="489"/>
      <c r="L788" s="489"/>
      <c r="M788" s="489"/>
      <c r="N788" s="489"/>
      <c r="O788" s="489"/>
      <c r="P788" s="489"/>
      <c r="Q788" s="489"/>
      <c r="R788" s="489"/>
      <c r="S788" s="489"/>
      <c r="T788" s="489"/>
      <c r="U788" s="489"/>
      <c r="V788" s="489"/>
    </row>
    <row r="789" spans="1:22">
      <c r="A789" s="489"/>
      <c r="B789" s="489"/>
      <c r="C789" s="489"/>
      <c r="D789" s="489"/>
      <c r="E789" s="489"/>
      <c r="F789" s="489"/>
      <c r="G789" s="489"/>
      <c r="H789" s="489"/>
      <c r="I789" s="489"/>
      <c r="J789" s="489"/>
      <c r="K789" s="489"/>
      <c r="L789" s="489"/>
      <c r="M789" s="489"/>
      <c r="N789" s="489"/>
      <c r="O789" s="489"/>
      <c r="P789" s="489"/>
      <c r="Q789" s="489"/>
      <c r="R789" s="489"/>
      <c r="S789" s="489"/>
      <c r="T789" s="489"/>
      <c r="U789" s="489"/>
      <c r="V789" s="489"/>
    </row>
    <row r="790" spans="1:22">
      <c r="A790" s="489"/>
      <c r="B790" s="489"/>
      <c r="C790" s="489"/>
      <c r="D790" s="489"/>
      <c r="E790" s="489"/>
      <c r="F790" s="489"/>
      <c r="G790" s="489"/>
      <c r="H790" s="489"/>
      <c r="I790" s="489"/>
      <c r="J790" s="489"/>
      <c r="K790" s="489"/>
      <c r="L790" s="489"/>
      <c r="M790" s="489"/>
      <c r="N790" s="489"/>
      <c r="O790" s="489"/>
      <c r="P790" s="489"/>
      <c r="Q790" s="489"/>
      <c r="R790" s="489"/>
      <c r="S790" s="489"/>
      <c r="T790" s="489"/>
      <c r="U790" s="489"/>
      <c r="V790" s="489"/>
    </row>
    <row r="791" spans="1:22">
      <c r="A791" s="489"/>
      <c r="B791" s="489"/>
      <c r="C791" s="489"/>
      <c r="D791" s="489"/>
      <c r="E791" s="489"/>
      <c r="F791" s="489"/>
      <c r="G791" s="489"/>
      <c r="H791" s="489"/>
      <c r="I791" s="489"/>
      <c r="J791" s="489"/>
      <c r="K791" s="489"/>
      <c r="L791" s="489"/>
      <c r="M791" s="489"/>
      <c r="N791" s="489"/>
      <c r="O791" s="489"/>
      <c r="P791" s="489"/>
      <c r="Q791" s="489"/>
      <c r="R791" s="489"/>
      <c r="S791" s="489"/>
      <c r="T791" s="489"/>
      <c r="U791" s="489"/>
      <c r="V791" s="489"/>
    </row>
    <row r="792" spans="1:22">
      <c r="A792" s="489"/>
      <c r="B792" s="489"/>
      <c r="C792" s="489"/>
      <c r="D792" s="489"/>
      <c r="E792" s="489"/>
      <c r="F792" s="489"/>
      <c r="G792" s="489"/>
      <c r="H792" s="489"/>
      <c r="I792" s="489"/>
      <c r="J792" s="489"/>
      <c r="K792" s="489"/>
      <c r="L792" s="489"/>
      <c r="M792" s="489"/>
      <c r="N792" s="489"/>
      <c r="O792" s="489"/>
      <c r="P792" s="489"/>
      <c r="Q792" s="489"/>
      <c r="R792" s="489"/>
      <c r="S792" s="489"/>
      <c r="T792" s="489"/>
      <c r="U792" s="489"/>
      <c r="V792" s="489"/>
    </row>
    <row r="793" spans="1:22">
      <c r="A793" s="489"/>
      <c r="B793" s="489"/>
      <c r="C793" s="489"/>
      <c r="D793" s="489"/>
      <c r="E793" s="489"/>
      <c r="F793" s="489"/>
      <c r="G793" s="489"/>
      <c r="H793" s="489"/>
      <c r="I793" s="489"/>
      <c r="J793" s="489"/>
      <c r="K793" s="489"/>
      <c r="L793" s="489"/>
      <c r="M793" s="489"/>
      <c r="N793" s="489"/>
      <c r="O793" s="489"/>
      <c r="P793" s="489"/>
      <c r="Q793" s="489"/>
      <c r="R793" s="489"/>
      <c r="S793" s="489"/>
      <c r="T793" s="489"/>
      <c r="U793" s="489"/>
      <c r="V793" s="489"/>
    </row>
    <row r="794" spans="1:22">
      <c r="A794" s="489"/>
      <c r="B794" s="489"/>
      <c r="C794" s="489"/>
      <c r="D794" s="489"/>
      <c r="E794" s="489"/>
      <c r="F794" s="489"/>
      <c r="G794" s="489"/>
      <c r="H794" s="489"/>
      <c r="I794" s="489"/>
      <c r="J794" s="489"/>
      <c r="K794" s="489"/>
      <c r="L794" s="489"/>
      <c r="M794" s="489"/>
      <c r="N794" s="489"/>
      <c r="O794" s="489"/>
      <c r="P794" s="489"/>
      <c r="Q794" s="489"/>
      <c r="R794" s="489"/>
      <c r="S794" s="489"/>
      <c r="T794" s="489"/>
      <c r="U794" s="489"/>
      <c r="V794" s="489"/>
    </row>
    <row r="795" spans="1:22">
      <c r="A795" s="489"/>
      <c r="B795" s="489"/>
      <c r="C795" s="489"/>
      <c r="D795" s="489"/>
      <c r="E795" s="489"/>
      <c r="F795" s="489"/>
      <c r="G795" s="489"/>
      <c r="H795" s="489"/>
      <c r="I795" s="489"/>
      <c r="J795" s="489"/>
      <c r="K795" s="489"/>
      <c r="L795" s="489"/>
      <c r="M795" s="489"/>
      <c r="N795" s="489"/>
      <c r="O795" s="489"/>
      <c r="P795" s="489"/>
      <c r="Q795" s="489"/>
      <c r="R795" s="489"/>
      <c r="S795" s="489"/>
      <c r="T795" s="489"/>
      <c r="U795" s="489"/>
      <c r="V795" s="489"/>
    </row>
    <row r="796" spans="1:22">
      <c r="A796" s="489"/>
      <c r="B796" s="489"/>
      <c r="C796" s="489"/>
      <c r="D796" s="489"/>
      <c r="E796" s="489"/>
      <c r="F796" s="489"/>
      <c r="G796" s="489"/>
      <c r="H796" s="489"/>
      <c r="I796" s="489"/>
      <c r="J796" s="489"/>
      <c r="K796" s="489"/>
      <c r="L796" s="489"/>
      <c r="M796" s="489"/>
      <c r="N796" s="489"/>
      <c r="O796" s="489"/>
      <c r="P796" s="489"/>
      <c r="Q796" s="489"/>
      <c r="R796" s="489"/>
      <c r="S796" s="489"/>
      <c r="T796" s="489"/>
      <c r="U796" s="489"/>
      <c r="V796" s="489"/>
    </row>
    <row r="797" spans="1:22">
      <c r="A797" s="489"/>
      <c r="B797" s="489"/>
      <c r="C797" s="489"/>
      <c r="D797" s="489"/>
      <c r="E797" s="489"/>
      <c r="F797" s="489"/>
      <c r="G797" s="489"/>
      <c r="H797" s="489"/>
      <c r="I797" s="489"/>
      <c r="J797" s="489"/>
      <c r="K797" s="489"/>
      <c r="L797" s="489"/>
      <c r="M797" s="489"/>
      <c r="N797" s="489"/>
      <c r="O797" s="489"/>
      <c r="P797" s="489"/>
      <c r="Q797" s="489"/>
      <c r="R797" s="489"/>
      <c r="S797" s="489"/>
      <c r="T797" s="489"/>
      <c r="U797" s="489"/>
      <c r="V797" s="489"/>
    </row>
    <row r="798" spans="1:22">
      <c r="A798" s="489"/>
      <c r="B798" s="489"/>
      <c r="C798" s="489"/>
      <c r="D798" s="489"/>
      <c r="E798" s="489"/>
      <c r="F798" s="489"/>
      <c r="G798" s="489"/>
      <c r="H798" s="489"/>
      <c r="I798" s="489"/>
      <c r="J798" s="489"/>
      <c r="K798" s="489"/>
      <c r="L798" s="489"/>
      <c r="M798" s="489"/>
      <c r="N798" s="489"/>
      <c r="O798" s="489"/>
      <c r="P798" s="489"/>
      <c r="Q798" s="489"/>
      <c r="R798" s="489"/>
      <c r="S798" s="489"/>
      <c r="T798" s="489"/>
      <c r="U798" s="489"/>
      <c r="V798" s="489"/>
    </row>
    <row r="799" spans="1:22">
      <c r="A799" s="489"/>
      <c r="B799" s="489"/>
      <c r="C799" s="489"/>
      <c r="D799" s="489"/>
      <c r="E799" s="489"/>
      <c r="F799" s="489"/>
      <c r="G799" s="489"/>
      <c r="H799" s="489"/>
      <c r="I799" s="489"/>
      <c r="J799" s="489"/>
      <c r="K799" s="489"/>
      <c r="L799" s="489"/>
      <c r="M799" s="489"/>
      <c r="N799" s="489"/>
      <c r="O799" s="489"/>
      <c r="P799" s="489"/>
      <c r="Q799" s="489"/>
      <c r="R799" s="489"/>
      <c r="S799" s="489"/>
      <c r="T799" s="489"/>
      <c r="U799" s="489"/>
      <c r="V799" s="489"/>
    </row>
    <row r="800" spans="1:22">
      <c r="A800" s="489"/>
      <c r="B800" s="489"/>
      <c r="C800" s="489"/>
      <c r="D800" s="489"/>
      <c r="E800" s="489"/>
      <c r="F800" s="489"/>
      <c r="G800" s="489"/>
      <c r="H800" s="489"/>
      <c r="I800" s="489"/>
      <c r="J800" s="489"/>
      <c r="K800" s="489"/>
      <c r="L800" s="489"/>
      <c r="M800" s="489"/>
      <c r="N800" s="489"/>
      <c r="O800" s="489"/>
      <c r="P800" s="489"/>
      <c r="Q800" s="489"/>
      <c r="R800" s="489"/>
      <c r="S800" s="489"/>
      <c r="T800" s="489"/>
      <c r="U800" s="489"/>
      <c r="V800" s="489"/>
    </row>
    <row r="801" spans="1:22">
      <c r="A801" s="489"/>
      <c r="B801" s="489"/>
      <c r="C801" s="489"/>
      <c r="D801" s="489"/>
      <c r="E801" s="489"/>
      <c r="F801" s="489"/>
      <c r="G801" s="489"/>
      <c r="H801" s="489"/>
      <c r="I801" s="489"/>
      <c r="J801" s="489"/>
      <c r="K801" s="489"/>
      <c r="L801" s="489"/>
      <c r="M801" s="489"/>
      <c r="N801" s="489"/>
      <c r="O801" s="489"/>
      <c r="P801" s="489"/>
      <c r="Q801" s="489"/>
      <c r="R801" s="489"/>
      <c r="S801" s="489"/>
      <c r="T801" s="489"/>
      <c r="U801" s="489"/>
      <c r="V801" s="489"/>
    </row>
    <row r="802" spans="1:22">
      <c r="A802" s="489"/>
      <c r="B802" s="489"/>
      <c r="C802" s="489"/>
      <c r="D802" s="489"/>
      <c r="E802" s="489"/>
      <c r="F802" s="489"/>
      <c r="G802" s="489"/>
      <c r="H802" s="489"/>
      <c r="I802" s="489"/>
      <c r="J802" s="489"/>
      <c r="K802" s="489"/>
      <c r="L802" s="489"/>
      <c r="M802" s="489"/>
      <c r="N802" s="489"/>
      <c r="O802" s="489"/>
      <c r="P802" s="489"/>
      <c r="Q802" s="489"/>
      <c r="R802" s="489"/>
      <c r="S802" s="489"/>
      <c r="T802" s="489"/>
      <c r="U802" s="489"/>
      <c r="V802" s="489"/>
    </row>
    <row r="803" spans="1:22">
      <c r="A803" s="489"/>
      <c r="B803" s="489"/>
      <c r="C803" s="489"/>
      <c r="D803" s="489"/>
      <c r="E803" s="489"/>
      <c r="F803" s="489"/>
      <c r="G803" s="489"/>
      <c r="H803" s="489"/>
      <c r="I803" s="489"/>
      <c r="J803" s="489"/>
      <c r="K803" s="489"/>
      <c r="L803" s="489"/>
      <c r="M803" s="489"/>
      <c r="N803" s="489"/>
      <c r="O803" s="489"/>
      <c r="P803" s="489"/>
      <c r="Q803" s="489"/>
      <c r="R803" s="489"/>
      <c r="S803" s="489"/>
      <c r="T803" s="489"/>
      <c r="U803" s="489"/>
      <c r="V803" s="489"/>
    </row>
    <row r="804" spans="1:22">
      <c r="A804" s="489"/>
      <c r="B804" s="489"/>
      <c r="C804" s="489"/>
      <c r="D804" s="489"/>
      <c r="E804" s="489"/>
      <c r="F804" s="489"/>
      <c r="G804" s="489"/>
      <c r="H804" s="489"/>
      <c r="I804" s="489"/>
      <c r="J804" s="489"/>
      <c r="K804" s="489"/>
      <c r="L804" s="489"/>
      <c r="M804" s="489"/>
      <c r="N804" s="489"/>
      <c r="O804" s="489"/>
      <c r="P804" s="489"/>
      <c r="Q804" s="489"/>
      <c r="R804" s="489"/>
      <c r="S804" s="489"/>
      <c r="T804" s="489"/>
      <c r="U804" s="489"/>
      <c r="V804" s="489"/>
    </row>
    <row r="805" spans="1:22">
      <c r="A805" s="489"/>
      <c r="B805" s="489"/>
      <c r="C805" s="489"/>
      <c r="D805" s="489"/>
      <c r="E805" s="489"/>
      <c r="F805" s="489"/>
      <c r="G805" s="489"/>
      <c r="H805" s="489"/>
      <c r="I805" s="489"/>
      <c r="J805" s="489"/>
      <c r="K805" s="489"/>
      <c r="L805" s="489"/>
      <c r="M805" s="489"/>
      <c r="N805" s="489"/>
      <c r="O805" s="489"/>
      <c r="P805" s="489"/>
      <c r="Q805" s="489"/>
      <c r="R805" s="489"/>
      <c r="S805" s="489"/>
      <c r="T805" s="489"/>
      <c r="U805" s="489"/>
      <c r="V805" s="489"/>
    </row>
    <row r="806" spans="1:22">
      <c r="A806" s="489"/>
      <c r="B806" s="489"/>
      <c r="C806" s="489"/>
      <c r="D806" s="489"/>
      <c r="E806" s="489"/>
      <c r="F806" s="489"/>
      <c r="G806" s="489"/>
      <c r="H806" s="489"/>
      <c r="I806" s="489"/>
      <c r="J806" s="489"/>
      <c r="K806" s="489"/>
      <c r="L806" s="489"/>
      <c r="M806" s="489"/>
      <c r="N806" s="489"/>
      <c r="O806" s="489"/>
      <c r="P806" s="489"/>
      <c r="Q806" s="489"/>
      <c r="R806" s="489"/>
      <c r="S806" s="489"/>
      <c r="T806" s="489"/>
      <c r="U806" s="489"/>
      <c r="V806" s="489"/>
    </row>
    <row r="807" spans="1:22">
      <c r="A807" s="489"/>
      <c r="B807" s="489"/>
      <c r="C807" s="489"/>
      <c r="D807" s="489"/>
      <c r="E807" s="489"/>
      <c r="F807" s="489"/>
      <c r="G807" s="489"/>
      <c r="H807" s="489"/>
      <c r="I807" s="489"/>
      <c r="J807" s="489"/>
      <c r="K807" s="489"/>
      <c r="L807" s="489"/>
      <c r="M807" s="489"/>
      <c r="N807" s="489"/>
      <c r="O807" s="489"/>
      <c r="P807" s="489"/>
      <c r="Q807" s="489"/>
      <c r="R807" s="489"/>
      <c r="S807" s="489"/>
      <c r="T807" s="489"/>
      <c r="U807" s="489"/>
      <c r="V807" s="489"/>
    </row>
    <row r="808" spans="1:22">
      <c r="A808" s="489"/>
      <c r="B808" s="489"/>
      <c r="C808" s="489"/>
      <c r="D808" s="489"/>
      <c r="E808" s="489"/>
      <c r="F808" s="489"/>
      <c r="G808" s="489"/>
      <c r="H808" s="489"/>
      <c r="I808" s="489"/>
      <c r="J808" s="489"/>
      <c r="K808" s="489"/>
      <c r="L808" s="489"/>
      <c r="M808" s="489"/>
      <c r="N808" s="489"/>
      <c r="O808" s="489"/>
      <c r="P808" s="489"/>
      <c r="Q808" s="489"/>
      <c r="R808" s="489"/>
      <c r="S808" s="489"/>
      <c r="T808" s="489"/>
      <c r="U808" s="489"/>
      <c r="V808" s="489"/>
    </row>
    <row r="809" spans="1:22">
      <c r="A809" s="489"/>
      <c r="B809" s="489"/>
      <c r="C809" s="489"/>
      <c r="D809" s="489"/>
      <c r="E809" s="489"/>
      <c r="F809" s="489"/>
      <c r="G809" s="489"/>
      <c r="H809" s="489"/>
      <c r="I809" s="489"/>
      <c r="J809" s="489"/>
      <c r="K809" s="489"/>
      <c r="L809" s="489"/>
      <c r="M809" s="489"/>
      <c r="N809" s="489"/>
      <c r="O809" s="489"/>
      <c r="P809" s="489"/>
      <c r="Q809" s="489"/>
      <c r="R809" s="489"/>
      <c r="S809" s="489"/>
      <c r="T809" s="489"/>
      <c r="U809" s="489"/>
      <c r="V809" s="489"/>
    </row>
    <row r="810" spans="1:22">
      <c r="A810" s="489"/>
      <c r="B810" s="489"/>
      <c r="C810" s="489"/>
      <c r="D810" s="489"/>
      <c r="E810" s="489"/>
      <c r="F810" s="489"/>
      <c r="G810" s="489"/>
      <c r="H810" s="489"/>
      <c r="I810" s="489"/>
      <c r="J810" s="489"/>
      <c r="K810" s="489"/>
      <c r="L810" s="489"/>
      <c r="M810" s="489"/>
      <c r="N810" s="489"/>
      <c r="O810" s="489"/>
      <c r="P810" s="489"/>
      <c r="Q810" s="489"/>
      <c r="R810" s="489"/>
      <c r="S810" s="489"/>
      <c r="T810" s="489"/>
      <c r="U810" s="489"/>
      <c r="V810" s="489"/>
    </row>
    <row r="811" spans="1:22">
      <c r="A811" s="489"/>
      <c r="B811" s="489"/>
      <c r="C811" s="489"/>
      <c r="D811" s="489"/>
      <c r="E811" s="489"/>
      <c r="F811" s="489"/>
      <c r="G811" s="489"/>
      <c r="H811" s="489"/>
      <c r="I811" s="489"/>
      <c r="J811" s="489"/>
      <c r="K811" s="489"/>
      <c r="L811" s="489"/>
      <c r="M811" s="489"/>
      <c r="N811" s="489"/>
      <c r="O811" s="489"/>
      <c r="P811" s="489"/>
      <c r="Q811" s="489"/>
      <c r="R811" s="489"/>
      <c r="S811" s="489"/>
      <c r="T811" s="489"/>
      <c r="U811" s="489"/>
      <c r="V811" s="489"/>
    </row>
    <row r="812" spans="1:22">
      <c r="A812" s="489"/>
      <c r="B812" s="489"/>
      <c r="C812" s="489"/>
      <c r="D812" s="489"/>
      <c r="E812" s="489"/>
      <c r="F812" s="489"/>
      <c r="G812" s="489"/>
      <c r="H812" s="489"/>
      <c r="I812" s="489"/>
      <c r="J812" s="489"/>
      <c r="K812" s="489"/>
      <c r="L812" s="489"/>
      <c r="M812" s="489"/>
      <c r="N812" s="489"/>
      <c r="O812" s="489"/>
      <c r="P812" s="489"/>
      <c r="Q812" s="489"/>
      <c r="R812" s="489"/>
      <c r="S812" s="489"/>
      <c r="T812" s="489"/>
      <c r="U812" s="489"/>
      <c r="V812" s="489"/>
    </row>
    <row r="813" spans="1:22">
      <c r="A813" s="489"/>
      <c r="B813" s="489"/>
      <c r="C813" s="489"/>
      <c r="D813" s="489"/>
      <c r="E813" s="489"/>
      <c r="F813" s="489"/>
      <c r="G813" s="489"/>
      <c r="H813" s="489"/>
      <c r="I813" s="489"/>
      <c r="J813" s="489"/>
      <c r="K813" s="489"/>
      <c r="L813" s="489"/>
      <c r="M813" s="489"/>
      <c r="N813" s="489"/>
      <c r="O813" s="489"/>
      <c r="P813" s="489"/>
      <c r="Q813" s="489"/>
      <c r="R813" s="489"/>
      <c r="S813" s="489"/>
      <c r="T813" s="489"/>
      <c r="U813" s="489"/>
      <c r="V813" s="489"/>
    </row>
    <row r="814" spans="1:22">
      <c r="A814" s="489"/>
      <c r="B814" s="489"/>
      <c r="C814" s="489"/>
      <c r="D814" s="489"/>
      <c r="E814" s="489"/>
      <c r="F814" s="489"/>
      <c r="G814" s="489"/>
      <c r="H814" s="489"/>
      <c r="I814" s="489"/>
      <c r="J814" s="489"/>
      <c r="K814" s="489"/>
      <c r="L814" s="489"/>
      <c r="M814" s="489"/>
      <c r="N814" s="489"/>
      <c r="O814" s="489"/>
      <c r="P814" s="489"/>
      <c r="Q814" s="489"/>
      <c r="R814" s="489"/>
      <c r="S814" s="489"/>
      <c r="T814" s="489"/>
      <c r="U814" s="489"/>
      <c r="V814" s="489"/>
    </row>
    <row r="815" spans="1:22">
      <c r="A815" s="489"/>
      <c r="B815" s="489"/>
      <c r="C815" s="489"/>
      <c r="D815" s="489"/>
      <c r="E815" s="489"/>
      <c r="F815" s="489"/>
      <c r="G815" s="489"/>
      <c r="H815" s="489"/>
      <c r="I815" s="489"/>
      <c r="J815" s="489"/>
      <c r="K815" s="489"/>
      <c r="L815" s="489"/>
      <c r="M815" s="489"/>
      <c r="N815" s="489"/>
      <c r="O815" s="489"/>
      <c r="P815" s="489"/>
      <c r="Q815" s="489"/>
      <c r="R815" s="489"/>
      <c r="S815" s="489"/>
      <c r="T815" s="489"/>
      <c r="U815" s="489"/>
      <c r="V815" s="489"/>
    </row>
    <row r="816" spans="1:22">
      <c r="A816" s="489"/>
      <c r="B816" s="489"/>
      <c r="C816" s="489"/>
      <c r="D816" s="489"/>
      <c r="E816" s="489"/>
      <c r="F816" s="489"/>
      <c r="G816" s="489"/>
      <c r="H816" s="489"/>
      <c r="I816" s="489"/>
      <c r="J816" s="489"/>
      <c r="K816" s="489"/>
      <c r="L816" s="489"/>
      <c r="M816" s="489"/>
      <c r="N816" s="489"/>
      <c r="O816" s="489"/>
      <c r="P816" s="489"/>
      <c r="Q816" s="489"/>
      <c r="R816" s="489"/>
      <c r="S816" s="489"/>
      <c r="T816" s="489"/>
      <c r="U816" s="489"/>
      <c r="V816" s="489"/>
    </row>
    <row r="817" spans="1:22">
      <c r="A817" s="489"/>
      <c r="B817" s="489"/>
      <c r="C817" s="489"/>
      <c r="D817" s="489"/>
      <c r="E817" s="489"/>
      <c r="F817" s="489"/>
      <c r="G817" s="489"/>
      <c r="H817" s="489"/>
      <c r="I817" s="489"/>
      <c r="J817" s="489"/>
      <c r="K817" s="489"/>
      <c r="L817" s="489"/>
      <c r="M817" s="489"/>
      <c r="N817" s="489"/>
      <c r="O817" s="489"/>
      <c r="P817" s="489"/>
      <c r="Q817" s="489"/>
      <c r="R817" s="489"/>
      <c r="S817" s="489"/>
      <c r="T817" s="489"/>
      <c r="U817" s="489"/>
      <c r="V817" s="489"/>
    </row>
    <row r="818" spans="1:22">
      <c r="A818" s="489"/>
      <c r="B818" s="489"/>
      <c r="C818" s="489"/>
      <c r="D818" s="489"/>
      <c r="E818" s="489"/>
      <c r="F818" s="489"/>
      <c r="G818" s="489"/>
      <c r="H818" s="489"/>
      <c r="I818" s="489"/>
      <c r="J818" s="489"/>
      <c r="K818" s="489"/>
      <c r="L818" s="489"/>
      <c r="M818" s="489"/>
      <c r="N818" s="489"/>
      <c r="O818" s="489"/>
      <c r="P818" s="489"/>
      <c r="Q818" s="489"/>
      <c r="R818" s="489"/>
      <c r="S818" s="489"/>
      <c r="T818" s="489"/>
      <c r="U818" s="489"/>
      <c r="V818" s="489"/>
    </row>
    <row r="819" spans="1:22">
      <c r="A819" s="489"/>
      <c r="B819" s="489"/>
      <c r="C819" s="489"/>
      <c r="D819" s="489"/>
      <c r="E819" s="489"/>
      <c r="F819" s="489"/>
      <c r="G819" s="489"/>
      <c r="H819" s="489"/>
      <c r="I819" s="489"/>
      <c r="J819" s="489"/>
      <c r="K819" s="489"/>
      <c r="L819" s="489"/>
      <c r="M819" s="489"/>
      <c r="N819" s="489"/>
      <c r="O819" s="489"/>
      <c r="P819" s="489"/>
      <c r="Q819" s="489"/>
      <c r="R819" s="489"/>
      <c r="S819" s="489"/>
      <c r="T819" s="489"/>
      <c r="U819" s="489"/>
      <c r="V819" s="489"/>
    </row>
    <row r="820" spans="1:22">
      <c r="A820" s="489"/>
      <c r="B820" s="489"/>
      <c r="C820" s="489"/>
      <c r="D820" s="489"/>
      <c r="E820" s="489"/>
      <c r="F820" s="489"/>
      <c r="G820" s="489"/>
      <c r="H820" s="489"/>
      <c r="I820" s="489"/>
      <c r="J820" s="489"/>
      <c r="K820" s="489"/>
      <c r="L820" s="489"/>
      <c r="M820" s="489"/>
      <c r="N820" s="489"/>
      <c r="O820" s="489"/>
      <c r="P820" s="489"/>
      <c r="Q820" s="489"/>
      <c r="R820" s="489"/>
      <c r="S820" s="489"/>
      <c r="T820" s="489"/>
      <c r="U820" s="489"/>
      <c r="V820" s="489"/>
    </row>
    <row r="821" spans="1:22">
      <c r="A821" s="489"/>
      <c r="B821" s="489"/>
      <c r="C821" s="489"/>
      <c r="D821" s="489"/>
      <c r="E821" s="489"/>
      <c r="F821" s="489"/>
      <c r="G821" s="489"/>
      <c r="H821" s="489"/>
      <c r="I821" s="489"/>
      <c r="J821" s="489"/>
      <c r="K821" s="489"/>
      <c r="L821" s="489"/>
      <c r="M821" s="489"/>
      <c r="N821" s="489"/>
      <c r="O821" s="489"/>
      <c r="P821" s="489"/>
      <c r="Q821" s="489"/>
      <c r="R821" s="489"/>
      <c r="S821" s="489"/>
      <c r="T821" s="489"/>
      <c r="U821" s="489"/>
      <c r="V821" s="489"/>
    </row>
    <row r="822" spans="1:22">
      <c r="A822" s="489"/>
      <c r="B822" s="489"/>
      <c r="C822" s="489"/>
      <c r="D822" s="489"/>
      <c r="E822" s="489"/>
      <c r="F822" s="489"/>
      <c r="G822" s="489"/>
      <c r="H822" s="489"/>
      <c r="I822" s="489"/>
      <c r="J822" s="489"/>
      <c r="K822" s="489"/>
      <c r="L822" s="489"/>
      <c r="M822" s="489"/>
      <c r="N822" s="489"/>
      <c r="O822" s="489"/>
      <c r="P822" s="489"/>
      <c r="Q822" s="489"/>
      <c r="R822" s="489"/>
      <c r="S822" s="489"/>
      <c r="T822" s="489"/>
      <c r="U822" s="489"/>
      <c r="V822" s="489"/>
    </row>
    <row r="823" spans="1:22">
      <c r="A823" s="489"/>
      <c r="B823" s="489"/>
      <c r="C823" s="489"/>
      <c r="D823" s="489"/>
      <c r="E823" s="489"/>
      <c r="F823" s="489"/>
      <c r="G823" s="489"/>
      <c r="H823" s="489"/>
      <c r="I823" s="489"/>
      <c r="J823" s="489"/>
      <c r="K823" s="489"/>
      <c r="L823" s="489"/>
      <c r="M823" s="489"/>
      <c r="N823" s="489"/>
      <c r="O823" s="489"/>
      <c r="P823" s="489"/>
      <c r="Q823" s="489"/>
      <c r="R823" s="489"/>
      <c r="S823" s="489"/>
      <c r="T823" s="489"/>
      <c r="U823" s="489"/>
      <c r="V823" s="489"/>
    </row>
    <row r="824" spans="1:22">
      <c r="A824" s="489"/>
      <c r="B824" s="489"/>
      <c r="C824" s="489"/>
      <c r="D824" s="489"/>
      <c r="E824" s="489"/>
      <c r="F824" s="489"/>
      <c r="G824" s="489"/>
      <c r="H824" s="489"/>
      <c r="I824" s="489"/>
      <c r="J824" s="489"/>
      <c r="K824" s="489"/>
      <c r="L824" s="489"/>
      <c r="M824" s="489"/>
      <c r="N824" s="489"/>
      <c r="O824" s="489"/>
      <c r="P824" s="489"/>
      <c r="Q824" s="489"/>
      <c r="R824" s="489"/>
      <c r="S824" s="489"/>
      <c r="T824" s="489"/>
      <c r="U824" s="489"/>
      <c r="V824" s="489"/>
    </row>
    <row r="825" spans="1:22">
      <c r="A825" s="489"/>
      <c r="B825" s="489"/>
      <c r="C825" s="489"/>
      <c r="D825" s="489"/>
      <c r="E825" s="489"/>
      <c r="F825" s="489"/>
      <c r="G825" s="489"/>
      <c r="H825" s="489"/>
      <c r="I825" s="489"/>
      <c r="J825" s="489"/>
      <c r="K825" s="489"/>
      <c r="L825" s="489"/>
      <c r="M825" s="489"/>
      <c r="N825" s="489"/>
      <c r="O825" s="489"/>
      <c r="P825" s="489"/>
      <c r="Q825" s="489"/>
      <c r="R825" s="489"/>
      <c r="S825" s="489"/>
      <c r="T825" s="489"/>
      <c r="U825" s="489"/>
      <c r="V825" s="489"/>
    </row>
    <row r="826" spans="1:22">
      <c r="A826" s="489"/>
      <c r="B826" s="489"/>
      <c r="C826" s="489"/>
      <c r="D826" s="489"/>
      <c r="E826" s="489"/>
      <c r="F826" s="489"/>
      <c r="G826" s="489"/>
      <c r="H826" s="489"/>
      <c r="I826" s="489"/>
      <c r="J826" s="489"/>
      <c r="K826" s="489"/>
      <c r="L826" s="489"/>
      <c r="M826" s="489"/>
      <c r="N826" s="489"/>
      <c r="O826" s="489"/>
      <c r="P826" s="489"/>
      <c r="Q826" s="489"/>
      <c r="R826" s="489"/>
      <c r="S826" s="489"/>
      <c r="T826" s="489"/>
      <c r="U826" s="489"/>
      <c r="V826" s="489"/>
    </row>
    <row r="827" spans="1:22">
      <c r="A827" s="489"/>
      <c r="B827" s="489"/>
      <c r="C827" s="489"/>
      <c r="D827" s="489"/>
      <c r="E827" s="489"/>
      <c r="F827" s="489"/>
      <c r="G827" s="489"/>
      <c r="H827" s="489"/>
      <c r="I827" s="489"/>
      <c r="J827" s="489"/>
      <c r="K827" s="489"/>
      <c r="L827" s="489"/>
      <c r="M827" s="489"/>
      <c r="N827" s="489"/>
      <c r="O827" s="489"/>
      <c r="P827" s="489"/>
      <c r="Q827" s="489"/>
      <c r="R827" s="489"/>
      <c r="S827" s="489"/>
      <c r="T827" s="489"/>
      <c r="U827" s="489"/>
      <c r="V827" s="489"/>
    </row>
    <row r="828" spans="1:22">
      <c r="A828" s="489"/>
      <c r="B828" s="489"/>
      <c r="C828" s="489"/>
      <c r="D828" s="489"/>
      <c r="E828" s="489"/>
      <c r="F828" s="489"/>
      <c r="G828" s="489"/>
      <c r="H828" s="489"/>
      <c r="I828" s="489"/>
      <c r="J828" s="489"/>
      <c r="K828" s="489"/>
      <c r="L828" s="489"/>
      <c r="M828" s="489"/>
      <c r="N828" s="489"/>
      <c r="O828" s="489"/>
      <c r="P828" s="489"/>
      <c r="Q828" s="489"/>
      <c r="R828" s="489"/>
      <c r="S828" s="489"/>
      <c r="T828" s="489"/>
      <c r="U828" s="489"/>
      <c r="V828" s="489"/>
    </row>
    <row r="829" spans="1:22">
      <c r="A829" s="489"/>
      <c r="B829" s="489"/>
      <c r="C829" s="489"/>
      <c r="D829" s="489"/>
      <c r="E829" s="489"/>
      <c r="F829" s="489"/>
      <c r="G829" s="489"/>
      <c r="H829" s="489"/>
      <c r="I829" s="489"/>
      <c r="J829" s="489"/>
      <c r="K829" s="489"/>
      <c r="L829" s="489"/>
      <c r="M829" s="489"/>
      <c r="N829" s="489"/>
      <c r="O829" s="489"/>
      <c r="P829" s="489"/>
      <c r="Q829" s="489"/>
      <c r="R829" s="489"/>
      <c r="S829" s="489"/>
      <c r="T829" s="489"/>
      <c r="U829" s="489"/>
      <c r="V829" s="489"/>
    </row>
    <row r="830" spans="1:22">
      <c r="A830" s="489"/>
      <c r="B830" s="489"/>
      <c r="C830" s="489"/>
      <c r="D830" s="489"/>
      <c r="E830" s="489"/>
      <c r="F830" s="489"/>
      <c r="G830" s="489"/>
      <c r="H830" s="489"/>
      <c r="I830" s="489"/>
      <c r="J830" s="489"/>
      <c r="K830" s="489"/>
      <c r="L830" s="489"/>
      <c r="M830" s="489"/>
      <c r="N830" s="489"/>
      <c r="O830" s="489"/>
      <c r="P830" s="489"/>
      <c r="Q830" s="489"/>
      <c r="R830" s="489"/>
      <c r="S830" s="489"/>
      <c r="T830" s="489"/>
      <c r="U830" s="489"/>
      <c r="V830" s="489"/>
    </row>
    <row r="831" spans="1:22">
      <c r="A831" s="489"/>
      <c r="B831" s="489"/>
      <c r="C831" s="489"/>
      <c r="D831" s="489"/>
      <c r="E831" s="489"/>
      <c r="F831" s="489"/>
      <c r="G831" s="489"/>
      <c r="H831" s="489"/>
      <c r="I831" s="489"/>
      <c r="J831" s="489"/>
      <c r="K831" s="489"/>
      <c r="L831" s="489"/>
      <c r="M831" s="489"/>
      <c r="N831" s="489"/>
      <c r="O831" s="489"/>
      <c r="P831" s="489"/>
      <c r="Q831" s="489"/>
      <c r="R831" s="489"/>
      <c r="S831" s="489"/>
      <c r="T831" s="489"/>
      <c r="U831" s="489"/>
      <c r="V831" s="489"/>
    </row>
    <row r="832" spans="1:22">
      <c r="A832" s="489"/>
      <c r="B832" s="489"/>
      <c r="C832" s="489"/>
      <c r="D832" s="489"/>
      <c r="E832" s="489"/>
      <c r="F832" s="489"/>
      <c r="G832" s="489"/>
      <c r="H832" s="489"/>
      <c r="I832" s="489"/>
      <c r="J832" s="489"/>
      <c r="K832" s="489"/>
      <c r="L832" s="489"/>
      <c r="M832" s="489"/>
      <c r="N832" s="489"/>
      <c r="O832" s="489"/>
      <c r="P832" s="489"/>
      <c r="Q832" s="489"/>
      <c r="R832" s="489"/>
      <c r="S832" s="489"/>
      <c r="T832" s="489"/>
      <c r="U832" s="489"/>
      <c r="V832" s="489"/>
    </row>
    <row r="833" spans="1:22">
      <c r="A833" s="489"/>
      <c r="B833" s="489"/>
      <c r="C833" s="489"/>
      <c r="D833" s="489"/>
      <c r="E833" s="489"/>
      <c r="F833" s="489"/>
      <c r="G833" s="489"/>
      <c r="H833" s="489"/>
      <c r="I833" s="489"/>
      <c r="J833" s="489"/>
      <c r="K833" s="489"/>
      <c r="L833" s="489"/>
      <c r="M833" s="489"/>
      <c r="N833" s="489"/>
      <c r="O833" s="489"/>
      <c r="P833" s="489"/>
      <c r="Q833" s="489"/>
      <c r="R833" s="489"/>
      <c r="S833" s="489"/>
      <c r="T833" s="489"/>
      <c r="U833" s="489"/>
      <c r="V833" s="489"/>
    </row>
    <row r="834" spans="1:22">
      <c r="A834" s="489"/>
      <c r="B834" s="489"/>
      <c r="C834" s="489"/>
      <c r="D834" s="489"/>
      <c r="E834" s="489"/>
      <c r="F834" s="489"/>
      <c r="G834" s="489"/>
      <c r="H834" s="489"/>
      <c r="I834" s="489"/>
      <c r="J834" s="489"/>
      <c r="K834" s="489"/>
      <c r="L834" s="489"/>
      <c r="M834" s="489"/>
      <c r="N834" s="489"/>
      <c r="O834" s="489"/>
      <c r="P834" s="489"/>
      <c r="Q834" s="489"/>
      <c r="R834" s="489"/>
      <c r="S834" s="489"/>
      <c r="T834" s="489"/>
      <c r="U834" s="489"/>
      <c r="V834" s="489"/>
    </row>
    <row r="835" spans="1:22">
      <c r="A835" s="489"/>
      <c r="B835" s="489"/>
      <c r="C835" s="489"/>
      <c r="D835" s="489"/>
      <c r="E835" s="489"/>
      <c r="F835" s="489"/>
      <c r="G835" s="489"/>
      <c r="H835" s="489"/>
      <c r="I835" s="489"/>
      <c r="J835" s="489"/>
      <c r="K835" s="489"/>
      <c r="L835" s="489"/>
      <c r="M835" s="489"/>
      <c r="N835" s="489"/>
      <c r="O835" s="489"/>
      <c r="P835" s="489"/>
      <c r="Q835" s="489"/>
      <c r="R835" s="489"/>
      <c r="S835" s="489"/>
      <c r="T835" s="489"/>
      <c r="U835" s="489"/>
      <c r="V835" s="489"/>
    </row>
    <row r="836" spans="1:22">
      <c r="A836" s="489"/>
      <c r="B836" s="489"/>
      <c r="C836" s="489"/>
      <c r="D836" s="489"/>
      <c r="E836" s="489"/>
      <c r="F836" s="489"/>
      <c r="G836" s="489"/>
      <c r="H836" s="489"/>
      <c r="I836" s="489"/>
      <c r="J836" s="489"/>
      <c r="K836" s="489"/>
      <c r="L836" s="489"/>
      <c r="M836" s="489"/>
      <c r="N836" s="489"/>
      <c r="O836" s="489"/>
      <c r="P836" s="489"/>
      <c r="Q836" s="489"/>
      <c r="R836" s="489"/>
      <c r="S836" s="489"/>
      <c r="T836" s="489"/>
      <c r="U836" s="489"/>
      <c r="V836" s="489"/>
    </row>
    <row r="837" spans="1:22">
      <c r="A837" s="489"/>
      <c r="B837" s="489"/>
      <c r="C837" s="489"/>
      <c r="D837" s="489"/>
      <c r="E837" s="489"/>
      <c r="F837" s="489"/>
      <c r="G837" s="489"/>
      <c r="H837" s="489"/>
      <c r="I837" s="489"/>
      <c r="J837" s="489"/>
      <c r="K837" s="489"/>
      <c r="L837" s="489"/>
      <c r="M837" s="489"/>
      <c r="N837" s="489"/>
      <c r="O837" s="489"/>
      <c r="P837" s="489"/>
      <c r="Q837" s="489"/>
      <c r="R837" s="489"/>
      <c r="S837" s="489"/>
      <c r="T837" s="489"/>
      <c r="U837" s="489"/>
      <c r="V837" s="489"/>
    </row>
    <row r="838" spans="1:22">
      <c r="A838" s="489"/>
      <c r="B838" s="489"/>
      <c r="C838" s="489"/>
      <c r="D838" s="489"/>
      <c r="E838" s="489"/>
      <c r="F838" s="489"/>
      <c r="G838" s="489"/>
      <c r="H838" s="489"/>
      <c r="I838" s="489"/>
      <c r="J838" s="489"/>
      <c r="K838" s="489"/>
      <c r="L838" s="489"/>
      <c r="M838" s="489"/>
      <c r="N838" s="489"/>
      <c r="O838" s="489"/>
      <c r="P838" s="489"/>
      <c r="Q838" s="489"/>
      <c r="R838" s="489"/>
      <c r="S838" s="489"/>
      <c r="T838" s="489"/>
      <c r="U838" s="489"/>
      <c r="V838" s="489"/>
    </row>
    <row r="839" spans="1:22">
      <c r="A839" s="489"/>
      <c r="B839" s="489"/>
      <c r="C839" s="489"/>
      <c r="D839" s="489"/>
      <c r="E839" s="489"/>
      <c r="F839" s="489"/>
      <c r="G839" s="489"/>
      <c r="H839" s="489"/>
      <c r="I839" s="489"/>
      <c r="J839" s="489"/>
      <c r="K839" s="489"/>
      <c r="L839" s="489"/>
      <c r="M839" s="489"/>
      <c r="N839" s="489"/>
      <c r="O839" s="489"/>
      <c r="P839" s="489"/>
      <c r="Q839" s="489"/>
      <c r="R839" s="489"/>
      <c r="S839" s="489"/>
      <c r="T839" s="489"/>
      <c r="U839" s="489"/>
      <c r="V839" s="489"/>
    </row>
    <row r="840" spans="1:22">
      <c r="A840" s="489"/>
      <c r="B840" s="489"/>
      <c r="C840" s="489"/>
      <c r="D840" s="489"/>
      <c r="E840" s="489"/>
      <c r="F840" s="489"/>
      <c r="G840" s="489"/>
      <c r="H840" s="489"/>
      <c r="I840" s="489"/>
      <c r="J840" s="489"/>
      <c r="K840" s="489"/>
      <c r="L840" s="489"/>
      <c r="M840" s="489"/>
      <c r="N840" s="489"/>
      <c r="O840" s="489"/>
      <c r="P840" s="489"/>
      <c r="Q840" s="489"/>
      <c r="R840" s="489"/>
      <c r="S840" s="489"/>
      <c r="T840" s="489"/>
      <c r="U840" s="489"/>
      <c r="V840" s="489"/>
    </row>
    <row r="841" spans="1:22">
      <c r="A841" s="489"/>
      <c r="B841" s="489"/>
      <c r="C841" s="489"/>
      <c r="D841" s="489"/>
      <c r="E841" s="489"/>
      <c r="F841" s="489"/>
      <c r="G841" s="489"/>
      <c r="H841" s="489"/>
      <c r="I841" s="489"/>
      <c r="J841" s="489"/>
      <c r="K841" s="489"/>
      <c r="L841" s="489"/>
      <c r="M841" s="489"/>
      <c r="N841" s="489"/>
      <c r="O841" s="489"/>
      <c r="P841" s="489"/>
      <c r="Q841" s="489"/>
      <c r="R841" s="489"/>
      <c r="S841" s="489"/>
      <c r="T841" s="489"/>
      <c r="U841" s="489"/>
      <c r="V841" s="489"/>
    </row>
    <row r="842" spans="1:22">
      <c r="A842" s="489"/>
      <c r="B842" s="489"/>
      <c r="C842" s="489"/>
      <c r="D842" s="489"/>
      <c r="E842" s="489"/>
      <c r="F842" s="489"/>
      <c r="G842" s="489"/>
      <c r="H842" s="489"/>
      <c r="I842" s="489"/>
      <c r="J842" s="489"/>
      <c r="K842" s="489"/>
      <c r="L842" s="489"/>
      <c r="M842" s="489"/>
      <c r="N842" s="489"/>
      <c r="O842" s="489"/>
      <c r="P842" s="489"/>
      <c r="Q842" s="489"/>
      <c r="R842" s="489"/>
      <c r="S842" s="489"/>
      <c r="T842" s="489"/>
      <c r="U842" s="489"/>
      <c r="V842" s="489"/>
    </row>
    <row r="843" spans="1:22">
      <c r="A843" s="489"/>
      <c r="B843" s="489"/>
      <c r="C843" s="489"/>
      <c r="D843" s="489"/>
      <c r="E843" s="489"/>
      <c r="F843" s="489"/>
      <c r="G843" s="489"/>
      <c r="H843" s="489"/>
      <c r="I843" s="489"/>
      <c r="J843" s="489"/>
      <c r="K843" s="489"/>
      <c r="L843" s="489"/>
      <c r="M843" s="489"/>
      <c r="N843" s="489"/>
      <c r="O843" s="489"/>
      <c r="P843" s="489"/>
      <c r="Q843" s="489"/>
      <c r="R843" s="489"/>
      <c r="S843" s="489"/>
      <c r="T843" s="489"/>
      <c r="U843" s="489"/>
      <c r="V843" s="489"/>
    </row>
    <row r="844" spans="1:22">
      <c r="A844" s="489"/>
      <c r="B844" s="489"/>
      <c r="C844" s="489"/>
      <c r="D844" s="489"/>
      <c r="E844" s="489"/>
      <c r="F844" s="489"/>
      <c r="G844" s="489"/>
      <c r="H844" s="489"/>
      <c r="I844" s="489"/>
      <c r="J844" s="489"/>
      <c r="K844" s="489"/>
      <c r="L844" s="489"/>
      <c r="M844" s="489"/>
      <c r="N844" s="489"/>
      <c r="O844" s="489"/>
      <c r="P844" s="489"/>
      <c r="Q844" s="489"/>
      <c r="R844" s="489"/>
      <c r="S844" s="489"/>
      <c r="T844" s="489"/>
      <c r="U844" s="489"/>
      <c r="V844" s="489"/>
    </row>
    <row r="845" spans="1:22">
      <c r="A845" s="489"/>
      <c r="B845" s="489"/>
      <c r="C845" s="489"/>
      <c r="D845" s="489"/>
      <c r="E845" s="489"/>
      <c r="F845" s="489"/>
      <c r="G845" s="489"/>
      <c r="H845" s="489"/>
      <c r="I845" s="489"/>
      <c r="J845" s="489"/>
      <c r="K845" s="489"/>
      <c r="L845" s="489"/>
      <c r="M845" s="489"/>
      <c r="N845" s="489"/>
      <c r="O845" s="489"/>
      <c r="P845" s="489"/>
      <c r="Q845" s="489"/>
      <c r="R845" s="489"/>
      <c r="S845" s="489"/>
      <c r="T845" s="489"/>
      <c r="U845" s="489"/>
      <c r="V845" s="489"/>
    </row>
    <row r="846" spans="1:22">
      <c r="A846" s="489"/>
      <c r="B846" s="489"/>
      <c r="C846" s="489"/>
      <c r="D846" s="489"/>
      <c r="E846" s="489"/>
      <c r="F846" s="489"/>
      <c r="G846" s="489"/>
      <c r="H846" s="489"/>
      <c r="I846" s="489"/>
      <c r="J846" s="489"/>
      <c r="K846" s="489"/>
      <c r="L846" s="489"/>
      <c r="M846" s="489"/>
      <c r="N846" s="489"/>
      <c r="O846" s="489"/>
      <c r="P846" s="489"/>
      <c r="Q846" s="489"/>
      <c r="R846" s="489"/>
      <c r="S846" s="489"/>
      <c r="T846" s="489"/>
      <c r="U846" s="489"/>
      <c r="V846" s="489"/>
    </row>
    <row r="847" spans="1:22">
      <c r="A847" s="489"/>
      <c r="B847" s="489"/>
      <c r="C847" s="489"/>
      <c r="D847" s="489"/>
      <c r="E847" s="489"/>
      <c r="F847" s="489"/>
      <c r="G847" s="489"/>
      <c r="H847" s="489"/>
      <c r="I847" s="489"/>
      <c r="J847" s="489"/>
      <c r="K847" s="489"/>
      <c r="L847" s="489"/>
      <c r="M847" s="489"/>
      <c r="N847" s="489"/>
      <c r="O847" s="489"/>
      <c r="P847" s="489"/>
      <c r="Q847" s="489"/>
      <c r="R847" s="489"/>
      <c r="S847" s="489"/>
      <c r="T847" s="489"/>
      <c r="U847" s="489"/>
      <c r="V847" s="489"/>
    </row>
    <row r="848" spans="1:22">
      <c r="A848" s="489"/>
      <c r="B848" s="489"/>
      <c r="C848" s="489"/>
      <c r="D848" s="489"/>
      <c r="E848" s="489"/>
      <c r="F848" s="489"/>
      <c r="G848" s="489"/>
      <c r="H848" s="489"/>
      <c r="I848" s="489"/>
      <c r="J848" s="489"/>
      <c r="K848" s="489"/>
      <c r="L848" s="489"/>
      <c r="M848" s="489"/>
      <c r="N848" s="489"/>
      <c r="O848" s="489"/>
      <c r="P848" s="489"/>
      <c r="Q848" s="489"/>
      <c r="R848" s="489"/>
      <c r="S848" s="489"/>
      <c r="T848" s="489"/>
      <c r="U848" s="489"/>
      <c r="V848" s="489"/>
    </row>
    <row r="849" spans="1:22">
      <c r="A849" s="489"/>
      <c r="B849" s="489"/>
      <c r="C849" s="489"/>
      <c r="D849" s="489"/>
      <c r="E849" s="489"/>
      <c r="F849" s="489"/>
      <c r="G849" s="489"/>
      <c r="H849" s="489"/>
      <c r="I849" s="489"/>
      <c r="J849" s="489"/>
      <c r="K849" s="489"/>
      <c r="L849" s="489"/>
      <c r="M849" s="489"/>
      <c r="N849" s="489"/>
      <c r="O849" s="489"/>
      <c r="P849" s="489"/>
      <c r="Q849" s="489"/>
      <c r="R849" s="489"/>
      <c r="S849" s="489"/>
      <c r="T849" s="489"/>
      <c r="U849" s="489"/>
      <c r="V849" s="489"/>
    </row>
    <row r="850" spans="1:22">
      <c r="A850" s="489"/>
      <c r="B850" s="489"/>
      <c r="C850" s="489"/>
      <c r="D850" s="489"/>
      <c r="E850" s="489"/>
      <c r="F850" s="489"/>
      <c r="G850" s="489"/>
      <c r="H850" s="489"/>
      <c r="I850" s="489"/>
      <c r="J850" s="489"/>
      <c r="K850" s="489"/>
      <c r="L850" s="489"/>
      <c r="M850" s="489"/>
      <c r="N850" s="489"/>
      <c r="O850" s="489"/>
      <c r="P850" s="489"/>
      <c r="Q850" s="489"/>
      <c r="R850" s="489"/>
      <c r="S850" s="489"/>
      <c r="T850" s="489"/>
      <c r="U850" s="489"/>
      <c r="V850" s="489"/>
    </row>
    <row r="851" spans="1:22">
      <c r="A851" s="489"/>
      <c r="B851" s="489"/>
      <c r="C851" s="489"/>
      <c r="D851" s="489"/>
      <c r="E851" s="489"/>
      <c r="F851" s="489"/>
      <c r="G851" s="489"/>
      <c r="H851" s="489"/>
      <c r="I851" s="489"/>
      <c r="J851" s="489"/>
      <c r="K851" s="489"/>
      <c r="L851" s="489"/>
      <c r="M851" s="489"/>
      <c r="N851" s="489"/>
      <c r="O851" s="489"/>
      <c r="P851" s="489"/>
      <c r="Q851" s="489"/>
      <c r="R851" s="489"/>
      <c r="S851" s="489"/>
      <c r="T851" s="489"/>
      <c r="U851" s="489"/>
      <c r="V851" s="489"/>
    </row>
    <row r="852" spans="1:22">
      <c r="A852" s="489"/>
      <c r="B852" s="489"/>
      <c r="C852" s="489"/>
      <c r="D852" s="489"/>
      <c r="E852" s="489"/>
      <c r="F852" s="489"/>
      <c r="G852" s="489"/>
      <c r="H852" s="489"/>
      <c r="I852" s="489"/>
      <c r="J852" s="489"/>
      <c r="K852" s="489"/>
      <c r="L852" s="489"/>
      <c r="M852" s="489"/>
      <c r="N852" s="489"/>
      <c r="O852" s="489"/>
      <c r="P852" s="489"/>
      <c r="Q852" s="489"/>
      <c r="R852" s="489"/>
      <c r="S852" s="489"/>
      <c r="T852" s="489"/>
      <c r="U852" s="489"/>
      <c r="V852" s="489"/>
    </row>
    <row r="853" spans="1:22">
      <c r="A853" s="489"/>
      <c r="B853" s="489"/>
      <c r="C853" s="489"/>
      <c r="D853" s="489"/>
      <c r="E853" s="489"/>
      <c r="F853" s="489"/>
      <c r="G853" s="489"/>
      <c r="H853" s="489"/>
      <c r="I853" s="489"/>
      <c r="J853" s="489"/>
      <c r="K853" s="489"/>
      <c r="L853" s="489"/>
      <c r="M853" s="489"/>
      <c r="N853" s="489"/>
      <c r="O853" s="489"/>
      <c r="P853" s="489"/>
      <c r="Q853" s="489"/>
      <c r="R853" s="489"/>
      <c r="S853" s="489"/>
      <c r="T853" s="489"/>
      <c r="U853" s="489"/>
      <c r="V853" s="489"/>
    </row>
    <row r="854" spans="1:22">
      <c r="A854" s="489"/>
      <c r="B854" s="489"/>
      <c r="C854" s="489"/>
      <c r="D854" s="489"/>
      <c r="E854" s="489"/>
      <c r="F854" s="489"/>
      <c r="G854" s="489"/>
      <c r="H854" s="489"/>
      <c r="I854" s="489"/>
      <c r="J854" s="489"/>
      <c r="K854" s="489"/>
      <c r="L854" s="489"/>
      <c r="M854" s="489"/>
      <c r="N854" s="489"/>
      <c r="O854" s="489"/>
      <c r="P854" s="489"/>
      <c r="Q854" s="489"/>
      <c r="R854" s="489"/>
      <c r="S854" s="489"/>
      <c r="T854" s="489"/>
      <c r="U854" s="489"/>
      <c r="V854" s="489"/>
    </row>
    <row r="855" spans="1:22">
      <c r="A855" s="489"/>
      <c r="B855" s="489"/>
      <c r="C855" s="489"/>
      <c r="D855" s="489"/>
      <c r="E855" s="489"/>
      <c r="F855" s="489"/>
      <c r="G855" s="489"/>
      <c r="H855" s="489"/>
      <c r="I855" s="489"/>
      <c r="J855" s="489"/>
      <c r="K855" s="489"/>
      <c r="L855" s="489"/>
      <c r="M855" s="489"/>
      <c r="N855" s="489"/>
      <c r="O855" s="489"/>
      <c r="P855" s="489"/>
      <c r="Q855" s="489"/>
      <c r="R855" s="489"/>
      <c r="S855" s="489"/>
      <c r="T855" s="489"/>
      <c r="U855" s="489"/>
      <c r="V855" s="489"/>
    </row>
    <row r="856" spans="1:22">
      <c r="A856" s="489"/>
      <c r="B856" s="489"/>
      <c r="C856" s="489"/>
      <c r="D856" s="489"/>
      <c r="E856" s="489"/>
      <c r="F856" s="489"/>
      <c r="G856" s="489"/>
      <c r="H856" s="489"/>
      <c r="I856" s="489"/>
      <c r="J856" s="489"/>
      <c r="K856" s="489"/>
      <c r="L856" s="489"/>
      <c r="M856" s="489"/>
      <c r="N856" s="489"/>
      <c r="O856" s="489"/>
      <c r="P856" s="489"/>
      <c r="Q856" s="489"/>
      <c r="R856" s="489"/>
      <c r="S856" s="489"/>
      <c r="T856" s="489"/>
      <c r="U856" s="489"/>
      <c r="V856" s="489"/>
    </row>
    <row r="857" spans="1:22">
      <c r="A857" s="489"/>
      <c r="B857" s="489"/>
      <c r="C857" s="489"/>
      <c r="D857" s="489"/>
      <c r="E857" s="489"/>
      <c r="F857" s="489"/>
      <c r="G857" s="489"/>
      <c r="H857" s="489"/>
      <c r="I857" s="489"/>
      <c r="J857" s="489"/>
      <c r="K857" s="489"/>
      <c r="L857" s="489"/>
      <c r="M857" s="489"/>
      <c r="N857" s="489"/>
      <c r="O857" s="489"/>
      <c r="P857" s="489"/>
      <c r="Q857" s="489"/>
      <c r="R857" s="489"/>
      <c r="S857" s="489"/>
      <c r="T857" s="489"/>
      <c r="U857" s="489"/>
      <c r="V857" s="489"/>
    </row>
    <row r="858" spans="1:22">
      <c r="A858" s="489"/>
      <c r="B858" s="489"/>
      <c r="C858" s="489"/>
      <c r="D858" s="489"/>
      <c r="E858" s="489"/>
      <c r="F858" s="489"/>
      <c r="G858" s="489"/>
      <c r="H858" s="489"/>
      <c r="I858" s="489"/>
      <c r="J858" s="489"/>
      <c r="K858" s="489"/>
      <c r="L858" s="489"/>
      <c r="M858" s="489"/>
      <c r="N858" s="489"/>
      <c r="O858" s="489"/>
      <c r="P858" s="489"/>
      <c r="Q858" s="489"/>
      <c r="R858" s="489"/>
      <c r="S858" s="489"/>
      <c r="T858" s="489"/>
      <c r="U858" s="489"/>
      <c r="V858" s="489"/>
    </row>
    <row r="859" spans="1:22">
      <c r="A859" s="489"/>
      <c r="B859" s="489"/>
      <c r="C859" s="489"/>
      <c r="D859" s="489"/>
      <c r="E859" s="489"/>
      <c r="F859" s="489"/>
      <c r="G859" s="489"/>
      <c r="H859" s="489"/>
      <c r="I859" s="489"/>
      <c r="J859" s="489"/>
      <c r="K859" s="489"/>
      <c r="L859" s="489"/>
      <c r="M859" s="489"/>
      <c r="N859" s="489"/>
      <c r="O859" s="489"/>
      <c r="P859" s="489"/>
      <c r="Q859" s="489"/>
      <c r="R859" s="489"/>
      <c r="S859" s="489"/>
      <c r="T859" s="489"/>
      <c r="U859" s="489"/>
      <c r="V859" s="489"/>
    </row>
    <row r="860" spans="1:22">
      <c r="A860" s="489"/>
      <c r="B860" s="489"/>
      <c r="C860" s="489"/>
      <c r="D860" s="489"/>
      <c r="E860" s="489"/>
      <c r="F860" s="489"/>
      <c r="G860" s="489"/>
      <c r="H860" s="489"/>
      <c r="I860" s="489"/>
      <c r="J860" s="489"/>
      <c r="K860" s="489"/>
      <c r="L860" s="489"/>
      <c r="M860" s="489"/>
      <c r="N860" s="489"/>
      <c r="O860" s="489"/>
      <c r="P860" s="489"/>
      <c r="Q860" s="489"/>
      <c r="R860" s="489"/>
      <c r="S860" s="489"/>
      <c r="T860" s="489"/>
      <c r="U860" s="489"/>
      <c r="V860" s="489"/>
    </row>
    <row r="861" spans="1:22">
      <c r="A861" s="489"/>
      <c r="B861" s="489"/>
      <c r="C861" s="489"/>
      <c r="D861" s="489"/>
      <c r="E861" s="489"/>
      <c r="F861" s="489"/>
      <c r="G861" s="489"/>
      <c r="H861" s="489"/>
      <c r="I861" s="489"/>
      <c r="J861" s="489"/>
      <c r="K861" s="489"/>
      <c r="L861" s="489"/>
      <c r="M861" s="489"/>
      <c r="N861" s="489"/>
      <c r="O861" s="489"/>
      <c r="P861" s="489"/>
      <c r="Q861" s="489"/>
      <c r="R861" s="489"/>
      <c r="S861" s="489"/>
      <c r="T861" s="489"/>
      <c r="U861" s="489"/>
      <c r="V861" s="489"/>
    </row>
    <row r="862" spans="1:22">
      <c r="A862" s="489"/>
      <c r="B862" s="489"/>
      <c r="C862" s="489"/>
      <c r="D862" s="489"/>
      <c r="E862" s="489"/>
      <c r="F862" s="489"/>
      <c r="G862" s="489"/>
      <c r="H862" s="489"/>
      <c r="I862" s="489"/>
      <c r="J862" s="489"/>
      <c r="K862" s="489"/>
      <c r="L862" s="489"/>
      <c r="M862" s="489"/>
      <c r="N862" s="489"/>
      <c r="O862" s="489"/>
      <c r="P862" s="489"/>
      <c r="Q862" s="489"/>
      <c r="R862" s="489"/>
      <c r="S862" s="489"/>
      <c r="T862" s="489"/>
      <c r="U862" s="489"/>
      <c r="V862" s="489"/>
    </row>
    <row r="863" spans="1:22">
      <c r="A863" s="489"/>
      <c r="B863" s="489"/>
      <c r="C863" s="489"/>
      <c r="D863" s="489"/>
      <c r="E863" s="489"/>
      <c r="F863" s="489"/>
      <c r="G863" s="489"/>
      <c r="H863" s="489"/>
      <c r="I863" s="489"/>
      <c r="J863" s="489"/>
      <c r="K863" s="489"/>
      <c r="L863" s="489"/>
      <c r="M863" s="489"/>
      <c r="N863" s="489"/>
      <c r="O863" s="489"/>
      <c r="P863" s="489"/>
      <c r="Q863" s="489"/>
      <c r="R863" s="489"/>
      <c r="S863" s="489"/>
      <c r="T863" s="489"/>
      <c r="U863" s="489"/>
      <c r="V863" s="489"/>
    </row>
    <row r="864" spans="1:22">
      <c r="A864" s="489"/>
      <c r="B864" s="489"/>
      <c r="C864" s="489"/>
      <c r="D864" s="489"/>
      <c r="E864" s="489"/>
      <c r="F864" s="489"/>
      <c r="G864" s="489"/>
      <c r="H864" s="489"/>
      <c r="I864" s="489"/>
      <c r="J864" s="489"/>
      <c r="K864" s="489"/>
      <c r="L864" s="489"/>
      <c r="M864" s="489"/>
      <c r="N864" s="489"/>
      <c r="O864" s="489"/>
      <c r="P864" s="489"/>
      <c r="Q864" s="489"/>
      <c r="R864" s="489"/>
      <c r="S864" s="489"/>
      <c r="T864" s="489"/>
      <c r="U864" s="489"/>
      <c r="V864" s="489"/>
    </row>
    <row r="865" spans="1:22">
      <c r="A865" s="489"/>
      <c r="B865" s="489"/>
      <c r="C865" s="489"/>
      <c r="D865" s="489"/>
      <c r="E865" s="489"/>
      <c r="F865" s="489"/>
      <c r="G865" s="489"/>
      <c r="H865" s="489"/>
      <c r="I865" s="489"/>
      <c r="J865" s="489"/>
      <c r="K865" s="489"/>
      <c r="L865" s="489"/>
      <c r="M865" s="489"/>
      <c r="N865" s="489"/>
      <c r="O865" s="489"/>
      <c r="P865" s="489"/>
      <c r="Q865" s="489"/>
      <c r="R865" s="489"/>
      <c r="S865" s="489"/>
      <c r="T865" s="489"/>
      <c r="U865" s="489"/>
      <c r="V865" s="489"/>
    </row>
    <row r="866" spans="1:22">
      <c r="A866" s="489"/>
      <c r="B866" s="489"/>
      <c r="C866" s="489"/>
      <c r="D866" s="489"/>
      <c r="E866" s="489"/>
      <c r="F866" s="489"/>
      <c r="G866" s="489"/>
      <c r="H866" s="489"/>
      <c r="I866" s="489"/>
      <c r="J866" s="489"/>
      <c r="K866" s="489"/>
      <c r="L866" s="489"/>
      <c r="M866" s="489"/>
      <c r="N866" s="489"/>
      <c r="O866" s="489"/>
      <c r="P866" s="489"/>
      <c r="Q866" s="489"/>
      <c r="R866" s="489"/>
      <c r="S866" s="489"/>
      <c r="T866" s="489"/>
      <c r="U866" s="489"/>
      <c r="V866" s="489"/>
    </row>
    <row r="867" spans="1:22">
      <c r="A867" s="489"/>
      <c r="B867" s="489"/>
      <c r="C867" s="489"/>
      <c r="D867" s="489"/>
      <c r="E867" s="489"/>
      <c r="F867" s="489"/>
      <c r="G867" s="489"/>
      <c r="H867" s="489"/>
      <c r="I867" s="489"/>
      <c r="J867" s="489"/>
      <c r="K867" s="489"/>
      <c r="L867" s="489"/>
      <c r="M867" s="489"/>
      <c r="N867" s="489"/>
      <c r="O867" s="489"/>
      <c r="P867" s="489"/>
      <c r="Q867" s="489"/>
      <c r="R867" s="489"/>
      <c r="S867" s="489"/>
      <c r="T867" s="489"/>
      <c r="U867" s="489"/>
      <c r="V867" s="489"/>
    </row>
    <row r="868" spans="1:22">
      <c r="A868" s="489"/>
      <c r="B868" s="489"/>
      <c r="C868" s="489"/>
      <c r="D868" s="489"/>
      <c r="E868" s="489"/>
      <c r="F868" s="489"/>
      <c r="G868" s="489"/>
      <c r="H868" s="489"/>
      <c r="I868" s="489"/>
      <c r="J868" s="489"/>
      <c r="K868" s="489"/>
      <c r="L868" s="489"/>
      <c r="M868" s="489"/>
      <c r="N868" s="489"/>
      <c r="O868" s="489"/>
      <c r="P868" s="489"/>
      <c r="Q868" s="489"/>
      <c r="R868" s="489"/>
      <c r="S868" s="489"/>
      <c r="T868" s="489"/>
      <c r="U868" s="489"/>
      <c r="V868" s="489"/>
    </row>
    <row r="869" spans="1:22">
      <c r="A869" s="489"/>
      <c r="B869" s="489"/>
      <c r="C869" s="489"/>
      <c r="D869" s="489"/>
      <c r="E869" s="489"/>
      <c r="F869" s="489"/>
      <c r="G869" s="489"/>
      <c r="H869" s="489"/>
      <c r="I869" s="489"/>
      <c r="J869" s="489"/>
      <c r="K869" s="489"/>
      <c r="L869" s="489"/>
      <c r="M869" s="489"/>
      <c r="N869" s="489"/>
      <c r="O869" s="489"/>
      <c r="P869" s="489"/>
      <c r="Q869" s="489"/>
      <c r="R869" s="489"/>
      <c r="S869" s="489"/>
      <c r="T869" s="489"/>
      <c r="U869" s="489"/>
      <c r="V869" s="489"/>
    </row>
    <row r="870" spans="1:22">
      <c r="A870" s="489"/>
      <c r="B870" s="489"/>
      <c r="C870" s="489"/>
      <c r="D870" s="489"/>
      <c r="E870" s="489"/>
      <c r="F870" s="489"/>
      <c r="G870" s="489"/>
      <c r="H870" s="489"/>
      <c r="I870" s="489"/>
      <c r="J870" s="489"/>
      <c r="K870" s="489"/>
      <c r="L870" s="489"/>
      <c r="M870" s="489"/>
      <c r="N870" s="489"/>
      <c r="O870" s="489"/>
      <c r="P870" s="489"/>
      <c r="Q870" s="489"/>
      <c r="R870" s="489"/>
      <c r="S870" s="489"/>
      <c r="T870" s="489"/>
      <c r="U870" s="489"/>
      <c r="V870" s="489"/>
    </row>
    <row r="871" spans="1:22">
      <c r="A871" s="489"/>
      <c r="B871" s="489"/>
      <c r="C871" s="489"/>
      <c r="D871" s="489"/>
      <c r="E871" s="489"/>
      <c r="F871" s="489"/>
      <c r="G871" s="489"/>
      <c r="H871" s="489"/>
      <c r="I871" s="489"/>
      <c r="J871" s="489"/>
      <c r="K871" s="489"/>
      <c r="L871" s="489"/>
      <c r="M871" s="489"/>
      <c r="N871" s="489"/>
      <c r="O871" s="489"/>
      <c r="P871" s="489"/>
      <c r="Q871" s="489"/>
      <c r="R871" s="489"/>
      <c r="S871" s="489"/>
      <c r="T871" s="489"/>
      <c r="U871" s="489"/>
      <c r="V871" s="489"/>
    </row>
    <row r="872" spans="1:22">
      <c r="A872" s="489"/>
      <c r="B872" s="489"/>
      <c r="C872" s="489"/>
      <c r="D872" s="489"/>
      <c r="E872" s="489"/>
      <c r="F872" s="489"/>
      <c r="G872" s="489"/>
      <c r="H872" s="489"/>
      <c r="I872" s="489"/>
      <c r="J872" s="489"/>
      <c r="K872" s="489"/>
      <c r="L872" s="489"/>
      <c r="M872" s="489"/>
      <c r="N872" s="489"/>
      <c r="O872" s="489"/>
      <c r="P872" s="489"/>
      <c r="Q872" s="489"/>
      <c r="R872" s="489"/>
      <c r="S872" s="489"/>
      <c r="T872" s="489"/>
      <c r="U872" s="489"/>
      <c r="V872" s="489"/>
    </row>
    <row r="873" spans="1:22">
      <c r="A873" s="489"/>
      <c r="B873" s="489"/>
      <c r="C873" s="489"/>
      <c r="D873" s="489"/>
      <c r="E873" s="489"/>
      <c r="F873" s="489"/>
      <c r="G873" s="489"/>
      <c r="H873" s="489"/>
      <c r="I873" s="489"/>
      <c r="J873" s="489"/>
      <c r="K873" s="489"/>
      <c r="L873" s="489"/>
      <c r="M873" s="489"/>
      <c r="N873" s="489"/>
      <c r="O873" s="489"/>
      <c r="P873" s="489"/>
      <c r="Q873" s="489"/>
      <c r="R873" s="489"/>
      <c r="S873" s="489"/>
      <c r="T873" s="489"/>
      <c r="U873" s="489"/>
      <c r="V873" s="489"/>
    </row>
    <row r="874" spans="1:22">
      <c r="A874" s="489"/>
      <c r="B874" s="489"/>
      <c r="C874" s="489"/>
      <c r="D874" s="489"/>
      <c r="E874" s="489"/>
      <c r="F874" s="489"/>
      <c r="G874" s="489"/>
      <c r="H874" s="489"/>
      <c r="I874" s="489"/>
      <c r="J874" s="489"/>
      <c r="K874" s="489"/>
      <c r="L874" s="489"/>
      <c r="M874" s="489"/>
      <c r="N874" s="489"/>
      <c r="O874" s="489"/>
      <c r="P874" s="489"/>
      <c r="Q874" s="489"/>
      <c r="R874" s="489"/>
      <c r="S874" s="489"/>
      <c r="T874" s="489"/>
      <c r="U874" s="489"/>
      <c r="V874" s="489"/>
    </row>
    <row r="875" spans="1:22">
      <c r="A875" s="489"/>
      <c r="B875" s="489"/>
      <c r="C875" s="489"/>
      <c r="D875" s="489"/>
      <c r="E875" s="489"/>
      <c r="F875" s="489"/>
      <c r="G875" s="489"/>
      <c r="H875" s="489"/>
      <c r="I875" s="489"/>
      <c r="J875" s="489"/>
      <c r="K875" s="489"/>
      <c r="L875" s="489"/>
      <c r="M875" s="489"/>
      <c r="N875" s="489"/>
      <c r="O875" s="489"/>
      <c r="P875" s="489"/>
      <c r="Q875" s="489"/>
      <c r="R875" s="489"/>
      <c r="S875" s="489"/>
      <c r="T875" s="489"/>
      <c r="U875" s="489"/>
      <c r="V875" s="489"/>
    </row>
    <row r="876" spans="1:22">
      <c r="A876" s="489"/>
      <c r="B876" s="489"/>
      <c r="C876" s="489"/>
      <c r="D876" s="489"/>
      <c r="E876" s="489"/>
      <c r="F876" s="489"/>
      <c r="G876" s="489"/>
      <c r="H876" s="489"/>
      <c r="I876" s="489"/>
      <c r="J876" s="489"/>
      <c r="K876" s="489"/>
      <c r="L876" s="489"/>
      <c r="M876" s="489"/>
      <c r="N876" s="489"/>
      <c r="O876" s="489"/>
      <c r="P876" s="489"/>
      <c r="Q876" s="489"/>
      <c r="R876" s="489"/>
      <c r="S876" s="489"/>
      <c r="T876" s="489"/>
      <c r="U876" s="489"/>
      <c r="V876" s="489"/>
    </row>
    <row r="877" spans="1:22">
      <c r="A877" s="489"/>
      <c r="B877" s="489"/>
      <c r="C877" s="489"/>
      <c r="D877" s="489"/>
      <c r="E877" s="489"/>
      <c r="F877" s="489"/>
      <c r="G877" s="489"/>
      <c r="H877" s="489"/>
      <c r="I877" s="489"/>
      <c r="J877" s="489"/>
      <c r="K877" s="489"/>
      <c r="L877" s="489"/>
      <c r="M877" s="489"/>
      <c r="N877" s="489"/>
      <c r="O877" s="489"/>
      <c r="P877" s="489"/>
      <c r="Q877" s="489"/>
      <c r="R877" s="489"/>
      <c r="S877" s="489"/>
      <c r="T877" s="489"/>
      <c r="U877" s="489"/>
      <c r="V877" s="489"/>
    </row>
    <row r="878" spans="1:22">
      <c r="A878" s="489"/>
      <c r="B878" s="489"/>
      <c r="C878" s="489"/>
      <c r="D878" s="489"/>
      <c r="E878" s="489"/>
      <c r="F878" s="489"/>
      <c r="G878" s="489"/>
      <c r="H878" s="489"/>
      <c r="I878" s="489"/>
      <c r="J878" s="489"/>
      <c r="K878" s="489"/>
      <c r="L878" s="489"/>
      <c r="M878" s="489"/>
      <c r="N878" s="489"/>
      <c r="O878" s="489"/>
      <c r="P878" s="489"/>
      <c r="Q878" s="489"/>
      <c r="R878" s="489"/>
      <c r="S878" s="489"/>
      <c r="T878" s="489"/>
      <c r="U878" s="489"/>
      <c r="V878" s="489"/>
    </row>
    <row r="879" spans="1:22">
      <c r="A879" s="489"/>
      <c r="B879" s="489"/>
      <c r="C879" s="489"/>
      <c r="D879" s="489"/>
      <c r="E879" s="489"/>
      <c r="F879" s="489"/>
      <c r="G879" s="489"/>
      <c r="H879" s="489"/>
      <c r="I879" s="489"/>
      <c r="J879" s="489"/>
      <c r="K879" s="489"/>
      <c r="L879" s="489"/>
      <c r="M879" s="489"/>
      <c r="N879" s="489"/>
      <c r="O879" s="489"/>
      <c r="P879" s="489"/>
      <c r="Q879" s="489"/>
      <c r="R879" s="489"/>
      <c r="S879" s="489"/>
      <c r="T879" s="489"/>
      <c r="U879" s="489"/>
      <c r="V879" s="489"/>
    </row>
    <row r="880" spans="1:22">
      <c r="A880" s="489"/>
      <c r="B880" s="489"/>
      <c r="C880" s="489"/>
      <c r="D880" s="489"/>
      <c r="E880" s="489"/>
      <c r="F880" s="489"/>
      <c r="G880" s="489"/>
      <c r="H880" s="489"/>
      <c r="I880" s="489"/>
      <c r="J880" s="489"/>
      <c r="K880" s="489"/>
      <c r="L880" s="489"/>
      <c r="M880" s="489"/>
      <c r="N880" s="489"/>
      <c r="O880" s="489"/>
      <c r="P880" s="489"/>
      <c r="Q880" s="489"/>
      <c r="R880" s="489"/>
      <c r="S880" s="489"/>
      <c r="T880" s="489"/>
      <c r="U880" s="489"/>
      <c r="V880" s="489"/>
    </row>
    <row r="881" spans="1:22">
      <c r="A881" s="489"/>
      <c r="B881" s="489"/>
      <c r="C881" s="489"/>
      <c r="D881" s="489"/>
      <c r="E881" s="489"/>
      <c r="F881" s="489"/>
      <c r="G881" s="489"/>
      <c r="H881" s="489"/>
      <c r="I881" s="489"/>
      <c r="J881" s="489"/>
      <c r="K881" s="489"/>
      <c r="L881" s="489"/>
      <c r="M881" s="489"/>
      <c r="N881" s="489"/>
      <c r="O881" s="489"/>
      <c r="P881" s="489"/>
      <c r="Q881" s="489"/>
      <c r="R881" s="489"/>
      <c r="S881" s="489"/>
      <c r="T881" s="489"/>
      <c r="U881" s="489"/>
      <c r="V881" s="489"/>
    </row>
    <row r="882" spans="1:22">
      <c r="A882" s="489"/>
      <c r="B882" s="489"/>
      <c r="C882" s="489"/>
      <c r="D882" s="489"/>
      <c r="E882" s="489"/>
      <c r="F882" s="489"/>
      <c r="G882" s="489"/>
      <c r="H882" s="489"/>
      <c r="I882" s="489"/>
      <c r="J882" s="489"/>
      <c r="K882" s="489"/>
      <c r="L882" s="489"/>
      <c r="M882" s="489"/>
      <c r="N882" s="489"/>
      <c r="O882" s="489"/>
      <c r="P882" s="489"/>
      <c r="Q882" s="489"/>
      <c r="R882" s="489"/>
      <c r="S882" s="489"/>
      <c r="T882" s="489"/>
      <c r="U882" s="489"/>
      <c r="V882" s="489"/>
    </row>
    <row r="883" spans="1:22">
      <c r="A883" s="489"/>
      <c r="B883" s="489"/>
      <c r="C883" s="489"/>
      <c r="D883" s="489"/>
      <c r="E883" s="489"/>
      <c r="F883" s="489"/>
      <c r="G883" s="489"/>
      <c r="H883" s="489"/>
      <c r="I883" s="489"/>
      <c r="J883" s="489"/>
      <c r="K883" s="489"/>
      <c r="L883" s="489"/>
      <c r="M883" s="489"/>
      <c r="N883" s="489"/>
      <c r="O883" s="489"/>
      <c r="P883" s="489"/>
      <c r="Q883" s="489"/>
      <c r="R883" s="489"/>
      <c r="S883" s="489"/>
      <c r="T883" s="489"/>
      <c r="U883" s="489"/>
      <c r="V883" s="489"/>
    </row>
    <row r="884" spans="1:22">
      <c r="A884" s="489"/>
      <c r="B884" s="489"/>
      <c r="C884" s="489"/>
      <c r="D884" s="489"/>
      <c r="E884" s="489"/>
      <c r="F884" s="489"/>
      <c r="G884" s="489"/>
      <c r="H884" s="489"/>
      <c r="I884" s="489"/>
      <c r="J884" s="489"/>
      <c r="K884" s="489"/>
      <c r="L884" s="489"/>
      <c r="M884" s="489"/>
      <c r="N884" s="489"/>
      <c r="O884" s="489"/>
      <c r="P884" s="489"/>
      <c r="Q884" s="489"/>
      <c r="R884" s="489"/>
      <c r="S884" s="489"/>
      <c r="T884" s="489"/>
      <c r="U884" s="489"/>
      <c r="V884" s="489"/>
    </row>
    <row r="885" spans="1:22">
      <c r="A885" s="489"/>
      <c r="B885" s="489"/>
      <c r="C885" s="489"/>
      <c r="D885" s="489"/>
      <c r="E885" s="489"/>
      <c r="F885" s="489"/>
      <c r="G885" s="489"/>
      <c r="H885" s="489"/>
      <c r="I885" s="489"/>
      <c r="J885" s="489"/>
      <c r="K885" s="489"/>
      <c r="L885" s="489"/>
      <c r="M885" s="489"/>
      <c r="N885" s="489"/>
      <c r="O885" s="489"/>
      <c r="P885" s="489"/>
      <c r="Q885" s="489"/>
      <c r="R885" s="489"/>
      <c r="S885" s="489"/>
      <c r="T885" s="489"/>
      <c r="U885" s="489"/>
      <c r="V885" s="489"/>
    </row>
    <row r="886" spans="1:22">
      <c r="A886" s="489"/>
      <c r="B886" s="489"/>
      <c r="C886" s="489"/>
      <c r="D886" s="489"/>
      <c r="E886" s="489"/>
      <c r="F886" s="489"/>
      <c r="G886" s="489"/>
      <c r="H886" s="489"/>
      <c r="I886" s="489"/>
      <c r="J886" s="489"/>
      <c r="K886" s="489"/>
      <c r="L886" s="489"/>
      <c r="M886" s="489"/>
      <c r="N886" s="489"/>
      <c r="O886" s="489"/>
      <c r="P886" s="489"/>
      <c r="Q886" s="489"/>
      <c r="R886" s="489"/>
      <c r="S886" s="489"/>
      <c r="T886" s="489"/>
      <c r="U886" s="489"/>
      <c r="V886" s="489"/>
    </row>
    <row r="887" spans="1:22">
      <c r="A887" s="489"/>
      <c r="B887" s="489"/>
      <c r="C887" s="489"/>
      <c r="D887" s="489"/>
      <c r="E887" s="489"/>
      <c r="F887" s="489"/>
      <c r="G887" s="489"/>
      <c r="H887" s="489"/>
      <c r="I887" s="489"/>
      <c r="J887" s="489"/>
      <c r="K887" s="489"/>
      <c r="L887" s="489"/>
      <c r="M887" s="489"/>
      <c r="N887" s="489"/>
      <c r="O887" s="489"/>
      <c r="P887" s="489"/>
      <c r="Q887" s="489"/>
      <c r="R887" s="489"/>
      <c r="S887" s="489"/>
      <c r="T887" s="489"/>
      <c r="U887" s="489"/>
      <c r="V887" s="489"/>
    </row>
    <row r="888" spans="1:22">
      <c r="A888" s="489"/>
      <c r="B888" s="489"/>
      <c r="C888" s="489"/>
      <c r="D888" s="489"/>
      <c r="E888" s="489"/>
      <c r="F888" s="489"/>
      <c r="G888" s="489"/>
      <c r="H888" s="489"/>
      <c r="I888" s="489"/>
      <c r="J888" s="489"/>
      <c r="K888" s="489"/>
      <c r="L888" s="489"/>
      <c r="M888" s="489"/>
      <c r="N888" s="489"/>
      <c r="O888" s="489"/>
      <c r="P888" s="489"/>
      <c r="Q888" s="489"/>
      <c r="R888" s="489"/>
      <c r="S888" s="489"/>
      <c r="T888" s="489"/>
      <c r="U888" s="489"/>
      <c r="V888" s="489"/>
    </row>
    <row r="889" spans="1:22">
      <c r="A889" s="489"/>
      <c r="B889" s="489"/>
      <c r="C889" s="489"/>
      <c r="D889" s="489"/>
      <c r="E889" s="489"/>
      <c r="F889" s="489"/>
      <c r="G889" s="489"/>
      <c r="H889" s="489"/>
      <c r="I889" s="489"/>
      <c r="J889" s="489"/>
      <c r="K889" s="489"/>
      <c r="L889" s="489"/>
      <c r="M889" s="489"/>
      <c r="N889" s="489"/>
      <c r="O889" s="489"/>
      <c r="P889" s="489"/>
      <c r="Q889" s="489"/>
      <c r="R889" s="489"/>
      <c r="S889" s="489"/>
      <c r="T889" s="489"/>
      <c r="U889" s="489"/>
      <c r="V889" s="489"/>
    </row>
    <row r="890" spans="1:22">
      <c r="A890" s="489"/>
      <c r="B890" s="489"/>
      <c r="C890" s="489"/>
      <c r="D890" s="489"/>
      <c r="E890" s="489"/>
      <c r="F890" s="489"/>
      <c r="G890" s="489"/>
      <c r="H890" s="489"/>
      <c r="I890" s="489"/>
      <c r="J890" s="489"/>
      <c r="K890" s="489"/>
      <c r="L890" s="489"/>
      <c r="M890" s="489"/>
      <c r="N890" s="489"/>
      <c r="O890" s="489"/>
      <c r="P890" s="489"/>
      <c r="Q890" s="489"/>
      <c r="R890" s="489"/>
      <c r="S890" s="489"/>
      <c r="T890" s="489"/>
      <c r="U890" s="489"/>
      <c r="V890" s="489"/>
    </row>
    <row r="891" spans="1:22">
      <c r="A891" s="489"/>
      <c r="B891" s="489"/>
      <c r="C891" s="489"/>
      <c r="D891" s="489"/>
      <c r="E891" s="489"/>
      <c r="F891" s="489"/>
      <c r="G891" s="489"/>
      <c r="H891" s="489"/>
      <c r="I891" s="489"/>
      <c r="J891" s="489"/>
      <c r="K891" s="489"/>
      <c r="L891" s="489"/>
      <c r="M891" s="489"/>
      <c r="N891" s="489"/>
      <c r="O891" s="489"/>
      <c r="P891" s="489"/>
      <c r="Q891" s="489"/>
      <c r="R891" s="489"/>
      <c r="S891" s="489"/>
      <c r="T891" s="489"/>
      <c r="U891" s="489"/>
      <c r="V891" s="489"/>
    </row>
    <row r="892" spans="1:22">
      <c r="A892" s="489"/>
      <c r="B892" s="489"/>
      <c r="C892" s="489"/>
      <c r="D892" s="489"/>
      <c r="E892" s="489"/>
      <c r="F892" s="489"/>
      <c r="G892" s="489"/>
      <c r="H892" s="489"/>
      <c r="I892" s="489"/>
      <c r="J892" s="489"/>
      <c r="K892" s="489"/>
      <c r="L892" s="489"/>
      <c r="M892" s="489"/>
      <c r="N892" s="489"/>
      <c r="O892" s="489"/>
      <c r="P892" s="489"/>
      <c r="Q892" s="489"/>
      <c r="R892" s="489"/>
      <c r="S892" s="489"/>
      <c r="T892" s="489"/>
      <c r="U892" s="489"/>
      <c r="V892" s="489"/>
    </row>
    <row r="893" spans="1:22">
      <c r="A893" s="489"/>
      <c r="B893" s="489"/>
      <c r="C893" s="489"/>
      <c r="D893" s="489"/>
      <c r="E893" s="489"/>
      <c r="F893" s="489"/>
      <c r="G893" s="489"/>
      <c r="H893" s="489"/>
      <c r="I893" s="489"/>
      <c r="J893" s="489"/>
      <c r="K893" s="489"/>
      <c r="L893" s="489"/>
      <c r="M893" s="489"/>
      <c r="N893" s="489"/>
      <c r="O893" s="489"/>
      <c r="P893" s="489"/>
      <c r="Q893" s="489"/>
      <c r="R893" s="489"/>
      <c r="S893" s="489"/>
      <c r="T893" s="489"/>
      <c r="U893" s="489"/>
      <c r="V893" s="489"/>
    </row>
    <row r="894" spans="1:22">
      <c r="A894" s="489"/>
      <c r="B894" s="489"/>
      <c r="C894" s="489"/>
      <c r="D894" s="489"/>
      <c r="E894" s="489"/>
      <c r="F894" s="489"/>
      <c r="G894" s="489"/>
      <c r="H894" s="489"/>
      <c r="I894" s="489"/>
      <c r="J894" s="489"/>
      <c r="K894" s="489"/>
      <c r="L894" s="489"/>
      <c r="M894" s="489"/>
      <c r="N894" s="489"/>
      <c r="O894" s="489"/>
      <c r="P894" s="489"/>
      <c r="Q894" s="489"/>
      <c r="R894" s="489"/>
      <c r="S894" s="489"/>
      <c r="T894" s="489"/>
      <c r="U894" s="489"/>
      <c r="V894" s="489"/>
    </row>
    <row r="895" spans="1:22">
      <c r="A895" s="489"/>
      <c r="B895" s="489"/>
      <c r="C895" s="489"/>
      <c r="D895" s="489"/>
      <c r="E895" s="489"/>
      <c r="F895" s="489"/>
      <c r="G895" s="489"/>
      <c r="H895" s="489"/>
      <c r="I895" s="489"/>
      <c r="J895" s="489"/>
      <c r="K895" s="489"/>
      <c r="L895" s="489"/>
      <c r="M895" s="489"/>
      <c r="N895" s="489"/>
      <c r="O895" s="489"/>
      <c r="P895" s="489"/>
      <c r="Q895" s="489"/>
      <c r="R895" s="489"/>
      <c r="S895" s="489"/>
      <c r="T895" s="489"/>
      <c r="U895" s="489"/>
      <c r="V895" s="489"/>
    </row>
    <row r="896" spans="1:22">
      <c r="A896" s="489"/>
      <c r="B896" s="489"/>
      <c r="C896" s="489"/>
      <c r="D896" s="489"/>
      <c r="E896" s="489"/>
      <c r="F896" s="489"/>
      <c r="G896" s="489"/>
      <c r="H896" s="489"/>
      <c r="I896" s="489"/>
      <c r="J896" s="489"/>
      <c r="K896" s="489"/>
      <c r="L896" s="489"/>
      <c r="M896" s="489"/>
      <c r="N896" s="489"/>
      <c r="O896" s="489"/>
      <c r="P896" s="489"/>
      <c r="Q896" s="489"/>
      <c r="R896" s="489"/>
      <c r="S896" s="489"/>
      <c r="T896" s="489"/>
      <c r="U896" s="489"/>
      <c r="V896" s="489"/>
    </row>
    <row r="897" spans="1:22" ht="15" customHeight="1">
      <c r="A897" s="489"/>
      <c r="B897" s="489"/>
      <c r="C897" s="489"/>
      <c r="D897" s="489"/>
      <c r="E897" s="489"/>
      <c r="F897" s="489"/>
      <c r="G897" s="489"/>
      <c r="H897" s="489"/>
      <c r="I897" s="489"/>
      <c r="J897" s="489"/>
      <c r="K897" s="489"/>
      <c r="L897" s="489"/>
      <c r="M897" s="489"/>
      <c r="N897" s="489"/>
      <c r="O897" s="489"/>
      <c r="P897" s="489"/>
      <c r="Q897" s="489"/>
      <c r="R897" s="489"/>
      <c r="S897" s="489"/>
      <c r="T897" s="489"/>
      <c r="U897" s="489"/>
      <c r="V897" s="489"/>
    </row>
    <row r="898" spans="1:22" ht="15" customHeight="1">
      <c r="A898" s="489"/>
      <c r="B898" s="489"/>
      <c r="C898" s="489"/>
      <c r="D898" s="489"/>
      <c r="E898" s="489"/>
      <c r="F898" s="489"/>
      <c r="G898" s="489"/>
      <c r="H898" s="489"/>
      <c r="I898" s="489"/>
      <c r="J898" s="489"/>
      <c r="K898" s="489"/>
      <c r="L898" s="489"/>
      <c r="M898" s="489"/>
      <c r="N898" s="489"/>
      <c r="O898" s="489"/>
      <c r="P898" s="489"/>
      <c r="Q898" s="489"/>
      <c r="R898" s="489"/>
      <c r="S898" s="489"/>
      <c r="T898" s="489"/>
      <c r="U898" s="489"/>
      <c r="V898" s="489"/>
    </row>
    <row r="899" spans="1:22" ht="15" customHeight="1">
      <c r="A899" s="489"/>
      <c r="B899" s="489"/>
      <c r="C899" s="489"/>
      <c r="D899" s="489"/>
      <c r="E899" s="489"/>
      <c r="F899" s="489"/>
      <c r="G899" s="489"/>
      <c r="H899" s="489"/>
      <c r="I899" s="489"/>
      <c r="J899" s="489"/>
      <c r="K899" s="489"/>
      <c r="L899" s="489"/>
      <c r="M899" s="489"/>
      <c r="N899" s="489"/>
      <c r="O899" s="489"/>
      <c r="P899" s="489"/>
      <c r="Q899" s="489"/>
      <c r="R899" s="489"/>
      <c r="S899" s="489"/>
      <c r="T899" s="489"/>
      <c r="U899" s="489"/>
      <c r="V899" s="489"/>
    </row>
    <row r="900" spans="1:22" ht="15" customHeight="1">
      <c r="A900" s="489"/>
      <c r="B900" s="489"/>
      <c r="C900" s="489"/>
      <c r="D900" s="489"/>
      <c r="E900" s="489"/>
      <c r="F900" s="489"/>
      <c r="G900" s="489"/>
      <c r="H900" s="489"/>
      <c r="I900" s="489"/>
      <c r="J900" s="489"/>
      <c r="K900" s="489"/>
      <c r="L900" s="489"/>
      <c r="M900" s="489"/>
      <c r="N900" s="489"/>
      <c r="O900" s="489"/>
      <c r="P900" s="489"/>
      <c r="Q900" s="489"/>
      <c r="R900" s="489"/>
      <c r="S900" s="489"/>
      <c r="T900" s="489"/>
      <c r="U900" s="489"/>
      <c r="V900" s="489"/>
    </row>
    <row r="901" spans="1:22" ht="15" customHeight="1">
      <c r="A901" s="489"/>
      <c r="B901" s="489"/>
      <c r="C901" s="489"/>
      <c r="D901" s="489"/>
      <c r="E901" s="489"/>
      <c r="F901" s="489"/>
      <c r="G901" s="489"/>
      <c r="H901" s="489"/>
      <c r="I901" s="489"/>
      <c r="J901" s="489"/>
      <c r="K901" s="489"/>
      <c r="L901" s="489"/>
      <c r="M901" s="489"/>
      <c r="N901" s="489"/>
      <c r="O901" s="489"/>
      <c r="P901" s="489"/>
      <c r="Q901" s="489"/>
      <c r="R901" s="489"/>
      <c r="S901" s="489"/>
      <c r="T901" s="489"/>
      <c r="U901" s="489"/>
      <c r="V901" s="489"/>
    </row>
    <row r="902" spans="1:22" ht="15" customHeight="1">
      <c r="A902" s="489"/>
      <c r="B902" s="489"/>
      <c r="C902" s="489"/>
      <c r="D902" s="489"/>
      <c r="E902" s="489"/>
      <c r="F902" s="489"/>
      <c r="G902" s="489"/>
      <c r="H902" s="489"/>
      <c r="I902" s="489"/>
      <c r="J902" s="489"/>
      <c r="K902" s="489"/>
      <c r="L902" s="489"/>
      <c r="M902" s="489"/>
      <c r="N902" s="489"/>
      <c r="O902" s="489"/>
      <c r="P902" s="489"/>
      <c r="Q902" s="489"/>
      <c r="R902" s="489"/>
      <c r="S902" s="489"/>
      <c r="T902" s="489"/>
      <c r="U902" s="489"/>
      <c r="V902" s="489"/>
    </row>
    <row r="903" spans="1:22">
      <c r="A903" s="489"/>
      <c r="B903" s="489"/>
      <c r="C903" s="489"/>
      <c r="D903" s="489"/>
      <c r="E903" s="489"/>
      <c r="F903" s="489"/>
      <c r="G903" s="489"/>
      <c r="H903" s="489"/>
      <c r="I903" s="489"/>
      <c r="J903" s="489"/>
      <c r="K903" s="489"/>
      <c r="L903" s="489"/>
      <c r="M903" s="489"/>
      <c r="N903" s="489"/>
      <c r="O903" s="489"/>
      <c r="P903" s="489"/>
      <c r="Q903" s="489"/>
      <c r="R903" s="489"/>
      <c r="S903" s="489"/>
      <c r="T903" s="489"/>
      <c r="U903" s="489"/>
      <c r="V903" s="489"/>
    </row>
    <row r="904" spans="1:22">
      <c r="A904" s="489"/>
      <c r="B904" s="489"/>
      <c r="C904" s="489"/>
      <c r="D904" s="489"/>
      <c r="E904" s="489"/>
      <c r="F904" s="489"/>
      <c r="G904" s="489"/>
      <c r="H904" s="489"/>
      <c r="I904" s="489"/>
      <c r="J904" s="489"/>
      <c r="K904" s="489"/>
      <c r="L904" s="489"/>
      <c r="M904" s="489"/>
      <c r="N904" s="489"/>
      <c r="O904" s="489"/>
      <c r="P904" s="489"/>
      <c r="Q904" s="489"/>
      <c r="R904" s="489"/>
      <c r="S904" s="489"/>
      <c r="T904" s="489"/>
      <c r="U904" s="489"/>
      <c r="V904" s="489"/>
    </row>
    <row r="905" spans="1:22">
      <c r="A905" s="489"/>
      <c r="B905" s="489"/>
      <c r="C905" s="489"/>
      <c r="D905" s="489"/>
      <c r="E905" s="489"/>
      <c r="F905" s="489"/>
      <c r="G905" s="489"/>
      <c r="H905" s="489"/>
      <c r="I905" s="489"/>
      <c r="J905" s="489"/>
      <c r="K905" s="489"/>
      <c r="L905" s="489"/>
      <c r="M905" s="489"/>
      <c r="N905" s="489"/>
      <c r="O905" s="489"/>
      <c r="P905" s="489"/>
      <c r="Q905" s="489"/>
      <c r="R905" s="489"/>
      <c r="S905" s="489"/>
      <c r="T905" s="489"/>
      <c r="U905" s="489"/>
      <c r="V905" s="489"/>
    </row>
    <row r="906" spans="1:22">
      <c r="A906" s="489"/>
      <c r="B906" s="489"/>
      <c r="C906" s="489"/>
      <c r="D906" s="489"/>
      <c r="E906" s="489"/>
      <c r="F906" s="489"/>
      <c r="G906" s="489"/>
      <c r="H906" s="489"/>
      <c r="I906" s="489"/>
      <c r="J906" s="489"/>
      <c r="K906" s="489"/>
      <c r="L906" s="489"/>
      <c r="M906" s="489"/>
      <c r="N906" s="489"/>
      <c r="O906" s="489"/>
      <c r="P906" s="489"/>
      <c r="Q906" s="489"/>
      <c r="R906" s="489"/>
      <c r="S906" s="489"/>
      <c r="T906" s="489"/>
      <c r="U906" s="489"/>
      <c r="V906" s="489"/>
    </row>
    <row r="907" spans="1:22">
      <c r="A907" s="489"/>
      <c r="B907" s="489"/>
      <c r="C907" s="489"/>
      <c r="D907" s="489"/>
      <c r="E907" s="489"/>
      <c r="F907" s="489"/>
      <c r="G907" s="489"/>
      <c r="H907" s="489"/>
      <c r="I907" s="489"/>
      <c r="J907" s="489"/>
      <c r="K907" s="489"/>
      <c r="L907" s="489"/>
      <c r="M907" s="489"/>
      <c r="N907" s="489"/>
      <c r="O907" s="489"/>
      <c r="P907" s="489"/>
      <c r="Q907" s="489"/>
      <c r="R907" s="489"/>
      <c r="S907" s="489"/>
      <c r="T907" s="489"/>
      <c r="U907" s="489"/>
      <c r="V907" s="489"/>
    </row>
    <row r="908" spans="1:22">
      <c r="A908" s="489"/>
      <c r="B908" s="489"/>
      <c r="C908" s="489"/>
      <c r="D908" s="489"/>
      <c r="E908" s="489"/>
      <c r="F908" s="489"/>
      <c r="G908" s="489"/>
      <c r="H908" s="489"/>
      <c r="I908" s="489"/>
      <c r="J908" s="489"/>
      <c r="K908" s="489"/>
      <c r="L908" s="489"/>
      <c r="M908" s="489"/>
      <c r="N908" s="489"/>
      <c r="O908" s="489"/>
      <c r="P908" s="489"/>
      <c r="Q908" s="489"/>
      <c r="R908" s="489"/>
      <c r="S908" s="489"/>
      <c r="T908" s="489"/>
      <c r="U908" s="489"/>
      <c r="V908" s="489"/>
    </row>
    <row r="909" spans="1:22">
      <c r="A909" s="489"/>
      <c r="B909" s="489"/>
      <c r="C909" s="489"/>
      <c r="D909" s="489"/>
      <c r="E909" s="489"/>
      <c r="F909" s="489"/>
      <c r="G909" s="489"/>
      <c r="H909" s="489"/>
      <c r="I909" s="489"/>
      <c r="J909" s="489"/>
      <c r="K909" s="489"/>
      <c r="L909" s="489"/>
      <c r="M909" s="489"/>
      <c r="N909" s="489"/>
      <c r="O909" s="489"/>
      <c r="P909" s="489"/>
      <c r="Q909" s="489"/>
      <c r="R909" s="489"/>
      <c r="S909" s="489"/>
      <c r="T909" s="489"/>
      <c r="U909" s="489"/>
      <c r="V909" s="489"/>
    </row>
    <row r="910" spans="1:22">
      <c r="A910" s="489"/>
      <c r="B910" s="489"/>
      <c r="C910" s="489"/>
      <c r="D910" s="489"/>
      <c r="E910" s="489"/>
      <c r="F910" s="489"/>
      <c r="G910" s="489"/>
      <c r="H910" s="489"/>
      <c r="I910" s="489"/>
      <c r="J910" s="489"/>
      <c r="K910" s="489"/>
      <c r="L910" s="489"/>
      <c r="M910" s="489"/>
      <c r="N910" s="489"/>
      <c r="O910" s="489"/>
      <c r="P910" s="489"/>
      <c r="Q910" s="489"/>
      <c r="R910" s="489"/>
      <c r="S910" s="489"/>
      <c r="T910" s="489"/>
      <c r="U910" s="489"/>
      <c r="V910" s="489"/>
    </row>
    <row r="911" spans="1:22">
      <c r="A911" s="489"/>
      <c r="B911" s="489"/>
      <c r="C911" s="489"/>
      <c r="D911" s="489"/>
      <c r="E911" s="489"/>
      <c r="F911" s="489"/>
      <c r="G911" s="489"/>
      <c r="H911" s="489"/>
      <c r="I911" s="489"/>
      <c r="J911" s="489"/>
      <c r="K911" s="489"/>
      <c r="L911" s="489"/>
      <c r="M911" s="489"/>
      <c r="N911" s="489"/>
      <c r="O911" s="489"/>
      <c r="P911" s="489"/>
      <c r="Q911" s="489"/>
      <c r="R911" s="489"/>
      <c r="S911" s="489"/>
      <c r="T911" s="489"/>
      <c r="U911" s="489"/>
      <c r="V911" s="489"/>
    </row>
    <row r="912" spans="1:22">
      <c r="A912" s="489"/>
      <c r="B912" s="489"/>
      <c r="C912" s="489"/>
      <c r="D912" s="489"/>
      <c r="E912" s="489"/>
      <c r="F912" s="489"/>
      <c r="G912" s="489"/>
      <c r="H912" s="489"/>
      <c r="I912" s="489"/>
      <c r="J912" s="489"/>
      <c r="K912" s="489"/>
      <c r="L912" s="489"/>
      <c r="M912" s="489"/>
      <c r="N912" s="489"/>
      <c r="O912" s="489"/>
      <c r="P912" s="489"/>
      <c r="Q912" s="489"/>
      <c r="R912" s="489"/>
      <c r="S912" s="489"/>
      <c r="T912" s="489"/>
      <c r="U912" s="489"/>
      <c r="V912" s="489"/>
    </row>
    <row r="913" spans="1:22">
      <c r="A913" s="489"/>
      <c r="B913" s="489"/>
      <c r="C913" s="489"/>
      <c r="D913" s="489"/>
      <c r="E913" s="489"/>
      <c r="F913" s="489"/>
      <c r="G913" s="489"/>
      <c r="H913" s="489"/>
      <c r="I913" s="489"/>
      <c r="J913" s="489"/>
      <c r="K913" s="489"/>
      <c r="L913" s="489"/>
      <c r="M913" s="489"/>
      <c r="N913" s="489"/>
      <c r="O913" s="489"/>
      <c r="P913" s="489"/>
      <c r="Q913" s="489"/>
      <c r="R913" s="489"/>
      <c r="S913" s="489"/>
      <c r="T913" s="489"/>
      <c r="U913" s="489"/>
      <c r="V913" s="489"/>
    </row>
    <row r="914" spans="1:22">
      <c r="A914" s="489"/>
      <c r="B914" s="489"/>
      <c r="C914" s="489"/>
      <c r="D914" s="489"/>
      <c r="E914" s="489"/>
      <c r="F914" s="489"/>
      <c r="G914" s="489"/>
      <c r="H914" s="489"/>
      <c r="I914" s="489"/>
      <c r="J914" s="489"/>
      <c r="K914" s="489"/>
      <c r="L914" s="489"/>
      <c r="M914" s="489"/>
      <c r="N914" s="489"/>
      <c r="O914" s="489"/>
      <c r="P914" s="489"/>
      <c r="Q914" s="489"/>
      <c r="R914" s="489"/>
      <c r="S914" s="489"/>
      <c r="T914" s="489"/>
      <c r="U914" s="489"/>
      <c r="V914" s="489"/>
    </row>
    <row r="915" spans="1:22">
      <c r="A915" s="489"/>
      <c r="B915" s="489"/>
      <c r="C915" s="489"/>
      <c r="D915" s="489"/>
      <c r="E915" s="489"/>
      <c r="F915" s="489"/>
      <c r="G915" s="489"/>
      <c r="H915" s="489"/>
      <c r="I915" s="489"/>
      <c r="J915" s="489"/>
      <c r="K915" s="489"/>
      <c r="L915" s="489"/>
      <c r="M915" s="489"/>
      <c r="N915" s="489"/>
      <c r="O915" s="489"/>
      <c r="P915" s="489"/>
      <c r="Q915" s="489"/>
      <c r="R915" s="489"/>
      <c r="S915" s="489"/>
      <c r="T915" s="489"/>
      <c r="U915" s="489"/>
      <c r="V915" s="489"/>
    </row>
    <row r="916" spans="1:22">
      <c r="A916" s="489"/>
      <c r="B916" s="489"/>
      <c r="C916" s="489"/>
      <c r="D916" s="489"/>
      <c r="E916" s="489"/>
      <c r="F916" s="489"/>
      <c r="G916" s="489"/>
      <c r="H916" s="489"/>
      <c r="I916" s="489"/>
      <c r="J916" s="489"/>
      <c r="K916" s="489"/>
      <c r="L916" s="489"/>
      <c r="M916" s="489"/>
      <c r="N916" s="489"/>
      <c r="O916" s="489"/>
      <c r="P916" s="489"/>
      <c r="Q916" s="489"/>
      <c r="R916" s="489"/>
      <c r="S916" s="489"/>
      <c r="T916" s="489"/>
      <c r="U916" s="489"/>
      <c r="V916" s="489"/>
    </row>
    <row r="917" spans="1:22">
      <c r="A917" s="489"/>
      <c r="B917" s="489"/>
      <c r="C917" s="489"/>
      <c r="D917" s="489"/>
      <c r="E917" s="489"/>
      <c r="F917" s="489"/>
      <c r="G917" s="489"/>
      <c r="H917" s="489"/>
      <c r="I917" s="489"/>
      <c r="J917" s="489"/>
      <c r="K917" s="489"/>
      <c r="L917" s="489"/>
      <c r="M917" s="489"/>
      <c r="N917" s="489"/>
      <c r="O917" s="489"/>
      <c r="P917" s="489"/>
      <c r="Q917" s="489"/>
      <c r="R917" s="489"/>
      <c r="S917" s="489"/>
      <c r="T917" s="489"/>
      <c r="U917" s="489"/>
      <c r="V917" s="489"/>
    </row>
    <row r="918" spans="1:22">
      <c r="A918" s="489"/>
      <c r="B918" s="489"/>
      <c r="C918" s="489"/>
      <c r="D918" s="489"/>
      <c r="E918" s="489"/>
      <c r="F918" s="489"/>
      <c r="G918" s="489"/>
      <c r="H918" s="489"/>
      <c r="I918" s="489"/>
      <c r="J918" s="489"/>
      <c r="K918" s="489"/>
      <c r="L918" s="489"/>
      <c r="M918" s="489"/>
      <c r="N918" s="489"/>
      <c r="O918" s="489"/>
      <c r="P918" s="489"/>
      <c r="Q918" s="489"/>
      <c r="R918" s="489"/>
      <c r="S918" s="489"/>
      <c r="T918" s="489"/>
      <c r="U918" s="489"/>
      <c r="V918" s="489"/>
    </row>
    <row r="919" spans="1:22">
      <c r="A919" s="489"/>
      <c r="B919" s="489"/>
      <c r="C919" s="489"/>
      <c r="D919" s="489"/>
      <c r="E919" s="489"/>
      <c r="F919" s="489"/>
      <c r="G919" s="489"/>
      <c r="H919" s="489"/>
      <c r="I919" s="489"/>
      <c r="J919" s="489"/>
      <c r="K919" s="489"/>
      <c r="L919" s="489"/>
      <c r="M919" s="489"/>
      <c r="N919" s="489"/>
      <c r="O919" s="489"/>
      <c r="P919" s="489"/>
      <c r="Q919" s="489"/>
      <c r="R919" s="489"/>
      <c r="S919" s="489"/>
      <c r="T919" s="489"/>
      <c r="U919" s="489"/>
      <c r="V919" s="489"/>
    </row>
    <row r="920" spans="1:22">
      <c r="A920" s="489"/>
      <c r="B920" s="489"/>
      <c r="C920" s="489"/>
      <c r="D920" s="489"/>
      <c r="E920" s="489"/>
      <c r="F920" s="489"/>
      <c r="G920" s="489"/>
      <c r="H920" s="489"/>
      <c r="I920" s="489"/>
      <c r="J920" s="489"/>
      <c r="K920" s="489"/>
      <c r="L920" s="489"/>
      <c r="M920" s="489"/>
      <c r="N920" s="489"/>
      <c r="O920" s="489"/>
      <c r="P920" s="489"/>
      <c r="Q920" s="489"/>
      <c r="R920" s="489"/>
      <c r="S920" s="489"/>
      <c r="T920" s="489"/>
      <c r="U920" s="489"/>
      <c r="V920" s="489"/>
    </row>
    <row r="921" spans="1:22">
      <c r="A921" s="489"/>
      <c r="B921" s="489"/>
      <c r="C921" s="489"/>
      <c r="D921" s="489"/>
      <c r="E921" s="489"/>
      <c r="F921" s="489"/>
      <c r="G921" s="489"/>
      <c r="H921" s="489"/>
      <c r="I921" s="489"/>
      <c r="J921" s="489"/>
      <c r="K921" s="489"/>
      <c r="L921" s="489"/>
      <c r="M921" s="489"/>
      <c r="N921" s="489"/>
      <c r="O921" s="489"/>
      <c r="P921" s="489"/>
      <c r="Q921" s="489"/>
      <c r="R921" s="489"/>
      <c r="S921" s="489"/>
      <c r="T921" s="489"/>
      <c r="U921" s="489"/>
      <c r="V921" s="489"/>
    </row>
    <row r="922" spans="1:22">
      <c r="A922" s="489"/>
      <c r="B922" s="489"/>
      <c r="C922" s="489"/>
      <c r="D922" s="489"/>
      <c r="E922" s="489"/>
      <c r="F922" s="489"/>
      <c r="G922" s="489"/>
      <c r="H922" s="489"/>
      <c r="I922" s="489"/>
      <c r="J922" s="489"/>
      <c r="K922" s="489"/>
      <c r="L922" s="489"/>
      <c r="M922" s="489"/>
      <c r="N922" s="489"/>
      <c r="O922" s="489"/>
      <c r="P922" s="489"/>
      <c r="Q922" s="489"/>
      <c r="R922" s="489"/>
      <c r="S922" s="489"/>
      <c r="T922" s="489"/>
      <c r="U922" s="489"/>
      <c r="V922" s="489"/>
    </row>
    <row r="923" spans="1:22">
      <c r="A923" s="489"/>
      <c r="B923" s="489"/>
      <c r="C923" s="489"/>
      <c r="D923" s="489"/>
      <c r="E923" s="489"/>
      <c r="F923" s="489"/>
      <c r="G923" s="489"/>
      <c r="H923" s="489"/>
      <c r="I923" s="489"/>
      <c r="J923" s="489"/>
      <c r="K923" s="489"/>
      <c r="L923" s="489"/>
      <c r="M923" s="489"/>
      <c r="N923" s="489"/>
      <c r="O923" s="489"/>
      <c r="P923" s="489"/>
      <c r="Q923" s="489"/>
      <c r="R923" s="489"/>
      <c r="S923" s="489"/>
      <c r="T923" s="489"/>
      <c r="U923" s="489"/>
      <c r="V923" s="489"/>
    </row>
    <row r="924" spans="1:22">
      <c r="A924" s="489"/>
      <c r="B924" s="489"/>
      <c r="C924" s="489"/>
      <c r="D924" s="489"/>
      <c r="E924" s="489"/>
      <c r="F924" s="489"/>
      <c r="G924" s="489"/>
      <c r="H924" s="489"/>
      <c r="I924" s="489"/>
      <c r="J924" s="489"/>
      <c r="K924" s="489"/>
      <c r="L924" s="489"/>
      <c r="M924" s="489"/>
      <c r="N924" s="489"/>
      <c r="O924" s="489"/>
      <c r="P924" s="489"/>
      <c r="Q924" s="489"/>
      <c r="R924" s="489"/>
      <c r="S924" s="489"/>
      <c r="T924" s="489"/>
      <c r="U924" s="489"/>
      <c r="V924" s="489"/>
    </row>
    <row r="925" spans="1:22">
      <c r="A925" s="489"/>
      <c r="B925" s="489"/>
      <c r="C925" s="489"/>
      <c r="D925" s="489"/>
      <c r="E925" s="489"/>
      <c r="F925" s="489"/>
      <c r="G925" s="489"/>
      <c r="H925" s="489"/>
      <c r="I925" s="489"/>
      <c r="J925" s="489"/>
      <c r="K925" s="489"/>
      <c r="L925" s="489"/>
      <c r="M925" s="489"/>
      <c r="N925" s="489"/>
      <c r="O925" s="489"/>
      <c r="P925" s="489"/>
      <c r="Q925" s="489"/>
      <c r="R925" s="489"/>
      <c r="S925" s="489"/>
      <c r="T925" s="489"/>
      <c r="U925" s="489"/>
      <c r="V925" s="489"/>
    </row>
    <row r="926" spans="1:22">
      <c r="A926" s="489"/>
      <c r="B926" s="489"/>
      <c r="C926" s="489"/>
      <c r="D926" s="489"/>
      <c r="E926" s="489"/>
      <c r="F926" s="489"/>
      <c r="G926" s="489"/>
      <c r="H926" s="489"/>
      <c r="I926" s="489"/>
      <c r="J926" s="489"/>
      <c r="K926" s="489"/>
      <c r="L926" s="489"/>
      <c r="M926" s="489"/>
      <c r="N926" s="489"/>
      <c r="O926" s="489"/>
      <c r="P926" s="489"/>
      <c r="Q926" s="489"/>
      <c r="R926" s="489"/>
      <c r="S926" s="489"/>
      <c r="T926" s="489"/>
      <c r="U926" s="489"/>
      <c r="V926" s="489"/>
    </row>
    <row r="927" spans="1:22">
      <c r="A927" s="489"/>
      <c r="B927" s="489"/>
      <c r="C927" s="489"/>
      <c r="D927" s="489"/>
      <c r="E927" s="489"/>
      <c r="F927" s="489"/>
      <c r="G927" s="489"/>
      <c r="H927" s="489"/>
      <c r="I927" s="489"/>
      <c r="J927" s="489"/>
      <c r="K927" s="489"/>
      <c r="L927" s="489"/>
      <c r="M927" s="489"/>
      <c r="N927" s="489"/>
      <c r="O927" s="489"/>
      <c r="P927" s="489"/>
      <c r="Q927" s="489"/>
      <c r="R927" s="489"/>
      <c r="S927" s="489"/>
      <c r="T927" s="489"/>
      <c r="U927" s="489"/>
      <c r="V927" s="489"/>
    </row>
    <row r="928" spans="1:22">
      <c r="A928" s="489"/>
      <c r="B928" s="489"/>
      <c r="C928" s="489"/>
      <c r="D928" s="489"/>
      <c r="E928" s="489"/>
      <c r="F928" s="489"/>
      <c r="G928" s="489"/>
      <c r="H928" s="489"/>
      <c r="I928" s="489"/>
      <c r="J928" s="489"/>
      <c r="K928" s="489"/>
      <c r="L928" s="489"/>
      <c r="M928" s="489"/>
      <c r="N928" s="489"/>
      <c r="O928" s="489"/>
      <c r="P928" s="489"/>
      <c r="Q928" s="489"/>
      <c r="R928" s="489"/>
      <c r="S928" s="489"/>
      <c r="T928" s="489"/>
      <c r="U928" s="489"/>
      <c r="V928" s="489"/>
    </row>
    <row r="929" spans="1:22">
      <c r="A929" s="489"/>
      <c r="B929" s="489"/>
      <c r="C929" s="489"/>
      <c r="D929" s="489"/>
      <c r="E929" s="489"/>
      <c r="F929" s="489"/>
      <c r="G929" s="489"/>
      <c r="H929" s="489"/>
      <c r="I929" s="489"/>
      <c r="J929" s="489"/>
      <c r="K929" s="489"/>
      <c r="L929" s="489"/>
      <c r="M929" s="489"/>
      <c r="N929" s="489"/>
      <c r="O929" s="489"/>
      <c r="P929" s="489"/>
      <c r="Q929" s="489"/>
      <c r="R929" s="489"/>
      <c r="S929" s="489"/>
      <c r="T929" s="489"/>
      <c r="U929" s="489"/>
      <c r="V929" s="489"/>
    </row>
    <row r="930" spans="1:22">
      <c r="A930" s="489"/>
      <c r="B930" s="489"/>
      <c r="C930" s="489"/>
      <c r="D930" s="489"/>
      <c r="E930" s="489"/>
      <c r="F930" s="489"/>
      <c r="G930" s="489"/>
      <c r="H930" s="489"/>
      <c r="I930" s="489"/>
      <c r="J930" s="489"/>
      <c r="K930" s="489"/>
      <c r="L930" s="489"/>
      <c r="M930" s="489"/>
      <c r="N930" s="489"/>
      <c r="O930" s="489"/>
      <c r="P930" s="489"/>
      <c r="Q930" s="489"/>
      <c r="R930" s="489"/>
      <c r="S930" s="489"/>
      <c r="T930" s="489"/>
      <c r="U930" s="489"/>
      <c r="V930" s="489"/>
    </row>
    <row r="931" spans="1:22">
      <c r="A931" s="489"/>
      <c r="B931" s="489"/>
      <c r="C931" s="489"/>
      <c r="D931" s="489"/>
      <c r="E931" s="489"/>
      <c r="F931" s="489"/>
      <c r="G931" s="489"/>
      <c r="H931" s="489"/>
      <c r="I931" s="489"/>
      <c r="J931" s="489"/>
      <c r="K931" s="489"/>
      <c r="L931" s="489"/>
      <c r="M931" s="489"/>
      <c r="N931" s="489"/>
      <c r="O931" s="489"/>
      <c r="P931" s="489"/>
      <c r="Q931" s="489"/>
      <c r="R931" s="489"/>
      <c r="S931" s="489"/>
      <c r="T931" s="489"/>
      <c r="U931" s="489"/>
      <c r="V931" s="489"/>
    </row>
    <row r="932" spans="1:22">
      <c r="A932" s="489"/>
      <c r="B932" s="489"/>
      <c r="C932" s="489"/>
      <c r="D932" s="489"/>
      <c r="E932" s="489"/>
      <c r="F932" s="489"/>
      <c r="G932" s="489"/>
      <c r="H932" s="489"/>
      <c r="I932" s="489"/>
      <c r="J932" s="489"/>
      <c r="K932" s="489"/>
      <c r="L932" s="489"/>
      <c r="M932" s="489"/>
      <c r="N932" s="489"/>
      <c r="O932" s="489"/>
      <c r="P932" s="489"/>
      <c r="Q932" s="489"/>
      <c r="R932" s="489"/>
      <c r="S932" s="489"/>
      <c r="T932" s="489"/>
      <c r="U932" s="489"/>
      <c r="V932" s="489"/>
    </row>
    <row r="933" spans="1:22">
      <c r="A933" s="489"/>
      <c r="B933" s="489"/>
      <c r="C933" s="489"/>
      <c r="D933" s="489"/>
      <c r="E933" s="489"/>
      <c r="F933" s="489"/>
      <c r="G933" s="489"/>
      <c r="H933" s="489"/>
      <c r="I933" s="489"/>
      <c r="J933" s="489"/>
      <c r="K933" s="489"/>
      <c r="L933" s="489"/>
      <c r="M933" s="489"/>
      <c r="N933" s="489"/>
      <c r="O933" s="489"/>
      <c r="P933" s="489"/>
      <c r="Q933" s="489"/>
      <c r="R933" s="489"/>
      <c r="S933" s="489"/>
      <c r="T933" s="489"/>
      <c r="U933" s="489"/>
      <c r="V933" s="489"/>
    </row>
    <row r="934" spans="1:22">
      <c r="A934" s="489"/>
      <c r="B934" s="489"/>
      <c r="C934" s="489"/>
      <c r="D934" s="489"/>
      <c r="E934" s="489"/>
      <c r="F934" s="489"/>
      <c r="G934" s="489"/>
      <c r="H934" s="489"/>
      <c r="I934" s="489"/>
      <c r="J934" s="489"/>
      <c r="K934" s="489"/>
      <c r="L934" s="489"/>
      <c r="M934" s="489"/>
      <c r="N934" s="489"/>
      <c r="O934" s="489"/>
      <c r="P934" s="489"/>
      <c r="Q934" s="489"/>
      <c r="R934" s="489"/>
      <c r="S934" s="489"/>
      <c r="T934" s="489"/>
      <c r="U934" s="489"/>
      <c r="V934" s="489"/>
    </row>
    <row r="935" spans="1:22">
      <c r="A935" s="489"/>
      <c r="B935" s="489"/>
      <c r="C935" s="489"/>
      <c r="D935" s="489"/>
      <c r="E935" s="489"/>
      <c r="F935" s="489"/>
      <c r="G935" s="489"/>
      <c r="H935" s="489"/>
      <c r="I935" s="489"/>
      <c r="J935" s="489"/>
      <c r="K935" s="489"/>
      <c r="L935" s="489"/>
      <c r="M935" s="489"/>
      <c r="N935" s="489"/>
      <c r="O935" s="489"/>
      <c r="P935" s="489"/>
      <c r="Q935" s="489"/>
      <c r="R935" s="489"/>
      <c r="S935" s="489"/>
      <c r="T935" s="489"/>
      <c r="U935" s="489"/>
      <c r="V935" s="489"/>
    </row>
    <row r="936" spans="1:22">
      <c r="A936" s="489"/>
      <c r="B936" s="489"/>
      <c r="C936" s="489"/>
      <c r="D936" s="489"/>
      <c r="E936" s="489"/>
      <c r="F936" s="489"/>
      <c r="G936" s="489"/>
      <c r="H936" s="489"/>
      <c r="I936" s="489"/>
      <c r="J936" s="489"/>
      <c r="K936" s="489"/>
      <c r="L936" s="489"/>
      <c r="M936" s="489"/>
      <c r="N936" s="489"/>
      <c r="O936" s="489"/>
      <c r="P936" s="489"/>
      <c r="Q936" s="489"/>
      <c r="R936" s="489"/>
      <c r="S936" s="489"/>
      <c r="T936" s="489"/>
      <c r="U936" s="489"/>
      <c r="V936" s="489"/>
    </row>
    <row r="937" spans="1:22">
      <c r="A937" s="489"/>
      <c r="B937" s="489"/>
      <c r="C937" s="489"/>
      <c r="D937" s="489"/>
      <c r="E937" s="489"/>
      <c r="F937" s="489"/>
      <c r="G937" s="489"/>
      <c r="H937" s="489"/>
      <c r="I937" s="489"/>
      <c r="J937" s="489"/>
      <c r="K937" s="489"/>
      <c r="L937" s="489"/>
      <c r="M937" s="489"/>
      <c r="N937" s="489"/>
      <c r="O937" s="489"/>
      <c r="P937" s="489"/>
      <c r="Q937" s="489"/>
      <c r="R937" s="489"/>
      <c r="S937" s="489"/>
      <c r="T937" s="489"/>
      <c r="U937" s="489"/>
      <c r="V937" s="489"/>
    </row>
    <row r="938" spans="1:22">
      <c r="A938" s="489"/>
      <c r="B938" s="489"/>
      <c r="C938" s="489"/>
      <c r="D938" s="489"/>
      <c r="E938" s="489"/>
      <c r="F938" s="489"/>
      <c r="G938" s="489"/>
      <c r="H938" s="489"/>
      <c r="I938" s="489"/>
      <c r="J938" s="489"/>
      <c r="K938" s="489"/>
      <c r="L938" s="489"/>
      <c r="M938" s="489"/>
      <c r="N938" s="489"/>
      <c r="O938" s="489"/>
      <c r="P938" s="489"/>
      <c r="Q938" s="489"/>
      <c r="R938" s="489"/>
      <c r="S938" s="489"/>
      <c r="T938" s="489"/>
      <c r="U938" s="489"/>
      <c r="V938" s="489"/>
    </row>
    <row r="939" spans="1:22">
      <c r="A939" s="489"/>
      <c r="B939" s="489"/>
      <c r="C939" s="489"/>
      <c r="D939" s="489"/>
      <c r="E939" s="489"/>
      <c r="F939" s="489"/>
      <c r="G939" s="489"/>
      <c r="H939" s="489"/>
      <c r="I939" s="489"/>
      <c r="J939" s="489"/>
      <c r="K939" s="489"/>
      <c r="L939" s="489"/>
      <c r="M939" s="489"/>
      <c r="N939" s="489"/>
      <c r="O939" s="489"/>
      <c r="P939" s="489"/>
      <c r="Q939" s="489"/>
      <c r="R939" s="489"/>
      <c r="S939" s="489"/>
      <c r="T939" s="489"/>
      <c r="U939" s="489"/>
      <c r="V939" s="489"/>
    </row>
    <row r="940" spans="1:22">
      <c r="A940" s="489"/>
      <c r="B940" s="489"/>
      <c r="C940" s="489"/>
      <c r="D940" s="489"/>
      <c r="E940" s="489"/>
      <c r="F940" s="489"/>
      <c r="G940" s="489"/>
      <c r="H940" s="489"/>
      <c r="I940" s="489"/>
      <c r="J940" s="489"/>
      <c r="K940" s="489"/>
      <c r="L940" s="489"/>
      <c r="M940" s="489"/>
      <c r="N940" s="489"/>
      <c r="O940" s="489"/>
      <c r="P940" s="489"/>
      <c r="Q940" s="489"/>
      <c r="R940" s="489"/>
      <c r="S940" s="489"/>
      <c r="T940" s="489"/>
      <c r="U940" s="489"/>
      <c r="V940" s="489"/>
    </row>
    <row r="941" spans="1:22">
      <c r="A941" s="489"/>
      <c r="B941" s="489"/>
      <c r="C941" s="489"/>
      <c r="D941" s="489"/>
      <c r="E941" s="489"/>
      <c r="F941" s="489"/>
      <c r="G941" s="489"/>
      <c r="H941" s="489"/>
      <c r="I941" s="489"/>
      <c r="J941" s="489"/>
      <c r="K941" s="489"/>
      <c r="L941" s="489"/>
      <c r="M941" s="489"/>
      <c r="N941" s="489"/>
      <c r="O941" s="489"/>
      <c r="P941" s="489"/>
      <c r="Q941" s="489"/>
      <c r="R941" s="489"/>
      <c r="S941" s="489"/>
      <c r="T941" s="489"/>
      <c r="U941" s="489"/>
      <c r="V941" s="489"/>
    </row>
    <row r="942" spans="1:22">
      <c r="A942" s="489"/>
      <c r="B942" s="489"/>
      <c r="C942" s="489"/>
      <c r="D942" s="489"/>
      <c r="E942" s="489"/>
      <c r="F942" s="489"/>
      <c r="G942" s="489"/>
      <c r="H942" s="489"/>
      <c r="I942" s="489"/>
      <c r="J942" s="489"/>
      <c r="K942" s="489"/>
      <c r="L942" s="489"/>
      <c r="M942" s="489"/>
      <c r="N942" s="489"/>
      <c r="O942" s="489"/>
      <c r="P942" s="489"/>
      <c r="Q942" s="489"/>
      <c r="R942" s="489"/>
      <c r="S942" s="489"/>
      <c r="T942" s="489"/>
      <c r="U942" s="489"/>
      <c r="V942" s="489"/>
    </row>
    <row r="943" spans="1:22">
      <c r="A943" s="489"/>
      <c r="B943" s="489"/>
      <c r="C943" s="489"/>
      <c r="D943" s="489"/>
      <c r="E943" s="489"/>
      <c r="F943" s="489"/>
      <c r="G943" s="489"/>
      <c r="H943" s="489"/>
      <c r="I943" s="489"/>
      <c r="J943" s="489"/>
      <c r="K943" s="489"/>
      <c r="L943" s="489"/>
      <c r="M943" s="489"/>
      <c r="N943" s="489"/>
      <c r="O943" s="489"/>
      <c r="P943" s="489"/>
      <c r="Q943" s="489"/>
      <c r="R943" s="489"/>
      <c r="S943" s="489"/>
      <c r="T943" s="489"/>
      <c r="U943" s="489"/>
      <c r="V943" s="489"/>
    </row>
    <row r="944" spans="1:22">
      <c r="A944" s="489"/>
      <c r="B944" s="489"/>
      <c r="C944" s="489"/>
      <c r="D944" s="489"/>
      <c r="E944" s="489"/>
      <c r="F944" s="489"/>
      <c r="G944" s="489"/>
      <c r="H944" s="489"/>
      <c r="I944" s="489"/>
      <c r="J944" s="489"/>
      <c r="K944" s="489"/>
      <c r="L944" s="489"/>
      <c r="M944" s="489"/>
      <c r="N944" s="489"/>
      <c r="O944" s="489"/>
      <c r="P944" s="489"/>
      <c r="Q944" s="489"/>
      <c r="R944" s="489"/>
      <c r="S944" s="489"/>
      <c r="T944" s="489"/>
      <c r="U944" s="489"/>
      <c r="V944" s="489"/>
    </row>
    <row r="945" spans="1:22">
      <c r="A945" s="489"/>
      <c r="B945" s="489"/>
      <c r="C945" s="489"/>
      <c r="D945" s="489"/>
      <c r="E945" s="489"/>
      <c r="F945" s="489"/>
      <c r="G945" s="489"/>
      <c r="H945" s="489"/>
      <c r="I945" s="489"/>
      <c r="J945" s="489"/>
      <c r="K945" s="489"/>
      <c r="L945" s="489"/>
      <c r="M945" s="489"/>
      <c r="N945" s="489"/>
      <c r="O945" s="489"/>
      <c r="P945" s="489"/>
      <c r="Q945" s="489"/>
      <c r="R945" s="489"/>
      <c r="S945" s="489"/>
      <c r="T945" s="489"/>
      <c r="U945" s="489"/>
      <c r="V945" s="489"/>
    </row>
    <row r="946" spans="1:22">
      <c r="A946" s="489"/>
      <c r="B946" s="489"/>
      <c r="C946" s="489"/>
      <c r="D946" s="489"/>
      <c r="E946" s="489"/>
      <c r="F946" s="489"/>
      <c r="G946" s="489"/>
      <c r="H946" s="489"/>
      <c r="I946" s="489"/>
      <c r="J946" s="489"/>
      <c r="K946" s="489"/>
      <c r="L946" s="489"/>
      <c r="M946" s="489"/>
      <c r="N946" s="489"/>
      <c r="O946" s="489"/>
      <c r="P946" s="489"/>
      <c r="Q946" s="489"/>
      <c r="R946" s="489"/>
      <c r="S946" s="489"/>
      <c r="T946" s="489"/>
      <c r="U946" s="489"/>
      <c r="V946" s="489"/>
    </row>
    <row r="947" spans="1:22">
      <c r="A947" s="489"/>
      <c r="B947" s="489"/>
      <c r="C947" s="489"/>
      <c r="D947" s="489"/>
      <c r="E947" s="489"/>
      <c r="F947" s="489"/>
      <c r="G947" s="489"/>
      <c r="H947" s="489"/>
      <c r="I947" s="489"/>
      <c r="J947" s="489"/>
      <c r="K947" s="489"/>
      <c r="L947" s="489"/>
      <c r="M947" s="489"/>
      <c r="N947" s="489"/>
      <c r="O947" s="489"/>
      <c r="P947" s="489"/>
      <c r="Q947" s="489"/>
      <c r="R947" s="489"/>
      <c r="S947" s="489"/>
      <c r="T947" s="489"/>
      <c r="U947" s="489"/>
      <c r="V947" s="489"/>
    </row>
    <row r="948" spans="1:22">
      <c r="A948" s="489"/>
      <c r="B948" s="489"/>
      <c r="C948" s="489"/>
      <c r="D948" s="489"/>
      <c r="E948" s="489"/>
      <c r="F948" s="489"/>
      <c r="G948" s="489"/>
      <c r="H948" s="489"/>
      <c r="I948" s="489"/>
      <c r="J948" s="489"/>
      <c r="K948" s="489"/>
      <c r="L948" s="489"/>
      <c r="M948" s="489"/>
      <c r="N948" s="489"/>
      <c r="O948" s="489"/>
      <c r="P948" s="489"/>
      <c r="Q948" s="489"/>
      <c r="R948" s="489"/>
      <c r="S948" s="489"/>
      <c r="T948" s="489"/>
      <c r="U948" s="489"/>
      <c r="V948" s="489"/>
    </row>
    <row r="949" spans="1:22">
      <c r="A949" s="489"/>
      <c r="B949" s="489"/>
      <c r="C949" s="489"/>
      <c r="D949" s="489"/>
      <c r="E949" s="489"/>
      <c r="F949" s="489"/>
      <c r="G949" s="489"/>
      <c r="H949" s="489"/>
      <c r="I949" s="489"/>
      <c r="J949" s="489"/>
      <c r="K949" s="489"/>
      <c r="L949" s="489"/>
      <c r="M949" s="489"/>
      <c r="N949" s="489"/>
      <c r="O949" s="489"/>
      <c r="P949" s="489"/>
      <c r="Q949" s="489"/>
      <c r="R949" s="489"/>
      <c r="S949" s="489"/>
      <c r="T949" s="489"/>
      <c r="U949" s="489"/>
      <c r="V949" s="489"/>
    </row>
    <row r="950" spans="1:22">
      <c r="A950" s="489"/>
      <c r="B950" s="489"/>
      <c r="C950" s="489"/>
      <c r="D950" s="489"/>
      <c r="E950" s="489"/>
      <c r="F950" s="489"/>
      <c r="G950" s="489"/>
      <c r="H950" s="489"/>
      <c r="I950" s="489"/>
      <c r="J950" s="489"/>
      <c r="K950" s="489"/>
      <c r="L950" s="489"/>
      <c r="M950" s="489"/>
      <c r="N950" s="489"/>
      <c r="O950" s="489"/>
      <c r="P950" s="489"/>
      <c r="Q950" s="489"/>
      <c r="R950" s="489"/>
      <c r="S950" s="489"/>
      <c r="T950" s="489"/>
      <c r="U950" s="489"/>
      <c r="V950" s="489"/>
    </row>
    <row r="951" spans="1:22">
      <c r="A951" s="489"/>
      <c r="B951" s="489"/>
      <c r="C951" s="489"/>
      <c r="D951" s="489"/>
      <c r="E951" s="489"/>
      <c r="F951" s="489"/>
      <c r="G951" s="489"/>
      <c r="H951" s="489"/>
      <c r="I951" s="489"/>
      <c r="J951" s="489"/>
      <c r="K951" s="489"/>
      <c r="L951" s="489"/>
      <c r="M951" s="489"/>
      <c r="N951" s="489"/>
      <c r="O951" s="489"/>
      <c r="P951" s="489"/>
      <c r="Q951" s="489"/>
      <c r="R951" s="489"/>
      <c r="S951" s="489"/>
      <c r="T951" s="489"/>
      <c r="U951" s="489"/>
      <c r="V951" s="489"/>
    </row>
    <row r="952" spans="1:22">
      <c r="A952" s="489"/>
      <c r="B952" s="489"/>
      <c r="C952" s="489"/>
      <c r="D952" s="489"/>
      <c r="E952" s="489"/>
      <c r="F952" s="489"/>
      <c r="G952" s="489"/>
      <c r="H952" s="489"/>
      <c r="I952" s="489"/>
      <c r="J952" s="489"/>
      <c r="K952" s="489"/>
      <c r="L952" s="489"/>
      <c r="M952" s="489"/>
      <c r="N952" s="489"/>
      <c r="O952" s="489"/>
      <c r="P952" s="489"/>
      <c r="Q952" s="489"/>
      <c r="R952" s="489"/>
      <c r="S952" s="489"/>
      <c r="T952" s="489"/>
      <c r="U952" s="489"/>
      <c r="V952" s="489"/>
    </row>
    <row r="953" spans="1:22">
      <c r="A953" s="489"/>
      <c r="B953" s="489"/>
      <c r="C953" s="489"/>
      <c r="D953" s="489"/>
      <c r="E953" s="489"/>
      <c r="F953" s="489"/>
      <c r="G953" s="489"/>
      <c r="H953" s="489"/>
      <c r="I953" s="489"/>
      <c r="J953" s="489"/>
      <c r="K953" s="489"/>
      <c r="L953" s="489"/>
      <c r="M953" s="489"/>
      <c r="N953" s="489"/>
      <c r="O953" s="489"/>
      <c r="P953" s="489"/>
      <c r="Q953" s="489"/>
      <c r="R953" s="489"/>
      <c r="S953" s="489"/>
      <c r="T953" s="489"/>
      <c r="U953" s="489"/>
      <c r="V953" s="489"/>
    </row>
    <row r="954" spans="1:22">
      <c r="A954" s="489"/>
      <c r="B954" s="489"/>
      <c r="C954" s="489"/>
      <c r="D954" s="489"/>
      <c r="E954" s="489"/>
      <c r="F954" s="489"/>
      <c r="G954" s="489"/>
      <c r="H954" s="489"/>
      <c r="I954" s="489"/>
      <c r="J954" s="489"/>
      <c r="K954" s="489"/>
      <c r="L954" s="489"/>
      <c r="M954" s="489"/>
      <c r="N954" s="489"/>
      <c r="O954" s="489"/>
      <c r="P954" s="489"/>
      <c r="Q954" s="489"/>
      <c r="R954" s="489"/>
      <c r="S954" s="489"/>
      <c r="T954" s="489"/>
      <c r="U954" s="489"/>
      <c r="V954" s="489"/>
    </row>
    <row r="955" spans="1:22">
      <c r="A955" s="489"/>
      <c r="B955" s="489"/>
      <c r="C955" s="489"/>
      <c r="D955" s="489"/>
      <c r="E955" s="489"/>
      <c r="F955" s="489"/>
      <c r="G955" s="489"/>
      <c r="H955" s="489"/>
      <c r="I955" s="489"/>
      <c r="J955" s="489"/>
      <c r="K955" s="489"/>
      <c r="L955" s="489"/>
      <c r="M955" s="489"/>
      <c r="N955" s="489"/>
      <c r="O955" s="489"/>
      <c r="P955" s="489"/>
      <c r="Q955" s="489"/>
      <c r="R955" s="489"/>
      <c r="S955" s="489"/>
      <c r="T955" s="489"/>
      <c r="U955" s="489"/>
      <c r="V955" s="489"/>
    </row>
    <row r="956" spans="1:22">
      <c r="A956" s="489"/>
      <c r="B956" s="489"/>
      <c r="C956" s="489"/>
      <c r="D956" s="489"/>
      <c r="E956" s="489"/>
      <c r="F956" s="489"/>
      <c r="G956" s="489"/>
      <c r="H956" s="489"/>
      <c r="I956" s="489"/>
      <c r="J956" s="489"/>
      <c r="K956" s="489"/>
      <c r="L956" s="489"/>
      <c r="M956" s="489"/>
      <c r="N956" s="489"/>
      <c r="O956" s="489"/>
      <c r="P956" s="489"/>
      <c r="Q956" s="489"/>
      <c r="R956" s="489"/>
      <c r="S956" s="489"/>
      <c r="T956" s="489"/>
      <c r="U956" s="489"/>
      <c r="V956" s="489"/>
    </row>
    <row r="957" spans="1:22">
      <c r="A957" s="489"/>
      <c r="B957" s="489"/>
      <c r="C957" s="489"/>
      <c r="D957" s="489"/>
      <c r="E957" s="489"/>
      <c r="F957" s="489"/>
      <c r="G957" s="489"/>
      <c r="H957" s="489"/>
      <c r="I957" s="489"/>
      <c r="J957" s="489"/>
      <c r="K957" s="489"/>
      <c r="L957" s="489"/>
      <c r="M957" s="489"/>
      <c r="N957" s="489"/>
      <c r="O957" s="489"/>
      <c r="P957" s="489"/>
      <c r="Q957" s="489"/>
      <c r="R957" s="489"/>
      <c r="S957" s="489"/>
      <c r="T957" s="489"/>
      <c r="U957" s="489"/>
      <c r="V957" s="489"/>
    </row>
    <row r="958" spans="1:22">
      <c r="A958" s="489"/>
      <c r="B958" s="489"/>
      <c r="C958" s="489"/>
      <c r="D958" s="489"/>
      <c r="E958" s="489"/>
      <c r="F958" s="489"/>
      <c r="G958" s="489"/>
      <c r="H958" s="489"/>
      <c r="I958" s="489"/>
      <c r="J958" s="489"/>
      <c r="K958" s="489"/>
      <c r="L958" s="489"/>
      <c r="M958" s="489"/>
      <c r="N958" s="489"/>
      <c r="O958" s="489"/>
      <c r="P958" s="489"/>
      <c r="Q958" s="489"/>
      <c r="R958" s="489"/>
      <c r="S958" s="489"/>
      <c r="T958" s="489"/>
      <c r="U958" s="489"/>
      <c r="V958" s="489"/>
    </row>
    <row r="959" spans="1:22">
      <c r="A959" s="489"/>
      <c r="B959" s="489"/>
      <c r="C959" s="489"/>
      <c r="D959" s="489"/>
      <c r="E959" s="489"/>
      <c r="F959" s="489"/>
      <c r="G959" s="489"/>
      <c r="H959" s="489"/>
      <c r="I959" s="489"/>
      <c r="J959" s="489"/>
      <c r="K959" s="489"/>
      <c r="L959" s="489"/>
      <c r="M959" s="489"/>
      <c r="N959" s="489"/>
      <c r="O959" s="489"/>
      <c r="P959" s="489"/>
      <c r="Q959" s="489"/>
      <c r="R959" s="489"/>
      <c r="S959" s="489"/>
      <c r="T959" s="489"/>
      <c r="U959" s="489"/>
      <c r="V959" s="489"/>
    </row>
    <row r="960" spans="1:22">
      <c r="A960" s="489"/>
      <c r="B960" s="489"/>
      <c r="C960" s="489"/>
      <c r="D960" s="489"/>
      <c r="E960" s="489"/>
      <c r="F960" s="489"/>
      <c r="G960" s="489"/>
      <c r="H960" s="489"/>
      <c r="I960" s="489"/>
      <c r="J960" s="489"/>
      <c r="K960" s="489"/>
      <c r="L960" s="489"/>
      <c r="M960" s="489"/>
      <c r="N960" s="489"/>
      <c r="O960" s="489"/>
      <c r="P960" s="489"/>
      <c r="Q960" s="489"/>
      <c r="R960" s="489"/>
      <c r="S960" s="489"/>
      <c r="T960" s="489"/>
      <c r="U960" s="489"/>
      <c r="V960" s="489"/>
    </row>
    <row r="961" spans="1:22">
      <c r="A961" s="489"/>
      <c r="B961" s="489"/>
      <c r="C961" s="489"/>
      <c r="D961" s="489"/>
      <c r="E961" s="489"/>
      <c r="F961" s="489"/>
      <c r="G961" s="489"/>
      <c r="H961" s="489"/>
      <c r="I961" s="489"/>
      <c r="J961" s="489"/>
      <c r="K961" s="489"/>
      <c r="L961" s="489"/>
      <c r="M961" s="489"/>
      <c r="N961" s="489"/>
      <c r="O961" s="489"/>
      <c r="P961" s="489"/>
      <c r="Q961" s="489"/>
      <c r="R961" s="489"/>
      <c r="S961" s="489"/>
      <c r="T961" s="489"/>
      <c r="U961" s="489"/>
      <c r="V961" s="489"/>
    </row>
    <row r="962" spans="1:22">
      <c r="A962" s="489"/>
      <c r="B962" s="489"/>
      <c r="C962" s="489"/>
      <c r="D962" s="489"/>
      <c r="E962" s="489"/>
      <c r="F962" s="489"/>
      <c r="G962" s="489"/>
      <c r="H962" s="489"/>
      <c r="I962" s="489"/>
      <c r="J962" s="489"/>
      <c r="K962" s="489"/>
      <c r="L962" s="489"/>
      <c r="M962" s="489"/>
      <c r="N962" s="489"/>
      <c r="O962" s="489"/>
      <c r="P962" s="489"/>
      <c r="Q962" s="489"/>
      <c r="R962" s="489"/>
      <c r="S962" s="489"/>
      <c r="T962" s="489"/>
      <c r="U962" s="489"/>
      <c r="V962" s="489"/>
    </row>
    <row r="963" spans="1:22">
      <c r="A963" s="489"/>
      <c r="B963" s="489"/>
      <c r="C963" s="489"/>
      <c r="D963" s="489"/>
      <c r="E963" s="489"/>
      <c r="F963" s="489"/>
      <c r="G963" s="489"/>
      <c r="H963" s="489"/>
      <c r="I963" s="489"/>
      <c r="J963" s="489"/>
      <c r="K963" s="489"/>
      <c r="L963" s="489"/>
      <c r="M963" s="489"/>
      <c r="N963" s="489"/>
      <c r="O963" s="489"/>
      <c r="P963" s="489"/>
      <c r="Q963" s="489"/>
      <c r="R963" s="489"/>
      <c r="S963" s="489"/>
      <c r="T963" s="489"/>
      <c r="U963" s="489"/>
      <c r="V963" s="489"/>
    </row>
    <row r="964" spans="1:22">
      <c r="A964" s="489"/>
      <c r="B964" s="489"/>
      <c r="C964" s="489"/>
      <c r="D964" s="489"/>
      <c r="E964" s="489"/>
      <c r="F964" s="489"/>
      <c r="G964" s="489"/>
      <c r="H964" s="489"/>
      <c r="I964" s="489"/>
      <c r="J964" s="489"/>
      <c r="K964" s="489"/>
      <c r="L964" s="489"/>
      <c r="M964" s="489"/>
      <c r="N964" s="489"/>
      <c r="O964" s="489"/>
      <c r="P964" s="489"/>
      <c r="Q964" s="489"/>
      <c r="R964" s="489"/>
      <c r="S964" s="489"/>
      <c r="T964" s="489"/>
      <c r="U964" s="489"/>
      <c r="V964" s="489"/>
    </row>
    <row r="965" spans="1:22">
      <c r="A965" s="489"/>
      <c r="B965" s="489"/>
      <c r="C965" s="489"/>
      <c r="D965" s="489"/>
      <c r="E965" s="489"/>
      <c r="F965" s="489"/>
      <c r="G965" s="489"/>
      <c r="H965" s="489"/>
      <c r="I965" s="489"/>
      <c r="J965" s="489"/>
      <c r="K965" s="489"/>
      <c r="L965" s="489"/>
      <c r="M965" s="489"/>
      <c r="N965" s="489"/>
      <c r="O965" s="489"/>
      <c r="P965" s="489"/>
      <c r="Q965" s="489"/>
      <c r="R965" s="489"/>
      <c r="S965" s="489"/>
      <c r="T965" s="489"/>
      <c r="U965" s="489"/>
      <c r="V965" s="489"/>
    </row>
    <row r="966" spans="1:22">
      <c r="A966" s="489"/>
      <c r="B966" s="489"/>
      <c r="C966" s="489"/>
      <c r="D966" s="489"/>
      <c r="E966" s="489"/>
      <c r="F966" s="489"/>
      <c r="G966" s="489"/>
      <c r="H966" s="489"/>
      <c r="I966" s="489"/>
      <c r="J966" s="489"/>
      <c r="K966" s="489"/>
      <c r="L966" s="489"/>
      <c r="M966" s="489"/>
      <c r="N966" s="489"/>
      <c r="O966" s="489"/>
      <c r="P966" s="489"/>
      <c r="Q966" s="489"/>
      <c r="R966" s="489"/>
      <c r="S966" s="489"/>
      <c r="T966" s="489"/>
      <c r="U966" s="489"/>
      <c r="V966" s="489"/>
    </row>
    <row r="967" spans="1:22">
      <c r="A967" s="489"/>
      <c r="B967" s="489"/>
      <c r="C967" s="489"/>
      <c r="D967" s="489"/>
      <c r="E967" s="489"/>
      <c r="F967" s="489"/>
      <c r="G967" s="489"/>
      <c r="H967" s="489"/>
      <c r="I967" s="489"/>
      <c r="J967" s="489"/>
      <c r="K967" s="489"/>
      <c r="L967" s="489"/>
      <c r="M967" s="489"/>
      <c r="N967" s="489"/>
      <c r="O967" s="489"/>
      <c r="P967" s="489"/>
      <c r="Q967" s="489"/>
      <c r="R967" s="489"/>
      <c r="S967" s="489"/>
      <c r="T967" s="489"/>
      <c r="U967" s="489"/>
      <c r="V967" s="489"/>
    </row>
    <row r="968" spans="1:22">
      <c r="A968" s="489"/>
      <c r="B968" s="489"/>
      <c r="C968" s="489"/>
      <c r="D968" s="489"/>
      <c r="E968" s="489"/>
      <c r="F968" s="489"/>
      <c r="G968" s="489"/>
      <c r="H968" s="489"/>
      <c r="I968" s="489"/>
      <c r="J968" s="489"/>
      <c r="K968" s="489"/>
      <c r="L968" s="489"/>
      <c r="M968" s="489"/>
      <c r="N968" s="489"/>
      <c r="O968" s="489"/>
      <c r="P968" s="489"/>
      <c r="Q968" s="489"/>
      <c r="R968" s="489"/>
      <c r="S968" s="489"/>
      <c r="T968" s="489"/>
      <c r="U968" s="489"/>
      <c r="V968" s="489"/>
    </row>
    <row r="969" spans="1:22">
      <c r="A969" s="489"/>
      <c r="B969" s="489"/>
      <c r="C969" s="489"/>
      <c r="D969" s="489"/>
      <c r="E969" s="489"/>
      <c r="F969" s="489"/>
      <c r="G969" s="489"/>
      <c r="H969" s="489"/>
      <c r="I969" s="489"/>
      <c r="J969" s="489"/>
      <c r="K969" s="489"/>
      <c r="L969" s="489"/>
      <c r="M969" s="489"/>
      <c r="N969" s="489"/>
      <c r="O969" s="489"/>
      <c r="P969" s="489"/>
      <c r="Q969" s="489"/>
      <c r="R969" s="489"/>
      <c r="S969" s="489"/>
      <c r="T969" s="489"/>
      <c r="U969" s="489"/>
      <c r="V969" s="489"/>
    </row>
    <row r="970" spans="1:22" ht="15" customHeight="1">
      <c r="A970" s="489"/>
      <c r="B970" s="489"/>
      <c r="C970" s="489"/>
      <c r="D970" s="489"/>
      <c r="E970" s="489"/>
      <c r="F970" s="489"/>
      <c r="G970" s="489"/>
      <c r="H970" s="489"/>
      <c r="I970" s="489"/>
      <c r="J970" s="489"/>
      <c r="K970" s="489"/>
      <c r="L970" s="489"/>
      <c r="M970" s="489"/>
      <c r="N970" s="489"/>
      <c r="O970" s="489"/>
      <c r="P970" s="489"/>
      <c r="Q970" s="489"/>
      <c r="R970" s="489"/>
      <c r="S970" s="489"/>
      <c r="T970" s="489"/>
      <c r="U970" s="489"/>
      <c r="V970" s="489"/>
    </row>
    <row r="971" spans="1:22" ht="15" customHeight="1">
      <c r="A971" s="489"/>
      <c r="B971" s="489"/>
      <c r="C971" s="489"/>
      <c r="D971" s="489"/>
      <c r="E971" s="489"/>
      <c r="F971" s="489"/>
      <c r="G971" s="489"/>
      <c r="H971" s="489"/>
      <c r="I971" s="489"/>
      <c r="J971" s="489"/>
      <c r="K971" s="489"/>
      <c r="L971" s="489"/>
      <c r="M971" s="489"/>
      <c r="N971" s="489"/>
      <c r="O971" s="489"/>
      <c r="P971" s="489"/>
      <c r="Q971" s="489"/>
      <c r="R971" s="489"/>
      <c r="S971" s="489"/>
      <c r="T971" s="489"/>
      <c r="U971" s="489"/>
      <c r="V971" s="489"/>
    </row>
    <row r="972" spans="1:22" ht="15" customHeight="1">
      <c r="A972" s="489"/>
      <c r="B972" s="489"/>
      <c r="C972" s="489"/>
      <c r="D972" s="489"/>
      <c r="E972" s="489"/>
      <c r="F972" s="489"/>
      <c r="G972" s="489"/>
      <c r="H972" s="489"/>
      <c r="I972" s="489"/>
      <c r="J972" s="489"/>
      <c r="K972" s="489"/>
      <c r="L972" s="489"/>
      <c r="M972" s="489"/>
      <c r="N972" s="489"/>
      <c r="O972" s="489"/>
      <c r="P972" s="489"/>
      <c r="Q972" s="489"/>
      <c r="R972" s="489"/>
      <c r="S972" s="489"/>
      <c r="T972" s="489"/>
      <c r="U972" s="489"/>
      <c r="V972" s="489"/>
    </row>
    <row r="973" spans="1:22" ht="15" customHeight="1">
      <c r="A973" s="489"/>
      <c r="B973" s="489"/>
      <c r="C973" s="489"/>
      <c r="D973" s="489"/>
      <c r="E973" s="489"/>
      <c r="F973" s="489"/>
      <c r="G973" s="489"/>
      <c r="H973" s="489"/>
      <c r="I973" s="489"/>
      <c r="J973" s="489"/>
      <c r="K973" s="489"/>
      <c r="L973" s="489"/>
      <c r="M973" s="489"/>
      <c r="N973" s="489"/>
      <c r="O973" s="489"/>
      <c r="P973" s="489"/>
      <c r="Q973" s="489"/>
      <c r="R973" s="489"/>
      <c r="S973" s="489"/>
      <c r="T973" s="489"/>
      <c r="U973" s="489"/>
      <c r="V973" s="489"/>
    </row>
    <row r="974" spans="1:22" ht="15" customHeight="1">
      <c r="A974" s="489"/>
      <c r="B974" s="489"/>
      <c r="C974" s="489"/>
      <c r="D974" s="489"/>
      <c r="E974" s="489"/>
      <c r="F974" s="489"/>
      <c r="G974" s="489"/>
      <c r="H974" s="489"/>
      <c r="I974" s="489"/>
      <c r="J974" s="489"/>
      <c r="K974" s="489"/>
      <c r="L974" s="489"/>
      <c r="M974" s="489"/>
      <c r="N974" s="489"/>
      <c r="O974" s="489"/>
      <c r="P974" s="489"/>
      <c r="Q974" s="489"/>
      <c r="R974" s="489"/>
      <c r="S974" s="489"/>
      <c r="T974" s="489"/>
      <c r="U974" s="489"/>
      <c r="V974" s="489"/>
    </row>
    <row r="975" spans="1:22" ht="15" customHeight="1">
      <c r="A975" s="489"/>
      <c r="B975" s="489"/>
      <c r="C975" s="489"/>
      <c r="D975" s="489"/>
      <c r="E975" s="489"/>
      <c r="F975" s="489"/>
      <c r="G975" s="489"/>
      <c r="H975" s="489"/>
      <c r="I975" s="489"/>
      <c r="J975" s="489"/>
      <c r="K975" s="489"/>
      <c r="L975" s="489"/>
      <c r="M975" s="489"/>
      <c r="N975" s="489"/>
      <c r="O975" s="489"/>
      <c r="P975" s="489"/>
      <c r="Q975" s="489"/>
      <c r="R975" s="489"/>
      <c r="S975" s="489"/>
      <c r="T975" s="489"/>
      <c r="U975" s="489"/>
      <c r="V975" s="489"/>
    </row>
    <row r="976" spans="1:22" ht="15" customHeight="1">
      <c r="A976" s="489"/>
      <c r="B976" s="489"/>
      <c r="C976" s="489"/>
      <c r="D976" s="489"/>
      <c r="E976" s="489"/>
      <c r="F976" s="489"/>
      <c r="G976" s="489"/>
      <c r="H976" s="489"/>
      <c r="I976" s="489"/>
      <c r="J976" s="489"/>
      <c r="K976" s="489"/>
      <c r="L976" s="489"/>
      <c r="M976" s="489"/>
      <c r="N976" s="489"/>
      <c r="O976" s="489"/>
      <c r="P976" s="489"/>
      <c r="Q976" s="489"/>
      <c r="R976" s="489"/>
      <c r="S976" s="489"/>
      <c r="T976" s="489"/>
      <c r="U976" s="489"/>
      <c r="V976" s="489"/>
    </row>
    <row r="977" spans="1:22" ht="15" customHeight="1">
      <c r="A977" s="489"/>
      <c r="B977" s="489"/>
      <c r="C977" s="489"/>
      <c r="D977" s="489"/>
      <c r="E977" s="489"/>
      <c r="F977" s="489"/>
      <c r="G977" s="489"/>
      <c r="H977" s="489"/>
      <c r="I977" s="489"/>
      <c r="J977" s="489"/>
      <c r="K977" s="489"/>
      <c r="L977" s="489"/>
      <c r="M977" s="489"/>
      <c r="N977" s="489"/>
      <c r="O977" s="489"/>
      <c r="P977" s="489"/>
      <c r="Q977" s="489"/>
      <c r="R977" s="489"/>
      <c r="S977" s="489"/>
      <c r="T977" s="489"/>
      <c r="U977" s="489"/>
      <c r="V977" s="489"/>
    </row>
    <row r="978" spans="1:22" ht="15" customHeight="1">
      <c r="A978" s="489"/>
      <c r="B978" s="489"/>
      <c r="C978" s="489"/>
      <c r="D978" s="489"/>
      <c r="E978" s="489"/>
      <c r="F978" s="489"/>
      <c r="G978" s="489"/>
      <c r="H978" s="489"/>
      <c r="I978" s="489"/>
      <c r="J978" s="489"/>
      <c r="K978" s="489"/>
      <c r="L978" s="489"/>
      <c r="M978" s="489"/>
      <c r="N978" s="489"/>
      <c r="O978" s="489"/>
      <c r="P978" s="489"/>
      <c r="Q978" s="489"/>
      <c r="R978" s="489"/>
      <c r="S978" s="489"/>
      <c r="T978" s="489"/>
      <c r="U978" s="489"/>
      <c r="V978" s="489"/>
    </row>
    <row r="979" spans="1:22" ht="15" customHeight="1">
      <c r="A979" s="489"/>
      <c r="B979" s="489"/>
      <c r="C979" s="489"/>
      <c r="D979" s="489"/>
      <c r="E979" s="489"/>
      <c r="F979" s="489"/>
      <c r="G979" s="489"/>
      <c r="H979" s="489"/>
      <c r="I979" s="489"/>
      <c r="J979" s="489"/>
      <c r="K979" s="489"/>
      <c r="L979" s="489"/>
      <c r="M979" s="489"/>
      <c r="N979" s="489"/>
      <c r="O979" s="489"/>
      <c r="P979" s="489"/>
      <c r="Q979" s="489"/>
      <c r="R979" s="489"/>
      <c r="S979" s="489"/>
      <c r="T979" s="489"/>
      <c r="U979" s="489"/>
      <c r="V979" s="489"/>
    </row>
    <row r="980" spans="1:22" ht="15" customHeight="1">
      <c r="A980" s="489"/>
      <c r="B980" s="489"/>
      <c r="C980" s="489"/>
      <c r="D980" s="489"/>
      <c r="E980" s="489"/>
      <c r="F980" s="489"/>
      <c r="G980" s="489"/>
      <c r="H980" s="489"/>
      <c r="I980" s="489"/>
      <c r="J980" s="489"/>
      <c r="K980" s="489"/>
      <c r="L980" s="489"/>
      <c r="M980" s="489"/>
      <c r="N980" s="489"/>
      <c r="O980" s="489"/>
      <c r="P980" s="489"/>
      <c r="Q980" s="489"/>
      <c r="R980" s="489"/>
      <c r="S980" s="489"/>
      <c r="T980" s="489"/>
      <c r="U980" s="489"/>
      <c r="V980" s="489"/>
    </row>
    <row r="981" spans="1:22" ht="15" customHeight="1">
      <c r="A981" s="489"/>
      <c r="B981" s="489"/>
      <c r="C981" s="489"/>
      <c r="D981" s="489"/>
      <c r="E981" s="489"/>
      <c r="F981" s="489"/>
      <c r="G981" s="489"/>
      <c r="H981" s="489"/>
      <c r="I981" s="489"/>
      <c r="J981" s="489"/>
      <c r="K981" s="489"/>
      <c r="L981" s="489"/>
      <c r="M981" s="489"/>
      <c r="N981" s="489"/>
      <c r="O981" s="489"/>
      <c r="P981" s="489"/>
      <c r="Q981" s="489"/>
      <c r="R981" s="489"/>
      <c r="S981" s="489"/>
      <c r="T981" s="489"/>
      <c r="U981" s="489"/>
      <c r="V981" s="489"/>
    </row>
    <row r="982" spans="1:22" ht="15" customHeight="1">
      <c r="A982" s="489"/>
      <c r="B982" s="489"/>
      <c r="C982" s="489"/>
      <c r="D982" s="489"/>
      <c r="E982" s="489"/>
      <c r="F982" s="489"/>
      <c r="G982" s="489"/>
      <c r="H982" s="489"/>
      <c r="I982" s="489"/>
      <c r="J982" s="489"/>
      <c r="K982" s="489"/>
      <c r="L982" s="489"/>
      <c r="M982" s="489"/>
      <c r="N982" s="489"/>
      <c r="O982" s="489"/>
      <c r="P982" s="489"/>
      <c r="Q982" s="489"/>
      <c r="R982" s="489"/>
      <c r="S982" s="489"/>
      <c r="T982" s="489"/>
      <c r="U982" s="489"/>
      <c r="V982" s="489"/>
    </row>
    <row r="983" spans="1:22" ht="15" customHeight="1">
      <c r="A983" s="489"/>
      <c r="B983" s="489"/>
      <c r="C983" s="489"/>
      <c r="D983" s="489"/>
      <c r="E983" s="489"/>
      <c r="F983" s="489"/>
      <c r="G983" s="489"/>
      <c r="H983" s="489"/>
      <c r="I983" s="489"/>
      <c r="J983" s="489"/>
      <c r="K983" s="489"/>
      <c r="L983" s="489"/>
      <c r="M983" s="489"/>
      <c r="N983" s="489"/>
      <c r="O983" s="489"/>
      <c r="P983" s="489"/>
      <c r="Q983" s="489"/>
      <c r="R983" s="489"/>
      <c r="S983" s="489"/>
      <c r="T983" s="489"/>
      <c r="U983" s="489"/>
      <c r="V983" s="489"/>
    </row>
    <row r="984" spans="1:22" ht="15" customHeight="1">
      <c r="A984" s="489"/>
      <c r="B984" s="489"/>
      <c r="C984" s="489"/>
      <c r="D984" s="489"/>
      <c r="E984" s="489"/>
      <c r="F984" s="489"/>
      <c r="G984" s="489"/>
      <c r="H984" s="489"/>
      <c r="I984" s="489"/>
      <c r="J984" s="489"/>
      <c r="K984" s="489"/>
      <c r="L984" s="489"/>
      <c r="M984" s="489"/>
      <c r="N984" s="489"/>
      <c r="O984" s="489"/>
      <c r="P984" s="489"/>
      <c r="Q984" s="489"/>
      <c r="R984" s="489"/>
      <c r="S984" s="489"/>
      <c r="T984" s="489"/>
      <c r="U984" s="489"/>
      <c r="V984" s="489"/>
    </row>
    <row r="985" spans="1:22" ht="15" customHeight="1">
      <c r="A985" s="489"/>
      <c r="B985" s="489"/>
      <c r="C985" s="489"/>
      <c r="D985" s="489"/>
      <c r="E985" s="489"/>
      <c r="F985" s="489"/>
      <c r="G985" s="489"/>
      <c r="H985" s="489"/>
      <c r="I985" s="489"/>
      <c r="J985" s="489"/>
      <c r="K985" s="489"/>
      <c r="L985" s="489"/>
      <c r="M985" s="489"/>
      <c r="N985" s="489"/>
      <c r="O985" s="489"/>
      <c r="P985" s="489"/>
      <c r="Q985" s="489"/>
      <c r="R985" s="489"/>
      <c r="S985" s="489"/>
      <c r="T985" s="489"/>
      <c r="U985" s="489"/>
      <c r="V985" s="489"/>
    </row>
    <row r="986" spans="1:22" ht="15" customHeight="1">
      <c r="A986" s="489"/>
      <c r="B986" s="489"/>
      <c r="C986" s="489"/>
      <c r="D986" s="489"/>
      <c r="E986" s="489"/>
      <c r="F986" s="489"/>
      <c r="G986" s="489"/>
      <c r="H986" s="489"/>
      <c r="I986" s="489"/>
      <c r="J986" s="489"/>
      <c r="K986" s="489"/>
      <c r="L986" s="489"/>
      <c r="M986" s="489"/>
      <c r="N986" s="489"/>
      <c r="O986" s="489"/>
      <c r="P986" s="489"/>
      <c r="Q986" s="489"/>
      <c r="R986" s="489"/>
      <c r="S986" s="489"/>
      <c r="T986" s="489"/>
      <c r="U986" s="489"/>
      <c r="V986" s="489"/>
    </row>
    <row r="987" spans="1:22" ht="15" customHeight="1">
      <c r="A987" s="489"/>
      <c r="B987" s="489"/>
      <c r="C987" s="489"/>
      <c r="D987" s="489"/>
      <c r="E987" s="489"/>
      <c r="F987" s="489"/>
      <c r="G987" s="489"/>
      <c r="H987" s="489"/>
      <c r="I987" s="489"/>
      <c r="J987" s="489"/>
      <c r="K987" s="489"/>
      <c r="L987" s="489"/>
      <c r="M987" s="489"/>
      <c r="N987" s="489"/>
      <c r="O987" s="489"/>
      <c r="P987" s="489"/>
      <c r="Q987" s="489"/>
      <c r="R987" s="489"/>
      <c r="S987" s="489"/>
      <c r="T987" s="489"/>
      <c r="U987" s="489"/>
      <c r="V987" s="489"/>
    </row>
    <row r="988" spans="1:22" ht="15" customHeight="1">
      <c r="A988" s="489"/>
      <c r="B988" s="489"/>
      <c r="C988" s="489"/>
      <c r="D988" s="489"/>
      <c r="E988" s="489"/>
      <c r="F988" s="489"/>
      <c r="G988" s="489"/>
      <c r="H988" s="489"/>
      <c r="I988" s="489"/>
      <c r="J988" s="489"/>
      <c r="K988" s="489"/>
      <c r="L988" s="489"/>
      <c r="M988" s="489"/>
      <c r="N988" s="489"/>
      <c r="O988" s="489"/>
      <c r="P988" s="489"/>
      <c r="Q988" s="489"/>
      <c r="R988" s="489"/>
      <c r="S988" s="489"/>
      <c r="T988" s="489"/>
      <c r="U988" s="489"/>
      <c r="V988" s="489"/>
    </row>
    <row r="989" spans="1:22" ht="15" customHeight="1">
      <c r="A989" s="489"/>
      <c r="H989" s="489"/>
      <c r="I989" s="489"/>
      <c r="J989" s="489"/>
      <c r="K989" s="489"/>
      <c r="L989" s="489"/>
      <c r="M989" s="489"/>
      <c r="N989" s="489"/>
      <c r="O989" s="489"/>
      <c r="P989" s="489"/>
      <c r="Q989" s="489"/>
      <c r="R989" s="489"/>
      <c r="S989" s="489"/>
      <c r="T989" s="489"/>
      <c r="U989" s="489"/>
      <c r="V989" s="489"/>
    </row>
    <row r="990" spans="1:22" ht="15" customHeight="1">
      <c r="A990" s="489"/>
      <c r="H990" s="489"/>
      <c r="I990" s="487"/>
      <c r="J990" s="487"/>
      <c r="K990" s="487"/>
      <c r="L990" s="487"/>
      <c r="M990" s="489"/>
      <c r="N990" s="489"/>
      <c r="O990" s="489"/>
      <c r="P990" s="489"/>
      <c r="Q990" s="489"/>
      <c r="R990" s="489"/>
      <c r="S990" s="489"/>
      <c r="T990" s="489"/>
      <c r="U990" s="489"/>
      <c r="V990" s="489"/>
    </row>
    <row r="991" spans="1:22" ht="15" customHeight="1">
      <c r="A991" s="489"/>
      <c r="H991" s="489"/>
      <c r="I991" s="487"/>
      <c r="J991" s="487"/>
      <c r="K991" s="487"/>
      <c r="L991" s="487"/>
      <c r="M991" s="489"/>
      <c r="N991" s="489"/>
      <c r="O991" s="489"/>
      <c r="P991" s="489"/>
      <c r="Q991" s="489"/>
      <c r="R991" s="489"/>
      <c r="S991" s="489"/>
      <c r="T991" s="489"/>
      <c r="U991" s="489"/>
      <c r="V991" s="489"/>
    </row>
    <row r="992" spans="1:22" ht="15" customHeight="1">
      <c r="A992" s="489"/>
      <c r="H992" s="489"/>
      <c r="I992" s="487"/>
      <c r="J992" s="487"/>
      <c r="K992" s="487"/>
      <c r="L992" s="487"/>
      <c r="M992" s="489"/>
      <c r="N992" s="489"/>
      <c r="O992" s="489"/>
      <c r="P992" s="489"/>
      <c r="Q992" s="489"/>
      <c r="R992" s="489"/>
      <c r="S992" s="489"/>
      <c r="T992" s="489"/>
      <c r="U992" s="489"/>
      <c r="V992" s="489"/>
    </row>
    <row r="993" spans="1:22" ht="15" customHeight="1">
      <c r="A993" s="489"/>
      <c r="H993" s="489"/>
      <c r="I993" s="487"/>
      <c r="J993" s="487"/>
      <c r="K993" s="487"/>
      <c r="L993" s="487"/>
      <c r="M993" s="489"/>
      <c r="N993" s="489"/>
      <c r="O993" s="489"/>
      <c r="P993" s="489"/>
      <c r="Q993" s="489"/>
      <c r="R993" s="489"/>
      <c r="S993" s="489"/>
      <c r="T993" s="489"/>
      <c r="U993" s="489"/>
      <c r="V993" s="489"/>
    </row>
    <row r="994" spans="1:22" ht="15" customHeight="1">
      <c r="A994" s="489"/>
      <c r="H994" s="489"/>
      <c r="I994" s="487"/>
      <c r="J994" s="487"/>
      <c r="K994" s="487"/>
      <c r="L994" s="487"/>
      <c r="M994" s="489"/>
      <c r="N994" s="489"/>
      <c r="O994" s="489"/>
      <c r="P994" s="489"/>
      <c r="Q994" s="489"/>
      <c r="R994" s="489"/>
      <c r="S994" s="489"/>
      <c r="T994" s="489"/>
      <c r="U994" s="489"/>
      <c r="V994" s="489"/>
    </row>
    <row r="995" spans="1:22" ht="15" customHeight="1">
      <c r="A995" s="489"/>
      <c r="H995" s="489"/>
      <c r="I995" s="487"/>
      <c r="J995" s="487"/>
      <c r="K995" s="487"/>
      <c r="L995" s="487"/>
      <c r="M995" s="489"/>
      <c r="N995" s="489"/>
      <c r="O995" s="489"/>
      <c r="P995" s="489"/>
      <c r="Q995" s="489"/>
      <c r="R995" s="489"/>
      <c r="S995" s="489"/>
      <c r="T995" s="489"/>
      <c r="U995" s="489"/>
      <c r="V995" s="489"/>
    </row>
    <row r="996" spans="1:22" ht="15" customHeight="1">
      <c r="A996" s="489"/>
      <c r="H996" s="489"/>
      <c r="I996" s="487"/>
      <c r="J996" s="487"/>
      <c r="K996" s="487"/>
      <c r="L996" s="487"/>
      <c r="M996" s="489"/>
      <c r="N996" s="489"/>
      <c r="O996" s="489"/>
      <c r="P996" s="489"/>
      <c r="Q996" s="489"/>
      <c r="R996" s="489"/>
      <c r="S996" s="489"/>
      <c r="T996" s="489"/>
      <c r="U996" s="489"/>
      <c r="V996" s="489"/>
    </row>
    <row r="997" spans="1:22" ht="15" customHeight="1">
      <c r="A997" s="489"/>
      <c r="H997" s="489"/>
      <c r="I997" s="487"/>
      <c r="J997" s="487"/>
      <c r="K997" s="487"/>
      <c r="L997" s="487"/>
      <c r="M997" s="489"/>
      <c r="N997" s="489"/>
      <c r="O997" s="489"/>
      <c r="P997" s="489"/>
      <c r="Q997" s="489"/>
      <c r="R997" s="489"/>
      <c r="S997" s="489"/>
      <c r="T997" s="489"/>
      <c r="U997" s="489"/>
      <c r="V997" s="489"/>
    </row>
    <row r="998" spans="1:22" ht="15" customHeight="1">
      <c r="A998" s="489"/>
      <c r="H998" s="489"/>
      <c r="I998" s="487"/>
      <c r="J998" s="487"/>
      <c r="K998" s="487"/>
      <c r="L998" s="487"/>
      <c r="M998" s="489"/>
      <c r="N998" s="489"/>
      <c r="O998" s="489"/>
      <c r="P998" s="489"/>
      <c r="Q998" s="489"/>
      <c r="R998" s="489"/>
      <c r="S998" s="489"/>
      <c r="T998" s="489"/>
      <c r="U998" s="489"/>
      <c r="V998" s="489"/>
    </row>
    <row r="999" spans="1:22" ht="15" customHeight="1">
      <c r="A999" s="489"/>
      <c r="H999" s="489"/>
      <c r="I999" s="487"/>
      <c r="J999" s="487"/>
      <c r="K999" s="487"/>
      <c r="L999" s="487"/>
      <c r="M999" s="489"/>
      <c r="N999" s="489"/>
      <c r="O999" s="489"/>
      <c r="P999" s="489"/>
      <c r="Q999" s="489"/>
      <c r="R999" s="489"/>
      <c r="S999" s="489"/>
      <c r="T999" s="489"/>
      <c r="U999" s="489"/>
      <c r="V999" s="489"/>
    </row>
    <row r="1000" spans="1:22" ht="15" customHeight="1">
      <c r="A1000" s="489"/>
      <c r="H1000" s="489"/>
      <c r="I1000" s="487"/>
      <c r="J1000" s="487"/>
      <c r="K1000" s="487"/>
      <c r="L1000" s="487"/>
      <c r="M1000" s="489"/>
      <c r="N1000" s="489"/>
      <c r="O1000" s="489"/>
      <c r="P1000" s="489"/>
      <c r="Q1000" s="489"/>
      <c r="R1000" s="489"/>
      <c r="S1000" s="489"/>
      <c r="T1000" s="489"/>
      <c r="U1000" s="489"/>
      <c r="V1000" s="489"/>
    </row>
  </sheetData>
  <mergeCells count="10">
    <mergeCell ref="I17:T17"/>
    <mergeCell ref="U17:AF17"/>
    <mergeCell ref="AG17:AR17"/>
    <mergeCell ref="B22:C22"/>
    <mergeCell ref="B20:C20"/>
    <mergeCell ref="E3:F3"/>
    <mergeCell ref="B3:C3"/>
    <mergeCell ref="B12:C12"/>
    <mergeCell ref="B1:F2"/>
    <mergeCell ref="B17:H17"/>
  </mergeCells>
  <pageMargins left="0.511811024" right="0.511811024" top="0.78740157499999996" bottom="0.78740157499999996"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092A7-940A-4913-BDA5-6FD23FB24188}">
  <sheetPr>
    <tabColor rgb="FFFF0000"/>
    <outlinePr summaryBelow="0" summaryRight="0"/>
  </sheetPr>
  <dimension ref="A1:AR989"/>
  <sheetViews>
    <sheetView showGridLines="0" workbookViewId="0">
      <selection activeCell="K15" sqref="K15"/>
    </sheetView>
  </sheetViews>
  <sheetFormatPr defaultColWidth="14.42578125" defaultRowHeight="15" customHeight="1"/>
  <cols>
    <col min="1" max="1" width="2.85546875" customWidth="1"/>
    <col min="2" max="2" width="30.5703125" customWidth="1"/>
    <col min="3" max="3" width="19.7109375" customWidth="1"/>
    <col min="4" max="4" width="12.28515625" bestFit="1" customWidth="1"/>
    <col min="5" max="6" width="12.140625" bestFit="1" customWidth="1"/>
    <col min="7" max="7" width="13.85546875" bestFit="1" customWidth="1"/>
    <col min="8" max="8" width="12.140625" bestFit="1" customWidth="1"/>
    <col min="9" max="9" width="15" bestFit="1" customWidth="1"/>
    <col min="10" max="10" width="12.140625" bestFit="1" customWidth="1"/>
    <col min="11" max="18" width="13.28515625" bestFit="1" customWidth="1"/>
    <col min="19" max="44" width="14.28515625" bestFit="1" customWidth="1"/>
  </cols>
  <sheetData>
    <row r="1" spans="1:44" ht="39" customHeight="1">
      <c r="A1" s="489"/>
      <c r="B1" s="682" t="s">
        <v>2429</v>
      </c>
      <c r="C1" s="682"/>
      <c r="D1" s="682"/>
      <c r="E1" s="512"/>
      <c r="F1" s="512"/>
      <c r="G1" s="512"/>
      <c r="H1" s="512"/>
      <c r="I1" s="489"/>
      <c r="L1" s="489"/>
      <c r="M1" s="489"/>
      <c r="N1" s="489"/>
      <c r="O1" s="489"/>
      <c r="P1" s="489"/>
      <c r="Q1" s="489"/>
      <c r="R1" s="489"/>
      <c r="S1" s="489"/>
      <c r="T1" s="489"/>
      <c r="U1" s="489"/>
      <c r="V1" s="489"/>
      <c r="W1" s="534"/>
      <c r="X1" s="535"/>
      <c r="Y1" s="536"/>
      <c r="Z1" s="537"/>
      <c r="AA1" s="465"/>
      <c r="AB1" s="465"/>
    </row>
    <row r="2" spans="1:44" ht="15.75" customHeight="1" thickBot="1">
      <c r="A2" s="489"/>
      <c r="B2" s="512"/>
      <c r="C2" s="512"/>
      <c r="D2" s="512"/>
      <c r="E2" s="512"/>
      <c r="F2" s="512"/>
      <c r="G2" s="512"/>
      <c r="H2" s="489"/>
      <c r="I2" s="489"/>
      <c r="L2" s="489"/>
      <c r="M2" s="489"/>
      <c r="N2" s="489"/>
      <c r="O2" s="489"/>
      <c r="P2" s="489"/>
      <c r="Q2" s="489"/>
      <c r="R2" s="489"/>
      <c r="S2" s="489"/>
      <c r="T2" s="489"/>
      <c r="U2" s="489"/>
      <c r="V2" s="489"/>
      <c r="W2" s="534"/>
      <c r="X2" s="465"/>
      <c r="Y2" s="465"/>
      <c r="Z2" s="465"/>
      <c r="AA2" s="465"/>
      <c r="AB2" s="465"/>
    </row>
    <row r="3" spans="1:44" ht="16.5" thickTop="1" thickBot="1">
      <c r="A3" s="489"/>
      <c r="B3" s="679" t="s">
        <v>2419</v>
      </c>
      <c r="C3" s="680"/>
      <c r="D3" s="681"/>
      <c r="E3" s="489"/>
      <c r="F3" s="489"/>
      <c r="G3" s="547" t="s">
        <v>2451</v>
      </c>
      <c r="H3" s="548" t="s">
        <v>2450</v>
      </c>
      <c r="I3" s="547" t="s">
        <v>45</v>
      </c>
      <c r="J3" s="549" t="s">
        <v>90</v>
      </c>
      <c r="K3" s="549" t="s">
        <v>2449</v>
      </c>
      <c r="L3" s="489"/>
      <c r="M3" s="489"/>
      <c r="N3" s="489"/>
      <c r="O3" s="489"/>
      <c r="P3" s="489"/>
      <c r="Q3" s="489"/>
      <c r="R3" s="489"/>
      <c r="S3" s="489"/>
      <c r="T3" s="489"/>
      <c r="U3" s="489"/>
      <c r="V3" s="489"/>
      <c r="W3" s="534"/>
      <c r="X3" s="465"/>
      <c r="Y3" s="465"/>
      <c r="Z3" s="465"/>
      <c r="AA3" s="465"/>
      <c r="AB3" s="465"/>
    </row>
    <row r="4" spans="1:44">
      <c r="A4" s="489"/>
      <c r="B4" s="683" t="s">
        <v>2426</v>
      </c>
      <c r="C4" s="684"/>
      <c r="D4" s="513">
        <v>0.05</v>
      </c>
      <c r="E4" s="489"/>
      <c r="F4" s="489"/>
      <c r="G4" s="543">
        <v>1197</v>
      </c>
      <c r="H4" s="507">
        <v>50</v>
      </c>
      <c r="I4" s="544">
        <f>SUM(G4*H4)</f>
        <v>59850</v>
      </c>
      <c r="J4" s="545">
        <f>I4*D4</f>
        <v>2992.5</v>
      </c>
      <c r="K4" s="551">
        <f>SUM(D8)</f>
        <v>3000</v>
      </c>
      <c r="L4" s="489"/>
      <c r="M4" s="489"/>
      <c r="N4" s="489"/>
      <c r="O4" s="489"/>
      <c r="P4" s="489"/>
      <c r="Q4" s="489"/>
      <c r="R4" s="489"/>
      <c r="S4" s="489"/>
      <c r="T4" s="489"/>
      <c r="U4" s="489"/>
      <c r="V4" s="489"/>
      <c r="W4" s="534"/>
      <c r="X4" s="538"/>
      <c r="Y4" s="465"/>
      <c r="Z4" s="538"/>
      <c r="AA4" s="465"/>
      <c r="AB4" s="465"/>
    </row>
    <row r="5" spans="1:44">
      <c r="A5" s="489"/>
      <c r="B5" s="685" t="s">
        <v>2427</v>
      </c>
      <c r="C5" s="686"/>
      <c r="D5" s="498">
        <v>2.5000000000000001E-2</v>
      </c>
      <c r="E5" s="496"/>
      <c r="F5" s="489"/>
      <c r="G5" s="489"/>
      <c r="H5" s="495"/>
      <c r="I5" s="489"/>
      <c r="L5" s="489"/>
      <c r="M5" s="489"/>
      <c r="N5" s="489"/>
      <c r="O5" s="489"/>
      <c r="P5" s="489"/>
      <c r="Q5" s="489"/>
      <c r="R5" s="489"/>
      <c r="S5" s="489"/>
      <c r="T5" s="489"/>
      <c r="U5" s="489"/>
      <c r="V5" s="489"/>
      <c r="W5" s="534"/>
      <c r="X5" s="538"/>
      <c r="Y5" s="465"/>
      <c r="Z5" s="538"/>
      <c r="AA5" s="465"/>
      <c r="AB5" s="465"/>
    </row>
    <row r="6" spans="1:44">
      <c r="A6" s="489"/>
      <c r="B6" s="685" t="s">
        <v>2428</v>
      </c>
      <c r="C6" s="686"/>
      <c r="D6" s="498">
        <v>0.01</v>
      </c>
      <c r="E6" s="489"/>
      <c r="F6" s="489"/>
      <c r="G6" s="489"/>
      <c r="H6" s="496"/>
      <c r="I6" s="489"/>
      <c r="L6" s="489"/>
      <c r="M6" s="489"/>
      <c r="N6" s="489"/>
      <c r="O6" s="489"/>
      <c r="P6" s="489"/>
      <c r="Q6" s="489"/>
      <c r="R6" s="489"/>
      <c r="S6" s="489"/>
      <c r="T6" s="489"/>
      <c r="U6" s="489"/>
      <c r="V6" s="489"/>
      <c r="W6" s="534"/>
      <c r="X6" s="538"/>
      <c r="Y6" s="465"/>
      <c r="Z6" s="538"/>
      <c r="AA6" s="465"/>
      <c r="AB6" s="465"/>
    </row>
    <row r="7" spans="1:44" ht="15" customHeight="1">
      <c r="A7" s="489"/>
      <c r="B7" s="489"/>
      <c r="C7" s="489"/>
      <c r="D7" s="493"/>
      <c r="E7" s="489"/>
      <c r="F7" s="489"/>
      <c r="G7" s="489"/>
      <c r="H7" s="496"/>
      <c r="I7" s="489"/>
      <c r="M7" s="489"/>
      <c r="N7" s="489"/>
      <c r="O7" s="489"/>
      <c r="P7" s="489"/>
      <c r="Q7" s="489"/>
      <c r="R7" s="489"/>
      <c r="S7" s="489"/>
      <c r="T7" s="489"/>
      <c r="U7" s="489"/>
      <c r="V7" s="489"/>
      <c r="W7" s="534"/>
      <c r="X7" s="465"/>
      <c r="Y7" s="465"/>
      <c r="Z7" s="465"/>
      <c r="AA7" s="465"/>
      <c r="AB7" s="465"/>
    </row>
    <row r="8" spans="1:44">
      <c r="A8" s="489"/>
      <c r="C8" s="504" t="s">
        <v>2425</v>
      </c>
      <c r="D8" s="505">
        <v>3000</v>
      </c>
      <c r="E8" s="489"/>
      <c r="F8" s="489"/>
      <c r="G8" s="489"/>
      <c r="H8" s="489"/>
      <c r="I8" s="496"/>
      <c r="N8" s="489"/>
      <c r="O8" s="489"/>
      <c r="P8" s="489"/>
      <c r="Q8" s="489"/>
      <c r="R8" s="489"/>
      <c r="S8" s="489"/>
      <c r="T8" s="489"/>
      <c r="U8" s="489"/>
      <c r="V8" s="489"/>
      <c r="W8" s="489"/>
      <c r="X8" s="92"/>
    </row>
    <row r="9" spans="1:44">
      <c r="A9" s="489"/>
      <c r="B9" s="489"/>
      <c r="C9" s="489"/>
      <c r="D9" s="489"/>
      <c r="E9" s="489"/>
      <c r="F9" s="489"/>
      <c r="G9" s="489"/>
      <c r="H9" s="489"/>
      <c r="I9" s="496"/>
      <c r="N9" s="489"/>
      <c r="O9" s="489"/>
      <c r="P9" s="489"/>
      <c r="Q9" s="489"/>
      <c r="R9" s="489"/>
      <c r="S9" s="489"/>
      <c r="T9" s="489"/>
      <c r="U9" s="489"/>
      <c r="V9" s="489"/>
      <c r="W9" s="489"/>
    </row>
    <row r="10" spans="1:44">
      <c r="A10" s="489"/>
      <c r="B10" s="489"/>
      <c r="C10" s="489"/>
      <c r="D10" s="489"/>
      <c r="E10" s="489"/>
      <c r="F10" s="489"/>
      <c r="G10" s="489"/>
      <c r="H10" s="489"/>
      <c r="I10" s="489"/>
      <c r="J10" s="489"/>
      <c r="K10" s="489"/>
      <c r="L10" s="489"/>
      <c r="M10" s="489"/>
      <c r="N10" s="489"/>
      <c r="O10" s="489"/>
      <c r="P10" s="489"/>
      <c r="Q10" s="489"/>
      <c r="R10" s="489"/>
      <c r="S10" s="489"/>
      <c r="T10" s="489"/>
      <c r="U10" s="489"/>
      <c r="V10" s="489"/>
      <c r="W10" s="489"/>
    </row>
    <row r="11" spans="1:44">
      <c r="A11" s="489"/>
      <c r="B11" s="489"/>
      <c r="C11" s="489"/>
      <c r="D11" s="489"/>
      <c r="E11" s="489"/>
      <c r="F11" s="489"/>
      <c r="G11" s="489"/>
      <c r="H11" s="489"/>
      <c r="I11" s="489"/>
      <c r="J11" s="489"/>
      <c r="K11" s="489"/>
      <c r="L11" s="489"/>
      <c r="M11" s="489"/>
      <c r="N11" s="489"/>
      <c r="O11" s="489"/>
      <c r="P11" s="489"/>
      <c r="Q11" s="489"/>
      <c r="R11" s="489"/>
      <c r="S11" s="489"/>
      <c r="T11" s="489"/>
      <c r="U11" s="489"/>
      <c r="V11" s="489"/>
      <c r="W11" s="489"/>
    </row>
    <row r="12" spans="1:44" ht="31.5">
      <c r="A12" s="489"/>
      <c r="B12" s="646" t="s">
        <v>29</v>
      </c>
      <c r="C12" s="647"/>
      <c r="D12" s="647"/>
      <c r="E12" s="647"/>
      <c r="F12" s="647"/>
      <c r="G12" s="647"/>
      <c r="H12" s="648"/>
      <c r="I12" s="644" t="s">
        <v>30</v>
      </c>
      <c r="J12" s="635"/>
      <c r="K12" s="635"/>
      <c r="L12" s="635"/>
      <c r="M12" s="635"/>
      <c r="N12" s="635"/>
      <c r="O12" s="635"/>
      <c r="P12" s="635"/>
      <c r="Q12" s="635"/>
      <c r="R12" s="635"/>
      <c r="S12" s="635"/>
      <c r="T12" s="636"/>
      <c r="U12" s="645" t="s">
        <v>31</v>
      </c>
      <c r="V12" s="635"/>
      <c r="W12" s="635"/>
      <c r="X12" s="635"/>
      <c r="Y12" s="635"/>
      <c r="Z12" s="635"/>
      <c r="AA12" s="635"/>
      <c r="AB12" s="635"/>
      <c r="AC12" s="635"/>
      <c r="AD12" s="635"/>
      <c r="AE12" s="635"/>
      <c r="AF12" s="636"/>
      <c r="AG12" s="634" t="s">
        <v>32</v>
      </c>
      <c r="AH12" s="635"/>
      <c r="AI12" s="635"/>
      <c r="AJ12" s="635"/>
      <c r="AK12" s="635"/>
      <c r="AL12" s="635"/>
      <c r="AM12" s="635"/>
      <c r="AN12" s="635"/>
      <c r="AO12" s="635"/>
      <c r="AP12" s="635"/>
      <c r="AQ12" s="635"/>
      <c r="AR12" s="636"/>
    </row>
    <row r="13" spans="1:44">
      <c r="A13" s="489"/>
      <c r="B13" s="43"/>
      <c r="C13" s="43"/>
      <c r="D13" s="459" t="s">
        <v>44</v>
      </c>
      <c r="E13" s="45" t="s">
        <v>33</v>
      </c>
      <c r="F13" s="45" t="s">
        <v>34</v>
      </c>
      <c r="G13" s="45" t="s">
        <v>35</v>
      </c>
      <c r="H13" s="47" t="s">
        <v>36</v>
      </c>
      <c r="I13" s="44" t="s">
        <v>37</v>
      </c>
      <c r="J13" s="45" t="s">
        <v>38</v>
      </c>
      <c r="K13" s="45" t="s">
        <v>39</v>
      </c>
      <c r="L13" s="45" t="s">
        <v>40</v>
      </c>
      <c r="M13" s="45" t="s">
        <v>41</v>
      </c>
      <c r="N13" s="45" t="s">
        <v>42</v>
      </c>
      <c r="O13" s="45" t="s">
        <v>43</v>
      </c>
      <c r="P13" s="45" t="s">
        <v>44</v>
      </c>
      <c r="Q13" s="45" t="s">
        <v>33</v>
      </c>
      <c r="R13" s="45" t="s">
        <v>34</v>
      </c>
      <c r="S13" s="45" t="s">
        <v>35</v>
      </c>
      <c r="T13" s="47" t="s">
        <v>36</v>
      </c>
      <c r="U13" s="44" t="s">
        <v>37</v>
      </c>
      <c r="V13" s="45" t="s">
        <v>38</v>
      </c>
      <c r="W13" s="45" t="s">
        <v>39</v>
      </c>
      <c r="X13" s="45" t="s">
        <v>40</v>
      </c>
      <c r="Y13" s="45" t="s">
        <v>41</v>
      </c>
      <c r="Z13" s="45" t="s">
        <v>42</v>
      </c>
      <c r="AA13" s="45" t="s">
        <v>43</v>
      </c>
      <c r="AB13" s="45" t="s">
        <v>44</v>
      </c>
      <c r="AC13" s="45" t="s">
        <v>33</v>
      </c>
      <c r="AD13" s="45" t="s">
        <v>34</v>
      </c>
      <c r="AE13" s="45" t="s">
        <v>35</v>
      </c>
      <c r="AF13" s="47" t="s">
        <v>36</v>
      </c>
      <c r="AG13" s="44" t="s">
        <v>37</v>
      </c>
      <c r="AH13" s="45" t="s">
        <v>38</v>
      </c>
      <c r="AI13" s="45" t="s">
        <v>39</v>
      </c>
      <c r="AJ13" s="45" t="s">
        <v>40</v>
      </c>
      <c r="AK13" s="45" t="s">
        <v>41</v>
      </c>
      <c r="AL13" s="45" t="s">
        <v>42</v>
      </c>
      <c r="AM13" s="45" t="s">
        <v>43</v>
      </c>
      <c r="AN13" s="45" t="s">
        <v>44</v>
      </c>
      <c r="AO13" s="45" t="s">
        <v>33</v>
      </c>
      <c r="AP13" s="45" t="s">
        <v>34</v>
      </c>
      <c r="AQ13" s="45" t="s">
        <v>35</v>
      </c>
      <c r="AR13" s="47" t="s">
        <v>36</v>
      </c>
    </row>
    <row r="14" spans="1:44" s="484" customFormat="1">
      <c r="A14" s="506"/>
      <c r="B14" s="506"/>
      <c r="C14" s="506"/>
      <c r="D14" s="506"/>
      <c r="E14" s="506"/>
      <c r="F14" s="506"/>
      <c r="G14" s="506"/>
      <c r="H14" s="506"/>
      <c r="I14" s="506"/>
      <c r="J14" s="506"/>
      <c r="K14" s="506"/>
      <c r="L14" s="506"/>
      <c r="M14" s="506"/>
      <c r="N14" s="506"/>
      <c r="O14" s="506"/>
      <c r="P14" s="506"/>
      <c r="Q14" s="506"/>
      <c r="R14" s="506"/>
      <c r="S14" s="506"/>
      <c r="T14" s="506"/>
      <c r="U14" s="506"/>
      <c r="V14" s="506"/>
      <c r="W14" s="506"/>
    </row>
    <row r="15" spans="1:44" s="542" customFormat="1" ht="12.75">
      <c r="A15" s="540"/>
      <c r="B15" s="540"/>
      <c r="C15" s="562" t="s">
        <v>2091</v>
      </c>
      <c r="D15" s="541">
        <v>3000</v>
      </c>
      <c r="E15" s="541">
        <v>3000</v>
      </c>
      <c r="F15" s="541">
        <v>3000</v>
      </c>
      <c r="G15" s="541">
        <v>3000</v>
      </c>
      <c r="H15" s="541">
        <v>3000</v>
      </c>
      <c r="I15" s="541">
        <f>SUM($J$4:$K$4)/$H$4*'2.0 - Total Revenue'!L12</f>
        <v>4625.0415368069998</v>
      </c>
      <c r="J15" s="541">
        <f>SUM($J$4:$K$4)/$H$4*'2.0 - Total Revenue'!M12</f>
        <v>6763.4402907027907</v>
      </c>
      <c r="K15" s="541">
        <f>SUM($J$4:$K$4)/$H$4*'2.0 - Total Revenue'!N12</f>
        <v>9676.6370819817057</v>
      </c>
      <c r="L15" s="541">
        <f>SUM($J$4:$K$4)/$H$4*'2.0 - Total Revenue'!O12</f>
        <v>13461.237969522255</v>
      </c>
      <c r="M15" s="541">
        <f>SUM($J$4:$K$4)/$H$4*'2.0 - Total Revenue'!P12</f>
        <v>18210.950830436588</v>
      </c>
      <c r="N15" s="541">
        <f>SUM($J$4:$K$4)/$H$4*'2.0 - Total Revenue'!Q12</f>
        <v>24016.672305523487</v>
      </c>
      <c r="O15" s="541">
        <f>SUM($J$4:$K$4)/$H$4*'2.0 - Total Revenue'!R12</f>
        <v>31086.422136357789</v>
      </c>
      <c r="P15" s="541">
        <f>SUM($J$4:$K$4)/$H$4*'2.0 - Total Revenue'!S12</f>
        <v>39502.129472267057</v>
      </c>
      <c r="Q15" s="541">
        <f>SUM($J$4:$K$4)/$H$4*'2.0 - Total Revenue'!T12</f>
        <v>49343.265588099035</v>
      </c>
      <c r="R15" s="541">
        <f>SUM($J$4:$K$4)/$H$4*'2.0 - Total Revenue'!U12</f>
        <v>60686.917620456064</v>
      </c>
      <c r="S15" s="541">
        <f>SUM($J$4:$K$4)/$H$4*'2.0 - Total Revenue'!V12</f>
        <v>73488.010091842385</v>
      </c>
      <c r="T15" s="541">
        <f>SUM($J$4:$K$4)/$H$4*'2.0 - Total Revenue'!W12</f>
        <v>86983.719789087118</v>
      </c>
      <c r="U15" s="541">
        <f>SUM($J$4:$K$4)/$H$4*'2.0 - Total Revenue'!X12</f>
        <v>100793.65819541451</v>
      </c>
      <c r="V15" s="541">
        <f>SUM($J$4:$K$4)/$H$4*'2.0 - Total Revenue'!Y12</f>
        <v>114548.84844955205</v>
      </c>
      <c r="W15" s="541">
        <f>SUM($J$4:$K$4)/$H$4*'2.0 - Total Revenue'!Z12</f>
        <v>127891.3829960655</v>
      </c>
      <c r="X15" s="541">
        <f>SUM($J$4:$K$4)/$H$4*'2.0 - Total Revenue'!AA12</f>
        <v>140833.64150618351</v>
      </c>
      <c r="Y15" s="541">
        <f>SUM($J$4:$K$4)/$H$4*'2.0 - Total Revenue'!AB12</f>
        <v>153387.63226099801</v>
      </c>
      <c r="Z15" s="541">
        <f>SUM($J$4:$K$4)/$H$4*'2.0 - Total Revenue'!AC12</f>
        <v>165565.00329316806</v>
      </c>
      <c r="AA15" s="541">
        <f>SUM($J$4:$K$4)/$H$4*'2.0 - Total Revenue'!AD12</f>
        <v>177377.053194373</v>
      </c>
      <c r="AB15" s="541">
        <f>SUM($J$4:$K$4)/$H$4*'2.0 - Total Revenue'!AE12</f>
        <v>188834.74159854182</v>
      </c>
      <c r="AC15" s="541">
        <f>SUM($J$4:$K$4)/$H$4*'2.0 - Total Revenue'!AF12</f>
        <v>199948.69935058558</v>
      </c>
      <c r="AD15" s="541">
        <f>SUM($J$4:$K$4)/$H$4*'2.0 - Total Revenue'!AG12</f>
        <v>210729.23837006799</v>
      </c>
      <c r="AE15" s="541">
        <f>SUM($J$4:$K$4)/$H$4*'2.0 - Total Revenue'!AH12</f>
        <v>221186.36121896596</v>
      </c>
      <c r="AF15" s="541">
        <f>SUM($J$4:$K$4)/$H$4*'2.0 - Total Revenue'!AI12</f>
        <v>231329.77038239699</v>
      </c>
      <c r="AG15" s="541">
        <f>SUM($J$4:$K$4)/$H$4*'2.0 - Total Revenue'!AJ12</f>
        <v>241168.87727092506</v>
      </c>
      <c r="AH15" s="541">
        <f>SUM($J$4:$K$4)/$H$4*'2.0 - Total Revenue'!AK12</f>
        <v>250712.81095279733</v>
      </c>
      <c r="AI15" s="541">
        <f>SUM($J$4:$K$4)/$H$4*'2.0 - Total Revenue'!AL12</f>
        <v>259970.4266242134</v>
      </c>
      <c r="AJ15" s="541">
        <f>SUM($J$4:$K$4)/$H$4*'2.0 - Total Revenue'!AM12</f>
        <v>268950.31382548704</v>
      </c>
      <c r="AK15" s="541">
        <f>SUM($J$4:$K$4)/$H$4*'2.0 - Total Revenue'!AN12</f>
        <v>277660.80441072246</v>
      </c>
      <c r="AL15" s="541">
        <f>SUM($J$4:$K$4)/$H$4*'2.0 - Total Revenue'!AO12</f>
        <v>286109.98027840076</v>
      </c>
      <c r="AM15" s="541">
        <f>SUM($J$4:$K$4)/$H$4*'2.0 - Total Revenue'!AP12</f>
        <v>294305.68087004876</v>
      </c>
      <c r="AN15" s="541">
        <f>SUM($J$4:$K$4)/$H$4*'2.0 - Total Revenue'!AQ12</f>
        <v>302255.51044394728</v>
      </c>
      <c r="AO15" s="541">
        <f>SUM($J$4:$K$4)/$H$4*'2.0 - Total Revenue'!AR12</f>
        <v>309966.84513062891</v>
      </c>
      <c r="AP15" s="541">
        <f>SUM($J$4:$K$4)/$H$4*'2.0 - Total Revenue'!AS12</f>
        <v>317446.83977671003</v>
      </c>
      <c r="AQ15" s="541">
        <f>SUM($J$4:$K$4)/$H$4*'2.0 - Total Revenue'!AT12</f>
        <v>324702.4345834087</v>
      </c>
      <c r="AR15" s="541">
        <f>SUM($J$4:$K$4)/$H$4*'2.0 - Total Revenue'!AU12</f>
        <v>331740.36154590652</v>
      </c>
    </row>
    <row r="16" spans="1:44" s="484" customFormat="1">
      <c r="A16" s="506"/>
      <c r="B16" s="506"/>
      <c r="C16" s="506"/>
      <c r="D16" s="506"/>
      <c r="E16" s="506"/>
      <c r="F16" s="506"/>
      <c r="G16" s="506"/>
      <c r="H16" s="506"/>
      <c r="I16" s="506"/>
      <c r="J16" s="506"/>
      <c r="K16" s="506"/>
      <c r="L16" s="506"/>
      <c r="M16" s="506"/>
      <c r="N16" s="506"/>
      <c r="O16" s="506"/>
      <c r="P16" s="506"/>
      <c r="Q16" s="506"/>
      <c r="R16" s="506"/>
      <c r="S16" s="506"/>
      <c r="T16" s="506"/>
      <c r="U16" s="506"/>
      <c r="V16" s="506"/>
      <c r="W16" s="506"/>
    </row>
    <row r="17" spans="1:44" s="560" customFormat="1">
      <c r="A17" s="504"/>
      <c r="B17" s="677" t="s">
        <v>2458</v>
      </c>
      <c r="C17" s="677"/>
      <c r="D17" s="561">
        <v>1</v>
      </c>
      <c r="E17" s="561">
        <v>1</v>
      </c>
      <c r="F17" s="561">
        <v>1</v>
      </c>
      <c r="G17" s="561">
        <v>1</v>
      </c>
      <c r="H17" s="561">
        <v>1</v>
      </c>
      <c r="I17" s="561">
        <f>1/$H$4*'2.0 - Total Revenue'!M12</f>
        <v>1.1286508620280002</v>
      </c>
      <c r="J17" s="561">
        <f>1/$H$4*'2.0 - Total Revenue'!N12</f>
        <v>1.6147913361671602</v>
      </c>
      <c r="K17" s="561">
        <f>1/$H$4*'2.0 - Total Revenue'!O12</f>
        <v>2.2463475960821451</v>
      </c>
      <c r="L17" s="561">
        <f>1/$H$4*'2.0 - Total Revenue'!P12</f>
        <v>3.0389571681996812</v>
      </c>
      <c r="M17" s="561">
        <f>1/$H$4*'2.0 - Total Revenue'!Q12</f>
        <v>4.0077884531536903</v>
      </c>
      <c r="N17" s="561">
        <f>1/$H$4*'2.0 - Total Revenue'!R12</f>
        <v>5.1875547995590807</v>
      </c>
      <c r="O17" s="561">
        <f>1/$H$4*'2.0 - Total Revenue'!S12</f>
        <v>6.5919281555723082</v>
      </c>
      <c r="P17" s="561">
        <f>1/$H$4*'2.0 - Total Revenue'!T12</f>
        <v>8.2341703109051387</v>
      </c>
      <c r="Q17" s="561">
        <f>1/$H$4*'2.0 - Total Revenue'!U12</f>
        <v>10.127145201577983</v>
      </c>
      <c r="R17" s="561">
        <f>1/$H$4*'2.0 - Total Revenue'!V12</f>
        <v>12.263330845530646</v>
      </c>
      <c r="S17" s="561">
        <f>1/$H$4*'2.0 - Total Revenue'!W12</f>
        <v>14.515430920164727</v>
      </c>
      <c r="T17" s="561">
        <f>1/$H$4*'2.0 - Total Revenue'!X12</f>
        <v>16.819967992559786</v>
      </c>
      <c r="U17" s="561">
        <f>1/$H$4*'2.0 - Total Revenue'!Y12</f>
        <v>19.11536895278299</v>
      </c>
      <c r="V17" s="561">
        <f>1/$H$4*'2.0 - Total Revenue'!Z12</f>
        <v>21.3419078841995</v>
      </c>
      <c r="W17" s="561">
        <f>1/$H$4*'2.0 - Total Revenue'!AA12</f>
        <v>23.501650647673515</v>
      </c>
      <c r="X17" s="561">
        <f>1/$H$4*'2.0 - Total Revenue'!AB12</f>
        <v>25.596601128243307</v>
      </c>
      <c r="Y17" s="561">
        <f>1/$H$4*'2.0 - Total Revenue'!AC12</f>
        <v>27.628703094396005</v>
      </c>
      <c r="Z17" s="561">
        <f>1/$H$4*'2.0 - Total Revenue'!AD12</f>
        <v>29.599842001564127</v>
      </c>
      <c r="AA17" s="561">
        <f>1/$H$4*'2.0 - Total Revenue'!AE12</f>
        <v>31.511846741517203</v>
      </c>
      <c r="AB17" s="561">
        <f>1/$H$4*'2.0 - Total Revenue'!AF12</f>
        <v>33.36649133927169</v>
      </c>
      <c r="AC17" s="561">
        <f>1/$H$4*'2.0 - Total Revenue'!AG12</f>
        <v>35.165496599093537</v>
      </c>
      <c r="AD17" s="561">
        <f>1/$H$4*'2.0 - Total Revenue'!AH12</f>
        <v>36.910531701120732</v>
      </c>
      <c r="AE17" s="561">
        <f>1/$H$4*'2.0 - Total Revenue'!AI12</f>
        <v>38.603215750087109</v>
      </c>
      <c r="AF17" s="561">
        <f>1/$H$4*'2.0 - Total Revenue'!AJ12</f>
        <v>40.245119277584493</v>
      </c>
      <c r="AG17" s="561">
        <f>1/$H$4*'2.0 - Total Revenue'!AK12</f>
        <v>41.837765699256963</v>
      </c>
      <c r="AH17" s="561">
        <f>1/$H$4*'2.0 - Total Revenue'!AL12</f>
        <v>43.382632728279248</v>
      </c>
      <c r="AI17" s="561">
        <f>1/$H$4*'2.0 - Total Revenue'!AM12</f>
        <v>44.881153746430883</v>
      </c>
      <c r="AJ17" s="561">
        <f>1/$H$4*'2.0 - Total Revenue'!AN12</f>
        <v>46.334719134037961</v>
      </c>
      <c r="AK17" s="561">
        <f>1/$H$4*'2.0 - Total Revenue'!AO12</f>
        <v>47.744677560016818</v>
      </c>
      <c r="AL17" s="561">
        <f>1/$H$4*'2.0 - Total Revenue'!AP12</f>
        <v>49.112337233216316</v>
      </c>
      <c r="AM17" s="561">
        <f>1/$H$4*'2.0 - Total Revenue'!AQ12</f>
        <v>50.438967116219828</v>
      </c>
      <c r="AN17" s="561">
        <f>1/$H$4*'2.0 - Total Revenue'!AR12</f>
        <v>51.725798102733236</v>
      </c>
      <c r="AO17" s="561">
        <f>1/$H$4*'2.0 - Total Revenue'!AS12</f>
        <v>52.974024159651236</v>
      </c>
      <c r="AP17" s="561">
        <f>1/$H$4*'2.0 - Total Revenue'!AT12</f>
        <v>54.184803434861699</v>
      </c>
      <c r="AQ17" s="561">
        <f>1/$H$4*'2.0 - Total Revenue'!AU12</f>
        <v>55.359259331815856</v>
      </c>
      <c r="AR17" s="561">
        <f>1/$H$4*'2.0 - Total Revenue'!AV12</f>
        <v>56.498481551861381</v>
      </c>
    </row>
    <row r="18" spans="1:44" s="484" customFormat="1">
      <c r="A18" s="506"/>
      <c r="B18" s="506"/>
      <c r="C18" s="506"/>
      <c r="D18" s="506"/>
      <c r="E18" s="506"/>
      <c r="F18" s="506"/>
      <c r="G18" s="506"/>
      <c r="H18" s="506"/>
      <c r="I18" s="506"/>
      <c r="J18" s="506"/>
      <c r="K18" s="506"/>
      <c r="L18" s="506"/>
      <c r="M18" s="506"/>
      <c r="N18" s="506"/>
      <c r="O18" s="506"/>
      <c r="P18" s="506"/>
      <c r="Q18" s="506"/>
      <c r="R18" s="506"/>
      <c r="S18" s="506"/>
      <c r="T18" s="506"/>
      <c r="U18" s="506"/>
      <c r="V18" s="506"/>
      <c r="W18" s="506"/>
    </row>
    <row r="19" spans="1:44" s="484" customFormat="1">
      <c r="A19" s="506"/>
      <c r="B19" s="506"/>
      <c r="C19" s="506"/>
      <c r="D19" s="506"/>
      <c r="E19" s="506"/>
      <c r="F19" s="506"/>
      <c r="G19" s="506"/>
      <c r="H19" s="506"/>
      <c r="I19" s="506"/>
      <c r="J19" s="506"/>
      <c r="K19" s="506"/>
      <c r="L19" s="506"/>
      <c r="M19" s="506"/>
      <c r="N19" s="506"/>
      <c r="O19" s="506"/>
      <c r="P19" s="506"/>
      <c r="Q19" s="506"/>
      <c r="R19" s="506"/>
      <c r="S19" s="506"/>
      <c r="T19" s="506"/>
      <c r="U19" s="506"/>
      <c r="V19" s="506"/>
      <c r="W19" s="506"/>
    </row>
    <row r="20" spans="1:44" s="484" customFormat="1">
      <c r="A20" s="506"/>
      <c r="B20" s="506"/>
      <c r="C20" s="506"/>
      <c r="D20" s="506"/>
      <c r="E20" s="506"/>
      <c r="F20" s="506"/>
      <c r="G20" s="506"/>
      <c r="H20" s="506"/>
      <c r="I20" s="506"/>
      <c r="J20" s="506"/>
      <c r="K20" s="506"/>
      <c r="L20" s="506"/>
      <c r="M20" s="506"/>
      <c r="N20" s="506"/>
      <c r="O20" s="506"/>
      <c r="P20" s="506"/>
      <c r="Q20" s="506"/>
      <c r="R20" s="506"/>
      <c r="S20" s="506"/>
      <c r="T20" s="506"/>
      <c r="U20" s="506"/>
      <c r="V20" s="506"/>
      <c r="W20" s="506"/>
    </row>
    <row r="21" spans="1:44" s="484" customFormat="1">
      <c r="A21" s="506"/>
      <c r="B21" s="506"/>
      <c r="C21" s="506"/>
      <c r="D21" s="506"/>
      <c r="E21" s="506"/>
      <c r="F21" s="506"/>
      <c r="G21" s="506"/>
      <c r="H21" s="506"/>
      <c r="I21" s="506"/>
      <c r="J21" s="506"/>
      <c r="K21" s="506"/>
      <c r="L21" s="506"/>
      <c r="M21" s="506"/>
      <c r="N21" s="506"/>
      <c r="O21" s="506"/>
      <c r="P21" s="506"/>
      <c r="Q21" s="506"/>
      <c r="R21" s="506"/>
      <c r="S21" s="506"/>
      <c r="T21" s="506"/>
      <c r="U21" s="506"/>
      <c r="V21" s="506"/>
      <c r="W21" s="506"/>
    </row>
    <row r="22" spans="1:44" s="484" customFormat="1">
      <c r="A22" s="506"/>
      <c r="B22" s="506"/>
      <c r="C22" s="506"/>
      <c r="D22" s="506"/>
      <c r="E22" s="506"/>
      <c r="F22" s="506"/>
      <c r="G22" s="506"/>
      <c r="H22" s="506"/>
      <c r="I22" s="506"/>
      <c r="J22" s="506"/>
      <c r="K22" s="506"/>
      <c r="L22" s="506"/>
      <c r="M22" s="506"/>
      <c r="N22" s="506"/>
      <c r="O22" s="506"/>
      <c r="P22" s="506"/>
      <c r="Q22" s="506"/>
      <c r="R22" s="506"/>
      <c r="S22" s="506"/>
      <c r="T22" s="506"/>
      <c r="U22" s="506"/>
      <c r="V22" s="506"/>
      <c r="W22" s="506"/>
    </row>
    <row r="23" spans="1:44" s="484" customFormat="1">
      <c r="A23" s="506"/>
      <c r="B23" s="506"/>
      <c r="C23" s="506"/>
      <c r="D23" s="506"/>
      <c r="E23" s="506"/>
      <c r="F23" s="506"/>
      <c r="G23" s="506"/>
      <c r="H23" s="506"/>
      <c r="I23" s="506"/>
      <c r="J23" s="506"/>
      <c r="K23" s="506"/>
      <c r="L23" s="506"/>
      <c r="M23" s="506"/>
      <c r="N23" s="506"/>
      <c r="O23" s="506"/>
      <c r="P23" s="506"/>
      <c r="Q23" s="506"/>
      <c r="R23" s="506"/>
      <c r="S23" s="506"/>
      <c r="T23" s="506"/>
      <c r="U23" s="506"/>
      <c r="V23" s="506"/>
      <c r="W23" s="506"/>
    </row>
    <row r="24" spans="1:44" s="484" customFormat="1">
      <c r="A24" s="506"/>
      <c r="B24" s="506"/>
      <c r="C24" s="506"/>
      <c r="D24" s="506"/>
      <c r="E24" s="506"/>
      <c r="F24" s="506"/>
      <c r="G24" s="506"/>
      <c r="H24" s="506"/>
      <c r="I24" s="506"/>
      <c r="J24" s="506"/>
      <c r="K24" s="506"/>
      <c r="L24" s="506"/>
      <c r="M24" s="506"/>
      <c r="N24" s="506"/>
      <c r="O24" s="506"/>
      <c r="P24" s="506"/>
      <c r="Q24" s="506"/>
      <c r="R24" s="506"/>
      <c r="S24" s="506"/>
      <c r="T24" s="506"/>
      <c r="U24" s="506"/>
      <c r="V24" s="506"/>
      <c r="W24" s="506"/>
      <c r="X24" s="104"/>
      <c r="Z24" s="104"/>
    </row>
    <row r="25" spans="1:44" s="484" customFormat="1">
      <c r="A25" s="506"/>
      <c r="B25" s="506"/>
      <c r="C25" s="506"/>
      <c r="D25" s="506"/>
      <c r="E25" s="506"/>
      <c r="F25" s="506"/>
      <c r="G25" s="506"/>
      <c r="H25" s="506"/>
      <c r="I25" s="506"/>
      <c r="J25" s="506"/>
      <c r="K25" s="506"/>
      <c r="L25" s="506"/>
      <c r="M25" s="506"/>
      <c r="N25" s="506"/>
      <c r="O25" s="506"/>
      <c r="P25" s="506"/>
      <c r="Q25" s="506"/>
      <c r="R25" s="506"/>
      <c r="S25" s="506"/>
      <c r="T25" s="506"/>
      <c r="U25" s="506"/>
      <c r="V25" s="506"/>
      <c r="W25" s="506"/>
      <c r="X25" s="539"/>
      <c r="Z25" s="539"/>
    </row>
    <row r="26" spans="1:44" s="484" customFormat="1">
      <c r="A26" s="506"/>
      <c r="B26" s="506"/>
      <c r="C26" s="506"/>
      <c r="D26" s="506"/>
      <c r="E26" s="506"/>
      <c r="F26" s="506"/>
      <c r="G26" s="506"/>
      <c r="H26" s="506"/>
      <c r="I26" s="506"/>
      <c r="J26" s="506"/>
      <c r="K26" s="506"/>
      <c r="L26" s="506"/>
      <c r="M26" s="506"/>
      <c r="N26" s="506"/>
      <c r="O26" s="506"/>
      <c r="P26" s="506"/>
      <c r="Q26" s="506"/>
      <c r="R26" s="506"/>
      <c r="S26" s="506"/>
      <c r="T26" s="506"/>
      <c r="U26" s="506"/>
      <c r="V26" s="506"/>
      <c r="W26" s="506"/>
      <c r="X26" s="539"/>
      <c r="Z26" s="539"/>
    </row>
    <row r="27" spans="1:44">
      <c r="A27" s="489"/>
      <c r="B27" s="489"/>
      <c r="C27" s="489"/>
      <c r="D27" s="489"/>
      <c r="E27" s="489"/>
      <c r="F27" s="489"/>
      <c r="G27" s="489"/>
      <c r="H27" s="489"/>
      <c r="I27" s="489"/>
      <c r="J27" s="489"/>
      <c r="K27" s="489"/>
      <c r="L27" s="489"/>
      <c r="M27" s="489"/>
      <c r="N27" s="489"/>
      <c r="O27" s="489"/>
      <c r="P27" s="489"/>
      <c r="Q27" s="489"/>
      <c r="R27" s="489"/>
      <c r="S27" s="489"/>
      <c r="T27" s="489"/>
      <c r="U27" s="489"/>
      <c r="V27" s="489"/>
      <c r="W27" s="489"/>
      <c r="X27" s="105"/>
      <c r="Z27" s="105"/>
    </row>
    <row r="28" spans="1:44">
      <c r="A28" s="489"/>
      <c r="B28" s="489"/>
      <c r="C28" s="489"/>
      <c r="D28" s="489"/>
      <c r="E28" s="489"/>
      <c r="F28" s="489"/>
      <c r="G28" s="489"/>
      <c r="H28" s="489"/>
      <c r="I28" s="489"/>
      <c r="J28" s="489"/>
      <c r="K28" s="489"/>
      <c r="L28" s="489"/>
      <c r="M28" s="489"/>
      <c r="N28" s="489"/>
      <c r="O28" s="489"/>
      <c r="P28" s="489"/>
      <c r="Q28" s="489"/>
      <c r="R28" s="489"/>
      <c r="S28" s="489"/>
      <c r="T28" s="489"/>
      <c r="U28" s="489"/>
      <c r="V28" s="489"/>
      <c r="W28" s="489"/>
    </row>
    <row r="29" spans="1:44">
      <c r="A29" s="489"/>
      <c r="B29" s="489"/>
      <c r="C29" s="489"/>
      <c r="D29" s="489"/>
      <c r="E29" s="489"/>
      <c r="F29" s="489"/>
      <c r="G29" s="489"/>
      <c r="H29" s="489"/>
      <c r="I29" s="489"/>
      <c r="J29" s="489"/>
      <c r="K29" s="489"/>
      <c r="L29" s="489"/>
      <c r="M29" s="489"/>
      <c r="N29" s="489"/>
      <c r="O29" s="489"/>
      <c r="P29" s="489"/>
      <c r="Q29" s="489"/>
      <c r="R29" s="489"/>
      <c r="S29" s="489"/>
      <c r="T29" s="489"/>
      <c r="U29" s="489"/>
      <c r="V29" s="489"/>
      <c r="W29" s="489"/>
      <c r="X29" s="105"/>
      <c r="Z29" s="105"/>
    </row>
    <row r="30" spans="1:44">
      <c r="A30" s="489"/>
      <c r="B30" s="489"/>
      <c r="C30" s="489"/>
      <c r="D30" s="489"/>
      <c r="E30" s="489"/>
      <c r="F30" s="489"/>
      <c r="G30" s="489"/>
      <c r="H30" s="489"/>
      <c r="I30" s="489"/>
      <c r="J30" s="489"/>
      <c r="K30" s="489"/>
      <c r="L30" s="489"/>
      <c r="M30" s="489"/>
      <c r="N30" s="489"/>
      <c r="O30" s="489"/>
      <c r="P30" s="489"/>
      <c r="Q30" s="489"/>
      <c r="R30" s="489"/>
      <c r="S30" s="489"/>
      <c r="T30" s="489"/>
      <c r="U30" s="489"/>
      <c r="V30" s="489"/>
      <c r="W30" s="489"/>
    </row>
    <row r="31" spans="1:44">
      <c r="A31" s="489"/>
      <c r="B31" s="489"/>
      <c r="C31" s="489"/>
      <c r="D31" s="489"/>
      <c r="E31" s="489"/>
      <c r="F31" s="489"/>
      <c r="G31" s="489"/>
      <c r="H31" s="489"/>
      <c r="I31" s="489"/>
      <c r="J31" s="489"/>
      <c r="K31" s="489"/>
      <c r="L31" s="489"/>
      <c r="M31" s="489"/>
      <c r="N31" s="489"/>
      <c r="O31" s="489"/>
      <c r="P31" s="489"/>
      <c r="Q31" s="489"/>
      <c r="R31" s="489"/>
      <c r="S31" s="489"/>
      <c r="T31" s="489"/>
      <c r="U31" s="489"/>
      <c r="V31" s="489"/>
      <c r="W31" s="489"/>
    </row>
    <row r="32" spans="1:44">
      <c r="A32" s="489"/>
      <c r="B32" s="489"/>
      <c r="C32" s="489"/>
      <c r="D32" s="489"/>
      <c r="E32" s="489"/>
      <c r="F32" s="489"/>
      <c r="G32" s="489"/>
      <c r="H32" s="489"/>
      <c r="I32" s="489"/>
      <c r="J32" s="489"/>
      <c r="K32" s="489"/>
      <c r="L32" s="489"/>
      <c r="M32" s="489"/>
      <c r="N32" s="489"/>
      <c r="O32" s="489"/>
      <c r="P32" s="489"/>
      <c r="Q32" s="489"/>
      <c r="R32" s="489"/>
      <c r="S32" s="489"/>
      <c r="T32" s="489"/>
      <c r="U32" s="489"/>
      <c r="V32" s="489"/>
      <c r="W32" s="489"/>
    </row>
    <row r="33" spans="1:23">
      <c r="A33" s="489"/>
      <c r="B33" s="489"/>
      <c r="C33" s="489"/>
      <c r="D33" s="489"/>
      <c r="E33" s="489"/>
      <c r="F33" s="489"/>
      <c r="G33" s="489"/>
      <c r="H33" s="489"/>
      <c r="I33" s="489"/>
      <c r="J33" s="489"/>
      <c r="K33" s="489"/>
      <c r="L33" s="489"/>
      <c r="M33" s="489"/>
      <c r="N33" s="489"/>
      <c r="O33" s="489"/>
      <c r="P33" s="489"/>
      <c r="Q33" s="489"/>
      <c r="R33" s="489"/>
      <c r="S33" s="489"/>
      <c r="T33" s="489"/>
      <c r="U33" s="489"/>
      <c r="V33" s="489"/>
      <c r="W33" s="489"/>
    </row>
    <row r="34" spans="1:23">
      <c r="A34" s="489"/>
      <c r="B34" s="489"/>
      <c r="C34" s="489"/>
      <c r="D34" s="489"/>
      <c r="E34" s="489"/>
      <c r="F34" s="489"/>
      <c r="G34" s="489"/>
      <c r="H34" s="489"/>
      <c r="I34" s="489"/>
      <c r="J34" s="489"/>
      <c r="K34" s="489"/>
      <c r="L34" s="489"/>
      <c r="M34" s="489"/>
      <c r="N34" s="489"/>
      <c r="O34" s="489"/>
      <c r="P34" s="489"/>
      <c r="Q34" s="489"/>
      <c r="R34" s="489"/>
      <c r="S34" s="489"/>
      <c r="T34" s="489"/>
      <c r="U34" s="489"/>
      <c r="V34" s="489"/>
      <c r="W34" s="489"/>
    </row>
    <row r="35" spans="1:23">
      <c r="A35" s="489"/>
      <c r="B35" s="489"/>
      <c r="C35" s="489"/>
      <c r="D35" s="489"/>
      <c r="E35" s="489"/>
      <c r="F35" s="489"/>
      <c r="G35" s="489"/>
      <c r="H35" s="489"/>
      <c r="I35" s="489"/>
      <c r="J35" s="489"/>
      <c r="K35" s="489"/>
      <c r="L35" s="489"/>
      <c r="M35" s="489"/>
      <c r="N35" s="489"/>
      <c r="O35" s="489"/>
      <c r="P35" s="489"/>
      <c r="Q35" s="489"/>
      <c r="R35" s="489"/>
      <c r="S35" s="489"/>
      <c r="T35" s="489"/>
      <c r="U35" s="489"/>
      <c r="V35" s="489"/>
      <c r="W35" s="489"/>
    </row>
    <row r="36" spans="1:23">
      <c r="A36" s="489"/>
      <c r="B36" s="489"/>
      <c r="C36" s="489"/>
      <c r="D36" s="489"/>
      <c r="E36" s="489"/>
      <c r="F36" s="489"/>
      <c r="G36" s="489"/>
      <c r="H36" s="489"/>
      <c r="I36" s="489"/>
      <c r="J36" s="489"/>
      <c r="K36" s="489"/>
      <c r="L36" s="489"/>
      <c r="M36" s="489"/>
      <c r="N36" s="489"/>
      <c r="O36" s="489"/>
      <c r="P36" s="489"/>
      <c r="Q36" s="489"/>
      <c r="R36" s="489"/>
      <c r="S36" s="489"/>
      <c r="T36" s="489"/>
      <c r="U36" s="489"/>
      <c r="V36" s="489"/>
      <c r="W36" s="489"/>
    </row>
    <row r="37" spans="1:23">
      <c r="A37" s="489"/>
      <c r="B37" s="489"/>
      <c r="C37" s="489"/>
      <c r="D37" s="489"/>
      <c r="E37" s="489"/>
      <c r="F37" s="489"/>
      <c r="G37" s="489"/>
      <c r="H37" s="489"/>
      <c r="I37" s="489"/>
      <c r="J37" s="489"/>
      <c r="K37" s="489"/>
      <c r="L37" s="489"/>
      <c r="M37" s="489"/>
      <c r="N37" s="489"/>
      <c r="O37" s="489"/>
      <c r="P37" s="489"/>
      <c r="Q37" s="489"/>
      <c r="R37" s="489"/>
      <c r="S37" s="489"/>
      <c r="T37" s="489"/>
      <c r="U37" s="489"/>
      <c r="V37" s="489"/>
      <c r="W37" s="489"/>
    </row>
    <row r="38" spans="1:23">
      <c r="A38" s="489"/>
      <c r="B38" s="489"/>
      <c r="C38" s="489"/>
      <c r="D38" s="489"/>
      <c r="E38" s="489"/>
      <c r="F38" s="489"/>
      <c r="G38" s="489"/>
      <c r="H38" s="489"/>
      <c r="I38" s="489"/>
      <c r="J38" s="489"/>
      <c r="K38" s="489"/>
      <c r="L38" s="489"/>
      <c r="M38" s="489"/>
      <c r="N38" s="489"/>
      <c r="O38" s="489"/>
      <c r="P38" s="489"/>
      <c r="Q38" s="489"/>
      <c r="R38" s="489"/>
      <c r="S38" s="489"/>
      <c r="T38" s="489"/>
      <c r="U38" s="489"/>
      <c r="V38" s="489"/>
      <c r="W38" s="489"/>
    </row>
    <row r="39" spans="1:23">
      <c r="A39" s="489"/>
      <c r="B39" s="489"/>
      <c r="C39" s="489"/>
      <c r="D39" s="489"/>
      <c r="E39" s="489"/>
      <c r="F39" s="489"/>
      <c r="G39" s="489"/>
      <c r="H39" s="489"/>
      <c r="I39" s="489"/>
      <c r="J39" s="489"/>
      <c r="K39" s="489"/>
      <c r="L39" s="489"/>
      <c r="M39" s="489"/>
      <c r="N39" s="489"/>
      <c r="O39" s="489"/>
      <c r="P39" s="489"/>
      <c r="Q39" s="489"/>
      <c r="R39" s="489"/>
      <c r="S39" s="489"/>
      <c r="T39" s="489"/>
      <c r="U39" s="489"/>
      <c r="V39" s="489"/>
      <c r="W39" s="489"/>
    </row>
    <row r="40" spans="1:23">
      <c r="A40" s="489"/>
      <c r="B40" s="489"/>
      <c r="C40" s="489"/>
      <c r="D40" s="489"/>
      <c r="E40" s="489"/>
      <c r="F40" s="489"/>
      <c r="G40" s="489"/>
      <c r="H40" s="489"/>
      <c r="I40" s="489"/>
      <c r="J40" s="489"/>
      <c r="K40" s="489"/>
      <c r="L40" s="489"/>
      <c r="M40" s="489"/>
      <c r="N40" s="489"/>
      <c r="O40" s="489"/>
      <c r="P40" s="489"/>
      <c r="Q40" s="489"/>
      <c r="R40" s="489"/>
      <c r="S40" s="489"/>
      <c r="T40" s="489"/>
      <c r="U40" s="489"/>
      <c r="V40" s="489"/>
      <c r="W40" s="489"/>
    </row>
    <row r="41" spans="1:23">
      <c r="A41" s="489"/>
      <c r="B41" s="489"/>
      <c r="C41" s="489"/>
      <c r="D41" s="489"/>
      <c r="E41" s="489"/>
      <c r="F41" s="489"/>
      <c r="G41" s="489"/>
      <c r="H41" s="489"/>
      <c r="I41" s="489"/>
      <c r="J41" s="489"/>
      <c r="K41" s="489"/>
      <c r="L41" s="489"/>
      <c r="M41" s="489"/>
      <c r="N41" s="489"/>
      <c r="O41" s="489"/>
      <c r="P41" s="489"/>
      <c r="Q41" s="489"/>
      <c r="R41" s="489"/>
      <c r="S41" s="489"/>
      <c r="T41" s="489"/>
      <c r="U41" s="489"/>
      <c r="V41" s="489"/>
      <c r="W41" s="489"/>
    </row>
    <row r="42" spans="1:23">
      <c r="A42" s="489"/>
      <c r="B42" s="489"/>
      <c r="C42" s="489"/>
      <c r="D42" s="489"/>
      <c r="E42" s="489"/>
      <c r="F42" s="489"/>
      <c r="G42" s="489"/>
      <c r="H42" s="489"/>
      <c r="I42" s="489"/>
      <c r="J42" s="489"/>
      <c r="K42" s="489"/>
      <c r="L42" s="489"/>
      <c r="M42" s="489"/>
      <c r="N42" s="489"/>
      <c r="O42" s="489"/>
      <c r="P42" s="489"/>
      <c r="Q42" s="489"/>
      <c r="R42" s="489"/>
      <c r="S42" s="489"/>
      <c r="T42" s="489"/>
      <c r="U42" s="489"/>
      <c r="V42" s="489"/>
      <c r="W42" s="489"/>
    </row>
    <row r="43" spans="1:23">
      <c r="A43" s="489"/>
      <c r="B43" s="489"/>
      <c r="C43" s="489"/>
      <c r="D43" s="489"/>
      <c r="E43" s="489"/>
      <c r="F43" s="489"/>
      <c r="G43" s="489"/>
      <c r="H43" s="489"/>
      <c r="I43" s="489"/>
      <c r="J43" s="489"/>
      <c r="K43" s="489"/>
      <c r="L43" s="489"/>
      <c r="M43" s="489"/>
      <c r="N43" s="489"/>
      <c r="O43" s="489"/>
      <c r="P43" s="489"/>
      <c r="Q43" s="489"/>
      <c r="R43" s="489"/>
      <c r="S43" s="489"/>
      <c r="T43" s="489"/>
      <c r="U43" s="489"/>
      <c r="V43" s="489"/>
      <c r="W43" s="489"/>
    </row>
    <row r="44" spans="1:23">
      <c r="A44" s="489"/>
      <c r="B44" s="489"/>
      <c r="C44" s="489"/>
      <c r="D44" s="489"/>
      <c r="E44" s="489"/>
      <c r="F44" s="489"/>
      <c r="G44" s="489"/>
      <c r="H44" s="489"/>
      <c r="I44" s="489"/>
      <c r="J44" s="489"/>
      <c r="K44" s="489"/>
      <c r="L44" s="489"/>
      <c r="M44" s="489"/>
      <c r="N44" s="489"/>
      <c r="O44" s="489"/>
      <c r="P44" s="489"/>
      <c r="Q44" s="489"/>
      <c r="R44" s="489"/>
      <c r="S44" s="489"/>
      <c r="T44" s="489"/>
      <c r="U44" s="489"/>
      <c r="V44" s="489"/>
      <c r="W44" s="489"/>
    </row>
    <row r="45" spans="1:23">
      <c r="A45" s="489"/>
      <c r="B45" s="489"/>
      <c r="C45" s="489"/>
      <c r="D45" s="489"/>
      <c r="E45" s="489"/>
      <c r="F45" s="489"/>
      <c r="G45" s="489"/>
      <c r="H45" s="489"/>
      <c r="I45" s="489"/>
      <c r="J45" s="489"/>
      <c r="K45" s="489"/>
      <c r="L45" s="489"/>
      <c r="M45" s="489"/>
      <c r="N45" s="489"/>
      <c r="O45" s="489"/>
      <c r="P45" s="489"/>
      <c r="Q45" s="489"/>
      <c r="R45" s="489"/>
      <c r="S45" s="489"/>
      <c r="T45" s="489"/>
      <c r="U45" s="489"/>
      <c r="V45" s="489"/>
      <c r="W45" s="489"/>
    </row>
    <row r="46" spans="1:23">
      <c r="A46" s="489"/>
      <c r="B46" s="489"/>
      <c r="C46" s="489"/>
      <c r="D46" s="489"/>
      <c r="E46" s="489"/>
      <c r="F46" s="489"/>
      <c r="G46" s="489"/>
      <c r="H46" s="489"/>
      <c r="I46" s="489"/>
      <c r="J46" s="489"/>
      <c r="K46" s="489"/>
      <c r="L46" s="489"/>
      <c r="M46" s="489"/>
      <c r="N46" s="489"/>
      <c r="O46" s="489"/>
      <c r="P46" s="489"/>
      <c r="Q46" s="489"/>
      <c r="R46" s="489"/>
      <c r="S46" s="489"/>
      <c r="T46" s="489"/>
      <c r="U46" s="489"/>
      <c r="V46" s="489"/>
      <c r="W46" s="489"/>
    </row>
    <row r="47" spans="1:23">
      <c r="A47" s="489"/>
      <c r="B47" s="489"/>
      <c r="C47" s="489"/>
      <c r="D47" s="489"/>
      <c r="E47" s="489"/>
      <c r="F47" s="489"/>
      <c r="G47" s="489"/>
      <c r="H47" s="489"/>
      <c r="I47" s="489"/>
      <c r="J47" s="489"/>
      <c r="K47" s="489"/>
      <c r="L47" s="489"/>
      <c r="M47" s="489"/>
      <c r="N47" s="489"/>
      <c r="O47" s="489"/>
      <c r="P47" s="489"/>
      <c r="Q47" s="489"/>
      <c r="R47" s="489"/>
      <c r="S47" s="489"/>
      <c r="T47" s="489"/>
      <c r="U47" s="489"/>
      <c r="V47" s="489"/>
      <c r="W47" s="489"/>
    </row>
    <row r="48" spans="1:23">
      <c r="A48" s="489"/>
      <c r="B48" s="489"/>
      <c r="C48" s="489"/>
      <c r="D48" s="489"/>
      <c r="E48" s="489"/>
      <c r="F48" s="489"/>
      <c r="G48" s="489"/>
      <c r="H48" s="489"/>
      <c r="I48" s="489"/>
      <c r="J48" s="489"/>
      <c r="K48" s="489"/>
      <c r="L48" s="489"/>
      <c r="M48" s="489"/>
      <c r="N48" s="489"/>
      <c r="O48" s="489"/>
      <c r="P48" s="489"/>
      <c r="Q48" s="489"/>
      <c r="R48" s="489"/>
      <c r="S48" s="489"/>
      <c r="T48" s="489"/>
      <c r="U48" s="489"/>
      <c r="V48" s="489"/>
      <c r="W48" s="489"/>
    </row>
    <row r="49" spans="1:23">
      <c r="A49" s="489"/>
      <c r="B49" s="489"/>
      <c r="C49" s="489"/>
      <c r="D49" s="489"/>
      <c r="E49" s="489"/>
      <c r="F49" s="489"/>
      <c r="G49" s="489"/>
      <c r="H49" s="489"/>
      <c r="I49" s="489"/>
      <c r="J49" s="489"/>
      <c r="K49" s="489"/>
      <c r="L49" s="489"/>
      <c r="M49" s="489"/>
      <c r="N49" s="489"/>
      <c r="O49" s="489"/>
      <c r="P49" s="489"/>
      <c r="Q49" s="489"/>
      <c r="R49" s="489"/>
      <c r="S49" s="489"/>
      <c r="T49" s="489"/>
      <c r="U49" s="489"/>
      <c r="V49" s="489"/>
      <c r="W49" s="489"/>
    </row>
    <row r="50" spans="1:23">
      <c r="A50" s="489"/>
      <c r="B50" s="489"/>
      <c r="C50" s="489"/>
      <c r="D50" s="489"/>
      <c r="E50" s="489"/>
      <c r="F50" s="489"/>
      <c r="G50" s="489"/>
      <c r="H50" s="489"/>
      <c r="I50" s="489"/>
      <c r="J50" s="489"/>
      <c r="K50" s="489"/>
      <c r="L50" s="489"/>
      <c r="M50" s="489"/>
      <c r="N50" s="489"/>
      <c r="O50" s="489"/>
      <c r="P50" s="489"/>
      <c r="Q50" s="489"/>
      <c r="R50" s="489"/>
      <c r="S50" s="489"/>
      <c r="T50" s="489"/>
      <c r="U50" s="489"/>
      <c r="V50" s="489"/>
      <c r="W50" s="489"/>
    </row>
    <row r="51" spans="1:23">
      <c r="A51" s="489"/>
      <c r="B51" s="489"/>
      <c r="C51" s="489"/>
      <c r="D51" s="489"/>
      <c r="E51" s="489"/>
      <c r="F51" s="489"/>
      <c r="G51" s="489"/>
      <c r="H51" s="489"/>
      <c r="I51" s="489"/>
      <c r="J51" s="489"/>
      <c r="K51" s="489"/>
      <c r="L51" s="489"/>
      <c r="M51" s="489"/>
      <c r="N51" s="489"/>
      <c r="O51" s="489"/>
      <c r="P51" s="489"/>
      <c r="Q51" s="489"/>
      <c r="R51" s="489"/>
      <c r="S51" s="489"/>
      <c r="T51" s="489"/>
      <c r="U51" s="489"/>
      <c r="V51" s="489"/>
      <c r="W51" s="489"/>
    </row>
    <row r="52" spans="1:23">
      <c r="A52" s="489"/>
      <c r="B52" s="489"/>
      <c r="C52" s="489"/>
      <c r="D52" s="489"/>
      <c r="E52" s="489"/>
      <c r="F52" s="489"/>
      <c r="G52" s="489"/>
      <c r="H52" s="489"/>
      <c r="I52" s="489"/>
      <c r="J52" s="489"/>
      <c r="K52" s="489"/>
      <c r="L52" s="489"/>
      <c r="M52" s="489"/>
      <c r="N52" s="489"/>
      <c r="O52" s="489"/>
      <c r="P52" s="489"/>
      <c r="Q52" s="489"/>
      <c r="R52" s="489"/>
      <c r="S52" s="489"/>
      <c r="T52" s="489"/>
      <c r="U52" s="489"/>
      <c r="V52" s="489"/>
      <c r="W52" s="489"/>
    </row>
    <row r="53" spans="1:23">
      <c r="A53" s="489"/>
      <c r="B53" s="489"/>
      <c r="C53" s="489"/>
      <c r="D53" s="489"/>
      <c r="E53" s="489"/>
      <c r="F53" s="489"/>
      <c r="G53" s="489"/>
      <c r="H53" s="489"/>
      <c r="I53" s="489"/>
      <c r="J53" s="489"/>
      <c r="K53" s="489"/>
      <c r="L53" s="489"/>
      <c r="M53" s="489"/>
      <c r="N53" s="489"/>
      <c r="O53" s="489"/>
      <c r="P53" s="489"/>
      <c r="Q53" s="489"/>
      <c r="R53" s="489"/>
      <c r="S53" s="489"/>
      <c r="T53" s="489"/>
      <c r="U53" s="489"/>
      <c r="V53" s="489"/>
      <c r="W53" s="489"/>
    </row>
    <row r="54" spans="1:23">
      <c r="A54" s="489"/>
      <c r="B54" s="489"/>
      <c r="C54" s="489"/>
      <c r="D54" s="489"/>
      <c r="E54" s="489"/>
      <c r="F54" s="489"/>
      <c r="G54" s="489"/>
      <c r="H54" s="489"/>
      <c r="I54" s="489"/>
      <c r="J54" s="489"/>
      <c r="K54" s="489"/>
      <c r="L54" s="489"/>
      <c r="M54" s="489"/>
      <c r="N54" s="489"/>
      <c r="O54" s="489"/>
      <c r="P54" s="489"/>
      <c r="Q54" s="489"/>
      <c r="R54" s="489"/>
      <c r="S54" s="489"/>
      <c r="T54" s="489"/>
      <c r="U54" s="489"/>
      <c r="V54" s="489"/>
      <c r="W54" s="489"/>
    </row>
    <row r="55" spans="1:23">
      <c r="A55" s="489"/>
      <c r="B55" s="489"/>
      <c r="C55" s="489"/>
      <c r="D55" s="489"/>
      <c r="E55" s="489"/>
      <c r="F55" s="489"/>
      <c r="G55" s="489"/>
      <c r="H55" s="489"/>
      <c r="I55" s="489"/>
      <c r="J55" s="489"/>
      <c r="K55" s="489"/>
      <c r="L55" s="489"/>
      <c r="M55" s="489"/>
      <c r="N55" s="489"/>
      <c r="O55" s="489"/>
      <c r="P55" s="489"/>
      <c r="Q55" s="489"/>
      <c r="R55" s="489"/>
      <c r="S55" s="489"/>
      <c r="T55" s="489"/>
      <c r="U55" s="489"/>
      <c r="V55" s="489"/>
      <c r="W55" s="489"/>
    </row>
    <row r="56" spans="1:23">
      <c r="A56" s="489"/>
      <c r="B56" s="489"/>
      <c r="C56" s="489"/>
      <c r="D56" s="489"/>
      <c r="E56" s="489"/>
      <c r="F56" s="489"/>
      <c r="G56" s="489"/>
      <c r="H56" s="489"/>
      <c r="I56" s="489"/>
      <c r="J56" s="489"/>
      <c r="K56" s="489"/>
      <c r="L56" s="489"/>
      <c r="M56" s="489"/>
      <c r="N56" s="489"/>
      <c r="O56" s="489"/>
      <c r="P56" s="489"/>
      <c r="Q56" s="489"/>
      <c r="R56" s="489"/>
      <c r="S56" s="489"/>
      <c r="T56" s="489"/>
      <c r="U56" s="489"/>
      <c r="V56" s="489"/>
      <c r="W56" s="489"/>
    </row>
    <row r="57" spans="1:23">
      <c r="A57" s="489"/>
      <c r="B57" s="489"/>
      <c r="C57" s="489"/>
      <c r="D57" s="489"/>
      <c r="E57" s="489"/>
      <c r="F57" s="489"/>
      <c r="G57" s="489"/>
      <c r="H57" s="489"/>
      <c r="I57" s="489"/>
      <c r="J57" s="489"/>
      <c r="K57" s="489"/>
      <c r="L57" s="489"/>
      <c r="M57" s="489"/>
      <c r="N57" s="489"/>
      <c r="O57" s="489"/>
      <c r="P57" s="489"/>
      <c r="Q57" s="489"/>
      <c r="R57" s="489"/>
      <c r="S57" s="489"/>
      <c r="T57" s="489"/>
      <c r="U57" s="489"/>
      <c r="V57" s="489"/>
      <c r="W57" s="489"/>
    </row>
    <row r="58" spans="1:23">
      <c r="A58" s="489"/>
      <c r="B58" s="489"/>
      <c r="C58" s="489"/>
      <c r="D58" s="489"/>
      <c r="E58" s="489"/>
      <c r="F58" s="489"/>
      <c r="G58" s="489"/>
      <c r="H58" s="489"/>
      <c r="I58" s="489"/>
      <c r="J58" s="489"/>
      <c r="K58" s="489"/>
      <c r="L58" s="489"/>
      <c r="M58" s="489"/>
      <c r="N58" s="489"/>
      <c r="O58" s="489"/>
      <c r="P58" s="489"/>
      <c r="Q58" s="489"/>
      <c r="R58" s="489"/>
      <c r="S58" s="489"/>
      <c r="T58" s="489"/>
      <c r="U58" s="489"/>
      <c r="V58" s="489"/>
      <c r="W58" s="489"/>
    </row>
    <row r="59" spans="1:23">
      <c r="A59" s="489"/>
      <c r="B59" s="489"/>
      <c r="C59" s="489"/>
      <c r="D59" s="489"/>
      <c r="E59" s="489"/>
      <c r="F59" s="489"/>
      <c r="G59" s="489"/>
      <c r="H59" s="489"/>
      <c r="I59" s="489"/>
      <c r="J59" s="489"/>
      <c r="K59" s="489"/>
      <c r="L59" s="489"/>
      <c r="M59" s="489"/>
      <c r="N59" s="489"/>
      <c r="O59" s="489"/>
      <c r="P59" s="489"/>
      <c r="Q59" s="489"/>
      <c r="R59" s="489"/>
      <c r="S59" s="489"/>
      <c r="T59" s="489"/>
      <c r="U59" s="489"/>
      <c r="V59" s="489"/>
      <c r="W59" s="489"/>
    </row>
    <row r="60" spans="1:23">
      <c r="A60" s="489"/>
      <c r="B60" s="489"/>
      <c r="C60" s="489"/>
      <c r="D60" s="489"/>
      <c r="E60" s="489"/>
      <c r="F60" s="489"/>
      <c r="G60" s="489"/>
      <c r="H60" s="489"/>
      <c r="I60" s="489"/>
      <c r="J60" s="489"/>
      <c r="K60" s="489"/>
      <c r="L60" s="489"/>
      <c r="M60" s="489"/>
      <c r="N60" s="489"/>
      <c r="O60" s="489"/>
      <c r="P60" s="489"/>
      <c r="Q60" s="489"/>
      <c r="R60" s="489"/>
      <c r="S60" s="489"/>
      <c r="T60" s="489"/>
      <c r="U60" s="489"/>
      <c r="V60" s="489"/>
      <c r="W60" s="489"/>
    </row>
    <row r="61" spans="1:23">
      <c r="A61" s="489"/>
      <c r="B61" s="489"/>
      <c r="C61" s="489"/>
      <c r="D61" s="489"/>
      <c r="E61" s="489"/>
      <c r="F61" s="489"/>
      <c r="G61" s="489"/>
      <c r="H61" s="489"/>
      <c r="I61" s="489"/>
      <c r="J61" s="489"/>
      <c r="K61" s="489"/>
      <c r="L61" s="489"/>
      <c r="M61" s="489"/>
      <c r="N61" s="489"/>
      <c r="O61" s="489"/>
      <c r="P61" s="489"/>
      <c r="Q61" s="489"/>
      <c r="R61" s="489"/>
      <c r="S61" s="489"/>
      <c r="T61" s="489"/>
      <c r="U61" s="489"/>
      <c r="V61" s="489"/>
      <c r="W61" s="489"/>
    </row>
    <row r="62" spans="1:23">
      <c r="A62" s="489"/>
      <c r="B62" s="489"/>
      <c r="C62" s="489"/>
      <c r="D62" s="489"/>
      <c r="E62" s="489"/>
      <c r="F62" s="489"/>
      <c r="G62" s="489"/>
      <c r="H62" s="489"/>
      <c r="I62" s="489"/>
      <c r="J62" s="489"/>
      <c r="K62" s="489"/>
      <c r="L62" s="489"/>
      <c r="M62" s="489"/>
      <c r="N62" s="489"/>
      <c r="O62" s="489"/>
      <c r="P62" s="489"/>
      <c r="Q62" s="489"/>
      <c r="R62" s="489"/>
      <c r="S62" s="489"/>
      <c r="T62" s="489"/>
      <c r="U62" s="489"/>
      <c r="V62" s="489"/>
      <c r="W62" s="489"/>
    </row>
    <row r="63" spans="1:23">
      <c r="A63" s="489"/>
      <c r="B63" s="489"/>
      <c r="C63" s="489"/>
      <c r="D63" s="489"/>
      <c r="E63" s="489"/>
      <c r="F63" s="489"/>
      <c r="G63" s="489"/>
      <c r="H63" s="489"/>
      <c r="I63" s="489"/>
      <c r="J63" s="489"/>
      <c r="K63" s="489"/>
      <c r="L63" s="489"/>
      <c r="M63" s="489"/>
      <c r="N63" s="489"/>
      <c r="O63" s="489"/>
      <c r="P63" s="489"/>
      <c r="Q63" s="489"/>
      <c r="R63" s="489"/>
      <c r="S63" s="489"/>
      <c r="T63" s="489"/>
      <c r="U63" s="489"/>
      <c r="V63" s="489"/>
      <c r="W63" s="489"/>
    </row>
    <row r="64" spans="1:23">
      <c r="A64" s="489"/>
      <c r="B64" s="489"/>
      <c r="C64" s="489"/>
      <c r="D64" s="489"/>
      <c r="E64" s="489"/>
      <c r="F64" s="489"/>
      <c r="G64" s="489"/>
      <c r="H64" s="489"/>
      <c r="I64" s="489"/>
      <c r="J64" s="489"/>
      <c r="K64" s="489"/>
      <c r="L64" s="489"/>
      <c r="M64" s="489"/>
      <c r="N64" s="489"/>
      <c r="O64" s="489"/>
      <c r="P64" s="489"/>
      <c r="Q64" s="489"/>
      <c r="R64" s="489"/>
      <c r="S64" s="489"/>
      <c r="T64" s="489"/>
      <c r="U64" s="489"/>
      <c r="V64" s="489"/>
      <c r="W64" s="489"/>
    </row>
    <row r="65" spans="1:23">
      <c r="A65" s="489"/>
      <c r="B65" s="489"/>
      <c r="C65" s="489"/>
      <c r="D65" s="489"/>
      <c r="E65" s="489"/>
      <c r="F65" s="489"/>
      <c r="G65" s="489"/>
      <c r="H65" s="489"/>
      <c r="I65" s="489"/>
      <c r="J65" s="489"/>
      <c r="K65" s="489"/>
      <c r="L65" s="489"/>
      <c r="M65" s="489"/>
      <c r="N65" s="489"/>
      <c r="O65" s="489"/>
      <c r="P65" s="489"/>
      <c r="Q65" s="489"/>
      <c r="R65" s="489"/>
      <c r="S65" s="489"/>
      <c r="T65" s="489"/>
      <c r="U65" s="489"/>
      <c r="V65" s="489"/>
      <c r="W65" s="489"/>
    </row>
    <row r="66" spans="1:23">
      <c r="A66" s="489"/>
      <c r="B66" s="489"/>
      <c r="C66" s="489"/>
      <c r="D66" s="489"/>
      <c r="E66" s="489"/>
      <c r="F66" s="489"/>
      <c r="G66" s="489"/>
      <c r="H66" s="489"/>
      <c r="I66" s="489"/>
      <c r="J66" s="489"/>
      <c r="K66" s="489"/>
      <c r="L66" s="489"/>
      <c r="M66" s="489"/>
      <c r="N66" s="489"/>
      <c r="O66" s="489"/>
      <c r="P66" s="489"/>
      <c r="Q66" s="489"/>
      <c r="R66" s="489"/>
      <c r="S66" s="489"/>
      <c r="T66" s="489"/>
      <c r="U66" s="489"/>
      <c r="V66" s="489"/>
      <c r="W66" s="489"/>
    </row>
    <row r="67" spans="1:23">
      <c r="A67" s="489"/>
      <c r="B67" s="489"/>
      <c r="C67" s="489"/>
      <c r="D67" s="489"/>
      <c r="E67" s="489"/>
      <c r="F67" s="489"/>
      <c r="G67" s="489"/>
      <c r="H67" s="489"/>
      <c r="I67" s="489"/>
      <c r="J67" s="489"/>
      <c r="K67" s="489"/>
      <c r="L67" s="489"/>
      <c r="M67" s="489"/>
      <c r="N67" s="489"/>
      <c r="O67" s="489"/>
      <c r="P67" s="489"/>
      <c r="Q67" s="489"/>
      <c r="R67" s="489"/>
      <c r="S67" s="489"/>
      <c r="T67" s="489"/>
      <c r="U67" s="489"/>
      <c r="V67" s="489"/>
      <c r="W67" s="489"/>
    </row>
    <row r="68" spans="1:23">
      <c r="A68" s="489"/>
      <c r="B68" s="489"/>
      <c r="C68" s="489"/>
      <c r="D68" s="489"/>
      <c r="E68" s="489"/>
      <c r="F68" s="489"/>
      <c r="G68" s="489"/>
      <c r="H68" s="489"/>
      <c r="I68" s="489"/>
      <c r="J68" s="489"/>
      <c r="K68" s="489"/>
      <c r="L68" s="489"/>
      <c r="M68" s="489"/>
      <c r="N68" s="489"/>
      <c r="O68" s="489"/>
      <c r="P68" s="489"/>
      <c r="Q68" s="489"/>
      <c r="R68" s="489"/>
      <c r="S68" s="489"/>
      <c r="T68" s="489"/>
      <c r="U68" s="489"/>
      <c r="V68" s="489"/>
      <c r="W68" s="489"/>
    </row>
    <row r="69" spans="1:23">
      <c r="A69" s="489"/>
      <c r="B69" s="489"/>
      <c r="C69" s="489"/>
      <c r="D69" s="489"/>
      <c r="E69" s="489"/>
      <c r="F69" s="489"/>
      <c r="G69" s="489"/>
      <c r="H69" s="489"/>
      <c r="I69" s="489"/>
      <c r="J69" s="489"/>
      <c r="K69" s="489"/>
      <c r="L69" s="489"/>
      <c r="M69" s="489"/>
      <c r="N69" s="489"/>
      <c r="O69" s="489"/>
      <c r="P69" s="489"/>
      <c r="Q69" s="489"/>
      <c r="R69" s="489"/>
      <c r="S69" s="489"/>
      <c r="T69" s="489"/>
      <c r="U69" s="489"/>
      <c r="V69" s="489"/>
      <c r="W69" s="489"/>
    </row>
    <row r="70" spans="1:23">
      <c r="A70" s="489"/>
      <c r="B70" s="489"/>
      <c r="C70" s="489"/>
      <c r="D70" s="489"/>
      <c r="E70" s="489"/>
      <c r="F70" s="489"/>
      <c r="G70" s="489"/>
      <c r="H70" s="489"/>
      <c r="I70" s="489"/>
      <c r="J70" s="489"/>
      <c r="K70" s="489"/>
      <c r="L70" s="489"/>
      <c r="M70" s="489"/>
      <c r="N70" s="489"/>
      <c r="O70" s="489"/>
      <c r="P70" s="489"/>
      <c r="Q70" s="489"/>
      <c r="R70" s="489"/>
      <c r="S70" s="489"/>
      <c r="T70" s="489"/>
      <c r="U70" s="489"/>
      <c r="V70" s="489"/>
      <c r="W70" s="489"/>
    </row>
    <row r="71" spans="1:23">
      <c r="A71" s="489"/>
      <c r="B71" s="489"/>
      <c r="C71" s="489"/>
      <c r="D71" s="489"/>
      <c r="E71" s="489"/>
      <c r="F71" s="489"/>
      <c r="G71" s="489"/>
      <c r="H71" s="489"/>
      <c r="I71" s="489"/>
      <c r="J71" s="489"/>
      <c r="K71" s="489"/>
      <c r="L71" s="489"/>
      <c r="M71" s="489"/>
      <c r="N71" s="489"/>
      <c r="O71" s="489"/>
      <c r="P71" s="489"/>
      <c r="Q71" s="489"/>
      <c r="R71" s="489"/>
      <c r="S71" s="489"/>
      <c r="T71" s="489"/>
      <c r="U71" s="489"/>
      <c r="V71" s="489"/>
      <c r="W71" s="489"/>
    </row>
    <row r="72" spans="1:23">
      <c r="A72" s="489"/>
      <c r="B72" s="489"/>
      <c r="C72" s="489"/>
      <c r="D72" s="489"/>
      <c r="E72" s="489"/>
      <c r="F72" s="489"/>
      <c r="G72" s="489"/>
      <c r="H72" s="489"/>
      <c r="I72" s="489"/>
      <c r="J72" s="489"/>
      <c r="K72" s="489"/>
      <c r="L72" s="489"/>
      <c r="M72" s="489"/>
      <c r="N72" s="489"/>
      <c r="O72" s="489"/>
      <c r="P72" s="489"/>
      <c r="Q72" s="489"/>
      <c r="R72" s="489"/>
      <c r="S72" s="489"/>
      <c r="T72" s="489"/>
      <c r="U72" s="489"/>
      <c r="V72" s="489"/>
      <c r="W72" s="489"/>
    </row>
    <row r="73" spans="1:23">
      <c r="A73" s="489"/>
      <c r="B73" s="489"/>
      <c r="C73" s="489"/>
      <c r="D73" s="489"/>
      <c r="E73" s="489"/>
      <c r="F73" s="489"/>
      <c r="G73" s="489"/>
      <c r="H73" s="489"/>
      <c r="I73" s="489"/>
      <c r="J73" s="489"/>
      <c r="K73" s="489"/>
      <c r="L73" s="489"/>
      <c r="M73" s="489"/>
      <c r="N73" s="489"/>
      <c r="O73" s="489"/>
      <c r="P73" s="489"/>
      <c r="Q73" s="489"/>
      <c r="R73" s="489"/>
      <c r="S73" s="489"/>
      <c r="T73" s="489"/>
      <c r="U73" s="489"/>
      <c r="V73" s="489"/>
      <c r="W73" s="489"/>
    </row>
    <row r="74" spans="1:23">
      <c r="A74" s="489"/>
      <c r="B74" s="489"/>
      <c r="C74" s="489"/>
      <c r="D74" s="489"/>
      <c r="E74" s="489"/>
      <c r="F74" s="489"/>
      <c r="G74" s="489"/>
      <c r="H74" s="489"/>
      <c r="I74" s="489"/>
      <c r="J74" s="489"/>
      <c r="K74" s="489"/>
      <c r="L74" s="489"/>
      <c r="M74" s="489"/>
      <c r="N74" s="489"/>
      <c r="O74" s="489"/>
      <c r="P74" s="489"/>
      <c r="Q74" s="489"/>
      <c r="R74" s="489"/>
      <c r="S74" s="489"/>
      <c r="T74" s="489"/>
      <c r="U74" s="489"/>
      <c r="V74" s="489"/>
      <c r="W74" s="489"/>
    </row>
    <row r="75" spans="1:23">
      <c r="A75" s="489"/>
      <c r="B75" s="489"/>
      <c r="C75" s="489"/>
      <c r="D75" s="489"/>
      <c r="E75" s="489"/>
      <c r="F75" s="489"/>
      <c r="G75" s="489"/>
      <c r="H75" s="489"/>
      <c r="I75" s="489"/>
      <c r="J75" s="489"/>
      <c r="K75" s="489"/>
      <c r="L75" s="489"/>
      <c r="M75" s="489"/>
      <c r="N75" s="489"/>
      <c r="O75" s="489"/>
      <c r="P75" s="489"/>
      <c r="Q75" s="489"/>
      <c r="R75" s="489"/>
      <c r="S75" s="489"/>
      <c r="T75" s="489"/>
      <c r="U75" s="489"/>
      <c r="V75" s="489"/>
      <c r="W75" s="489"/>
    </row>
    <row r="76" spans="1:23">
      <c r="A76" s="489"/>
      <c r="B76" s="489"/>
      <c r="C76" s="489"/>
      <c r="D76" s="489"/>
      <c r="E76" s="489"/>
      <c r="F76" s="489"/>
      <c r="G76" s="489"/>
      <c r="H76" s="489"/>
      <c r="I76" s="489"/>
      <c r="J76" s="489"/>
      <c r="K76" s="489"/>
      <c r="L76" s="489"/>
      <c r="M76" s="489"/>
      <c r="N76" s="489"/>
      <c r="O76" s="489"/>
      <c r="P76" s="489"/>
      <c r="Q76" s="489"/>
      <c r="R76" s="489"/>
      <c r="S76" s="489"/>
      <c r="T76" s="489"/>
      <c r="U76" s="489"/>
      <c r="V76" s="489"/>
      <c r="W76" s="489"/>
    </row>
    <row r="77" spans="1:23">
      <c r="A77" s="489"/>
      <c r="B77" s="489"/>
      <c r="C77" s="489"/>
      <c r="D77" s="489"/>
      <c r="E77" s="489"/>
      <c r="F77" s="489"/>
      <c r="G77" s="489"/>
      <c r="H77" s="489"/>
      <c r="I77" s="489"/>
      <c r="J77" s="489"/>
      <c r="K77" s="489"/>
      <c r="L77" s="489"/>
      <c r="M77" s="489"/>
      <c r="N77" s="489"/>
      <c r="O77" s="489"/>
      <c r="P77" s="489"/>
      <c r="Q77" s="489"/>
      <c r="R77" s="489"/>
      <c r="S77" s="489"/>
      <c r="T77" s="489"/>
      <c r="U77" s="489"/>
      <c r="V77" s="489"/>
      <c r="W77" s="489"/>
    </row>
    <row r="78" spans="1:23">
      <c r="A78" s="489"/>
      <c r="B78" s="489"/>
      <c r="C78" s="489"/>
      <c r="D78" s="489"/>
      <c r="E78" s="489"/>
      <c r="F78" s="489"/>
      <c r="G78" s="489"/>
      <c r="H78" s="489"/>
      <c r="I78" s="489"/>
      <c r="J78" s="489"/>
      <c r="K78" s="489"/>
      <c r="L78" s="489"/>
      <c r="M78" s="489"/>
      <c r="N78" s="489"/>
      <c r="O78" s="489"/>
      <c r="P78" s="489"/>
      <c r="Q78" s="489"/>
      <c r="R78" s="489"/>
      <c r="S78" s="489"/>
      <c r="T78" s="489"/>
      <c r="U78" s="489"/>
      <c r="V78" s="489"/>
      <c r="W78" s="489"/>
    </row>
    <row r="79" spans="1:23">
      <c r="A79" s="489"/>
      <c r="B79" s="489"/>
      <c r="C79" s="489"/>
      <c r="D79" s="489"/>
      <c r="E79" s="489"/>
      <c r="F79" s="489"/>
      <c r="G79" s="489"/>
      <c r="H79" s="489"/>
      <c r="I79" s="489"/>
      <c r="J79" s="489"/>
      <c r="K79" s="489"/>
      <c r="L79" s="489"/>
      <c r="M79" s="489"/>
      <c r="N79" s="489"/>
      <c r="O79" s="489"/>
      <c r="P79" s="489"/>
      <c r="Q79" s="489"/>
      <c r="R79" s="489"/>
      <c r="S79" s="489"/>
      <c r="T79" s="489"/>
      <c r="U79" s="489"/>
      <c r="V79" s="489"/>
      <c r="W79" s="489"/>
    </row>
    <row r="80" spans="1:23">
      <c r="A80" s="489"/>
      <c r="B80" s="489"/>
      <c r="C80" s="489"/>
      <c r="D80" s="489"/>
      <c r="E80" s="489"/>
      <c r="F80" s="489"/>
      <c r="G80" s="489"/>
      <c r="H80" s="489"/>
      <c r="I80" s="489"/>
      <c r="J80" s="489"/>
      <c r="K80" s="489"/>
      <c r="L80" s="489"/>
      <c r="M80" s="489"/>
      <c r="N80" s="489"/>
      <c r="O80" s="489"/>
      <c r="P80" s="489"/>
      <c r="Q80" s="489"/>
      <c r="R80" s="489"/>
      <c r="S80" s="489"/>
      <c r="T80" s="489"/>
      <c r="U80" s="489"/>
      <c r="V80" s="489"/>
      <c r="W80" s="489"/>
    </row>
    <row r="81" spans="1:23">
      <c r="A81" s="489"/>
      <c r="B81" s="489"/>
      <c r="C81" s="489"/>
      <c r="D81" s="489"/>
      <c r="E81" s="489"/>
      <c r="F81" s="489"/>
      <c r="G81" s="489"/>
      <c r="H81" s="489"/>
      <c r="I81" s="489"/>
      <c r="J81" s="489"/>
      <c r="K81" s="489"/>
      <c r="L81" s="489"/>
      <c r="M81" s="489"/>
      <c r="N81" s="489"/>
      <c r="O81" s="489"/>
      <c r="P81" s="489"/>
      <c r="Q81" s="489"/>
      <c r="R81" s="489"/>
      <c r="S81" s="489"/>
      <c r="T81" s="489"/>
      <c r="U81" s="489"/>
      <c r="V81" s="489"/>
      <c r="W81" s="489"/>
    </row>
    <row r="82" spans="1:23">
      <c r="A82" s="489"/>
      <c r="B82" s="489"/>
      <c r="C82" s="489"/>
      <c r="D82" s="489"/>
      <c r="E82" s="489"/>
      <c r="F82" s="489"/>
      <c r="G82" s="489"/>
      <c r="H82" s="489"/>
      <c r="I82" s="489"/>
      <c r="J82" s="489"/>
      <c r="K82" s="489"/>
      <c r="L82" s="489"/>
      <c r="M82" s="489"/>
      <c r="N82" s="489"/>
      <c r="O82" s="489"/>
      <c r="P82" s="489"/>
      <c r="Q82" s="489"/>
      <c r="R82" s="489"/>
      <c r="S82" s="489"/>
      <c r="T82" s="489"/>
      <c r="U82" s="489"/>
      <c r="V82" s="489"/>
      <c r="W82" s="489"/>
    </row>
    <row r="83" spans="1:23">
      <c r="A83" s="489"/>
      <c r="B83" s="489"/>
      <c r="C83" s="489"/>
      <c r="D83" s="489"/>
      <c r="E83" s="489"/>
      <c r="F83" s="489"/>
      <c r="G83" s="489"/>
      <c r="H83" s="489"/>
      <c r="I83" s="489"/>
      <c r="J83" s="489"/>
      <c r="K83" s="489"/>
      <c r="L83" s="489"/>
      <c r="M83" s="489"/>
      <c r="N83" s="489"/>
      <c r="O83" s="489"/>
      <c r="P83" s="489"/>
      <c r="Q83" s="489"/>
      <c r="R83" s="489"/>
      <c r="S83" s="489"/>
      <c r="T83" s="489"/>
      <c r="U83" s="489"/>
      <c r="V83" s="489"/>
      <c r="W83" s="489"/>
    </row>
    <row r="84" spans="1:23">
      <c r="A84" s="489"/>
      <c r="B84" s="489"/>
      <c r="C84" s="489"/>
      <c r="D84" s="489"/>
      <c r="E84" s="489"/>
      <c r="F84" s="489"/>
      <c r="G84" s="489"/>
      <c r="H84" s="489"/>
      <c r="I84" s="489"/>
      <c r="J84" s="489"/>
      <c r="K84" s="489"/>
      <c r="L84" s="489"/>
      <c r="M84" s="489"/>
      <c r="N84" s="489"/>
      <c r="O84" s="489"/>
      <c r="P84" s="489"/>
      <c r="Q84" s="489"/>
      <c r="R84" s="489"/>
      <c r="S84" s="489"/>
      <c r="T84" s="489"/>
      <c r="U84" s="489"/>
      <c r="V84" s="489"/>
      <c r="W84" s="489"/>
    </row>
    <row r="85" spans="1:23">
      <c r="A85" s="489"/>
      <c r="B85" s="489"/>
      <c r="C85" s="489"/>
      <c r="D85" s="489"/>
      <c r="E85" s="489"/>
      <c r="F85" s="489"/>
      <c r="G85" s="489"/>
      <c r="H85" s="489"/>
      <c r="I85" s="489"/>
      <c r="J85" s="489"/>
      <c r="K85" s="489"/>
      <c r="L85" s="489"/>
      <c r="M85" s="489"/>
      <c r="N85" s="489"/>
      <c r="O85" s="489"/>
      <c r="P85" s="489"/>
      <c r="Q85" s="489"/>
      <c r="R85" s="489"/>
      <c r="S85" s="489"/>
      <c r="T85" s="489"/>
      <c r="U85" s="489"/>
      <c r="V85" s="489"/>
      <c r="W85" s="489"/>
    </row>
    <row r="86" spans="1:23">
      <c r="A86" s="489"/>
      <c r="B86" s="489"/>
      <c r="C86" s="489"/>
      <c r="D86" s="489"/>
      <c r="E86" s="489"/>
      <c r="F86" s="489"/>
      <c r="G86" s="489"/>
      <c r="H86" s="489"/>
      <c r="I86" s="489"/>
      <c r="J86" s="489"/>
      <c r="K86" s="489"/>
      <c r="L86" s="489"/>
      <c r="M86" s="489"/>
      <c r="N86" s="489"/>
      <c r="O86" s="489"/>
      <c r="P86" s="489"/>
      <c r="Q86" s="489"/>
      <c r="R86" s="489"/>
      <c r="S86" s="489"/>
      <c r="T86" s="489"/>
      <c r="U86" s="489"/>
      <c r="V86" s="489"/>
      <c r="W86" s="489"/>
    </row>
    <row r="87" spans="1:23">
      <c r="A87" s="489"/>
      <c r="B87" s="489"/>
      <c r="C87" s="489"/>
      <c r="D87" s="489"/>
      <c r="E87" s="489"/>
      <c r="F87" s="489"/>
      <c r="G87" s="489"/>
      <c r="H87" s="489"/>
      <c r="I87" s="489"/>
      <c r="J87" s="489"/>
      <c r="K87" s="489"/>
      <c r="L87" s="489"/>
      <c r="M87" s="489"/>
      <c r="N87" s="489"/>
      <c r="O87" s="489"/>
      <c r="P87" s="489"/>
      <c r="Q87" s="489"/>
      <c r="R87" s="489"/>
      <c r="S87" s="489"/>
      <c r="T87" s="489"/>
      <c r="U87" s="489"/>
      <c r="V87" s="489"/>
      <c r="W87" s="489"/>
    </row>
    <row r="88" spans="1:23">
      <c r="A88" s="489"/>
      <c r="B88" s="489"/>
      <c r="C88" s="489"/>
      <c r="D88" s="489"/>
      <c r="E88" s="489"/>
      <c r="F88" s="489"/>
      <c r="G88" s="489"/>
      <c r="H88" s="489"/>
      <c r="I88" s="489"/>
      <c r="J88" s="489"/>
      <c r="K88" s="489"/>
      <c r="L88" s="489"/>
      <c r="M88" s="489"/>
      <c r="N88" s="489"/>
      <c r="O88" s="489"/>
      <c r="P88" s="489"/>
      <c r="Q88" s="489"/>
      <c r="R88" s="489"/>
      <c r="S88" s="489"/>
      <c r="T88" s="489"/>
      <c r="U88" s="489"/>
      <c r="V88" s="489"/>
      <c r="W88" s="489"/>
    </row>
    <row r="89" spans="1:23">
      <c r="A89" s="489"/>
      <c r="B89" s="489"/>
      <c r="C89" s="489"/>
      <c r="D89" s="489"/>
      <c r="E89" s="489"/>
      <c r="F89" s="489"/>
      <c r="G89" s="489"/>
      <c r="H89" s="489"/>
      <c r="I89" s="489"/>
      <c r="J89" s="489"/>
      <c r="K89" s="489"/>
      <c r="L89" s="489"/>
      <c r="M89" s="489"/>
      <c r="N89" s="489"/>
      <c r="O89" s="489"/>
      <c r="P89" s="489"/>
      <c r="Q89" s="489"/>
      <c r="R89" s="489"/>
      <c r="S89" s="489"/>
      <c r="T89" s="489"/>
      <c r="U89" s="489"/>
      <c r="V89" s="489"/>
      <c r="W89" s="489"/>
    </row>
    <row r="90" spans="1:23">
      <c r="A90" s="489"/>
      <c r="B90" s="489"/>
      <c r="C90" s="489"/>
      <c r="D90" s="489"/>
      <c r="E90" s="489"/>
      <c r="F90" s="489"/>
      <c r="G90" s="489"/>
      <c r="H90" s="489"/>
      <c r="I90" s="489"/>
      <c r="J90" s="489"/>
      <c r="K90" s="489"/>
      <c r="L90" s="489"/>
      <c r="M90" s="489"/>
      <c r="N90" s="489"/>
      <c r="O90" s="489"/>
      <c r="P90" s="489"/>
      <c r="Q90" s="489"/>
      <c r="R90" s="489"/>
      <c r="S90" s="489"/>
      <c r="T90" s="489"/>
      <c r="U90" s="489"/>
      <c r="V90" s="489"/>
      <c r="W90" s="489"/>
    </row>
    <row r="91" spans="1:23">
      <c r="A91" s="489"/>
      <c r="B91" s="489"/>
      <c r="C91" s="489"/>
      <c r="D91" s="489"/>
      <c r="E91" s="489"/>
      <c r="F91" s="489"/>
      <c r="G91" s="489"/>
      <c r="H91" s="489"/>
      <c r="I91" s="489"/>
      <c r="J91" s="489"/>
      <c r="K91" s="489"/>
      <c r="L91" s="489"/>
      <c r="M91" s="489"/>
      <c r="N91" s="489"/>
      <c r="O91" s="489"/>
      <c r="P91" s="489"/>
      <c r="Q91" s="489"/>
      <c r="R91" s="489"/>
      <c r="S91" s="489"/>
      <c r="T91" s="489"/>
      <c r="U91" s="489"/>
      <c r="V91" s="489"/>
      <c r="W91" s="489"/>
    </row>
    <row r="92" spans="1:23">
      <c r="A92" s="489"/>
      <c r="B92" s="489"/>
      <c r="C92" s="489"/>
      <c r="D92" s="489"/>
      <c r="E92" s="489"/>
      <c r="F92" s="489"/>
      <c r="G92" s="489"/>
      <c r="H92" s="489"/>
      <c r="I92" s="489"/>
      <c r="J92" s="489"/>
      <c r="K92" s="489"/>
      <c r="L92" s="489"/>
      <c r="M92" s="489"/>
      <c r="N92" s="489"/>
      <c r="O92" s="489"/>
      <c r="P92" s="489"/>
      <c r="Q92" s="489"/>
      <c r="R92" s="489"/>
      <c r="S92" s="489"/>
      <c r="T92" s="489"/>
      <c r="U92" s="489"/>
      <c r="V92" s="489"/>
      <c r="W92" s="489"/>
    </row>
    <row r="93" spans="1:23">
      <c r="A93" s="489"/>
      <c r="B93" s="489"/>
      <c r="C93" s="489"/>
      <c r="D93" s="489"/>
      <c r="E93" s="489"/>
      <c r="F93" s="489"/>
      <c r="G93" s="489"/>
      <c r="H93" s="489"/>
      <c r="I93" s="489"/>
      <c r="J93" s="489"/>
      <c r="K93" s="489"/>
      <c r="L93" s="489"/>
      <c r="M93" s="489"/>
      <c r="N93" s="489"/>
      <c r="O93" s="489"/>
      <c r="P93" s="489"/>
      <c r="Q93" s="489"/>
      <c r="R93" s="489"/>
      <c r="S93" s="489"/>
      <c r="T93" s="489"/>
      <c r="U93" s="489"/>
      <c r="V93" s="489"/>
      <c r="W93" s="489"/>
    </row>
    <row r="94" spans="1:23">
      <c r="A94" s="489"/>
      <c r="B94" s="489"/>
      <c r="C94" s="489"/>
      <c r="D94" s="489"/>
      <c r="E94" s="489"/>
      <c r="F94" s="489"/>
      <c r="G94" s="489"/>
      <c r="H94" s="489"/>
      <c r="I94" s="489"/>
      <c r="J94" s="489"/>
      <c r="K94" s="489"/>
      <c r="L94" s="489"/>
      <c r="M94" s="489"/>
      <c r="N94" s="489"/>
      <c r="O94" s="489"/>
      <c r="P94" s="489"/>
      <c r="Q94" s="489"/>
      <c r="R94" s="489"/>
      <c r="S94" s="489"/>
      <c r="T94" s="489"/>
      <c r="U94" s="489"/>
      <c r="V94" s="489"/>
      <c r="W94" s="489"/>
    </row>
    <row r="95" spans="1:23">
      <c r="A95" s="489"/>
      <c r="B95" s="489"/>
      <c r="C95" s="489"/>
      <c r="D95" s="489"/>
      <c r="E95" s="489"/>
      <c r="F95" s="489"/>
      <c r="G95" s="489"/>
      <c r="H95" s="489"/>
      <c r="I95" s="489"/>
      <c r="J95" s="489"/>
      <c r="K95" s="489"/>
      <c r="L95" s="489"/>
      <c r="M95" s="489"/>
      <c r="N95" s="489"/>
      <c r="O95" s="489"/>
      <c r="P95" s="489"/>
      <c r="Q95" s="489"/>
      <c r="R95" s="489"/>
      <c r="S95" s="489"/>
      <c r="T95" s="489"/>
      <c r="U95" s="489"/>
      <c r="V95" s="489"/>
      <c r="W95" s="489"/>
    </row>
    <row r="96" spans="1:23">
      <c r="A96" s="489"/>
      <c r="B96" s="489"/>
      <c r="C96" s="489"/>
      <c r="D96" s="489"/>
      <c r="E96" s="489"/>
      <c r="F96" s="489"/>
      <c r="G96" s="489"/>
      <c r="H96" s="489"/>
      <c r="I96" s="489"/>
      <c r="J96" s="489"/>
      <c r="K96" s="489"/>
      <c r="L96" s="489"/>
      <c r="M96" s="489"/>
      <c r="N96" s="489"/>
      <c r="O96" s="489"/>
      <c r="P96" s="489"/>
      <c r="Q96" s="489"/>
      <c r="R96" s="489"/>
      <c r="S96" s="489"/>
      <c r="T96" s="489"/>
      <c r="U96" s="489"/>
      <c r="V96" s="489"/>
      <c r="W96" s="489"/>
    </row>
    <row r="97" spans="1:23">
      <c r="A97" s="489"/>
      <c r="B97" s="489"/>
      <c r="C97" s="489"/>
      <c r="D97" s="489"/>
      <c r="E97" s="489"/>
      <c r="F97" s="489"/>
      <c r="G97" s="489"/>
      <c r="H97" s="489"/>
      <c r="I97" s="489"/>
      <c r="J97" s="489"/>
      <c r="K97" s="489"/>
      <c r="L97" s="489"/>
      <c r="M97" s="489"/>
      <c r="N97" s="489"/>
      <c r="O97" s="489"/>
      <c r="P97" s="489"/>
      <c r="Q97" s="489"/>
      <c r="R97" s="489"/>
      <c r="S97" s="489"/>
      <c r="T97" s="489"/>
      <c r="U97" s="489"/>
      <c r="V97" s="489"/>
      <c r="W97" s="489"/>
    </row>
    <row r="98" spans="1:23">
      <c r="A98" s="489"/>
      <c r="B98" s="489"/>
      <c r="C98" s="489"/>
      <c r="D98" s="489"/>
      <c r="E98" s="489"/>
      <c r="F98" s="489"/>
      <c r="G98" s="489"/>
      <c r="H98" s="489"/>
      <c r="I98" s="489"/>
      <c r="J98" s="489"/>
      <c r="K98" s="489"/>
      <c r="L98" s="489"/>
      <c r="M98" s="489"/>
      <c r="N98" s="489"/>
      <c r="O98" s="489"/>
      <c r="P98" s="489"/>
      <c r="Q98" s="489"/>
      <c r="R98" s="489"/>
      <c r="S98" s="489"/>
      <c r="T98" s="489"/>
      <c r="U98" s="489"/>
      <c r="V98" s="489"/>
      <c r="W98" s="489"/>
    </row>
    <row r="99" spans="1:23">
      <c r="A99" s="489"/>
      <c r="B99" s="489"/>
      <c r="C99" s="489"/>
      <c r="D99" s="489"/>
      <c r="E99" s="489"/>
      <c r="F99" s="489"/>
      <c r="G99" s="489"/>
      <c r="H99" s="489"/>
      <c r="I99" s="489"/>
      <c r="J99" s="489"/>
      <c r="K99" s="489"/>
      <c r="L99" s="489"/>
      <c r="M99" s="489"/>
      <c r="N99" s="489"/>
      <c r="O99" s="489"/>
      <c r="P99" s="489"/>
      <c r="Q99" s="489"/>
      <c r="R99" s="489"/>
      <c r="S99" s="489"/>
      <c r="T99" s="489"/>
      <c r="U99" s="489"/>
      <c r="V99" s="489"/>
      <c r="W99" s="489"/>
    </row>
    <row r="100" spans="1:23">
      <c r="A100" s="489"/>
      <c r="B100" s="489"/>
      <c r="C100" s="489"/>
      <c r="D100" s="489"/>
      <c r="E100" s="489"/>
      <c r="F100" s="489"/>
      <c r="G100" s="489"/>
      <c r="H100" s="489"/>
      <c r="I100" s="489"/>
      <c r="J100" s="489"/>
      <c r="K100" s="489"/>
      <c r="L100" s="489"/>
      <c r="M100" s="489"/>
      <c r="N100" s="489"/>
      <c r="O100" s="489"/>
      <c r="P100" s="489"/>
      <c r="Q100" s="489"/>
      <c r="R100" s="489"/>
      <c r="S100" s="489"/>
      <c r="T100" s="489"/>
      <c r="U100" s="489"/>
      <c r="V100" s="489"/>
      <c r="W100" s="489"/>
    </row>
    <row r="101" spans="1:23">
      <c r="A101" s="489"/>
      <c r="B101" s="489"/>
      <c r="C101" s="489"/>
      <c r="D101" s="489"/>
      <c r="E101" s="489"/>
      <c r="F101" s="489"/>
      <c r="G101" s="489"/>
      <c r="H101" s="489"/>
      <c r="I101" s="489"/>
      <c r="J101" s="489"/>
      <c r="K101" s="489"/>
      <c r="L101" s="489"/>
      <c r="M101" s="489"/>
      <c r="N101" s="489"/>
      <c r="O101" s="489"/>
      <c r="P101" s="489"/>
      <c r="Q101" s="489"/>
      <c r="R101" s="489"/>
      <c r="S101" s="489"/>
      <c r="T101" s="489"/>
      <c r="U101" s="489"/>
      <c r="V101" s="489"/>
      <c r="W101" s="489"/>
    </row>
    <row r="102" spans="1:23">
      <c r="A102" s="489"/>
      <c r="B102" s="489"/>
      <c r="C102" s="489"/>
      <c r="D102" s="489"/>
      <c r="E102" s="489"/>
      <c r="F102" s="489"/>
      <c r="G102" s="489"/>
      <c r="H102" s="489"/>
      <c r="I102" s="489"/>
      <c r="J102" s="489"/>
      <c r="K102" s="489"/>
      <c r="L102" s="489"/>
      <c r="M102" s="489"/>
      <c r="N102" s="489"/>
      <c r="O102" s="489"/>
      <c r="P102" s="489"/>
      <c r="Q102" s="489"/>
      <c r="R102" s="489"/>
      <c r="S102" s="489"/>
      <c r="T102" s="489"/>
      <c r="U102" s="489"/>
      <c r="V102" s="489"/>
      <c r="W102" s="489"/>
    </row>
    <row r="103" spans="1:23">
      <c r="A103" s="489"/>
      <c r="B103" s="489"/>
      <c r="C103" s="489"/>
      <c r="D103" s="489"/>
      <c r="E103" s="489"/>
      <c r="F103" s="489"/>
      <c r="G103" s="489"/>
      <c r="H103" s="489"/>
      <c r="I103" s="489"/>
      <c r="J103" s="489"/>
      <c r="K103" s="489"/>
      <c r="L103" s="489"/>
      <c r="M103" s="489"/>
      <c r="N103" s="489"/>
      <c r="O103" s="489"/>
      <c r="P103" s="489"/>
      <c r="Q103" s="489"/>
      <c r="R103" s="489"/>
      <c r="S103" s="489"/>
      <c r="T103" s="489"/>
      <c r="U103" s="489"/>
      <c r="V103" s="489"/>
      <c r="W103" s="489"/>
    </row>
    <row r="104" spans="1:23">
      <c r="A104" s="489"/>
      <c r="B104" s="489"/>
      <c r="C104" s="489"/>
      <c r="D104" s="489"/>
      <c r="E104" s="489"/>
      <c r="F104" s="489"/>
      <c r="G104" s="489"/>
      <c r="H104" s="489"/>
      <c r="I104" s="489"/>
      <c r="J104" s="489"/>
      <c r="K104" s="489"/>
      <c r="L104" s="489"/>
      <c r="M104" s="489"/>
      <c r="N104" s="489"/>
      <c r="O104" s="489"/>
      <c r="P104" s="489"/>
      <c r="Q104" s="489"/>
      <c r="R104" s="489"/>
      <c r="S104" s="489"/>
      <c r="T104" s="489"/>
      <c r="U104" s="489"/>
      <c r="V104" s="489"/>
      <c r="W104" s="489"/>
    </row>
    <row r="105" spans="1:23">
      <c r="A105" s="489"/>
      <c r="B105" s="489"/>
      <c r="C105" s="489"/>
      <c r="D105" s="489"/>
      <c r="E105" s="489"/>
      <c r="F105" s="489"/>
      <c r="G105" s="489"/>
      <c r="H105" s="489"/>
      <c r="I105" s="489"/>
      <c r="J105" s="489"/>
      <c r="K105" s="489"/>
      <c r="L105" s="489"/>
      <c r="M105" s="489"/>
      <c r="N105" s="489"/>
      <c r="O105" s="489"/>
      <c r="P105" s="489"/>
      <c r="Q105" s="489"/>
      <c r="R105" s="489"/>
      <c r="S105" s="489"/>
      <c r="T105" s="489"/>
      <c r="U105" s="489"/>
      <c r="V105" s="489"/>
      <c r="W105" s="489"/>
    </row>
    <row r="106" spans="1:23">
      <c r="A106" s="489"/>
      <c r="B106" s="489"/>
      <c r="C106" s="489"/>
      <c r="D106" s="489"/>
      <c r="E106" s="489"/>
      <c r="F106" s="489"/>
      <c r="G106" s="489"/>
      <c r="H106" s="489"/>
      <c r="I106" s="489"/>
      <c r="J106" s="489"/>
      <c r="K106" s="489"/>
      <c r="L106" s="489"/>
      <c r="M106" s="489"/>
      <c r="N106" s="489"/>
      <c r="O106" s="489"/>
      <c r="P106" s="489"/>
      <c r="Q106" s="489"/>
      <c r="R106" s="489"/>
      <c r="S106" s="489"/>
      <c r="T106" s="489"/>
      <c r="U106" s="489"/>
      <c r="V106" s="489"/>
      <c r="W106" s="489"/>
    </row>
    <row r="107" spans="1:23">
      <c r="A107" s="489"/>
      <c r="B107" s="489"/>
      <c r="C107" s="489"/>
      <c r="D107" s="489"/>
      <c r="E107" s="489"/>
      <c r="F107" s="489"/>
      <c r="G107" s="489"/>
      <c r="H107" s="489"/>
      <c r="I107" s="489"/>
      <c r="J107" s="489"/>
      <c r="K107" s="489"/>
      <c r="L107" s="489"/>
      <c r="M107" s="489"/>
      <c r="N107" s="489"/>
      <c r="O107" s="489"/>
      <c r="P107" s="489"/>
      <c r="Q107" s="489"/>
      <c r="R107" s="489"/>
      <c r="S107" s="489"/>
      <c r="T107" s="489"/>
      <c r="U107" s="489"/>
      <c r="V107" s="489"/>
      <c r="W107" s="489"/>
    </row>
    <row r="108" spans="1:23">
      <c r="A108" s="489"/>
      <c r="B108" s="489"/>
      <c r="C108" s="489"/>
      <c r="D108" s="489"/>
      <c r="E108" s="489"/>
      <c r="F108" s="489"/>
      <c r="G108" s="489"/>
      <c r="H108" s="489"/>
      <c r="I108" s="489"/>
      <c r="J108" s="489"/>
      <c r="K108" s="489"/>
      <c r="L108" s="489"/>
      <c r="M108" s="489"/>
      <c r="N108" s="489"/>
      <c r="O108" s="489"/>
      <c r="P108" s="489"/>
      <c r="Q108" s="489"/>
      <c r="R108" s="489"/>
      <c r="S108" s="489"/>
      <c r="T108" s="489"/>
      <c r="U108" s="489"/>
      <c r="V108" s="489"/>
      <c r="W108" s="489"/>
    </row>
    <row r="109" spans="1:23">
      <c r="A109" s="489"/>
      <c r="B109" s="489"/>
      <c r="C109" s="489"/>
      <c r="D109" s="489"/>
      <c r="E109" s="489"/>
      <c r="F109" s="489"/>
      <c r="G109" s="489"/>
      <c r="H109" s="489"/>
      <c r="I109" s="489"/>
      <c r="J109" s="489"/>
      <c r="K109" s="489"/>
      <c r="L109" s="489"/>
      <c r="M109" s="489"/>
      <c r="N109" s="489"/>
      <c r="O109" s="489"/>
      <c r="P109" s="489"/>
      <c r="Q109" s="489"/>
      <c r="R109" s="489"/>
      <c r="S109" s="489"/>
      <c r="T109" s="489"/>
      <c r="U109" s="489"/>
      <c r="V109" s="489"/>
      <c r="W109" s="489"/>
    </row>
    <row r="110" spans="1:23">
      <c r="A110" s="489"/>
      <c r="B110" s="489"/>
      <c r="C110" s="489"/>
      <c r="D110" s="489"/>
      <c r="E110" s="489"/>
      <c r="F110" s="489"/>
      <c r="G110" s="489"/>
      <c r="H110" s="489"/>
      <c r="I110" s="489"/>
      <c r="J110" s="489"/>
      <c r="K110" s="489"/>
      <c r="L110" s="489"/>
      <c r="M110" s="489"/>
      <c r="N110" s="489"/>
      <c r="O110" s="489"/>
      <c r="P110" s="489"/>
      <c r="Q110" s="489"/>
      <c r="R110" s="489"/>
      <c r="S110" s="489"/>
      <c r="T110" s="489"/>
      <c r="U110" s="489"/>
      <c r="V110" s="489"/>
      <c r="W110" s="489"/>
    </row>
    <row r="111" spans="1:23">
      <c r="A111" s="489"/>
      <c r="B111" s="489"/>
      <c r="C111" s="489"/>
      <c r="D111" s="489"/>
      <c r="E111" s="489"/>
      <c r="F111" s="489"/>
      <c r="G111" s="489"/>
      <c r="H111" s="489"/>
      <c r="I111" s="489"/>
      <c r="J111" s="489"/>
      <c r="K111" s="489"/>
      <c r="L111" s="489"/>
      <c r="M111" s="489"/>
      <c r="N111" s="489"/>
      <c r="O111" s="489"/>
      <c r="P111" s="489"/>
      <c r="Q111" s="489"/>
      <c r="R111" s="489"/>
      <c r="S111" s="489"/>
      <c r="T111" s="489"/>
      <c r="U111" s="489"/>
      <c r="V111" s="489"/>
      <c r="W111" s="489"/>
    </row>
    <row r="112" spans="1:23">
      <c r="A112" s="489"/>
      <c r="B112" s="489"/>
      <c r="C112" s="489"/>
      <c r="D112" s="489"/>
      <c r="E112" s="489"/>
      <c r="F112" s="489"/>
      <c r="G112" s="489"/>
      <c r="H112" s="489"/>
      <c r="I112" s="489"/>
      <c r="J112" s="489"/>
      <c r="K112" s="489"/>
      <c r="L112" s="489"/>
      <c r="M112" s="489"/>
      <c r="N112" s="489"/>
      <c r="O112" s="489"/>
      <c r="P112" s="489"/>
      <c r="Q112" s="489"/>
      <c r="R112" s="489"/>
      <c r="S112" s="489"/>
      <c r="T112" s="489"/>
      <c r="U112" s="489"/>
      <c r="V112" s="489"/>
      <c r="W112" s="489"/>
    </row>
    <row r="113" spans="1:23">
      <c r="A113" s="489"/>
      <c r="B113" s="489"/>
      <c r="C113" s="489"/>
      <c r="D113" s="489"/>
      <c r="E113" s="489"/>
      <c r="F113" s="489"/>
      <c r="G113" s="489"/>
      <c r="H113" s="489"/>
      <c r="I113" s="489"/>
      <c r="J113" s="489"/>
      <c r="K113" s="489"/>
      <c r="L113" s="489"/>
      <c r="M113" s="489"/>
      <c r="N113" s="489"/>
      <c r="O113" s="489"/>
      <c r="P113" s="489"/>
      <c r="Q113" s="489"/>
      <c r="R113" s="489"/>
      <c r="S113" s="489"/>
      <c r="T113" s="489"/>
      <c r="U113" s="489"/>
      <c r="V113" s="489"/>
      <c r="W113" s="489"/>
    </row>
    <row r="114" spans="1:23">
      <c r="A114" s="489"/>
      <c r="B114" s="489"/>
      <c r="C114" s="489"/>
      <c r="D114" s="489"/>
      <c r="E114" s="489"/>
      <c r="F114" s="489"/>
      <c r="G114" s="489"/>
      <c r="H114" s="489"/>
      <c r="I114" s="489"/>
      <c r="J114" s="489"/>
      <c r="K114" s="489"/>
      <c r="L114" s="489"/>
      <c r="M114" s="489"/>
      <c r="N114" s="489"/>
      <c r="O114" s="489"/>
      <c r="P114" s="489"/>
      <c r="Q114" s="489"/>
      <c r="R114" s="489"/>
      <c r="S114" s="489"/>
      <c r="T114" s="489"/>
      <c r="U114" s="489"/>
      <c r="V114" s="489"/>
      <c r="W114" s="489"/>
    </row>
    <row r="115" spans="1:23">
      <c r="A115" s="489"/>
      <c r="B115" s="489"/>
      <c r="C115" s="489"/>
      <c r="D115" s="489"/>
      <c r="E115" s="489"/>
      <c r="F115" s="489"/>
      <c r="G115" s="489"/>
      <c r="H115" s="489"/>
      <c r="I115" s="489"/>
      <c r="J115" s="489"/>
      <c r="K115" s="489"/>
      <c r="L115" s="489"/>
      <c r="M115" s="489"/>
      <c r="N115" s="489"/>
      <c r="O115" s="489"/>
      <c r="P115" s="489"/>
      <c r="Q115" s="489"/>
      <c r="R115" s="489"/>
      <c r="S115" s="489"/>
      <c r="T115" s="489"/>
      <c r="U115" s="489"/>
      <c r="V115" s="489"/>
      <c r="W115" s="489"/>
    </row>
    <row r="116" spans="1:23">
      <c r="A116" s="489"/>
      <c r="B116" s="489"/>
      <c r="C116" s="489"/>
      <c r="D116" s="489"/>
      <c r="E116" s="489"/>
      <c r="F116" s="489"/>
      <c r="G116" s="489"/>
      <c r="H116" s="489"/>
      <c r="I116" s="489"/>
      <c r="J116" s="489"/>
      <c r="K116" s="489"/>
      <c r="L116" s="489"/>
      <c r="M116" s="489"/>
      <c r="N116" s="489"/>
      <c r="O116" s="489"/>
      <c r="P116" s="489"/>
      <c r="Q116" s="489"/>
      <c r="R116" s="489"/>
      <c r="S116" s="489"/>
      <c r="T116" s="489"/>
      <c r="U116" s="489"/>
      <c r="V116" s="489"/>
      <c r="W116" s="489"/>
    </row>
    <row r="117" spans="1:23">
      <c r="A117" s="489"/>
      <c r="B117" s="489"/>
      <c r="C117" s="489"/>
      <c r="D117" s="489"/>
      <c r="E117" s="489"/>
      <c r="F117" s="489"/>
      <c r="G117" s="489"/>
      <c r="H117" s="489"/>
      <c r="I117" s="489"/>
      <c r="J117" s="489"/>
      <c r="K117" s="489"/>
      <c r="L117" s="489"/>
      <c r="M117" s="489"/>
      <c r="N117" s="489"/>
      <c r="O117" s="489"/>
      <c r="P117" s="489"/>
      <c r="Q117" s="489"/>
      <c r="R117" s="489"/>
      <c r="S117" s="489"/>
      <c r="T117" s="489"/>
      <c r="U117" s="489"/>
      <c r="V117" s="489"/>
      <c r="W117" s="489"/>
    </row>
    <row r="118" spans="1:23">
      <c r="A118" s="489"/>
      <c r="B118" s="489"/>
      <c r="C118" s="489"/>
      <c r="D118" s="489"/>
      <c r="E118" s="489"/>
      <c r="F118" s="489"/>
      <c r="G118" s="489"/>
      <c r="H118" s="489"/>
      <c r="I118" s="489"/>
      <c r="J118" s="489"/>
      <c r="K118" s="489"/>
      <c r="L118" s="489"/>
      <c r="M118" s="489"/>
      <c r="N118" s="489"/>
      <c r="O118" s="489"/>
      <c r="P118" s="489"/>
      <c r="Q118" s="489"/>
      <c r="R118" s="489"/>
      <c r="S118" s="489"/>
      <c r="T118" s="489"/>
      <c r="U118" s="489"/>
      <c r="V118" s="489"/>
      <c r="W118" s="489"/>
    </row>
    <row r="119" spans="1:23">
      <c r="A119" s="489"/>
      <c r="B119" s="489"/>
      <c r="C119" s="489"/>
      <c r="D119" s="489"/>
      <c r="E119" s="489"/>
      <c r="F119" s="489"/>
      <c r="G119" s="489"/>
      <c r="H119" s="489"/>
      <c r="I119" s="489"/>
      <c r="J119" s="489"/>
      <c r="K119" s="489"/>
      <c r="L119" s="489"/>
      <c r="M119" s="489"/>
      <c r="N119" s="489"/>
      <c r="O119" s="489"/>
      <c r="P119" s="489"/>
      <c r="Q119" s="489"/>
      <c r="R119" s="489"/>
      <c r="S119" s="489"/>
      <c r="T119" s="489"/>
      <c r="U119" s="489"/>
      <c r="V119" s="489"/>
      <c r="W119" s="489"/>
    </row>
    <row r="120" spans="1:23">
      <c r="A120" s="489"/>
      <c r="B120" s="489"/>
      <c r="C120" s="489"/>
      <c r="D120" s="489"/>
      <c r="E120" s="489"/>
      <c r="F120" s="489"/>
      <c r="G120" s="489"/>
      <c r="H120" s="489"/>
      <c r="I120" s="489"/>
      <c r="J120" s="489"/>
      <c r="K120" s="489"/>
      <c r="L120" s="489"/>
      <c r="M120" s="489"/>
      <c r="N120" s="489"/>
      <c r="O120" s="489"/>
      <c r="P120" s="489"/>
      <c r="Q120" s="489"/>
      <c r="R120" s="489"/>
      <c r="S120" s="489"/>
      <c r="T120" s="489"/>
      <c r="U120" s="489"/>
      <c r="V120" s="489"/>
      <c r="W120" s="489"/>
    </row>
    <row r="121" spans="1:23">
      <c r="A121" s="489"/>
      <c r="B121" s="489"/>
      <c r="C121" s="489"/>
      <c r="D121" s="489"/>
      <c r="E121" s="489"/>
      <c r="F121" s="489"/>
      <c r="G121" s="489"/>
      <c r="H121" s="489"/>
      <c r="I121" s="489"/>
      <c r="J121" s="489"/>
      <c r="K121" s="489"/>
      <c r="L121" s="489"/>
      <c r="M121" s="489"/>
      <c r="N121" s="489"/>
      <c r="O121" s="489"/>
      <c r="P121" s="489"/>
      <c r="Q121" s="489"/>
      <c r="R121" s="489"/>
      <c r="S121" s="489"/>
      <c r="T121" s="489"/>
      <c r="U121" s="489"/>
      <c r="V121" s="489"/>
      <c r="W121" s="489"/>
    </row>
    <row r="122" spans="1:23">
      <c r="A122" s="489"/>
      <c r="B122" s="489"/>
      <c r="C122" s="489"/>
      <c r="D122" s="489"/>
      <c r="E122" s="489"/>
      <c r="F122" s="489"/>
      <c r="G122" s="489"/>
      <c r="H122" s="489"/>
      <c r="I122" s="489"/>
      <c r="J122" s="489"/>
      <c r="K122" s="489"/>
      <c r="L122" s="489"/>
      <c r="M122" s="489"/>
      <c r="N122" s="489"/>
      <c r="O122" s="489"/>
      <c r="P122" s="489"/>
      <c r="Q122" s="489"/>
      <c r="R122" s="489"/>
      <c r="S122" s="489"/>
      <c r="T122" s="489"/>
      <c r="U122" s="489"/>
      <c r="V122" s="489"/>
      <c r="W122" s="489"/>
    </row>
    <row r="123" spans="1:23">
      <c r="A123" s="489"/>
      <c r="B123" s="489"/>
      <c r="C123" s="489"/>
      <c r="D123" s="489"/>
      <c r="E123" s="489"/>
      <c r="F123" s="489"/>
      <c r="G123" s="489"/>
      <c r="H123" s="489"/>
      <c r="I123" s="489"/>
      <c r="J123" s="489"/>
      <c r="K123" s="489"/>
      <c r="L123" s="489"/>
      <c r="M123" s="489"/>
      <c r="N123" s="489"/>
      <c r="O123" s="489"/>
      <c r="P123" s="489"/>
      <c r="Q123" s="489"/>
      <c r="R123" s="489"/>
      <c r="S123" s="489"/>
      <c r="T123" s="489"/>
      <c r="U123" s="489"/>
      <c r="V123" s="489"/>
      <c r="W123" s="489"/>
    </row>
    <row r="124" spans="1:23">
      <c r="A124" s="489"/>
      <c r="B124" s="489"/>
      <c r="C124" s="489"/>
      <c r="D124" s="489"/>
      <c r="E124" s="489"/>
      <c r="F124" s="489"/>
      <c r="G124" s="489"/>
      <c r="H124" s="489"/>
      <c r="I124" s="489"/>
      <c r="J124" s="489"/>
      <c r="K124" s="489"/>
      <c r="L124" s="489"/>
      <c r="M124" s="489"/>
      <c r="N124" s="489"/>
      <c r="O124" s="489"/>
      <c r="P124" s="489"/>
      <c r="Q124" s="489"/>
      <c r="R124" s="489"/>
      <c r="S124" s="489"/>
      <c r="T124" s="489"/>
      <c r="U124" s="489"/>
      <c r="V124" s="489"/>
      <c r="W124" s="489"/>
    </row>
    <row r="125" spans="1:23">
      <c r="A125" s="489"/>
      <c r="B125" s="489"/>
      <c r="C125" s="489"/>
      <c r="D125" s="489"/>
      <c r="E125" s="489"/>
      <c r="F125" s="489"/>
      <c r="G125" s="489"/>
      <c r="H125" s="489"/>
      <c r="I125" s="489"/>
      <c r="J125" s="489"/>
      <c r="K125" s="489"/>
      <c r="L125" s="489"/>
      <c r="M125" s="489"/>
      <c r="N125" s="489"/>
      <c r="O125" s="489"/>
      <c r="P125" s="489"/>
      <c r="Q125" s="489"/>
      <c r="R125" s="489"/>
      <c r="S125" s="489"/>
      <c r="T125" s="489"/>
      <c r="U125" s="489"/>
      <c r="V125" s="489"/>
      <c r="W125" s="489"/>
    </row>
    <row r="126" spans="1:23">
      <c r="A126" s="489"/>
      <c r="B126" s="489"/>
      <c r="C126" s="489"/>
      <c r="D126" s="489"/>
      <c r="E126" s="489"/>
      <c r="F126" s="489"/>
      <c r="G126" s="489"/>
      <c r="H126" s="489"/>
      <c r="I126" s="489"/>
      <c r="J126" s="489"/>
      <c r="K126" s="489"/>
      <c r="L126" s="489"/>
      <c r="M126" s="489"/>
      <c r="N126" s="489"/>
      <c r="O126" s="489"/>
      <c r="P126" s="489"/>
      <c r="Q126" s="489"/>
      <c r="R126" s="489"/>
      <c r="S126" s="489"/>
      <c r="T126" s="489"/>
      <c r="U126" s="489"/>
      <c r="V126" s="489"/>
      <c r="W126" s="489"/>
    </row>
    <row r="127" spans="1:23">
      <c r="A127" s="489"/>
      <c r="B127" s="489"/>
      <c r="C127" s="489"/>
      <c r="D127" s="489"/>
      <c r="E127" s="489"/>
      <c r="F127" s="489"/>
      <c r="G127" s="489"/>
      <c r="H127" s="489"/>
      <c r="I127" s="489"/>
      <c r="J127" s="489"/>
      <c r="K127" s="489"/>
      <c r="L127" s="489"/>
      <c r="M127" s="489"/>
      <c r="N127" s="489"/>
      <c r="O127" s="489"/>
      <c r="P127" s="489"/>
      <c r="Q127" s="489"/>
      <c r="R127" s="489"/>
      <c r="S127" s="489"/>
      <c r="T127" s="489"/>
      <c r="U127" s="489"/>
      <c r="V127" s="489"/>
      <c r="W127" s="489"/>
    </row>
    <row r="128" spans="1:23">
      <c r="A128" s="489"/>
      <c r="B128" s="489"/>
      <c r="C128" s="489"/>
      <c r="D128" s="489"/>
      <c r="E128" s="489"/>
      <c r="F128" s="489"/>
      <c r="G128" s="489"/>
      <c r="H128" s="489"/>
      <c r="I128" s="489"/>
      <c r="J128" s="489"/>
      <c r="K128" s="489"/>
      <c r="L128" s="489"/>
      <c r="M128" s="489"/>
      <c r="N128" s="489"/>
      <c r="O128" s="489"/>
      <c r="P128" s="489"/>
      <c r="Q128" s="489"/>
      <c r="R128" s="489"/>
      <c r="S128" s="489"/>
      <c r="T128" s="489"/>
      <c r="U128" s="489"/>
      <c r="V128" s="489"/>
      <c r="W128" s="489"/>
    </row>
    <row r="129" spans="1:23">
      <c r="A129" s="489"/>
      <c r="B129" s="489"/>
      <c r="C129" s="489"/>
      <c r="D129" s="489"/>
      <c r="E129" s="489"/>
      <c r="F129" s="489"/>
      <c r="G129" s="489"/>
      <c r="H129" s="489"/>
      <c r="I129" s="489"/>
      <c r="J129" s="489"/>
      <c r="K129" s="489"/>
      <c r="L129" s="489"/>
      <c r="M129" s="489"/>
      <c r="N129" s="489"/>
      <c r="O129" s="489"/>
      <c r="P129" s="489"/>
      <c r="Q129" s="489"/>
      <c r="R129" s="489"/>
      <c r="S129" s="489"/>
      <c r="T129" s="489"/>
      <c r="U129" s="489"/>
      <c r="V129" s="489"/>
      <c r="W129" s="489"/>
    </row>
    <row r="130" spans="1:23">
      <c r="A130" s="489"/>
      <c r="B130" s="489"/>
      <c r="C130" s="489"/>
      <c r="D130" s="489"/>
      <c r="E130" s="489"/>
      <c r="F130" s="489"/>
      <c r="G130" s="489"/>
      <c r="H130" s="489"/>
      <c r="I130" s="489"/>
      <c r="J130" s="489"/>
      <c r="K130" s="489"/>
      <c r="L130" s="489"/>
      <c r="M130" s="489"/>
      <c r="N130" s="489"/>
      <c r="O130" s="489"/>
      <c r="P130" s="489"/>
      <c r="Q130" s="489"/>
      <c r="R130" s="489"/>
      <c r="S130" s="489"/>
      <c r="T130" s="489"/>
      <c r="U130" s="489"/>
      <c r="V130" s="489"/>
      <c r="W130" s="489"/>
    </row>
    <row r="131" spans="1:23">
      <c r="A131" s="489"/>
      <c r="B131" s="489"/>
      <c r="C131" s="489"/>
      <c r="D131" s="489"/>
      <c r="E131" s="489"/>
      <c r="F131" s="489"/>
      <c r="G131" s="489"/>
      <c r="H131" s="489"/>
      <c r="I131" s="489"/>
      <c r="J131" s="489"/>
      <c r="K131" s="489"/>
      <c r="L131" s="489"/>
      <c r="M131" s="489"/>
      <c r="N131" s="489"/>
      <c r="O131" s="489"/>
      <c r="P131" s="489"/>
      <c r="Q131" s="489"/>
      <c r="R131" s="489"/>
      <c r="S131" s="489"/>
      <c r="T131" s="489"/>
      <c r="U131" s="489"/>
      <c r="V131" s="489"/>
      <c r="W131" s="489"/>
    </row>
    <row r="132" spans="1:23">
      <c r="A132" s="489"/>
      <c r="B132" s="489"/>
      <c r="C132" s="489"/>
      <c r="D132" s="489"/>
      <c r="E132" s="489"/>
      <c r="F132" s="489"/>
      <c r="G132" s="489"/>
      <c r="H132" s="489"/>
      <c r="I132" s="489"/>
      <c r="J132" s="489"/>
      <c r="K132" s="489"/>
      <c r="L132" s="489"/>
      <c r="M132" s="489"/>
      <c r="N132" s="489"/>
      <c r="O132" s="489"/>
      <c r="P132" s="489"/>
      <c r="Q132" s="489"/>
      <c r="R132" s="489"/>
      <c r="S132" s="489"/>
      <c r="T132" s="489"/>
      <c r="U132" s="489"/>
      <c r="V132" s="489"/>
      <c r="W132" s="489"/>
    </row>
    <row r="133" spans="1:23">
      <c r="A133" s="489"/>
      <c r="B133" s="489"/>
      <c r="C133" s="489"/>
      <c r="D133" s="489"/>
      <c r="E133" s="489"/>
      <c r="F133" s="489"/>
      <c r="G133" s="489"/>
      <c r="H133" s="489"/>
      <c r="I133" s="489"/>
      <c r="J133" s="489"/>
      <c r="K133" s="489"/>
      <c r="L133" s="489"/>
      <c r="M133" s="489"/>
      <c r="N133" s="489"/>
      <c r="O133" s="489"/>
      <c r="P133" s="489"/>
      <c r="Q133" s="489"/>
      <c r="R133" s="489"/>
      <c r="S133" s="489"/>
      <c r="T133" s="489"/>
      <c r="U133" s="489"/>
      <c r="V133" s="489"/>
      <c r="W133" s="489"/>
    </row>
    <row r="134" spans="1:23">
      <c r="A134" s="489"/>
      <c r="B134" s="489"/>
      <c r="C134" s="489"/>
      <c r="D134" s="489"/>
      <c r="E134" s="489"/>
      <c r="F134" s="489"/>
      <c r="G134" s="489"/>
      <c r="H134" s="489"/>
      <c r="I134" s="489"/>
      <c r="J134" s="489"/>
      <c r="K134" s="489"/>
      <c r="L134" s="489"/>
      <c r="M134" s="489"/>
      <c r="N134" s="489"/>
      <c r="O134" s="489"/>
      <c r="P134" s="489"/>
      <c r="Q134" s="489"/>
      <c r="R134" s="489"/>
      <c r="S134" s="489"/>
      <c r="T134" s="489"/>
      <c r="U134" s="489"/>
      <c r="V134" s="489"/>
      <c r="W134" s="489"/>
    </row>
    <row r="135" spans="1:23">
      <c r="A135" s="489"/>
      <c r="B135" s="489"/>
      <c r="C135" s="489"/>
      <c r="D135" s="489"/>
      <c r="E135" s="489"/>
      <c r="F135" s="489"/>
      <c r="G135" s="489"/>
      <c r="H135" s="489"/>
      <c r="I135" s="489"/>
      <c r="J135" s="489"/>
      <c r="K135" s="489"/>
      <c r="L135" s="489"/>
      <c r="M135" s="489"/>
      <c r="N135" s="489"/>
      <c r="O135" s="489"/>
      <c r="P135" s="489"/>
      <c r="Q135" s="489"/>
      <c r="R135" s="489"/>
      <c r="S135" s="489"/>
      <c r="T135" s="489"/>
      <c r="U135" s="489"/>
      <c r="V135" s="489"/>
      <c r="W135" s="489"/>
    </row>
    <row r="136" spans="1:23">
      <c r="A136" s="489"/>
      <c r="B136" s="489"/>
      <c r="C136" s="489"/>
      <c r="D136" s="489"/>
      <c r="E136" s="489"/>
      <c r="F136" s="489"/>
      <c r="G136" s="489"/>
      <c r="H136" s="489"/>
      <c r="I136" s="489"/>
      <c r="J136" s="489"/>
      <c r="K136" s="489"/>
      <c r="L136" s="489"/>
      <c r="M136" s="489"/>
      <c r="N136" s="489"/>
      <c r="O136" s="489"/>
      <c r="P136" s="489"/>
      <c r="Q136" s="489"/>
      <c r="R136" s="489"/>
      <c r="S136" s="489"/>
      <c r="T136" s="489"/>
      <c r="U136" s="489"/>
      <c r="V136" s="489"/>
      <c r="W136" s="489"/>
    </row>
    <row r="137" spans="1:23">
      <c r="A137" s="489"/>
      <c r="B137" s="489"/>
      <c r="C137" s="489"/>
      <c r="D137" s="489"/>
      <c r="E137" s="489"/>
      <c r="F137" s="489"/>
      <c r="G137" s="489"/>
      <c r="H137" s="489"/>
      <c r="I137" s="489"/>
      <c r="J137" s="489"/>
      <c r="K137" s="489"/>
      <c r="L137" s="489"/>
      <c r="M137" s="489"/>
      <c r="N137" s="489"/>
      <c r="O137" s="489"/>
      <c r="P137" s="489"/>
      <c r="Q137" s="489"/>
      <c r="R137" s="489"/>
      <c r="S137" s="489"/>
      <c r="T137" s="489"/>
      <c r="U137" s="489"/>
      <c r="V137" s="489"/>
      <c r="W137" s="489"/>
    </row>
    <row r="138" spans="1:23">
      <c r="A138" s="489"/>
      <c r="B138" s="489"/>
      <c r="C138" s="489"/>
      <c r="D138" s="489"/>
      <c r="E138" s="489"/>
      <c r="F138" s="489"/>
      <c r="G138" s="489"/>
      <c r="H138" s="489"/>
      <c r="I138" s="489"/>
      <c r="J138" s="489"/>
      <c r="K138" s="489"/>
      <c r="L138" s="489"/>
      <c r="M138" s="489"/>
      <c r="N138" s="489"/>
      <c r="O138" s="489"/>
      <c r="P138" s="489"/>
      <c r="Q138" s="489"/>
      <c r="R138" s="489"/>
      <c r="S138" s="489"/>
      <c r="T138" s="489"/>
      <c r="U138" s="489"/>
      <c r="V138" s="489"/>
      <c r="W138" s="489"/>
    </row>
    <row r="139" spans="1:23">
      <c r="A139" s="489"/>
      <c r="B139" s="489"/>
      <c r="C139" s="489"/>
      <c r="D139" s="489"/>
      <c r="E139" s="489"/>
      <c r="F139" s="489"/>
      <c r="G139" s="489"/>
      <c r="H139" s="489"/>
      <c r="I139" s="489"/>
      <c r="J139" s="489"/>
      <c r="K139" s="489"/>
      <c r="L139" s="489"/>
      <c r="M139" s="489"/>
      <c r="N139" s="489"/>
      <c r="O139" s="489"/>
      <c r="P139" s="489"/>
      <c r="Q139" s="489"/>
      <c r="R139" s="489"/>
      <c r="S139" s="489"/>
      <c r="T139" s="489"/>
      <c r="U139" s="489"/>
      <c r="V139" s="489"/>
      <c r="W139" s="489"/>
    </row>
    <row r="140" spans="1:23">
      <c r="A140" s="489"/>
      <c r="B140" s="489"/>
      <c r="C140" s="489"/>
      <c r="D140" s="489"/>
      <c r="E140" s="489"/>
      <c r="F140" s="489"/>
      <c r="G140" s="489"/>
      <c r="H140" s="489"/>
      <c r="I140" s="489"/>
      <c r="J140" s="489"/>
      <c r="K140" s="489"/>
      <c r="L140" s="489"/>
      <c r="M140" s="489"/>
      <c r="N140" s="489"/>
      <c r="O140" s="489"/>
      <c r="P140" s="489"/>
      <c r="Q140" s="489"/>
      <c r="R140" s="489"/>
      <c r="S140" s="489"/>
      <c r="T140" s="489"/>
      <c r="U140" s="489"/>
      <c r="V140" s="489"/>
      <c r="W140" s="489"/>
    </row>
    <row r="141" spans="1:23">
      <c r="A141" s="489"/>
      <c r="B141" s="489"/>
      <c r="C141" s="489"/>
      <c r="D141" s="489"/>
      <c r="E141" s="489"/>
      <c r="F141" s="489"/>
      <c r="G141" s="489"/>
      <c r="H141" s="489"/>
      <c r="I141" s="489"/>
      <c r="J141" s="489"/>
      <c r="K141" s="489"/>
      <c r="L141" s="489"/>
      <c r="M141" s="489"/>
      <c r="N141" s="489"/>
      <c r="O141" s="489"/>
      <c r="P141" s="489"/>
      <c r="Q141" s="489"/>
      <c r="R141" s="489"/>
      <c r="S141" s="489"/>
      <c r="T141" s="489"/>
      <c r="U141" s="489"/>
      <c r="V141" s="489"/>
      <c r="W141" s="489"/>
    </row>
    <row r="142" spans="1:23">
      <c r="A142" s="489"/>
      <c r="B142" s="489"/>
      <c r="C142" s="489"/>
      <c r="D142" s="489"/>
      <c r="E142" s="489"/>
      <c r="F142" s="489"/>
      <c r="G142" s="489"/>
      <c r="H142" s="489"/>
      <c r="I142" s="489"/>
      <c r="J142" s="489"/>
      <c r="K142" s="489"/>
      <c r="L142" s="489"/>
      <c r="M142" s="489"/>
      <c r="N142" s="489"/>
      <c r="O142" s="489"/>
      <c r="P142" s="489"/>
      <c r="Q142" s="489"/>
      <c r="R142" s="489"/>
      <c r="S142" s="489"/>
      <c r="T142" s="489"/>
      <c r="U142" s="489"/>
      <c r="V142" s="489"/>
      <c r="W142" s="489"/>
    </row>
    <row r="143" spans="1:23">
      <c r="A143" s="489"/>
      <c r="B143" s="489"/>
      <c r="C143" s="489"/>
      <c r="D143" s="489"/>
      <c r="E143" s="489"/>
      <c r="F143" s="489"/>
      <c r="G143" s="489"/>
      <c r="H143" s="489"/>
      <c r="I143" s="489"/>
      <c r="J143" s="489"/>
      <c r="K143" s="489"/>
      <c r="L143" s="489"/>
      <c r="M143" s="489"/>
      <c r="N143" s="489"/>
      <c r="O143" s="489"/>
      <c r="P143" s="489"/>
      <c r="Q143" s="489"/>
      <c r="R143" s="489"/>
      <c r="S143" s="489"/>
      <c r="T143" s="489"/>
      <c r="U143" s="489"/>
      <c r="V143" s="489"/>
      <c r="W143" s="489"/>
    </row>
    <row r="144" spans="1:23">
      <c r="A144" s="489"/>
      <c r="B144" s="489"/>
      <c r="C144" s="489"/>
      <c r="D144" s="489"/>
      <c r="E144" s="489"/>
      <c r="F144" s="489"/>
      <c r="G144" s="489"/>
      <c r="H144" s="489"/>
      <c r="I144" s="489"/>
      <c r="J144" s="489"/>
      <c r="K144" s="489"/>
      <c r="L144" s="489"/>
      <c r="M144" s="489"/>
      <c r="N144" s="489"/>
      <c r="O144" s="489"/>
      <c r="P144" s="489"/>
      <c r="Q144" s="489"/>
      <c r="R144" s="489"/>
      <c r="S144" s="489"/>
      <c r="T144" s="489"/>
      <c r="U144" s="489"/>
      <c r="V144" s="489"/>
      <c r="W144" s="489"/>
    </row>
    <row r="145" spans="1:23">
      <c r="A145" s="489"/>
      <c r="B145" s="489"/>
      <c r="C145" s="489"/>
      <c r="D145" s="489"/>
      <c r="E145" s="489"/>
      <c r="F145" s="489"/>
      <c r="G145" s="489"/>
      <c r="H145" s="489"/>
      <c r="I145" s="489"/>
      <c r="J145" s="489"/>
      <c r="K145" s="489"/>
      <c r="L145" s="489"/>
      <c r="M145" s="489"/>
      <c r="N145" s="489"/>
      <c r="O145" s="489"/>
      <c r="P145" s="489"/>
      <c r="Q145" s="489"/>
      <c r="R145" s="489"/>
      <c r="S145" s="489"/>
      <c r="T145" s="489"/>
      <c r="U145" s="489"/>
      <c r="V145" s="489"/>
      <c r="W145" s="489"/>
    </row>
    <row r="146" spans="1:23">
      <c r="A146" s="489"/>
      <c r="B146" s="489"/>
      <c r="C146" s="489"/>
      <c r="D146" s="489"/>
      <c r="E146" s="489"/>
      <c r="F146" s="489"/>
      <c r="G146" s="489"/>
      <c r="H146" s="489"/>
      <c r="I146" s="489"/>
      <c r="J146" s="489"/>
      <c r="K146" s="489"/>
      <c r="L146" s="489"/>
      <c r="M146" s="489"/>
      <c r="N146" s="489"/>
      <c r="O146" s="489"/>
      <c r="P146" s="489"/>
      <c r="Q146" s="489"/>
      <c r="R146" s="489"/>
      <c r="S146" s="489"/>
      <c r="T146" s="489"/>
      <c r="U146" s="489"/>
      <c r="V146" s="489"/>
      <c r="W146" s="489"/>
    </row>
    <row r="147" spans="1:23">
      <c r="A147" s="489"/>
      <c r="B147" s="489"/>
      <c r="C147" s="489"/>
      <c r="D147" s="489"/>
      <c r="E147" s="489"/>
      <c r="F147" s="489"/>
      <c r="G147" s="489"/>
      <c r="H147" s="489"/>
      <c r="I147" s="489"/>
      <c r="J147" s="489"/>
      <c r="K147" s="489"/>
      <c r="L147" s="489"/>
      <c r="M147" s="489"/>
      <c r="N147" s="489"/>
      <c r="O147" s="489"/>
      <c r="P147" s="489"/>
      <c r="Q147" s="489"/>
      <c r="R147" s="489"/>
      <c r="S147" s="489"/>
      <c r="T147" s="489"/>
      <c r="U147" s="489"/>
      <c r="V147" s="489"/>
      <c r="W147" s="489"/>
    </row>
    <row r="148" spans="1:23">
      <c r="A148" s="489"/>
      <c r="B148" s="489"/>
      <c r="C148" s="489"/>
      <c r="D148" s="489"/>
      <c r="E148" s="489"/>
      <c r="F148" s="489"/>
      <c r="G148" s="489"/>
      <c r="H148" s="489"/>
      <c r="I148" s="489"/>
      <c r="J148" s="489"/>
      <c r="K148" s="489"/>
      <c r="L148" s="489"/>
      <c r="M148" s="489"/>
      <c r="N148" s="489"/>
      <c r="O148" s="489"/>
      <c r="P148" s="489"/>
      <c r="Q148" s="489"/>
      <c r="R148" s="489"/>
      <c r="S148" s="489"/>
      <c r="T148" s="489"/>
      <c r="U148" s="489"/>
      <c r="V148" s="489"/>
      <c r="W148" s="489"/>
    </row>
    <row r="149" spans="1:23">
      <c r="A149" s="489"/>
      <c r="B149" s="489"/>
      <c r="C149" s="489"/>
      <c r="D149" s="489"/>
      <c r="E149" s="489"/>
      <c r="F149" s="489"/>
      <c r="G149" s="489"/>
      <c r="H149" s="489"/>
      <c r="I149" s="489"/>
      <c r="J149" s="489"/>
      <c r="K149" s="489"/>
      <c r="L149" s="489"/>
      <c r="M149" s="489"/>
      <c r="N149" s="489"/>
      <c r="O149" s="489"/>
      <c r="P149" s="489"/>
      <c r="Q149" s="489"/>
      <c r="R149" s="489"/>
      <c r="S149" s="489"/>
      <c r="T149" s="489"/>
      <c r="U149" s="489"/>
      <c r="V149" s="489"/>
      <c r="W149" s="489"/>
    </row>
    <row r="150" spans="1:23">
      <c r="A150" s="489"/>
      <c r="B150" s="489"/>
      <c r="C150" s="489"/>
      <c r="D150" s="489"/>
      <c r="E150" s="489"/>
      <c r="F150" s="489"/>
      <c r="G150" s="489"/>
      <c r="H150" s="489"/>
      <c r="I150" s="489"/>
      <c r="J150" s="489"/>
      <c r="K150" s="489"/>
      <c r="L150" s="489"/>
      <c r="M150" s="489"/>
      <c r="N150" s="489"/>
      <c r="O150" s="489"/>
      <c r="P150" s="489"/>
      <c r="Q150" s="489"/>
      <c r="R150" s="489"/>
      <c r="S150" s="489"/>
      <c r="T150" s="489"/>
      <c r="U150" s="489"/>
      <c r="V150" s="489"/>
      <c r="W150" s="489"/>
    </row>
    <row r="151" spans="1:23">
      <c r="A151" s="489"/>
      <c r="B151" s="489"/>
      <c r="C151" s="489"/>
      <c r="D151" s="489"/>
      <c r="E151" s="489"/>
      <c r="F151" s="489"/>
      <c r="G151" s="489"/>
      <c r="H151" s="489"/>
      <c r="I151" s="489"/>
      <c r="J151" s="489"/>
      <c r="K151" s="489"/>
      <c r="L151" s="489"/>
      <c r="M151" s="489"/>
      <c r="N151" s="489"/>
      <c r="O151" s="489"/>
      <c r="P151" s="489"/>
      <c r="Q151" s="489"/>
      <c r="R151" s="489"/>
      <c r="S151" s="489"/>
      <c r="T151" s="489"/>
      <c r="U151" s="489"/>
      <c r="V151" s="489"/>
      <c r="W151" s="489"/>
    </row>
    <row r="152" spans="1:23">
      <c r="A152" s="489"/>
      <c r="B152" s="489"/>
      <c r="C152" s="489"/>
      <c r="D152" s="489"/>
      <c r="E152" s="489"/>
      <c r="F152" s="489"/>
      <c r="G152" s="489"/>
      <c r="H152" s="489"/>
      <c r="I152" s="489"/>
      <c r="J152" s="489"/>
      <c r="K152" s="489"/>
      <c r="L152" s="489"/>
      <c r="M152" s="489"/>
      <c r="N152" s="489"/>
      <c r="O152" s="489"/>
      <c r="P152" s="489"/>
      <c r="Q152" s="489"/>
      <c r="R152" s="489"/>
      <c r="S152" s="489"/>
      <c r="T152" s="489"/>
      <c r="U152" s="489"/>
      <c r="V152" s="489"/>
      <c r="W152" s="489"/>
    </row>
    <row r="153" spans="1:23">
      <c r="A153" s="489"/>
      <c r="B153" s="489"/>
      <c r="C153" s="489"/>
      <c r="D153" s="489"/>
      <c r="E153" s="489"/>
      <c r="F153" s="489"/>
      <c r="G153" s="489"/>
      <c r="H153" s="489"/>
      <c r="I153" s="489"/>
      <c r="J153" s="489"/>
      <c r="K153" s="489"/>
      <c r="L153" s="489"/>
      <c r="M153" s="489"/>
      <c r="N153" s="489"/>
      <c r="O153" s="489"/>
      <c r="P153" s="489"/>
      <c r="Q153" s="489"/>
      <c r="R153" s="489"/>
      <c r="S153" s="489"/>
      <c r="T153" s="489"/>
      <c r="U153" s="489"/>
      <c r="V153" s="489"/>
      <c r="W153" s="489"/>
    </row>
    <row r="154" spans="1:23">
      <c r="A154" s="489"/>
      <c r="B154" s="489"/>
      <c r="C154" s="489"/>
      <c r="D154" s="489"/>
      <c r="E154" s="489"/>
      <c r="F154" s="489"/>
      <c r="G154" s="489"/>
      <c r="H154" s="489"/>
      <c r="I154" s="489"/>
      <c r="J154" s="489"/>
      <c r="K154" s="489"/>
      <c r="L154" s="489"/>
      <c r="M154" s="489"/>
      <c r="N154" s="489"/>
      <c r="O154" s="489"/>
      <c r="P154" s="489"/>
      <c r="Q154" s="489"/>
      <c r="R154" s="489"/>
      <c r="S154" s="489"/>
      <c r="T154" s="489"/>
      <c r="U154" s="489"/>
      <c r="V154" s="489"/>
      <c r="W154" s="489"/>
    </row>
    <row r="155" spans="1:23">
      <c r="A155" s="489"/>
      <c r="B155" s="489"/>
      <c r="C155" s="489"/>
      <c r="D155" s="489"/>
      <c r="E155" s="489"/>
      <c r="F155" s="489"/>
      <c r="G155" s="489"/>
      <c r="H155" s="489"/>
      <c r="I155" s="489"/>
      <c r="J155" s="489"/>
      <c r="K155" s="489"/>
      <c r="L155" s="489"/>
      <c r="M155" s="489"/>
      <c r="N155" s="489"/>
      <c r="O155" s="489"/>
      <c r="P155" s="489"/>
      <c r="Q155" s="489"/>
      <c r="R155" s="489"/>
      <c r="S155" s="489"/>
      <c r="T155" s="489"/>
      <c r="U155" s="489"/>
      <c r="V155" s="489"/>
      <c r="W155" s="489"/>
    </row>
    <row r="156" spans="1:23">
      <c r="A156" s="489"/>
      <c r="B156" s="489"/>
      <c r="C156" s="489"/>
      <c r="D156" s="489"/>
      <c r="E156" s="489"/>
      <c r="F156" s="489"/>
      <c r="G156" s="489"/>
      <c r="H156" s="489"/>
      <c r="I156" s="489"/>
      <c r="J156" s="489"/>
      <c r="K156" s="489"/>
      <c r="L156" s="489"/>
      <c r="M156" s="489"/>
      <c r="N156" s="489"/>
      <c r="O156" s="489"/>
      <c r="P156" s="489"/>
      <c r="Q156" s="489"/>
      <c r="R156" s="489"/>
      <c r="S156" s="489"/>
      <c r="T156" s="489"/>
      <c r="U156" s="489"/>
      <c r="V156" s="489"/>
      <c r="W156" s="489"/>
    </row>
    <row r="157" spans="1:23">
      <c r="A157" s="489"/>
      <c r="B157" s="489"/>
      <c r="C157" s="489"/>
      <c r="D157" s="489"/>
      <c r="E157" s="489"/>
      <c r="F157" s="489"/>
      <c r="G157" s="489"/>
      <c r="H157" s="489"/>
      <c r="I157" s="489"/>
      <c r="J157" s="489"/>
      <c r="K157" s="489"/>
      <c r="L157" s="489"/>
      <c r="M157" s="489"/>
      <c r="N157" s="489"/>
      <c r="O157" s="489"/>
      <c r="P157" s="489"/>
      <c r="Q157" s="489"/>
      <c r="R157" s="489"/>
      <c r="S157" s="489"/>
      <c r="T157" s="489"/>
      <c r="U157" s="489"/>
      <c r="V157" s="489"/>
      <c r="W157" s="489"/>
    </row>
    <row r="158" spans="1:23">
      <c r="A158" s="489"/>
      <c r="B158" s="489"/>
      <c r="C158" s="489"/>
      <c r="D158" s="489"/>
      <c r="E158" s="489"/>
      <c r="F158" s="489"/>
      <c r="G158" s="489"/>
      <c r="H158" s="489"/>
      <c r="I158" s="489"/>
      <c r="J158" s="489"/>
      <c r="K158" s="489"/>
      <c r="L158" s="489"/>
      <c r="M158" s="489"/>
      <c r="N158" s="489"/>
      <c r="O158" s="489"/>
      <c r="P158" s="489"/>
      <c r="Q158" s="489"/>
      <c r="R158" s="489"/>
      <c r="S158" s="489"/>
      <c r="T158" s="489"/>
      <c r="U158" s="489"/>
      <c r="V158" s="489"/>
      <c r="W158" s="489"/>
    </row>
    <row r="159" spans="1:23">
      <c r="A159" s="489"/>
      <c r="B159" s="489"/>
      <c r="C159" s="489"/>
      <c r="D159" s="489"/>
      <c r="E159" s="489"/>
      <c r="F159" s="489"/>
      <c r="G159" s="489"/>
      <c r="H159" s="489"/>
      <c r="I159" s="489"/>
      <c r="J159" s="489"/>
      <c r="K159" s="489"/>
      <c r="L159" s="489"/>
      <c r="M159" s="489"/>
      <c r="N159" s="489"/>
      <c r="O159" s="489"/>
      <c r="P159" s="489"/>
      <c r="Q159" s="489"/>
      <c r="R159" s="489"/>
      <c r="S159" s="489"/>
      <c r="T159" s="489"/>
      <c r="U159" s="489"/>
      <c r="V159" s="489"/>
      <c r="W159" s="489"/>
    </row>
    <row r="160" spans="1:23">
      <c r="A160" s="489"/>
      <c r="B160" s="489"/>
      <c r="C160" s="489"/>
      <c r="D160" s="489"/>
      <c r="E160" s="489"/>
      <c r="F160" s="489"/>
      <c r="G160" s="489"/>
      <c r="H160" s="489"/>
      <c r="I160" s="489"/>
      <c r="J160" s="489"/>
      <c r="K160" s="489"/>
      <c r="L160" s="489"/>
      <c r="M160" s="489"/>
      <c r="N160" s="489"/>
      <c r="O160" s="489"/>
      <c r="P160" s="489"/>
      <c r="Q160" s="489"/>
      <c r="R160" s="489"/>
      <c r="S160" s="489"/>
      <c r="T160" s="489"/>
      <c r="U160" s="489"/>
      <c r="V160" s="489"/>
      <c r="W160" s="489"/>
    </row>
    <row r="161" spans="1:23">
      <c r="A161" s="489"/>
      <c r="B161" s="489"/>
      <c r="C161" s="489"/>
      <c r="D161" s="489"/>
      <c r="E161" s="489"/>
      <c r="F161" s="489"/>
      <c r="G161" s="489"/>
      <c r="H161" s="489"/>
      <c r="I161" s="489"/>
      <c r="J161" s="489"/>
      <c r="K161" s="489"/>
      <c r="L161" s="489"/>
      <c r="M161" s="489"/>
      <c r="N161" s="489"/>
      <c r="O161" s="489"/>
      <c r="P161" s="489"/>
      <c r="Q161" s="489"/>
      <c r="R161" s="489"/>
      <c r="S161" s="489"/>
      <c r="T161" s="489"/>
      <c r="U161" s="489"/>
      <c r="V161" s="489"/>
      <c r="W161" s="489"/>
    </row>
    <row r="162" spans="1:23">
      <c r="A162" s="489"/>
      <c r="B162" s="489"/>
      <c r="C162" s="489"/>
      <c r="D162" s="489"/>
      <c r="E162" s="489"/>
      <c r="F162" s="489"/>
      <c r="G162" s="489"/>
      <c r="H162" s="489"/>
      <c r="I162" s="489"/>
      <c r="J162" s="489"/>
      <c r="K162" s="489"/>
      <c r="L162" s="489"/>
      <c r="M162" s="489"/>
      <c r="N162" s="489"/>
      <c r="O162" s="489"/>
      <c r="P162" s="489"/>
      <c r="Q162" s="489"/>
      <c r="R162" s="489"/>
      <c r="S162" s="489"/>
      <c r="T162" s="489"/>
      <c r="U162" s="489"/>
      <c r="V162" s="489"/>
      <c r="W162" s="489"/>
    </row>
    <row r="163" spans="1:23">
      <c r="A163" s="489"/>
      <c r="B163" s="489"/>
      <c r="C163" s="489"/>
      <c r="D163" s="489"/>
      <c r="E163" s="489"/>
      <c r="F163" s="489"/>
      <c r="G163" s="489"/>
      <c r="H163" s="489"/>
      <c r="I163" s="489"/>
      <c r="J163" s="489"/>
      <c r="K163" s="489"/>
      <c r="L163" s="489"/>
      <c r="M163" s="489"/>
      <c r="N163" s="489"/>
      <c r="O163" s="489"/>
      <c r="P163" s="489"/>
      <c r="Q163" s="489"/>
      <c r="R163" s="489"/>
      <c r="S163" s="489"/>
      <c r="T163" s="489"/>
      <c r="U163" s="489"/>
      <c r="V163" s="489"/>
      <c r="W163" s="489"/>
    </row>
    <row r="164" spans="1:23">
      <c r="A164" s="489"/>
      <c r="B164" s="489"/>
      <c r="C164" s="489"/>
      <c r="D164" s="489"/>
      <c r="E164" s="489"/>
      <c r="F164" s="489"/>
      <c r="G164" s="489"/>
      <c r="H164" s="489"/>
      <c r="I164" s="489"/>
      <c r="J164" s="489"/>
      <c r="K164" s="489"/>
      <c r="L164" s="489"/>
      <c r="M164" s="489"/>
      <c r="N164" s="489"/>
      <c r="O164" s="489"/>
      <c r="P164" s="489"/>
      <c r="Q164" s="489"/>
      <c r="R164" s="489"/>
      <c r="S164" s="489"/>
      <c r="T164" s="489"/>
      <c r="U164" s="489"/>
      <c r="V164" s="489"/>
      <c r="W164" s="489"/>
    </row>
    <row r="165" spans="1:23">
      <c r="A165" s="489"/>
      <c r="B165" s="489"/>
      <c r="C165" s="489"/>
      <c r="D165" s="489"/>
      <c r="E165" s="489"/>
      <c r="F165" s="489"/>
      <c r="G165" s="489"/>
      <c r="H165" s="489"/>
      <c r="I165" s="489"/>
      <c r="J165" s="489"/>
      <c r="K165" s="489"/>
      <c r="L165" s="489"/>
      <c r="M165" s="489"/>
      <c r="N165" s="489"/>
      <c r="O165" s="489"/>
      <c r="P165" s="489"/>
      <c r="Q165" s="489"/>
      <c r="R165" s="489"/>
      <c r="S165" s="489"/>
      <c r="T165" s="489"/>
      <c r="U165" s="489"/>
      <c r="V165" s="489"/>
      <c r="W165" s="489"/>
    </row>
    <row r="166" spans="1:23">
      <c r="A166" s="489"/>
      <c r="B166" s="489"/>
      <c r="C166" s="489"/>
      <c r="D166" s="489"/>
      <c r="E166" s="489"/>
      <c r="F166" s="489"/>
      <c r="G166" s="489"/>
      <c r="H166" s="489"/>
      <c r="I166" s="489"/>
      <c r="J166" s="489"/>
      <c r="K166" s="489"/>
      <c r="L166" s="489"/>
      <c r="M166" s="489"/>
      <c r="N166" s="489"/>
      <c r="O166" s="489"/>
      <c r="P166" s="489"/>
      <c r="Q166" s="489"/>
      <c r="R166" s="489"/>
      <c r="S166" s="489"/>
      <c r="T166" s="489"/>
      <c r="U166" s="489"/>
      <c r="V166" s="489"/>
      <c r="W166" s="489"/>
    </row>
    <row r="167" spans="1:23">
      <c r="A167" s="489"/>
      <c r="B167" s="489"/>
      <c r="C167" s="489"/>
      <c r="D167" s="489"/>
      <c r="E167" s="489"/>
      <c r="F167" s="489"/>
      <c r="G167" s="489"/>
      <c r="H167" s="489"/>
      <c r="I167" s="489"/>
      <c r="J167" s="489"/>
      <c r="K167" s="489"/>
      <c r="L167" s="489"/>
      <c r="M167" s="489"/>
      <c r="N167" s="489"/>
      <c r="O167" s="489"/>
      <c r="P167" s="489"/>
      <c r="Q167" s="489"/>
      <c r="R167" s="489"/>
      <c r="S167" s="489"/>
      <c r="T167" s="489"/>
      <c r="U167" s="489"/>
      <c r="V167" s="489"/>
      <c r="W167" s="489"/>
    </row>
    <row r="168" spans="1:23">
      <c r="A168" s="489"/>
      <c r="B168" s="489"/>
      <c r="C168" s="489"/>
      <c r="D168" s="489"/>
      <c r="E168" s="489"/>
      <c r="F168" s="489"/>
      <c r="G168" s="489"/>
      <c r="H168" s="489"/>
      <c r="I168" s="489"/>
      <c r="J168" s="489"/>
      <c r="K168" s="489"/>
      <c r="L168" s="489"/>
      <c r="M168" s="489"/>
      <c r="N168" s="489"/>
      <c r="O168" s="489"/>
      <c r="P168" s="489"/>
      <c r="Q168" s="489"/>
      <c r="R168" s="489"/>
      <c r="S168" s="489"/>
      <c r="T168" s="489"/>
      <c r="U168" s="489"/>
      <c r="V168" s="489"/>
      <c r="W168" s="489"/>
    </row>
    <row r="169" spans="1:23">
      <c r="A169" s="489"/>
      <c r="B169" s="489"/>
      <c r="C169" s="489"/>
      <c r="D169" s="489"/>
      <c r="E169" s="489"/>
      <c r="F169" s="489"/>
      <c r="G169" s="489"/>
      <c r="H169" s="489"/>
      <c r="I169" s="489"/>
      <c r="J169" s="489"/>
      <c r="K169" s="489"/>
      <c r="L169" s="489"/>
      <c r="M169" s="489"/>
      <c r="N169" s="489"/>
      <c r="O169" s="489"/>
      <c r="P169" s="489"/>
      <c r="Q169" s="489"/>
      <c r="R169" s="489"/>
      <c r="S169" s="489"/>
      <c r="T169" s="489"/>
      <c r="U169" s="489"/>
      <c r="V169" s="489"/>
      <c r="W169" s="489"/>
    </row>
    <row r="170" spans="1:23">
      <c r="A170" s="489"/>
      <c r="B170" s="489"/>
      <c r="C170" s="489"/>
      <c r="D170" s="489"/>
      <c r="E170" s="489"/>
      <c r="F170" s="489"/>
      <c r="G170" s="489"/>
      <c r="H170" s="489"/>
      <c r="I170" s="489"/>
      <c r="J170" s="489"/>
      <c r="K170" s="489"/>
      <c r="L170" s="489"/>
      <c r="M170" s="489"/>
      <c r="N170" s="489"/>
      <c r="O170" s="489"/>
      <c r="P170" s="489"/>
      <c r="Q170" s="489"/>
      <c r="R170" s="489"/>
      <c r="S170" s="489"/>
      <c r="T170" s="489"/>
      <c r="U170" s="489"/>
      <c r="V170" s="489"/>
      <c r="W170" s="489"/>
    </row>
    <row r="171" spans="1:23">
      <c r="A171" s="489"/>
      <c r="B171" s="489"/>
      <c r="C171" s="489"/>
      <c r="D171" s="489"/>
      <c r="E171" s="489"/>
      <c r="F171" s="489"/>
      <c r="G171" s="489"/>
      <c r="H171" s="489"/>
      <c r="I171" s="489"/>
      <c r="J171" s="489"/>
      <c r="K171" s="489"/>
      <c r="L171" s="489"/>
      <c r="M171" s="489"/>
      <c r="N171" s="489"/>
      <c r="O171" s="489"/>
      <c r="P171" s="489"/>
      <c r="Q171" s="489"/>
      <c r="R171" s="489"/>
      <c r="S171" s="489"/>
      <c r="T171" s="489"/>
      <c r="U171" s="489"/>
      <c r="V171" s="489"/>
      <c r="W171" s="489"/>
    </row>
    <row r="172" spans="1:23">
      <c r="A172" s="489"/>
      <c r="B172" s="489"/>
      <c r="C172" s="489"/>
      <c r="D172" s="489"/>
      <c r="E172" s="489"/>
      <c r="F172" s="489"/>
      <c r="G172" s="489"/>
      <c r="H172" s="489"/>
      <c r="I172" s="489"/>
      <c r="J172" s="489"/>
      <c r="K172" s="489"/>
      <c r="L172" s="489"/>
      <c r="M172" s="489"/>
      <c r="N172" s="489"/>
      <c r="O172" s="489"/>
      <c r="P172" s="489"/>
      <c r="Q172" s="489"/>
      <c r="R172" s="489"/>
      <c r="S172" s="489"/>
      <c r="T172" s="489"/>
      <c r="U172" s="489"/>
      <c r="V172" s="489"/>
      <c r="W172" s="489"/>
    </row>
    <row r="173" spans="1:23">
      <c r="A173" s="489"/>
      <c r="B173" s="489"/>
      <c r="C173" s="489"/>
      <c r="D173" s="489"/>
      <c r="E173" s="489"/>
      <c r="F173" s="489"/>
      <c r="G173" s="489"/>
      <c r="H173" s="489"/>
      <c r="I173" s="489"/>
      <c r="J173" s="489"/>
      <c r="K173" s="489"/>
      <c r="L173" s="489"/>
      <c r="M173" s="489"/>
      <c r="N173" s="489"/>
      <c r="O173" s="489"/>
      <c r="P173" s="489"/>
      <c r="Q173" s="489"/>
      <c r="R173" s="489"/>
      <c r="S173" s="489"/>
      <c r="T173" s="489"/>
      <c r="U173" s="489"/>
      <c r="V173" s="489"/>
      <c r="W173" s="489"/>
    </row>
    <row r="174" spans="1:23">
      <c r="A174" s="489"/>
      <c r="B174" s="489"/>
      <c r="C174" s="489"/>
      <c r="D174" s="489"/>
      <c r="E174" s="489"/>
      <c r="F174" s="489"/>
      <c r="G174" s="489"/>
      <c r="H174" s="489"/>
      <c r="I174" s="489"/>
      <c r="J174" s="489"/>
      <c r="K174" s="489"/>
      <c r="L174" s="489"/>
      <c r="M174" s="489"/>
      <c r="N174" s="489"/>
      <c r="O174" s="489"/>
      <c r="P174" s="489"/>
      <c r="Q174" s="489"/>
      <c r="R174" s="489"/>
      <c r="S174" s="489"/>
      <c r="T174" s="489"/>
      <c r="U174" s="489"/>
      <c r="V174" s="489"/>
      <c r="W174" s="489"/>
    </row>
    <row r="175" spans="1:23">
      <c r="A175" s="489"/>
      <c r="B175" s="489"/>
      <c r="C175" s="489"/>
      <c r="D175" s="489"/>
      <c r="E175" s="489"/>
      <c r="F175" s="489"/>
      <c r="G175" s="489"/>
      <c r="H175" s="489"/>
      <c r="I175" s="489"/>
      <c r="J175" s="489"/>
      <c r="K175" s="489"/>
      <c r="L175" s="489"/>
      <c r="M175" s="489"/>
      <c r="N175" s="489"/>
      <c r="O175" s="489"/>
      <c r="P175" s="489"/>
      <c r="Q175" s="489"/>
      <c r="R175" s="489"/>
      <c r="S175" s="489"/>
      <c r="T175" s="489"/>
      <c r="U175" s="489"/>
      <c r="V175" s="489"/>
      <c r="W175" s="489"/>
    </row>
    <row r="176" spans="1:23">
      <c r="A176" s="489"/>
      <c r="B176" s="489"/>
      <c r="C176" s="489"/>
      <c r="D176" s="489"/>
      <c r="E176" s="489"/>
      <c r="F176" s="489"/>
      <c r="G176" s="489"/>
      <c r="H176" s="489"/>
      <c r="I176" s="489"/>
      <c r="J176" s="489"/>
      <c r="K176" s="489"/>
      <c r="L176" s="489"/>
      <c r="M176" s="489"/>
      <c r="N176" s="489"/>
      <c r="O176" s="489"/>
      <c r="P176" s="489"/>
      <c r="Q176" s="489"/>
      <c r="R176" s="489"/>
      <c r="S176" s="489"/>
      <c r="T176" s="489"/>
      <c r="U176" s="489"/>
      <c r="V176" s="489"/>
      <c r="W176" s="489"/>
    </row>
    <row r="177" spans="1:23">
      <c r="A177" s="489"/>
      <c r="B177" s="489"/>
      <c r="C177" s="489"/>
      <c r="D177" s="489"/>
      <c r="E177" s="489"/>
      <c r="F177" s="489"/>
      <c r="G177" s="489"/>
      <c r="H177" s="489"/>
      <c r="I177" s="489"/>
      <c r="J177" s="489"/>
      <c r="K177" s="489"/>
      <c r="L177" s="489"/>
      <c r="M177" s="489"/>
      <c r="N177" s="489"/>
      <c r="O177" s="489"/>
      <c r="P177" s="489"/>
      <c r="Q177" s="489"/>
      <c r="R177" s="489"/>
      <c r="S177" s="489"/>
      <c r="T177" s="489"/>
      <c r="U177" s="489"/>
      <c r="V177" s="489"/>
      <c r="W177" s="489"/>
    </row>
    <row r="178" spans="1:23">
      <c r="A178" s="489"/>
      <c r="B178" s="489"/>
      <c r="C178" s="489"/>
      <c r="D178" s="489"/>
      <c r="E178" s="489"/>
      <c r="F178" s="489"/>
      <c r="G178" s="489"/>
      <c r="H178" s="489"/>
      <c r="I178" s="489"/>
      <c r="J178" s="489"/>
      <c r="K178" s="489"/>
      <c r="L178" s="489"/>
      <c r="M178" s="489"/>
      <c r="N178" s="489"/>
      <c r="O178" s="489"/>
      <c r="P178" s="489"/>
      <c r="Q178" s="489"/>
      <c r="R178" s="489"/>
      <c r="S178" s="489"/>
      <c r="T178" s="489"/>
      <c r="U178" s="489"/>
      <c r="V178" s="489"/>
      <c r="W178" s="489"/>
    </row>
    <row r="179" spans="1:23">
      <c r="A179" s="489"/>
      <c r="B179" s="489"/>
      <c r="C179" s="489"/>
      <c r="D179" s="489"/>
      <c r="E179" s="489"/>
      <c r="F179" s="489"/>
      <c r="G179" s="489"/>
      <c r="H179" s="489"/>
      <c r="I179" s="489"/>
      <c r="J179" s="489"/>
      <c r="K179" s="489"/>
      <c r="L179" s="489"/>
      <c r="M179" s="489"/>
      <c r="N179" s="489"/>
      <c r="O179" s="489"/>
      <c r="P179" s="489"/>
      <c r="Q179" s="489"/>
      <c r="R179" s="489"/>
      <c r="S179" s="489"/>
      <c r="T179" s="489"/>
      <c r="U179" s="489"/>
      <c r="V179" s="489"/>
      <c r="W179" s="489"/>
    </row>
    <row r="180" spans="1:23">
      <c r="A180" s="489"/>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row>
    <row r="181" spans="1:23">
      <c r="A181" s="489"/>
      <c r="B181" s="489"/>
      <c r="C181" s="489"/>
      <c r="D181" s="489"/>
      <c r="E181" s="489"/>
      <c r="F181" s="489"/>
      <c r="G181" s="489"/>
      <c r="H181" s="489"/>
      <c r="I181" s="489"/>
      <c r="J181" s="489"/>
      <c r="K181" s="489"/>
      <c r="L181" s="489"/>
      <c r="M181" s="489"/>
      <c r="N181" s="489"/>
      <c r="O181" s="489"/>
      <c r="P181" s="489"/>
      <c r="Q181" s="489"/>
      <c r="R181" s="489"/>
      <c r="S181" s="489"/>
      <c r="T181" s="489"/>
      <c r="U181" s="489"/>
      <c r="V181" s="489"/>
      <c r="W181" s="489"/>
    </row>
    <row r="182" spans="1:23">
      <c r="A182" s="489"/>
      <c r="B182" s="489"/>
      <c r="C182" s="489"/>
      <c r="D182" s="489"/>
      <c r="E182" s="489"/>
      <c r="F182" s="489"/>
      <c r="G182" s="489"/>
      <c r="H182" s="489"/>
      <c r="I182" s="489"/>
      <c r="J182" s="489"/>
      <c r="K182" s="489"/>
      <c r="L182" s="489"/>
      <c r="M182" s="489"/>
      <c r="N182" s="489"/>
      <c r="O182" s="489"/>
      <c r="P182" s="489"/>
      <c r="Q182" s="489"/>
      <c r="R182" s="489"/>
      <c r="S182" s="489"/>
      <c r="T182" s="489"/>
      <c r="U182" s="489"/>
      <c r="V182" s="489"/>
      <c r="W182" s="489"/>
    </row>
    <row r="183" spans="1:23">
      <c r="A183" s="489"/>
      <c r="B183" s="489"/>
      <c r="C183" s="489"/>
      <c r="D183" s="489"/>
      <c r="E183" s="489"/>
      <c r="F183" s="489"/>
      <c r="G183" s="489"/>
      <c r="H183" s="489"/>
      <c r="I183" s="489"/>
      <c r="J183" s="489"/>
      <c r="K183" s="489"/>
      <c r="L183" s="489"/>
      <c r="M183" s="489"/>
      <c r="N183" s="489"/>
      <c r="O183" s="489"/>
      <c r="P183" s="489"/>
      <c r="Q183" s="489"/>
      <c r="R183" s="489"/>
      <c r="S183" s="489"/>
      <c r="T183" s="489"/>
      <c r="U183" s="489"/>
      <c r="V183" s="489"/>
      <c r="W183" s="489"/>
    </row>
    <row r="184" spans="1:23">
      <c r="A184" s="489"/>
      <c r="B184" s="489"/>
      <c r="C184" s="489"/>
      <c r="D184" s="489"/>
      <c r="E184" s="489"/>
      <c r="F184" s="489"/>
      <c r="G184" s="489"/>
      <c r="H184" s="489"/>
      <c r="I184" s="489"/>
      <c r="J184" s="489"/>
      <c r="K184" s="489"/>
      <c r="L184" s="489"/>
      <c r="M184" s="489"/>
      <c r="N184" s="489"/>
      <c r="O184" s="489"/>
      <c r="P184" s="489"/>
      <c r="Q184" s="489"/>
      <c r="R184" s="489"/>
      <c r="S184" s="489"/>
      <c r="T184" s="489"/>
      <c r="U184" s="489"/>
      <c r="V184" s="489"/>
      <c r="W184" s="489"/>
    </row>
    <row r="185" spans="1:23">
      <c r="A185" s="489"/>
      <c r="B185" s="489"/>
      <c r="C185" s="489"/>
      <c r="D185" s="489"/>
      <c r="E185" s="489"/>
      <c r="F185" s="489"/>
      <c r="G185" s="489"/>
      <c r="H185" s="489"/>
      <c r="I185" s="489"/>
      <c r="J185" s="489"/>
      <c r="K185" s="489"/>
      <c r="L185" s="489"/>
      <c r="M185" s="489"/>
      <c r="N185" s="489"/>
      <c r="O185" s="489"/>
      <c r="P185" s="489"/>
      <c r="Q185" s="489"/>
      <c r="R185" s="489"/>
      <c r="S185" s="489"/>
      <c r="T185" s="489"/>
      <c r="U185" s="489"/>
      <c r="V185" s="489"/>
      <c r="W185" s="489"/>
    </row>
    <row r="186" spans="1:23">
      <c r="A186" s="489"/>
      <c r="B186" s="489"/>
      <c r="C186" s="489"/>
      <c r="D186" s="489"/>
      <c r="E186" s="489"/>
      <c r="F186" s="489"/>
      <c r="G186" s="489"/>
      <c r="H186" s="489"/>
      <c r="I186" s="489"/>
      <c r="J186" s="489"/>
      <c r="K186" s="489"/>
      <c r="L186" s="489"/>
      <c r="M186" s="489"/>
      <c r="N186" s="489"/>
      <c r="O186" s="489"/>
      <c r="P186" s="489"/>
      <c r="Q186" s="489"/>
      <c r="R186" s="489"/>
      <c r="S186" s="489"/>
      <c r="T186" s="489"/>
      <c r="U186" s="489"/>
      <c r="V186" s="489"/>
      <c r="W186" s="489"/>
    </row>
    <row r="187" spans="1:23">
      <c r="A187" s="489"/>
      <c r="B187" s="489"/>
      <c r="C187" s="489"/>
      <c r="D187" s="489"/>
      <c r="E187" s="489"/>
      <c r="F187" s="489"/>
      <c r="G187" s="489"/>
      <c r="H187" s="489"/>
      <c r="I187" s="489"/>
      <c r="J187" s="489"/>
      <c r="K187" s="489"/>
      <c r="L187" s="489"/>
      <c r="M187" s="489"/>
      <c r="N187" s="489"/>
      <c r="O187" s="489"/>
      <c r="P187" s="489"/>
      <c r="Q187" s="489"/>
      <c r="R187" s="489"/>
      <c r="S187" s="489"/>
      <c r="T187" s="489"/>
      <c r="U187" s="489"/>
      <c r="V187" s="489"/>
      <c r="W187" s="489"/>
    </row>
    <row r="188" spans="1:23">
      <c r="A188" s="489"/>
      <c r="B188" s="489"/>
      <c r="C188" s="489"/>
      <c r="D188" s="489"/>
      <c r="E188" s="489"/>
      <c r="F188" s="489"/>
      <c r="G188" s="489"/>
      <c r="H188" s="489"/>
      <c r="I188" s="489"/>
      <c r="J188" s="489"/>
      <c r="K188" s="489"/>
      <c r="L188" s="489"/>
      <c r="M188" s="489"/>
      <c r="N188" s="489"/>
      <c r="O188" s="489"/>
      <c r="P188" s="489"/>
      <c r="Q188" s="489"/>
      <c r="R188" s="489"/>
      <c r="S188" s="489"/>
      <c r="T188" s="489"/>
      <c r="U188" s="489"/>
      <c r="V188" s="489"/>
      <c r="W188" s="489"/>
    </row>
    <row r="189" spans="1:23">
      <c r="A189" s="489"/>
      <c r="B189" s="489"/>
      <c r="C189" s="489"/>
      <c r="D189" s="489"/>
      <c r="E189" s="489"/>
      <c r="F189" s="489"/>
      <c r="G189" s="489"/>
      <c r="H189" s="489"/>
      <c r="I189" s="489"/>
      <c r="J189" s="489"/>
      <c r="K189" s="489"/>
      <c r="L189" s="489"/>
      <c r="M189" s="489"/>
      <c r="N189" s="489"/>
      <c r="O189" s="489"/>
      <c r="P189" s="489"/>
      <c r="Q189" s="489"/>
      <c r="R189" s="489"/>
      <c r="S189" s="489"/>
      <c r="T189" s="489"/>
      <c r="U189" s="489"/>
      <c r="V189" s="489"/>
      <c r="W189" s="489"/>
    </row>
    <row r="190" spans="1:23">
      <c r="A190" s="489"/>
      <c r="B190" s="489"/>
      <c r="C190" s="489"/>
      <c r="D190" s="489"/>
      <c r="E190" s="489"/>
      <c r="F190" s="489"/>
      <c r="G190" s="489"/>
      <c r="H190" s="489"/>
      <c r="I190" s="489"/>
      <c r="J190" s="489"/>
      <c r="K190" s="489"/>
      <c r="L190" s="489"/>
      <c r="M190" s="489"/>
      <c r="N190" s="489"/>
      <c r="O190" s="489"/>
      <c r="P190" s="489"/>
      <c r="Q190" s="489"/>
      <c r="R190" s="489"/>
      <c r="S190" s="489"/>
      <c r="T190" s="489"/>
      <c r="U190" s="489"/>
      <c r="V190" s="489"/>
      <c r="W190" s="489"/>
    </row>
    <row r="191" spans="1:23">
      <c r="A191" s="489"/>
      <c r="B191" s="489"/>
      <c r="C191" s="489"/>
      <c r="D191" s="489"/>
      <c r="E191" s="489"/>
      <c r="F191" s="489"/>
      <c r="G191" s="489"/>
      <c r="H191" s="489"/>
      <c r="I191" s="489"/>
      <c r="J191" s="489"/>
      <c r="K191" s="489"/>
      <c r="L191" s="489"/>
      <c r="M191" s="489"/>
      <c r="N191" s="489"/>
      <c r="O191" s="489"/>
      <c r="P191" s="489"/>
      <c r="Q191" s="489"/>
      <c r="R191" s="489"/>
      <c r="S191" s="489"/>
      <c r="T191" s="489"/>
      <c r="U191" s="489"/>
      <c r="V191" s="489"/>
      <c r="W191" s="489"/>
    </row>
    <row r="192" spans="1:23">
      <c r="A192" s="489"/>
      <c r="B192" s="489"/>
      <c r="C192" s="489"/>
      <c r="D192" s="489"/>
      <c r="E192" s="489"/>
      <c r="F192" s="489"/>
      <c r="G192" s="489"/>
      <c r="H192" s="489"/>
      <c r="I192" s="489"/>
      <c r="J192" s="489"/>
      <c r="K192" s="489"/>
      <c r="L192" s="489"/>
      <c r="M192" s="489"/>
      <c r="N192" s="489"/>
      <c r="O192" s="489"/>
      <c r="P192" s="489"/>
      <c r="Q192" s="489"/>
      <c r="R192" s="489"/>
      <c r="S192" s="489"/>
      <c r="T192" s="489"/>
      <c r="U192" s="489"/>
      <c r="V192" s="489"/>
      <c r="W192" s="489"/>
    </row>
    <row r="193" spans="1:23">
      <c r="A193" s="489"/>
      <c r="B193" s="489"/>
      <c r="C193" s="489"/>
      <c r="D193" s="489"/>
      <c r="E193" s="489"/>
      <c r="F193" s="489"/>
      <c r="G193" s="489"/>
      <c r="H193" s="489"/>
      <c r="I193" s="489"/>
      <c r="J193" s="489"/>
      <c r="K193" s="489"/>
      <c r="L193" s="489"/>
      <c r="M193" s="489"/>
      <c r="N193" s="489"/>
      <c r="O193" s="489"/>
      <c r="P193" s="489"/>
      <c r="Q193" s="489"/>
      <c r="R193" s="489"/>
      <c r="S193" s="489"/>
      <c r="T193" s="489"/>
      <c r="U193" s="489"/>
      <c r="V193" s="489"/>
      <c r="W193" s="489"/>
    </row>
    <row r="194" spans="1:23">
      <c r="A194" s="489"/>
      <c r="B194" s="489"/>
      <c r="C194" s="489"/>
      <c r="D194" s="489"/>
      <c r="E194" s="489"/>
      <c r="F194" s="489"/>
      <c r="G194" s="489"/>
      <c r="H194" s="489"/>
      <c r="I194" s="489"/>
      <c r="J194" s="489"/>
      <c r="K194" s="489"/>
      <c r="L194" s="489"/>
      <c r="M194" s="489"/>
      <c r="N194" s="489"/>
      <c r="O194" s="489"/>
      <c r="P194" s="489"/>
      <c r="Q194" s="489"/>
      <c r="R194" s="489"/>
      <c r="S194" s="489"/>
      <c r="T194" s="489"/>
      <c r="U194" s="489"/>
      <c r="V194" s="489"/>
      <c r="W194" s="489"/>
    </row>
    <row r="195" spans="1:23">
      <c r="A195" s="489"/>
      <c r="B195" s="489"/>
      <c r="C195" s="489"/>
      <c r="D195" s="489"/>
      <c r="E195" s="489"/>
      <c r="F195" s="489"/>
      <c r="G195" s="489"/>
      <c r="H195" s="489"/>
      <c r="I195" s="489"/>
      <c r="J195" s="489"/>
      <c r="K195" s="489"/>
      <c r="L195" s="489"/>
      <c r="M195" s="489"/>
      <c r="N195" s="489"/>
      <c r="O195" s="489"/>
      <c r="P195" s="489"/>
      <c r="Q195" s="489"/>
      <c r="R195" s="489"/>
      <c r="S195" s="489"/>
      <c r="T195" s="489"/>
      <c r="U195" s="489"/>
      <c r="V195" s="489"/>
      <c r="W195" s="489"/>
    </row>
    <row r="196" spans="1:23">
      <c r="A196" s="489"/>
      <c r="B196" s="489"/>
      <c r="C196" s="489"/>
      <c r="D196" s="489"/>
      <c r="E196" s="489"/>
      <c r="F196" s="489"/>
      <c r="G196" s="489"/>
      <c r="H196" s="489"/>
      <c r="I196" s="489"/>
      <c r="J196" s="489"/>
      <c r="K196" s="489"/>
      <c r="L196" s="489"/>
      <c r="M196" s="489"/>
      <c r="N196" s="489"/>
      <c r="O196" s="489"/>
      <c r="P196" s="489"/>
      <c r="Q196" s="489"/>
      <c r="R196" s="489"/>
      <c r="S196" s="489"/>
      <c r="T196" s="489"/>
      <c r="U196" s="489"/>
      <c r="V196" s="489"/>
      <c r="W196" s="489"/>
    </row>
    <row r="197" spans="1:23">
      <c r="A197" s="489"/>
      <c r="B197" s="489"/>
      <c r="C197" s="489"/>
      <c r="D197" s="489"/>
      <c r="E197" s="489"/>
      <c r="F197" s="489"/>
      <c r="G197" s="489"/>
      <c r="H197" s="489"/>
      <c r="I197" s="489"/>
      <c r="J197" s="489"/>
      <c r="K197" s="489"/>
      <c r="L197" s="489"/>
      <c r="M197" s="489"/>
      <c r="N197" s="489"/>
      <c r="O197" s="489"/>
      <c r="P197" s="489"/>
      <c r="Q197" s="489"/>
      <c r="R197" s="489"/>
      <c r="S197" s="489"/>
      <c r="T197" s="489"/>
      <c r="U197" s="489"/>
      <c r="V197" s="489"/>
      <c r="W197" s="489"/>
    </row>
    <row r="198" spans="1:23">
      <c r="A198" s="489"/>
      <c r="B198" s="489"/>
      <c r="C198" s="489"/>
      <c r="D198" s="489"/>
      <c r="E198" s="489"/>
      <c r="F198" s="489"/>
      <c r="G198" s="489"/>
      <c r="H198" s="489"/>
      <c r="I198" s="489"/>
      <c r="J198" s="489"/>
      <c r="K198" s="489"/>
      <c r="L198" s="489"/>
      <c r="M198" s="489"/>
      <c r="N198" s="489"/>
      <c r="O198" s="489"/>
      <c r="P198" s="489"/>
      <c r="Q198" s="489"/>
      <c r="R198" s="489"/>
      <c r="S198" s="489"/>
      <c r="T198" s="489"/>
      <c r="U198" s="489"/>
      <c r="V198" s="489"/>
      <c r="W198" s="489"/>
    </row>
    <row r="199" spans="1:23">
      <c r="A199" s="489"/>
      <c r="B199" s="489"/>
      <c r="C199" s="489"/>
      <c r="D199" s="489"/>
      <c r="E199" s="489"/>
      <c r="F199" s="489"/>
      <c r="G199" s="489"/>
      <c r="H199" s="489"/>
      <c r="I199" s="489"/>
      <c r="J199" s="489"/>
      <c r="K199" s="489"/>
      <c r="L199" s="489"/>
      <c r="M199" s="489"/>
      <c r="N199" s="489"/>
      <c r="O199" s="489"/>
      <c r="P199" s="489"/>
      <c r="Q199" s="489"/>
      <c r="R199" s="489"/>
      <c r="S199" s="489"/>
      <c r="T199" s="489"/>
      <c r="U199" s="489"/>
      <c r="V199" s="489"/>
      <c r="W199" s="489"/>
    </row>
    <row r="200" spans="1:23">
      <c r="A200" s="489"/>
      <c r="B200" s="489"/>
      <c r="C200" s="489"/>
      <c r="D200" s="489"/>
      <c r="E200" s="489"/>
      <c r="F200" s="489"/>
      <c r="G200" s="489"/>
      <c r="H200" s="489"/>
      <c r="I200" s="489"/>
      <c r="J200" s="489"/>
      <c r="K200" s="489"/>
      <c r="L200" s="489"/>
      <c r="M200" s="489"/>
      <c r="N200" s="489"/>
      <c r="O200" s="489"/>
      <c r="P200" s="489"/>
      <c r="Q200" s="489"/>
      <c r="R200" s="489"/>
      <c r="S200" s="489"/>
      <c r="T200" s="489"/>
      <c r="U200" s="489"/>
      <c r="V200" s="489"/>
      <c r="W200" s="489"/>
    </row>
    <row r="201" spans="1:23">
      <c r="A201" s="489"/>
      <c r="B201" s="489"/>
      <c r="C201" s="489"/>
      <c r="D201" s="489"/>
      <c r="E201" s="489"/>
      <c r="F201" s="489"/>
      <c r="G201" s="489"/>
      <c r="H201" s="489"/>
      <c r="I201" s="489"/>
      <c r="J201" s="489"/>
      <c r="K201" s="489"/>
      <c r="L201" s="489"/>
      <c r="M201" s="489"/>
      <c r="N201" s="489"/>
      <c r="O201" s="489"/>
      <c r="P201" s="489"/>
      <c r="Q201" s="489"/>
      <c r="R201" s="489"/>
      <c r="S201" s="489"/>
      <c r="T201" s="489"/>
      <c r="U201" s="489"/>
      <c r="V201" s="489"/>
      <c r="W201" s="489"/>
    </row>
    <row r="202" spans="1:23">
      <c r="A202" s="489"/>
      <c r="B202" s="489"/>
      <c r="C202" s="489"/>
      <c r="D202" s="489"/>
      <c r="E202" s="489"/>
      <c r="F202" s="489"/>
      <c r="G202" s="489"/>
      <c r="H202" s="489"/>
      <c r="I202" s="489"/>
      <c r="J202" s="489"/>
      <c r="K202" s="489"/>
      <c r="L202" s="489"/>
      <c r="M202" s="489"/>
      <c r="N202" s="489"/>
      <c r="O202" s="489"/>
      <c r="P202" s="489"/>
      <c r="Q202" s="489"/>
      <c r="R202" s="489"/>
      <c r="S202" s="489"/>
      <c r="T202" s="489"/>
      <c r="U202" s="489"/>
      <c r="V202" s="489"/>
      <c r="W202" s="489"/>
    </row>
    <row r="203" spans="1:23">
      <c r="A203" s="489"/>
      <c r="B203" s="489"/>
      <c r="C203" s="489"/>
      <c r="D203" s="489"/>
      <c r="E203" s="489"/>
      <c r="F203" s="489"/>
      <c r="G203" s="489"/>
      <c r="H203" s="489"/>
      <c r="I203" s="489"/>
      <c r="J203" s="489"/>
      <c r="K203" s="489"/>
      <c r="L203" s="489"/>
      <c r="M203" s="489"/>
      <c r="N203" s="489"/>
      <c r="O203" s="489"/>
      <c r="P203" s="489"/>
      <c r="Q203" s="489"/>
      <c r="R203" s="489"/>
      <c r="S203" s="489"/>
      <c r="T203" s="489"/>
      <c r="U203" s="489"/>
      <c r="V203" s="489"/>
      <c r="W203" s="489"/>
    </row>
    <row r="204" spans="1:23">
      <c r="A204" s="489"/>
      <c r="B204" s="489"/>
      <c r="C204" s="489"/>
      <c r="D204" s="489"/>
      <c r="E204" s="489"/>
      <c r="F204" s="489"/>
      <c r="G204" s="489"/>
      <c r="H204" s="489"/>
      <c r="I204" s="489"/>
      <c r="J204" s="489"/>
      <c r="K204" s="489"/>
      <c r="L204" s="489"/>
      <c r="M204" s="489"/>
      <c r="N204" s="489"/>
      <c r="O204" s="489"/>
      <c r="P204" s="489"/>
      <c r="Q204" s="489"/>
      <c r="R204" s="489"/>
      <c r="S204" s="489"/>
      <c r="T204" s="489"/>
      <c r="U204" s="489"/>
      <c r="V204" s="489"/>
      <c r="W204" s="489"/>
    </row>
    <row r="205" spans="1:23">
      <c r="A205" s="489"/>
      <c r="B205" s="489"/>
      <c r="C205" s="489"/>
      <c r="D205" s="489"/>
      <c r="E205" s="489"/>
      <c r="F205" s="489"/>
      <c r="G205" s="489"/>
      <c r="H205" s="489"/>
      <c r="I205" s="489"/>
      <c r="J205" s="489"/>
      <c r="K205" s="489"/>
      <c r="L205" s="489"/>
      <c r="M205" s="489"/>
      <c r="N205" s="489"/>
      <c r="O205" s="489"/>
      <c r="P205" s="489"/>
      <c r="Q205" s="489"/>
      <c r="R205" s="489"/>
      <c r="S205" s="489"/>
      <c r="T205" s="489"/>
      <c r="U205" s="489"/>
      <c r="V205" s="489"/>
      <c r="W205" s="489"/>
    </row>
    <row r="206" spans="1:23">
      <c r="A206" s="489"/>
      <c r="B206" s="489"/>
      <c r="C206" s="489"/>
      <c r="D206" s="489"/>
      <c r="E206" s="489"/>
      <c r="F206" s="489"/>
      <c r="G206" s="489"/>
      <c r="H206" s="489"/>
      <c r="I206" s="489"/>
      <c r="J206" s="489"/>
      <c r="K206" s="489"/>
      <c r="L206" s="489"/>
      <c r="M206" s="489"/>
      <c r="N206" s="489"/>
      <c r="O206" s="489"/>
      <c r="P206" s="489"/>
      <c r="Q206" s="489"/>
      <c r="R206" s="489"/>
      <c r="S206" s="489"/>
      <c r="T206" s="489"/>
      <c r="U206" s="489"/>
      <c r="V206" s="489"/>
      <c r="W206" s="489"/>
    </row>
    <row r="207" spans="1:23">
      <c r="A207" s="489"/>
      <c r="B207" s="489"/>
      <c r="C207" s="489"/>
      <c r="D207" s="489"/>
      <c r="E207" s="489"/>
      <c r="F207" s="489"/>
      <c r="G207" s="489"/>
      <c r="H207" s="489"/>
      <c r="I207" s="489"/>
      <c r="J207" s="489"/>
      <c r="K207" s="489"/>
      <c r="L207" s="489"/>
      <c r="M207" s="489"/>
      <c r="N207" s="489"/>
      <c r="O207" s="489"/>
      <c r="P207" s="489"/>
      <c r="Q207" s="489"/>
      <c r="R207" s="489"/>
      <c r="S207" s="489"/>
      <c r="T207" s="489"/>
      <c r="U207" s="489"/>
      <c r="V207" s="489"/>
      <c r="W207" s="489"/>
    </row>
    <row r="208" spans="1:23">
      <c r="A208" s="489"/>
      <c r="B208" s="489"/>
      <c r="C208" s="489"/>
      <c r="D208" s="489"/>
      <c r="E208" s="489"/>
      <c r="F208" s="489"/>
      <c r="G208" s="489"/>
      <c r="H208" s="489"/>
      <c r="I208" s="489"/>
      <c r="J208" s="489"/>
      <c r="K208" s="489"/>
      <c r="L208" s="489"/>
      <c r="M208" s="489"/>
      <c r="N208" s="489"/>
      <c r="O208" s="489"/>
      <c r="P208" s="489"/>
      <c r="Q208" s="489"/>
      <c r="R208" s="489"/>
      <c r="S208" s="489"/>
      <c r="T208" s="489"/>
      <c r="U208" s="489"/>
      <c r="V208" s="489"/>
      <c r="W208" s="489"/>
    </row>
    <row r="209" spans="1:23">
      <c r="A209" s="489"/>
      <c r="B209" s="489"/>
      <c r="C209" s="489"/>
      <c r="D209" s="489"/>
      <c r="E209" s="489"/>
      <c r="F209" s="489"/>
      <c r="G209" s="489"/>
      <c r="H209" s="489"/>
      <c r="I209" s="489"/>
      <c r="J209" s="489"/>
      <c r="K209" s="489"/>
      <c r="L209" s="489"/>
      <c r="M209" s="489"/>
      <c r="N209" s="489"/>
      <c r="O209" s="489"/>
      <c r="P209" s="489"/>
      <c r="Q209" s="489"/>
      <c r="R209" s="489"/>
      <c r="S209" s="489"/>
      <c r="T209" s="489"/>
      <c r="U209" s="489"/>
      <c r="V209" s="489"/>
      <c r="W209" s="489"/>
    </row>
    <row r="210" spans="1:23">
      <c r="A210" s="489"/>
      <c r="B210" s="489"/>
      <c r="C210" s="489"/>
      <c r="D210" s="489"/>
      <c r="E210" s="489"/>
      <c r="F210" s="489"/>
      <c r="G210" s="489"/>
      <c r="H210" s="489"/>
      <c r="I210" s="489"/>
      <c r="J210" s="489"/>
      <c r="K210" s="489"/>
      <c r="L210" s="489"/>
      <c r="M210" s="489"/>
      <c r="N210" s="489"/>
      <c r="O210" s="489"/>
      <c r="P210" s="489"/>
      <c r="Q210" s="489"/>
      <c r="R210" s="489"/>
      <c r="S210" s="489"/>
      <c r="T210" s="489"/>
      <c r="U210" s="489"/>
      <c r="V210" s="489"/>
      <c r="W210" s="489"/>
    </row>
    <row r="211" spans="1:23">
      <c r="A211" s="489"/>
      <c r="B211" s="489"/>
      <c r="C211" s="489"/>
      <c r="D211" s="489"/>
      <c r="E211" s="489"/>
      <c r="F211" s="489"/>
      <c r="G211" s="489"/>
      <c r="H211" s="489"/>
      <c r="I211" s="489"/>
      <c r="J211" s="489"/>
      <c r="K211" s="489"/>
      <c r="L211" s="489"/>
      <c r="M211" s="489"/>
      <c r="N211" s="489"/>
      <c r="O211" s="489"/>
      <c r="P211" s="489"/>
      <c r="Q211" s="489"/>
      <c r="R211" s="489"/>
      <c r="S211" s="489"/>
      <c r="T211" s="489"/>
      <c r="U211" s="489"/>
      <c r="V211" s="489"/>
      <c r="W211" s="489"/>
    </row>
    <row r="212" spans="1:23">
      <c r="A212" s="489"/>
      <c r="B212" s="489"/>
      <c r="C212" s="489"/>
      <c r="D212" s="489"/>
      <c r="E212" s="489"/>
      <c r="F212" s="489"/>
      <c r="G212" s="489"/>
      <c r="H212" s="489"/>
      <c r="I212" s="489"/>
      <c r="J212" s="489"/>
      <c r="K212" s="489"/>
      <c r="L212" s="489"/>
      <c r="M212" s="489"/>
      <c r="N212" s="489"/>
      <c r="O212" s="489"/>
      <c r="P212" s="489"/>
      <c r="Q212" s="489"/>
      <c r="R212" s="489"/>
      <c r="S212" s="489"/>
      <c r="T212" s="489"/>
      <c r="U212" s="489"/>
      <c r="V212" s="489"/>
      <c r="W212" s="489"/>
    </row>
    <row r="213" spans="1:23">
      <c r="A213" s="489"/>
      <c r="B213" s="489"/>
      <c r="C213" s="489"/>
      <c r="D213" s="489"/>
      <c r="E213" s="489"/>
      <c r="F213" s="489"/>
      <c r="G213" s="489"/>
      <c r="H213" s="489"/>
      <c r="I213" s="489"/>
      <c r="J213" s="489"/>
      <c r="K213" s="489"/>
      <c r="L213" s="489"/>
      <c r="M213" s="489"/>
      <c r="N213" s="489"/>
      <c r="O213" s="489"/>
      <c r="P213" s="489"/>
      <c r="Q213" s="489"/>
      <c r="R213" s="489"/>
      <c r="S213" s="489"/>
      <c r="T213" s="489"/>
      <c r="U213" s="489"/>
      <c r="V213" s="489"/>
      <c r="W213" s="489"/>
    </row>
    <row r="214" spans="1:23">
      <c r="A214" s="489"/>
      <c r="B214" s="489"/>
      <c r="C214" s="489"/>
      <c r="D214" s="489"/>
      <c r="E214" s="489"/>
      <c r="F214" s="489"/>
      <c r="G214" s="489"/>
      <c r="H214" s="489"/>
      <c r="I214" s="489"/>
      <c r="J214" s="489"/>
      <c r="K214" s="489"/>
      <c r="L214" s="489"/>
      <c r="M214" s="489"/>
      <c r="N214" s="489"/>
      <c r="O214" s="489"/>
      <c r="P214" s="489"/>
      <c r="Q214" s="489"/>
      <c r="R214" s="489"/>
      <c r="S214" s="489"/>
      <c r="T214" s="489"/>
      <c r="U214" s="489"/>
      <c r="V214" s="489"/>
      <c r="W214" s="489"/>
    </row>
    <row r="215" spans="1:23">
      <c r="A215" s="489"/>
      <c r="B215" s="489"/>
      <c r="C215" s="489"/>
      <c r="D215" s="489"/>
      <c r="E215" s="489"/>
      <c r="F215" s="489"/>
      <c r="G215" s="489"/>
      <c r="H215" s="489"/>
      <c r="I215" s="489"/>
      <c r="J215" s="489"/>
      <c r="K215" s="489"/>
      <c r="L215" s="489"/>
      <c r="M215" s="489"/>
      <c r="N215" s="489"/>
      <c r="O215" s="489"/>
      <c r="P215" s="489"/>
      <c r="Q215" s="489"/>
      <c r="R215" s="489"/>
      <c r="S215" s="489"/>
      <c r="T215" s="489"/>
      <c r="U215" s="489"/>
      <c r="V215" s="489"/>
      <c r="W215" s="489"/>
    </row>
    <row r="216" spans="1:23">
      <c r="A216" s="489"/>
      <c r="B216" s="489"/>
      <c r="C216" s="489"/>
      <c r="D216" s="489"/>
      <c r="E216" s="489"/>
      <c r="F216" s="489"/>
      <c r="G216" s="489"/>
      <c r="H216" s="489"/>
      <c r="I216" s="489"/>
      <c r="J216" s="489"/>
      <c r="K216" s="489"/>
      <c r="L216" s="489"/>
      <c r="M216" s="489"/>
      <c r="N216" s="489"/>
      <c r="O216" s="489"/>
      <c r="P216" s="489"/>
      <c r="Q216" s="489"/>
      <c r="R216" s="489"/>
      <c r="S216" s="489"/>
      <c r="T216" s="489"/>
      <c r="U216" s="489"/>
      <c r="V216" s="489"/>
      <c r="W216" s="489"/>
    </row>
    <row r="217" spans="1:23">
      <c r="A217" s="489"/>
      <c r="B217" s="489"/>
      <c r="C217" s="489"/>
      <c r="D217" s="489"/>
      <c r="E217" s="489"/>
      <c r="F217" s="489"/>
      <c r="G217" s="489"/>
      <c r="H217" s="489"/>
      <c r="I217" s="489"/>
      <c r="J217" s="489"/>
      <c r="K217" s="489"/>
      <c r="L217" s="489"/>
      <c r="M217" s="489"/>
      <c r="N217" s="489"/>
      <c r="O217" s="489"/>
      <c r="P217" s="489"/>
      <c r="Q217" s="489"/>
      <c r="R217" s="489"/>
      <c r="S217" s="489"/>
      <c r="T217" s="489"/>
      <c r="U217" s="489"/>
      <c r="V217" s="489"/>
      <c r="W217" s="489"/>
    </row>
    <row r="218" spans="1:23">
      <c r="A218" s="489"/>
      <c r="B218" s="489"/>
      <c r="C218" s="489"/>
      <c r="D218" s="489"/>
      <c r="E218" s="489"/>
      <c r="F218" s="489"/>
      <c r="G218" s="489"/>
      <c r="H218" s="489"/>
      <c r="I218" s="489"/>
      <c r="J218" s="489"/>
      <c r="K218" s="489"/>
      <c r="L218" s="489"/>
      <c r="M218" s="489"/>
      <c r="N218" s="489"/>
      <c r="O218" s="489"/>
      <c r="P218" s="489"/>
      <c r="Q218" s="489"/>
      <c r="R218" s="489"/>
      <c r="S218" s="489"/>
      <c r="T218" s="489"/>
      <c r="U218" s="489"/>
      <c r="V218" s="489"/>
      <c r="W218" s="489"/>
    </row>
    <row r="219" spans="1:23">
      <c r="A219" s="489"/>
      <c r="B219" s="489"/>
      <c r="C219" s="489"/>
      <c r="D219" s="489"/>
      <c r="E219" s="489"/>
      <c r="F219" s="489"/>
      <c r="G219" s="489"/>
      <c r="H219" s="489"/>
      <c r="I219" s="489"/>
      <c r="J219" s="489"/>
      <c r="K219" s="489"/>
      <c r="L219" s="489"/>
      <c r="M219" s="489"/>
      <c r="N219" s="489"/>
      <c r="O219" s="489"/>
      <c r="P219" s="489"/>
      <c r="Q219" s="489"/>
      <c r="R219" s="489"/>
      <c r="S219" s="489"/>
      <c r="T219" s="489"/>
      <c r="U219" s="489"/>
      <c r="V219" s="489"/>
      <c r="W219" s="489"/>
    </row>
    <row r="220" spans="1:23">
      <c r="A220" s="489"/>
      <c r="B220" s="489"/>
      <c r="C220" s="489"/>
      <c r="D220" s="489"/>
      <c r="E220" s="489"/>
      <c r="F220" s="489"/>
      <c r="G220" s="489"/>
      <c r="H220" s="489"/>
      <c r="I220" s="489"/>
      <c r="J220" s="489"/>
      <c r="K220" s="489"/>
      <c r="L220" s="489"/>
      <c r="M220" s="489"/>
      <c r="N220" s="489"/>
      <c r="O220" s="489"/>
      <c r="P220" s="489"/>
      <c r="Q220" s="489"/>
      <c r="R220" s="489"/>
      <c r="S220" s="489"/>
      <c r="T220" s="489"/>
      <c r="U220" s="489"/>
      <c r="V220" s="489"/>
      <c r="W220" s="489"/>
    </row>
    <row r="221" spans="1:23">
      <c r="A221" s="489"/>
      <c r="B221" s="489"/>
      <c r="C221" s="489"/>
      <c r="D221" s="489"/>
      <c r="E221" s="489"/>
      <c r="F221" s="489"/>
      <c r="G221" s="489"/>
      <c r="H221" s="489"/>
      <c r="I221" s="489"/>
      <c r="J221" s="489"/>
      <c r="K221" s="489"/>
      <c r="L221" s="489"/>
      <c r="M221" s="489"/>
      <c r="N221" s="489"/>
      <c r="O221" s="489"/>
      <c r="P221" s="489"/>
      <c r="Q221" s="489"/>
      <c r="R221" s="489"/>
      <c r="S221" s="489"/>
      <c r="T221" s="489"/>
      <c r="U221" s="489"/>
      <c r="V221" s="489"/>
      <c r="W221" s="489"/>
    </row>
    <row r="222" spans="1:23">
      <c r="A222" s="489"/>
      <c r="B222" s="489"/>
      <c r="C222" s="489"/>
      <c r="D222" s="489"/>
      <c r="E222" s="489"/>
      <c r="F222" s="489"/>
      <c r="G222" s="489"/>
      <c r="H222" s="489"/>
      <c r="I222" s="489"/>
      <c r="J222" s="489"/>
      <c r="K222" s="489"/>
      <c r="L222" s="489"/>
      <c r="M222" s="489"/>
      <c r="N222" s="489"/>
      <c r="O222" s="489"/>
      <c r="P222" s="489"/>
      <c r="Q222" s="489"/>
      <c r="R222" s="489"/>
      <c r="S222" s="489"/>
      <c r="T222" s="489"/>
      <c r="U222" s="489"/>
      <c r="V222" s="489"/>
      <c r="W222" s="489"/>
    </row>
    <row r="223" spans="1:23">
      <c r="A223" s="489"/>
      <c r="B223" s="489"/>
      <c r="C223" s="489"/>
      <c r="D223" s="489"/>
      <c r="E223" s="489"/>
      <c r="F223" s="489"/>
      <c r="G223" s="489"/>
      <c r="H223" s="489"/>
      <c r="I223" s="489"/>
      <c r="J223" s="489"/>
      <c r="K223" s="489"/>
      <c r="L223" s="489"/>
      <c r="M223" s="489"/>
      <c r="N223" s="489"/>
      <c r="O223" s="489"/>
      <c r="P223" s="489"/>
      <c r="Q223" s="489"/>
      <c r="R223" s="489"/>
      <c r="S223" s="489"/>
      <c r="T223" s="489"/>
      <c r="U223" s="489"/>
      <c r="V223" s="489"/>
      <c r="W223" s="489"/>
    </row>
    <row r="224" spans="1:23">
      <c r="A224" s="489"/>
      <c r="B224" s="489"/>
      <c r="C224" s="489"/>
      <c r="D224" s="489"/>
      <c r="E224" s="489"/>
      <c r="F224" s="489"/>
      <c r="G224" s="489"/>
      <c r="H224" s="489"/>
      <c r="I224" s="489"/>
      <c r="J224" s="489"/>
      <c r="K224" s="489"/>
      <c r="L224" s="489"/>
      <c r="M224" s="489"/>
      <c r="N224" s="489"/>
      <c r="O224" s="489"/>
      <c r="P224" s="489"/>
      <c r="Q224" s="489"/>
      <c r="R224" s="489"/>
      <c r="S224" s="489"/>
      <c r="T224" s="489"/>
      <c r="U224" s="489"/>
      <c r="V224" s="489"/>
      <c r="W224" s="489"/>
    </row>
    <row r="225" spans="1:23">
      <c r="A225" s="489"/>
      <c r="B225" s="489"/>
      <c r="C225" s="489"/>
      <c r="D225" s="489"/>
      <c r="E225" s="489"/>
      <c r="F225" s="489"/>
      <c r="G225" s="489"/>
      <c r="H225" s="489"/>
      <c r="I225" s="489"/>
      <c r="J225" s="489"/>
      <c r="K225" s="489"/>
      <c r="L225" s="489"/>
      <c r="M225" s="489"/>
      <c r="N225" s="489"/>
      <c r="O225" s="489"/>
      <c r="P225" s="489"/>
      <c r="Q225" s="489"/>
      <c r="R225" s="489"/>
      <c r="S225" s="489"/>
      <c r="T225" s="489"/>
      <c r="U225" s="489"/>
      <c r="V225" s="489"/>
      <c r="W225" s="489"/>
    </row>
    <row r="226" spans="1:23">
      <c r="A226" s="489"/>
      <c r="B226" s="489"/>
      <c r="C226" s="489"/>
      <c r="D226" s="489"/>
      <c r="E226" s="489"/>
      <c r="F226" s="489"/>
      <c r="G226" s="489"/>
      <c r="H226" s="489"/>
      <c r="I226" s="489"/>
      <c r="J226" s="489"/>
      <c r="K226" s="489"/>
      <c r="L226" s="489"/>
      <c r="M226" s="489"/>
      <c r="N226" s="489"/>
      <c r="O226" s="489"/>
      <c r="P226" s="489"/>
      <c r="Q226" s="489"/>
      <c r="R226" s="489"/>
      <c r="S226" s="489"/>
      <c r="T226" s="489"/>
      <c r="U226" s="489"/>
      <c r="V226" s="489"/>
      <c r="W226" s="489"/>
    </row>
    <row r="227" spans="1:23">
      <c r="A227" s="489"/>
      <c r="B227" s="489"/>
      <c r="C227" s="489"/>
      <c r="D227" s="489"/>
      <c r="E227" s="489"/>
      <c r="F227" s="489"/>
      <c r="G227" s="489"/>
      <c r="H227" s="489"/>
      <c r="I227" s="489"/>
      <c r="J227" s="489"/>
      <c r="K227" s="489"/>
      <c r="L227" s="489"/>
      <c r="M227" s="489"/>
      <c r="N227" s="489"/>
      <c r="O227" s="489"/>
      <c r="P227" s="489"/>
      <c r="Q227" s="489"/>
      <c r="R227" s="489"/>
      <c r="S227" s="489"/>
      <c r="T227" s="489"/>
      <c r="U227" s="489"/>
      <c r="V227" s="489"/>
      <c r="W227" s="489"/>
    </row>
    <row r="228" spans="1:23">
      <c r="A228" s="489"/>
      <c r="B228" s="489"/>
      <c r="C228" s="489"/>
      <c r="D228" s="489"/>
      <c r="E228" s="489"/>
      <c r="F228" s="489"/>
      <c r="G228" s="489"/>
      <c r="H228" s="489"/>
      <c r="I228" s="489"/>
      <c r="J228" s="489"/>
      <c r="K228" s="489"/>
      <c r="L228" s="489"/>
      <c r="M228" s="489"/>
      <c r="N228" s="489"/>
      <c r="O228" s="489"/>
      <c r="P228" s="489"/>
      <c r="Q228" s="489"/>
      <c r="R228" s="489"/>
      <c r="S228" s="489"/>
      <c r="T228" s="489"/>
      <c r="U228" s="489"/>
      <c r="V228" s="489"/>
      <c r="W228" s="489"/>
    </row>
    <row r="229" spans="1:23">
      <c r="A229" s="489"/>
      <c r="B229" s="489"/>
      <c r="C229" s="489"/>
      <c r="D229" s="489"/>
      <c r="E229" s="489"/>
      <c r="F229" s="489"/>
      <c r="G229" s="489"/>
      <c r="H229" s="489"/>
      <c r="I229" s="489"/>
      <c r="J229" s="489"/>
      <c r="K229" s="489"/>
      <c r="L229" s="489"/>
      <c r="M229" s="489"/>
      <c r="N229" s="489"/>
      <c r="O229" s="489"/>
      <c r="P229" s="489"/>
      <c r="Q229" s="489"/>
      <c r="R229" s="489"/>
      <c r="S229" s="489"/>
      <c r="T229" s="489"/>
      <c r="U229" s="489"/>
      <c r="V229" s="489"/>
      <c r="W229" s="489"/>
    </row>
    <row r="230" spans="1:23">
      <c r="A230" s="489"/>
      <c r="B230" s="489"/>
      <c r="C230" s="489"/>
      <c r="D230" s="489"/>
      <c r="E230" s="489"/>
      <c r="F230" s="489"/>
      <c r="G230" s="489"/>
      <c r="H230" s="489"/>
      <c r="I230" s="489"/>
      <c r="J230" s="489"/>
      <c r="K230" s="489"/>
      <c r="L230" s="489"/>
      <c r="M230" s="489"/>
      <c r="N230" s="489"/>
      <c r="O230" s="489"/>
      <c r="P230" s="489"/>
      <c r="Q230" s="489"/>
      <c r="R230" s="489"/>
      <c r="S230" s="489"/>
      <c r="T230" s="489"/>
      <c r="U230" s="489"/>
      <c r="V230" s="489"/>
      <c r="W230" s="489"/>
    </row>
    <row r="231" spans="1:23">
      <c r="A231" s="489"/>
      <c r="B231" s="489"/>
      <c r="C231" s="489"/>
      <c r="D231" s="489"/>
      <c r="E231" s="489"/>
      <c r="F231" s="489"/>
      <c r="G231" s="489"/>
      <c r="H231" s="489"/>
      <c r="I231" s="489"/>
      <c r="J231" s="489"/>
      <c r="K231" s="489"/>
      <c r="L231" s="489"/>
      <c r="M231" s="489"/>
      <c r="N231" s="489"/>
      <c r="O231" s="489"/>
      <c r="P231" s="489"/>
      <c r="Q231" s="489"/>
      <c r="R231" s="489"/>
      <c r="S231" s="489"/>
      <c r="T231" s="489"/>
      <c r="U231" s="489"/>
      <c r="V231" s="489"/>
      <c r="W231" s="489"/>
    </row>
    <row r="232" spans="1:23">
      <c r="A232" s="489"/>
      <c r="B232" s="489"/>
      <c r="C232" s="489"/>
      <c r="D232" s="489"/>
      <c r="E232" s="489"/>
      <c r="F232" s="489"/>
      <c r="G232" s="489"/>
      <c r="H232" s="489"/>
      <c r="I232" s="489"/>
      <c r="J232" s="489"/>
      <c r="K232" s="489"/>
      <c r="L232" s="489"/>
      <c r="M232" s="489"/>
      <c r="N232" s="489"/>
      <c r="O232" s="489"/>
      <c r="P232" s="489"/>
      <c r="Q232" s="489"/>
      <c r="R232" s="489"/>
      <c r="S232" s="489"/>
      <c r="T232" s="489"/>
      <c r="U232" s="489"/>
      <c r="V232" s="489"/>
      <c r="W232" s="489"/>
    </row>
    <row r="233" spans="1:23">
      <c r="A233" s="489"/>
      <c r="B233" s="489"/>
      <c r="C233" s="489"/>
      <c r="D233" s="489"/>
      <c r="E233" s="489"/>
      <c r="F233" s="489"/>
      <c r="G233" s="489"/>
      <c r="H233" s="489"/>
      <c r="I233" s="489"/>
      <c r="J233" s="489"/>
      <c r="K233" s="489"/>
      <c r="L233" s="489"/>
      <c r="M233" s="489"/>
      <c r="N233" s="489"/>
      <c r="O233" s="489"/>
      <c r="P233" s="489"/>
      <c r="Q233" s="489"/>
      <c r="R233" s="489"/>
      <c r="S233" s="489"/>
      <c r="T233" s="489"/>
      <c r="U233" s="489"/>
      <c r="V233" s="489"/>
      <c r="W233" s="489"/>
    </row>
    <row r="234" spans="1:23">
      <c r="A234" s="489"/>
      <c r="B234" s="489"/>
      <c r="C234" s="489"/>
      <c r="D234" s="489"/>
      <c r="E234" s="489"/>
      <c r="F234" s="489"/>
      <c r="G234" s="489"/>
      <c r="H234" s="489"/>
      <c r="I234" s="489"/>
      <c r="J234" s="489"/>
      <c r="K234" s="489"/>
      <c r="L234" s="489"/>
      <c r="M234" s="489"/>
      <c r="N234" s="489"/>
      <c r="O234" s="489"/>
      <c r="P234" s="489"/>
      <c r="Q234" s="489"/>
      <c r="R234" s="489"/>
      <c r="S234" s="489"/>
      <c r="T234" s="489"/>
      <c r="U234" s="489"/>
      <c r="V234" s="489"/>
      <c r="W234" s="489"/>
    </row>
    <row r="235" spans="1:23">
      <c r="A235" s="489"/>
      <c r="B235" s="489"/>
      <c r="C235" s="489"/>
      <c r="D235" s="489"/>
      <c r="E235" s="489"/>
      <c r="F235" s="489"/>
      <c r="G235" s="489"/>
      <c r="H235" s="489"/>
      <c r="I235" s="489"/>
      <c r="J235" s="489"/>
      <c r="K235" s="489"/>
      <c r="L235" s="489"/>
      <c r="M235" s="489"/>
      <c r="N235" s="489"/>
      <c r="O235" s="489"/>
      <c r="P235" s="489"/>
      <c r="Q235" s="489"/>
      <c r="R235" s="489"/>
      <c r="S235" s="489"/>
      <c r="T235" s="489"/>
      <c r="U235" s="489"/>
      <c r="V235" s="489"/>
      <c r="W235" s="489"/>
    </row>
    <row r="236" spans="1:23">
      <c r="A236" s="489"/>
      <c r="B236" s="489"/>
      <c r="C236" s="489"/>
      <c r="D236" s="489"/>
      <c r="E236" s="489"/>
      <c r="F236" s="489"/>
      <c r="G236" s="489"/>
      <c r="H236" s="489"/>
      <c r="I236" s="489"/>
      <c r="J236" s="489"/>
      <c r="K236" s="489"/>
      <c r="L236" s="489"/>
      <c r="M236" s="489"/>
      <c r="N236" s="489"/>
      <c r="O236" s="489"/>
      <c r="P236" s="489"/>
      <c r="Q236" s="489"/>
      <c r="R236" s="489"/>
      <c r="S236" s="489"/>
      <c r="T236" s="489"/>
      <c r="U236" s="489"/>
      <c r="V236" s="489"/>
      <c r="W236" s="489"/>
    </row>
    <row r="237" spans="1:23">
      <c r="A237" s="489"/>
      <c r="B237" s="489"/>
      <c r="C237" s="489"/>
      <c r="D237" s="489"/>
      <c r="E237" s="489"/>
      <c r="F237" s="489"/>
      <c r="G237" s="489"/>
      <c r="H237" s="489"/>
      <c r="I237" s="489"/>
      <c r="J237" s="489"/>
      <c r="K237" s="489"/>
      <c r="L237" s="489"/>
      <c r="M237" s="489"/>
      <c r="N237" s="489"/>
      <c r="O237" s="489"/>
      <c r="P237" s="489"/>
      <c r="Q237" s="489"/>
      <c r="R237" s="489"/>
      <c r="S237" s="489"/>
      <c r="T237" s="489"/>
      <c r="U237" s="489"/>
      <c r="V237" s="489"/>
      <c r="W237" s="489"/>
    </row>
    <row r="238" spans="1:23">
      <c r="A238" s="489"/>
      <c r="B238" s="489"/>
      <c r="C238" s="489"/>
      <c r="D238" s="489"/>
      <c r="E238" s="489"/>
      <c r="F238" s="489"/>
      <c r="G238" s="489"/>
      <c r="H238" s="489"/>
      <c r="I238" s="489"/>
      <c r="J238" s="489"/>
      <c r="K238" s="489"/>
      <c r="L238" s="489"/>
      <c r="M238" s="489"/>
      <c r="N238" s="489"/>
      <c r="O238" s="489"/>
      <c r="P238" s="489"/>
      <c r="Q238" s="489"/>
      <c r="R238" s="489"/>
      <c r="S238" s="489"/>
      <c r="T238" s="489"/>
      <c r="U238" s="489"/>
      <c r="V238" s="489"/>
      <c r="W238" s="489"/>
    </row>
    <row r="239" spans="1:23">
      <c r="A239" s="489"/>
      <c r="B239" s="489"/>
      <c r="C239" s="489"/>
      <c r="D239" s="489"/>
      <c r="E239" s="489"/>
      <c r="F239" s="489"/>
      <c r="G239" s="489"/>
      <c r="H239" s="489"/>
      <c r="I239" s="489"/>
      <c r="J239" s="489"/>
      <c r="K239" s="489"/>
      <c r="L239" s="489"/>
      <c r="M239" s="489"/>
      <c r="N239" s="489"/>
      <c r="O239" s="489"/>
      <c r="P239" s="489"/>
      <c r="Q239" s="489"/>
      <c r="R239" s="489"/>
      <c r="S239" s="489"/>
      <c r="T239" s="489"/>
      <c r="U239" s="489"/>
      <c r="V239" s="489"/>
      <c r="W239" s="489"/>
    </row>
    <row r="240" spans="1:23">
      <c r="A240" s="489"/>
      <c r="B240" s="489"/>
      <c r="C240" s="489"/>
      <c r="D240" s="489"/>
      <c r="E240" s="489"/>
      <c r="F240" s="489"/>
      <c r="G240" s="489"/>
      <c r="H240" s="489"/>
      <c r="I240" s="489"/>
      <c r="J240" s="489"/>
      <c r="K240" s="489"/>
      <c r="L240" s="489"/>
      <c r="M240" s="489"/>
      <c r="N240" s="489"/>
      <c r="O240" s="489"/>
      <c r="P240" s="489"/>
      <c r="Q240" s="489"/>
      <c r="R240" s="489"/>
      <c r="S240" s="489"/>
      <c r="T240" s="489"/>
      <c r="U240" s="489"/>
      <c r="V240" s="489"/>
      <c r="W240" s="489"/>
    </row>
    <row r="241" spans="1:23">
      <c r="A241" s="489"/>
      <c r="B241" s="489"/>
      <c r="C241" s="489"/>
      <c r="D241" s="489"/>
      <c r="E241" s="489"/>
      <c r="F241" s="489"/>
      <c r="G241" s="489"/>
      <c r="H241" s="489"/>
      <c r="I241" s="489"/>
      <c r="J241" s="489"/>
      <c r="K241" s="489"/>
      <c r="L241" s="489"/>
      <c r="M241" s="489"/>
      <c r="N241" s="489"/>
      <c r="O241" s="489"/>
      <c r="P241" s="489"/>
      <c r="Q241" s="489"/>
      <c r="R241" s="489"/>
      <c r="S241" s="489"/>
      <c r="T241" s="489"/>
      <c r="U241" s="489"/>
      <c r="V241" s="489"/>
      <c r="W241" s="489"/>
    </row>
    <row r="242" spans="1:23">
      <c r="A242" s="489"/>
      <c r="B242" s="489"/>
      <c r="C242" s="489"/>
      <c r="D242" s="489"/>
      <c r="E242" s="489"/>
      <c r="F242" s="489"/>
      <c r="G242" s="489"/>
      <c r="H242" s="489"/>
      <c r="I242" s="489"/>
      <c r="J242" s="489"/>
      <c r="K242" s="489"/>
      <c r="L242" s="489"/>
      <c r="M242" s="489"/>
      <c r="N242" s="489"/>
      <c r="O242" s="489"/>
      <c r="P242" s="489"/>
      <c r="Q242" s="489"/>
      <c r="R242" s="489"/>
      <c r="S242" s="489"/>
      <c r="T242" s="489"/>
      <c r="U242" s="489"/>
      <c r="V242" s="489"/>
      <c r="W242" s="489"/>
    </row>
    <row r="243" spans="1:23">
      <c r="A243" s="489"/>
      <c r="B243" s="489"/>
      <c r="C243" s="489"/>
      <c r="D243" s="489"/>
      <c r="E243" s="489"/>
      <c r="F243" s="489"/>
      <c r="G243" s="489"/>
      <c r="H243" s="489"/>
      <c r="I243" s="489"/>
      <c r="J243" s="489"/>
      <c r="K243" s="489"/>
      <c r="L243" s="489"/>
      <c r="M243" s="489"/>
      <c r="N243" s="489"/>
      <c r="O243" s="489"/>
      <c r="P243" s="489"/>
      <c r="Q243" s="489"/>
      <c r="R243" s="489"/>
      <c r="S243" s="489"/>
      <c r="T243" s="489"/>
      <c r="U243" s="489"/>
      <c r="V243" s="489"/>
      <c r="W243" s="489"/>
    </row>
    <row r="244" spans="1:23">
      <c r="A244" s="489"/>
      <c r="B244" s="489"/>
      <c r="C244" s="489"/>
      <c r="D244" s="489"/>
      <c r="E244" s="489"/>
      <c r="F244" s="489"/>
      <c r="G244" s="489"/>
      <c r="H244" s="489"/>
      <c r="I244" s="489"/>
      <c r="J244" s="489"/>
      <c r="K244" s="489"/>
      <c r="L244" s="489"/>
      <c r="M244" s="489"/>
      <c r="N244" s="489"/>
      <c r="O244" s="489"/>
      <c r="P244" s="489"/>
      <c r="Q244" s="489"/>
      <c r="R244" s="489"/>
      <c r="S244" s="489"/>
      <c r="T244" s="489"/>
      <c r="U244" s="489"/>
      <c r="V244" s="489"/>
      <c r="W244" s="489"/>
    </row>
    <row r="245" spans="1:23">
      <c r="A245" s="489"/>
      <c r="B245" s="489"/>
      <c r="C245" s="489"/>
      <c r="D245" s="489"/>
      <c r="E245" s="489"/>
      <c r="F245" s="489"/>
      <c r="G245" s="489"/>
      <c r="H245" s="489"/>
      <c r="I245" s="489"/>
      <c r="J245" s="489"/>
      <c r="K245" s="489"/>
      <c r="L245" s="489"/>
      <c r="M245" s="489"/>
      <c r="N245" s="489"/>
      <c r="O245" s="489"/>
      <c r="P245" s="489"/>
      <c r="Q245" s="489"/>
      <c r="R245" s="489"/>
      <c r="S245" s="489"/>
      <c r="T245" s="489"/>
      <c r="U245" s="489"/>
      <c r="V245" s="489"/>
      <c r="W245" s="489"/>
    </row>
    <row r="246" spans="1:23">
      <c r="A246" s="489"/>
      <c r="B246" s="489"/>
      <c r="C246" s="489"/>
      <c r="D246" s="489"/>
      <c r="E246" s="489"/>
      <c r="F246" s="489"/>
      <c r="G246" s="489"/>
      <c r="H246" s="489"/>
      <c r="I246" s="489"/>
      <c r="J246" s="489"/>
      <c r="K246" s="489"/>
      <c r="L246" s="489"/>
      <c r="M246" s="489"/>
      <c r="N246" s="489"/>
      <c r="O246" s="489"/>
      <c r="P246" s="489"/>
      <c r="Q246" s="489"/>
      <c r="R246" s="489"/>
      <c r="S246" s="489"/>
      <c r="T246" s="489"/>
      <c r="U246" s="489"/>
      <c r="V246" s="489"/>
      <c r="W246" s="489"/>
    </row>
    <row r="247" spans="1:23">
      <c r="A247" s="489"/>
      <c r="B247" s="489"/>
      <c r="C247" s="489"/>
      <c r="D247" s="489"/>
      <c r="E247" s="489"/>
      <c r="F247" s="489"/>
      <c r="G247" s="489"/>
      <c r="H247" s="489"/>
      <c r="I247" s="489"/>
      <c r="J247" s="489"/>
      <c r="K247" s="489"/>
      <c r="L247" s="489"/>
      <c r="M247" s="489"/>
      <c r="N247" s="489"/>
      <c r="O247" s="489"/>
      <c r="P247" s="489"/>
      <c r="Q247" s="489"/>
      <c r="R247" s="489"/>
      <c r="S247" s="489"/>
      <c r="T247" s="489"/>
      <c r="U247" s="489"/>
      <c r="V247" s="489"/>
      <c r="W247" s="489"/>
    </row>
    <row r="248" spans="1:23">
      <c r="A248" s="489"/>
      <c r="B248" s="489"/>
      <c r="C248" s="489"/>
      <c r="D248" s="489"/>
      <c r="E248" s="489"/>
      <c r="F248" s="489"/>
      <c r="G248" s="489"/>
      <c r="H248" s="489"/>
      <c r="I248" s="489"/>
      <c r="J248" s="489"/>
      <c r="K248" s="489"/>
      <c r="L248" s="489"/>
      <c r="M248" s="489"/>
      <c r="N248" s="489"/>
      <c r="O248" s="489"/>
      <c r="P248" s="489"/>
      <c r="Q248" s="489"/>
      <c r="R248" s="489"/>
      <c r="S248" s="489"/>
      <c r="T248" s="489"/>
      <c r="U248" s="489"/>
      <c r="V248" s="489"/>
      <c r="W248" s="489"/>
    </row>
    <row r="249" spans="1:23">
      <c r="A249" s="489"/>
      <c r="B249" s="489"/>
      <c r="C249" s="489"/>
      <c r="D249" s="489"/>
      <c r="E249" s="489"/>
      <c r="F249" s="489"/>
      <c r="G249" s="489"/>
      <c r="H249" s="489"/>
      <c r="I249" s="489"/>
      <c r="J249" s="489"/>
      <c r="K249" s="489"/>
      <c r="L249" s="489"/>
      <c r="M249" s="489"/>
      <c r="N249" s="489"/>
      <c r="O249" s="489"/>
      <c r="P249" s="489"/>
      <c r="Q249" s="489"/>
      <c r="R249" s="489"/>
      <c r="S249" s="489"/>
      <c r="T249" s="489"/>
      <c r="U249" s="489"/>
      <c r="V249" s="489"/>
      <c r="W249" s="489"/>
    </row>
    <row r="250" spans="1:23">
      <c r="A250" s="489"/>
      <c r="B250" s="489"/>
      <c r="C250" s="489"/>
      <c r="D250" s="489"/>
      <c r="E250" s="489"/>
      <c r="F250" s="489"/>
      <c r="G250" s="489"/>
      <c r="H250" s="489"/>
      <c r="I250" s="489"/>
      <c r="J250" s="489"/>
      <c r="K250" s="489"/>
      <c r="L250" s="489"/>
      <c r="M250" s="489"/>
      <c r="N250" s="489"/>
      <c r="O250" s="489"/>
      <c r="P250" s="489"/>
      <c r="Q250" s="489"/>
      <c r="R250" s="489"/>
      <c r="S250" s="489"/>
      <c r="T250" s="489"/>
      <c r="U250" s="489"/>
      <c r="V250" s="489"/>
      <c r="W250" s="489"/>
    </row>
    <row r="251" spans="1:23">
      <c r="A251" s="489"/>
      <c r="B251" s="489"/>
      <c r="C251" s="489"/>
      <c r="D251" s="489"/>
      <c r="E251" s="489"/>
      <c r="F251" s="489"/>
      <c r="G251" s="489"/>
      <c r="H251" s="489"/>
      <c r="I251" s="489"/>
      <c r="J251" s="489"/>
      <c r="K251" s="489"/>
      <c r="L251" s="489"/>
      <c r="M251" s="489"/>
      <c r="N251" s="489"/>
      <c r="O251" s="489"/>
      <c r="P251" s="489"/>
      <c r="Q251" s="489"/>
      <c r="R251" s="489"/>
      <c r="S251" s="489"/>
      <c r="T251" s="489"/>
      <c r="U251" s="489"/>
      <c r="V251" s="489"/>
      <c r="W251" s="489"/>
    </row>
    <row r="252" spans="1:23">
      <c r="A252" s="489"/>
      <c r="B252" s="489"/>
      <c r="C252" s="489"/>
      <c r="D252" s="489"/>
      <c r="E252" s="489"/>
      <c r="F252" s="489"/>
      <c r="G252" s="489"/>
      <c r="H252" s="489"/>
      <c r="I252" s="489"/>
      <c r="J252" s="489"/>
      <c r="K252" s="489"/>
      <c r="L252" s="489"/>
      <c r="M252" s="489"/>
      <c r="N252" s="489"/>
      <c r="O252" s="489"/>
      <c r="P252" s="489"/>
      <c r="Q252" s="489"/>
      <c r="R252" s="489"/>
      <c r="S252" s="489"/>
      <c r="T252" s="489"/>
      <c r="U252" s="489"/>
      <c r="V252" s="489"/>
      <c r="W252" s="489"/>
    </row>
    <row r="253" spans="1:23">
      <c r="A253" s="489"/>
      <c r="B253" s="489"/>
      <c r="C253" s="489"/>
      <c r="D253" s="489"/>
      <c r="E253" s="489"/>
      <c r="F253" s="489"/>
      <c r="G253" s="489"/>
      <c r="H253" s="489"/>
      <c r="I253" s="489"/>
      <c r="J253" s="489"/>
      <c r="K253" s="489"/>
      <c r="L253" s="489"/>
      <c r="M253" s="489"/>
      <c r="N253" s="489"/>
      <c r="O253" s="489"/>
      <c r="P253" s="489"/>
      <c r="Q253" s="489"/>
      <c r="R253" s="489"/>
      <c r="S253" s="489"/>
      <c r="T253" s="489"/>
      <c r="U253" s="489"/>
      <c r="V253" s="489"/>
      <c r="W253" s="489"/>
    </row>
    <row r="254" spans="1:23">
      <c r="A254" s="489"/>
      <c r="B254" s="489"/>
      <c r="C254" s="489"/>
      <c r="D254" s="489"/>
      <c r="E254" s="489"/>
      <c r="F254" s="489"/>
      <c r="G254" s="489"/>
      <c r="H254" s="489"/>
      <c r="I254" s="489"/>
      <c r="J254" s="489"/>
      <c r="K254" s="489"/>
      <c r="L254" s="489"/>
      <c r="M254" s="489"/>
      <c r="N254" s="489"/>
      <c r="O254" s="489"/>
      <c r="P254" s="489"/>
      <c r="Q254" s="489"/>
      <c r="R254" s="489"/>
      <c r="S254" s="489"/>
      <c r="T254" s="489"/>
      <c r="U254" s="489"/>
      <c r="V254" s="489"/>
      <c r="W254" s="489"/>
    </row>
    <row r="255" spans="1:23">
      <c r="A255" s="489"/>
      <c r="B255" s="489"/>
      <c r="C255" s="489"/>
      <c r="D255" s="489"/>
      <c r="E255" s="489"/>
      <c r="F255" s="489"/>
      <c r="G255" s="489"/>
      <c r="H255" s="489"/>
      <c r="I255" s="489"/>
      <c r="J255" s="489"/>
      <c r="K255" s="489"/>
      <c r="L255" s="489"/>
      <c r="M255" s="489"/>
      <c r="N255" s="489"/>
      <c r="O255" s="489"/>
      <c r="P255" s="489"/>
      <c r="Q255" s="489"/>
      <c r="R255" s="489"/>
      <c r="S255" s="489"/>
      <c r="T255" s="489"/>
      <c r="U255" s="489"/>
      <c r="V255" s="489"/>
      <c r="W255" s="489"/>
    </row>
    <row r="256" spans="1:23">
      <c r="A256" s="489"/>
      <c r="B256" s="489"/>
      <c r="C256" s="489"/>
      <c r="D256" s="489"/>
      <c r="E256" s="489"/>
      <c r="F256" s="489"/>
      <c r="G256" s="489"/>
      <c r="H256" s="489"/>
      <c r="I256" s="489"/>
      <c r="J256" s="489"/>
      <c r="K256" s="489"/>
      <c r="L256" s="489"/>
      <c r="M256" s="489"/>
      <c r="N256" s="489"/>
      <c r="O256" s="489"/>
      <c r="P256" s="489"/>
      <c r="Q256" s="489"/>
      <c r="R256" s="489"/>
      <c r="S256" s="489"/>
      <c r="T256" s="489"/>
      <c r="U256" s="489"/>
      <c r="V256" s="489"/>
      <c r="W256" s="489"/>
    </row>
    <row r="257" spans="1:23">
      <c r="A257" s="489"/>
      <c r="B257" s="489"/>
      <c r="C257" s="489"/>
      <c r="D257" s="489"/>
      <c r="E257" s="489"/>
      <c r="F257" s="489"/>
      <c r="G257" s="489"/>
      <c r="H257" s="489"/>
      <c r="I257" s="489"/>
      <c r="J257" s="489"/>
      <c r="K257" s="489"/>
      <c r="L257" s="489"/>
      <c r="M257" s="489"/>
      <c r="N257" s="489"/>
      <c r="O257" s="489"/>
      <c r="P257" s="489"/>
      <c r="Q257" s="489"/>
      <c r="R257" s="489"/>
      <c r="S257" s="489"/>
      <c r="T257" s="489"/>
      <c r="U257" s="489"/>
      <c r="V257" s="489"/>
      <c r="W257" s="489"/>
    </row>
    <row r="258" spans="1:23">
      <c r="A258" s="489"/>
      <c r="B258" s="489"/>
      <c r="C258" s="489"/>
      <c r="D258" s="489"/>
      <c r="E258" s="489"/>
      <c r="F258" s="489"/>
      <c r="G258" s="489"/>
      <c r="H258" s="489"/>
      <c r="I258" s="489"/>
      <c r="J258" s="489"/>
      <c r="K258" s="489"/>
      <c r="L258" s="489"/>
      <c r="M258" s="489"/>
      <c r="N258" s="489"/>
      <c r="O258" s="489"/>
      <c r="P258" s="489"/>
      <c r="Q258" s="489"/>
      <c r="R258" s="489"/>
      <c r="S258" s="489"/>
      <c r="T258" s="489"/>
      <c r="U258" s="489"/>
      <c r="V258" s="489"/>
      <c r="W258" s="489"/>
    </row>
    <row r="259" spans="1:23">
      <c r="A259" s="489"/>
      <c r="B259" s="489"/>
      <c r="C259" s="489"/>
      <c r="D259" s="489"/>
      <c r="E259" s="489"/>
      <c r="F259" s="489"/>
      <c r="G259" s="489"/>
      <c r="H259" s="489"/>
      <c r="I259" s="489"/>
      <c r="J259" s="489"/>
      <c r="K259" s="489"/>
      <c r="L259" s="489"/>
      <c r="M259" s="489"/>
      <c r="N259" s="489"/>
      <c r="O259" s="489"/>
      <c r="P259" s="489"/>
      <c r="Q259" s="489"/>
      <c r="R259" s="489"/>
      <c r="S259" s="489"/>
      <c r="T259" s="489"/>
      <c r="U259" s="489"/>
      <c r="V259" s="489"/>
      <c r="W259" s="489"/>
    </row>
    <row r="260" spans="1:23">
      <c r="A260" s="489"/>
      <c r="B260" s="489"/>
      <c r="C260" s="489"/>
      <c r="D260" s="489"/>
      <c r="E260" s="489"/>
      <c r="F260" s="489"/>
      <c r="G260" s="489"/>
      <c r="H260" s="489"/>
      <c r="I260" s="489"/>
      <c r="J260" s="489"/>
      <c r="K260" s="489"/>
      <c r="L260" s="489"/>
      <c r="M260" s="489"/>
      <c r="N260" s="489"/>
      <c r="O260" s="489"/>
      <c r="P260" s="489"/>
      <c r="Q260" s="489"/>
      <c r="R260" s="489"/>
      <c r="S260" s="489"/>
      <c r="T260" s="489"/>
      <c r="U260" s="489"/>
      <c r="V260" s="489"/>
      <c r="W260" s="489"/>
    </row>
    <row r="261" spans="1:23">
      <c r="A261" s="489"/>
      <c r="B261" s="489"/>
      <c r="C261" s="489"/>
      <c r="D261" s="489"/>
      <c r="E261" s="489"/>
      <c r="F261" s="489"/>
      <c r="G261" s="489"/>
      <c r="H261" s="489"/>
      <c r="I261" s="489"/>
      <c r="J261" s="489"/>
      <c r="K261" s="489"/>
      <c r="L261" s="489"/>
      <c r="M261" s="489"/>
      <c r="N261" s="489"/>
      <c r="O261" s="489"/>
      <c r="P261" s="489"/>
      <c r="Q261" s="489"/>
      <c r="R261" s="489"/>
      <c r="S261" s="489"/>
      <c r="T261" s="489"/>
      <c r="U261" s="489"/>
      <c r="V261" s="489"/>
      <c r="W261" s="489"/>
    </row>
    <row r="262" spans="1:23">
      <c r="A262" s="489"/>
      <c r="B262" s="489"/>
      <c r="C262" s="489"/>
      <c r="D262" s="489"/>
      <c r="E262" s="489"/>
      <c r="F262" s="489"/>
      <c r="G262" s="489"/>
      <c r="H262" s="489"/>
      <c r="I262" s="489"/>
      <c r="J262" s="489"/>
      <c r="K262" s="489"/>
      <c r="L262" s="489"/>
      <c r="M262" s="489"/>
      <c r="N262" s="489"/>
      <c r="O262" s="489"/>
      <c r="P262" s="489"/>
      <c r="Q262" s="489"/>
      <c r="R262" s="489"/>
      <c r="S262" s="489"/>
      <c r="T262" s="489"/>
      <c r="U262" s="489"/>
      <c r="V262" s="489"/>
      <c r="W262" s="489"/>
    </row>
    <row r="263" spans="1:23">
      <c r="A263" s="489"/>
      <c r="B263" s="489"/>
      <c r="C263" s="489"/>
      <c r="D263" s="489"/>
      <c r="E263" s="489"/>
      <c r="F263" s="489"/>
      <c r="G263" s="489"/>
      <c r="H263" s="489"/>
      <c r="I263" s="489"/>
      <c r="J263" s="489"/>
      <c r="K263" s="489"/>
      <c r="L263" s="489"/>
      <c r="M263" s="489"/>
      <c r="N263" s="489"/>
      <c r="O263" s="489"/>
      <c r="P263" s="489"/>
      <c r="Q263" s="489"/>
      <c r="R263" s="489"/>
      <c r="S263" s="489"/>
      <c r="T263" s="489"/>
      <c r="U263" s="489"/>
      <c r="V263" s="489"/>
      <c r="W263" s="489"/>
    </row>
    <row r="264" spans="1:23">
      <c r="A264" s="489"/>
      <c r="B264" s="489"/>
      <c r="C264" s="489"/>
      <c r="D264" s="489"/>
      <c r="E264" s="489"/>
      <c r="F264" s="489"/>
      <c r="G264" s="489"/>
      <c r="H264" s="489"/>
      <c r="I264" s="489"/>
      <c r="J264" s="489"/>
      <c r="K264" s="489"/>
      <c r="L264" s="489"/>
      <c r="M264" s="489"/>
      <c r="N264" s="489"/>
      <c r="O264" s="489"/>
      <c r="P264" s="489"/>
      <c r="Q264" s="489"/>
      <c r="R264" s="489"/>
      <c r="S264" s="489"/>
      <c r="T264" s="489"/>
      <c r="U264" s="489"/>
      <c r="V264" s="489"/>
      <c r="W264" s="489"/>
    </row>
    <row r="265" spans="1:23">
      <c r="A265" s="489"/>
      <c r="B265" s="489"/>
      <c r="C265" s="489"/>
      <c r="D265" s="489"/>
      <c r="E265" s="489"/>
      <c r="F265" s="489"/>
      <c r="G265" s="489"/>
      <c r="H265" s="489"/>
      <c r="I265" s="489"/>
      <c r="J265" s="489"/>
      <c r="K265" s="489"/>
      <c r="L265" s="489"/>
      <c r="M265" s="489"/>
      <c r="N265" s="489"/>
      <c r="O265" s="489"/>
      <c r="P265" s="489"/>
      <c r="Q265" s="489"/>
      <c r="R265" s="489"/>
      <c r="S265" s="489"/>
      <c r="T265" s="489"/>
      <c r="U265" s="489"/>
      <c r="V265" s="489"/>
      <c r="W265" s="489"/>
    </row>
    <row r="266" spans="1:23">
      <c r="A266" s="489"/>
      <c r="B266" s="489"/>
      <c r="C266" s="489"/>
      <c r="D266" s="489"/>
      <c r="E266" s="489"/>
      <c r="F266" s="489"/>
      <c r="G266" s="489"/>
      <c r="H266" s="489"/>
      <c r="I266" s="489"/>
      <c r="J266" s="489"/>
      <c r="K266" s="489"/>
      <c r="L266" s="489"/>
      <c r="M266" s="489"/>
      <c r="N266" s="489"/>
      <c r="O266" s="489"/>
      <c r="P266" s="489"/>
      <c r="Q266" s="489"/>
      <c r="R266" s="489"/>
      <c r="S266" s="489"/>
      <c r="T266" s="489"/>
      <c r="U266" s="489"/>
      <c r="V266" s="489"/>
      <c r="W266" s="489"/>
    </row>
    <row r="267" spans="1:23">
      <c r="A267" s="489"/>
      <c r="B267" s="489"/>
      <c r="C267" s="489"/>
      <c r="D267" s="489"/>
      <c r="E267" s="489"/>
      <c r="F267" s="489"/>
      <c r="G267" s="489"/>
      <c r="H267" s="489"/>
      <c r="I267" s="489"/>
      <c r="J267" s="489"/>
      <c r="K267" s="489"/>
      <c r="L267" s="489"/>
      <c r="M267" s="489"/>
      <c r="N267" s="489"/>
      <c r="O267" s="489"/>
      <c r="P267" s="489"/>
      <c r="Q267" s="489"/>
      <c r="R267" s="489"/>
      <c r="S267" s="489"/>
      <c r="T267" s="489"/>
      <c r="U267" s="489"/>
      <c r="V267" s="489"/>
      <c r="W267" s="489"/>
    </row>
    <row r="268" spans="1:23">
      <c r="A268" s="489"/>
      <c r="B268" s="489"/>
      <c r="C268" s="489"/>
      <c r="D268" s="489"/>
      <c r="E268" s="489"/>
      <c r="F268" s="489"/>
      <c r="G268" s="489"/>
      <c r="H268" s="489"/>
      <c r="I268" s="489"/>
      <c r="J268" s="489"/>
      <c r="K268" s="489"/>
      <c r="L268" s="489"/>
      <c r="M268" s="489"/>
      <c r="N268" s="489"/>
      <c r="O268" s="489"/>
      <c r="P268" s="489"/>
      <c r="Q268" s="489"/>
      <c r="R268" s="489"/>
      <c r="S268" s="489"/>
      <c r="T268" s="489"/>
      <c r="U268" s="489"/>
      <c r="V268" s="489"/>
      <c r="W268" s="489"/>
    </row>
    <row r="269" spans="1:23">
      <c r="A269" s="489"/>
      <c r="B269" s="489"/>
      <c r="C269" s="489"/>
      <c r="D269" s="489"/>
      <c r="E269" s="489"/>
      <c r="F269" s="489"/>
      <c r="G269" s="489"/>
      <c r="H269" s="489"/>
      <c r="I269" s="489"/>
      <c r="J269" s="489"/>
      <c r="K269" s="489"/>
      <c r="L269" s="489"/>
      <c r="M269" s="489"/>
      <c r="N269" s="489"/>
      <c r="O269" s="489"/>
      <c r="P269" s="489"/>
      <c r="Q269" s="489"/>
      <c r="R269" s="489"/>
      <c r="S269" s="489"/>
      <c r="T269" s="489"/>
      <c r="U269" s="489"/>
      <c r="V269" s="489"/>
      <c r="W269" s="489"/>
    </row>
    <row r="270" spans="1:23">
      <c r="A270" s="489"/>
      <c r="B270" s="489"/>
      <c r="C270" s="489"/>
      <c r="D270" s="489"/>
      <c r="E270" s="489"/>
      <c r="F270" s="489"/>
      <c r="G270" s="489"/>
      <c r="H270" s="489"/>
      <c r="I270" s="489"/>
      <c r="J270" s="489"/>
      <c r="K270" s="489"/>
      <c r="L270" s="489"/>
      <c r="M270" s="489"/>
      <c r="N270" s="489"/>
      <c r="O270" s="489"/>
      <c r="P270" s="489"/>
      <c r="Q270" s="489"/>
      <c r="R270" s="489"/>
      <c r="S270" s="489"/>
      <c r="T270" s="489"/>
      <c r="U270" s="489"/>
      <c r="V270" s="489"/>
      <c r="W270" s="489"/>
    </row>
    <row r="271" spans="1:23">
      <c r="A271" s="489"/>
      <c r="B271" s="489"/>
      <c r="C271" s="489"/>
      <c r="D271" s="489"/>
      <c r="E271" s="489"/>
      <c r="F271" s="489"/>
      <c r="G271" s="489"/>
      <c r="H271" s="489"/>
      <c r="I271" s="489"/>
      <c r="J271" s="489"/>
      <c r="K271" s="489"/>
      <c r="L271" s="489"/>
      <c r="M271" s="489"/>
      <c r="N271" s="489"/>
      <c r="O271" s="489"/>
      <c r="P271" s="489"/>
      <c r="Q271" s="489"/>
      <c r="R271" s="489"/>
      <c r="S271" s="489"/>
      <c r="T271" s="489"/>
      <c r="U271" s="489"/>
      <c r="V271" s="489"/>
      <c r="W271" s="489"/>
    </row>
    <row r="272" spans="1:23">
      <c r="A272" s="489"/>
      <c r="B272" s="489"/>
      <c r="C272" s="489"/>
      <c r="D272" s="489"/>
      <c r="E272" s="489"/>
      <c r="F272" s="489"/>
      <c r="G272" s="489"/>
      <c r="H272" s="489"/>
      <c r="I272" s="489"/>
      <c r="J272" s="489"/>
      <c r="K272" s="489"/>
      <c r="L272" s="489"/>
      <c r="M272" s="489"/>
      <c r="N272" s="489"/>
      <c r="O272" s="489"/>
      <c r="P272" s="489"/>
      <c r="Q272" s="489"/>
      <c r="R272" s="489"/>
      <c r="S272" s="489"/>
      <c r="T272" s="489"/>
      <c r="U272" s="489"/>
      <c r="V272" s="489"/>
      <c r="W272" s="489"/>
    </row>
    <row r="273" spans="1:23">
      <c r="A273" s="489"/>
      <c r="B273" s="489"/>
      <c r="C273" s="489"/>
      <c r="D273" s="489"/>
      <c r="E273" s="489"/>
      <c r="F273" s="489"/>
      <c r="G273" s="489"/>
      <c r="H273" s="489"/>
      <c r="I273" s="489"/>
      <c r="J273" s="489"/>
      <c r="K273" s="489"/>
      <c r="L273" s="489"/>
      <c r="M273" s="489"/>
      <c r="N273" s="489"/>
      <c r="O273" s="489"/>
      <c r="P273" s="489"/>
      <c r="Q273" s="489"/>
      <c r="R273" s="489"/>
      <c r="S273" s="489"/>
      <c r="T273" s="489"/>
      <c r="U273" s="489"/>
      <c r="V273" s="489"/>
      <c r="W273" s="489"/>
    </row>
    <row r="274" spans="1:23">
      <c r="A274" s="489"/>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row>
    <row r="275" spans="1:23">
      <c r="A275" s="489"/>
      <c r="B275" s="489"/>
      <c r="C275" s="489"/>
      <c r="D275" s="489"/>
      <c r="E275" s="489"/>
      <c r="F275" s="489"/>
      <c r="G275" s="489"/>
      <c r="H275" s="489"/>
      <c r="I275" s="489"/>
      <c r="J275" s="489"/>
      <c r="K275" s="489"/>
      <c r="L275" s="489"/>
      <c r="M275" s="489"/>
      <c r="N275" s="489"/>
      <c r="O275" s="489"/>
      <c r="P275" s="489"/>
      <c r="Q275" s="489"/>
      <c r="R275" s="489"/>
      <c r="S275" s="489"/>
      <c r="T275" s="489"/>
      <c r="U275" s="489"/>
      <c r="V275" s="489"/>
      <c r="W275" s="489"/>
    </row>
    <row r="276" spans="1:23">
      <c r="A276" s="489"/>
      <c r="B276" s="489"/>
      <c r="C276" s="489"/>
      <c r="D276" s="489"/>
      <c r="E276" s="489"/>
      <c r="F276" s="489"/>
      <c r="G276" s="489"/>
      <c r="H276" s="489"/>
      <c r="I276" s="489"/>
      <c r="J276" s="489"/>
      <c r="K276" s="489"/>
      <c r="L276" s="489"/>
      <c r="M276" s="489"/>
      <c r="N276" s="489"/>
      <c r="O276" s="489"/>
      <c r="P276" s="489"/>
      <c r="Q276" s="489"/>
      <c r="R276" s="489"/>
      <c r="S276" s="489"/>
      <c r="T276" s="489"/>
      <c r="U276" s="489"/>
      <c r="V276" s="489"/>
      <c r="W276" s="489"/>
    </row>
    <row r="277" spans="1:23">
      <c r="A277" s="489"/>
      <c r="B277" s="489"/>
      <c r="C277" s="489"/>
      <c r="D277" s="489"/>
      <c r="E277" s="489"/>
      <c r="F277" s="489"/>
      <c r="G277" s="489"/>
      <c r="H277" s="489"/>
      <c r="I277" s="489"/>
      <c r="J277" s="489"/>
      <c r="K277" s="489"/>
      <c r="L277" s="489"/>
      <c r="M277" s="489"/>
      <c r="N277" s="489"/>
      <c r="O277" s="489"/>
      <c r="P277" s="489"/>
      <c r="Q277" s="489"/>
      <c r="R277" s="489"/>
      <c r="S277" s="489"/>
      <c r="T277" s="489"/>
      <c r="U277" s="489"/>
      <c r="V277" s="489"/>
      <c r="W277" s="489"/>
    </row>
    <row r="278" spans="1:23">
      <c r="A278" s="489"/>
      <c r="B278" s="489"/>
      <c r="C278" s="489"/>
      <c r="D278" s="489"/>
      <c r="E278" s="489"/>
      <c r="F278" s="489"/>
      <c r="G278" s="489"/>
      <c r="H278" s="489"/>
      <c r="I278" s="489"/>
      <c r="J278" s="489"/>
      <c r="K278" s="489"/>
      <c r="L278" s="489"/>
      <c r="M278" s="489"/>
      <c r="N278" s="489"/>
      <c r="O278" s="489"/>
      <c r="P278" s="489"/>
      <c r="Q278" s="489"/>
      <c r="R278" s="489"/>
      <c r="S278" s="489"/>
      <c r="T278" s="489"/>
      <c r="U278" s="489"/>
      <c r="V278" s="489"/>
      <c r="W278" s="489"/>
    </row>
    <row r="279" spans="1:23">
      <c r="A279" s="489"/>
      <c r="B279" s="489"/>
      <c r="C279" s="489"/>
      <c r="D279" s="489"/>
      <c r="E279" s="489"/>
      <c r="F279" s="489"/>
      <c r="G279" s="489"/>
      <c r="H279" s="489"/>
      <c r="I279" s="489"/>
      <c r="J279" s="489"/>
      <c r="K279" s="489"/>
      <c r="L279" s="489"/>
      <c r="M279" s="489"/>
      <c r="N279" s="489"/>
      <c r="O279" s="489"/>
      <c r="P279" s="489"/>
      <c r="Q279" s="489"/>
      <c r="R279" s="489"/>
      <c r="S279" s="489"/>
      <c r="T279" s="489"/>
      <c r="U279" s="489"/>
      <c r="V279" s="489"/>
      <c r="W279" s="489"/>
    </row>
    <row r="280" spans="1:23">
      <c r="A280" s="489"/>
      <c r="B280" s="489"/>
      <c r="C280" s="489"/>
      <c r="D280" s="489"/>
      <c r="E280" s="489"/>
      <c r="F280" s="489"/>
      <c r="G280" s="489"/>
      <c r="H280" s="489"/>
      <c r="I280" s="489"/>
      <c r="J280" s="489"/>
      <c r="K280" s="489"/>
      <c r="L280" s="489"/>
      <c r="M280" s="489"/>
      <c r="N280" s="489"/>
      <c r="O280" s="489"/>
      <c r="P280" s="489"/>
      <c r="Q280" s="489"/>
      <c r="R280" s="489"/>
      <c r="S280" s="489"/>
      <c r="T280" s="489"/>
      <c r="U280" s="489"/>
      <c r="V280" s="489"/>
      <c r="W280" s="489"/>
    </row>
    <row r="281" spans="1:23">
      <c r="A281" s="489"/>
      <c r="B281" s="489"/>
      <c r="C281" s="489"/>
      <c r="D281" s="489"/>
      <c r="E281" s="489"/>
      <c r="F281" s="489"/>
      <c r="G281" s="489"/>
      <c r="H281" s="489"/>
      <c r="I281" s="489"/>
      <c r="J281" s="489"/>
      <c r="K281" s="489"/>
      <c r="L281" s="489"/>
      <c r="M281" s="489"/>
      <c r="N281" s="489"/>
      <c r="O281" s="489"/>
      <c r="P281" s="489"/>
      <c r="Q281" s="489"/>
      <c r="R281" s="489"/>
      <c r="S281" s="489"/>
      <c r="T281" s="489"/>
      <c r="U281" s="489"/>
      <c r="V281" s="489"/>
      <c r="W281" s="489"/>
    </row>
    <row r="282" spans="1:23">
      <c r="A282" s="489"/>
      <c r="B282" s="489"/>
      <c r="C282" s="489"/>
      <c r="D282" s="489"/>
      <c r="E282" s="489"/>
      <c r="F282" s="489"/>
      <c r="G282" s="489"/>
      <c r="H282" s="489"/>
      <c r="I282" s="489"/>
      <c r="J282" s="489"/>
      <c r="K282" s="489"/>
      <c r="L282" s="489"/>
      <c r="M282" s="489"/>
      <c r="N282" s="489"/>
      <c r="O282" s="489"/>
      <c r="P282" s="489"/>
      <c r="Q282" s="489"/>
      <c r="R282" s="489"/>
      <c r="S282" s="489"/>
      <c r="T282" s="489"/>
      <c r="U282" s="489"/>
      <c r="V282" s="489"/>
      <c r="W282" s="489"/>
    </row>
    <row r="283" spans="1:23">
      <c r="A283" s="489"/>
      <c r="B283" s="489"/>
      <c r="C283" s="489"/>
      <c r="D283" s="489"/>
      <c r="E283" s="489"/>
      <c r="F283" s="489"/>
      <c r="G283" s="489"/>
      <c r="H283" s="489"/>
      <c r="I283" s="489"/>
      <c r="J283" s="489"/>
      <c r="K283" s="489"/>
      <c r="L283" s="489"/>
      <c r="M283" s="489"/>
      <c r="N283" s="489"/>
      <c r="O283" s="489"/>
      <c r="P283" s="489"/>
      <c r="Q283" s="489"/>
      <c r="R283" s="489"/>
      <c r="S283" s="489"/>
      <c r="T283" s="489"/>
      <c r="U283" s="489"/>
      <c r="V283" s="489"/>
      <c r="W283" s="489"/>
    </row>
    <row r="284" spans="1:23">
      <c r="A284" s="489"/>
      <c r="B284" s="489"/>
      <c r="C284" s="489"/>
      <c r="D284" s="489"/>
      <c r="E284" s="489"/>
      <c r="F284" s="489"/>
      <c r="G284" s="489"/>
      <c r="H284" s="489"/>
      <c r="I284" s="489"/>
      <c r="J284" s="489"/>
      <c r="K284" s="489"/>
      <c r="L284" s="489"/>
      <c r="M284" s="489"/>
      <c r="N284" s="489"/>
      <c r="O284" s="489"/>
      <c r="P284" s="489"/>
      <c r="Q284" s="489"/>
      <c r="R284" s="489"/>
      <c r="S284" s="489"/>
      <c r="T284" s="489"/>
      <c r="U284" s="489"/>
      <c r="V284" s="489"/>
      <c r="W284" s="489"/>
    </row>
    <row r="285" spans="1:23">
      <c r="A285" s="489"/>
      <c r="B285" s="489"/>
      <c r="C285" s="489"/>
      <c r="D285" s="489"/>
      <c r="E285" s="489"/>
      <c r="F285" s="489"/>
      <c r="G285" s="489"/>
      <c r="H285" s="489"/>
      <c r="I285" s="489"/>
      <c r="J285" s="489"/>
      <c r="K285" s="489"/>
      <c r="L285" s="489"/>
      <c r="M285" s="489"/>
      <c r="N285" s="489"/>
      <c r="O285" s="489"/>
      <c r="P285" s="489"/>
      <c r="Q285" s="489"/>
      <c r="R285" s="489"/>
      <c r="S285" s="489"/>
      <c r="T285" s="489"/>
      <c r="U285" s="489"/>
      <c r="V285" s="489"/>
      <c r="W285" s="489"/>
    </row>
    <row r="286" spans="1:23">
      <c r="A286" s="489"/>
      <c r="B286" s="489"/>
      <c r="C286" s="489"/>
      <c r="D286" s="489"/>
      <c r="E286" s="489"/>
      <c r="F286" s="489"/>
      <c r="G286" s="489"/>
      <c r="H286" s="489"/>
      <c r="I286" s="489"/>
      <c r="J286" s="489"/>
      <c r="K286" s="489"/>
      <c r="L286" s="489"/>
      <c r="M286" s="489"/>
      <c r="N286" s="489"/>
      <c r="O286" s="489"/>
      <c r="P286" s="489"/>
      <c r="Q286" s="489"/>
      <c r="R286" s="489"/>
      <c r="S286" s="489"/>
      <c r="T286" s="489"/>
      <c r="U286" s="489"/>
      <c r="V286" s="489"/>
      <c r="W286" s="489"/>
    </row>
    <row r="287" spans="1:23">
      <c r="A287" s="489"/>
      <c r="B287" s="489"/>
      <c r="C287" s="489"/>
      <c r="D287" s="489"/>
      <c r="E287" s="489"/>
      <c r="F287" s="489"/>
      <c r="G287" s="489"/>
      <c r="H287" s="489"/>
      <c r="I287" s="489"/>
      <c r="J287" s="489"/>
      <c r="K287" s="489"/>
      <c r="L287" s="489"/>
      <c r="M287" s="489"/>
      <c r="N287" s="489"/>
      <c r="O287" s="489"/>
      <c r="P287" s="489"/>
      <c r="Q287" s="489"/>
      <c r="R287" s="489"/>
      <c r="S287" s="489"/>
      <c r="T287" s="489"/>
      <c r="U287" s="489"/>
      <c r="V287" s="489"/>
      <c r="W287" s="489"/>
    </row>
    <row r="288" spans="1:23">
      <c r="A288" s="489"/>
      <c r="B288" s="489"/>
      <c r="C288" s="489"/>
      <c r="D288" s="489"/>
      <c r="E288" s="489"/>
      <c r="F288" s="489"/>
      <c r="G288" s="489"/>
      <c r="H288" s="489"/>
      <c r="I288" s="489"/>
      <c r="J288" s="489"/>
      <c r="K288" s="489"/>
      <c r="L288" s="489"/>
      <c r="M288" s="489"/>
      <c r="N288" s="489"/>
      <c r="O288" s="489"/>
      <c r="P288" s="489"/>
      <c r="Q288" s="489"/>
      <c r="R288" s="489"/>
      <c r="S288" s="489"/>
      <c r="T288" s="489"/>
      <c r="U288" s="489"/>
      <c r="V288" s="489"/>
      <c r="W288" s="489"/>
    </row>
    <row r="289" spans="1:23">
      <c r="A289" s="489"/>
      <c r="B289" s="489"/>
      <c r="C289" s="489"/>
      <c r="D289" s="489"/>
      <c r="E289" s="489"/>
      <c r="F289" s="489"/>
      <c r="G289" s="489"/>
      <c r="H289" s="489"/>
      <c r="I289" s="489"/>
      <c r="J289" s="489"/>
      <c r="K289" s="489"/>
      <c r="L289" s="489"/>
      <c r="M289" s="489"/>
      <c r="N289" s="489"/>
      <c r="O289" s="489"/>
      <c r="P289" s="489"/>
      <c r="Q289" s="489"/>
      <c r="R289" s="489"/>
      <c r="S289" s="489"/>
      <c r="T289" s="489"/>
      <c r="U289" s="489"/>
      <c r="V289" s="489"/>
      <c r="W289" s="489"/>
    </row>
    <row r="290" spans="1:23">
      <c r="A290" s="489"/>
      <c r="B290" s="489"/>
      <c r="C290" s="489"/>
      <c r="D290" s="489"/>
      <c r="E290" s="489"/>
      <c r="F290" s="489"/>
      <c r="G290" s="489"/>
      <c r="H290" s="489"/>
      <c r="I290" s="489"/>
      <c r="J290" s="489"/>
      <c r="K290" s="489"/>
      <c r="L290" s="489"/>
      <c r="M290" s="489"/>
      <c r="N290" s="489"/>
      <c r="O290" s="489"/>
      <c r="P290" s="489"/>
      <c r="Q290" s="489"/>
      <c r="R290" s="489"/>
      <c r="S290" s="489"/>
      <c r="T290" s="489"/>
      <c r="U290" s="489"/>
      <c r="V290" s="489"/>
      <c r="W290" s="489"/>
    </row>
    <row r="291" spans="1:23">
      <c r="A291" s="489"/>
      <c r="B291" s="489"/>
      <c r="C291" s="489"/>
      <c r="D291" s="489"/>
      <c r="E291" s="489"/>
      <c r="F291" s="489"/>
      <c r="G291" s="489"/>
      <c r="H291" s="489"/>
      <c r="I291" s="489"/>
      <c r="J291" s="489"/>
      <c r="K291" s="489"/>
      <c r="L291" s="489"/>
      <c r="M291" s="489"/>
      <c r="N291" s="489"/>
      <c r="O291" s="489"/>
      <c r="P291" s="489"/>
      <c r="Q291" s="489"/>
      <c r="R291" s="489"/>
      <c r="S291" s="489"/>
      <c r="T291" s="489"/>
      <c r="U291" s="489"/>
      <c r="V291" s="489"/>
      <c r="W291" s="489"/>
    </row>
    <row r="292" spans="1:23">
      <c r="A292" s="489"/>
      <c r="B292" s="489"/>
      <c r="C292" s="489"/>
      <c r="D292" s="489"/>
      <c r="E292" s="489"/>
      <c r="F292" s="489"/>
      <c r="G292" s="489"/>
      <c r="H292" s="489"/>
      <c r="I292" s="489"/>
      <c r="J292" s="489"/>
      <c r="K292" s="489"/>
      <c r="L292" s="489"/>
      <c r="M292" s="489"/>
      <c r="N292" s="489"/>
      <c r="O292" s="489"/>
      <c r="P292" s="489"/>
      <c r="Q292" s="489"/>
      <c r="R292" s="489"/>
      <c r="S292" s="489"/>
      <c r="T292" s="489"/>
      <c r="U292" s="489"/>
      <c r="V292" s="489"/>
      <c r="W292" s="489"/>
    </row>
    <row r="293" spans="1:23">
      <c r="A293" s="489"/>
      <c r="B293" s="489"/>
      <c r="C293" s="489"/>
      <c r="D293" s="489"/>
      <c r="E293" s="489"/>
      <c r="F293" s="489"/>
      <c r="G293" s="489"/>
      <c r="H293" s="489"/>
      <c r="I293" s="489"/>
      <c r="J293" s="489"/>
      <c r="K293" s="489"/>
      <c r="L293" s="489"/>
      <c r="M293" s="489"/>
      <c r="N293" s="489"/>
      <c r="O293" s="489"/>
      <c r="P293" s="489"/>
      <c r="Q293" s="489"/>
      <c r="R293" s="489"/>
      <c r="S293" s="489"/>
      <c r="T293" s="489"/>
      <c r="U293" s="489"/>
      <c r="V293" s="489"/>
      <c r="W293" s="489"/>
    </row>
    <row r="294" spans="1:23">
      <c r="A294" s="489"/>
      <c r="B294" s="489"/>
      <c r="C294" s="489"/>
      <c r="D294" s="489"/>
      <c r="E294" s="489"/>
      <c r="F294" s="489"/>
      <c r="G294" s="489"/>
      <c r="H294" s="489"/>
      <c r="I294" s="489"/>
      <c r="J294" s="489"/>
      <c r="K294" s="489"/>
      <c r="L294" s="489"/>
      <c r="M294" s="489"/>
      <c r="N294" s="489"/>
      <c r="O294" s="489"/>
      <c r="P294" s="489"/>
      <c r="Q294" s="489"/>
      <c r="R294" s="489"/>
      <c r="S294" s="489"/>
      <c r="T294" s="489"/>
      <c r="U294" s="489"/>
      <c r="V294" s="489"/>
      <c r="W294" s="489"/>
    </row>
    <row r="295" spans="1:23">
      <c r="A295" s="489"/>
      <c r="B295" s="489"/>
      <c r="C295" s="489"/>
      <c r="D295" s="489"/>
      <c r="E295" s="489"/>
      <c r="F295" s="489"/>
      <c r="G295" s="489"/>
      <c r="H295" s="489"/>
      <c r="I295" s="489"/>
      <c r="J295" s="489"/>
      <c r="K295" s="489"/>
      <c r="L295" s="489"/>
      <c r="M295" s="489"/>
      <c r="N295" s="489"/>
      <c r="O295" s="489"/>
      <c r="P295" s="489"/>
      <c r="Q295" s="489"/>
      <c r="R295" s="489"/>
      <c r="S295" s="489"/>
      <c r="T295" s="489"/>
      <c r="U295" s="489"/>
      <c r="V295" s="489"/>
      <c r="W295" s="489"/>
    </row>
    <row r="296" spans="1:23">
      <c r="A296" s="489"/>
      <c r="B296" s="489"/>
      <c r="C296" s="489"/>
      <c r="D296" s="489"/>
      <c r="E296" s="489"/>
      <c r="F296" s="489"/>
      <c r="G296" s="489"/>
      <c r="H296" s="489"/>
      <c r="I296" s="489"/>
      <c r="J296" s="489"/>
      <c r="K296" s="489"/>
      <c r="L296" s="489"/>
      <c r="M296" s="489"/>
      <c r="N296" s="489"/>
      <c r="O296" s="489"/>
      <c r="P296" s="489"/>
      <c r="Q296" s="489"/>
      <c r="R296" s="489"/>
      <c r="S296" s="489"/>
      <c r="T296" s="489"/>
      <c r="U296" s="489"/>
      <c r="V296" s="489"/>
      <c r="W296" s="489"/>
    </row>
    <row r="297" spans="1:23">
      <c r="A297" s="489"/>
      <c r="B297" s="489"/>
      <c r="C297" s="489"/>
      <c r="D297" s="489"/>
      <c r="E297" s="489"/>
      <c r="F297" s="489"/>
      <c r="G297" s="489"/>
      <c r="H297" s="489"/>
      <c r="I297" s="489"/>
      <c r="J297" s="489"/>
      <c r="K297" s="489"/>
      <c r="L297" s="489"/>
      <c r="M297" s="489"/>
      <c r="N297" s="489"/>
      <c r="O297" s="489"/>
      <c r="P297" s="489"/>
      <c r="Q297" s="489"/>
      <c r="R297" s="489"/>
      <c r="S297" s="489"/>
      <c r="T297" s="489"/>
      <c r="U297" s="489"/>
      <c r="V297" s="489"/>
      <c r="W297" s="489"/>
    </row>
    <row r="298" spans="1:23">
      <c r="A298" s="489"/>
      <c r="B298" s="489"/>
      <c r="C298" s="489"/>
      <c r="D298" s="489"/>
      <c r="E298" s="489"/>
      <c r="F298" s="489"/>
      <c r="G298" s="489"/>
      <c r="H298" s="489"/>
      <c r="I298" s="489"/>
      <c r="J298" s="489"/>
      <c r="K298" s="489"/>
      <c r="L298" s="489"/>
      <c r="M298" s="489"/>
      <c r="N298" s="489"/>
      <c r="O298" s="489"/>
      <c r="P298" s="489"/>
      <c r="Q298" s="489"/>
      <c r="R298" s="489"/>
      <c r="S298" s="489"/>
      <c r="T298" s="489"/>
      <c r="U298" s="489"/>
      <c r="V298" s="489"/>
      <c r="W298" s="489"/>
    </row>
    <row r="299" spans="1:23">
      <c r="A299" s="489"/>
      <c r="B299" s="489"/>
      <c r="C299" s="489"/>
      <c r="D299" s="489"/>
      <c r="E299" s="489"/>
      <c r="F299" s="489"/>
      <c r="G299" s="489"/>
      <c r="H299" s="489"/>
      <c r="I299" s="489"/>
      <c r="J299" s="489"/>
      <c r="K299" s="489"/>
      <c r="L299" s="489"/>
      <c r="M299" s="489"/>
      <c r="N299" s="489"/>
      <c r="O299" s="489"/>
      <c r="P299" s="489"/>
      <c r="Q299" s="489"/>
      <c r="R299" s="489"/>
      <c r="S299" s="489"/>
      <c r="T299" s="489"/>
      <c r="U299" s="489"/>
      <c r="V299" s="489"/>
      <c r="W299" s="489"/>
    </row>
    <row r="300" spans="1:23">
      <c r="A300" s="489"/>
      <c r="B300" s="489"/>
      <c r="C300" s="489"/>
      <c r="D300" s="489"/>
      <c r="E300" s="489"/>
      <c r="F300" s="489"/>
      <c r="G300" s="489"/>
      <c r="H300" s="489"/>
      <c r="I300" s="489"/>
      <c r="J300" s="489"/>
      <c r="K300" s="489"/>
      <c r="L300" s="489"/>
      <c r="M300" s="489"/>
      <c r="N300" s="489"/>
      <c r="O300" s="489"/>
      <c r="P300" s="489"/>
      <c r="Q300" s="489"/>
      <c r="R300" s="489"/>
      <c r="S300" s="489"/>
      <c r="T300" s="489"/>
      <c r="U300" s="489"/>
      <c r="V300" s="489"/>
      <c r="W300" s="489"/>
    </row>
    <row r="301" spans="1:23">
      <c r="A301" s="489"/>
      <c r="B301" s="489"/>
      <c r="C301" s="489"/>
      <c r="D301" s="489"/>
      <c r="E301" s="489"/>
      <c r="F301" s="489"/>
      <c r="G301" s="489"/>
      <c r="H301" s="489"/>
      <c r="I301" s="489"/>
      <c r="J301" s="489"/>
      <c r="K301" s="489"/>
      <c r="L301" s="489"/>
      <c r="M301" s="489"/>
      <c r="N301" s="489"/>
      <c r="O301" s="489"/>
      <c r="P301" s="489"/>
      <c r="Q301" s="489"/>
      <c r="R301" s="489"/>
      <c r="S301" s="489"/>
      <c r="T301" s="489"/>
      <c r="U301" s="489"/>
      <c r="V301" s="489"/>
      <c r="W301" s="489"/>
    </row>
    <row r="302" spans="1:23">
      <c r="A302" s="489"/>
      <c r="B302" s="489"/>
      <c r="C302" s="489"/>
      <c r="D302" s="489"/>
      <c r="E302" s="489"/>
      <c r="F302" s="489"/>
      <c r="G302" s="489"/>
      <c r="H302" s="489"/>
      <c r="I302" s="489"/>
      <c r="J302" s="489"/>
      <c r="K302" s="489"/>
      <c r="L302" s="489"/>
      <c r="M302" s="489"/>
      <c r="N302" s="489"/>
      <c r="O302" s="489"/>
      <c r="P302" s="489"/>
      <c r="Q302" s="489"/>
      <c r="R302" s="489"/>
      <c r="S302" s="489"/>
      <c r="T302" s="489"/>
      <c r="U302" s="489"/>
      <c r="V302" s="489"/>
      <c r="W302" s="489"/>
    </row>
    <row r="303" spans="1:23">
      <c r="A303" s="489"/>
      <c r="B303" s="489"/>
      <c r="C303" s="489"/>
      <c r="D303" s="489"/>
      <c r="E303" s="489"/>
      <c r="F303" s="489"/>
      <c r="G303" s="489"/>
      <c r="H303" s="489"/>
      <c r="I303" s="489"/>
      <c r="J303" s="489"/>
      <c r="K303" s="489"/>
      <c r="L303" s="489"/>
      <c r="M303" s="489"/>
      <c r="N303" s="489"/>
      <c r="O303" s="489"/>
      <c r="P303" s="489"/>
      <c r="Q303" s="489"/>
      <c r="R303" s="489"/>
      <c r="S303" s="489"/>
      <c r="T303" s="489"/>
      <c r="U303" s="489"/>
      <c r="V303" s="489"/>
      <c r="W303" s="489"/>
    </row>
    <row r="304" spans="1:23">
      <c r="A304" s="489"/>
      <c r="B304" s="489"/>
      <c r="C304" s="489"/>
      <c r="D304" s="489"/>
      <c r="E304" s="489"/>
      <c r="F304" s="489"/>
      <c r="G304" s="489"/>
      <c r="H304" s="489"/>
      <c r="I304" s="489"/>
      <c r="J304" s="489"/>
      <c r="K304" s="489"/>
      <c r="L304" s="489"/>
      <c r="M304" s="489"/>
      <c r="N304" s="489"/>
      <c r="O304" s="489"/>
      <c r="P304" s="489"/>
      <c r="Q304" s="489"/>
      <c r="R304" s="489"/>
      <c r="S304" s="489"/>
      <c r="T304" s="489"/>
      <c r="U304" s="489"/>
      <c r="V304" s="489"/>
      <c r="W304" s="489"/>
    </row>
    <row r="305" spans="1:23">
      <c r="A305" s="489"/>
      <c r="B305" s="489"/>
      <c r="C305" s="489"/>
      <c r="D305" s="489"/>
      <c r="E305" s="489"/>
      <c r="F305" s="489"/>
      <c r="G305" s="489"/>
      <c r="H305" s="489"/>
      <c r="I305" s="489"/>
      <c r="J305" s="489"/>
      <c r="K305" s="489"/>
      <c r="L305" s="489"/>
      <c r="M305" s="489"/>
      <c r="N305" s="489"/>
      <c r="O305" s="489"/>
      <c r="P305" s="489"/>
      <c r="Q305" s="489"/>
      <c r="R305" s="489"/>
      <c r="S305" s="489"/>
      <c r="T305" s="489"/>
      <c r="U305" s="489"/>
      <c r="V305" s="489"/>
      <c r="W305" s="489"/>
    </row>
    <row r="306" spans="1:23">
      <c r="A306" s="489"/>
      <c r="B306" s="489"/>
      <c r="C306" s="489"/>
      <c r="D306" s="489"/>
      <c r="E306" s="489"/>
      <c r="F306" s="489"/>
      <c r="G306" s="489"/>
      <c r="H306" s="489"/>
      <c r="I306" s="489"/>
      <c r="J306" s="489"/>
      <c r="K306" s="489"/>
      <c r="L306" s="489"/>
      <c r="M306" s="489"/>
      <c r="N306" s="489"/>
      <c r="O306" s="489"/>
      <c r="P306" s="489"/>
      <c r="Q306" s="489"/>
      <c r="R306" s="489"/>
      <c r="S306" s="489"/>
      <c r="T306" s="489"/>
      <c r="U306" s="489"/>
      <c r="V306" s="489"/>
      <c r="W306" s="489"/>
    </row>
    <row r="307" spans="1:23">
      <c r="A307" s="489"/>
      <c r="B307" s="489"/>
      <c r="C307" s="489"/>
      <c r="D307" s="489"/>
      <c r="E307" s="489"/>
      <c r="F307" s="489"/>
      <c r="G307" s="489"/>
      <c r="H307" s="489"/>
      <c r="I307" s="489"/>
      <c r="J307" s="489"/>
      <c r="K307" s="489"/>
      <c r="L307" s="489"/>
      <c r="M307" s="489"/>
      <c r="N307" s="489"/>
      <c r="O307" s="489"/>
      <c r="P307" s="489"/>
      <c r="Q307" s="489"/>
      <c r="R307" s="489"/>
      <c r="S307" s="489"/>
      <c r="T307" s="489"/>
      <c r="U307" s="489"/>
      <c r="V307" s="489"/>
      <c r="W307" s="489"/>
    </row>
    <row r="308" spans="1:23">
      <c r="A308" s="489"/>
      <c r="B308" s="489"/>
      <c r="C308" s="489"/>
      <c r="D308" s="489"/>
      <c r="E308" s="489"/>
      <c r="F308" s="489"/>
      <c r="G308" s="489"/>
      <c r="H308" s="489"/>
      <c r="I308" s="489"/>
      <c r="J308" s="489"/>
      <c r="K308" s="489"/>
      <c r="L308" s="489"/>
      <c r="M308" s="489"/>
      <c r="N308" s="489"/>
      <c r="O308" s="489"/>
      <c r="P308" s="489"/>
      <c r="Q308" s="489"/>
      <c r="R308" s="489"/>
      <c r="S308" s="489"/>
      <c r="T308" s="489"/>
      <c r="U308" s="489"/>
      <c r="V308" s="489"/>
      <c r="W308" s="489"/>
    </row>
    <row r="309" spans="1:23">
      <c r="A309" s="489"/>
      <c r="B309" s="489"/>
      <c r="C309" s="489"/>
      <c r="D309" s="489"/>
      <c r="E309" s="489"/>
      <c r="F309" s="489"/>
      <c r="G309" s="489"/>
      <c r="H309" s="489"/>
      <c r="I309" s="489"/>
      <c r="J309" s="489"/>
      <c r="K309" s="489"/>
      <c r="L309" s="489"/>
      <c r="M309" s="489"/>
      <c r="N309" s="489"/>
      <c r="O309" s="489"/>
      <c r="P309" s="489"/>
      <c r="Q309" s="489"/>
      <c r="R309" s="489"/>
      <c r="S309" s="489"/>
      <c r="T309" s="489"/>
      <c r="U309" s="489"/>
      <c r="V309" s="489"/>
      <c r="W309" s="489"/>
    </row>
    <row r="310" spans="1:23">
      <c r="A310" s="489"/>
      <c r="B310" s="489"/>
      <c r="C310" s="489"/>
      <c r="D310" s="489"/>
      <c r="E310" s="489"/>
      <c r="F310" s="489"/>
      <c r="G310" s="489"/>
      <c r="H310" s="489"/>
      <c r="I310" s="489"/>
      <c r="J310" s="489"/>
      <c r="K310" s="489"/>
      <c r="L310" s="489"/>
      <c r="M310" s="489"/>
      <c r="N310" s="489"/>
      <c r="O310" s="489"/>
      <c r="P310" s="489"/>
      <c r="Q310" s="489"/>
      <c r="R310" s="489"/>
      <c r="S310" s="489"/>
      <c r="T310" s="489"/>
      <c r="U310" s="489"/>
      <c r="V310" s="489"/>
      <c r="W310" s="489"/>
    </row>
    <row r="311" spans="1:23">
      <c r="A311" s="489"/>
      <c r="B311" s="489"/>
      <c r="C311" s="489"/>
      <c r="D311" s="489"/>
      <c r="E311" s="489"/>
      <c r="F311" s="489"/>
      <c r="G311" s="489"/>
      <c r="H311" s="489"/>
      <c r="I311" s="489"/>
      <c r="J311" s="489"/>
      <c r="K311" s="489"/>
      <c r="L311" s="489"/>
      <c r="M311" s="489"/>
      <c r="N311" s="489"/>
      <c r="O311" s="489"/>
      <c r="P311" s="489"/>
      <c r="Q311" s="489"/>
      <c r="R311" s="489"/>
      <c r="S311" s="489"/>
      <c r="T311" s="489"/>
      <c r="U311" s="489"/>
      <c r="V311" s="489"/>
      <c r="W311" s="489"/>
    </row>
    <row r="312" spans="1:23">
      <c r="A312" s="489"/>
      <c r="B312" s="489"/>
      <c r="C312" s="489"/>
      <c r="D312" s="489"/>
      <c r="E312" s="489"/>
      <c r="F312" s="489"/>
      <c r="G312" s="489"/>
      <c r="H312" s="489"/>
      <c r="I312" s="489"/>
      <c r="J312" s="489"/>
      <c r="K312" s="489"/>
      <c r="L312" s="489"/>
      <c r="M312" s="489"/>
      <c r="N312" s="489"/>
      <c r="O312" s="489"/>
      <c r="P312" s="489"/>
      <c r="Q312" s="489"/>
      <c r="R312" s="489"/>
      <c r="S312" s="489"/>
      <c r="T312" s="489"/>
      <c r="U312" s="489"/>
      <c r="V312" s="489"/>
      <c r="W312" s="489"/>
    </row>
    <row r="313" spans="1:23">
      <c r="A313" s="489"/>
      <c r="B313" s="489"/>
      <c r="C313" s="489"/>
      <c r="D313" s="489"/>
      <c r="E313" s="489"/>
      <c r="F313" s="489"/>
      <c r="G313" s="489"/>
      <c r="H313" s="489"/>
      <c r="I313" s="489"/>
      <c r="J313" s="489"/>
      <c r="K313" s="489"/>
      <c r="L313" s="489"/>
      <c r="M313" s="489"/>
      <c r="N313" s="489"/>
      <c r="O313" s="489"/>
      <c r="P313" s="489"/>
      <c r="Q313" s="489"/>
      <c r="R313" s="489"/>
      <c r="S313" s="489"/>
      <c r="T313" s="489"/>
      <c r="U313" s="489"/>
      <c r="V313" s="489"/>
      <c r="W313" s="489"/>
    </row>
    <row r="314" spans="1:23">
      <c r="A314" s="489"/>
      <c r="B314" s="489"/>
      <c r="C314" s="489"/>
      <c r="D314" s="489"/>
      <c r="E314" s="489"/>
      <c r="F314" s="489"/>
      <c r="G314" s="489"/>
      <c r="H314" s="489"/>
      <c r="I314" s="489"/>
      <c r="J314" s="489"/>
      <c r="K314" s="489"/>
      <c r="L314" s="489"/>
      <c r="M314" s="489"/>
      <c r="N314" s="489"/>
      <c r="O314" s="489"/>
      <c r="P314" s="489"/>
      <c r="Q314" s="489"/>
      <c r="R314" s="489"/>
      <c r="S314" s="489"/>
      <c r="T314" s="489"/>
      <c r="U314" s="489"/>
      <c r="V314" s="489"/>
      <c r="W314" s="489"/>
    </row>
    <row r="315" spans="1:23">
      <c r="A315" s="489"/>
      <c r="B315" s="489"/>
      <c r="C315" s="489"/>
      <c r="D315" s="489"/>
      <c r="E315" s="489"/>
      <c r="F315" s="489"/>
      <c r="G315" s="489"/>
      <c r="H315" s="489"/>
      <c r="I315" s="489"/>
      <c r="J315" s="489"/>
      <c r="K315" s="489"/>
      <c r="L315" s="489"/>
      <c r="M315" s="489"/>
      <c r="N315" s="489"/>
      <c r="O315" s="489"/>
      <c r="P315" s="489"/>
      <c r="Q315" s="489"/>
      <c r="R315" s="489"/>
      <c r="S315" s="489"/>
      <c r="T315" s="489"/>
      <c r="U315" s="489"/>
      <c r="V315" s="489"/>
      <c r="W315" s="489"/>
    </row>
    <row r="316" spans="1:23">
      <c r="A316" s="489"/>
      <c r="B316" s="489"/>
      <c r="C316" s="489"/>
      <c r="D316" s="489"/>
      <c r="E316" s="489"/>
      <c r="F316" s="489"/>
      <c r="G316" s="489"/>
      <c r="H316" s="489"/>
      <c r="I316" s="489"/>
      <c r="J316" s="489"/>
      <c r="K316" s="489"/>
      <c r="L316" s="489"/>
      <c r="M316" s="489"/>
      <c r="N316" s="489"/>
      <c r="O316" s="489"/>
      <c r="P316" s="489"/>
      <c r="Q316" s="489"/>
      <c r="R316" s="489"/>
      <c r="S316" s="489"/>
      <c r="T316" s="489"/>
      <c r="U316" s="489"/>
      <c r="V316" s="489"/>
      <c r="W316" s="489"/>
    </row>
    <row r="317" spans="1:23">
      <c r="A317" s="489"/>
      <c r="B317" s="489"/>
      <c r="C317" s="489"/>
      <c r="D317" s="489"/>
      <c r="E317" s="489"/>
      <c r="F317" s="489"/>
      <c r="G317" s="489"/>
      <c r="H317" s="489"/>
      <c r="I317" s="489"/>
      <c r="J317" s="489"/>
      <c r="K317" s="489"/>
      <c r="L317" s="489"/>
      <c r="M317" s="489"/>
      <c r="N317" s="489"/>
      <c r="O317" s="489"/>
      <c r="P317" s="489"/>
      <c r="Q317" s="489"/>
      <c r="R317" s="489"/>
      <c r="S317" s="489"/>
      <c r="T317" s="489"/>
      <c r="U317" s="489"/>
      <c r="V317" s="489"/>
      <c r="W317" s="489"/>
    </row>
    <row r="318" spans="1:23">
      <c r="A318" s="489"/>
      <c r="B318" s="489"/>
      <c r="C318" s="489"/>
      <c r="D318" s="489"/>
      <c r="E318" s="489"/>
      <c r="F318" s="489"/>
      <c r="G318" s="489"/>
      <c r="H318" s="489"/>
      <c r="I318" s="489"/>
      <c r="J318" s="489"/>
      <c r="K318" s="489"/>
      <c r="L318" s="489"/>
      <c r="M318" s="489"/>
      <c r="N318" s="489"/>
      <c r="O318" s="489"/>
      <c r="P318" s="489"/>
      <c r="Q318" s="489"/>
      <c r="R318" s="489"/>
      <c r="S318" s="489"/>
      <c r="T318" s="489"/>
      <c r="U318" s="489"/>
      <c r="V318" s="489"/>
      <c r="W318" s="489"/>
    </row>
    <row r="319" spans="1:23">
      <c r="A319" s="489"/>
      <c r="B319" s="489"/>
      <c r="C319" s="489"/>
      <c r="D319" s="489"/>
      <c r="E319" s="489"/>
      <c r="F319" s="489"/>
      <c r="G319" s="489"/>
      <c r="H319" s="489"/>
      <c r="I319" s="489"/>
      <c r="J319" s="489"/>
      <c r="K319" s="489"/>
      <c r="L319" s="489"/>
      <c r="M319" s="489"/>
      <c r="N319" s="489"/>
      <c r="O319" s="489"/>
      <c r="P319" s="489"/>
      <c r="Q319" s="489"/>
      <c r="R319" s="489"/>
      <c r="S319" s="489"/>
      <c r="T319" s="489"/>
      <c r="U319" s="489"/>
      <c r="V319" s="489"/>
      <c r="W319" s="489"/>
    </row>
    <row r="320" spans="1:23">
      <c r="A320" s="489"/>
      <c r="B320" s="489"/>
      <c r="C320" s="489"/>
      <c r="D320" s="489"/>
      <c r="E320" s="489"/>
      <c r="F320" s="489"/>
      <c r="G320" s="489"/>
      <c r="H320" s="489"/>
      <c r="I320" s="489"/>
      <c r="J320" s="489"/>
      <c r="K320" s="489"/>
      <c r="L320" s="489"/>
      <c r="M320" s="489"/>
      <c r="N320" s="489"/>
      <c r="O320" s="489"/>
      <c r="P320" s="489"/>
      <c r="Q320" s="489"/>
      <c r="R320" s="489"/>
      <c r="S320" s="489"/>
      <c r="T320" s="489"/>
      <c r="U320" s="489"/>
      <c r="V320" s="489"/>
      <c r="W320" s="489"/>
    </row>
    <row r="321" spans="1:23">
      <c r="A321" s="489"/>
      <c r="B321" s="489"/>
      <c r="C321" s="489"/>
      <c r="D321" s="489"/>
      <c r="E321" s="489"/>
      <c r="F321" s="489"/>
      <c r="G321" s="489"/>
      <c r="H321" s="489"/>
      <c r="I321" s="489"/>
      <c r="J321" s="489"/>
      <c r="K321" s="489"/>
      <c r="L321" s="489"/>
      <c r="M321" s="489"/>
      <c r="N321" s="489"/>
      <c r="O321" s="489"/>
      <c r="P321" s="489"/>
      <c r="Q321" s="489"/>
      <c r="R321" s="489"/>
      <c r="S321" s="489"/>
      <c r="T321" s="489"/>
      <c r="U321" s="489"/>
      <c r="V321" s="489"/>
      <c r="W321" s="489"/>
    </row>
    <row r="322" spans="1:23">
      <c r="A322" s="489"/>
      <c r="B322" s="489"/>
      <c r="C322" s="489"/>
      <c r="D322" s="489"/>
      <c r="E322" s="489"/>
      <c r="F322" s="489"/>
      <c r="G322" s="489"/>
      <c r="H322" s="489"/>
      <c r="I322" s="489"/>
      <c r="J322" s="489"/>
      <c r="K322" s="489"/>
      <c r="L322" s="489"/>
      <c r="M322" s="489"/>
      <c r="N322" s="489"/>
      <c r="O322" s="489"/>
      <c r="P322" s="489"/>
      <c r="Q322" s="489"/>
      <c r="R322" s="489"/>
      <c r="S322" s="489"/>
      <c r="T322" s="489"/>
      <c r="U322" s="489"/>
      <c r="V322" s="489"/>
      <c r="W322" s="489"/>
    </row>
    <row r="323" spans="1:23">
      <c r="A323" s="489"/>
      <c r="B323" s="489"/>
      <c r="C323" s="489"/>
      <c r="D323" s="489"/>
      <c r="E323" s="489"/>
      <c r="F323" s="489"/>
      <c r="G323" s="489"/>
      <c r="H323" s="489"/>
      <c r="I323" s="489"/>
      <c r="J323" s="489"/>
      <c r="K323" s="489"/>
      <c r="L323" s="489"/>
      <c r="M323" s="489"/>
      <c r="N323" s="489"/>
      <c r="O323" s="489"/>
      <c r="P323" s="489"/>
      <c r="Q323" s="489"/>
      <c r="R323" s="489"/>
      <c r="S323" s="489"/>
      <c r="T323" s="489"/>
      <c r="U323" s="489"/>
      <c r="V323" s="489"/>
      <c r="W323" s="489"/>
    </row>
    <row r="324" spans="1:23">
      <c r="A324" s="489"/>
      <c r="B324" s="489"/>
      <c r="C324" s="489"/>
      <c r="D324" s="489"/>
      <c r="E324" s="489"/>
      <c r="F324" s="489"/>
      <c r="G324" s="489"/>
      <c r="H324" s="489"/>
      <c r="I324" s="489"/>
      <c r="J324" s="489"/>
      <c r="K324" s="489"/>
      <c r="L324" s="489"/>
      <c r="M324" s="489"/>
      <c r="N324" s="489"/>
      <c r="O324" s="489"/>
      <c r="P324" s="489"/>
      <c r="Q324" s="489"/>
      <c r="R324" s="489"/>
      <c r="S324" s="489"/>
      <c r="T324" s="489"/>
      <c r="U324" s="489"/>
      <c r="V324" s="489"/>
      <c r="W324" s="489"/>
    </row>
    <row r="325" spans="1:23">
      <c r="A325" s="489"/>
      <c r="B325" s="489"/>
      <c r="C325" s="489"/>
      <c r="D325" s="489"/>
      <c r="E325" s="489"/>
      <c r="F325" s="489"/>
      <c r="G325" s="489"/>
      <c r="H325" s="489"/>
      <c r="I325" s="489"/>
      <c r="J325" s="489"/>
      <c r="K325" s="489"/>
      <c r="L325" s="489"/>
      <c r="M325" s="489"/>
      <c r="N325" s="489"/>
      <c r="O325" s="489"/>
      <c r="P325" s="489"/>
      <c r="Q325" s="489"/>
      <c r="R325" s="489"/>
      <c r="S325" s="489"/>
      <c r="T325" s="489"/>
      <c r="U325" s="489"/>
      <c r="V325" s="489"/>
      <c r="W325" s="489"/>
    </row>
    <row r="326" spans="1:23">
      <c r="A326" s="489"/>
      <c r="B326" s="489"/>
      <c r="C326" s="489"/>
      <c r="D326" s="489"/>
      <c r="E326" s="489"/>
      <c r="F326" s="489"/>
      <c r="G326" s="489"/>
      <c r="H326" s="489"/>
      <c r="I326" s="489"/>
      <c r="J326" s="489"/>
      <c r="K326" s="489"/>
      <c r="L326" s="489"/>
      <c r="M326" s="489"/>
      <c r="N326" s="489"/>
      <c r="O326" s="489"/>
      <c r="P326" s="489"/>
      <c r="Q326" s="489"/>
      <c r="R326" s="489"/>
      <c r="S326" s="489"/>
      <c r="T326" s="489"/>
      <c r="U326" s="489"/>
      <c r="V326" s="489"/>
      <c r="W326" s="489"/>
    </row>
    <row r="327" spans="1:23">
      <c r="A327" s="489"/>
      <c r="B327" s="489"/>
      <c r="C327" s="489"/>
      <c r="D327" s="489"/>
      <c r="E327" s="489"/>
      <c r="F327" s="489"/>
      <c r="G327" s="489"/>
      <c r="H327" s="489"/>
      <c r="I327" s="489"/>
      <c r="J327" s="489"/>
      <c r="K327" s="489"/>
      <c r="L327" s="489"/>
      <c r="M327" s="489"/>
      <c r="N327" s="489"/>
      <c r="O327" s="489"/>
      <c r="P327" s="489"/>
      <c r="Q327" s="489"/>
      <c r="R327" s="489"/>
      <c r="S327" s="489"/>
      <c r="T327" s="489"/>
      <c r="U327" s="489"/>
      <c r="V327" s="489"/>
      <c r="W327" s="489"/>
    </row>
    <row r="328" spans="1:23">
      <c r="A328" s="489"/>
      <c r="B328" s="489"/>
      <c r="C328" s="489"/>
      <c r="D328" s="489"/>
      <c r="E328" s="489"/>
      <c r="F328" s="489"/>
      <c r="G328" s="489"/>
      <c r="H328" s="489"/>
      <c r="I328" s="489"/>
      <c r="J328" s="489"/>
      <c r="K328" s="489"/>
      <c r="L328" s="489"/>
      <c r="M328" s="489"/>
      <c r="N328" s="489"/>
      <c r="O328" s="489"/>
      <c r="P328" s="489"/>
      <c r="Q328" s="489"/>
      <c r="R328" s="489"/>
      <c r="S328" s="489"/>
      <c r="T328" s="489"/>
      <c r="U328" s="489"/>
      <c r="V328" s="489"/>
      <c r="W328" s="489"/>
    </row>
    <row r="329" spans="1:23">
      <c r="A329" s="489"/>
      <c r="B329" s="489"/>
      <c r="C329" s="489"/>
      <c r="D329" s="489"/>
      <c r="E329" s="489"/>
      <c r="F329" s="489"/>
      <c r="G329" s="489"/>
      <c r="H329" s="489"/>
      <c r="I329" s="489"/>
      <c r="J329" s="489"/>
      <c r="K329" s="489"/>
      <c r="L329" s="489"/>
      <c r="M329" s="489"/>
      <c r="N329" s="489"/>
      <c r="O329" s="489"/>
      <c r="P329" s="489"/>
      <c r="Q329" s="489"/>
      <c r="R329" s="489"/>
      <c r="S329" s="489"/>
      <c r="T329" s="489"/>
      <c r="U329" s="489"/>
      <c r="V329" s="489"/>
      <c r="W329" s="489"/>
    </row>
    <row r="330" spans="1:23">
      <c r="A330" s="489"/>
      <c r="B330" s="489"/>
      <c r="C330" s="489"/>
      <c r="D330" s="489"/>
      <c r="E330" s="489"/>
      <c r="F330" s="489"/>
      <c r="G330" s="489"/>
      <c r="H330" s="489"/>
      <c r="I330" s="489"/>
      <c r="J330" s="489"/>
      <c r="K330" s="489"/>
      <c r="L330" s="489"/>
      <c r="M330" s="489"/>
      <c r="N330" s="489"/>
      <c r="O330" s="489"/>
      <c r="P330" s="489"/>
      <c r="Q330" s="489"/>
      <c r="R330" s="489"/>
      <c r="S330" s="489"/>
      <c r="T330" s="489"/>
      <c r="U330" s="489"/>
      <c r="V330" s="489"/>
      <c r="W330" s="489"/>
    </row>
    <row r="331" spans="1:23">
      <c r="A331" s="489"/>
      <c r="B331" s="489"/>
      <c r="C331" s="489"/>
      <c r="D331" s="489"/>
      <c r="E331" s="489"/>
      <c r="F331" s="489"/>
      <c r="G331" s="489"/>
      <c r="H331" s="489"/>
      <c r="I331" s="489"/>
      <c r="J331" s="489"/>
      <c r="K331" s="489"/>
      <c r="L331" s="489"/>
      <c r="M331" s="489"/>
      <c r="N331" s="489"/>
      <c r="O331" s="489"/>
      <c r="P331" s="489"/>
      <c r="Q331" s="489"/>
      <c r="R331" s="489"/>
      <c r="S331" s="489"/>
      <c r="T331" s="489"/>
      <c r="U331" s="489"/>
      <c r="V331" s="489"/>
      <c r="W331" s="489"/>
    </row>
    <row r="332" spans="1:23">
      <c r="A332" s="489"/>
      <c r="B332" s="489"/>
      <c r="C332" s="489"/>
      <c r="D332" s="489"/>
      <c r="E332" s="489"/>
      <c r="F332" s="489"/>
      <c r="G332" s="489"/>
      <c r="H332" s="489"/>
      <c r="I332" s="489"/>
      <c r="J332" s="489"/>
      <c r="K332" s="489"/>
      <c r="L332" s="489"/>
      <c r="M332" s="489"/>
      <c r="N332" s="489"/>
      <c r="O332" s="489"/>
      <c r="P332" s="489"/>
      <c r="Q332" s="489"/>
      <c r="R332" s="489"/>
      <c r="S332" s="489"/>
      <c r="T332" s="489"/>
      <c r="U332" s="489"/>
      <c r="V332" s="489"/>
      <c r="W332" s="489"/>
    </row>
    <row r="333" spans="1:23">
      <c r="A333" s="489"/>
      <c r="B333" s="489"/>
      <c r="C333" s="489"/>
      <c r="D333" s="489"/>
      <c r="E333" s="489"/>
      <c r="F333" s="489"/>
      <c r="G333" s="489"/>
      <c r="H333" s="489"/>
      <c r="I333" s="489"/>
      <c r="J333" s="489"/>
      <c r="K333" s="489"/>
      <c r="L333" s="489"/>
      <c r="M333" s="489"/>
      <c r="N333" s="489"/>
      <c r="O333" s="489"/>
      <c r="P333" s="489"/>
      <c r="Q333" s="489"/>
      <c r="R333" s="489"/>
      <c r="S333" s="489"/>
      <c r="T333" s="489"/>
      <c r="U333" s="489"/>
      <c r="V333" s="489"/>
      <c r="W333" s="489"/>
    </row>
    <row r="334" spans="1:23">
      <c r="A334" s="489"/>
      <c r="B334" s="489"/>
      <c r="C334" s="489"/>
      <c r="D334" s="489"/>
      <c r="E334" s="489"/>
      <c r="F334" s="489"/>
      <c r="G334" s="489"/>
      <c r="H334" s="489"/>
      <c r="I334" s="489"/>
      <c r="J334" s="489"/>
      <c r="K334" s="489"/>
      <c r="L334" s="489"/>
      <c r="M334" s="489"/>
      <c r="N334" s="489"/>
      <c r="O334" s="489"/>
      <c r="P334" s="489"/>
      <c r="Q334" s="489"/>
      <c r="R334" s="489"/>
      <c r="S334" s="489"/>
      <c r="T334" s="489"/>
      <c r="U334" s="489"/>
      <c r="V334" s="489"/>
      <c r="W334" s="489"/>
    </row>
    <row r="335" spans="1:23">
      <c r="A335" s="489"/>
      <c r="B335" s="489"/>
      <c r="C335" s="489"/>
      <c r="D335" s="489"/>
      <c r="E335" s="489"/>
      <c r="F335" s="489"/>
      <c r="G335" s="489"/>
      <c r="H335" s="489"/>
      <c r="I335" s="489"/>
      <c r="J335" s="489"/>
      <c r="K335" s="489"/>
      <c r="L335" s="489"/>
      <c r="M335" s="489"/>
      <c r="N335" s="489"/>
      <c r="O335" s="489"/>
      <c r="P335" s="489"/>
      <c r="Q335" s="489"/>
      <c r="R335" s="489"/>
      <c r="S335" s="489"/>
      <c r="T335" s="489"/>
      <c r="U335" s="489"/>
      <c r="V335" s="489"/>
      <c r="W335" s="489"/>
    </row>
    <row r="336" spans="1:23">
      <c r="A336" s="489"/>
      <c r="B336" s="489"/>
      <c r="C336" s="489"/>
      <c r="D336" s="489"/>
      <c r="E336" s="489"/>
      <c r="F336" s="489"/>
      <c r="G336" s="489"/>
      <c r="H336" s="489"/>
      <c r="I336" s="489"/>
      <c r="J336" s="489"/>
      <c r="K336" s="489"/>
      <c r="L336" s="489"/>
      <c r="M336" s="489"/>
      <c r="N336" s="489"/>
      <c r="O336" s="489"/>
      <c r="P336" s="489"/>
      <c r="Q336" s="489"/>
      <c r="R336" s="489"/>
      <c r="S336" s="489"/>
      <c r="T336" s="489"/>
      <c r="U336" s="489"/>
      <c r="V336" s="489"/>
      <c r="W336" s="489"/>
    </row>
    <row r="337" spans="1:23">
      <c r="A337" s="489"/>
      <c r="B337" s="489"/>
      <c r="C337" s="489"/>
      <c r="D337" s="489"/>
      <c r="E337" s="489"/>
      <c r="F337" s="489"/>
      <c r="G337" s="489"/>
      <c r="H337" s="489"/>
      <c r="I337" s="489"/>
      <c r="J337" s="489"/>
      <c r="K337" s="489"/>
      <c r="L337" s="489"/>
      <c r="M337" s="489"/>
      <c r="N337" s="489"/>
      <c r="O337" s="489"/>
      <c r="P337" s="489"/>
      <c r="Q337" s="489"/>
      <c r="R337" s="489"/>
      <c r="S337" s="489"/>
      <c r="T337" s="489"/>
      <c r="U337" s="489"/>
      <c r="V337" s="489"/>
      <c r="W337" s="489"/>
    </row>
    <row r="338" spans="1:23">
      <c r="A338" s="489"/>
      <c r="B338" s="489"/>
      <c r="C338" s="489"/>
      <c r="D338" s="489"/>
      <c r="E338" s="489"/>
      <c r="F338" s="489"/>
      <c r="G338" s="489"/>
      <c r="H338" s="489"/>
      <c r="I338" s="489"/>
      <c r="J338" s="489"/>
      <c r="K338" s="489"/>
      <c r="L338" s="489"/>
      <c r="M338" s="489"/>
      <c r="N338" s="489"/>
      <c r="O338" s="489"/>
      <c r="P338" s="489"/>
      <c r="Q338" s="489"/>
      <c r="R338" s="489"/>
      <c r="S338" s="489"/>
      <c r="T338" s="489"/>
      <c r="U338" s="489"/>
      <c r="V338" s="489"/>
      <c r="W338" s="489"/>
    </row>
    <row r="339" spans="1:23">
      <c r="A339" s="489"/>
      <c r="B339" s="489"/>
      <c r="C339" s="489"/>
      <c r="D339" s="489"/>
      <c r="E339" s="489"/>
      <c r="F339" s="489"/>
      <c r="G339" s="489"/>
      <c r="H339" s="489"/>
      <c r="I339" s="489"/>
      <c r="J339" s="489"/>
      <c r="K339" s="489"/>
      <c r="L339" s="489"/>
      <c r="M339" s="489"/>
      <c r="N339" s="489"/>
      <c r="O339" s="489"/>
      <c r="P339" s="489"/>
      <c r="Q339" s="489"/>
      <c r="R339" s="489"/>
      <c r="S339" s="489"/>
      <c r="T339" s="489"/>
      <c r="U339" s="489"/>
      <c r="V339" s="489"/>
      <c r="W339" s="489"/>
    </row>
    <row r="340" spans="1:23">
      <c r="A340" s="489"/>
      <c r="B340" s="489"/>
      <c r="C340" s="489"/>
      <c r="D340" s="489"/>
      <c r="E340" s="489"/>
      <c r="F340" s="489"/>
      <c r="G340" s="489"/>
      <c r="H340" s="489"/>
      <c r="I340" s="489"/>
      <c r="J340" s="489"/>
      <c r="K340" s="489"/>
      <c r="L340" s="489"/>
      <c r="M340" s="489"/>
      <c r="N340" s="489"/>
      <c r="O340" s="489"/>
      <c r="P340" s="489"/>
      <c r="Q340" s="489"/>
      <c r="R340" s="489"/>
      <c r="S340" s="489"/>
      <c r="T340" s="489"/>
      <c r="U340" s="489"/>
      <c r="V340" s="489"/>
      <c r="W340" s="489"/>
    </row>
    <row r="341" spans="1:23">
      <c r="A341" s="489"/>
      <c r="B341" s="489"/>
      <c r="C341" s="489"/>
      <c r="D341" s="489"/>
      <c r="E341" s="489"/>
      <c r="F341" s="489"/>
      <c r="G341" s="489"/>
      <c r="H341" s="489"/>
      <c r="I341" s="489"/>
      <c r="J341" s="489"/>
      <c r="K341" s="489"/>
      <c r="L341" s="489"/>
      <c r="M341" s="489"/>
      <c r="N341" s="489"/>
      <c r="O341" s="489"/>
      <c r="P341" s="489"/>
      <c r="Q341" s="489"/>
      <c r="R341" s="489"/>
      <c r="S341" s="489"/>
      <c r="T341" s="489"/>
      <c r="U341" s="489"/>
      <c r="V341" s="489"/>
      <c r="W341" s="489"/>
    </row>
    <row r="342" spans="1:23">
      <c r="A342" s="489"/>
      <c r="B342" s="489"/>
      <c r="C342" s="489"/>
      <c r="D342" s="489"/>
      <c r="E342" s="489"/>
      <c r="F342" s="489"/>
      <c r="G342" s="489"/>
      <c r="H342" s="489"/>
      <c r="I342" s="489"/>
      <c r="J342" s="489"/>
      <c r="K342" s="489"/>
      <c r="L342" s="489"/>
      <c r="M342" s="489"/>
      <c r="N342" s="489"/>
      <c r="O342" s="489"/>
      <c r="P342" s="489"/>
      <c r="Q342" s="489"/>
      <c r="R342" s="489"/>
      <c r="S342" s="489"/>
      <c r="T342" s="489"/>
      <c r="U342" s="489"/>
      <c r="V342" s="489"/>
      <c r="W342" s="489"/>
    </row>
    <row r="343" spans="1:23">
      <c r="A343" s="489"/>
      <c r="B343" s="489"/>
      <c r="C343" s="489"/>
      <c r="D343" s="489"/>
      <c r="E343" s="489"/>
      <c r="F343" s="489"/>
      <c r="G343" s="489"/>
      <c r="H343" s="489"/>
      <c r="I343" s="489"/>
      <c r="J343" s="489"/>
      <c r="K343" s="489"/>
      <c r="L343" s="489"/>
      <c r="M343" s="489"/>
      <c r="N343" s="489"/>
      <c r="O343" s="489"/>
      <c r="P343" s="489"/>
      <c r="Q343" s="489"/>
      <c r="R343" s="489"/>
      <c r="S343" s="489"/>
      <c r="T343" s="489"/>
      <c r="U343" s="489"/>
      <c r="V343" s="489"/>
      <c r="W343" s="489"/>
    </row>
    <row r="344" spans="1:23">
      <c r="A344" s="489"/>
      <c r="B344" s="489"/>
      <c r="C344" s="489"/>
      <c r="D344" s="489"/>
      <c r="E344" s="489"/>
      <c r="F344" s="489"/>
      <c r="G344" s="489"/>
      <c r="H344" s="489"/>
      <c r="I344" s="489"/>
      <c r="J344" s="489"/>
      <c r="K344" s="489"/>
      <c r="L344" s="489"/>
      <c r="M344" s="489"/>
      <c r="N344" s="489"/>
      <c r="O344" s="489"/>
      <c r="P344" s="489"/>
      <c r="Q344" s="489"/>
      <c r="R344" s="489"/>
      <c r="S344" s="489"/>
      <c r="T344" s="489"/>
      <c r="U344" s="489"/>
      <c r="V344" s="489"/>
      <c r="W344" s="489"/>
    </row>
    <row r="345" spans="1:23">
      <c r="A345" s="489"/>
      <c r="B345" s="489"/>
      <c r="C345" s="489"/>
      <c r="D345" s="489"/>
      <c r="E345" s="489"/>
      <c r="F345" s="489"/>
      <c r="G345" s="489"/>
      <c r="H345" s="489"/>
      <c r="I345" s="489"/>
      <c r="J345" s="489"/>
      <c r="K345" s="489"/>
      <c r="L345" s="489"/>
      <c r="M345" s="489"/>
      <c r="N345" s="489"/>
      <c r="O345" s="489"/>
      <c r="P345" s="489"/>
      <c r="Q345" s="489"/>
      <c r="R345" s="489"/>
      <c r="S345" s="489"/>
      <c r="T345" s="489"/>
      <c r="U345" s="489"/>
      <c r="V345" s="489"/>
      <c r="W345" s="489"/>
    </row>
    <row r="346" spans="1:23">
      <c r="A346" s="489"/>
      <c r="B346" s="489"/>
      <c r="C346" s="489"/>
      <c r="D346" s="489"/>
      <c r="E346" s="489"/>
      <c r="F346" s="489"/>
      <c r="G346" s="489"/>
      <c r="H346" s="489"/>
      <c r="I346" s="489"/>
      <c r="J346" s="489"/>
      <c r="K346" s="489"/>
      <c r="L346" s="489"/>
      <c r="M346" s="489"/>
      <c r="N346" s="489"/>
      <c r="O346" s="489"/>
      <c r="P346" s="489"/>
      <c r="Q346" s="489"/>
      <c r="R346" s="489"/>
      <c r="S346" s="489"/>
      <c r="T346" s="489"/>
      <c r="U346" s="489"/>
      <c r="V346" s="489"/>
      <c r="W346" s="489"/>
    </row>
    <row r="347" spans="1:23">
      <c r="A347" s="489"/>
      <c r="B347" s="489"/>
      <c r="C347" s="489"/>
      <c r="D347" s="489"/>
      <c r="E347" s="489"/>
      <c r="F347" s="489"/>
      <c r="G347" s="489"/>
      <c r="H347" s="489"/>
      <c r="I347" s="489"/>
      <c r="J347" s="489"/>
      <c r="K347" s="489"/>
      <c r="L347" s="489"/>
      <c r="M347" s="489"/>
      <c r="N347" s="489"/>
      <c r="O347" s="489"/>
      <c r="P347" s="489"/>
      <c r="Q347" s="489"/>
      <c r="R347" s="489"/>
      <c r="S347" s="489"/>
      <c r="T347" s="489"/>
      <c r="U347" s="489"/>
      <c r="V347" s="489"/>
      <c r="W347" s="489"/>
    </row>
    <row r="348" spans="1:23">
      <c r="A348" s="489"/>
      <c r="B348" s="489"/>
      <c r="C348" s="489"/>
      <c r="D348" s="489"/>
      <c r="E348" s="489"/>
      <c r="F348" s="489"/>
      <c r="G348" s="489"/>
      <c r="H348" s="489"/>
      <c r="I348" s="489"/>
      <c r="J348" s="489"/>
      <c r="K348" s="489"/>
      <c r="L348" s="489"/>
      <c r="M348" s="489"/>
      <c r="N348" s="489"/>
      <c r="O348" s="489"/>
      <c r="P348" s="489"/>
      <c r="Q348" s="489"/>
      <c r="R348" s="489"/>
      <c r="S348" s="489"/>
      <c r="T348" s="489"/>
      <c r="U348" s="489"/>
      <c r="V348" s="489"/>
      <c r="W348" s="489"/>
    </row>
    <row r="349" spans="1:23">
      <c r="A349" s="489"/>
      <c r="B349" s="489"/>
      <c r="C349" s="489"/>
      <c r="D349" s="489"/>
      <c r="E349" s="489"/>
      <c r="F349" s="489"/>
      <c r="G349" s="489"/>
      <c r="H349" s="489"/>
      <c r="I349" s="489"/>
      <c r="J349" s="489"/>
      <c r="K349" s="489"/>
      <c r="L349" s="489"/>
      <c r="M349" s="489"/>
      <c r="N349" s="489"/>
      <c r="O349" s="489"/>
      <c r="P349" s="489"/>
      <c r="Q349" s="489"/>
      <c r="R349" s="489"/>
      <c r="S349" s="489"/>
      <c r="T349" s="489"/>
      <c r="U349" s="489"/>
      <c r="V349" s="489"/>
      <c r="W349" s="489"/>
    </row>
    <row r="350" spans="1:23">
      <c r="A350" s="489"/>
      <c r="B350" s="489"/>
      <c r="C350" s="489"/>
      <c r="D350" s="489"/>
      <c r="E350" s="489"/>
      <c r="F350" s="489"/>
      <c r="G350" s="489"/>
      <c r="H350" s="489"/>
      <c r="I350" s="489"/>
      <c r="J350" s="489"/>
      <c r="K350" s="489"/>
      <c r="L350" s="489"/>
      <c r="M350" s="489"/>
      <c r="N350" s="489"/>
      <c r="O350" s="489"/>
      <c r="P350" s="489"/>
      <c r="Q350" s="489"/>
      <c r="R350" s="489"/>
      <c r="S350" s="489"/>
      <c r="T350" s="489"/>
      <c r="U350" s="489"/>
      <c r="V350" s="489"/>
      <c r="W350" s="489"/>
    </row>
    <row r="351" spans="1:23">
      <c r="A351" s="489"/>
      <c r="B351" s="489"/>
      <c r="C351" s="489"/>
      <c r="D351" s="489"/>
      <c r="E351" s="489"/>
      <c r="F351" s="489"/>
      <c r="G351" s="489"/>
      <c r="H351" s="489"/>
      <c r="I351" s="489"/>
      <c r="J351" s="489"/>
      <c r="K351" s="489"/>
      <c r="L351" s="489"/>
      <c r="M351" s="489"/>
      <c r="N351" s="489"/>
      <c r="O351" s="489"/>
      <c r="P351" s="489"/>
      <c r="Q351" s="489"/>
      <c r="R351" s="489"/>
      <c r="S351" s="489"/>
      <c r="T351" s="489"/>
      <c r="U351" s="489"/>
      <c r="V351" s="489"/>
      <c r="W351" s="489"/>
    </row>
    <row r="352" spans="1:23">
      <c r="A352" s="489"/>
      <c r="B352" s="489"/>
      <c r="C352" s="489"/>
      <c r="D352" s="489"/>
      <c r="E352" s="489"/>
      <c r="F352" s="489"/>
      <c r="G352" s="489"/>
      <c r="H352" s="489"/>
      <c r="I352" s="489"/>
      <c r="J352" s="489"/>
      <c r="K352" s="489"/>
      <c r="L352" s="489"/>
      <c r="M352" s="489"/>
      <c r="N352" s="489"/>
      <c r="O352" s="489"/>
      <c r="P352" s="489"/>
      <c r="Q352" s="489"/>
      <c r="R352" s="489"/>
      <c r="S352" s="489"/>
      <c r="T352" s="489"/>
      <c r="U352" s="489"/>
      <c r="V352" s="489"/>
      <c r="W352" s="489"/>
    </row>
    <row r="353" spans="1:23">
      <c r="A353" s="489"/>
      <c r="B353" s="489"/>
      <c r="C353" s="489"/>
      <c r="D353" s="489"/>
      <c r="E353" s="489"/>
      <c r="F353" s="489"/>
      <c r="G353" s="489"/>
      <c r="H353" s="489"/>
      <c r="I353" s="489"/>
      <c r="J353" s="489"/>
      <c r="K353" s="489"/>
      <c r="L353" s="489"/>
      <c r="M353" s="489"/>
      <c r="N353" s="489"/>
      <c r="O353" s="489"/>
      <c r="P353" s="489"/>
      <c r="Q353" s="489"/>
      <c r="R353" s="489"/>
      <c r="S353" s="489"/>
      <c r="T353" s="489"/>
      <c r="U353" s="489"/>
      <c r="V353" s="489"/>
      <c r="W353" s="489"/>
    </row>
    <row r="354" spans="1:23">
      <c r="A354" s="489"/>
      <c r="B354" s="489"/>
      <c r="C354" s="489"/>
      <c r="D354" s="489"/>
      <c r="E354" s="489"/>
      <c r="F354" s="489"/>
      <c r="G354" s="489"/>
      <c r="H354" s="489"/>
      <c r="I354" s="489"/>
      <c r="J354" s="489"/>
      <c r="K354" s="489"/>
      <c r="L354" s="489"/>
      <c r="M354" s="489"/>
      <c r="N354" s="489"/>
      <c r="O354" s="489"/>
      <c r="P354" s="489"/>
      <c r="Q354" s="489"/>
      <c r="R354" s="489"/>
      <c r="S354" s="489"/>
      <c r="T354" s="489"/>
      <c r="U354" s="489"/>
      <c r="V354" s="489"/>
      <c r="W354" s="489"/>
    </row>
    <row r="355" spans="1:23">
      <c r="A355" s="489"/>
      <c r="B355" s="489"/>
      <c r="C355" s="489"/>
      <c r="D355" s="489"/>
      <c r="E355" s="489"/>
      <c r="F355" s="489"/>
      <c r="G355" s="489"/>
      <c r="H355" s="489"/>
      <c r="I355" s="489"/>
      <c r="J355" s="489"/>
      <c r="K355" s="489"/>
      <c r="L355" s="489"/>
      <c r="M355" s="489"/>
      <c r="N355" s="489"/>
      <c r="O355" s="489"/>
      <c r="P355" s="489"/>
      <c r="Q355" s="489"/>
      <c r="R355" s="489"/>
      <c r="S355" s="489"/>
      <c r="T355" s="489"/>
      <c r="U355" s="489"/>
      <c r="V355" s="489"/>
      <c r="W355" s="489"/>
    </row>
    <row r="356" spans="1:23">
      <c r="A356" s="489"/>
      <c r="B356" s="489"/>
      <c r="C356" s="489"/>
      <c r="D356" s="489"/>
      <c r="E356" s="489"/>
      <c r="F356" s="489"/>
      <c r="G356" s="489"/>
      <c r="H356" s="489"/>
      <c r="I356" s="489"/>
      <c r="J356" s="489"/>
      <c r="K356" s="489"/>
      <c r="L356" s="489"/>
      <c r="M356" s="489"/>
      <c r="N356" s="489"/>
      <c r="O356" s="489"/>
      <c r="P356" s="489"/>
      <c r="Q356" s="489"/>
      <c r="R356" s="489"/>
      <c r="S356" s="489"/>
      <c r="T356" s="489"/>
      <c r="U356" s="489"/>
      <c r="V356" s="489"/>
      <c r="W356" s="489"/>
    </row>
    <row r="357" spans="1:23">
      <c r="A357" s="489"/>
      <c r="B357" s="489"/>
      <c r="C357" s="489"/>
      <c r="D357" s="489"/>
      <c r="E357" s="489"/>
      <c r="F357" s="489"/>
      <c r="G357" s="489"/>
      <c r="H357" s="489"/>
      <c r="I357" s="489"/>
      <c r="J357" s="489"/>
      <c r="K357" s="489"/>
      <c r="L357" s="489"/>
      <c r="M357" s="489"/>
      <c r="N357" s="489"/>
      <c r="O357" s="489"/>
      <c r="P357" s="489"/>
      <c r="Q357" s="489"/>
      <c r="R357" s="489"/>
      <c r="S357" s="489"/>
      <c r="T357" s="489"/>
      <c r="U357" s="489"/>
      <c r="V357" s="489"/>
      <c r="W357" s="489"/>
    </row>
    <row r="358" spans="1:23">
      <c r="A358" s="489"/>
      <c r="B358" s="489"/>
      <c r="C358" s="489"/>
      <c r="D358" s="489"/>
      <c r="E358" s="489"/>
      <c r="F358" s="489"/>
      <c r="G358" s="489"/>
      <c r="H358" s="489"/>
      <c r="I358" s="489"/>
      <c r="J358" s="489"/>
      <c r="K358" s="489"/>
      <c r="L358" s="489"/>
      <c r="M358" s="489"/>
      <c r="N358" s="489"/>
      <c r="O358" s="489"/>
      <c r="P358" s="489"/>
      <c r="Q358" s="489"/>
      <c r="R358" s="489"/>
      <c r="S358" s="489"/>
      <c r="T358" s="489"/>
      <c r="U358" s="489"/>
      <c r="V358" s="489"/>
      <c r="W358" s="489"/>
    </row>
    <row r="359" spans="1:23">
      <c r="A359" s="489"/>
      <c r="B359" s="489"/>
      <c r="C359" s="489"/>
      <c r="D359" s="489"/>
      <c r="E359" s="489"/>
      <c r="F359" s="489"/>
      <c r="G359" s="489"/>
      <c r="H359" s="489"/>
      <c r="I359" s="489"/>
      <c r="J359" s="489"/>
      <c r="K359" s="489"/>
      <c r="L359" s="489"/>
      <c r="M359" s="489"/>
      <c r="N359" s="489"/>
      <c r="O359" s="489"/>
      <c r="P359" s="489"/>
      <c r="Q359" s="489"/>
      <c r="R359" s="489"/>
      <c r="S359" s="489"/>
      <c r="T359" s="489"/>
      <c r="U359" s="489"/>
      <c r="V359" s="489"/>
      <c r="W359" s="489"/>
    </row>
    <row r="360" spans="1:23">
      <c r="A360" s="489"/>
      <c r="B360" s="489"/>
      <c r="C360" s="489"/>
      <c r="D360" s="489"/>
      <c r="E360" s="489"/>
      <c r="F360" s="489"/>
      <c r="G360" s="489"/>
      <c r="H360" s="489"/>
      <c r="I360" s="489"/>
      <c r="J360" s="489"/>
      <c r="K360" s="489"/>
      <c r="L360" s="489"/>
      <c r="M360" s="489"/>
      <c r="N360" s="489"/>
      <c r="O360" s="489"/>
      <c r="P360" s="489"/>
      <c r="Q360" s="489"/>
      <c r="R360" s="489"/>
      <c r="S360" s="489"/>
      <c r="T360" s="489"/>
      <c r="U360" s="489"/>
      <c r="V360" s="489"/>
      <c r="W360" s="489"/>
    </row>
    <row r="361" spans="1:23">
      <c r="A361" s="489"/>
      <c r="B361" s="489"/>
      <c r="C361" s="489"/>
      <c r="D361" s="489"/>
      <c r="E361" s="489"/>
      <c r="F361" s="489"/>
      <c r="G361" s="489"/>
      <c r="H361" s="489"/>
      <c r="I361" s="489"/>
      <c r="J361" s="489"/>
      <c r="K361" s="489"/>
      <c r="L361" s="489"/>
      <c r="M361" s="489"/>
      <c r="N361" s="489"/>
      <c r="O361" s="489"/>
      <c r="P361" s="489"/>
      <c r="Q361" s="489"/>
      <c r="R361" s="489"/>
      <c r="S361" s="489"/>
      <c r="T361" s="489"/>
      <c r="U361" s="489"/>
      <c r="V361" s="489"/>
      <c r="W361" s="489"/>
    </row>
    <row r="362" spans="1:23">
      <c r="A362" s="489"/>
      <c r="B362" s="489"/>
      <c r="C362" s="489"/>
      <c r="D362" s="489"/>
      <c r="E362" s="489"/>
      <c r="F362" s="489"/>
      <c r="G362" s="489"/>
      <c r="H362" s="489"/>
      <c r="I362" s="489"/>
      <c r="J362" s="489"/>
      <c r="K362" s="489"/>
      <c r="L362" s="489"/>
      <c r="M362" s="489"/>
      <c r="N362" s="489"/>
      <c r="O362" s="489"/>
      <c r="P362" s="489"/>
      <c r="Q362" s="489"/>
      <c r="R362" s="489"/>
      <c r="S362" s="489"/>
      <c r="T362" s="489"/>
      <c r="U362" s="489"/>
      <c r="V362" s="489"/>
      <c r="W362" s="489"/>
    </row>
    <row r="363" spans="1:23">
      <c r="A363" s="489"/>
      <c r="B363" s="489"/>
      <c r="C363" s="489"/>
      <c r="D363" s="489"/>
      <c r="E363" s="489"/>
      <c r="F363" s="489"/>
      <c r="G363" s="489"/>
      <c r="H363" s="489"/>
      <c r="I363" s="489"/>
      <c r="J363" s="489"/>
      <c r="K363" s="489"/>
      <c r="L363" s="489"/>
      <c r="M363" s="489"/>
      <c r="N363" s="489"/>
      <c r="O363" s="489"/>
      <c r="P363" s="489"/>
      <c r="Q363" s="489"/>
      <c r="R363" s="489"/>
      <c r="S363" s="489"/>
      <c r="T363" s="489"/>
      <c r="U363" s="489"/>
      <c r="V363" s="489"/>
      <c r="W363" s="489"/>
    </row>
    <row r="364" spans="1:23">
      <c r="A364" s="489"/>
      <c r="B364" s="489"/>
      <c r="C364" s="489"/>
      <c r="D364" s="489"/>
      <c r="E364" s="489"/>
      <c r="F364" s="489"/>
      <c r="G364" s="489"/>
      <c r="H364" s="489"/>
      <c r="I364" s="489"/>
      <c r="J364" s="489"/>
      <c r="K364" s="489"/>
      <c r="L364" s="489"/>
      <c r="M364" s="489"/>
      <c r="N364" s="489"/>
      <c r="O364" s="489"/>
      <c r="P364" s="489"/>
      <c r="Q364" s="489"/>
      <c r="R364" s="489"/>
      <c r="S364" s="489"/>
      <c r="T364" s="489"/>
      <c r="U364" s="489"/>
      <c r="V364" s="489"/>
      <c r="W364" s="489"/>
    </row>
    <row r="365" spans="1:23">
      <c r="A365" s="489"/>
      <c r="B365" s="489"/>
      <c r="C365" s="489"/>
      <c r="D365" s="489"/>
      <c r="E365" s="489"/>
      <c r="F365" s="489"/>
      <c r="G365" s="489"/>
      <c r="H365" s="489"/>
      <c r="I365" s="489"/>
      <c r="J365" s="489"/>
      <c r="K365" s="489"/>
      <c r="L365" s="489"/>
      <c r="M365" s="489"/>
      <c r="N365" s="489"/>
      <c r="O365" s="489"/>
      <c r="P365" s="489"/>
      <c r="Q365" s="489"/>
      <c r="R365" s="489"/>
      <c r="S365" s="489"/>
      <c r="T365" s="489"/>
      <c r="U365" s="489"/>
      <c r="V365" s="489"/>
      <c r="W365" s="489"/>
    </row>
    <row r="366" spans="1:23">
      <c r="A366" s="489"/>
      <c r="B366" s="489"/>
      <c r="C366" s="489"/>
      <c r="D366" s="489"/>
      <c r="E366" s="489"/>
      <c r="F366" s="489"/>
      <c r="G366" s="489"/>
      <c r="H366" s="489"/>
      <c r="I366" s="489"/>
      <c r="J366" s="489"/>
      <c r="K366" s="489"/>
      <c r="L366" s="489"/>
      <c r="M366" s="489"/>
      <c r="N366" s="489"/>
      <c r="O366" s="489"/>
      <c r="P366" s="489"/>
      <c r="Q366" s="489"/>
      <c r="R366" s="489"/>
      <c r="S366" s="489"/>
      <c r="T366" s="489"/>
      <c r="U366" s="489"/>
      <c r="V366" s="489"/>
      <c r="W366" s="489"/>
    </row>
    <row r="367" spans="1:23">
      <c r="A367" s="489"/>
      <c r="B367" s="489"/>
      <c r="C367" s="489"/>
      <c r="D367" s="489"/>
      <c r="E367" s="489"/>
      <c r="F367" s="489"/>
      <c r="G367" s="489"/>
      <c r="H367" s="489"/>
      <c r="I367" s="489"/>
      <c r="J367" s="489"/>
      <c r="K367" s="489"/>
      <c r="L367" s="489"/>
      <c r="M367" s="489"/>
      <c r="N367" s="489"/>
      <c r="O367" s="489"/>
      <c r="P367" s="489"/>
      <c r="Q367" s="489"/>
      <c r="R367" s="489"/>
      <c r="S367" s="489"/>
      <c r="T367" s="489"/>
      <c r="U367" s="489"/>
      <c r="V367" s="489"/>
      <c r="W367" s="489"/>
    </row>
    <row r="368" spans="1:23">
      <c r="A368" s="489"/>
      <c r="B368" s="489"/>
      <c r="C368" s="489"/>
      <c r="D368" s="489"/>
      <c r="E368" s="489"/>
      <c r="F368" s="489"/>
      <c r="G368" s="489"/>
      <c r="H368" s="489"/>
      <c r="I368" s="489"/>
      <c r="J368" s="489"/>
      <c r="K368" s="489"/>
      <c r="L368" s="489"/>
      <c r="M368" s="489"/>
      <c r="N368" s="489"/>
      <c r="O368" s="489"/>
      <c r="P368" s="489"/>
      <c r="Q368" s="489"/>
      <c r="R368" s="489"/>
      <c r="S368" s="489"/>
      <c r="T368" s="489"/>
      <c r="U368" s="489"/>
      <c r="V368" s="489"/>
      <c r="W368" s="489"/>
    </row>
    <row r="369" spans="1:23">
      <c r="A369" s="489"/>
      <c r="B369" s="489"/>
      <c r="C369" s="489"/>
      <c r="D369" s="489"/>
      <c r="E369" s="489"/>
      <c r="F369" s="489"/>
      <c r="G369" s="489"/>
      <c r="H369" s="489"/>
      <c r="I369" s="489"/>
      <c r="J369" s="489"/>
      <c r="K369" s="489"/>
      <c r="L369" s="489"/>
      <c r="M369" s="489"/>
      <c r="N369" s="489"/>
      <c r="O369" s="489"/>
      <c r="P369" s="489"/>
      <c r="Q369" s="489"/>
      <c r="R369" s="489"/>
      <c r="S369" s="489"/>
      <c r="T369" s="489"/>
      <c r="U369" s="489"/>
      <c r="V369" s="489"/>
      <c r="W369" s="489"/>
    </row>
    <row r="370" spans="1:23">
      <c r="A370" s="489"/>
      <c r="B370" s="489"/>
      <c r="C370" s="489"/>
      <c r="D370" s="489"/>
      <c r="E370" s="489"/>
      <c r="F370" s="489"/>
      <c r="G370" s="489"/>
      <c r="H370" s="489"/>
      <c r="I370" s="489"/>
      <c r="J370" s="489"/>
      <c r="K370" s="489"/>
      <c r="L370" s="489"/>
      <c r="M370" s="489"/>
      <c r="N370" s="489"/>
      <c r="O370" s="489"/>
      <c r="P370" s="489"/>
      <c r="Q370" s="489"/>
      <c r="R370" s="489"/>
      <c r="S370" s="489"/>
      <c r="T370" s="489"/>
      <c r="U370" s="489"/>
      <c r="V370" s="489"/>
      <c r="W370" s="489"/>
    </row>
    <row r="371" spans="1:23">
      <c r="A371" s="489"/>
      <c r="B371" s="489"/>
      <c r="C371" s="489"/>
      <c r="D371" s="489"/>
      <c r="E371" s="489"/>
      <c r="F371" s="489"/>
      <c r="G371" s="489"/>
      <c r="H371" s="489"/>
      <c r="I371" s="489"/>
      <c r="J371" s="489"/>
      <c r="K371" s="489"/>
      <c r="L371" s="489"/>
      <c r="M371" s="489"/>
      <c r="N371" s="489"/>
      <c r="O371" s="489"/>
      <c r="P371" s="489"/>
      <c r="Q371" s="489"/>
      <c r="R371" s="489"/>
      <c r="S371" s="489"/>
      <c r="T371" s="489"/>
      <c r="U371" s="489"/>
      <c r="V371" s="489"/>
      <c r="W371" s="489"/>
    </row>
    <row r="372" spans="1:23">
      <c r="A372" s="489"/>
      <c r="B372" s="489"/>
      <c r="C372" s="489"/>
      <c r="D372" s="489"/>
      <c r="E372" s="489"/>
      <c r="F372" s="489"/>
      <c r="G372" s="489"/>
      <c r="H372" s="489"/>
      <c r="I372" s="489"/>
      <c r="J372" s="489"/>
      <c r="K372" s="489"/>
      <c r="L372" s="489"/>
      <c r="M372" s="489"/>
      <c r="N372" s="489"/>
      <c r="O372" s="489"/>
      <c r="P372" s="489"/>
      <c r="Q372" s="489"/>
      <c r="R372" s="489"/>
      <c r="S372" s="489"/>
      <c r="T372" s="489"/>
      <c r="U372" s="489"/>
      <c r="V372" s="489"/>
      <c r="W372" s="489"/>
    </row>
    <row r="373" spans="1:23">
      <c r="A373" s="489"/>
      <c r="B373" s="489"/>
      <c r="C373" s="489"/>
      <c r="D373" s="489"/>
      <c r="E373" s="489"/>
      <c r="F373" s="489"/>
      <c r="G373" s="489"/>
      <c r="H373" s="489"/>
      <c r="I373" s="489"/>
      <c r="J373" s="489"/>
      <c r="K373" s="489"/>
      <c r="L373" s="489"/>
      <c r="M373" s="489"/>
      <c r="N373" s="489"/>
      <c r="O373" s="489"/>
      <c r="P373" s="489"/>
      <c r="Q373" s="489"/>
      <c r="R373" s="489"/>
      <c r="S373" s="489"/>
      <c r="T373" s="489"/>
      <c r="U373" s="489"/>
      <c r="V373" s="489"/>
      <c r="W373" s="489"/>
    </row>
    <row r="374" spans="1:23">
      <c r="A374" s="489"/>
      <c r="B374" s="489"/>
      <c r="C374" s="489"/>
      <c r="D374" s="489"/>
      <c r="E374" s="489"/>
      <c r="F374" s="489"/>
      <c r="G374" s="489"/>
      <c r="H374" s="489"/>
      <c r="I374" s="489"/>
      <c r="J374" s="489"/>
      <c r="K374" s="489"/>
      <c r="L374" s="489"/>
      <c r="M374" s="489"/>
      <c r="N374" s="489"/>
      <c r="O374" s="489"/>
      <c r="P374" s="489"/>
      <c r="Q374" s="489"/>
      <c r="R374" s="489"/>
      <c r="S374" s="489"/>
      <c r="T374" s="489"/>
      <c r="U374" s="489"/>
      <c r="V374" s="489"/>
      <c r="W374" s="489"/>
    </row>
    <row r="375" spans="1:23">
      <c r="A375" s="489"/>
      <c r="B375" s="489"/>
      <c r="C375" s="489"/>
      <c r="D375" s="489"/>
      <c r="E375" s="489"/>
      <c r="F375" s="489"/>
      <c r="G375" s="489"/>
      <c r="H375" s="489"/>
      <c r="I375" s="489"/>
      <c r="J375" s="489"/>
      <c r="K375" s="489"/>
      <c r="L375" s="489"/>
      <c r="M375" s="489"/>
      <c r="N375" s="489"/>
      <c r="O375" s="489"/>
      <c r="P375" s="489"/>
      <c r="Q375" s="489"/>
      <c r="R375" s="489"/>
      <c r="S375" s="489"/>
      <c r="T375" s="489"/>
      <c r="U375" s="489"/>
      <c r="V375" s="489"/>
      <c r="W375" s="489"/>
    </row>
    <row r="376" spans="1:23">
      <c r="A376" s="489"/>
      <c r="B376" s="489"/>
      <c r="C376" s="489"/>
      <c r="D376" s="489"/>
      <c r="E376" s="489"/>
      <c r="F376" s="489"/>
      <c r="G376" s="489"/>
      <c r="H376" s="489"/>
      <c r="I376" s="489"/>
      <c r="J376" s="489"/>
      <c r="K376" s="489"/>
      <c r="L376" s="489"/>
      <c r="M376" s="489"/>
      <c r="N376" s="489"/>
      <c r="O376" s="489"/>
      <c r="P376" s="489"/>
      <c r="Q376" s="489"/>
      <c r="R376" s="489"/>
      <c r="S376" s="489"/>
      <c r="T376" s="489"/>
      <c r="U376" s="489"/>
      <c r="V376" s="489"/>
      <c r="W376" s="489"/>
    </row>
    <row r="377" spans="1:23">
      <c r="A377" s="489"/>
      <c r="B377" s="489"/>
      <c r="C377" s="489"/>
      <c r="D377" s="489"/>
      <c r="E377" s="489"/>
      <c r="F377" s="489"/>
      <c r="G377" s="489"/>
      <c r="H377" s="489"/>
      <c r="I377" s="489"/>
      <c r="J377" s="489"/>
      <c r="K377" s="489"/>
      <c r="L377" s="489"/>
      <c r="M377" s="489"/>
      <c r="N377" s="489"/>
      <c r="O377" s="489"/>
      <c r="P377" s="489"/>
      <c r="Q377" s="489"/>
      <c r="R377" s="489"/>
      <c r="S377" s="489"/>
      <c r="T377" s="489"/>
      <c r="U377" s="489"/>
      <c r="V377" s="489"/>
      <c r="W377" s="489"/>
    </row>
    <row r="378" spans="1:23">
      <c r="A378" s="489"/>
      <c r="B378" s="489"/>
      <c r="C378" s="489"/>
      <c r="D378" s="489"/>
      <c r="E378" s="489"/>
      <c r="F378" s="489"/>
      <c r="G378" s="489"/>
      <c r="H378" s="489"/>
      <c r="I378" s="489"/>
      <c r="J378" s="489"/>
      <c r="K378" s="489"/>
      <c r="L378" s="489"/>
      <c r="M378" s="489"/>
      <c r="N378" s="489"/>
      <c r="O378" s="489"/>
      <c r="P378" s="489"/>
      <c r="Q378" s="489"/>
      <c r="R378" s="489"/>
      <c r="S378" s="489"/>
      <c r="T378" s="489"/>
      <c r="U378" s="489"/>
      <c r="V378" s="489"/>
      <c r="W378" s="489"/>
    </row>
    <row r="379" spans="1:23">
      <c r="A379" s="489"/>
      <c r="B379" s="489"/>
      <c r="C379" s="489"/>
      <c r="D379" s="489"/>
      <c r="E379" s="489"/>
      <c r="F379" s="489"/>
      <c r="G379" s="489"/>
      <c r="H379" s="489"/>
      <c r="I379" s="489"/>
      <c r="J379" s="489"/>
      <c r="K379" s="489"/>
      <c r="L379" s="489"/>
      <c r="M379" s="489"/>
      <c r="N379" s="489"/>
      <c r="O379" s="489"/>
      <c r="P379" s="489"/>
      <c r="Q379" s="489"/>
      <c r="R379" s="489"/>
      <c r="S379" s="489"/>
      <c r="T379" s="489"/>
      <c r="U379" s="489"/>
      <c r="V379" s="489"/>
      <c r="W379" s="489"/>
    </row>
    <row r="380" spans="1:23">
      <c r="A380" s="489"/>
      <c r="B380" s="489"/>
      <c r="C380" s="489"/>
      <c r="D380" s="489"/>
      <c r="E380" s="489"/>
      <c r="F380" s="489"/>
      <c r="G380" s="489"/>
      <c r="H380" s="489"/>
      <c r="I380" s="489"/>
      <c r="J380" s="489"/>
      <c r="K380" s="489"/>
      <c r="L380" s="489"/>
      <c r="M380" s="489"/>
      <c r="N380" s="489"/>
      <c r="O380" s="489"/>
      <c r="P380" s="489"/>
      <c r="Q380" s="489"/>
      <c r="R380" s="489"/>
      <c r="S380" s="489"/>
      <c r="T380" s="489"/>
      <c r="U380" s="489"/>
      <c r="V380" s="489"/>
      <c r="W380" s="489"/>
    </row>
    <row r="381" spans="1:23">
      <c r="A381" s="489"/>
      <c r="B381" s="489"/>
      <c r="C381" s="489"/>
      <c r="D381" s="489"/>
      <c r="E381" s="489"/>
      <c r="F381" s="489"/>
      <c r="G381" s="489"/>
      <c r="H381" s="489"/>
      <c r="I381" s="489"/>
      <c r="J381" s="489"/>
      <c r="K381" s="489"/>
      <c r="L381" s="489"/>
      <c r="M381" s="489"/>
      <c r="N381" s="489"/>
      <c r="O381" s="489"/>
      <c r="P381" s="489"/>
      <c r="Q381" s="489"/>
      <c r="R381" s="489"/>
      <c r="S381" s="489"/>
      <c r="T381" s="489"/>
      <c r="U381" s="489"/>
      <c r="V381" s="489"/>
      <c r="W381" s="489"/>
    </row>
    <row r="382" spans="1:23">
      <c r="A382" s="489"/>
      <c r="B382" s="489"/>
      <c r="C382" s="489"/>
      <c r="D382" s="489"/>
      <c r="E382" s="489"/>
      <c r="F382" s="489"/>
      <c r="G382" s="489"/>
      <c r="H382" s="489"/>
      <c r="I382" s="489"/>
      <c r="J382" s="489"/>
      <c r="K382" s="489"/>
      <c r="L382" s="489"/>
      <c r="M382" s="489"/>
      <c r="N382" s="489"/>
      <c r="O382" s="489"/>
      <c r="P382" s="489"/>
      <c r="Q382" s="489"/>
      <c r="R382" s="489"/>
      <c r="S382" s="489"/>
      <c r="T382" s="489"/>
      <c r="U382" s="489"/>
      <c r="V382" s="489"/>
      <c r="W382" s="489"/>
    </row>
    <row r="383" spans="1:23">
      <c r="A383" s="489"/>
      <c r="B383" s="489"/>
      <c r="C383" s="489"/>
      <c r="D383" s="489"/>
      <c r="E383" s="489"/>
      <c r="F383" s="489"/>
      <c r="G383" s="489"/>
      <c r="H383" s="489"/>
      <c r="I383" s="489"/>
      <c r="J383" s="489"/>
      <c r="K383" s="489"/>
      <c r="L383" s="489"/>
      <c r="M383" s="489"/>
      <c r="N383" s="489"/>
      <c r="O383" s="489"/>
      <c r="P383" s="489"/>
      <c r="Q383" s="489"/>
      <c r="R383" s="489"/>
      <c r="S383" s="489"/>
      <c r="T383" s="489"/>
      <c r="U383" s="489"/>
      <c r="V383" s="489"/>
      <c r="W383" s="489"/>
    </row>
    <row r="384" spans="1:23">
      <c r="A384" s="489"/>
      <c r="B384" s="489"/>
      <c r="C384" s="489"/>
      <c r="D384" s="489"/>
      <c r="E384" s="489"/>
      <c r="F384" s="489"/>
      <c r="G384" s="489"/>
      <c r="H384" s="489"/>
      <c r="I384" s="489"/>
      <c r="J384" s="489"/>
      <c r="K384" s="489"/>
      <c r="L384" s="489"/>
      <c r="M384" s="489"/>
      <c r="N384" s="489"/>
      <c r="O384" s="489"/>
      <c r="P384" s="489"/>
      <c r="Q384" s="489"/>
      <c r="R384" s="489"/>
      <c r="S384" s="489"/>
      <c r="T384" s="489"/>
      <c r="U384" s="489"/>
      <c r="V384" s="489"/>
      <c r="W384" s="489"/>
    </row>
    <row r="385" spans="1:23">
      <c r="A385" s="489"/>
      <c r="B385" s="489"/>
      <c r="C385" s="489"/>
      <c r="D385" s="489"/>
      <c r="E385" s="489"/>
      <c r="F385" s="489"/>
      <c r="G385" s="489"/>
      <c r="H385" s="489"/>
      <c r="I385" s="489"/>
      <c r="J385" s="489"/>
      <c r="K385" s="489"/>
      <c r="L385" s="489"/>
      <c r="M385" s="489"/>
      <c r="N385" s="489"/>
      <c r="O385" s="489"/>
      <c r="P385" s="489"/>
      <c r="Q385" s="489"/>
      <c r="R385" s="489"/>
      <c r="S385" s="489"/>
      <c r="T385" s="489"/>
      <c r="U385" s="489"/>
      <c r="V385" s="489"/>
      <c r="W385" s="489"/>
    </row>
    <row r="386" spans="1:23">
      <c r="A386" s="489"/>
      <c r="B386" s="489"/>
      <c r="C386" s="489"/>
      <c r="D386" s="489"/>
      <c r="E386" s="489"/>
      <c r="F386" s="489"/>
      <c r="G386" s="489"/>
      <c r="H386" s="489"/>
      <c r="I386" s="489"/>
      <c r="J386" s="489"/>
      <c r="K386" s="489"/>
      <c r="L386" s="489"/>
      <c r="M386" s="489"/>
      <c r="N386" s="489"/>
      <c r="O386" s="489"/>
      <c r="P386" s="489"/>
      <c r="Q386" s="489"/>
      <c r="R386" s="489"/>
      <c r="S386" s="489"/>
      <c r="T386" s="489"/>
      <c r="U386" s="489"/>
      <c r="V386" s="489"/>
      <c r="W386" s="489"/>
    </row>
    <row r="387" spans="1:23">
      <c r="A387" s="489"/>
      <c r="B387" s="489"/>
      <c r="C387" s="489"/>
      <c r="D387" s="489"/>
      <c r="E387" s="489"/>
      <c r="F387" s="489"/>
      <c r="G387" s="489"/>
      <c r="H387" s="489"/>
      <c r="I387" s="489"/>
      <c r="J387" s="489"/>
      <c r="K387" s="489"/>
      <c r="L387" s="489"/>
      <c r="M387" s="489"/>
      <c r="N387" s="489"/>
      <c r="O387" s="489"/>
      <c r="P387" s="489"/>
      <c r="Q387" s="489"/>
      <c r="R387" s="489"/>
      <c r="S387" s="489"/>
      <c r="T387" s="489"/>
      <c r="U387" s="489"/>
      <c r="V387" s="489"/>
      <c r="W387" s="489"/>
    </row>
    <row r="388" spans="1:23">
      <c r="A388" s="489"/>
      <c r="B388" s="489"/>
      <c r="C388" s="489"/>
      <c r="D388" s="489"/>
      <c r="E388" s="489"/>
      <c r="F388" s="489"/>
      <c r="G388" s="489"/>
      <c r="H388" s="489"/>
      <c r="I388" s="489"/>
      <c r="J388" s="489"/>
      <c r="K388" s="489"/>
      <c r="L388" s="489"/>
      <c r="M388" s="489"/>
      <c r="N388" s="489"/>
      <c r="O388" s="489"/>
      <c r="P388" s="489"/>
      <c r="Q388" s="489"/>
      <c r="R388" s="489"/>
      <c r="S388" s="489"/>
      <c r="T388" s="489"/>
      <c r="U388" s="489"/>
      <c r="V388" s="489"/>
      <c r="W388" s="489"/>
    </row>
    <row r="389" spans="1:23">
      <c r="A389" s="489"/>
      <c r="B389" s="489"/>
      <c r="C389" s="489"/>
      <c r="D389" s="489"/>
      <c r="E389" s="489"/>
      <c r="F389" s="489"/>
      <c r="G389" s="489"/>
      <c r="H389" s="489"/>
      <c r="I389" s="489"/>
      <c r="J389" s="489"/>
      <c r="K389" s="489"/>
      <c r="L389" s="489"/>
      <c r="M389" s="489"/>
      <c r="N389" s="489"/>
      <c r="O389" s="489"/>
      <c r="P389" s="489"/>
      <c r="Q389" s="489"/>
      <c r="R389" s="489"/>
      <c r="S389" s="489"/>
      <c r="T389" s="489"/>
      <c r="U389" s="489"/>
      <c r="V389" s="489"/>
      <c r="W389" s="489"/>
    </row>
    <row r="390" spans="1:23">
      <c r="A390" s="489"/>
      <c r="B390" s="489"/>
      <c r="C390" s="489"/>
      <c r="D390" s="489"/>
      <c r="E390" s="489"/>
      <c r="F390" s="489"/>
      <c r="G390" s="489"/>
      <c r="H390" s="489"/>
      <c r="I390" s="489"/>
      <c r="J390" s="489"/>
      <c r="K390" s="489"/>
      <c r="L390" s="489"/>
      <c r="M390" s="489"/>
      <c r="N390" s="489"/>
      <c r="O390" s="489"/>
      <c r="P390" s="489"/>
      <c r="Q390" s="489"/>
      <c r="R390" s="489"/>
      <c r="S390" s="489"/>
      <c r="T390" s="489"/>
      <c r="U390" s="489"/>
      <c r="V390" s="489"/>
      <c r="W390" s="489"/>
    </row>
    <row r="391" spans="1:23">
      <c r="A391" s="489"/>
      <c r="B391" s="489"/>
      <c r="C391" s="489"/>
      <c r="D391" s="489"/>
      <c r="E391" s="489"/>
      <c r="F391" s="489"/>
      <c r="G391" s="489"/>
      <c r="H391" s="489"/>
      <c r="I391" s="489"/>
      <c r="J391" s="489"/>
      <c r="K391" s="489"/>
      <c r="L391" s="489"/>
      <c r="M391" s="489"/>
      <c r="N391" s="489"/>
      <c r="O391" s="489"/>
      <c r="P391" s="489"/>
      <c r="Q391" s="489"/>
      <c r="R391" s="489"/>
      <c r="S391" s="489"/>
      <c r="T391" s="489"/>
      <c r="U391" s="489"/>
      <c r="V391" s="489"/>
      <c r="W391" s="489"/>
    </row>
    <row r="392" spans="1:23">
      <c r="A392" s="489"/>
      <c r="B392" s="489"/>
      <c r="C392" s="489"/>
      <c r="D392" s="489"/>
      <c r="E392" s="489"/>
      <c r="F392" s="489"/>
      <c r="G392" s="489"/>
      <c r="H392" s="489"/>
      <c r="I392" s="489"/>
      <c r="J392" s="489"/>
      <c r="K392" s="489"/>
      <c r="L392" s="489"/>
      <c r="M392" s="489"/>
      <c r="N392" s="489"/>
      <c r="O392" s="489"/>
      <c r="P392" s="489"/>
      <c r="Q392" s="489"/>
      <c r="R392" s="489"/>
      <c r="S392" s="489"/>
      <c r="T392" s="489"/>
      <c r="U392" s="489"/>
      <c r="V392" s="489"/>
      <c r="W392" s="489"/>
    </row>
    <row r="393" spans="1:23">
      <c r="A393" s="489"/>
      <c r="B393" s="489"/>
      <c r="C393" s="489"/>
      <c r="D393" s="489"/>
      <c r="E393" s="489"/>
      <c r="F393" s="489"/>
      <c r="G393" s="489"/>
      <c r="H393" s="489"/>
      <c r="I393" s="489"/>
      <c r="J393" s="489"/>
      <c r="K393" s="489"/>
      <c r="L393" s="489"/>
      <c r="M393" s="489"/>
      <c r="N393" s="489"/>
      <c r="O393" s="489"/>
      <c r="P393" s="489"/>
      <c r="Q393" s="489"/>
      <c r="R393" s="489"/>
      <c r="S393" s="489"/>
      <c r="T393" s="489"/>
      <c r="U393" s="489"/>
      <c r="V393" s="489"/>
      <c r="W393" s="489"/>
    </row>
    <row r="394" spans="1:23">
      <c r="A394" s="489"/>
      <c r="B394" s="489"/>
      <c r="C394" s="489"/>
      <c r="D394" s="489"/>
      <c r="E394" s="489"/>
      <c r="F394" s="489"/>
      <c r="G394" s="489"/>
      <c r="H394" s="489"/>
      <c r="I394" s="489"/>
      <c r="J394" s="489"/>
      <c r="K394" s="489"/>
      <c r="L394" s="489"/>
      <c r="M394" s="489"/>
      <c r="N394" s="489"/>
      <c r="O394" s="489"/>
      <c r="P394" s="489"/>
      <c r="Q394" s="489"/>
      <c r="R394" s="489"/>
      <c r="S394" s="489"/>
      <c r="T394" s="489"/>
      <c r="U394" s="489"/>
      <c r="V394" s="489"/>
      <c r="W394" s="489"/>
    </row>
    <row r="395" spans="1:23">
      <c r="A395" s="489"/>
      <c r="B395" s="489"/>
      <c r="C395" s="489"/>
      <c r="D395" s="489"/>
      <c r="E395" s="489"/>
      <c r="F395" s="489"/>
      <c r="G395" s="489"/>
      <c r="H395" s="489"/>
      <c r="I395" s="489"/>
      <c r="J395" s="489"/>
      <c r="K395" s="489"/>
      <c r="L395" s="489"/>
      <c r="M395" s="489"/>
      <c r="N395" s="489"/>
      <c r="O395" s="489"/>
      <c r="P395" s="489"/>
      <c r="Q395" s="489"/>
      <c r="R395" s="489"/>
      <c r="S395" s="489"/>
      <c r="T395" s="489"/>
      <c r="U395" s="489"/>
      <c r="V395" s="489"/>
      <c r="W395" s="489"/>
    </row>
    <row r="396" spans="1:23">
      <c r="A396" s="489"/>
      <c r="B396" s="489"/>
      <c r="C396" s="489"/>
      <c r="D396" s="489"/>
      <c r="E396" s="489"/>
      <c r="F396" s="489"/>
      <c r="G396" s="489"/>
      <c r="H396" s="489"/>
      <c r="I396" s="489"/>
      <c r="J396" s="489"/>
      <c r="K396" s="489"/>
      <c r="L396" s="489"/>
      <c r="M396" s="489"/>
      <c r="N396" s="489"/>
      <c r="O396" s="489"/>
      <c r="P396" s="489"/>
      <c r="Q396" s="489"/>
      <c r="R396" s="489"/>
      <c r="S396" s="489"/>
      <c r="T396" s="489"/>
      <c r="U396" s="489"/>
      <c r="V396" s="489"/>
      <c r="W396" s="489"/>
    </row>
    <row r="397" spans="1:23">
      <c r="A397" s="489"/>
      <c r="B397" s="489"/>
      <c r="C397" s="489"/>
      <c r="D397" s="489"/>
      <c r="E397" s="489"/>
      <c r="F397" s="489"/>
      <c r="G397" s="489"/>
      <c r="H397" s="489"/>
      <c r="I397" s="489"/>
      <c r="J397" s="489"/>
      <c r="K397" s="489"/>
      <c r="L397" s="489"/>
      <c r="M397" s="489"/>
      <c r="N397" s="489"/>
      <c r="O397" s="489"/>
      <c r="P397" s="489"/>
      <c r="Q397" s="489"/>
      <c r="R397" s="489"/>
      <c r="S397" s="489"/>
      <c r="T397" s="489"/>
      <c r="U397" s="489"/>
      <c r="V397" s="489"/>
      <c r="W397" s="489"/>
    </row>
    <row r="398" spans="1:23">
      <c r="A398" s="489"/>
      <c r="B398" s="489"/>
      <c r="C398" s="489"/>
      <c r="D398" s="489"/>
      <c r="E398" s="489"/>
      <c r="F398" s="489"/>
      <c r="G398" s="489"/>
      <c r="H398" s="489"/>
      <c r="I398" s="489"/>
      <c r="J398" s="489"/>
      <c r="K398" s="489"/>
      <c r="L398" s="489"/>
      <c r="M398" s="489"/>
      <c r="N398" s="489"/>
      <c r="O398" s="489"/>
      <c r="P398" s="489"/>
      <c r="Q398" s="489"/>
      <c r="R398" s="489"/>
      <c r="S398" s="489"/>
      <c r="T398" s="489"/>
      <c r="U398" s="489"/>
      <c r="V398" s="489"/>
      <c r="W398" s="489"/>
    </row>
    <row r="399" spans="1:23">
      <c r="A399" s="489"/>
      <c r="B399" s="489"/>
      <c r="C399" s="489"/>
      <c r="D399" s="489"/>
      <c r="E399" s="489"/>
      <c r="F399" s="489"/>
      <c r="G399" s="489"/>
      <c r="H399" s="489"/>
      <c r="I399" s="489"/>
      <c r="J399" s="489"/>
      <c r="K399" s="489"/>
      <c r="L399" s="489"/>
      <c r="M399" s="489"/>
      <c r="N399" s="489"/>
      <c r="O399" s="489"/>
      <c r="P399" s="489"/>
      <c r="Q399" s="489"/>
      <c r="R399" s="489"/>
      <c r="S399" s="489"/>
      <c r="T399" s="489"/>
      <c r="U399" s="489"/>
      <c r="V399" s="489"/>
      <c r="W399" s="489"/>
    </row>
    <row r="400" spans="1:23">
      <c r="A400" s="489"/>
      <c r="B400" s="489"/>
      <c r="C400" s="489"/>
      <c r="D400" s="489"/>
      <c r="E400" s="489"/>
      <c r="F400" s="489"/>
      <c r="G400" s="489"/>
      <c r="H400" s="489"/>
      <c r="I400" s="489"/>
      <c r="J400" s="489"/>
      <c r="K400" s="489"/>
      <c r="L400" s="489"/>
      <c r="M400" s="489"/>
      <c r="N400" s="489"/>
      <c r="O400" s="489"/>
      <c r="P400" s="489"/>
      <c r="Q400" s="489"/>
      <c r="R400" s="489"/>
      <c r="S400" s="489"/>
      <c r="T400" s="489"/>
      <c r="U400" s="489"/>
      <c r="V400" s="489"/>
      <c r="W400" s="489"/>
    </row>
    <row r="401" spans="1:23">
      <c r="A401" s="489"/>
      <c r="B401" s="489"/>
      <c r="C401" s="489"/>
      <c r="D401" s="489"/>
      <c r="E401" s="489"/>
      <c r="F401" s="489"/>
      <c r="G401" s="489"/>
      <c r="H401" s="489"/>
      <c r="I401" s="489"/>
      <c r="J401" s="489"/>
      <c r="K401" s="489"/>
      <c r="L401" s="489"/>
      <c r="M401" s="489"/>
      <c r="N401" s="489"/>
      <c r="O401" s="489"/>
      <c r="P401" s="489"/>
      <c r="Q401" s="489"/>
      <c r="R401" s="489"/>
      <c r="S401" s="489"/>
      <c r="T401" s="489"/>
      <c r="U401" s="489"/>
      <c r="V401" s="489"/>
      <c r="W401" s="489"/>
    </row>
    <row r="402" spans="1:23">
      <c r="A402" s="489"/>
      <c r="B402" s="489"/>
      <c r="C402" s="489"/>
      <c r="D402" s="489"/>
      <c r="E402" s="489"/>
      <c r="F402" s="489"/>
      <c r="G402" s="489"/>
      <c r="H402" s="489"/>
      <c r="I402" s="489"/>
      <c r="J402" s="489"/>
      <c r="K402" s="489"/>
      <c r="L402" s="489"/>
      <c r="M402" s="489"/>
      <c r="N402" s="489"/>
      <c r="O402" s="489"/>
      <c r="P402" s="489"/>
      <c r="Q402" s="489"/>
      <c r="R402" s="489"/>
      <c r="S402" s="489"/>
      <c r="T402" s="489"/>
      <c r="U402" s="489"/>
      <c r="V402" s="489"/>
      <c r="W402" s="489"/>
    </row>
    <row r="403" spans="1:23">
      <c r="A403" s="489"/>
      <c r="B403" s="489"/>
      <c r="C403" s="489"/>
      <c r="D403" s="489"/>
      <c r="E403" s="489"/>
      <c r="F403" s="489"/>
      <c r="G403" s="489"/>
      <c r="H403" s="489"/>
      <c r="I403" s="489"/>
      <c r="J403" s="489"/>
      <c r="K403" s="489"/>
      <c r="L403" s="489"/>
      <c r="M403" s="489"/>
      <c r="N403" s="489"/>
      <c r="O403" s="489"/>
      <c r="P403" s="489"/>
      <c r="Q403" s="489"/>
      <c r="R403" s="489"/>
      <c r="S403" s="489"/>
      <c r="T403" s="489"/>
      <c r="U403" s="489"/>
      <c r="V403" s="489"/>
      <c r="W403" s="489"/>
    </row>
    <row r="404" spans="1:23">
      <c r="A404" s="489"/>
      <c r="B404" s="489"/>
      <c r="C404" s="489"/>
      <c r="D404" s="489"/>
      <c r="E404" s="489"/>
      <c r="F404" s="489"/>
      <c r="G404" s="489"/>
      <c r="H404" s="489"/>
      <c r="I404" s="489"/>
      <c r="J404" s="489"/>
      <c r="K404" s="489"/>
      <c r="L404" s="489"/>
      <c r="M404" s="489"/>
      <c r="N404" s="489"/>
      <c r="O404" s="489"/>
      <c r="P404" s="489"/>
      <c r="Q404" s="489"/>
      <c r="R404" s="489"/>
      <c r="S404" s="489"/>
      <c r="T404" s="489"/>
      <c r="U404" s="489"/>
      <c r="V404" s="489"/>
      <c r="W404" s="489"/>
    </row>
    <row r="405" spans="1:23">
      <c r="A405" s="489"/>
      <c r="B405" s="489"/>
      <c r="C405" s="489"/>
      <c r="D405" s="489"/>
      <c r="E405" s="489"/>
      <c r="F405" s="489"/>
      <c r="G405" s="489"/>
      <c r="H405" s="489"/>
      <c r="I405" s="489"/>
      <c r="J405" s="489"/>
      <c r="K405" s="489"/>
      <c r="L405" s="489"/>
      <c r="M405" s="489"/>
      <c r="N405" s="489"/>
      <c r="O405" s="489"/>
      <c r="P405" s="489"/>
      <c r="Q405" s="489"/>
      <c r="R405" s="489"/>
      <c r="S405" s="489"/>
      <c r="T405" s="489"/>
      <c r="U405" s="489"/>
      <c r="V405" s="489"/>
      <c r="W405" s="489"/>
    </row>
    <row r="406" spans="1:23">
      <c r="A406" s="489"/>
      <c r="B406" s="489"/>
      <c r="C406" s="489"/>
      <c r="D406" s="489"/>
      <c r="E406" s="489"/>
      <c r="F406" s="489"/>
      <c r="G406" s="489"/>
      <c r="H406" s="489"/>
      <c r="I406" s="489"/>
      <c r="J406" s="489"/>
      <c r="K406" s="489"/>
      <c r="L406" s="489"/>
      <c r="M406" s="489"/>
      <c r="N406" s="489"/>
      <c r="O406" s="489"/>
      <c r="P406" s="489"/>
      <c r="Q406" s="489"/>
      <c r="R406" s="489"/>
      <c r="S406" s="489"/>
      <c r="T406" s="489"/>
      <c r="U406" s="489"/>
      <c r="V406" s="489"/>
      <c r="W406" s="489"/>
    </row>
    <row r="407" spans="1:23">
      <c r="A407" s="489"/>
      <c r="B407" s="489"/>
      <c r="C407" s="489"/>
      <c r="D407" s="489"/>
      <c r="E407" s="489"/>
      <c r="F407" s="489"/>
      <c r="G407" s="489"/>
      <c r="H407" s="489"/>
      <c r="I407" s="489"/>
      <c r="J407" s="489"/>
      <c r="K407" s="489"/>
      <c r="L407" s="489"/>
      <c r="M407" s="489"/>
      <c r="N407" s="489"/>
      <c r="O407" s="489"/>
      <c r="P407" s="489"/>
      <c r="Q407" s="489"/>
      <c r="R407" s="489"/>
      <c r="S407" s="489"/>
      <c r="T407" s="489"/>
      <c r="U407" s="489"/>
      <c r="V407" s="489"/>
      <c r="W407" s="489"/>
    </row>
    <row r="408" spans="1:23">
      <c r="A408" s="489"/>
      <c r="B408" s="489"/>
      <c r="C408" s="489"/>
      <c r="D408" s="489"/>
      <c r="E408" s="489"/>
      <c r="F408" s="489"/>
      <c r="G408" s="489"/>
      <c r="H408" s="489"/>
      <c r="I408" s="489"/>
      <c r="J408" s="489"/>
      <c r="K408" s="489"/>
      <c r="L408" s="489"/>
      <c r="M408" s="489"/>
      <c r="N408" s="489"/>
      <c r="O408" s="489"/>
      <c r="P408" s="489"/>
      <c r="Q408" s="489"/>
      <c r="R408" s="489"/>
      <c r="S408" s="489"/>
      <c r="T408" s="489"/>
      <c r="U408" s="489"/>
      <c r="V408" s="489"/>
      <c r="W408" s="489"/>
    </row>
    <row r="409" spans="1:23">
      <c r="A409" s="489"/>
      <c r="B409" s="489"/>
      <c r="C409" s="489"/>
      <c r="D409" s="489"/>
      <c r="E409" s="489"/>
      <c r="F409" s="489"/>
      <c r="G409" s="489"/>
      <c r="H409" s="489"/>
      <c r="I409" s="489"/>
      <c r="J409" s="489"/>
      <c r="K409" s="489"/>
      <c r="L409" s="489"/>
      <c r="M409" s="489"/>
      <c r="N409" s="489"/>
      <c r="O409" s="489"/>
      <c r="P409" s="489"/>
      <c r="Q409" s="489"/>
      <c r="R409" s="489"/>
      <c r="S409" s="489"/>
      <c r="T409" s="489"/>
      <c r="U409" s="489"/>
      <c r="V409" s="489"/>
      <c r="W409" s="489"/>
    </row>
    <row r="410" spans="1:23">
      <c r="A410" s="489"/>
      <c r="B410" s="489"/>
      <c r="C410" s="489"/>
      <c r="D410" s="489"/>
      <c r="E410" s="489"/>
      <c r="F410" s="489"/>
      <c r="G410" s="489"/>
      <c r="H410" s="489"/>
      <c r="I410" s="489"/>
      <c r="J410" s="489"/>
      <c r="K410" s="489"/>
      <c r="L410" s="489"/>
      <c r="M410" s="489"/>
      <c r="N410" s="489"/>
      <c r="O410" s="489"/>
      <c r="P410" s="489"/>
      <c r="Q410" s="489"/>
      <c r="R410" s="489"/>
      <c r="S410" s="489"/>
      <c r="T410" s="489"/>
      <c r="U410" s="489"/>
      <c r="V410" s="489"/>
      <c r="W410" s="489"/>
    </row>
    <row r="411" spans="1:23">
      <c r="A411" s="489"/>
      <c r="B411" s="489"/>
      <c r="C411" s="489"/>
      <c r="D411" s="489"/>
      <c r="E411" s="489"/>
      <c r="F411" s="489"/>
      <c r="G411" s="489"/>
      <c r="H411" s="489"/>
      <c r="I411" s="489"/>
      <c r="J411" s="489"/>
      <c r="K411" s="489"/>
      <c r="L411" s="489"/>
      <c r="M411" s="489"/>
      <c r="N411" s="489"/>
      <c r="O411" s="489"/>
      <c r="P411" s="489"/>
      <c r="Q411" s="489"/>
      <c r="R411" s="489"/>
      <c r="S411" s="489"/>
      <c r="T411" s="489"/>
      <c r="U411" s="489"/>
      <c r="V411" s="489"/>
      <c r="W411" s="489"/>
    </row>
    <row r="412" spans="1:23">
      <c r="A412" s="489"/>
      <c r="B412" s="489"/>
      <c r="C412" s="489"/>
      <c r="D412" s="489"/>
      <c r="E412" s="489"/>
      <c r="F412" s="489"/>
      <c r="G412" s="489"/>
      <c r="H412" s="489"/>
      <c r="I412" s="489"/>
      <c r="J412" s="489"/>
      <c r="K412" s="489"/>
      <c r="L412" s="489"/>
      <c r="M412" s="489"/>
      <c r="N412" s="489"/>
      <c r="O412" s="489"/>
      <c r="P412" s="489"/>
      <c r="Q412" s="489"/>
      <c r="R412" s="489"/>
      <c r="S412" s="489"/>
      <c r="T412" s="489"/>
      <c r="U412" s="489"/>
      <c r="V412" s="489"/>
      <c r="W412" s="489"/>
    </row>
    <row r="413" spans="1:23">
      <c r="A413" s="489"/>
      <c r="B413" s="489"/>
      <c r="C413" s="489"/>
      <c r="D413" s="489"/>
      <c r="E413" s="489"/>
      <c r="F413" s="489"/>
      <c r="G413" s="489"/>
      <c r="H413" s="489"/>
      <c r="I413" s="489"/>
      <c r="J413" s="489"/>
      <c r="K413" s="489"/>
      <c r="L413" s="489"/>
      <c r="M413" s="489"/>
      <c r="N413" s="489"/>
      <c r="O413" s="489"/>
      <c r="P413" s="489"/>
      <c r="Q413" s="489"/>
      <c r="R413" s="489"/>
      <c r="S413" s="489"/>
      <c r="T413" s="489"/>
      <c r="U413" s="489"/>
      <c r="V413" s="489"/>
      <c r="W413" s="489"/>
    </row>
    <row r="414" spans="1:23">
      <c r="A414" s="489"/>
      <c r="B414" s="489"/>
      <c r="C414" s="489"/>
      <c r="D414" s="489"/>
      <c r="E414" s="489"/>
      <c r="F414" s="489"/>
      <c r="G414" s="489"/>
      <c r="H414" s="489"/>
      <c r="I414" s="489"/>
      <c r="J414" s="489"/>
      <c r="K414" s="489"/>
      <c r="L414" s="489"/>
      <c r="M414" s="489"/>
      <c r="N414" s="489"/>
      <c r="O414" s="489"/>
      <c r="P414" s="489"/>
      <c r="Q414" s="489"/>
      <c r="R414" s="489"/>
      <c r="S414" s="489"/>
      <c r="T414" s="489"/>
      <c r="U414" s="489"/>
      <c r="V414" s="489"/>
      <c r="W414" s="489"/>
    </row>
    <row r="415" spans="1:23">
      <c r="A415" s="489"/>
      <c r="B415" s="489"/>
      <c r="C415" s="489"/>
      <c r="D415" s="489"/>
      <c r="E415" s="489"/>
      <c r="F415" s="489"/>
      <c r="G415" s="489"/>
      <c r="H415" s="489"/>
      <c r="I415" s="489"/>
      <c r="J415" s="489"/>
      <c r="K415" s="489"/>
      <c r="L415" s="489"/>
      <c r="M415" s="489"/>
      <c r="N415" s="489"/>
      <c r="O415" s="489"/>
      <c r="P415" s="489"/>
      <c r="Q415" s="489"/>
      <c r="R415" s="489"/>
      <c r="S415" s="489"/>
      <c r="T415" s="489"/>
      <c r="U415" s="489"/>
      <c r="V415" s="489"/>
      <c r="W415" s="489"/>
    </row>
    <row r="416" spans="1:23">
      <c r="A416" s="489"/>
      <c r="B416" s="489"/>
      <c r="C416" s="489"/>
      <c r="D416" s="489"/>
      <c r="E416" s="489"/>
      <c r="F416" s="489"/>
      <c r="G416" s="489"/>
      <c r="H416" s="489"/>
      <c r="I416" s="489"/>
      <c r="J416" s="489"/>
      <c r="K416" s="489"/>
      <c r="L416" s="489"/>
      <c r="M416" s="489"/>
      <c r="N416" s="489"/>
      <c r="O416" s="489"/>
      <c r="P416" s="489"/>
      <c r="Q416" s="489"/>
      <c r="R416" s="489"/>
      <c r="S416" s="489"/>
      <c r="T416" s="489"/>
      <c r="U416" s="489"/>
      <c r="V416" s="489"/>
      <c r="W416" s="489"/>
    </row>
    <row r="417" spans="1:23">
      <c r="A417" s="489"/>
      <c r="B417" s="489"/>
      <c r="C417" s="489"/>
      <c r="D417" s="489"/>
      <c r="E417" s="489"/>
      <c r="F417" s="489"/>
      <c r="G417" s="489"/>
      <c r="H417" s="489"/>
      <c r="I417" s="489"/>
      <c r="J417" s="489"/>
      <c r="K417" s="489"/>
      <c r="L417" s="489"/>
      <c r="M417" s="489"/>
      <c r="N417" s="489"/>
      <c r="O417" s="489"/>
      <c r="P417" s="489"/>
      <c r="Q417" s="489"/>
      <c r="R417" s="489"/>
      <c r="S417" s="489"/>
      <c r="T417" s="489"/>
      <c r="U417" s="489"/>
      <c r="V417" s="489"/>
      <c r="W417" s="489"/>
    </row>
    <row r="418" spans="1:23">
      <c r="A418" s="489"/>
      <c r="B418" s="489"/>
      <c r="C418" s="489"/>
      <c r="D418" s="489"/>
      <c r="E418" s="489"/>
      <c r="F418" s="489"/>
      <c r="G418" s="489"/>
      <c r="H418" s="489"/>
      <c r="I418" s="489"/>
      <c r="J418" s="489"/>
      <c r="K418" s="489"/>
      <c r="L418" s="489"/>
      <c r="M418" s="489"/>
      <c r="N418" s="489"/>
      <c r="O418" s="489"/>
      <c r="P418" s="489"/>
      <c r="Q418" s="489"/>
      <c r="R418" s="489"/>
      <c r="S418" s="489"/>
      <c r="T418" s="489"/>
      <c r="U418" s="489"/>
      <c r="V418" s="489"/>
      <c r="W418" s="489"/>
    </row>
    <row r="419" spans="1:23">
      <c r="A419" s="489"/>
      <c r="B419" s="489"/>
      <c r="C419" s="489"/>
      <c r="D419" s="489"/>
      <c r="E419" s="489"/>
      <c r="F419" s="489"/>
      <c r="G419" s="489"/>
      <c r="H419" s="489"/>
      <c r="I419" s="489"/>
      <c r="J419" s="489"/>
      <c r="K419" s="489"/>
      <c r="L419" s="489"/>
      <c r="M419" s="489"/>
      <c r="N419" s="489"/>
      <c r="O419" s="489"/>
      <c r="P419" s="489"/>
      <c r="Q419" s="489"/>
      <c r="R419" s="489"/>
      <c r="S419" s="489"/>
      <c r="T419" s="489"/>
      <c r="U419" s="489"/>
      <c r="V419" s="489"/>
      <c r="W419" s="489"/>
    </row>
    <row r="420" spans="1:23">
      <c r="A420" s="489"/>
      <c r="B420" s="489"/>
      <c r="C420" s="489"/>
      <c r="D420" s="489"/>
      <c r="E420" s="489"/>
      <c r="F420" s="489"/>
      <c r="G420" s="489"/>
      <c r="H420" s="489"/>
      <c r="I420" s="489"/>
      <c r="J420" s="489"/>
      <c r="K420" s="489"/>
      <c r="L420" s="489"/>
      <c r="M420" s="489"/>
      <c r="N420" s="489"/>
      <c r="O420" s="489"/>
      <c r="P420" s="489"/>
      <c r="Q420" s="489"/>
      <c r="R420" s="489"/>
      <c r="S420" s="489"/>
      <c r="T420" s="489"/>
      <c r="U420" s="489"/>
      <c r="V420" s="489"/>
      <c r="W420" s="489"/>
    </row>
    <row r="421" spans="1:23">
      <c r="A421" s="489"/>
      <c r="B421" s="489"/>
      <c r="C421" s="489"/>
      <c r="D421" s="489"/>
      <c r="E421" s="489"/>
      <c r="F421" s="489"/>
      <c r="G421" s="489"/>
      <c r="H421" s="489"/>
      <c r="I421" s="489"/>
      <c r="J421" s="489"/>
      <c r="K421" s="489"/>
      <c r="L421" s="489"/>
      <c r="M421" s="489"/>
      <c r="N421" s="489"/>
      <c r="O421" s="489"/>
      <c r="P421" s="489"/>
      <c r="Q421" s="489"/>
      <c r="R421" s="489"/>
      <c r="S421" s="489"/>
      <c r="T421" s="489"/>
      <c r="U421" s="489"/>
      <c r="V421" s="489"/>
      <c r="W421" s="489"/>
    </row>
    <row r="422" spans="1:23">
      <c r="A422" s="489"/>
      <c r="B422" s="489"/>
      <c r="C422" s="489"/>
      <c r="D422" s="489"/>
      <c r="E422" s="489"/>
      <c r="F422" s="489"/>
      <c r="G422" s="489"/>
      <c r="H422" s="489"/>
      <c r="I422" s="489"/>
      <c r="J422" s="489"/>
      <c r="K422" s="489"/>
      <c r="L422" s="489"/>
      <c r="M422" s="489"/>
      <c r="N422" s="489"/>
      <c r="O422" s="489"/>
      <c r="P422" s="489"/>
      <c r="Q422" s="489"/>
      <c r="R422" s="489"/>
      <c r="S422" s="489"/>
      <c r="T422" s="489"/>
      <c r="U422" s="489"/>
      <c r="V422" s="489"/>
      <c r="W422" s="489"/>
    </row>
    <row r="423" spans="1:23">
      <c r="A423" s="489"/>
      <c r="B423" s="489"/>
      <c r="C423" s="489"/>
      <c r="D423" s="489"/>
      <c r="E423" s="489"/>
      <c r="F423" s="489"/>
      <c r="G423" s="489"/>
      <c r="H423" s="489"/>
      <c r="I423" s="489"/>
      <c r="J423" s="489"/>
      <c r="K423" s="489"/>
      <c r="L423" s="489"/>
      <c r="M423" s="489"/>
      <c r="N423" s="489"/>
      <c r="O423" s="489"/>
      <c r="P423" s="489"/>
      <c r="Q423" s="489"/>
      <c r="R423" s="489"/>
      <c r="S423" s="489"/>
      <c r="T423" s="489"/>
      <c r="U423" s="489"/>
      <c r="V423" s="489"/>
      <c r="W423" s="489"/>
    </row>
    <row r="424" spans="1:23">
      <c r="A424" s="489"/>
      <c r="B424" s="489"/>
      <c r="C424" s="489"/>
      <c r="D424" s="489"/>
      <c r="E424" s="489"/>
      <c r="F424" s="489"/>
      <c r="G424" s="489"/>
      <c r="H424" s="489"/>
      <c r="I424" s="489"/>
      <c r="J424" s="489"/>
      <c r="K424" s="489"/>
      <c r="L424" s="489"/>
      <c r="M424" s="489"/>
      <c r="N424" s="489"/>
      <c r="O424" s="489"/>
      <c r="P424" s="489"/>
      <c r="Q424" s="489"/>
      <c r="R424" s="489"/>
      <c r="S424" s="489"/>
      <c r="T424" s="489"/>
      <c r="U424" s="489"/>
      <c r="V424" s="489"/>
      <c r="W424" s="489"/>
    </row>
    <row r="425" spans="1:23">
      <c r="A425" s="489"/>
      <c r="B425" s="489"/>
      <c r="C425" s="489"/>
      <c r="D425" s="489"/>
      <c r="E425" s="489"/>
      <c r="F425" s="489"/>
      <c r="G425" s="489"/>
      <c r="H425" s="489"/>
      <c r="I425" s="489"/>
      <c r="J425" s="489"/>
      <c r="K425" s="489"/>
      <c r="L425" s="489"/>
      <c r="M425" s="489"/>
      <c r="N425" s="489"/>
      <c r="O425" s="489"/>
      <c r="P425" s="489"/>
      <c r="Q425" s="489"/>
      <c r="R425" s="489"/>
      <c r="S425" s="489"/>
      <c r="T425" s="489"/>
      <c r="U425" s="489"/>
      <c r="V425" s="489"/>
      <c r="W425" s="489"/>
    </row>
    <row r="426" spans="1:23">
      <c r="A426" s="489"/>
      <c r="B426" s="489"/>
      <c r="C426" s="489"/>
      <c r="D426" s="489"/>
      <c r="E426" s="489"/>
      <c r="F426" s="489"/>
      <c r="G426" s="489"/>
      <c r="H426" s="489"/>
      <c r="I426" s="489"/>
      <c r="J426" s="489"/>
      <c r="K426" s="489"/>
      <c r="L426" s="489"/>
      <c r="M426" s="489"/>
      <c r="N426" s="489"/>
      <c r="O426" s="489"/>
      <c r="P426" s="489"/>
      <c r="Q426" s="489"/>
      <c r="R426" s="489"/>
      <c r="S426" s="489"/>
      <c r="T426" s="489"/>
      <c r="U426" s="489"/>
      <c r="V426" s="489"/>
      <c r="W426" s="489"/>
    </row>
    <row r="427" spans="1:23">
      <c r="A427" s="489"/>
      <c r="B427" s="489"/>
      <c r="C427" s="489"/>
      <c r="D427" s="489"/>
      <c r="E427" s="489"/>
      <c r="F427" s="489"/>
      <c r="G427" s="489"/>
      <c r="H427" s="489"/>
      <c r="I427" s="489"/>
      <c r="J427" s="489"/>
      <c r="K427" s="489"/>
      <c r="L427" s="489"/>
      <c r="M427" s="489"/>
      <c r="N427" s="489"/>
      <c r="O427" s="489"/>
      <c r="P427" s="489"/>
      <c r="Q427" s="489"/>
      <c r="R427" s="489"/>
      <c r="S427" s="489"/>
      <c r="T427" s="489"/>
      <c r="U427" s="489"/>
      <c r="V427" s="489"/>
      <c r="W427" s="489"/>
    </row>
    <row r="428" spans="1:23">
      <c r="A428" s="489"/>
      <c r="B428" s="489"/>
      <c r="C428" s="489"/>
      <c r="D428" s="489"/>
      <c r="E428" s="489"/>
      <c r="F428" s="489"/>
      <c r="G428" s="489"/>
      <c r="H428" s="489"/>
      <c r="I428" s="489"/>
      <c r="J428" s="489"/>
      <c r="K428" s="489"/>
      <c r="L428" s="489"/>
      <c r="M428" s="489"/>
      <c r="N428" s="489"/>
      <c r="O428" s="489"/>
      <c r="P428" s="489"/>
      <c r="Q428" s="489"/>
      <c r="R428" s="489"/>
      <c r="S428" s="489"/>
      <c r="T428" s="489"/>
      <c r="U428" s="489"/>
      <c r="V428" s="489"/>
      <c r="W428" s="489"/>
    </row>
    <row r="429" spans="1:23">
      <c r="A429" s="489"/>
      <c r="B429" s="489"/>
      <c r="C429" s="489"/>
      <c r="D429" s="489"/>
      <c r="E429" s="489"/>
      <c r="F429" s="489"/>
      <c r="G429" s="489"/>
      <c r="H429" s="489"/>
      <c r="I429" s="489"/>
      <c r="J429" s="489"/>
      <c r="K429" s="489"/>
      <c r="L429" s="489"/>
      <c r="M429" s="489"/>
      <c r="N429" s="489"/>
      <c r="O429" s="489"/>
      <c r="P429" s="489"/>
      <c r="Q429" s="489"/>
      <c r="R429" s="489"/>
      <c r="S429" s="489"/>
      <c r="T429" s="489"/>
      <c r="U429" s="489"/>
      <c r="V429" s="489"/>
      <c r="W429" s="489"/>
    </row>
    <row r="430" spans="1:23">
      <c r="A430" s="489"/>
      <c r="B430" s="489"/>
      <c r="C430" s="489"/>
      <c r="D430" s="489"/>
      <c r="E430" s="489"/>
      <c r="F430" s="489"/>
      <c r="G430" s="489"/>
      <c r="H430" s="489"/>
      <c r="I430" s="489"/>
      <c r="J430" s="489"/>
      <c r="K430" s="489"/>
      <c r="L430" s="489"/>
      <c r="M430" s="489"/>
      <c r="N430" s="489"/>
      <c r="O430" s="489"/>
      <c r="P430" s="489"/>
      <c r="Q430" s="489"/>
      <c r="R430" s="489"/>
      <c r="S430" s="489"/>
      <c r="T430" s="489"/>
      <c r="U430" s="489"/>
      <c r="V430" s="489"/>
      <c r="W430" s="489"/>
    </row>
    <row r="431" spans="1:23">
      <c r="A431" s="489"/>
      <c r="B431" s="489"/>
      <c r="C431" s="489"/>
      <c r="D431" s="489"/>
      <c r="E431" s="489"/>
      <c r="F431" s="489"/>
      <c r="G431" s="489"/>
      <c r="H431" s="489"/>
      <c r="I431" s="489"/>
      <c r="J431" s="489"/>
      <c r="K431" s="489"/>
      <c r="L431" s="489"/>
      <c r="M431" s="489"/>
      <c r="N431" s="489"/>
      <c r="O431" s="489"/>
      <c r="P431" s="489"/>
      <c r="Q431" s="489"/>
      <c r="R431" s="489"/>
      <c r="S431" s="489"/>
      <c r="T431" s="489"/>
      <c r="U431" s="489"/>
      <c r="V431" s="489"/>
      <c r="W431" s="489"/>
    </row>
    <row r="432" spans="1:23">
      <c r="A432" s="489"/>
      <c r="B432" s="489"/>
      <c r="C432" s="489"/>
      <c r="D432" s="489"/>
      <c r="E432" s="489"/>
      <c r="F432" s="489"/>
      <c r="G432" s="489"/>
      <c r="H432" s="489"/>
      <c r="I432" s="489"/>
      <c r="J432" s="489"/>
      <c r="K432" s="489"/>
      <c r="L432" s="489"/>
      <c r="M432" s="489"/>
      <c r="N432" s="489"/>
      <c r="O432" s="489"/>
      <c r="P432" s="489"/>
      <c r="Q432" s="489"/>
      <c r="R432" s="489"/>
      <c r="S432" s="489"/>
      <c r="T432" s="489"/>
      <c r="U432" s="489"/>
      <c r="V432" s="489"/>
      <c r="W432" s="489"/>
    </row>
    <row r="433" spans="1:23">
      <c r="A433" s="489"/>
      <c r="B433" s="489"/>
      <c r="C433" s="489"/>
      <c r="D433" s="489"/>
      <c r="E433" s="489"/>
      <c r="F433" s="489"/>
      <c r="G433" s="489"/>
      <c r="H433" s="489"/>
      <c r="I433" s="489"/>
      <c r="J433" s="489"/>
      <c r="K433" s="489"/>
      <c r="L433" s="489"/>
      <c r="M433" s="489"/>
      <c r="N433" s="489"/>
      <c r="O433" s="489"/>
      <c r="P433" s="489"/>
      <c r="Q433" s="489"/>
      <c r="R433" s="489"/>
      <c r="S433" s="489"/>
      <c r="T433" s="489"/>
      <c r="U433" s="489"/>
      <c r="V433" s="489"/>
      <c r="W433" s="489"/>
    </row>
    <row r="434" spans="1:23">
      <c r="A434" s="489"/>
      <c r="B434" s="489"/>
      <c r="C434" s="489"/>
      <c r="D434" s="489"/>
      <c r="E434" s="489"/>
      <c r="F434" s="489"/>
      <c r="G434" s="489"/>
      <c r="H434" s="489"/>
      <c r="I434" s="489"/>
      <c r="J434" s="489"/>
      <c r="K434" s="489"/>
      <c r="L434" s="489"/>
      <c r="M434" s="489"/>
      <c r="N434" s="489"/>
      <c r="O434" s="489"/>
      <c r="P434" s="489"/>
      <c r="Q434" s="489"/>
      <c r="R434" s="489"/>
      <c r="S434" s="489"/>
      <c r="T434" s="489"/>
      <c r="U434" s="489"/>
      <c r="V434" s="489"/>
      <c r="W434" s="489"/>
    </row>
    <row r="435" spans="1:23">
      <c r="A435" s="489"/>
      <c r="B435" s="489"/>
      <c r="C435" s="489"/>
      <c r="D435" s="489"/>
      <c r="E435" s="489"/>
      <c r="F435" s="489"/>
      <c r="G435" s="489"/>
      <c r="H435" s="489"/>
      <c r="I435" s="489"/>
      <c r="J435" s="489"/>
      <c r="K435" s="489"/>
      <c r="L435" s="489"/>
      <c r="M435" s="489"/>
      <c r="N435" s="489"/>
      <c r="O435" s="489"/>
      <c r="P435" s="489"/>
      <c r="Q435" s="489"/>
      <c r="R435" s="489"/>
      <c r="S435" s="489"/>
      <c r="T435" s="489"/>
      <c r="U435" s="489"/>
      <c r="V435" s="489"/>
      <c r="W435" s="489"/>
    </row>
    <row r="436" spans="1:23">
      <c r="A436" s="489"/>
      <c r="B436" s="489"/>
      <c r="C436" s="489"/>
      <c r="D436" s="489"/>
      <c r="E436" s="489"/>
      <c r="F436" s="489"/>
      <c r="G436" s="489"/>
      <c r="H436" s="489"/>
      <c r="I436" s="489"/>
      <c r="J436" s="489"/>
      <c r="K436" s="489"/>
      <c r="L436" s="489"/>
      <c r="M436" s="489"/>
      <c r="N436" s="489"/>
      <c r="O436" s="489"/>
      <c r="P436" s="489"/>
      <c r="Q436" s="489"/>
      <c r="R436" s="489"/>
      <c r="S436" s="489"/>
      <c r="T436" s="489"/>
      <c r="U436" s="489"/>
      <c r="V436" s="489"/>
      <c r="W436" s="489"/>
    </row>
    <row r="437" spans="1:23">
      <c r="A437" s="489"/>
      <c r="B437" s="489"/>
      <c r="C437" s="489"/>
      <c r="D437" s="489"/>
      <c r="E437" s="489"/>
      <c r="F437" s="489"/>
      <c r="G437" s="489"/>
      <c r="H437" s="489"/>
      <c r="I437" s="489"/>
      <c r="J437" s="489"/>
      <c r="K437" s="489"/>
      <c r="L437" s="489"/>
      <c r="M437" s="489"/>
      <c r="N437" s="489"/>
      <c r="O437" s="489"/>
      <c r="P437" s="489"/>
      <c r="Q437" s="489"/>
      <c r="R437" s="489"/>
      <c r="S437" s="489"/>
      <c r="T437" s="489"/>
      <c r="U437" s="489"/>
      <c r="V437" s="489"/>
      <c r="W437" s="489"/>
    </row>
    <row r="438" spans="1:23">
      <c r="A438" s="489"/>
      <c r="B438" s="489"/>
      <c r="C438" s="489"/>
      <c r="D438" s="489"/>
      <c r="E438" s="489"/>
      <c r="F438" s="489"/>
      <c r="G438" s="489"/>
      <c r="H438" s="489"/>
      <c r="I438" s="489"/>
      <c r="J438" s="489"/>
      <c r="K438" s="489"/>
      <c r="L438" s="489"/>
      <c r="M438" s="489"/>
      <c r="N438" s="489"/>
      <c r="O438" s="489"/>
      <c r="P438" s="489"/>
      <c r="Q438" s="489"/>
      <c r="R438" s="489"/>
      <c r="S438" s="489"/>
      <c r="T438" s="489"/>
      <c r="U438" s="489"/>
      <c r="V438" s="489"/>
      <c r="W438" s="489"/>
    </row>
    <row r="439" spans="1:23">
      <c r="A439" s="489"/>
      <c r="B439" s="489"/>
      <c r="C439" s="489"/>
      <c r="D439" s="489"/>
      <c r="E439" s="489"/>
      <c r="F439" s="489"/>
      <c r="G439" s="489"/>
      <c r="H439" s="489"/>
      <c r="I439" s="489"/>
      <c r="J439" s="489"/>
      <c r="K439" s="489"/>
      <c r="L439" s="489"/>
      <c r="M439" s="489"/>
      <c r="N439" s="489"/>
      <c r="O439" s="489"/>
      <c r="P439" s="489"/>
      <c r="Q439" s="489"/>
      <c r="R439" s="489"/>
      <c r="S439" s="489"/>
      <c r="T439" s="489"/>
      <c r="U439" s="489"/>
      <c r="V439" s="489"/>
      <c r="W439" s="489"/>
    </row>
    <row r="440" spans="1:23">
      <c r="A440" s="489"/>
      <c r="B440" s="489"/>
      <c r="C440" s="489"/>
      <c r="D440" s="489"/>
      <c r="E440" s="489"/>
      <c r="F440" s="489"/>
      <c r="G440" s="489"/>
      <c r="H440" s="489"/>
      <c r="I440" s="489"/>
      <c r="J440" s="489"/>
      <c r="K440" s="489"/>
      <c r="L440" s="489"/>
      <c r="M440" s="489"/>
      <c r="N440" s="489"/>
      <c r="O440" s="489"/>
      <c r="P440" s="489"/>
      <c r="Q440" s="489"/>
      <c r="R440" s="489"/>
      <c r="S440" s="489"/>
      <c r="T440" s="489"/>
      <c r="U440" s="489"/>
      <c r="V440" s="489"/>
      <c r="W440" s="489"/>
    </row>
    <row r="441" spans="1:23">
      <c r="A441" s="489"/>
      <c r="B441" s="489"/>
      <c r="C441" s="489"/>
      <c r="D441" s="489"/>
      <c r="E441" s="489"/>
      <c r="F441" s="489"/>
      <c r="G441" s="489"/>
      <c r="H441" s="489"/>
      <c r="I441" s="489"/>
      <c r="J441" s="489"/>
      <c r="K441" s="489"/>
      <c r="L441" s="489"/>
      <c r="M441" s="489"/>
      <c r="N441" s="489"/>
      <c r="O441" s="489"/>
      <c r="P441" s="489"/>
      <c r="Q441" s="489"/>
      <c r="R441" s="489"/>
      <c r="S441" s="489"/>
      <c r="T441" s="489"/>
      <c r="U441" s="489"/>
      <c r="V441" s="489"/>
      <c r="W441" s="489"/>
    </row>
    <row r="442" spans="1:23">
      <c r="A442" s="489"/>
      <c r="B442" s="489"/>
      <c r="C442" s="489"/>
      <c r="D442" s="489"/>
      <c r="E442" s="489"/>
      <c r="F442" s="489"/>
      <c r="G442" s="489"/>
      <c r="H442" s="489"/>
      <c r="I442" s="489"/>
      <c r="J442" s="489"/>
      <c r="K442" s="489"/>
      <c r="L442" s="489"/>
      <c r="M442" s="489"/>
      <c r="N442" s="489"/>
      <c r="O442" s="489"/>
      <c r="P442" s="489"/>
      <c r="Q442" s="489"/>
      <c r="R442" s="489"/>
      <c r="S442" s="489"/>
      <c r="T442" s="489"/>
      <c r="U442" s="489"/>
      <c r="V442" s="489"/>
      <c r="W442" s="489"/>
    </row>
    <row r="443" spans="1:23">
      <c r="A443" s="489"/>
      <c r="B443" s="489"/>
      <c r="C443" s="489"/>
      <c r="D443" s="489"/>
      <c r="E443" s="489"/>
      <c r="F443" s="489"/>
      <c r="G443" s="489"/>
      <c r="H443" s="489"/>
      <c r="I443" s="489"/>
      <c r="J443" s="489"/>
      <c r="K443" s="489"/>
      <c r="L443" s="489"/>
      <c r="M443" s="489"/>
      <c r="N443" s="489"/>
      <c r="O443" s="489"/>
      <c r="P443" s="489"/>
      <c r="Q443" s="489"/>
      <c r="R443" s="489"/>
      <c r="S443" s="489"/>
      <c r="T443" s="489"/>
      <c r="U443" s="489"/>
      <c r="V443" s="489"/>
      <c r="W443" s="489"/>
    </row>
    <row r="444" spans="1:23">
      <c r="A444" s="489"/>
      <c r="B444" s="489"/>
      <c r="C444" s="489"/>
      <c r="D444" s="489"/>
      <c r="E444" s="489"/>
      <c r="F444" s="489"/>
      <c r="G444" s="489"/>
      <c r="H444" s="489"/>
      <c r="I444" s="489"/>
      <c r="J444" s="489"/>
      <c r="K444" s="489"/>
      <c r="L444" s="489"/>
      <c r="M444" s="489"/>
      <c r="N444" s="489"/>
      <c r="O444" s="489"/>
      <c r="P444" s="489"/>
      <c r="Q444" s="489"/>
      <c r="R444" s="489"/>
      <c r="S444" s="489"/>
      <c r="T444" s="489"/>
      <c r="U444" s="489"/>
      <c r="V444" s="489"/>
      <c r="W444" s="489"/>
    </row>
    <row r="445" spans="1:23">
      <c r="A445" s="489"/>
      <c r="B445" s="489"/>
      <c r="C445" s="489"/>
      <c r="D445" s="489"/>
      <c r="E445" s="489"/>
      <c r="F445" s="489"/>
      <c r="G445" s="489"/>
      <c r="H445" s="489"/>
      <c r="I445" s="489"/>
      <c r="J445" s="489"/>
      <c r="K445" s="489"/>
      <c r="L445" s="489"/>
      <c r="M445" s="489"/>
      <c r="N445" s="489"/>
      <c r="O445" s="489"/>
      <c r="P445" s="489"/>
      <c r="Q445" s="489"/>
      <c r="R445" s="489"/>
      <c r="S445" s="489"/>
      <c r="T445" s="489"/>
      <c r="U445" s="489"/>
      <c r="V445" s="489"/>
      <c r="W445" s="489"/>
    </row>
    <row r="446" spans="1:23">
      <c r="A446" s="489"/>
      <c r="B446" s="489"/>
      <c r="C446" s="489"/>
      <c r="D446" s="489"/>
      <c r="E446" s="489"/>
      <c r="F446" s="489"/>
      <c r="G446" s="489"/>
      <c r="H446" s="489"/>
      <c r="I446" s="489"/>
      <c r="J446" s="489"/>
      <c r="K446" s="489"/>
      <c r="L446" s="489"/>
      <c r="M446" s="489"/>
      <c r="N446" s="489"/>
      <c r="O446" s="489"/>
      <c r="P446" s="489"/>
      <c r="Q446" s="489"/>
      <c r="R446" s="489"/>
      <c r="S446" s="489"/>
      <c r="T446" s="489"/>
      <c r="U446" s="489"/>
      <c r="V446" s="489"/>
      <c r="W446" s="489"/>
    </row>
    <row r="447" spans="1:23">
      <c r="A447" s="489"/>
      <c r="B447" s="489"/>
      <c r="C447" s="489"/>
      <c r="D447" s="489"/>
      <c r="E447" s="489"/>
      <c r="F447" s="489"/>
      <c r="G447" s="489"/>
      <c r="H447" s="489"/>
      <c r="I447" s="489"/>
      <c r="J447" s="489"/>
      <c r="K447" s="489"/>
      <c r="L447" s="489"/>
      <c r="M447" s="489"/>
      <c r="N447" s="489"/>
      <c r="O447" s="489"/>
      <c r="P447" s="489"/>
      <c r="Q447" s="489"/>
      <c r="R447" s="489"/>
      <c r="S447" s="489"/>
      <c r="T447" s="489"/>
      <c r="U447" s="489"/>
      <c r="V447" s="489"/>
      <c r="W447" s="489"/>
    </row>
    <row r="448" spans="1:23">
      <c r="A448" s="489"/>
      <c r="B448" s="489"/>
      <c r="C448" s="489"/>
      <c r="D448" s="489"/>
      <c r="E448" s="489"/>
      <c r="F448" s="489"/>
      <c r="G448" s="489"/>
      <c r="H448" s="489"/>
      <c r="I448" s="489"/>
      <c r="J448" s="489"/>
      <c r="K448" s="489"/>
      <c r="L448" s="489"/>
      <c r="M448" s="489"/>
      <c r="N448" s="489"/>
      <c r="O448" s="489"/>
      <c r="P448" s="489"/>
      <c r="Q448" s="489"/>
      <c r="R448" s="489"/>
      <c r="S448" s="489"/>
      <c r="T448" s="489"/>
      <c r="U448" s="489"/>
      <c r="V448" s="489"/>
      <c r="W448" s="489"/>
    </row>
    <row r="449" spans="1:23">
      <c r="A449" s="489"/>
      <c r="B449" s="489"/>
      <c r="C449" s="489"/>
      <c r="D449" s="489"/>
      <c r="E449" s="489"/>
      <c r="F449" s="489"/>
      <c r="G449" s="489"/>
      <c r="H449" s="489"/>
      <c r="I449" s="489"/>
      <c r="J449" s="489"/>
      <c r="K449" s="489"/>
      <c r="L449" s="489"/>
      <c r="M449" s="489"/>
      <c r="N449" s="489"/>
      <c r="O449" s="489"/>
      <c r="P449" s="489"/>
      <c r="Q449" s="489"/>
      <c r="R449" s="489"/>
      <c r="S449" s="489"/>
      <c r="T449" s="489"/>
      <c r="U449" s="489"/>
      <c r="V449" s="489"/>
      <c r="W449" s="489"/>
    </row>
    <row r="450" spans="1:23">
      <c r="A450" s="489"/>
      <c r="B450" s="489"/>
      <c r="C450" s="489"/>
      <c r="D450" s="489"/>
      <c r="E450" s="489"/>
      <c r="F450" s="489"/>
      <c r="G450" s="489"/>
      <c r="H450" s="489"/>
      <c r="I450" s="489"/>
      <c r="J450" s="489"/>
      <c r="K450" s="489"/>
      <c r="L450" s="489"/>
      <c r="M450" s="489"/>
      <c r="N450" s="489"/>
      <c r="O450" s="489"/>
      <c r="P450" s="489"/>
      <c r="Q450" s="489"/>
      <c r="R450" s="489"/>
      <c r="S450" s="489"/>
      <c r="T450" s="489"/>
      <c r="U450" s="489"/>
      <c r="V450" s="489"/>
      <c r="W450" s="489"/>
    </row>
    <row r="451" spans="1:23">
      <c r="A451" s="489"/>
      <c r="B451" s="489"/>
      <c r="C451" s="489"/>
      <c r="D451" s="489"/>
      <c r="E451" s="489"/>
      <c r="F451" s="489"/>
      <c r="G451" s="489"/>
      <c r="H451" s="489"/>
      <c r="I451" s="489"/>
      <c r="J451" s="489"/>
      <c r="K451" s="489"/>
      <c r="L451" s="489"/>
      <c r="M451" s="489"/>
      <c r="N451" s="489"/>
      <c r="O451" s="489"/>
      <c r="P451" s="489"/>
      <c r="Q451" s="489"/>
      <c r="R451" s="489"/>
      <c r="S451" s="489"/>
      <c r="T451" s="489"/>
      <c r="U451" s="489"/>
      <c r="V451" s="489"/>
      <c r="W451" s="489"/>
    </row>
    <row r="452" spans="1:23">
      <c r="A452" s="489"/>
      <c r="B452" s="489"/>
      <c r="C452" s="489"/>
      <c r="D452" s="489"/>
      <c r="E452" s="489"/>
      <c r="F452" s="489"/>
      <c r="G452" s="489"/>
      <c r="H452" s="489"/>
      <c r="I452" s="489"/>
      <c r="J452" s="489"/>
      <c r="K452" s="489"/>
      <c r="L452" s="489"/>
      <c r="M452" s="489"/>
      <c r="N452" s="489"/>
      <c r="O452" s="489"/>
      <c r="P452" s="489"/>
      <c r="Q452" s="489"/>
      <c r="R452" s="489"/>
      <c r="S452" s="489"/>
      <c r="T452" s="489"/>
      <c r="U452" s="489"/>
      <c r="V452" s="489"/>
      <c r="W452" s="489"/>
    </row>
    <row r="453" spans="1:23">
      <c r="A453" s="489"/>
      <c r="B453" s="489"/>
      <c r="C453" s="489"/>
      <c r="D453" s="489"/>
      <c r="E453" s="489"/>
      <c r="F453" s="489"/>
      <c r="G453" s="489"/>
      <c r="H453" s="489"/>
      <c r="I453" s="489"/>
      <c r="J453" s="489"/>
      <c r="K453" s="489"/>
      <c r="L453" s="489"/>
      <c r="M453" s="489"/>
      <c r="N453" s="489"/>
      <c r="O453" s="489"/>
      <c r="P453" s="489"/>
      <c r="Q453" s="489"/>
      <c r="R453" s="489"/>
      <c r="S453" s="489"/>
      <c r="T453" s="489"/>
      <c r="U453" s="489"/>
      <c r="V453" s="489"/>
      <c r="W453" s="489"/>
    </row>
    <row r="454" spans="1:23">
      <c r="A454" s="489"/>
      <c r="B454" s="489"/>
      <c r="C454" s="489"/>
      <c r="D454" s="489"/>
      <c r="E454" s="489"/>
      <c r="F454" s="489"/>
      <c r="G454" s="489"/>
      <c r="H454" s="489"/>
      <c r="I454" s="489"/>
      <c r="J454" s="489"/>
      <c r="K454" s="489"/>
      <c r="L454" s="489"/>
      <c r="M454" s="489"/>
      <c r="N454" s="489"/>
      <c r="O454" s="489"/>
      <c r="P454" s="489"/>
      <c r="Q454" s="489"/>
      <c r="R454" s="489"/>
      <c r="S454" s="489"/>
      <c r="T454" s="489"/>
      <c r="U454" s="489"/>
      <c r="V454" s="489"/>
      <c r="W454" s="489"/>
    </row>
    <row r="455" spans="1:23">
      <c r="A455" s="489"/>
      <c r="B455" s="489"/>
      <c r="C455" s="489"/>
      <c r="D455" s="489"/>
      <c r="E455" s="489"/>
      <c r="F455" s="489"/>
      <c r="G455" s="489"/>
      <c r="H455" s="489"/>
      <c r="I455" s="489"/>
      <c r="J455" s="489"/>
      <c r="K455" s="489"/>
      <c r="L455" s="489"/>
      <c r="M455" s="489"/>
      <c r="N455" s="489"/>
      <c r="O455" s="489"/>
      <c r="P455" s="489"/>
      <c r="Q455" s="489"/>
      <c r="R455" s="489"/>
      <c r="S455" s="489"/>
      <c r="T455" s="489"/>
      <c r="U455" s="489"/>
      <c r="V455" s="489"/>
      <c r="W455" s="489"/>
    </row>
    <row r="456" spans="1:23">
      <c r="A456" s="489"/>
      <c r="B456" s="489"/>
      <c r="C456" s="489"/>
      <c r="D456" s="489"/>
      <c r="E456" s="489"/>
      <c r="F456" s="489"/>
      <c r="G456" s="489"/>
      <c r="H456" s="489"/>
      <c r="I456" s="489"/>
      <c r="J456" s="489"/>
      <c r="K456" s="489"/>
      <c r="L456" s="489"/>
      <c r="M456" s="489"/>
      <c r="N456" s="489"/>
      <c r="O456" s="489"/>
      <c r="P456" s="489"/>
      <c r="Q456" s="489"/>
      <c r="R456" s="489"/>
      <c r="S456" s="489"/>
      <c r="T456" s="489"/>
      <c r="U456" s="489"/>
      <c r="V456" s="489"/>
      <c r="W456" s="489"/>
    </row>
    <row r="457" spans="1:23">
      <c r="A457" s="489"/>
      <c r="B457" s="489"/>
      <c r="C457" s="489"/>
      <c r="D457" s="489"/>
      <c r="E457" s="489"/>
      <c r="F457" s="489"/>
      <c r="G457" s="489"/>
      <c r="H457" s="489"/>
      <c r="I457" s="489"/>
      <c r="J457" s="489"/>
      <c r="K457" s="489"/>
      <c r="L457" s="489"/>
      <c r="M457" s="489"/>
      <c r="N457" s="489"/>
      <c r="O457" s="489"/>
      <c r="P457" s="489"/>
      <c r="Q457" s="489"/>
      <c r="R457" s="489"/>
      <c r="S457" s="489"/>
      <c r="T457" s="489"/>
      <c r="U457" s="489"/>
      <c r="V457" s="489"/>
      <c r="W457" s="489"/>
    </row>
    <row r="458" spans="1:23">
      <c r="A458" s="489"/>
      <c r="B458" s="489"/>
      <c r="C458" s="489"/>
      <c r="D458" s="489"/>
      <c r="E458" s="489"/>
      <c r="F458" s="489"/>
      <c r="G458" s="489"/>
      <c r="H458" s="489"/>
      <c r="I458" s="489"/>
      <c r="J458" s="489"/>
      <c r="K458" s="489"/>
      <c r="L458" s="489"/>
      <c r="M458" s="489"/>
      <c r="N458" s="489"/>
      <c r="O458" s="489"/>
      <c r="P458" s="489"/>
      <c r="Q458" s="489"/>
      <c r="R458" s="489"/>
      <c r="S458" s="489"/>
      <c r="T458" s="489"/>
      <c r="U458" s="489"/>
      <c r="V458" s="489"/>
      <c r="W458" s="489"/>
    </row>
    <row r="459" spans="1:23">
      <c r="A459" s="489"/>
      <c r="B459" s="489"/>
      <c r="C459" s="489"/>
      <c r="D459" s="489"/>
      <c r="E459" s="489"/>
      <c r="F459" s="489"/>
      <c r="G459" s="489"/>
      <c r="H459" s="489"/>
      <c r="I459" s="489"/>
      <c r="J459" s="489"/>
      <c r="K459" s="489"/>
      <c r="L459" s="489"/>
      <c r="M459" s="489"/>
      <c r="N459" s="489"/>
      <c r="O459" s="489"/>
      <c r="P459" s="489"/>
      <c r="Q459" s="489"/>
      <c r="R459" s="489"/>
      <c r="S459" s="489"/>
      <c r="T459" s="489"/>
      <c r="U459" s="489"/>
      <c r="V459" s="489"/>
      <c r="W459" s="489"/>
    </row>
    <row r="460" spans="1:23">
      <c r="A460" s="489"/>
      <c r="B460" s="489"/>
      <c r="C460" s="489"/>
      <c r="D460" s="489"/>
      <c r="E460" s="489"/>
      <c r="F460" s="489"/>
      <c r="G460" s="489"/>
      <c r="H460" s="489"/>
      <c r="I460" s="489"/>
      <c r="J460" s="489"/>
      <c r="K460" s="489"/>
      <c r="L460" s="489"/>
      <c r="M460" s="489"/>
      <c r="N460" s="489"/>
      <c r="O460" s="489"/>
      <c r="P460" s="489"/>
      <c r="Q460" s="489"/>
      <c r="R460" s="489"/>
      <c r="S460" s="489"/>
      <c r="T460" s="489"/>
      <c r="U460" s="489"/>
      <c r="V460" s="489"/>
      <c r="W460" s="489"/>
    </row>
    <row r="461" spans="1:23">
      <c r="A461" s="489"/>
      <c r="B461" s="489"/>
      <c r="C461" s="489"/>
      <c r="D461" s="489"/>
      <c r="E461" s="489"/>
      <c r="F461" s="489"/>
      <c r="G461" s="489"/>
      <c r="H461" s="489"/>
      <c r="I461" s="489"/>
      <c r="J461" s="489"/>
      <c r="K461" s="489"/>
      <c r="L461" s="489"/>
      <c r="M461" s="489"/>
      <c r="N461" s="489"/>
      <c r="O461" s="489"/>
      <c r="P461" s="489"/>
      <c r="Q461" s="489"/>
      <c r="R461" s="489"/>
      <c r="S461" s="489"/>
      <c r="T461" s="489"/>
      <c r="U461" s="489"/>
      <c r="V461" s="489"/>
      <c r="W461" s="489"/>
    </row>
    <row r="462" spans="1:23">
      <c r="A462" s="489"/>
      <c r="B462" s="489"/>
      <c r="C462" s="489"/>
      <c r="D462" s="489"/>
      <c r="E462" s="489"/>
      <c r="F462" s="489"/>
      <c r="G462" s="489"/>
      <c r="H462" s="489"/>
      <c r="I462" s="489"/>
      <c r="J462" s="489"/>
      <c r="K462" s="489"/>
      <c r="L462" s="489"/>
      <c r="M462" s="489"/>
      <c r="N462" s="489"/>
      <c r="O462" s="489"/>
      <c r="P462" s="489"/>
      <c r="Q462" s="489"/>
      <c r="R462" s="489"/>
      <c r="S462" s="489"/>
      <c r="T462" s="489"/>
      <c r="U462" s="489"/>
      <c r="V462" s="489"/>
      <c r="W462" s="489"/>
    </row>
    <row r="463" spans="1:23">
      <c r="A463" s="489"/>
      <c r="B463" s="489"/>
      <c r="C463" s="489"/>
      <c r="D463" s="489"/>
      <c r="E463" s="489"/>
      <c r="F463" s="489"/>
      <c r="G463" s="489"/>
      <c r="H463" s="489"/>
      <c r="I463" s="489"/>
      <c r="J463" s="489"/>
      <c r="K463" s="489"/>
      <c r="L463" s="489"/>
      <c r="M463" s="489"/>
      <c r="N463" s="489"/>
      <c r="O463" s="489"/>
      <c r="P463" s="489"/>
      <c r="Q463" s="489"/>
      <c r="R463" s="489"/>
      <c r="S463" s="489"/>
      <c r="T463" s="489"/>
      <c r="U463" s="489"/>
      <c r="V463" s="489"/>
      <c r="W463" s="489"/>
    </row>
    <row r="464" spans="1:23">
      <c r="A464" s="489"/>
      <c r="B464" s="489"/>
      <c r="C464" s="489"/>
      <c r="D464" s="489"/>
      <c r="E464" s="489"/>
      <c r="F464" s="489"/>
      <c r="G464" s="489"/>
      <c r="H464" s="489"/>
      <c r="I464" s="489"/>
      <c r="J464" s="489"/>
      <c r="K464" s="489"/>
      <c r="L464" s="489"/>
      <c r="M464" s="489"/>
      <c r="N464" s="489"/>
      <c r="O464" s="489"/>
      <c r="P464" s="489"/>
      <c r="Q464" s="489"/>
      <c r="R464" s="489"/>
      <c r="S464" s="489"/>
      <c r="T464" s="489"/>
      <c r="U464" s="489"/>
      <c r="V464" s="489"/>
      <c r="W464" s="489"/>
    </row>
    <row r="465" spans="1:23">
      <c r="A465" s="489"/>
      <c r="B465" s="489"/>
      <c r="C465" s="489"/>
      <c r="D465" s="489"/>
      <c r="E465" s="489"/>
      <c r="F465" s="489"/>
      <c r="G465" s="489"/>
      <c r="H465" s="489"/>
      <c r="I465" s="489"/>
      <c r="J465" s="489"/>
      <c r="K465" s="489"/>
      <c r="L465" s="489"/>
      <c r="M465" s="489"/>
      <c r="N465" s="489"/>
      <c r="O465" s="489"/>
      <c r="P465" s="489"/>
      <c r="Q465" s="489"/>
      <c r="R465" s="489"/>
      <c r="S465" s="489"/>
      <c r="T465" s="489"/>
      <c r="U465" s="489"/>
      <c r="V465" s="489"/>
      <c r="W465" s="489"/>
    </row>
    <row r="466" spans="1:23">
      <c r="A466" s="489"/>
      <c r="B466" s="489"/>
      <c r="C466" s="489"/>
      <c r="D466" s="489"/>
      <c r="E466" s="489"/>
      <c r="F466" s="489"/>
      <c r="G466" s="489"/>
      <c r="H466" s="489"/>
      <c r="I466" s="489"/>
      <c r="J466" s="489"/>
      <c r="K466" s="489"/>
      <c r="L466" s="489"/>
      <c r="M466" s="489"/>
      <c r="N466" s="489"/>
      <c r="O466" s="489"/>
      <c r="P466" s="489"/>
      <c r="Q466" s="489"/>
      <c r="R466" s="489"/>
      <c r="S466" s="489"/>
      <c r="T466" s="489"/>
      <c r="U466" s="489"/>
      <c r="V466" s="489"/>
      <c r="W466" s="489"/>
    </row>
    <row r="467" spans="1:23">
      <c r="A467" s="489"/>
      <c r="B467" s="489"/>
      <c r="C467" s="489"/>
      <c r="D467" s="489"/>
      <c r="E467" s="489"/>
      <c r="F467" s="489"/>
      <c r="G467" s="489"/>
      <c r="H467" s="489"/>
      <c r="I467" s="489"/>
      <c r="J467" s="489"/>
      <c r="K467" s="489"/>
      <c r="L467" s="489"/>
      <c r="M467" s="489"/>
      <c r="N467" s="489"/>
      <c r="O467" s="489"/>
      <c r="P467" s="489"/>
      <c r="Q467" s="489"/>
      <c r="R467" s="489"/>
      <c r="S467" s="489"/>
      <c r="T467" s="489"/>
      <c r="U467" s="489"/>
      <c r="V467" s="489"/>
      <c r="W467" s="489"/>
    </row>
    <row r="468" spans="1:23">
      <c r="A468" s="489"/>
      <c r="B468" s="489"/>
      <c r="C468" s="489"/>
      <c r="D468" s="489"/>
      <c r="E468" s="489"/>
      <c r="F468" s="489"/>
      <c r="G468" s="489"/>
      <c r="H468" s="489"/>
      <c r="I468" s="489"/>
      <c r="J468" s="489"/>
      <c r="K468" s="489"/>
      <c r="L468" s="489"/>
      <c r="M468" s="489"/>
      <c r="N468" s="489"/>
      <c r="O468" s="489"/>
      <c r="P468" s="489"/>
      <c r="Q468" s="489"/>
      <c r="R468" s="489"/>
      <c r="S468" s="489"/>
      <c r="T468" s="489"/>
      <c r="U468" s="489"/>
      <c r="V468" s="489"/>
      <c r="W468" s="489"/>
    </row>
    <row r="469" spans="1:23">
      <c r="A469" s="489"/>
      <c r="B469" s="489"/>
      <c r="C469" s="489"/>
      <c r="D469" s="489"/>
      <c r="E469" s="489"/>
      <c r="F469" s="489"/>
      <c r="G469" s="489"/>
      <c r="H469" s="489"/>
      <c r="I469" s="489"/>
      <c r="J469" s="489"/>
      <c r="K469" s="489"/>
      <c r="L469" s="489"/>
      <c r="M469" s="489"/>
      <c r="N469" s="489"/>
      <c r="O469" s="489"/>
      <c r="P469" s="489"/>
      <c r="Q469" s="489"/>
      <c r="R469" s="489"/>
      <c r="S469" s="489"/>
      <c r="T469" s="489"/>
      <c r="U469" s="489"/>
      <c r="V469" s="489"/>
      <c r="W469" s="489"/>
    </row>
    <row r="470" spans="1:23">
      <c r="A470" s="489"/>
      <c r="B470" s="489"/>
      <c r="C470" s="489"/>
      <c r="D470" s="489"/>
      <c r="E470" s="489"/>
      <c r="F470" s="489"/>
      <c r="G470" s="489"/>
      <c r="H470" s="489"/>
      <c r="I470" s="489"/>
      <c r="J470" s="489"/>
      <c r="K470" s="489"/>
      <c r="L470" s="489"/>
      <c r="M470" s="489"/>
      <c r="N470" s="489"/>
      <c r="O470" s="489"/>
      <c r="P470" s="489"/>
      <c r="Q470" s="489"/>
      <c r="R470" s="489"/>
      <c r="S470" s="489"/>
      <c r="T470" s="489"/>
      <c r="U470" s="489"/>
      <c r="V470" s="489"/>
      <c r="W470" s="489"/>
    </row>
    <row r="471" spans="1:23">
      <c r="A471" s="489"/>
      <c r="B471" s="489"/>
      <c r="C471" s="489"/>
      <c r="D471" s="489"/>
      <c r="E471" s="489"/>
      <c r="F471" s="489"/>
      <c r="G471" s="489"/>
      <c r="H471" s="489"/>
      <c r="I471" s="489"/>
      <c r="J471" s="489"/>
      <c r="K471" s="489"/>
      <c r="L471" s="489"/>
      <c r="M471" s="489"/>
      <c r="N471" s="489"/>
      <c r="O471" s="489"/>
      <c r="P471" s="489"/>
      <c r="Q471" s="489"/>
      <c r="R471" s="489"/>
      <c r="S471" s="489"/>
      <c r="T471" s="489"/>
      <c r="U471" s="489"/>
      <c r="V471" s="489"/>
      <c r="W471" s="489"/>
    </row>
    <row r="472" spans="1:23">
      <c r="A472" s="489"/>
      <c r="B472" s="489"/>
      <c r="C472" s="489"/>
      <c r="D472" s="489"/>
      <c r="E472" s="489"/>
      <c r="F472" s="489"/>
      <c r="G472" s="489"/>
      <c r="H472" s="489"/>
      <c r="I472" s="489"/>
      <c r="J472" s="489"/>
      <c r="K472" s="489"/>
      <c r="L472" s="489"/>
      <c r="M472" s="489"/>
      <c r="N472" s="489"/>
      <c r="O472" s="489"/>
      <c r="P472" s="489"/>
      <c r="Q472" s="489"/>
      <c r="R472" s="489"/>
      <c r="S472" s="489"/>
      <c r="T472" s="489"/>
      <c r="U472" s="489"/>
      <c r="V472" s="489"/>
      <c r="W472" s="489"/>
    </row>
    <row r="473" spans="1:23">
      <c r="A473" s="489"/>
      <c r="B473" s="489"/>
      <c r="C473" s="489"/>
      <c r="D473" s="489"/>
      <c r="E473" s="489"/>
      <c r="F473" s="489"/>
      <c r="G473" s="489"/>
      <c r="H473" s="489"/>
      <c r="I473" s="489"/>
      <c r="J473" s="489"/>
      <c r="K473" s="489"/>
      <c r="L473" s="489"/>
      <c r="M473" s="489"/>
      <c r="N473" s="489"/>
      <c r="O473" s="489"/>
      <c r="P473" s="489"/>
      <c r="Q473" s="489"/>
      <c r="R473" s="489"/>
      <c r="S473" s="489"/>
      <c r="T473" s="489"/>
      <c r="U473" s="489"/>
      <c r="V473" s="489"/>
      <c r="W473" s="489"/>
    </row>
    <row r="474" spans="1:23">
      <c r="A474" s="489"/>
      <c r="B474" s="489"/>
      <c r="C474" s="489"/>
      <c r="D474" s="489"/>
      <c r="E474" s="489"/>
      <c r="F474" s="489"/>
      <c r="G474" s="489"/>
      <c r="H474" s="489"/>
      <c r="I474" s="489"/>
      <c r="J474" s="489"/>
      <c r="K474" s="489"/>
      <c r="L474" s="489"/>
      <c r="M474" s="489"/>
      <c r="N474" s="489"/>
      <c r="O474" s="489"/>
      <c r="P474" s="489"/>
      <c r="Q474" s="489"/>
      <c r="R474" s="489"/>
      <c r="S474" s="489"/>
      <c r="T474" s="489"/>
      <c r="U474" s="489"/>
      <c r="V474" s="489"/>
      <c r="W474" s="489"/>
    </row>
    <row r="475" spans="1:23">
      <c r="A475" s="489"/>
      <c r="B475" s="489"/>
      <c r="C475" s="489"/>
      <c r="D475" s="489"/>
      <c r="E475" s="489"/>
      <c r="F475" s="489"/>
      <c r="G475" s="489"/>
      <c r="H475" s="489"/>
      <c r="I475" s="489"/>
      <c r="J475" s="489"/>
      <c r="K475" s="489"/>
      <c r="L475" s="489"/>
      <c r="M475" s="489"/>
      <c r="N475" s="489"/>
      <c r="O475" s="489"/>
      <c r="P475" s="489"/>
      <c r="Q475" s="489"/>
      <c r="R475" s="489"/>
      <c r="S475" s="489"/>
      <c r="T475" s="489"/>
      <c r="U475" s="489"/>
      <c r="V475" s="489"/>
      <c r="W475" s="489"/>
    </row>
    <row r="476" spans="1:23">
      <c r="A476" s="489"/>
      <c r="B476" s="489"/>
      <c r="C476" s="489"/>
      <c r="D476" s="489"/>
      <c r="E476" s="489"/>
      <c r="F476" s="489"/>
      <c r="G476" s="489"/>
      <c r="H476" s="489"/>
      <c r="I476" s="489"/>
      <c r="J476" s="489"/>
      <c r="K476" s="489"/>
      <c r="L476" s="489"/>
      <c r="M476" s="489"/>
      <c r="N476" s="489"/>
      <c r="O476" s="489"/>
      <c r="P476" s="489"/>
      <c r="Q476" s="489"/>
      <c r="R476" s="489"/>
      <c r="S476" s="489"/>
      <c r="T476" s="489"/>
      <c r="U476" s="489"/>
      <c r="V476" s="489"/>
      <c r="W476" s="489"/>
    </row>
    <row r="477" spans="1:23">
      <c r="A477" s="489"/>
      <c r="B477" s="489"/>
      <c r="C477" s="489"/>
      <c r="D477" s="489"/>
      <c r="E477" s="489"/>
      <c r="F477" s="489"/>
      <c r="G477" s="489"/>
      <c r="H477" s="489"/>
      <c r="I477" s="489"/>
      <c r="J477" s="489"/>
      <c r="K477" s="489"/>
      <c r="L477" s="489"/>
      <c r="M477" s="489"/>
      <c r="N477" s="489"/>
      <c r="O477" s="489"/>
      <c r="P477" s="489"/>
      <c r="Q477" s="489"/>
      <c r="R477" s="489"/>
      <c r="S477" s="489"/>
      <c r="T477" s="489"/>
      <c r="U477" s="489"/>
      <c r="V477" s="489"/>
      <c r="W477" s="489"/>
    </row>
    <row r="478" spans="1:23">
      <c r="A478" s="489"/>
      <c r="B478" s="489"/>
      <c r="C478" s="489"/>
      <c r="D478" s="489"/>
      <c r="E478" s="489"/>
      <c r="F478" s="489"/>
      <c r="G478" s="489"/>
      <c r="H478" s="489"/>
      <c r="I478" s="489"/>
      <c r="J478" s="489"/>
      <c r="K478" s="489"/>
      <c r="L478" s="489"/>
      <c r="M478" s="489"/>
      <c r="N478" s="489"/>
      <c r="O478" s="489"/>
      <c r="P478" s="489"/>
      <c r="Q478" s="489"/>
      <c r="R478" s="489"/>
      <c r="S478" s="489"/>
      <c r="T478" s="489"/>
      <c r="U478" s="489"/>
      <c r="V478" s="489"/>
      <c r="W478" s="489"/>
    </row>
    <row r="479" spans="1:23">
      <c r="A479" s="489"/>
      <c r="B479" s="489"/>
      <c r="C479" s="489"/>
      <c r="D479" s="489"/>
      <c r="E479" s="489"/>
      <c r="F479" s="489"/>
      <c r="G479" s="489"/>
      <c r="H479" s="489"/>
      <c r="I479" s="489"/>
      <c r="J479" s="489"/>
      <c r="K479" s="489"/>
      <c r="L479" s="489"/>
      <c r="M479" s="489"/>
      <c r="N479" s="489"/>
      <c r="O479" s="489"/>
      <c r="P479" s="489"/>
      <c r="Q479" s="489"/>
      <c r="R479" s="489"/>
      <c r="S479" s="489"/>
      <c r="T479" s="489"/>
      <c r="U479" s="489"/>
      <c r="V479" s="489"/>
      <c r="W479" s="489"/>
    </row>
    <row r="480" spans="1:23">
      <c r="A480" s="489"/>
      <c r="B480" s="489"/>
      <c r="C480" s="489"/>
      <c r="D480" s="489"/>
      <c r="E480" s="489"/>
      <c r="F480" s="489"/>
      <c r="G480" s="489"/>
      <c r="H480" s="489"/>
      <c r="I480" s="489"/>
      <c r="J480" s="489"/>
      <c r="K480" s="489"/>
      <c r="L480" s="489"/>
      <c r="M480" s="489"/>
      <c r="N480" s="489"/>
      <c r="O480" s="489"/>
      <c r="P480" s="489"/>
      <c r="Q480" s="489"/>
      <c r="R480" s="489"/>
      <c r="S480" s="489"/>
      <c r="T480" s="489"/>
      <c r="U480" s="489"/>
      <c r="V480" s="489"/>
      <c r="W480" s="489"/>
    </row>
    <row r="481" spans="1:23">
      <c r="A481" s="489"/>
      <c r="B481" s="489"/>
      <c r="C481" s="489"/>
      <c r="D481" s="489"/>
      <c r="E481" s="489"/>
      <c r="F481" s="489"/>
      <c r="G481" s="489"/>
      <c r="H481" s="489"/>
      <c r="I481" s="489"/>
      <c r="J481" s="489"/>
      <c r="K481" s="489"/>
      <c r="L481" s="489"/>
      <c r="M481" s="489"/>
      <c r="N481" s="489"/>
      <c r="O481" s="489"/>
      <c r="P481" s="489"/>
      <c r="Q481" s="489"/>
      <c r="R481" s="489"/>
      <c r="S481" s="489"/>
      <c r="T481" s="489"/>
      <c r="U481" s="489"/>
      <c r="V481" s="489"/>
      <c r="W481" s="489"/>
    </row>
    <row r="482" spans="1:23">
      <c r="A482" s="489"/>
      <c r="B482" s="489"/>
      <c r="C482" s="489"/>
      <c r="D482" s="489"/>
      <c r="E482" s="489"/>
      <c r="F482" s="489"/>
      <c r="G482" s="489"/>
      <c r="H482" s="489"/>
      <c r="I482" s="489"/>
      <c r="J482" s="489"/>
      <c r="K482" s="489"/>
      <c r="L482" s="489"/>
      <c r="M482" s="489"/>
      <c r="N482" s="489"/>
      <c r="O482" s="489"/>
      <c r="P482" s="489"/>
      <c r="Q482" s="489"/>
      <c r="R482" s="489"/>
      <c r="S482" s="489"/>
      <c r="T482" s="489"/>
      <c r="U482" s="489"/>
      <c r="V482" s="489"/>
      <c r="W482" s="489"/>
    </row>
    <row r="483" spans="1:23">
      <c r="A483" s="489"/>
      <c r="B483" s="489"/>
      <c r="C483" s="489"/>
      <c r="D483" s="489"/>
      <c r="E483" s="489"/>
      <c r="F483" s="489"/>
      <c r="G483" s="489"/>
      <c r="H483" s="489"/>
      <c r="I483" s="489"/>
      <c r="J483" s="489"/>
      <c r="K483" s="489"/>
      <c r="L483" s="489"/>
      <c r="M483" s="489"/>
      <c r="N483" s="489"/>
      <c r="O483" s="489"/>
      <c r="P483" s="489"/>
      <c r="Q483" s="489"/>
      <c r="R483" s="489"/>
      <c r="S483" s="489"/>
      <c r="T483" s="489"/>
      <c r="U483" s="489"/>
      <c r="V483" s="489"/>
      <c r="W483" s="489"/>
    </row>
    <row r="484" spans="1:23">
      <c r="A484" s="489"/>
      <c r="B484" s="489"/>
      <c r="C484" s="489"/>
      <c r="D484" s="489"/>
      <c r="E484" s="489"/>
      <c r="F484" s="489"/>
      <c r="G484" s="489"/>
      <c r="H484" s="489"/>
      <c r="I484" s="489"/>
      <c r="J484" s="489"/>
      <c r="K484" s="489"/>
      <c r="L484" s="489"/>
      <c r="M484" s="489"/>
      <c r="N484" s="489"/>
      <c r="O484" s="489"/>
      <c r="P484" s="489"/>
      <c r="Q484" s="489"/>
      <c r="R484" s="489"/>
      <c r="S484" s="489"/>
      <c r="T484" s="489"/>
      <c r="U484" s="489"/>
      <c r="V484" s="489"/>
      <c r="W484" s="489"/>
    </row>
    <row r="485" spans="1:23">
      <c r="A485" s="489"/>
      <c r="B485" s="489"/>
      <c r="C485" s="489"/>
      <c r="D485" s="489"/>
      <c r="E485" s="489"/>
      <c r="F485" s="489"/>
      <c r="G485" s="489"/>
      <c r="H485" s="489"/>
      <c r="I485" s="489"/>
      <c r="J485" s="489"/>
      <c r="K485" s="489"/>
      <c r="L485" s="489"/>
      <c r="M485" s="489"/>
      <c r="N485" s="489"/>
      <c r="O485" s="489"/>
      <c r="P485" s="489"/>
      <c r="Q485" s="489"/>
      <c r="R485" s="489"/>
      <c r="S485" s="489"/>
      <c r="T485" s="489"/>
      <c r="U485" s="489"/>
      <c r="V485" s="489"/>
      <c r="W485" s="489"/>
    </row>
    <row r="486" spans="1:23">
      <c r="A486" s="489"/>
      <c r="B486" s="489"/>
      <c r="C486" s="489"/>
      <c r="D486" s="489"/>
      <c r="E486" s="489"/>
      <c r="F486" s="489"/>
      <c r="G486" s="489"/>
      <c r="H486" s="489"/>
      <c r="I486" s="489"/>
      <c r="J486" s="489"/>
      <c r="K486" s="489"/>
      <c r="L486" s="489"/>
      <c r="M486" s="489"/>
      <c r="N486" s="489"/>
      <c r="O486" s="489"/>
      <c r="P486" s="489"/>
      <c r="Q486" s="489"/>
      <c r="R486" s="489"/>
      <c r="S486" s="489"/>
      <c r="T486" s="489"/>
      <c r="U486" s="489"/>
      <c r="V486" s="489"/>
      <c r="W486" s="489"/>
    </row>
    <row r="487" spans="1:23">
      <c r="A487" s="489"/>
      <c r="B487" s="489"/>
      <c r="C487" s="489"/>
      <c r="D487" s="489"/>
      <c r="E487" s="489"/>
      <c r="F487" s="489"/>
      <c r="G487" s="489"/>
      <c r="H487" s="489"/>
      <c r="I487" s="489"/>
      <c r="J487" s="489"/>
      <c r="K487" s="489"/>
      <c r="L487" s="489"/>
      <c r="M487" s="489"/>
      <c r="N487" s="489"/>
      <c r="O487" s="489"/>
      <c r="P487" s="489"/>
      <c r="Q487" s="489"/>
      <c r="R487" s="489"/>
      <c r="S487" s="489"/>
      <c r="T487" s="489"/>
      <c r="U487" s="489"/>
      <c r="V487" s="489"/>
      <c r="W487" s="489"/>
    </row>
    <row r="488" spans="1:23">
      <c r="A488" s="489"/>
      <c r="B488" s="489"/>
      <c r="C488" s="489"/>
      <c r="D488" s="489"/>
      <c r="E488" s="489"/>
      <c r="F488" s="489"/>
      <c r="G488" s="489"/>
      <c r="H488" s="489"/>
      <c r="I488" s="489"/>
      <c r="J488" s="489"/>
      <c r="K488" s="489"/>
      <c r="L488" s="489"/>
      <c r="M488" s="489"/>
      <c r="N488" s="489"/>
      <c r="O488" s="489"/>
      <c r="P488" s="489"/>
      <c r="Q488" s="489"/>
      <c r="R488" s="489"/>
      <c r="S488" s="489"/>
      <c r="T488" s="489"/>
      <c r="U488" s="489"/>
      <c r="V488" s="489"/>
      <c r="W488" s="489"/>
    </row>
    <row r="489" spans="1:23">
      <c r="A489" s="489"/>
      <c r="B489" s="489"/>
      <c r="C489" s="489"/>
      <c r="D489" s="489"/>
      <c r="E489" s="489"/>
      <c r="F489" s="489"/>
      <c r="G489" s="489"/>
      <c r="H489" s="489"/>
      <c r="I489" s="489"/>
      <c r="J489" s="489"/>
      <c r="K489" s="489"/>
      <c r="L489" s="489"/>
      <c r="M489" s="489"/>
      <c r="N489" s="489"/>
      <c r="O489" s="489"/>
      <c r="P489" s="489"/>
      <c r="Q489" s="489"/>
      <c r="R489" s="489"/>
      <c r="S489" s="489"/>
      <c r="T489" s="489"/>
      <c r="U489" s="489"/>
      <c r="V489" s="489"/>
      <c r="W489" s="489"/>
    </row>
    <row r="490" spans="1:23">
      <c r="A490" s="489"/>
      <c r="B490" s="489"/>
      <c r="C490" s="489"/>
      <c r="D490" s="489"/>
      <c r="E490" s="489"/>
      <c r="F490" s="489"/>
      <c r="G490" s="489"/>
      <c r="H490" s="489"/>
      <c r="I490" s="489"/>
      <c r="J490" s="489"/>
      <c r="K490" s="489"/>
      <c r="L490" s="489"/>
      <c r="M490" s="489"/>
      <c r="N490" s="489"/>
      <c r="O490" s="489"/>
      <c r="P490" s="489"/>
      <c r="Q490" s="489"/>
      <c r="R490" s="489"/>
      <c r="S490" s="489"/>
      <c r="T490" s="489"/>
      <c r="U490" s="489"/>
      <c r="V490" s="489"/>
      <c r="W490" s="489"/>
    </row>
    <row r="491" spans="1:23">
      <c r="A491" s="489"/>
      <c r="B491" s="489"/>
      <c r="C491" s="489"/>
      <c r="D491" s="489"/>
      <c r="E491" s="489"/>
      <c r="F491" s="489"/>
      <c r="G491" s="489"/>
      <c r="H491" s="489"/>
      <c r="I491" s="489"/>
      <c r="J491" s="489"/>
      <c r="K491" s="489"/>
      <c r="L491" s="489"/>
      <c r="M491" s="489"/>
      <c r="N491" s="489"/>
      <c r="O491" s="489"/>
      <c r="P491" s="489"/>
      <c r="Q491" s="489"/>
      <c r="R491" s="489"/>
      <c r="S491" s="489"/>
      <c r="T491" s="489"/>
      <c r="U491" s="489"/>
      <c r="V491" s="489"/>
      <c r="W491" s="489"/>
    </row>
    <row r="492" spans="1:23">
      <c r="A492" s="489"/>
      <c r="B492" s="489"/>
      <c r="C492" s="489"/>
      <c r="D492" s="489"/>
      <c r="E492" s="489"/>
      <c r="F492" s="489"/>
      <c r="G492" s="489"/>
      <c r="H492" s="489"/>
      <c r="I492" s="489"/>
      <c r="J492" s="489"/>
      <c r="K492" s="489"/>
      <c r="L492" s="489"/>
      <c r="M492" s="489"/>
      <c r="N492" s="489"/>
      <c r="O492" s="489"/>
      <c r="P492" s="489"/>
      <c r="Q492" s="489"/>
      <c r="R492" s="489"/>
      <c r="S492" s="489"/>
      <c r="T492" s="489"/>
      <c r="U492" s="489"/>
      <c r="V492" s="489"/>
      <c r="W492" s="489"/>
    </row>
    <row r="493" spans="1:23">
      <c r="A493" s="489"/>
      <c r="B493" s="489"/>
      <c r="C493" s="489"/>
      <c r="D493" s="489"/>
      <c r="E493" s="489"/>
      <c r="F493" s="489"/>
      <c r="G493" s="489"/>
      <c r="H493" s="489"/>
      <c r="I493" s="489"/>
      <c r="J493" s="489"/>
      <c r="K493" s="489"/>
      <c r="L493" s="489"/>
      <c r="M493" s="489"/>
      <c r="N493" s="489"/>
      <c r="O493" s="489"/>
      <c r="P493" s="489"/>
      <c r="Q493" s="489"/>
      <c r="R493" s="489"/>
      <c r="S493" s="489"/>
      <c r="T493" s="489"/>
      <c r="U493" s="489"/>
      <c r="V493" s="489"/>
      <c r="W493" s="489"/>
    </row>
    <row r="494" spans="1:23">
      <c r="A494" s="489"/>
      <c r="B494" s="489"/>
      <c r="C494" s="489"/>
      <c r="D494" s="489"/>
      <c r="E494" s="489"/>
      <c r="F494" s="489"/>
      <c r="G494" s="489"/>
      <c r="H494" s="489"/>
      <c r="I494" s="489"/>
      <c r="J494" s="489"/>
      <c r="K494" s="489"/>
      <c r="L494" s="489"/>
      <c r="M494" s="489"/>
      <c r="N494" s="489"/>
      <c r="O494" s="489"/>
      <c r="P494" s="489"/>
      <c r="Q494" s="489"/>
      <c r="R494" s="489"/>
      <c r="S494" s="489"/>
      <c r="T494" s="489"/>
      <c r="U494" s="489"/>
      <c r="V494" s="489"/>
      <c r="W494" s="489"/>
    </row>
    <row r="495" spans="1:23">
      <c r="A495" s="489"/>
      <c r="B495" s="489"/>
      <c r="C495" s="489"/>
      <c r="D495" s="489"/>
      <c r="E495" s="489"/>
      <c r="F495" s="489"/>
      <c r="G495" s="489"/>
      <c r="H495" s="489"/>
      <c r="I495" s="489"/>
      <c r="J495" s="489"/>
      <c r="K495" s="489"/>
      <c r="L495" s="489"/>
      <c r="M495" s="489"/>
      <c r="N495" s="489"/>
      <c r="O495" s="489"/>
      <c r="P495" s="489"/>
      <c r="Q495" s="489"/>
      <c r="R495" s="489"/>
      <c r="S495" s="489"/>
      <c r="T495" s="489"/>
      <c r="U495" s="489"/>
      <c r="V495" s="489"/>
      <c r="W495" s="489"/>
    </row>
    <row r="496" spans="1:23">
      <c r="A496" s="489"/>
      <c r="B496" s="489"/>
      <c r="C496" s="489"/>
      <c r="D496" s="489"/>
      <c r="E496" s="489"/>
      <c r="F496" s="489"/>
      <c r="G496" s="489"/>
      <c r="H496" s="489"/>
      <c r="I496" s="489"/>
      <c r="J496" s="489"/>
      <c r="K496" s="489"/>
      <c r="L496" s="489"/>
      <c r="M496" s="489"/>
      <c r="N496" s="489"/>
      <c r="O496" s="489"/>
      <c r="P496" s="489"/>
      <c r="Q496" s="489"/>
      <c r="R496" s="489"/>
      <c r="S496" s="489"/>
      <c r="T496" s="489"/>
      <c r="U496" s="489"/>
      <c r="V496" s="489"/>
      <c r="W496" s="489"/>
    </row>
    <row r="497" spans="1:23">
      <c r="A497" s="489"/>
      <c r="B497" s="489"/>
      <c r="C497" s="489"/>
      <c r="D497" s="489"/>
      <c r="E497" s="489"/>
      <c r="F497" s="489"/>
      <c r="G497" s="489"/>
      <c r="H497" s="489"/>
      <c r="I497" s="489"/>
      <c r="J497" s="489"/>
      <c r="K497" s="489"/>
      <c r="L497" s="489"/>
      <c r="M497" s="489"/>
      <c r="N497" s="489"/>
      <c r="O497" s="489"/>
      <c r="P497" s="489"/>
      <c r="Q497" s="489"/>
      <c r="R497" s="489"/>
      <c r="S497" s="489"/>
      <c r="T497" s="489"/>
      <c r="U497" s="489"/>
      <c r="V497" s="489"/>
      <c r="W497" s="489"/>
    </row>
    <row r="498" spans="1:23">
      <c r="A498" s="489"/>
      <c r="B498" s="489"/>
      <c r="C498" s="489"/>
      <c r="D498" s="489"/>
      <c r="E498" s="489"/>
      <c r="F498" s="489"/>
      <c r="G498" s="489"/>
      <c r="H498" s="489"/>
      <c r="I498" s="489"/>
      <c r="J498" s="489"/>
      <c r="K498" s="489"/>
      <c r="L498" s="489"/>
      <c r="M498" s="489"/>
      <c r="N498" s="489"/>
      <c r="O498" s="489"/>
      <c r="P498" s="489"/>
      <c r="Q498" s="489"/>
      <c r="R498" s="489"/>
      <c r="S498" s="489"/>
      <c r="T498" s="489"/>
      <c r="U498" s="489"/>
      <c r="V498" s="489"/>
      <c r="W498" s="489"/>
    </row>
    <row r="499" spans="1:23">
      <c r="A499" s="489"/>
      <c r="B499" s="489"/>
      <c r="C499" s="489"/>
      <c r="D499" s="489"/>
      <c r="E499" s="489"/>
      <c r="F499" s="489"/>
      <c r="G499" s="489"/>
      <c r="H499" s="489"/>
      <c r="I499" s="489"/>
      <c r="J499" s="489"/>
      <c r="K499" s="489"/>
      <c r="L499" s="489"/>
      <c r="M499" s="489"/>
      <c r="N499" s="489"/>
      <c r="O499" s="489"/>
      <c r="P499" s="489"/>
      <c r="Q499" s="489"/>
      <c r="R499" s="489"/>
      <c r="S499" s="489"/>
      <c r="T499" s="489"/>
      <c r="U499" s="489"/>
      <c r="V499" s="489"/>
      <c r="W499" s="489"/>
    </row>
    <row r="500" spans="1:23">
      <c r="A500" s="489"/>
      <c r="B500" s="489"/>
      <c r="C500" s="489"/>
      <c r="D500" s="489"/>
      <c r="E500" s="489"/>
      <c r="F500" s="489"/>
      <c r="G500" s="489"/>
      <c r="H500" s="489"/>
      <c r="I500" s="489"/>
      <c r="J500" s="489"/>
      <c r="K500" s="489"/>
      <c r="L500" s="489"/>
      <c r="M500" s="489"/>
      <c r="N500" s="489"/>
      <c r="O500" s="489"/>
      <c r="P500" s="489"/>
      <c r="Q500" s="489"/>
      <c r="R500" s="489"/>
      <c r="S500" s="489"/>
      <c r="T500" s="489"/>
      <c r="U500" s="489"/>
      <c r="V500" s="489"/>
      <c r="W500" s="489"/>
    </row>
    <row r="501" spans="1:23">
      <c r="A501" s="489"/>
      <c r="B501" s="489"/>
      <c r="C501" s="489"/>
      <c r="D501" s="489"/>
      <c r="E501" s="489"/>
      <c r="F501" s="489"/>
      <c r="G501" s="489"/>
      <c r="H501" s="489"/>
      <c r="I501" s="489"/>
      <c r="J501" s="489"/>
      <c r="K501" s="489"/>
      <c r="L501" s="489"/>
      <c r="M501" s="489"/>
      <c r="N501" s="489"/>
      <c r="O501" s="489"/>
      <c r="P501" s="489"/>
      <c r="Q501" s="489"/>
      <c r="R501" s="489"/>
      <c r="S501" s="489"/>
      <c r="T501" s="489"/>
      <c r="U501" s="489"/>
      <c r="V501" s="489"/>
      <c r="W501" s="489"/>
    </row>
    <row r="502" spans="1:23">
      <c r="A502" s="489"/>
      <c r="B502" s="489"/>
      <c r="C502" s="489"/>
      <c r="D502" s="489"/>
      <c r="E502" s="489"/>
      <c r="F502" s="489"/>
      <c r="G502" s="489"/>
      <c r="H502" s="489"/>
      <c r="I502" s="489"/>
      <c r="J502" s="489"/>
      <c r="K502" s="489"/>
      <c r="L502" s="489"/>
      <c r="M502" s="489"/>
      <c r="N502" s="489"/>
      <c r="O502" s="489"/>
      <c r="P502" s="489"/>
      <c r="Q502" s="489"/>
      <c r="R502" s="489"/>
      <c r="S502" s="489"/>
      <c r="T502" s="489"/>
      <c r="U502" s="489"/>
      <c r="V502" s="489"/>
      <c r="W502" s="489"/>
    </row>
    <row r="503" spans="1:23">
      <c r="A503" s="489"/>
      <c r="B503" s="489"/>
      <c r="C503" s="489"/>
      <c r="D503" s="489"/>
      <c r="E503" s="489"/>
      <c r="F503" s="489"/>
      <c r="G503" s="489"/>
      <c r="H503" s="489"/>
      <c r="I503" s="489"/>
      <c r="J503" s="489"/>
      <c r="K503" s="489"/>
      <c r="L503" s="489"/>
      <c r="M503" s="489"/>
      <c r="N503" s="489"/>
      <c r="O503" s="489"/>
      <c r="P503" s="489"/>
      <c r="Q503" s="489"/>
      <c r="R503" s="489"/>
      <c r="S503" s="489"/>
      <c r="T503" s="489"/>
      <c r="U503" s="489"/>
      <c r="V503" s="489"/>
      <c r="W503" s="489"/>
    </row>
    <row r="504" spans="1:23">
      <c r="A504" s="489"/>
      <c r="B504" s="489"/>
      <c r="C504" s="489"/>
      <c r="D504" s="489"/>
      <c r="E504" s="489"/>
      <c r="F504" s="489"/>
      <c r="G504" s="489"/>
      <c r="H504" s="489"/>
      <c r="I504" s="489"/>
      <c r="J504" s="489"/>
      <c r="K504" s="489"/>
      <c r="L504" s="489"/>
      <c r="M504" s="489"/>
      <c r="N504" s="489"/>
      <c r="O504" s="489"/>
      <c r="P504" s="489"/>
      <c r="Q504" s="489"/>
      <c r="R504" s="489"/>
      <c r="S504" s="489"/>
      <c r="T504" s="489"/>
      <c r="U504" s="489"/>
      <c r="V504" s="489"/>
      <c r="W504" s="489"/>
    </row>
    <row r="505" spans="1:23">
      <c r="A505" s="489"/>
      <c r="B505" s="489"/>
      <c r="C505" s="489"/>
      <c r="D505" s="489"/>
      <c r="E505" s="489"/>
      <c r="F505" s="489"/>
      <c r="G505" s="489"/>
      <c r="H505" s="489"/>
      <c r="I505" s="489"/>
      <c r="J505" s="489"/>
      <c r="K505" s="489"/>
      <c r="L505" s="489"/>
      <c r="M505" s="489"/>
      <c r="N505" s="489"/>
      <c r="O505" s="489"/>
      <c r="P505" s="489"/>
      <c r="Q505" s="489"/>
      <c r="R505" s="489"/>
      <c r="S505" s="489"/>
      <c r="T505" s="489"/>
      <c r="U505" s="489"/>
      <c r="V505" s="489"/>
      <c r="W505" s="489"/>
    </row>
    <row r="506" spans="1:23">
      <c r="A506" s="489"/>
      <c r="B506" s="489"/>
      <c r="C506" s="489"/>
      <c r="D506" s="489"/>
      <c r="E506" s="489"/>
      <c r="F506" s="489"/>
      <c r="G506" s="489"/>
      <c r="H506" s="489"/>
      <c r="I506" s="489"/>
      <c r="J506" s="489"/>
      <c r="K506" s="489"/>
      <c r="L506" s="489"/>
      <c r="M506" s="489"/>
      <c r="N506" s="489"/>
      <c r="O506" s="489"/>
      <c r="P506" s="489"/>
      <c r="Q506" s="489"/>
      <c r="R506" s="489"/>
      <c r="S506" s="489"/>
      <c r="T506" s="489"/>
      <c r="U506" s="489"/>
      <c r="V506" s="489"/>
      <c r="W506" s="489"/>
    </row>
    <row r="507" spans="1:23">
      <c r="A507" s="489"/>
      <c r="B507" s="489"/>
      <c r="C507" s="489"/>
      <c r="D507" s="489"/>
      <c r="E507" s="489"/>
      <c r="F507" s="489"/>
      <c r="G507" s="489"/>
      <c r="H507" s="489"/>
      <c r="I507" s="489"/>
      <c r="J507" s="489"/>
      <c r="K507" s="489"/>
      <c r="L507" s="489"/>
      <c r="M507" s="489"/>
      <c r="N507" s="489"/>
      <c r="O507" s="489"/>
      <c r="P507" s="489"/>
      <c r="Q507" s="489"/>
      <c r="R507" s="489"/>
      <c r="S507" s="489"/>
      <c r="T507" s="489"/>
      <c r="U507" s="489"/>
      <c r="V507" s="489"/>
      <c r="W507" s="489"/>
    </row>
    <row r="508" spans="1:23">
      <c r="A508" s="489"/>
      <c r="B508" s="489"/>
      <c r="C508" s="489"/>
      <c r="D508" s="489"/>
      <c r="E508" s="489"/>
      <c r="F508" s="489"/>
      <c r="G508" s="489"/>
      <c r="H508" s="489"/>
      <c r="I508" s="489"/>
      <c r="J508" s="489"/>
      <c r="K508" s="489"/>
      <c r="L508" s="489"/>
      <c r="M508" s="489"/>
      <c r="N508" s="489"/>
      <c r="O508" s="489"/>
      <c r="P508" s="489"/>
      <c r="Q508" s="489"/>
      <c r="R508" s="489"/>
      <c r="S508" s="489"/>
      <c r="T508" s="489"/>
      <c r="U508" s="489"/>
      <c r="V508" s="489"/>
      <c r="W508" s="489"/>
    </row>
    <row r="509" spans="1:23">
      <c r="A509" s="489"/>
      <c r="B509" s="489"/>
      <c r="C509" s="489"/>
      <c r="D509" s="489"/>
      <c r="E509" s="489"/>
      <c r="F509" s="489"/>
      <c r="G509" s="489"/>
      <c r="H509" s="489"/>
      <c r="I509" s="489"/>
      <c r="J509" s="489"/>
      <c r="K509" s="489"/>
      <c r="L509" s="489"/>
      <c r="M509" s="489"/>
      <c r="N509" s="489"/>
      <c r="O509" s="489"/>
      <c r="P509" s="489"/>
      <c r="Q509" s="489"/>
      <c r="R509" s="489"/>
      <c r="S509" s="489"/>
      <c r="T509" s="489"/>
      <c r="U509" s="489"/>
      <c r="V509" s="489"/>
      <c r="W509" s="489"/>
    </row>
    <row r="510" spans="1:23">
      <c r="A510" s="489"/>
      <c r="B510" s="489"/>
      <c r="C510" s="489"/>
      <c r="D510" s="489"/>
      <c r="E510" s="489"/>
      <c r="F510" s="489"/>
      <c r="G510" s="489"/>
      <c r="H510" s="489"/>
      <c r="I510" s="489"/>
      <c r="J510" s="489"/>
      <c r="K510" s="489"/>
      <c r="L510" s="489"/>
      <c r="M510" s="489"/>
      <c r="N510" s="489"/>
      <c r="O510" s="489"/>
      <c r="P510" s="489"/>
      <c r="Q510" s="489"/>
      <c r="R510" s="489"/>
      <c r="S510" s="489"/>
      <c r="T510" s="489"/>
      <c r="U510" s="489"/>
      <c r="V510" s="489"/>
      <c r="W510" s="489"/>
    </row>
    <row r="511" spans="1:23">
      <c r="A511" s="489"/>
      <c r="B511" s="489"/>
      <c r="C511" s="489"/>
      <c r="D511" s="489"/>
      <c r="E511" s="489"/>
      <c r="F511" s="489"/>
      <c r="G511" s="489"/>
      <c r="H511" s="489"/>
      <c r="I511" s="489"/>
      <c r="J511" s="489"/>
      <c r="K511" s="489"/>
      <c r="L511" s="489"/>
      <c r="M511" s="489"/>
      <c r="N511" s="489"/>
      <c r="O511" s="489"/>
      <c r="P511" s="489"/>
      <c r="Q511" s="489"/>
      <c r="R511" s="489"/>
      <c r="S511" s="489"/>
      <c r="T511" s="489"/>
      <c r="U511" s="489"/>
      <c r="V511" s="489"/>
      <c r="W511" s="489"/>
    </row>
    <row r="512" spans="1:23">
      <c r="A512" s="489"/>
      <c r="B512" s="489"/>
      <c r="C512" s="489"/>
      <c r="D512" s="489"/>
      <c r="E512" s="489"/>
      <c r="F512" s="489"/>
      <c r="G512" s="489"/>
      <c r="H512" s="489"/>
      <c r="I512" s="489"/>
      <c r="J512" s="489"/>
      <c r="K512" s="489"/>
      <c r="L512" s="489"/>
      <c r="M512" s="489"/>
      <c r="N512" s="489"/>
      <c r="O512" s="489"/>
      <c r="P512" s="489"/>
      <c r="Q512" s="489"/>
      <c r="R512" s="489"/>
      <c r="S512" s="489"/>
      <c r="T512" s="489"/>
      <c r="U512" s="489"/>
      <c r="V512" s="489"/>
      <c r="W512" s="489"/>
    </row>
    <row r="513" spans="1:23">
      <c r="A513" s="489"/>
      <c r="B513" s="489"/>
      <c r="C513" s="489"/>
      <c r="D513" s="489"/>
      <c r="E513" s="489"/>
      <c r="F513" s="489"/>
      <c r="G513" s="489"/>
      <c r="H513" s="489"/>
      <c r="I513" s="489"/>
      <c r="J513" s="489"/>
      <c r="K513" s="489"/>
      <c r="L513" s="489"/>
      <c r="M513" s="489"/>
      <c r="N513" s="489"/>
      <c r="O513" s="489"/>
      <c r="P513" s="489"/>
      <c r="Q513" s="489"/>
      <c r="R513" s="489"/>
      <c r="S513" s="489"/>
      <c r="T513" s="489"/>
      <c r="U513" s="489"/>
      <c r="V513" s="489"/>
      <c r="W513" s="489"/>
    </row>
    <row r="514" spans="1:23">
      <c r="A514" s="489"/>
      <c r="B514" s="489"/>
      <c r="C514" s="489"/>
      <c r="D514" s="489"/>
      <c r="E514" s="489"/>
      <c r="F514" s="489"/>
      <c r="G514" s="489"/>
      <c r="H514" s="489"/>
      <c r="I514" s="489"/>
      <c r="J514" s="489"/>
      <c r="K514" s="489"/>
      <c r="L514" s="489"/>
      <c r="M514" s="489"/>
      <c r="N514" s="489"/>
      <c r="O514" s="489"/>
      <c r="P514" s="489"/>
      <c r="Q514" s="489"/>
      <c r="R514" s="489"/>
      <c r="S514" s="489"/>
      <c r="T514" s="489"/>
      <c r="U514" s="489"/>
      <c r="V514" s="489"/>
      <c r="W514" s="489"/>
    </row>
    <row r="515" spans="1:23">
      <c r="A515" s="489"/>
      <c r="B515" s="489"/>
      <c r="C515" s="489"/>
      <c r="D515" s="489"/>
      <c r="E515" s="489"/>
      <c r="F515" s="489"/>
      <c r="G515" s="489"/>
      <c r="H515" s="489"/>
      <c r="I515" s="489"/>
      <c r="J515" s="489"/>
      <c r="K515" s="489"/>
      <c r="L515" s="489"/>
      <c r="M515" s="489"/>
      <c r="N515" s="489"/>
      <c r="O515" s="489"/>
      <c r="P515" s="489"/>
      <c r="Q515" s="489"/>
      <c r="R515" s="489"/>
      <c r="S515" s="489"/>
      <c r="T515" s="489"/>
      <c r="U515" s="489"/>
      <c r="V515" s="489"/>
      <c r="W515" s="489"/>
    </row>
    <row r="516" spans="1:23">
      <c r="A516" s="489"/>
      <c r="B516" s="489"/>
      <c r="C516" s="489"/>
      <c r="D516" s="489"/>
      <c r="E516" s="489"/>
      <c r="F516" s="489"/>
      <c r="G516" s="489"/>
      <c r="H516" s="489"/>
      <c r="I516" s="489"/>
      <c r="J516" s="489"/>
      <c r="K516" s="489"/>
      <c r="L516" s="489"/>
      <c r="M516" s="489"/>
      <c r="N516" s="489"/>
      <c r="O516" s="489"/>
      <c r="P516" s="489"/>
      <c r="Q516" s="489"/>
      <c r="R516" s="489"/>
      <c r="S516" s="489"/>
      <c r="T516" s="489"/>
      <c r="U516" s="489"/>
      <c r="V516" s="489"/>
      <c r="W516" s="489"/>
    </row>
    <row r="517" spans="1:23">
      <c r="A517" s="489"/>
      <c r="B517" s="489"/>
      <c r="C517" s="489"/>
      <c r="D517" s="489"/>
      <c r="E517" s="489"/>
      <c r="F517" s="489"/>
      <c r="G517" s="489"/>
      <c r="H517" s="489"/>
      <c r="I517" s="489"/>
      <c r="J517" s="489"/>
      <c r="K517" s="489"/>
      <c r="L517" s="489"/>
      <c r="M517" s="489"/>
      <c r="N517" s="489"/>
      <c r="O517" s="489"/>
      <c r="P517" s="489"/>
      <c r="Q517" s="489"/>
      <c r="R517" s="489"/>
      <c r="S517" s="489"/>
      <c r="T517" s="489"/>
      <c r="U517" s="489"/>
      <c r="V517" s="489"/>
      <c r="W517" s="489"/>
    </row>
    <row r="518" spans="1:23">
      <c r="A518" s="489"/>
      <c r="B518" s="489"/>
      <c r="C518" s="489"/>
      <c r="D518" s="489"/>
      <c r="E518" s="489"/>
      <c r="F518" s="489"/>
      <c r="G518" s="489"/>
      <c r="H518" s="489"/>
      <c r="I518" s="489"/>
      <c r="J518" s="489"/>
      <c r="K518" s="489"/>
      <c r="L518" s="489"/>
      <c r="M518" s="489"/>
      <c r="N518" s="489"/>
      <c r="O518" s="489"/>
      <c r="P518" s="489"/>
      <c r="Q518" s="489"/>
      <c r="R518" s="489"/>
      <c r="S518" s="489"/>
      <c r="T518" s="489"/>
      <c r="U518" s="489"/>
      <c r="V518" s="489"/>
      <c r="W518" s="489"/>
    </row>
    <row r="519" spans="1:23">
      <c r="A519" s="489"/>
      <c r="B519" s="489"/>
      <c r="C519" s="489"/>
      <c r="D519" s="489"/>
      <c r="E519" s="489"/>
      <c r="F519" s="489"/>
      <c r="G519" s="489"/>
      <c r="H519" s="489"/>
      <c r="I519" s="489"/>
      <c r="J519" s="489"/>
      <c r="K519" s="489"/>
      <c r="L519" s="489"/>
      <c r="M519" s="489"/>
      <c r="N519" s="489"/>
      <c r="O519" s="489"/>
      <c r="P519" s="489"/>
      <c r="Q519" s="489"/>
      <c r="R519" s="489"/>
      <c r="S519" s="489"/>
      <c r="T519" s="489"/>
      <c r="U519" s="489"/>
      <c r="V519" s="489"/>
      <c r="W519" s="489"/>
    </row>
    <row r="520" spans="1:23">
      <c r="A520" s="489"/>
      <c r="B520" s="489"/>
      <c r="C520" s="489"/>
      <c r="D520" s="489"/>
      <c r="E520" s="489"/>
      <c r="F520" s="489"/>
      <c r="G520" s="489"/>
      <c r="H520" s="489"/>
      <c r="I520" s="489"/>
      <c r="J520" s="489"/>
      <c r="K520" s="489"/>
      <c r="L520" s="489"/>
      <c r="M520" s="489"/>
      <c r="N520" s="489"/>
      <c r="O520" s="489"/>
      <c r="P520" s="489"/>
      <c r="Q520" s="489"/>
      <c r="R520" s="489"/>
      <c r="S520" s="489"/>
      <c r="T520" s="489"/>
      <c r="U520" s="489"/>
      <c r="V520" s="489"/>
      <c r="W520" s="489"/>
    </row>
    <row r="521" spans="1:23">
      <c r="A521" s="489"/>
      <c r="B521" s="489"/>
      <c r="C521" s="489"/>
      <c r="D521" s="489"/>
      <c r="E521" s="489"/>
      <c r="F521" s="489"/>
      <c r="G521" s="489"/>
      <c r="H521" s="489"/>
      <c r="I521" s="489"/>
      <c r="J521" s="489"/>
      <c r="K521" s="489"/>
      <c r="L521" s="489"/>
      <c r="M521" s="489"/>
      <c r="N521" s="489"/>
      <c r="O521" s="489"/>
      <c r="P521" s="489"/>
      <c r="Q521" s="489"/>
      <c r="R521" s="489"/>
      <c r="S521" s="489"/>
      <c r="T521" s="489"/>
      <c r="U521" s="489"/>
      <c r="V521" s="489"/>
      <c r="W521" s="489"/>
    </row>
    <row r="522" spans="1:23">
      <c r="A522" s="489"/>
      <c r="B522" s="489"/>
      <c r="C522" s="489"/>
      <c r="D522" s="489"/>
      <c r="E522" s="489"/>
      <c r="F522" s="489"/>
      <c r="G522" s="489"/>
      <c r="H522" s="489"/>
      <c r="I522" s="489"/>
      <c r="J522" s="489"/>
      <c r="K522" s="489"/>
      <c r="L522" s="489"/>
      <c r="M522" s="489"/>
      <c r="N522" s="489"/>
      <c r="O522" s="489"/>
      <c r="P522" s="489"/>
      <c r="Q522" s="489"/>
      <c r="R522" s="489"/>
      <c r="S522" s="489"/>
      <c r="T522" s="489"/>
      <c r="U522" s="489"/>
      <c r="V522" s="489"/>
      <c r="W522" s="489"/>
    </row>
    <row r="523" spans="1:23">
      <c r="A523" s="489"/>
      <c r="B523" s="489"/>
      <c r="C523" s="489"/>
      <c r="D523" s="489"/>
      <c r="E523" s="489"/>
      <c r="F523" s="489"/>
      <c r="G523" s="489"/>
      <c r="H523" s="489"/>
      <c r="I523" s="489"/>
      <c r="J523" s="489"/>
      <c r="K523" s="489"/>
      <c r="L523" s="489"/>
      <c r="M523" s="489"/>
      <c r="N523" s="489"/>
      <c r="O523" s="489"/>
      <c r="P523" s="489"/>
      <c r="Q523" s="489"/>
      <c r="R523" s="489"/>
      <c r="S523" s="489"/>
      <c r="T523" s="489"/>
      <c r="U523" s="489"/>
      <c r="V523" s="489"/>
      <c r="W523" s="489"/>
    </row>
    <row r="524" spans="1:23">
      <c r="A524" s="489"/>
      <c r="B524" s="489"/>
      <c r="C524" s="489"/>
      <c r="D524" s="489"/>
      <c r="E524" s="489"/>
      <c r="F524" s="489"/>
      <c r="G524" s="489"/>
      <c r="H524" s="489"/>
      <c r="I524" s="489"/>
      <c r="J524" s="489"/>
      <c r="K524" s="489"/>
      <c r="L524" s="489"/>
      <c r="M524" s="489"/>
      <c r="N524" s="489"/>
      <c r="O524" s="489"/>
      <c r="P524" s="489"/>
      <c r="Q524" s="489"/>
      <c r="R524" s="489"/>
      <c r="S524" s="489"/>
      <c r="T524" s="489"/>
      <c r="U524" s="489"/>
      <c r="V524" s="489"/>
      <c r="W524" s="489"/>
    </row>
    <row r="525" spans="1:23">
      <c r="A525" s="489"/>
      <c r="B525" s="489"/>
      <c r="C525" s="489"/>
      <c r="D525" s="489"/>
      <c r="E525" s="489"/>
      <c r="F525" s="489"/>
      <c r="G525" s="489"/>
      <c r="H525" s="489"/>
      <c r="I525" s="489"/>
      <c r="J525" s="489"/>
      <c r="K525" s="489"/>
      <c r="L525" s="489"/>
      <c r="M525" s="489"/>
      <c r="N525" s="489"/>
      <c r="O525" s="489"/>
      <c r="P525" s="489"/>
      <c r="Q525" s="489"/>
      <c r="R525" s="489"/>
      <c r="S525" s="489"/>
      <c r="T525" s="489"/>
      <c r="U525" s="489"/>
      <c r="V525" s="489"/>
      <c r="W525" s="489"/>
    </row>
    <row r="526" spans="1:23">
      <c r="A526" s="489"/>
      <c r="B526" s="489"/>
      <c r="C526" s="489"/>
      <c r="D526" s="489"/>
      <c r="E526" s="489"/>
      <c r="F526" s="489"/>
      <c r="G526" s="489"/>
      <c r="H526" s="489"/>
      <c r="I526" s="489"/>
      <c r="J526" s="489"/>
      <c r="K526" s="489"/>
      <c r="L526" s="489"/>
      <c r="M526" s="489"/>
      <c r="N526" s="489"/>
      <c r="O526" s="489"/>
      <c r="P526" s="489"/>
      <c r="Q526" s="489"/>
      <c r="R526" s="489"/>
      <c r="S526" s="489"/>
      <c r="T526" s="489"/>
      <c r="U526" s="489"/>
      <c r="V526" s="489"/>
      <c r="W526" s="489"/>
    </row>
    <row r="527" spans="1:23">
      <c r="A527" s="489"/>
      <c r="B527" s="489"/>
      <c r="C527" s="489"/>
      <c r="D527" s="489"/>
      <c r="E527" s="489"/>
      <c r="F527" s="489"/>
      <c r="G527" s="489"/>
      <c r="H527" s="489"/>
      <c r="I527" s="489"/>
      <c r="J527" s="489"/>
      <c r="K527" s="489"/>
      <c r="L527" s="489"/>
      <c r="M527" s="489"/>
      <c r="N527" s="489"/>
      <c r="O527" s="489"/>
      <c r="P527" s="489"/>
      <c r="Q527" s="489"/>
      <c r="R527" s="489"/>
      <c r="S527" s="489"/>
      <c r="T527" s="489"/>
      <c r="U527" s="489"/>
      <c r="V527" s="489"/>
      <c r="W527" s="489"/>
    </row>
    <row r="528" spans="1:23">
      <c r="A528" s="489"/>
      <c r="B528" s="489"/>
      <c r="C528" s="489"/>
      <c r="D528" s="489"/>
      <c r="E528" s="489"/>
      <c r="F528" s="489"/>
      <c r="G528" s="489"/>
      <c r="H528" s="489"/>
      <c r="I528" s="489"/>
      <c r="J528" s="489"/>
      <c r="K528" s="489"/>
      <c r="L528" s="489"/>
      <c r="M528" s="489"/>
      <c r="N528" s="489"/>
      <c r="O528" s="489"/>
      <c r="P528" s="489"/>
      <c r="Q528" s="489"/>
      <c r="R528" s="489"/>
      <c r="S528" s="489"/>
      <c r="T528" s="489"/>
      <c r="U528" s="489"/>
      <c r="V528" s="489"/>
      <c r="W528" s="489"/>
    </row>
    <row r="529" spans="1:23">
      <c r="A529" s="489"/>
      <c r="B529" s="489"/>
      <c r="C529" s="489"/>
      <c r="D529" s="489"/>
      <c r="E529" s="489"/>
      <c r="F529" s="489"/>
      <c r="G529" s="489"/>
      <c r="H529" s="489"/>
      <c r="I529" s="489"/>
      <c r="J529" s="489"/>
      <c r="K529" s="489"/>
      <c r="L529" s="489"/>
      <c r="M529" s="489"/>
      <c r="N529" s="489"/>
      <c r="O529" s="489"/>
      <c r="P529" s="489"/>
      <c r="Q529" s="489"/>
      <c r="R529" s="489"/>
      <c r="S529" s="489"/>
      <c r="T529" s="489"/>
      <c r="U529" s="489"/>
      <c r="V529" s="489"/>
      <c r="W529" s="489"/>
    </row>
    <row r="530" spans="1:23">
      <c r="A530" s="489"/>
      <c r="B530" s="489"/>
      <c r="C530" s="489"/>
      <c r="D530" s="489"/>
      <c r="E530" s="489"/>
      <c r="F530" s="489"/>
      <c r="G530" s="489"/>
      <c r="H530" s="489"/>
      <c r="I530" s="489"/>
      <c r="J530" s="489"/>
      <c r="K530" s="489"/>
      <c r="L530" s="489"/>
      <c r="M530" s="489"/>
      <c r="N530" s="489"/>
      <c r="O530" s="489"/>
      <c r="P530" s="489"/>
      <c r="Q530" s="489"/>
      <c r="R530" s="489"/>
      <c r="S530" s="489"/>
      <c r="T530" s="489"/>
      <c r="U530" s="489"/>
      <c r="V530" s="489"/>
      <c r="W530" s="489"/>
    </row>
    <row r="531" spans="1:23">
      <c r="A531" s="489"/>
      <c r="B531" s="489"/>
      <c r="C531" s="489"/>
      <c r="D531" s="489"/>
      <c r="E531" s="489"/>
      <c r="F531" s="489"/>
      <c r="G531" s="489"/>
      <c r="H531" s="489"/>
      <c r="I531" s="489"/>
      <c r="J531" s="489"/>
      <c r="K531" s="489"/>
      <c r="L531" s="489"/>
      <c r="M531" s="489"/>
      <c r="N531" s="489"/>
      <c r="O531" s="489"/>
      <c r="P531" s="489"/>
      <c r="Q531" s="489"/>
      <c r="R531" s="489"/>
      <c r="S531" s="489"/>
      <c r="T531" s="489"/>
      <c r="U531" s="489"/>
      <c r="V531" s="489"/>
      <c r="W531" s="489"/>
    </row>
    <row r="532" spans="1:23">
      <c r="A532" s="489"/>
      <c r="B532" s="489"/>
      <c r="C532" s="489"/>
      <c r="D532" s="489"/>
      <c r="E532" s="489"/>
      <c r="F532" s="489"/>
      <c r="G532" s="489"/>
      <c r="H532" s="489"/>
      <c r="I532" s="489"/>
      <c r="J532" s="489"/>
      <c r="K532" s="489"/>
      <c r="L532" s="489"/>
      <c r="M532" s="489"/>
      <c r="N532" s="489"/>
      <c r="O532" s="489"/>
      <c r="P532" s="489"/>
      <c r="Q532" s="489"/>
      <c r="R532" s="489"/>
      <c r="S532" s="489"/>
      <c r="T532" s="489"/>
      <c r="U532" s="489"/>
      <c r="V532" s="489"/>
      <c r="W532" s="489"/>
    </row>
    <row r="533" spans="1:23">
      <c r="A533" s="489"/>
      <c r="B533" s="489"/>
      <c r="C533" s="489"/>
      <c r="D533" s="489"/>
      <c r="E533" s="489"/>
      <c r="F533" s="489"/>
      <c r="G533" s="489"/>
      <c r="H533" s="489"/>
      <c r="I533" s="489"/>
      <c r="J533" s="489"/>
      <c r="K533" s="489"/>
      <c r="L533" s="489"/>
      <c r="M533" s="489"/>
      <c r="N533" s="489"/>
      <c r="O533" s="489"/>
      <c r="P533" s="489"/>
      <c r="Q533" s="489"/>
      <c r="R533" s="489"/>
      <c r="S533" s="489"/>
      <c r="T533" s="489"/>
      <c r="U533" s="489"/>
      <c r="V533" s="489"/>
      <c r="W533" s="489"/>
    </row>
    <row r="534" spans="1:23">
      <c r="A534" s="489"/>
      <c r="B534" s="489"/>
      <c r="C534" s="489"/>
      <c r="D534" s="489"/>
      <c r="E534" s="489"/>
      <c r="F534" s="489"/>
      <c r="G534" s="489"/>
      <c r="H534" s="489"/>
      <c r="I534" s="489"/>
      <c r="J534" s="489"/>
      <c r="K534" s="489"/>
      <c r="L534" s="489"/>
      <c r="M534" s="489"/>
      <c r="N534" s="489"/>
      <c r="O534" s="489"/>
      <c r="P534" s="489"/>
      <c r="Q534" s="489"/>
      <c r="R534" s="489"/>
      <c r="S534" s="489"/>
      <c r="T534" s="489"/>
      <c r="U534" s="489"/>
      <c r="V534" s="489"/>
      <c r="W534" s="489"/>
    </row>
    <row r="535" spans="1:23">
      <c r="A535" s="489"/>
      <c r="B535" s="489"/>
      <c r="C535" s="489"/>
      <c r="D535" s="489"/>
      <c r="E535" s="489"/>
      <c r="F535" s="489"/>
      <c r="G535" s="489"/>
      <c r="H535" s="489"/>
      <c r="I535" s="489"/>
      <c r="J535" s="489"/>
      <c r="K535" s="489"/>
      <c r="L535" s="489"/>
      <c r="M535" s="489"/>
      <c r="N535" s="489"/>
      <c r="O535" s="489"/>
      <c r="P535" s="489"/>
      <c r="Q535" s="489"/>
      <c r="R535" s="489"/>
      <c r="S535" s="489"/>
      <c r="T535" s="489"/>
      <c r="U535" s="489"/>
      <c r="V535" s="489"/>
      <c r="W535" s="489"/>
    </row>
    <row r="536" spans="1:23">
      <c r="A536" s="489"/>
      <c r="B536" s="489"/>
      <c r="C536" s="489"/>
      <c r="D536" s="489"/>
      <c r="E536" s="489"/>
      <c r="F536" s="489"/>
      <c r="G536" s="489"/>
      <c r="H536" s="489"/>
      <c r="I536" s="489"/>
      <c r="J536" s="489"/>
      <c r="K536" s="489"/>
      <c r="L536" s="489"/>
      <c r="M536" s="489"/>
      <c r="N536" s="489"/>
      <c r="O536" s="489"/>
      <c r="P536" s="489"/>
      <c r="Q536" s="489"/>
      <c r="R536" s="489"/>
      <c r="S536" s="489"/>
      <c r="T536" s="489"/>
      <c r="U536" s="489"/>
      <c r="V536" s="489"/>
      <c r="W536" s="489"/>
    </row>
    <row r="537" spans="1:23">
      <c r="A537" s="489"/>
      <c r="B537" s="489"/>
      <c r="C537" s="489"/>
      <c r="D537" s="489"/>
      <c r="E537" s="489"/>
      <c r="F537" s="489"/>
      <c r="G537" s="489"/>
      <c r="H537" s="489"/>
      <c r="I537" s="489"/>
      <c r="J537" s="489"/>
      <c r="K537" s="489"/>
      <c r="L537" s="489"/>
      <c r="M537" s="489"/>
      <c r="N537" s="489"/>
      <c r="O537" s="489"/>
      <c r="P537" s="489"/>
      <c r="Q537" s="489"/>
      <c r="R537" s="489"/>
      <c r="S537" s="489"/>
      <c r="T537" s="489"/>
      <c r="U537" s="489"/>
      <c r="V537" s="489"/>
      <c r="W537" s="489"/>
    </row>
    <row r="538" spans="1:23">
      <c r="A538" s="489"/>
      <c r="B538" s="489"/>
      <c r="C538" s="489"/>
      <c r="D538" s="489"/>
      <c r="E538" s="489"/>
      <c r="F538" s="489"/>
      <c r="G538" s="489"/>
      <c r="H538" s="489"/>
      <c r="I538" s="489"/>
      <c r="J538" s="489"/>
      <c r="K538" s="489"/>
      <c r="L538" s="489"/>
      <c r="M538" s="489"/>
      <c r="N538" s="489"/>
      <c r="O538" s="489"/>
      <c r="P538" s="489"/>
      <c r="Q538" s="489"/>
      <c r="R538" s="489"/>
      <c r="S538" s="489"/>
      <c r="T538" s="489"/>
      <c r="U538" s="489"/>
      <c r="V538" s="489"/>
      <c r="W538" s="489"/>
    </row>
    <row r="539" spans="1:23">
      <c r="A539" s="489"/>
      <c r="B539" s="489"/>
      <c r="C539" s="489"/>
      <c r="D539" s="489"/>
      <c r="E539" s="489"/>
      <c r="F539" s="489"/>
      <c r="G539" s="489"/>
      <c r="H539" s="489"/>
      <c r="I539" s="489"/>
      <c r="J539" s="489"/>
      <c r="K539" s="489"/>
      <c r="L539" s="489"/>
      <c r="M539" s="489"/>
      <c r="N539" s="489"/>
      <c r="O539" s="489"/>
      <c r="P539" s="489"/>
      <c r="Q539" s="489"/>
      <c r="R539" s="489"/>
      <c r="S539" s="489"/>
      <c r="T539" s="489"/>
      <c r="U539" s="489"/>
      <c r="V539" s="489"/>
      <c r="W539" s="489"/>
    </row>
    <row r="540" spans="1:23">
      <c r="A540" s="489"/>
      <c r="B540" s="489"/>
      <c r="C540" s="489"/>
      <c r="D540" s="489"/>
      <c r="E540" s="489"/>
      <c r="F540" s="489"/>
      <c r="G540" s="489"/>
      <c r="H540" s="489"/>
      <c r="I540" s="489"/>
      <c r="J540" s="489"/>
      <c r="K540" s="489"/>
      <c r="L540" s="489"/>
      <c r="M540" s="489"/>
      <c r="N540" s="489"/>
      <c r="O540" s="489"/>
      <c r="P540" s="489"/>
      <c r="Q540" s="489"/>
      <c r="R540" s="489"/>
      <c r="S540" s="489"/>
      <c r="T540" s="489"/>
      <c r="U540" s="489"/>
      <c r="V540" s="489"/>
      <c r="W540" s="489"/>
    </row>
    <row r="541" spans="1:23">
      <c r="A541" s="489"/>
      <c r="B541" s="489"/>
      <c r="C541" s="489"/>
      <c r="D541" s="489"/>
      <c r="E541" s="489"/>
      <c r="F541" s="489"/>
      <c r="G541" s="489"/>
      <c r="H541" s="489"/>
      <c r="I541" s="489"/>
      <c r="J541" s="489"/>
      <c r="K541" s="489"/>
      <c r="L541" s="489"/>
      <c r="M541" s="489"/>
      <c r="N541" s="489"/>
      <c r="O541" s="489"/>
      <c r="P541" s="489"/>
      <c r="Q541" s="489"/>
      <c r="R541" s="489"/>
      <c r="S541" s="489"/>
      <c r="T541" s="489"/>
      <c r="U541" s="489"/>
      <c r="V541" s="489"/>
      <c r="W541" s="489"/>
    </row>
    <row r="542" spans="1:23">
      <c r="A542" s="489"/>
      <c r="B542" s="489"/>
      <c r="C542" s="489"/>
      <c r="D542" s="489"/>
      <c r="E542" s="489"/>
      <c r="F542" s="489"/>
      <c r="G542" s="489"/>
      <c r="H542" s="489"/>
      <c r="I542" s="489"/>
      <c r="J542" s="489"/>
      <c r="K542" s="489"/>
      <c r="L542" s="489"/>
      <c r="M542" s="489"/>
      <c r="N542" s="489"/>
      <c r="O542" s="489"/>
      <c r="P542" s="489"/>
      <c r="Q542" s="489"/>
      <c r="R542" s="489"/>
      <c r="S542" s="489"/>
      <c r="T542" s="489"/>
      <c r="U542" s="489"/>
      <c r="V542" s="489"/>
      <c r="W542" s="489"/>
    </row>
    <row r="543" spans="1:23">
      <c r="A543" s="489"/>
      <c r="B543" s="489"/>
      <c r="C543" s="489"/>
      <c r="D543" s="489"/>
      <c r="E543" s="489"/>
      <c r="F543" s="489"/>
      <c r="G543" s="489"/>
      <c r="H543" s="489"/>
      <c r="I543" s="489"/>
      <c r="J543" s="489"/>
      <c r="K543" s="489"/>
      <c r="L543" s="489"/>
      <c r="M543" s="489"/>
      <c r="N543" s="489"/>
      <c r="O543" s="489"/>
      <c r="P543" s="489"/>
      <c r="Q543" s="489"/>
      <c r="R543" s="489"/>
      <c r="S543" s="489"/>
      <c r="T543" s="489"/>
      <c r="U543" s="489"/>
      <c r="V543" s="489"/>
      <c r="W543" s="489"/>
    </row>
    <row r="544" spans="1:23">
      <c r="A544" s="489"/>
      <c r="B544" s="489"/>
      <c r="C544" s="489"/>
      <c r="D544" s="489"/>
      <c r="E544" s="489"/>
      <c r="F544" s="489"/>
      <c r="G544" s="489"/>
      <c r="H544" s="489"/>
      <c r="I544" s="489"/>
      <c r="J544" s="489"/>
      <c r="K544" s="489"/>
      <c r="L544" s="489"/>
      <c r="M544" s="489"/>
      <c r="N544" s="489"/>
      <c r="O544" s="489"/>
      <c r="P544" s="489"/>
      <c r="Q544" s="489"/>
      <c r="R544" s="489"/>
      <c r="S544" s="489"/>
      <c r="T544" s="489"/>
      <c r="U544" s="489"/>
      <c r="V544" s="489"/>
      <c r="W544" s="489"/>
    </row>
    <row r="545" spans="1:23">
      <c r="A545" s="489"/>
      <c r="B545" s="489"/>
      <c r="C545" s="489"/>
      <c r="D545" s="489"/>
      <c r="E545" s="489"/>
      <c r="F545" s="489"/>
      <c r="G545" s="489"/>
      <c r="H545" s="489"/>
      <c r="I545" s="489"/>
      <c r="J545" s="489"/>
      <c r="K545" s="489"/>
      <c r="L545" s="489"/>
      <c r="M545" s="489"/>
      <c r="N545" s="489"/>
      <c r="O545" s="489"/>
      <c r="P545" s="489"/>
      <c r="Q545" s="489"/>
      <c r="R545" s="489"/>
      <c r="S545" s="489"/>
      <c r="T545" s="489"/>
      <c r="U545" s="489"/>
      <c r="V545" s="489"/>
      <c r="W545" s="489"/>
    </row>
    <row r="546" spans="1:23">
      <c r="A546" s="489"/>
      <c r="B546" s="489"/>
      <c r="C546" s="489"/>
      <c r="D546" s="489"/>
      <c r="E546" s="489"/>
      <c r="F546" s="489"/>
      <c r="G546" s="489"/>
      <c r="H546" s="489"/>
      <c r="I546" s="489"/>
      <c r="J546" s="489"/>
      <c r="K546" s="489"/>
      <c r="L546" s="489"/>
      <c r="M546" s="489"/>
      <c r="N546" s="489"/>
      <c r="O546" s="489"/>
      <c r="P546" s="489"/>
      <c r="Q546" s="489"/>
      <c r="R546" s="489"/>
      <c r="S546" s="489"/>
      <c r="T546" s="489"/>
      <c r="U546" s="489"/>
      <c r="V546" s="489"/>
      <c r="W546" s="489"/>
    </row>
    <row r="547" spans="1:23">
      <c r="A547" s="489"/>
      <c r="B547" s="489"/>
      <c r="C547" s="489"/>
      <c r="D547" s="489"/>
      <c r="E547" s="489"/>
      <c r="F547" s="489"/>
      <c r="G547" s="489"/>
      <c r="H547" s="489"/>
      <c r="I547" s="489"/>
      <c r="J547" s="489"/>
      <c r="K547" s="489"/>
      <c r="L547" s="489"/>
      <c r="M547" s="489"/>
      <c r="N547" s="489"/>
      <c r="O547" s="489"/>
      <c r="P547" s="489"/>
      <c r="Q547" s="489"/>
      <c r="R547" s="489"/>
      <c r="S547" s="489"/>
      <c r="T547" s="489"/>
      <c r="U547" s="489"/>
      <c r="V547" s="489"/>
      <c r="W547" s="489"/>
    </row>
    <row r="548" spans="1:23">
      <c r="A548" s="489"/>
      <c r="B548" s="489"/>
      <c r="C548" s="489"/>
      <c r="D548" s="489"/>
      <c r="E548" s="489"/>
      <c r="F548" s="489"/>
      <c r="G548" s="489"/>
      <c r="H548" s="489"/>
      <c r="I548" s="489"/>
      <c r="J548" s="489"/>
      <c r="K548" s="489"/>
      <c r="L548" s="489"/>
      <c r="M548" s="489"/>
      <c r="N548" s="489"/>
      <c r="O548" s="489"/>
      <c r="P548" s="489"/>
      <c r="Q548" s="489"/>
      <c r="R548" s="489"/>
      <c r="S548" s="489"/>
      <c r="T548" s="489"/>
      <c r="U548" s="489"/>
      <c r="V548" s="489"/>
      <c r="W548" s="489"/>
    </row>
    <row r="549" spans="1:23">
      <c r="A549" s="489"/>
      <c r="B549" s="489"/>
      <c r="C549" s="489"/>
      <c r="D549" s="489"/>
      <c r="E549" s="489"/>
      <c r="F549" s="489"/>
      <c r="G549" s="489"/>
      <c r="H549" s="489"/>
      <c r="I549" s="489"/>
      <c r="J549" s="489"/>
      <c r="K549" s="489"/>
      <c r="L549" s="489"/>
      <c r="M549" s="489"/>
      <c r="N549" s="489"/>
      <c r="O549" s="489"/>
      <c r="P549" s="489"/>
      <c r="Q549" s="489"/>
      <c r="R549" s="489"/>
      <c r="S549" s="489"/>
      <c r="T549" s="489"/>
      <c r="U549" s="489"/>
      <c r="V549" s="489"/>
      <c r="W549" s="489"/>
    </row>
    <row r="550" spans="1:23">
      <c r="A550" s="489"/>
      <c r="B550" s="489"/>
      <c r="C550" s="489"/>
      <c r="D550" s="489"/>
      <c r="E550" s="489"/>
      <c r="F550" s="489"/>
      <c r="G550" s="489"/>
      <c r="H550" s="489"/>
      <c r="I550" s="489"/>
      <c r="J550" s="489"/>
      <c r="K550" s="489"/>
      <c r="L550" s="489"/>
      <c r="M550" s="489"/>
      <c r="N550" s="489"/>
      <c r="O550" s="489"/>
      <c r="P550" s="489"/>
      <c r="Q550" s="489"/>
      <c r="R550" s="489"/>
      <c r="S550" s="489"/>
      <c r="T550" s="489"/>
      <c r="U550" s="489"/>
      <c r="V550" s="489"/>
      <c r="W550" s="489"/>
    </row>
    <row r="551" spans="1:23">
      <c r="A551" s="489"/>
      <c r="B551" s="489"/>
      <c r="C551" s="489"/>
      <c r="D551" s="489"/>
      <c r="E551" s="489"/>
      <c r="F551" s="489"/>
      <c r="G551" s="489"/>
      <c r="H551" s="489"/>
      <c r="I551" s="489"/>
      <c r="J551" s="489"/>
      <c r="K551" s="489"/>
      <c r="L551" s="489"/>
      <c r="M551" s="489"/>
      <c r="N551" s="489"/>
      <c r="O551" s="489"/>
      <c r="P551" s="489"/>
      <c r="Q551" s="489"/>
      <c r="R551" s="489"/>
      <c r="S551" s="489"/>
      <c r="T551" s="489"/>
      <c r="U551" s="489"/>
      <c r="V551" s="489"/>
      <c r="W551" s="489"/>
    </row>
    <row r="552" spans="1:23">
      <c r="A552" s="489"/>
      <c r="B552" s="489"/>
      <c r="C552" s="489"/>
      <c r="D552" s="489"/>
      <c r="E552" s="489"/>
      <c r="F552" s="489"/>
      <c r="G552" s="489"/>
      <c r="H552" s="489"/>
      <c r="I552" s="489"/>
      <c r="J552" s="489"/>
      <c r="K552" s="489"/>
      <c r="L552" s="489"/>
      <c r="M552" s="489"/>
      <c r="N552" s="489"/>
      <c r="O552" s="489"/>
      <c r="P552" s="489"/>
      <c r="Q552" s="489"/>
      <c r="R552" s="489"/>
      <c r="S552" s="489"/>
      <c r="T552" s="489"/>
      <c r="U552" s="489"/>
      <c r="V552" s="489"/>
      <c r="W552" s="489"/>
    </row>
    <row r="553" spans="1:23">
      <c r="A553" s="489"/>
      <c r="B553" s="489"/>
      <c r="C553" s="489"/>
      <c r="D553" s="489"/>
      <c r="E553" s="489"/>
      <c r="F553" s="489"/>
      <c r="G553" s="489"/>
      <c r="H553" s="489"/>
      <c r="I553" s="489"/>
      <c r="J553" s="489"/>
      <c r="K553" s="489"/>
      <c r="L553" s="489"/>
      <c r="M553" s="489"/>
      <c r="N553" s="489"/>
      <c r="O553" s="489"/>
      <c r="P553" s="489"/>
      <c r="Q553" s="489"/>
      <c r="R553" s="489"/>
      <c r="S553" s="489"/>
      <c r="T553" s="489"/>
      <c r="U553" s="489"/>
      <c r="V553" s="489"/>
      <c r="W553" s="489"/>
    </row>
    <row r="554" spans="1:23">
      <c r="A554" s="489"/>
      <c r="B554" s="489"/>
      <c r="C554" s="489"/>
      <c r="D554" s="489"/>
      <c r="E554" s="489"/>
      <c r="F554" s="489"/>
      <c r="G554" s="489"/>
      <c r="H554" s="489"/>
      <c r="I554" s="489"/>
      <c r="J554" s="489"/>
      <c r="K554" s="489"/>
      <c r="L554" s="489"/>
      <c r="M554" s="489"/>
      <c r="N554" s="489"/>
      <c r="O554" s="489"/>
      <c r="P554" s="489"/>
      <c r="Q554" s="489"/>
      <c r="R554" s="489"/>
      <c r="S554" s="489"/>
      <c r="T554" s="489"/>
      <c r="U554" s="489"/>
      <c r="V554" s="489"/>
      <c r="W554" s="489"/>
    </row>
    <row r="555" spans="1:23">
      <c r="A555" s="489"/>
      <c r="B555" s="489"/>
      <c r="C555" s="489"/>
      <c r="D555" s="489"/>
      <c r="E555" s="489"/>
      <c r="F555" s="489"/>
      <c r="G555" s="489"/>
      <c r="H555" s="489"/>
      <c r="I555" s="489"/>
      <c r="J555" s="489"/>
      <c r="K555" s="489"/>
      <c r="L555" s="489"/>
      <c r="M555" s="489"/>
      <c r="N555" s="489"/>
      <c r="O555" s="489"/>
      <c r="P555" s="489"/>
      <c r="Q555" s="489"/>
      <c r="R555" s="489"/>
      <c r="S555" s="489"/>
      <c r="T555" s="489"/>
      <c r="U555" s="489"/>
      <c r="V555" s="489"/>
      <c r="W555" s="489"/>
    </row>
    <row r="556" spans="1:23">
      <c r="A556" s="489"/>
      <c r="B556" s="489"/>
      <c r="C556" s="489"/>
      <c r="D556" s="489"/>
      <c r="E556" s="489"/>
      <c r="F556" s="489"/>
      <c r="G556" s="489"/>
      <c r="H556" s="489"/>
      <c r="I556" s="489"/>
      <c r="J556" s="489"/>
      <c r="K556" s="489"/>
      <c r="L556" s="489"/>
      <c r="M556" s="489"/>
      <c r="N556" s="489"/>
      <c r="O556" s="489"/>
      <c r="P556" s="489"/>
      <c r="Q556" s="489"/>
      <c r="R556" s="489"/>
      <c r="S556" s="489"/>
      <c r="T556" s="489"/>
      <c r="U556" s="489"/>
      <c r="V556" s="489"/>
      <c r="W556" s="489"/>
    </row>
    <row r="557" spans="1:23">
      <c r="A557" s="489"/>
      <c r="B557" s="489"/>
      <c r="C557" s="489"/>
      <c r="D557" s="489"/>
      <c r="E557" s="489"/>
      <c r="F557" s="489"/>
      <c r="G557" s="489"/>
      <c r="H557" s="489"/>
      <c r="I557" s="489"/>
      <c r="J557" s="489"/>
      <c r="K557" s="489"/>
      <c r="L557" s="489"/>
      <c r="M557" s="489"/>
      <c r="N557" s="489"/>
      <c r="O557" s="489"/>
      <c r="P557" s="489"/>
      <c r="Q557" s="489"/>
      <c r="R557" s="489"/>
      <c r="S557" s="489"/>
      <c r="T557" s="489"/>
      <c r="U557" s="489"/>
      <c r="V557" s="489"/>
      <c r="W557" s="489"/>
    </row>
    <row r="558" spans="1:23">
      <c r="A558" s="489"/>
      <c r="B558" s="489"/>
      <c r="C558" s="489"/>
      <c r="D558" s="489"/>
      <c r="E558" s="489"/>
      <c r="F558" s="489"/>
      <c r="G558" s="489"/>
      <c r="H558" s="489"/>
      <c r="I558" s="489"/>
      <c r="J558" s="489"/>
      <c r="K558" s="489"/>
      <c r="L558" s="489"/>
      <c r="M558" s="489"/>
      <c r="N558" s="489"/>
      <c r="O558" s="489"/>
      <c r="P558" s="489"/>
      <c r="Q558" s="489"/>
      <c r="R558" s="489"/>
      <c r="S558" s="489"/>
      <c r="T558" s="489"/>
      <c r="U558" s="489"/>
      <c r="V558" s="489"/>
      <c r="W558" s="489"/>
    </row>
    <row r="559" spans="1:23">
      <c r="A559" s="489"/>
      <c r="B559" s="489"/>
      <c r="C559" s="489"/>
      <c r="D559" s="489"/>
      <c r="E559" s="489"/>
      <c r="F559" s="489"/>
      <c r="G559" s="489"/>
      <c r="H559" s="489"/>
      <c r="I559" s="489"/>
      <c r="J559" s="489"/>
      <c r="K559" s="489"/>
      <c r="L559" s="489"/>
      <c r="M559" s="489"/>
      <c r="N559" s="489"/>
      <c r="O559" s="489"/>
      <c r="P559" s="489"/>
      <c r="Q559" s="489"/>
      <c r="R559" s="489"/>
      <c r="S559" s="489"/>
      <c r="T559" s="489"/>
      <c r="U559" s="489"/>
      <c r="V559" s="489"/>
      <c r="W559" s="489"/>
    </row>
    <row r="560" spans="1:23">
      <c r="A560" s="489"/>
      <c r="B560" s="489"/>
      <c r="C560" s="489"/>
      <c r="D560" s="489"/>
      <c r="E560" s="489"/>
      <c r="F560" s="489"/>
      <c r="G560" s="489"/>
      <c r="H560" s="489"/>
      <c r="I560" s="489"/>
      <c r="J560" s="489"/>
      <c r="K560" s="489"/>
      <c r="L560" s="489"/>
      <c r="M560" s="489"/>
      <c r="N560" s="489"/>
      <c r="O560" s="489"/>
      <c r="P560" s="489"/>
      <c r="Q560" s="489"/>
      <c r="R560" s="489"/>
      <c r="S560" s="489"/>
      <c r="T560" s="489"/>
      <c r="U560" s="489"/>
      <c r="V560" s="489"/>
      <c r="W560" s="489"/>
    </row>
    <row r="561" spans="1:23">
      <c r="A561" s="489"/>
      <c r="B561" s="489"/>
      <c r="C561" s="489"/>
      <c r="D561" s="489"/>
      <c r="E561" s="489"/>
      <c r="F561" s="489"/>
      <c r="G561" s="489"/>
      <c r="H561" s="489"/>
      <c r="I561" s="489"/>
      <c r="J561" s="489"/>
      <c r="K561" s="489"/>
      <c r="L561" s="489"/>
      <c r="M561" s="489"/>
      <c r="N561" s="489"/>
      <c r="O561" s="489"/>
      <c r="P561" s="489"/>
      <c r="Q561" s="489"/>
      <c r="R561" s="489"/>
      <c r="S561" s="489"/>
      <c r="T561" s="489"/>
      <c r="U561" s="489"/>
      <c r="V561" s="489"/>
      <c r="W561" s="489"/>
    </row>
    <row r="562" spans="1:23">
      <c r="A562" s="489"/>
      <c r="B562" s="489"/>
      <c r="C562" s="489"/>
      <c r="D562" s="489"/>
      <c r="E562" s="489"/>
      <c r="F562" s="489"/>
      <c r="G562" s="489"/>
      <c r="H562" s="489"/>
      <c r="I562" s="489"/>
      <c r="J562" s="489"/>
      <c r="K562" s="489"/>
      <c r="L562" s="489"/>
      <c r="M562" s="489"/>
      <c r="N562" s="489"/>
      <c r="O562" s="489"/>
      <c r="P562" s="489"/>
      <c r="Q562" s="489"/>
      <c r="R562" s="489"/>
      <c r="S562" s="489"/>
      <c r="T562" s="489"/>
      <c r="U562" s="489"/>
      <c r="V562" s="489"/>
      <c r="W562" s="489"/>
    </row>
    <row r="563" spans="1:23">
      <c r="A563" s="489"/>
      <c r="B563" s="489"/>
      <c r="C563" s="489"/>
      <c r="D563" s="489"/>
      <c r="E563" s="489"/>
      <c r="F563" s="489"/>
      <c r="G563" s="489"/>
      <c r="H563" s="489"/>
      <c r="I563" s="489"/>
      <c r="J563" s="489"/>
      <c r="K563" s="489"/>
      <c r="L563" s="489"/>
      <c r="M563" s="489"/>
      <c r="N563" s="489"/>
      <c r="O563" s="489"/>
      <c r="P563" s="489"/>
      <c r="Q563" s="489"/>
      <c r="R563" s="489"/>
      <c r="S563" s="489"/>
      <c r="T563" s="489"/>
      <c r="U563" s="489"/>
      <c r="V563" s="489"/>
      <c r="W563" s="489"/>
    </row>
    <row r="564" spans="1:23">
      <c r="A564" s="489"/>
      <c r="B564" s="489"/>
      <c r="C564" s="489"/>
      <c r="D564" s="489"/>
      <c r="E564" s="489"/>
      <c r="F564" s="489"/>
      <c r="G564" s="489"/>
      <c r="H564" s="489"/>
      <c r="I564" s="489"/>
      <c r="J564" s="489"/>
      <c r="K564" s="489"/>
      <c r="L564" s="489"/>
      <c r="M564" s="489"/>
      <c r="N564" s="489"/>
      <c r="O564" s="489"/>
      <c r="P564" s="489"/>
      <c r="Q564" s="489"/>
      <c r="R564" s="489"/>
      <c r="S564" s="489"/>
      <c r="T564" s="489"/>
      <c r="U564" s="489"/>
      <c r="V564" s="489"/>
      <c r="W564" s="489"/>
    </row>
    <row r="565" spans="1:23">
      <c r="A565" s="489"/>
      <c r="B565" s="489"/>
      <c r="C565" s="489"/>
      <c r="D565" s="489"/>
      <c r="E565" s="489"/>
      <c r="F565" s="489"/>
      <c r="G565" s="489"/>
      <c r="H565" s="489"/>
      <c r="I565" s="489"/>
      <c r="J565" s="489"/>
      <c r="K565" s="489"/>
      <c r="L565" s="489"/>
      <c r="M565" s="489"/>
      <c r="N565" s="489"/>
      <c r="O565" s="489"/>
      <c r="P565" s="489"/>
      <c r="Q565" s="489"/>
      <c r="R565" s="489"/>
      <c r="S565" s="489"/>
      <c r="T565" s="489"/>
      <c r="U565" s="489"/>
      <c r="V565" s="489"/>
      <c r="W565" s="489"/>
    </row>
    <row r="566" spans="1:23">
      <c r="A566" s="489"/>
      <c r="B566" s="489"/>
      <c r="C566" s="489"/>
      <c r="D566" s="489"/>
      <c r="E566" s="489"/>
      <c r="F566" s="489"/>
      <c r="G566" s="489"/>
      <c r="H566" s="489"/>
      <c r="I566" s="489"/>
      <c r="J566" s="489"/>
      <c r="K566" s="489"/>
      <c r="L566" s="489"/>
      <c r="M566" s="489"/>
      <c r="N566" s="489"/>
      <c r="O566" s="489"/>
      <c r="P566" s="489"/>
      <c r="Q566" s="489"/>
      <c r="R566" s="489"/>
      <c r="S566" s="489"/>
      <c r="T566" s="489"/>
      <c r="U566" s="489"/>
      <c r="V566" s="489"/>
      <c r="W566" s="489"/>
    </row>
    <row r="567" spans="1:23">
      <c r="A567" s="489"/>
      <c r="B567" s="489"/>
      <c r="C567" s="489"/>
      <c r="D567" s="489"/>
      <c r="E567" s="489"/>
      <c r="F567" s="489"/>
      <c r="G567" s="489"/>
      <c r="H567" s="489"/>
      <c r="I567" s="489"/>
      <c r="J567" s="489"/>
      <c r="K567" s="489"/>
      <c r="L567" s="489"/>
      <c r="M567" s="489"/>
      <c r="N567" s="489"/>
      <c r="O567" s="489"/>
      <c r="P567" s="489"/>
      <c r="Q567" s="489"/>
      <c r="R567" s="489"/>
      <c r="S567" s="489"/>
      <c r="T567" s="489"/>
      <c r="U567" s="489"/>
      <c r="V567" s="489"/>
      <c r="W567" s="489"/>
    </row>
    <row r="568" spans="1:23">
      <c r="A568" s="489"/>
      <c r="B568" s="489"/>
      <c r="C568" s="489"/>
      <c r="D568" s="489"/>
      <c r="E568" s="489"/>
      <c r="F568" s="489"/>
      <c r="G568" s="489"/>
      <c r="H568" s="489"/>
      <c r="I568" s="489"/>
      <c r="J568" s="489"/>
      <c r="K568" s="489"/>
      <c r="L568" s="489"/>
      <c r="M568" s="489"/>
      <c r="N568" s="489"/>
      <c r="O568" s="489"/>
      <c r="P568" s="489"/>
      <c r="Q568" s="489"/>
      <c r="R568" s="489"/>
      <c r="S568" s="489"/>
      <c r="T568" s="489"/>
      <c r="U568" s="489"/>
      <c r="V568" s="489"/>
      <c r="W568" s="489"/>
    </row>
    <row r="569" spans="1:23">
      <c r="A569" s="489"/>
      <c r="B569" s="489"/>
      <c r="C569" s="489"/>
      <c r="D569" s="489"/>
      <c r="E569" s="489"/>
      <c r="F569" s="489"/>
      <c r="G569" s="489"/>
      <c r="H569" s="489"/>
      <c r="I569" s="489"/>
      <c r="J569" s="489"/>
      <c r="K569" s="489"/>
      <c r="L569" s="489"/>
      <c r="M569" s="489"/>
      <c r="N569" s="489"/>
      <c r="O569" s="489"/>
      <c r="P569" s="489"/>
      <c r="Q569" s="489"/>
      <c r="R569" s="489"/>
      <c r="S569" s="489"/>
      <c r="T569" s="489"/>
      <c r="U569" s="489"/>
      <c r="V569" s="489"/>
      <c r="W569" s="489"/>
    </row>
    <row r="570" spans="1:23">
      <c r="A570" s="489"/>
      <c r="B570" s="489"/>
      <c r="C570" s="489"/>
      <c r="D570" s="489"/>
      <c r="E570" s="489"/>
      <c r="F570" s="489"/>
      <c r="G570" s="489"/>
      <c r="H570" s="489"/>
      <c r="I570" s="489"/>
      <c r="J570" s="489"/>
      <c r="K570" s="489"/>
      <c r="L570" s="489"/>
      <c r="M570" s="489"/>
      <c r="N570" s="489"/>
      <c r="O570" s="489"/>
      <c r="P570" s="489"/>
      <c r="Q570" s="489"/>
      <c r="R570" s="489"/>
      <c r="S570" s="489"/>
      <c r="T570" s="489"/>
      <c r="U570" s="489"/>
      <c r="V570" s="489"/>
      <c r="W570" s="489"/>
    </row>
    <row r="571" spans="1:23">
      <c r="A571" s="489"/>
      <c r="B571" s="489"/>
      <c r="C571" s="489"/>
      <c r="D571" s="489"/>
      <c r="E571" s="489"/>
      <c r="F571" s="489"/>
      <c r="G571" s="489"/>
      <c r="H571" s="489"/>
      <c r="I571" s="489"/>
      <c r="J571" s="489"/>
      <c r="K571" s="489"/>
      <c r="L571" s="489"/>
      <c r="M571" s="489"/>
      <c r="N571" s="489"/>
      <c r="O571" s="489"/>
      <c r="P571" s="489"/>
      <c r="Q571" s="489"/>
      <c r="R571" s="489"/>
      <c r="S571" s="489"/>
      <c r="T571" s="489"/>
      <c r="U571" s="489"/>
      <c r="V571" s="489"/>
      <c r="W571" s="489"/>
    </row>
    <row r="572" spans="1:23">
      <c r="A572" s="489"/>
      <c r="B572" s="489"/>
      <c r="C572" s="489"/>
      <c r="D572" s="489"/>
      <c r="E572" s="489"/>
      <c r="F572" s="489"/>
      <c r="G572" s="489"/>
      <c r="H572" s="489"/>
      <c r="I572" s="489"/>
      <c r="J572" s="489"/>
      <c r="K572" s="489"/>
      <c r="L572" s="489"/>
      <c r="M572" s="489"/>
      <c r="N572" s="489"/>
      <c r="O572" s="489"/>
      <c r="P572" s="489"/>
      <c r="Q572" s="489"/>
      <c r="R572" s="489"/>
      <c r="S572" s="489"/>
      <c r="T572" s="489"/>
      <c r="U572" s="489"/>
      <c r="V572" s="489"/>
      <c r="W572" s="489"/>
    </row>
    <row r="573" spans="1:23">
      <c r="A573" s="489"/>
      <c r="B573" s="489"/>
      <c r="C573" s="489"/>
      <c r="D573" s="489"/>
      <c r="E573" s="489"/>
      <c r="F573" s="489"/>
      <c r="G573" s="489"/>
      <c r="H573" s="489"/>
      <c r="I573" s="489"/>
      <c r="J573" s="489"/>
      <c r="K573" s="489"/>
      <c r="L573" s="489"/>
      <c r="M573" s="489"/>
      <c r="N573" s="489"/>
      <c r="O573" s="489"/>
      <c r="P573" s="489"/>
      <c r="Q573" s="489"/>
      <c r="R573" s="489"/>
      <c r="S573" s="489"/>
      <c r="T573" s="489"/>
      <c r="U573" s="489"/>
      <c r="V573" s="489"/>
      <c r="W573" s="489"/>
    </row>
    <row r="574" spans="1:23">
      <c r="A574" s="489"/>
      <c r="B574" s="489"/>
      <c r="C574" s="489"/>
      <c r="D574" s="489"/>
      <c r="E574" s="489"/>
      <c r="F574" s="489"/>
      <c r="G574" s="489"/>
      <c r="H574" s="489"/>
      <c r="I574" s="489"/>
      <c r="J574" s="489"/>
      <c r="K574" s="489"/>
      <c r="L574" s="489"/>
      <c r="M574" s="489"/>
      <c r="N574" s="489"/>
      <c r="O574" s="489"/>
      <c r="P574" s="489"/>
      <c r="Q574" s="489"/>
      <c r="R574" s="489"/>
      <c r="S574" s="489"/>
      <c r="T574" s="489"/>
      <c r="U574" s="489"/>
      <c r="V574" s="489"/>
      <c r="W574" s="489"/>
    </row>
    <row r="575" spans="1:23">
      <c r="A575" s="489"/>
      <c r="B575" s="489"/>
      <c r="C575" s="489"/>
      <c r="D575" s="489"/>
      <c r="E575" s="489"/>
      <c r="F575" s="489"/>
      <c r="G575" s="489"/>
      <c r="H575" s="489"/>
      <c r="I575" s="489"/>
      <c r="J575" s="489"/>
      <c r="K575" s="489"/>
      <c r="L575" s="489"/>
      <c r="M575" s="489"/>
      <c r="N575" s="489"/>
      <c r="O575" s="489"/>
      <c r="P575" s="489"/>
      <c r="Q575" s="489"/>
      <c r="R575" s="489"/>
      <c r="S575" s="489"/>
      <c r="T575" s="489"/>
      <c r="U575" s="489"/>
      <c r="V575" s="489"/>
      <c r="W575" s="489"/>
    </row>
    <row r="576" spans="1:23">
      <c r="A576" s="489"/>
      <c r="B576" s="489"/>
      <c r="C576" s="489"/>
      <c r="D576" s="489"/>
      <c r="E576" s="489"/>
      <c r="F576" s="489"/>
      <c r="G576" s="489"/>
      <c r="H576" s="489"/>
      <c r="I576" s="489"/>
      <c r="J576" s="489"/>
      <c r="K576" s="489"/>
      <c r="L576" s="489"/>
      <c r="M576" s="489"/>
      <c r="N576" s="489"/>
      <c r="O576" s="489"/>
      <c r="P576" s="489"/>
      <c r="Q576" s="489"/>
      <c r="R576" s="489"/>
      <c r="S576" s="489"/>
      <c r="T576" s="489"/>
      <c r="U576" s="489"/>
      <c r="V576" s="489"/>
      <c r="W576" s="489"/>
    </row>
    <row r="577" spans="1:23">
      <c r="A577" s="489"/>
      <c r="B577" s="489"/>
      <c r="C577" s="489"/>
      <c r="D577" s="489"/>
      <c r="E577" s="489"/>
      <c r="F577" s="489"/>
      <c r="G577" s="489"/>
      <c r="H577" s="489"/>
      <c r="I577" s="489"/>
      <c r="J577" s="489"/>
      <c r="K577" s="489"/>
      <c r="L577" s="489"/>
      <c r="M577" s="489"/>
      <c r="N577" s="489"/>
      <c r="O577" s="489"/>
      <c r="P577" s="489"/>
      <c r="Q577" s="489"/>
      <c r="R577" s="489"/>
      <c r="S577" s="489"/>
      <c r="T577" s="489"/>
      <c r="U577" s="489"/>
      <c r="V577" s="489"/>
      <c r="W577" s="489"/>
    </row>
    <row r="578" spans="1:23">
      <c r="A578" s="489"/>
      <c r="B578" s="489"/>
      <c r="C578" s="489"/>
      <c r="D578" s="489"/>
      <c r="E578" s="489"/>
      <c r="F578" s="489"/>
      <c r="G578" s="489"/>
      <c r="H578" s="489"/>
      <c r="I578" s="489"/>
      <c r="J578" s="489"/>
      <c r="K578" s="489"/>
      <c r="L578" s="489"/>
      <c r="M578" s="489"/>
      <c r="N578" s="489"/>
      <c r="O578" s="489"/>
      <c r="P578" s="489"/>
      <c r="Q578" s="489"/>
      <c r="R578" s="489"/>
      <c r="S578" s="489"/>
      <c r="T578" s="489"/>
      <c r="U578" s="489"/>
      <c r="V578" s="489"/>
      <c r="W578" s="489"/>
    </row>
    <row r="579" spans="1:23">
      <c r="A579" s="489"/>
      <c r="B579" s="489"/>
      <c r="C579" s="489"/>
      <c r="D579" s="489"/>
      <c r="E579" s="489"/>
      <c r="F579" s="489"/>
      <c r="G579" s="489"/>
      <c r="H579" s="489"/>
      <c r="I579" s="489"/>
      <c r="J579" s="489"/>
      <c r="K579" s="489"/>
      <c r="L579" s="489"/>
      <c r="M579" s="489"/>
      <c r="N579" s="489"/>
      <c r="O579" s="489"/>
      <c r="P579" s="489"/>
      <c r="Q579" s="489"/>
      <c r="R579" s="489"/>
      <c r="S579" s="489"/>
      <c r="T579" s="489"/>
      <c r="U579" s="489"/>
      <c r="V579" s="489"/>
      <c r="W579" s="489"/>
    </row>
    <row r="580" spans="1:23">
      <c r="A580" s="489"/>
      <c r="B580" s="489"/>
      <c r="C580" s="489"/>
      <c r="D580" s="489"/>
      <c r="E580" s="489"/>
      <c r="F580" s="489"/>
      <c r="G580" s="489"/>
      <c r="H580" s="489"/>
      <c r="I580" s="489"/>
      <c r="J580" s="489"/>
      <c r="K580" s="489"/>
      <c r="L580" s="489"/>
      <c r="M580" s="489"/>
      <c r="N580" s="489"/>
      <c r="O580" s="489"/>
      <c r="P580" s="489"/>
      <c r="Q580" s="489"/>
      <c r="R580" s="489"/>
      <c r="S580" s="489"/>
      <c r="T580" s="489"/>
      <c r="U580" s="489"/>
      <c r="V580" s="489"/>
      <c r="W580" s="489"/>
    </row>
    <row r="581" spans="1:23">
      <c r="A581" s="489"/>
      <c r="B581" s="489"/>
      <c r="C581" s="489"/>
      <c r="D581" s="489"/>
      <c r="E581" s="489"/>
      <c r="F581" s="489"/>
      <c r="G581" s="489"/>
      <c r="H581" s="489"/>
      <c r="I581" s="489"/>
      <c r="J581" s="489"/>
      <c r="K581" s="489"/>
      <c r="L581" s="489"/>
      <c r="M581" s="489"/>
      <c r="N581" s="489"/>
      <c r="O581" s="489"/>
      <c r="P581" s="489"/>
      <c r="Q581" s="489"/>
      <c r="R581" s="489"/>
      <c r="S581" s="489"/>
      <c r="T581" s="489"/>
      <c r="U581" s="489"/>
      <c r="V581" s="489"/>
      <c r="W581" s="489"/>
    </row>
    <row r="582" spans="1:23">
      <c r="A582" s="489"/>
      <c r="B582" s="489"/>
      <c r="C582" s="489"/>
      <c r="D582" s="489"/>
      <c r="E582" s="489"/>
      <c r="F582" s="489"/>
      <c r="G582" s="489"/>
      <c r="H582" s="489"/>
      <c r="I582" s="489"/>
      <c r="J582" s="489"/>
      <c r="K582" s="489"/>
      <c r="L582" s="489"/>
      <c r="M582" s="489"/>
      <c r="N582" s="489"/>
      <c r="O582" s="489"/>
      <c r="P582" s="489"/>
      <c r="Q582" s="489"/>
      <c r="R582" s="489"/>
      <c r="S582" s="489"/>
      <c r="T582" s="489"/>
      <c r="U582" s="489"/>
      <c r="V582" s="489"/>
      <c r="W582" s="489"/>
    </row>
    <row r="583" spans="1:23">
      <c r="A583" s="489"/>
      <c r="B583" s="489"/>
      <c r="C583" s="489"/>
      <c r="D583" s="489"/>
      <c r="E583" s="489"/>
      <c r="F583" s="489"/>
      <c r="G583" s="489"/>
      <c r="H583" s="489"/>
      <c r="I583" s="489"/>
      <c r="J583" s="489"/>
      <c r="K583" s="489"/>
      <c r="L583" s="489"/>
      <c r="M583" s="489"/>
      <c r="N583" s="489"/>
      <c r="O583" s="489"/>
      <c r="P583" s="489"/>
      <c r="Q583" s="489"/>
      <c r="R583" s="489"/>
      <c r="S583" s="489"/>
      <c r="T583" s="489"/>
      <c r="U583" s="489"/>
      <c r="V583" s="489"/>
      <c r="W583" s="489"/>
    </row>
    <row r="584" spans="1:23">
      <c r="A584" s="489"/>
      <c r="B584" s="489"/>
      <c r="C584" s="489"/>
      <c r="D584" s="489"/>
      <c r="E584" s="489"/>
      <c r="F584" s="489"/>
      <c r="G584" s="489"/>
      <c r="H584" s="489"/>
      <c r="I584" s="489"/>
      <c r="J584" s="489"/>
      <c r="K584" s="489"/>
      <c r="L584" s="489"/>
      <c r="M584" s="489"/>
      <c r="N584" s="489"/>
      <c r="O584" s="489"/>
      <c r="P584" s="489"/>
      <c r="Q584" s="489"/>
      <c r="R584" s="489"/>
      <c r="S584" s="489"/>
      <c r="T584" s="489"/>
      <c r="U584" s="489"/>
      <c r="V584" s="489"/>
      <c r="W584" s="489"/>
    </row>
    <row r="585" spans="1:23">
      <c r="A585" s="489"/>
      <c r="B585" s="489"/>
      <c r="C585" s="489"/>
      <c r="D585" s="489"/>
      <c r="E585" s="489"/>
      <c r="F585" s="489"/>
      <c r="G585" s="489"/>
      <c r="H585" s="489"/>
      <c r="I585" s="489"/>
      <c r="J585" s="489"/>
      <c r="K585" s="489"/>
      <c r="L585" s="489"/>
      <c r="M585" s="489"/>
      <c r="N585" s="489"/>
      <c r="O585" s="489"/>
      <c r="P585" s="489"/>
      <c r="Q585" s="489"/>
      <c r="R585" s="489"/>
      <c r="S585" s="489"/>
      <c r="T585" s="489"/>
      <c r="U585" s="489"/>
      <c r="V585" s="489"/>
      <c r="W585" s="489"/>
    </row>
    <row r="586" spans="1:23">
      <c r="A586" s="489"/>
      <c r="B586" s="489"/>
      <c r="C586" s="489"/>
      <c r="D586" s="489"/>
      <c r="E586" s="489"/>
      <c r="F586" s="489"/>
      <c r="G586" s="489"/>
      <c r="H586" s="489"/>
      <c r="I586" s="489"/>
      <c r="J586" s="489"/>
      <c r="K586" s="489"/>
      <c r="L586" s="489"/>
      <c r="M586" s="489"/>
      <c r="N586" s="489"/>
      <c r="O586" s="489"/>
      <c r="P586" s="489"/>
      <c r="Q586" s="489"/>
      <c r="R586" s="489"/>
      <c r="S586" s="489"/>
      <c r="T586" s="489"/>
      <c r="U586" s="489"/>
      <c r="V586" s="489"/>
      <c r="W586" s="489"/>
    </row>
    <row r="587" spans="1:23">
      <c r="A587" s="489"/>
      <c r="B587" s="489"/>
      <c r="C587" s="489"/>
      <c r="D587" s="489"/>
      <c r="E587" s="489"/>
      <c r="F587" s="489"/>
      <c r="G587" s="489"/>
      <c r="H587" s="489"/>
      <c r="I587" s="489"/>
      <c r="J587" s="489"/>
      <c r="K587" s="489"/>
      <c r="L587" s="489"/>
      <c r="M587" s="489"/>
      <c r="N587" s="489"/>
      <c r="O587" s="489"/>
      <c r="P587" s="489"/>
      <c r="Q587" s="489"/>
      <c r="R587" s="489"/>
      <c r="S587" s="489"/>
      <c r="T587" s="489"/>
      <c r="U587" s="489"/>
      <c r="V587" s="489"/>
      <c r="W587" s="489"/>
    </row>
    <row r="588" spans="1:23">
      <c r="A588" s="489"/>
      <c r="B588" s="489"/>
      <c r="C588" s="489"/>
      <c r="D588" s="489"/>
      <c r="E588" s="489"/>
      <c r="F588" s="489"/>
      <c r="G588" s="489"/>
      <c r="H588" s="489"/>
      <c r="I588" s="489"/>
      <c r="J588" s="489"/>
      <c r="K588" s="489"/>
      <c r="L588" s="489"/>
      <c r="M588" s="489"/>
      <c r="N588" s="489"/>
      <c r="O588" s="489"/>
      <c r="P588" s="489"/>
      <c r="Q588" s="489"/>
      <c r="R588" s="489"/>
      <c r="S588" s="489"/>
      <c r="T588" s="489"/>
      <c r="U588" s="489"/>
      <c r="V588" s="489"/>
      <c r="W588" s="489"/>
    </row>
    <row r="589" spans="1:23">
      <c r="A589" s="489"/>
      <c r="B589" s="489"/>
      <c r="C589" s="489"/>
      <c r="D589" s="489"/>
      <c r="E589" s="489"/>
      <c r="F589" s="489"/>
      <c r="G589" s="489"/>
      <c r="H589" s="489"/>
      <c r="I589" s="489"/>
      <c r="J589" s="489"/>
      <c r="K589" s="489"/>
      <c r="L589" s="489"/>
      <c r="M589" s="489"/>
      <c r="N589" s="489"/>
      <c r="O589" s="489"/>
      <c r="P589" s="489"/>
      <c r="Q589" s="489"/>
      <c r="R589" s="489"/>
      <c r="S589" s="489"/>
      <c r="T589" s="489"/>
      <c r="U589" s="489"/>
      <c r="V589" s="489"/>
      <c r="W589" s="489"/>
    </row>
    <row r="590" spans="1:23">
      <c r="A590" s="489"/>
      <c r="B590" s="489"/>
      <c r="C590" s="489"/>
      <c r="D590" s="489"/>
      <c r="E590" s="489"/>
      <c r="F590" s="489"/>
      <c r="G590" s="489"/>
      <c r="H590" s="489"/>
      <c r="I590" s="489"/>
      <c r="J590" s="489"/>
      <c r="K590" s="489"/>
      <c r="L590" s="489"/>
      <c r="M590" s="489"/>
      <c r="N590" s="489"/>
      <c r="O590" s="489"/>
      <c r="P590" s="489"/>
      <c r="Q590" s="489"/>
      <c r="R590" s="489"/>
      <c r="S590" s="489"/>
      <c r="T590" s="489"/>
      <c r="U590" s="489"/>
      <c r="V590" s="489"/>
      <c r="W590" s="489"/>
    </row>
    <row r="591" spans="1:23">
      <c r="A591" s="489"/>
      <c r="B591" s="489"/>
      <c r="C591" s="489"/>
      <c r="D591" s="489"/>
      <c r="E591" s="489"/>
      <c r="F591" s="489"/>
      <c r="G591" s="489"/>
      <c r="H591" s="489"/>
      <c r="I591" s="489"/>
      <c r="J591" s="489"/>
      <c r="K591" s="489"/>
      <c r="L591" s="489"/>
      <c r="M591" s="489"/>
      <c r="N591" s="489"/>
      <c r="O591" s="489"/>
      <c r="P591" s="489"/>
      <c r="Q591" s="489"/>
      <c r="R591" s="489"/>
      <c r="S591" s="489"/>
      <c r="T591" s="489"/>
      <c r="U591" s="489"/>
      <c r="V591" s="489"/>
      <c r="W591" s="489"/>
    </row>
    <row r="592" spans="1:23">
      <c r="A592" s="489"/>
      <c r="B592" s="489"/>
      <c r="C592" s="489"/>
      <c r="D592" s="489"/>
      <c r="E592" s="489"/>
      <c r="F592" s="489"/>
      <c r="G592" s="489"/>
      <c r="H592" s="489"/>
      <c r="I592" s="489"/>
      <c r="J592" s="489"/>
      <c r="K592" s="489"/>
      <c r="L592" s="489"/>
      <c r="M592" s="489"/>
      <c r="N592" s="489"/>
      <c r="O592" s="489"/>
      <c r="P592" s="489"/>
      <c r="Q592" s="489"/>
      <c r="R592" s="489"/>
      <c r="S592" s="489"/>
      <c r="T592" s="489"/>
      <c r="U592" s="489"/>
      <c r="V592" s="489"/>
      <c r="W592" s="489"/>
    </row>
    <row r="593" spans="1:23">
      <c r="A593" s="489"/>
      <c r="B593" s="489"/>
      <c r="C593" s="489"/>
      <c r="D593" s="489"/>
      <c r="E593" s="489"/>
      <c r="F593" s="489"/>
      <c r="G593" s="489"/>
      <c r="H593" s="489"/>
      <c r="I593" s="489"/>
      <c r="J593" s="489"/>
      <c r="K593" s="489"/>
      <c r="L593" s="489"/>
      <c r="M593" s="489"/>
      <c r="N593" s="489"/>
      <c r="O593" s="489"/>
      <c r="P593" s="489"/>
      <c r="Q593" s="489"/>
      <c r="R593" s="489"/>
      <c r="S593" s="489"/>
      <c r="T593" s="489"/>
      <c r="U593" s="489"/>
      <c r="V593" s="489"/>
      <c r="W593" s="489"/>
    </row>
    <row r="594" spans="1:23">
      <c r="A594" s="489"/>
      <c r="B594" s="489"/>
      <c r="C594" s="489"/>
      <c r="D594" s="489"/>
      <c r="E594" s="489"/>
      <c r="F594" s="489"/>
      <c r="G594" s="489"/>
      <c r="H594" s="489"/>
      <c r="I594" s="489"/>
      <c r="J594" s="489"/>
      <c r="K594" s="489"/>
      <c r="L594" s="489"/>
      <c r="M594" s="489"/>
      <c r="N594" s="489"/>
      <c r="O594" s="489"/>
      <c r="P594" s="489"/>
      <c r="Q594" s="489"/>
      <c r="R594" s="489"/>
      <c r="S594" s="489"/>
      <c r="T594" s="489"/>
      <c r="U594" s="489"/>
      <c r="V594" s="489"/>
      <c r="W594" s="489"/>
    </row>
    <row r="595" spans="1:23">
      <c r="A595" s="489"/>
      <c r="B595" s="489"/>
      <c r="C595" s="489"/>
      <c r="D595" s="489"/>
      <c r="E595" s="489"/>
      <c r="F595" s="489"/>
      <c r="G595" s="489"/>
      <c r="H595" s="489"/>
      <c r="I595" s="489"/>
      <c r="J595" s="489"/>
      <c r="K595" s="489"/>
      <c r="L595" s="489"/>
      <c r="M595" s="489"/>
      <c r="N595" s="489"/>
      <c r="O595" s="489"/>
      <c r="P595" s="489"/>
      <c r="Q595" s="489"/>
      <c r="R595" s="489"/>
      <c r="S595" s="489"/>
      <c r="T595" s="489"/>
      <c r="U595" s="489"/>
      <c r="V595" s="489"/>
      <c r="W595" s="489"/>
    </row>
    <row r="596" spans="1:23">
      <c r="A596" s="489"/>
      <c r="B596" s="489"/>
      <c r="C596" s="489"/>
      <c r="D596" s="489"/>
      <c r="E596" s="489"/>
      <c r="F596" s="489"/>
      <c r="G596" s="489"/>
      <c r="H596" s="489"/>
      <c r="I596" s="489"/>
      <c r="J596" s="489"/>
      <c r="K596" s="489"/>
      <c r="L596" s="489"/>
      <c r="M596" s="489"/>
      <c r="N596" s="489"/>
      <c r="O596" s="489"/>
      <c r="P596" s="489"/>
      <c r="Q596" s="489"/>
      <c r="R596" s="489"/>
      <c r="S596" s="489"/>
      <c r="T596" s="489"/>
      <c r="U596" s="489"/>
      <c r="V596" s="489"/>
      <c r="W596" s="489"/>
    </row>
    <row r="597" spans="1:23">
      <c r="A597" s="489"/>
      <c r="B597" s="489"/>
      <c r="C597" s="489"/>
      <c r="D597" s="489"/>
      <c r="E597" s="489"/>
      <c r="F597" s="489"/>
      <c r="G597" s="489"/>
      <c r="H597" s="489"/>
      <c r="I597" s="489"/>
      <c r="J597" s="489"/>
      <c r="K597" s="489"/>
      <c r="L597" s="489"/>
      <c r="M597" s="489"/>
      <c r="N597" s="489"/>
      <c r="O597" s="489"/>
      <c r="P597" s="489"/>
      <c r="Q597" s="489"/>
      <c r="R597" s="489"/>
      <c r="S597" s="489"/>
      <c r="T597" s="489"/>
      <c r="U597" s="489"/>
      <c r="V597" s="489"/>
      <c r="W597" s="489"/>
    </row>
    <row r="598" spans="1:23">
      <c r="A598" s="489"/>
      <c r="B598" s="489"/>
      <c r="C598" s="489"/>
      <c r="D598" s="489"/>
      <c r="E598" s="489"/>
      <c r="F598" s="489"/>
      <c r="G598" s="489"/>
      <c r="H598" s="489"/>
      <c r="I598" s="489"/>
      <c r="J598" s="489"/>
      <c r="K598" s="489"/>
      <c r="L598" s="489"/>
      <c r="M598" s="489"/>
      <c r="N598" s="489"/>
      <c r="O598" s="489"/>
      <c r="P598" s="489"/>
      <c r="Q598" s="489"/>
      <c r="R598" s="489"/>
      <c r="S598" s="489"/>
      <c r="T598" s="489"/>
      <c r="U598" s="489"/>
      <c r="V598" s="489"/>
      <c r="W598" s="489"/>
    </row>
    <row r="599" spans="1:23">
      <c r="A599" s="489"/>
      <c r="B599" s="489"/>
      <c r="C599" s="489"/>
      <c r="D599" s="489"/>
      <c r="E599" s="489"/>
      <c r="F599" s="489"/>
      <c r="G599" s="489"/>
      <c r="H599" s="489"/>
      <c r="I599" s="489"/>
      <c r="J599" s="489"/>
      <c r="K599" s="489"/>
      <c r="L599" s="489"/>
      <c r="M599" s="489"/>
      <c r="N599" s="489"/>
      <c r="O599" s="489"/>
      <c r="P599" s="489"/>
      <c r="Q599" s="489"/>
      <c r="R599" s="489"/>
      <c r="S599" s="489"/>
      <c r="T599" s="489"/>
      <c r="U599" s="489"/>
      <c r="V599" s="489"/>
      <c r="W599" s="489"/>
    </row>
    <row r="600" spans="1:23">
      <c r="A600" s="489"/>
      <c r="B600" s="489"/>
      <c r="C600" s="489"/>
      <c r="D600" s="489"/>
      <c r="E600" s="489"/>
      <c r="F600" s="489"/>
      <c r="G600" s="489"/>
      <c r="H600" s="489"/>
      <c r="I600" s="489"/>
      <c r="J600" s="489"/>
      <c r="K600" s="489"/>
      <c r="L600" s="489"/>
      <c r="M600" s="489"/>
      <c r="N600" s="489"/>
      <c r="O600" s="489"/>
      <c r="P600" s="489"/>
      <c r="Q600" s="489"/>
      <c r="R600" s="489"/>
      <c r="S600" s="489"/>
      <c r="T600" s="489"/>
      <c r="U600" s="489"/>
      <c r="V600" s="489"/>
      <c r="W600" s="489"/>
    </row>
    <row r="601" spans="1:23">
      <c r="A601" s="489"/>
      <c r="B601" s="489"/>
      <c r="C601" s="489"/>
      <c r="D601" s="489"/>
      <c r="E601" s="489"/>
      <c r="F601" s="489"/>
      <c r="G601" s="489"/>
      <c r="H601" s="489"/>
      <c r="I601" s="489"/>
      <c r="J601" s="489"/>
      <c r="K601" s="489"/>
      <c r="L601" s="489"/>
      <c r="M601" s="489"/>
      <c r="N601" s="489"/>
      <c r="O601" s="489"/>
      <c r="P601" s="489"/>
      <c r="Q601" s="489"/>
      <c r="R601" s="489"/>
      <c r="S601" s="489"/>
      <c r="T601" s="489"/>
      <c r="U601" s="489"/>
      <c r="V601" s="489"/>
      <c r="W601" s="489"/>
    </row>
    <row r="602" spans="1:23">
      <c r="A602" s="489"/>
      <c r="B602" s="489"/>
      <c r="C602" s="489"/>
      <c r="D602" s="489"/>
      <c r="E602" s="489"/>
      <c r="F602" s="489"/>
      <c r="G602" s="489"/>
      <c r="H602" s="489"/>
      <c r="I602" s="489"/>
      <c r="J602" s="489"/>
      <c r="K602" s="489"/>
      <c r="L602" s="489"/>
      <c r="M602" s="489"/>
      <c r="N602" s="489"/>
      <c r="O602" s="489"/>
      <c r="P602" s="489"/>
      <c r="Q602" s="489"/>
      <c r="R602" s="489"/>
      <c r="S602" s="489"/>
      <c r="T602" s="489"/>
      <c r="U602" s="489"/>
      <c r="V602" s="489"/>
      <c r="W602" s="489"/>
    </row>
    <row r="603" spans="1:23">
      <c r="A603" s="489"/>
      <c r="B603" s="489"/>
      <c r="C603" s="489"/>
      <c r="D603" s="489"/>
      <c r="E603" s="489"/>
      <c r="F603" s="489"/>
      <c r="G603" s="489"/>
      <c r="H603" s="489"/>
      <c r="I603" s="489"/>
      <c r="J603" s="489"/>
      <c r="K603" s="489"/>
      <c r="L603" s="489"/>
      <c r="M603" s="489"/>
      <c r="N603" s="489"/>
      <c r="O603" s="489"/>
      <c r="P603" s="489"/>
      <c r="Q603" s="489"/>
      <c r="R603" s="489"/>
      <c r="S603" s="489"/>
      <c r="T603" s="489"/>
      <c r="U603" s="489"/>
      <c r="V603" s="489"/>
      <c r="W603" s="489"/>
    </row>
    <row r="604" spans="1:23">
      <c r="A604" s="489"/>
      <c r="B604" s="489"/>
      <c r="C604" s="489"/>
      <c r="D604" s="489"/>
      <c r="E604" s="489"/>
      <c r="F604" s="489"/>
      <c r="G604" s="489"/>
      <c r="H604" s="489"/>
      <c r="I604" s="489"/>
      <c r="J604" s="489"/>
      <c r="K604" s="489"/>
      <c r="L604" s="489"/>
      <c r="M604" s="489"/>
      <c r="N604" s="489"/>
      <c r="O604" s="489"/>
      <c r="P604" s="489"/>
      <c r="Q604" s="489"/>
      <c r="R604" s="489"/>
      <c r="S604" s="489"/>
      <c r="T604" s="489"/>
      <c r="U604" s="489"/>
      <c r="V604" s="489"/>
      <c r="W604" s="489"/>
    </row>
    <row r="605" spans="1:23">
      <c r="A605" s="489"/>
      <c r="B605" s="489"/>
      <c r="C605" s="489"/>
      <c r="D605" s="489"/>
      <c r="E605" s="489"/>
      <c r="F605" s="489"/>
      <c r="G605" s="489"/>
      <c r="H605" s="489"/>
      <c r="I605" s="489"/>
      <c r="J605" s="489"/>
      <c r="K605" s="489"/>
      <c r="L605" s="489"/>
      <c r="M605" s="489"/>
      <c r="N605" s="489"/>
      <c r="O605" s="489"/>
      <c r="P605" s="489"/>
      <c r="Q605" s="489"/>
      <c r="R605" s="489"/>
      <c r="S605" s="489"/>
      <c r="T605" s="489"/>
      <c r="U605" s="489"/>
      <c r="V605" s="489"/>
      <c r="W605" s="489"/>
    </row>
    <row r="606" spans="1:23">
      <c r="A606" s="489"/>
      <c r="B606" s="489"/>
      <c r="C606" s="489"/>
      <c r="D606" s="489"/>
      <c r="E606" s="489"/>
      <c r="F606" s="489"/>
      <c r="G606" s="489"/>
      <c r="H606" s="489"/>
      <c r="I606" s="489"/>
      <c r="J606" s="489"/>
      <c r="K606" s="489"/>
      <c r="L606" s="489"/>
      <c r="M606" s="489"/>
      <c r="N606" s="489"/>
      <c r="O606" s="489"/>
      <c r="P606" s="489"/>
      <c r="Q606" s="489"/>
      <c r="R606" s="489"/>
      <c r="S606" s="489"/>
      <c r="T606" s="489"/>
      <c r="U606" s="489"/>
      <c r="V606" s="489"/>
      <c r="W606" s="489"/>
    </row>
    <row r="607" spans="1:23">
      <c r="A607" s="489"/>
      <c r="B607" s="489"/>
      <c r="C607" s="489"/>
      <c r="D607" s="489"/>
      <c r="E607" s="489"/>
      <c r="F607" s="489"/>
      <c r="G607" s="489"/>
      <c r="H607" s="489"/>
      <c r="I607" s="489"/>
      <c r="J607" s="489"/>
      <c r="K607" s="489"/>
      <c r="L607" s="489"/>
      <c r="M607" s="489"/>
      <c r="N607" s="489"/>
      <c r="O607" s="489"/>
      <c r="P607" s="489"/>
      <c r="Q607" s="489"/>
      <c r="R607" s="489"/>
      <c r="S607" s="489"/>
      <c r="T607" s="489"/>
      <c r="U607" s="489"/>
      <c r="V607" s="489"/>
      <c r="W607" s="489"/>
    </row>
    <row r="608" spans="1:23">
      <c r="A608" s="489"/>
      <c r="B608" s="489"/>
      <c r="C608" s="489"/>
      <c r="D608" s="489"/>
      <c r="E608" s="489"/>
      <c r="F608" s="489"/>
      <c r="G608" s="489"/>
      <c r="H608" s="489"/>
      <c r="I608" s="489"/>
      <c r="J608" s="489"/>
      <c r="K608" s="489"/>
      <c r="L608" s="489"/>
      <c r="M608" s="489"/>
      <c r="N608" s="489"/>
      <c r="O608" s="489"/>
      <c r="P608" s="489"/>
      <c r="Q608" s="489"/>
      <c r="R608" s="489"/>
      <c r="S608" s="489"/>
      <c r="T608" s="489"/>
      <c r="U608" s="489"/>
      <c r="V608" s="489"/>
      <c r="W608" s="489"/>
    </row>
    <row r="609" spans="1:23">
      <c r="A609" s="489"/>
      <c r="B609" s="489"/>
      <c r="C609" s="489"/>
      <c r="D609" s="489"/>
      <c r="E609" s="489"/>
      <c r="F609" s="489"/>
      <c r="G609" s="489"/>
      <c r="H609" s="489"/>
      <c r="I609" s="489"/>
      <c r="J609" s="489"/>
      <c r="K609" s="489"/>
      <c r="L609" s="489"/>
      <c r="M609" s="489"/>
      <c r="N609" s="489"/>
      <c r="O609" s="489"/>
      <c r="P609" s="489"/>
      <c r="Q609" s="489"/>
      <c r="R609" s="489"/>
      <c r="S609" s="489"/>
      <c r="T609" s="489"/>
      <c r="U609" s="489"/>
      <c r="V609" s="489"/>
      <c r="W609" s="489"/>
    </row>
    <row r="610" spans="1:23">
      <c r="A610" s="489"/>
      <c r="B610" s="489"/>
      <c r="C610" s="489"/>
      <c r="D610" s="489"/>
      <c r="E610" s="489"/>
      <c r="F610" s="489"/>
      <c r="G610" s="489"/>
      <c r="H610" s="489"/>
      <c r="I610" s="489"/>
      <c r="J610" s="489"/>
      <c r="K610" s="489"/>
      <c r="L610" s="489"/>
      <c r="M610" s="489"/>
      <c r="N610" s="489"/>
      <c r="O610" s="489"/>
      <c r="P610" s="489"/>
      <c r="Q610" s="489"/>
      <c r="R610" s="489"/>
      <c r="S610" s="489"/>
      <c r="T610" s="489"/>
      <c r="U610" s="489"/>
      <c r="V610" s="489"/>
      <c r="W610" s="489"/>
    </row>
    <row r="611" spans="1:23">
      <c r="A611" s="489"/>
      <c r="B611" s="489"/>
      <c r="C611" s="489"/>
      <c r="D611" s="489"/>
      <c r="E611" s="489"/>
      <c r="F611" s="489"/>
      <c r="G611" s="489"/>
      <c r="H611" s="489"/>
      <c r="I611" s="489"/>
      <c r="J611" s="489"/>
      <c r="K611" s="489"/>
      <c r="L611" s="489"/>
      <c r="M611" s="489"/>
      <c r="N611" s="489"/>
      <c r="O611" s="489"/>
      <c r="P611" s="489"/>
      <c r="Q611" s="489"/>
      <c r="R611" s="489"/>
      <c r="S611" s="489"/>
      <c r="T611" s="489"/>
      <c r="U611" s="489"/>
      <c r="V611" s="489"/>
      <c r="W611" s="489"/>
    </row>
    <row r="612" spans="1:23">
      <c r="A612" s="489"/>
      <c r="B612" s="489"/>
      <c r="C612" s="489"/>
      <c r="D612" s="489"/>
      <c r="E612" s="489"/>
      <c r="F612" s="489"/>
      <c r="G612" s="489"/>
      <c r="H612" s="489"/>
      <c r="I612" s="489"/>
      <c r="J612" s="489"/>
      <c r="K612" s="489"/>
      <c r="L612" s="489"/>
      <c r="M612" s="489"/>
      <c r="N612" s="489"/>
      <c r="O612" s="489"/>
      <c r="P612" s="489"/>
      <c r="Q612" s="489"/>
      <c r="R612" s="489"/>
      <c r="S612" s="489"/>
      <c r="T612" s="489"/>
      <c r="U612" s="489"/>
      <c r="V612" s="489"/>
      <c r="W612" s="489"/>
    </row>
    <row r="613" spans="1:23">
      <c r="A613" s="489"/>
      <c r="B613" s="489"/>
      <c r="C613" s="489"/>
      <c r="D613" s="489"/>
      <c r="E613" s="489"/>
      <c r="F613" s="489"/>
      <c r="G613" s="489"/>
      <c r="H613" s="489"/>
      <c r="I613" s="489"/>
      <c r="J613" s="489"/>
      <c r="K613" s="489"/>
      <c r="L613" s="489"/>
      <c r="M613" s="489"/>
      <c r="N613" s="489"/>
      <c r="O613" s="489"/>
      <c r="P613" s="489"/>
      <c r="Q613" s="489"/>
      <c r="R613" s="489"/>
      <c r="S613" s="489"/>
      <c r="T613" s="489"/>
      <c r="U613" s="489"/>
      <c r="V613" s="489"/>
      <c r="W613" s="489"/>
    </row>
    <row r="614" spans="1:23">
      <c r="A614" s="489"/>
      <c r="B614" s="489"/>
      <c r="C614" s="489"/>
      <c r="D614" s="489"/>
      <c r="E614" s="489"/>
      <c r="F614" s="489"/>
      <c r="G614" s="489"/>
      <c r="H614" s="489"/>
      <c r="I614" s="489"/>
      <c r="J614" s="489"/>
      <c r="K614" s="489"/>
      <c r="L614" s="489"/>
      <c r="M614" s="489"/>
      <c r="N614" s="489"/>
      <c r="O614" s="489"/>
      <c r="P614" s="489"/>
      <c r="Q614" s="489"/>
      <c r="R614" s="489"/>
      <c r="S614" s="489"/>
      <c r="T614" s="489"/>
      <c r="U614" s="489"/>
      <c r="V614" s="489"/>
      <c r="W614" s="489"/>
    </row>
    <row r="615" spans="1:23">
      <c r="A615" s="489"/>
      <c r="B615" s="489"/>
      <c r="C615" s="489"/>
      <c r="D615" s="489"/>
      <c r="E615" s="489"/>
      <c r="F615" s="489"/>
      <c r="G615" s="489"/>
      <c r="H615" s="489"/>
      <c r="I615" s="489"/>
      <c r="J615" s="489"/>
      <c r="K615" s="489"/>
      <c r="L615" s="489"/>
      <c r="M615" s="489"/>
      <c r="N615" s="489"/>
      <c r="O615" s="489"/>
      <c r="P615" s="489"/>
      <c r="Q615" s="489"/>
      <c r="R615" s="489"/>
      <c r="S615" s="489"/>
      <c r="T615" s="489"/>
      <c r="U615" s="489"/>
      <c r="V615" s="489"/>
      <c r="W615" s="489"/>
    </row>
    <row r="616" spans="1:23">
      <c r="A616" s="489"/>
      <c r="B616" s="489"/>
      <c r="C616" s="489"/>
      <c r="D616" s="489"/>
      <c r="E616" s="489"/>
      <c r="F616" s="489"/>
      <c r="G616" s="489"/>
      <c r="H616" s="489"/>
      <c r="I616" s="489"/>
      <c r="J616" s="489"/>
      <c r="K616" s="489"/>
      <c r="L616" s="489"/>
      <c r="M616" s="489"/>
      <c r="N616" s="489"/>
      <c r="O616" s="489"/>
      <c r="P616" s="489"/>
      <c r="Q616" s="489"/>
      <c r="R616" s="489"/>
      <c r="S616" s="489"/>
      <c r="T616" s="489"/>
      <c r="U616" s="489"/>
      <c r="V616" s="489"/>
      <c r="W616" s="489"/>
    </row>
    <row r="617" spans="1:23">
      <c r="A617" s="489"/>
      <c r="B617" s="489"/>
      <c r="C617" s="489"/>
      <c r="D617" s="489"/>
      <c r="E617" s="489"/>
      <c r="F617" s="489"/>
      <c r="G617" s="489"/>
      <c r="H617" s="489"/>
      <c r="I617" s="489"/>
      <c r="J617" s="489"/>
      <c r="K617" s="489"/>
      <c r="L617" s="489"/>
      <c r="M617" s="489"/>
      <c r="N617" s="489"/>
      <c r="O617" s="489"/>
      <c r="P617" s="489"/>
      <c r="Q617" s="489"/>
      <c r="R617" s="489"/>
      <c r="S617" s="489"/>
      <c r="T617" s="489"/>
      <c r="U617" s="489"/>
      <c r="V617" s="489"/>
      <c r="W617" s="489"/>
    </row>
    <row r="618" spans="1:23">
      <c r="A618" s="489"/>
      <c r="B618" s="489"/>
      <c r="C618" s="489"/>
      <c r="D618" s="489"/>
      <c r="E618" s="489"/>
      <c r="F618" s="489"/>
      <c r="G618" s="489"/>
      <c r="H618" s="489"/>
      <c r="I618" s="489"/>
      <c r="J618" s="489"/>
      <c r="K618" s="489"/>
      <c r="L618" s="489"/>
      <c r="M618" s="489"/>
      <c r="N618" s="489"/>
      <c r="O618" s="489"/>
      <c r="P618" s="489"/>
      <c r="Q618" s="489"/>
      <c r="R618" s="489"/>
      <c r="S618" s="489"/>
      <c r="T618" s="489"/>
      <c r="U618" s="489"/>
      <c r="V618" s="489"/>
      <c r="W618" s="489"/>
    </row>
    <row r="619" spans="1:23">
      <c r="A619" s="489"/>
      <c r="B619" s="489"/>
      <c r="C619" s="489"/>
      <c r="D619" s="489"/>
      <c r="E619" s="489"/>
      <c r="F619" s="489"/>
      <c r="G619" s="489"/>
      <c r="H619" s="489"/>
      <c r="I619" s="489"/>
      <c r="J619" s="489"/>
      <c r="K619" s="489"/>
      <c r="L619" s="489"/>
      <c r="M619" s="489"/>
      <c r="N619" s="489"/>
      <c r="O619" s="489"/>
      <c r="P619" s="489"/>
      <c r="Q619" s="489"/>
      <c r="R619" s="489"/>
      <c r="S619" s="489"/>
      <c r="T619" s="489"/>
      <c r="U619" s="489"/>
      <c r="V619" s="489"/>
      <c r="W619" s="489"/>
    </row>
    <row r="620" spans="1:23">
      <c r="A620" s="489"/>
      <c r="B620" s="489"/>
      <c r="C620" s="489"/>
      <c r="D620" s="489"/>
      <c r="E620" s="489"/>
      <c r="F620" s="489"/>
      <c r="G620" s="489"/>
      <c r="H620" s="489"/>
      <c r="I620" s="489"/>
      <c r="J620" s="489"/>
      <c r="K620" s="489"/>
      <c r="L620" s="489"/>
      <c r="M620" s="489"/>
      <c r="N620" s="489"/>
      <c r="O620" s="489"/>
      <c r="P620" s="489"/>
      <c r="Q620" s="489"/>
      <c r="R620" s="489"/>
      <c r="S620" s="489"/>
      <c r="T620" s="489"/>
      <c r="U620" s="489"/>
      <c r="V620" s="489"/>
      <c r="W620" s="489"/>
    </row>
    <row r="621" spans="1:23">
      <c r="A621" s="489"/>
      <c r="B621" s="489"/>
      <c r="C621" s="489"/>
      <c r="D621" s="489"/>
      <c r="E621" s="489"/>
      <c r="F621" s="489"/>
      <c r="G621" s="489"/>
      <c r="H621" s="489"/>
      <c r="I621" s="489"/>
      <c r="J621" s="489"/>
      <c r="K621" s="489"/>
      <c r="L621" s="489"/>
      <c r="M621" s="489"/>
      <c r="N621" s="489"/>
      <c r="O621" s="489"/>
      <c r="P621" s="489"/>
      <c r="Q621" s="489"/>
      <c r="R621" s="489"/>
      <c r="S621" s="489"/>
      <c r="T621" s="489"/>
      <c r="U621" s="489"/>
      <c r="V621" s="489"/>
      <c r="W621" s="489"/>
    </row>
    <row r="622" spans="1:23">
      <c r="A622" s="489"/>
      <c r="B622" s="489"/>
      <c r="C622" s="489"/>
      <c r="D622" s="489"/>
      <c r="E622" s="489"/>
      <c r="F622" s="489"/>
      <c r="G622" s="489"/>
      <c r="H622" s="489"/>
      <c r="I622" s="489"/>
      <c r="J622" s="489"/>
      <c r="K622" s="489"/>
      <c r="L622" s="489"/>
      <c r="M622" s="489"/>
      <c r="N622" s="489"/>
      <c r="O622" s="489"/>
      <c r="P622" s="489"/>
      <c r="Q622" s="489"/>
      <c r="R622" s="489"/>
      <c r="S622" s="489"/>
      <c r="T622" s="489"/>
      <c r="U622" s="489"/>
      <c r="V622" s="489"/>
      <c r="W622" s="489"/>
    </row>
    <row r="623" spans="1:23">
      <c r="A623" s="489"/>
      <c r="B623" s="489"/>
      <c r="C623" s="489"/>
      <c r="D623" s="489"/>
      <c r="E623" s="489"/>
      <c r="F623" s="489"/>
      <c r="G623" s="489"/>
      <c r="H623" s="489"/>
      <c r="I623" s="489"/>
      <c r="J623" s="489"/>
      <c r="K623" s="489"/>
      <c r="L623" s="489"/>
      <c r="M623" s="489"/>
      <c r="N623" s="489"/>
      <c r="O623" s="489"/>
      <c r="P623" s="489"/>
      <c r="Q623" s="489"/>
      <c r="R623" s="489"/>
      <c r="S623" s="489"/>
      <c r="T623" s="489"/>
      <c r="U623" s="489"/>
      <c r="V623" s="489"/>
      <c r="W623" s="489"/>
    </row>
    <row r="624" spans="1:23">
      <c r="A624" s="489"/>
      <c r="B624" s="489"/>
      <c r="C624" s="489"/>
      <c r="D624" s="489"/>
      <c r="E624" s="489"/>
      <c r="F624" s="489"/>
      <c r="G624" s="489"/>
      <c r="H624" s="489"/>
      <c r="I624" s="489"/>
      <c r="J624" s="489"/>
      <c r="K624" s="489"/>
      <c r="L624" s="489"/>
      <c r="M624" s="489"/>
      <c r="N624" s="489"/>
      <c r="O624" s="489"/>
      <c r="P624" s="489"/>
      <c r="Q624" s="489"/>
      <c r="R624" s="489"/>
      <c r="S624" s="489"/>
      <c r="T624" s="489"/>
      <c r="U624" s="489"/>
      <c r="V624" s="489"/>
      <c r="W624" s="489"/>
    </row>
    <row r="625" spans="1:23">
      <c r="A625" s="489"/>
      <c r="B625" s="489"/>
      <c r="C625" s="489"/>
      <c r="D625" s="489"/>
      <c r="E625" s="489"/>
      <c r="F625" s="489"/>
      <c r="G625" s="489"/>
      <c r="H625" s="489"/>
      <c r="I625" s="489"/>
      <c r="J625" s="489"/>
      <c r="K625" s="489"/>
      <c r="L625" s="489"/>
      <c r="M625" s="489"/>
      <c r="N625" s="489"/>
      <c r="O625" s="489"/>
      <c r="P625" s="489"/>
      <c r="Q625" s="489"/>
      <c r="R625" s="489"/>
      <c r="S625" s="489"/>
      <c r="T625" s="489"/>
      <c r="U625" s="489"/>
      <c r="V625" s="489"/>
      <c r="W625" s="489"/>
    </row>
    <row r="626" spans="1:23">
      <c r="A626" s="489"/>
      <c r="B626" s="489"/>
      <c r="C626" s="489"/>
      <c r="D626" s="489"/>
      <c r="E626" s="489"/>
      <c r="F626" s="489"/>
      <c r="G626" s="489"/>
      <c r="H626" s="489"/>
      <c r="I626" s="489"/>
      <c r="J626" s="489"/>
      <c r="K626" s="489"/>
      <c r="L626" s="489"/>
      <c r="M626" s="489"/>
      <c r="N626" s="489"/>
      <c r="O626" s="489"/>
      <c r="P626" s="489"/>
      <c r="Q626" s="489"/>
      <c r="R626" s="489"/>
      <c r="S626" s="489"/>
      <c r="T626" s="489"/>
      <c r="U626" s="489"/>
      <c r="V626" s="489"/>
      <c r="W626" s="489"/>
    </row>
    <row r="627" spans="1:23">
      <c r="A627" s="489"/>
      <c r="B627" s="489"/>
      <c r="C627" s="489"/>
      <c r="D627" s="489"/>
      <c r="E627" s="489"/>
      <c r="F627" s="489"/>
      <c r="G627" s="489"/>
      <c r="H627" s="489"/>
      <c r="I627" s="489"/>
      <c r="J627" s="489"/>
      <c r="K627" s="489"/>
      <c r="L627" s="489"/>
      <c r="M627" s="489"/>
      <c r="N627" s="489"/>
      <c r="O627" s="489"/>
      <c r="P627" s="489"/>
      <c r="Q627" s="489"/>
      <c r="R627" s="489"/>
      <c r="S627" s="489"/>
      <c r="T627" s="489"/>
      <c r="U627" s="489"/>
      <c r="V627" s="489"/>
      <c r="W627" s="489"/>
    </row>
    <row r="628" spans="1:23">
      <c r="A628" s="489"/>
      <c r="B628" s="489"/>
      <c r="C628" s="489"/>
      <c r="D628" s="489"/>
      <c r="E628" s="489"/>
      <c r="F628" s="489"/>
      <c r="G628" s="489"/>
      <c r="H628" s="489"/>
      <c r="I628" s="489"/>
      <c r="J628" s="489"/>
      <c r="K628" s="489"/>
      <c r="L628" s="489"/>
      <c r="M628" s="489"/>
      <c r="N628" s="489"/>
      <c r="O628" s="489"/>
      <c r="P628" s="489"/>
      <c r="Q628" s="489"/>
      <c r="R628" s="489"/>
      <c r="S628" s="489"/>
      <c r="T628" s="489"/>
      <c r="U628" s="489"/>
      <c r="V628" s="489"/>
      <c r="W628" s="489"/>
    </row>
    <row r="629" spans="1:23">
      <c r="A629" s="489"/>
      <c r="B629" s="489"/>
      <c r="C629" s="489"/>
      <c r="D629" s="489"/>
      <c r="E629" s="489"/>
      <c r="F629" s="489"/>
      <c r="G629" s="489"/>
      <c r="H629" s="489"/>
      <c r="I629" s="489"/>
      <c r="J629" s="489"/>
      <c r="K629" s="489"/>
      <c r="L629" s="489"/>
      <c r="M629" s="489"/>
      <c r="N629" s="489"/>
      <c r="O629" s="489"/>
      <c r="P629" s="489"/>
      <c r="Q629" s="489"/>
      <c r="R629" s="489"/>
      <c r="S629" s="489"/>
      <c r="T629" s="489"/>
      <c r="U629" s="489"/>
      <c r="V629" s="489"/>
      <c r="W629" s="489"/>
    </row>
    <row r="630" spans="1:23">
      <c r="A630" s="489"/>
      <c r="B630" s="489"/>
      <c r="C630" s="489"/>
      <c r="D630" s="489"/>
      <c r="E630" s="489"/>
      <c r="F630" s="489"/>
      <c r="G630" s="489"/>
      <c r="H630" s="489"/>
      <c r="I630" s="489"/>
      <c r="J630" s="489"/>
      <c r="K630" s="489"/>
      <c r="L630" s="489"/>
      <c r="M630" s="489"/>
      <c r="N630" s="489"/>
      <c r="O630" s="489"/>
      <c r="P630" s="489"/>
      <c r="Q630" s="489"/>
      <c r="R630" s="489"/>
      <c r="S630" s="489"/>
      <c r="T630" s="489"/>
      <c r="U630" s="489"/>
      <c r="V630" s="489"/>
      <c r="W630" s="489"/>
    </row>
    <row r="631" spans="1:23">
      <c r="A631" s="489"/>
      <c r="B631" s="489"/>
      <c r="C631" s="489"/>
      <c r="D631" s="489"/>
      <c r="E631" s="489"/>
      <c r="F631" s="489"/>
      <c r="G631" s="489"/>
      <c r="H631" s="489"/>
      <c r="I631" s="489"/>
      <c r="J631" s="489"/>
      <c r="K631" s="489"/>
      <c r="L631" s="489"/>
      <c r="M631" s="489"/>
      <c r="N631" s="489"/>
      <c r="O631" s="489"/>
      <c r="P631" s="489"/>
      <c r="Q631" s="489"/>
      <c r="R631" s="489"/>
      <c r="S631" s="489"/>
      <c r="T631" s="489"/>
      <c r="U631" s="489"/>
      <c r="V631" s="489"/>
      <c r="W631" s="489"/>
    </row>
    <row r="632" spans="1:23">
      <c r="A632" s="489"/>
      <c r="B632" s="489"/>
      <c r="C632" s="489"/>
      <c r="D632" s="489"/>
      <c r="E632" s="489"/>
      <c r="F632" s="489"/>
      <c r="G632" s="489"/>
      <c r="H632" s="489"/>
      <c r="I632" s="489"/>
      <c r="J632" s="489"/>
      <c r="K632" s="489"/>
      <c r="L632" s="489"/>
      <c r="M632" s="489"/>
      <c r="N632" s="489"/>
      <c r="O632" s="489"/>
      <c r="P632" s="489"/>
      <c r="Q632" s="489"/>
      <c r="R632" s="489"/>
      <c r="S632" s="489"/>
      <c r="T632" s="489"/>
      <c r="U632" s="489"/>
      <c r="V632" s="489"/>
      <c r="W632" s="489"/>
    </row>
    <row r="633" spans="1:23">
      <c r="A633" s="489"/>
      <c r="B633" s="489"/>
      <c r="C633" s="489"/>
      <c r="D633" s="489"/>
      <c r="E633" s="489"/>
      <c r="F633" s="489"/>
      <c r="G633" s="489"/>
      <c r="H633" s="489"/>
      <c r="I633" s="489"/>
      <c r="J633" s="489"/>
      <c r="K633" s="489"/>
      <c r="L633" s="489"/>
      <c r="M633" s="489"/>
      <c r="N633" s="489"/>
      <c r="O633" s="489"/>
      <c r="P633" s="489"/>
      <c r="Q633" s="489"/>
      <c r="R633" s="489"/>
      <c r="S633" s="489"/>
      <c r="T633" s="489"/>
      <c r="U633" s="489"/>
      <c r="V633" s="489"/>
      <c r="W633" s="489"/>
    </row>
    <row r="634" spans="1:23">
      <c r="A634" s="489"/>
      <c r="B634" s="489"/>
      <c r="C634" s="489"/>
      <c r="D634" s="489"/>
      <c r="E634" s="489"/>
      <c r="F634" s="489"/>
      <c r="G634" s="489"/>
      <c r="H634" s="489"/>
      <c r="I634" s="489"/>
      <c r="J634" s="489"/>
      <c r="K634" s="489"/>
      <c r="L634" s="489"/>
      <c r="M634" s="489"/>
      <c r="N634" s="489"/>
      <c r="O634" s="489"/>
      <c r="P634" s="489"/>
      <c r="Q634" s="489"/>
      <c r="R634" s="489"/>
      <c r="S634" s="489"/>
      <c r="T634" s="489"/>
      <c r="U634" s="489"/>
      <c r="V634" s="489"/>
      <c r="W634" s="489"/>
    </row>
    <row r="635" spans="1:23">
      <c r="A635" s="489"/>
      <c r="B635" s="489"/>
      <c r="C635" s="489"/>
      <c r="D635" s="489"/>
      <c r="E635" s="489"/>
      <c r="F635" s="489"/>
      <c r="G635" s="489"/>
      <c r="H635" s="489"/>
      <c r="I635" s="489"/>
      <c r="J635" s="489"/>
      <c r="K635" s="489"/>
      <c r="L635" s="489"/>
      <c r="M635" s="489"/>
      <c r="N635" s="489"/>
      <c r="O635" s="489"/>
      <c r="P635" s="489"/>
      <c r="Q635" s="489"/>
      <c r="R635" s="489"/>
      <c r="S635" s="489"/>
      <c r="T635" s="489"/>
      <c r="U635" s="489"/>
      <c r="V635" s="489"/>
      <c r="W635" s="489"/>
    </row>
    <row r="636" spans="1:23">
      <c r="A636" s="489"/>
      <c r="B636" s="489"/>
      <c r="C636" s="489"/>
      <c r="D636" s="489"/>
      <c r="E636" s="489"/>
      <c r="F636" s="489"/>
      <c r="G636" s="489"/>
      <c r="H636" s="489"/>
      <c r="I636" s="489"/>
      <c r="J636" s="489"/>
      <c r="K636" s="489"/>
      <c r="L636" s="489"/>
      <c r="M636" s="489"/>
      <c r="N636" s="489"/>
      <c r="O636" s="489"/>
      <c r="P636" s="489"/>
      <c r="Q636" s="489"/>
      <c r="R636" s="489"/>
      <c r="S636" s="489"/>
      <c r="T636" s="489"/>
      <c r="U636" s="489"/>
      <c r="V636" s="489"/>
      <c r="W636" s="489"/>
    </row>
    <row r="637" spans="1:23">
      <c r="A637" s="489"/>
      <c r="B637" s="489"/>
      <c r="C637" s="489"/>
      <c r="D637" s="489"/>
      <c r="E637" s="489"/>
      <c r="F637" s="489"/>
      <c r="G637" s="489"/>
      <c r="H637" s="489"/>
      <c r="I637" s="489"/>
      <c r="J637" s="489"/>
      <c r="K637" s="489"/>
      <c r="L637" s="489"/>
      <c r="M637" s="489"/>
      <c r="N637" s="489"/>
      <c r="O637" s="489"/>
      <c r="P637" s="489"/>
      <c r="Q637" s="489"/>
      <c r="R637" s="489"/>
      <c r="S637" s="489"/>
      <c r="T637" s="489"/>
      <c r="U637" s="489"/>
      <c r="V637" s="489"/>
      <c r="W637" s="489"/>
    </row>
    <row r="638" spans="1:23">
      <c r="A638" s="489"/>
      <c r="B638" s="489"/>
      <c r="C638" s="489"/>
      <c r="D638" s="489"/>
      <c r="E638" s="489"/>
      <c r="F638" s="489"/>
      <c r="G638" s="489"/>
      <c r="H638" s="489"/>
      <c r="I638" s="489"/>
      <c r="J638" s="489"/>
      <c r="K638" s="489"/>
      <c r="L638" s="489"/>
      <c r="M638" s="489"/>
      <c r="N638" s="489"/>
      <c r="O638" s="489"/>
      <c r="P638" s="489"/>
      <c r="Q638" s="489"/>
      <c r="R638" s="489"/>
      <c r="S638" s="489"/>
      <c r="T638" s="489"/>
      <c r="U638" s="489"/>
      <c r="V638" s="489"/>
      <c r="W638" s="489"/>
    </row>
    <row r="639" spans="1:23">
      <c r="A639" s="489"/>
      <c r="B639" s="489"/>
      <c r="C639" s="489"/>
      <c r="D639" s="489"/>
      <c r="E639" s="489"/>
      <c r="F639" s="489"/>
      <c r="G639" s="489"/>
      <c r="H639" s="489"/>
      <c r="I639" s="489"/>
      <c r="J639" s="489"/>
      <c r="K639" s="489"/>
      <c r="L639" s="489"/>
      <c r="M639" s="489"/>
      <c r="N639" s="489"/>
      <c r="O639" s="489"/>
      <c r="P639" s="489"/>
      <c r="Q639" s="489"/>
      <c r="R639" s="489"/>
      <c r="S639" s="489"/>
      <c r="T639" s="489"/>
      <c r="U639" s="489"/>
      <c r="V639" s="489"/>
      <c r="W639" s="489"/>
    </row>
    <row r="640" spans="1:23">
      <c r="A640" s="489"/>
      <c r="B640" s="489"/>
      <c r="C640" s="489"/>
      <c r="D640" s="489"/>
      <c r="E640" s="489"/>
      <c r="F640" s="489"/>
      <c r="G640" s="489"/>
      <c r="H640" s="489"/>
      <c r="I640" s="489"/>
      <c r="J640" s="489"/>
      <c r="K640" s="489"/>
      <c r="L640" s="489"/>
      <c r="M640" s="489"/>
      <c r="N640" s="489"/>
      <c r="O640" s="489"/>
      <c r="P640" s="489"/>
      <c r="Q640" s="489"/>
      <c r="R640" s="489"/>
      <c r="S640" s="489"/>
      <c r="T640" s="489"/>
      <c r="U640" s="489"/>
      <c r="V640" s="489"/>
      <c r="W640" s="489"/>
    </row>
    <row r="641" spans="1:23">
      <c r="A641" s="489"/>
      <c r="B641" s="489"/>
      <c r="C641" s="489"/>
      <c r="D641" s="489"/>
      <c r="E641" s="489"/>
      <c r="F641" s="489"/>
      <c r="G641" s="489"/>
      <c r="H641" s="489"/>
      <c r="I641" s="489"/>
      <c r="J641" s="489"/>
      <c r="K641" s="489"/>
      <c r="L641" s="489"/>
      <c r="M641" s="489"/>
      <c r="N641" s="489"/>
      <c r="O641" s="489"/>
      <c r="P641" s="489"/>
      <c r="Q641" s="489"/>
      <c r="R641" s="489"/>
      <c r="S641" s="489"/>
      <c r="T641" s="489"/>
      <c r="U641" s="489"/>
      <c r="V641" s="489"/>
      <c r="W641" s="489"/>
    </row>
    <row r="642" spans="1:23">
      <c r="A642" s="489"/>
      <c r="B642" s="489"/>
      <c r="C642" s="489"/>
      <c r="D642" s="489"/>
      <c r="E642" s="489"/>
      <c r="F642" s="489"/>
      <c r="G642" s="489"/>
      <c r="H642" s="489"/>
      <c r="I642" s="489"/>
      <c r="J642" s="489"/>
      <c r="K642" s="489"/>
      <c r="L642" s="489"/>
      <c r="M642" s="489"/>
      <c r="N642" s="489"/>
      <c r="O642" s="489"/>
      <c r="P642" s="489"/>
      <c r="Q642" s="489"/>
      <c r="R642" s="489"/>
      <c r="S642" s="489"/>
      <c r="T642" s="489"/>
      <c r="U642" s="489"/>
      <c r="V642" s="489"/>
      <c r="W642" s="489"/>
    </row>
    <row r="643" spans="1:23">
      <c r="A643" s="489"/>
      <c r="B643" s="489"/>
      <c r="C643" s="489"/>
      <c r="D643" s="489"/>
      <c r="E643" s="489"/>
      <c r="F643" s="489"/>
      <c r="G643" s="489"/>
      <c r="H643" s="489"/>
      <c r="I643" s="489"/>
      <c r="J643" s="489"/>
      <c r="K643" s="489"/>
      <c r="L643" s="489"/>
      <c r="M643" s="489"/>
      <c r="N643" s="489"/>
      <c r="O643" s="489"/>
      <c r="P643" s="489"/>
      <c r="Q643" s="489"/>
      <c r="R643" s="489"/>
      <c r="S643" s="489"/>
      <c r="T643" s="489"/>
      <c r="U643" s="489"/>
      <c r="V643" s="489"/>
      <c r="W643" s="489"/>
    </row>
    <row r="644" spans="1:23">
      <c r="A644" s="489"/>
      <c r="B644" s="489"/>
      <c r="C644" s="489"/>
      <c r="D644" s="489"/>
      <c r="E644" s="489"/>
      <c r="F644" s="489"/>
      <c r="G644" s="489"/>
      <c r="H644" s="489"/>
      <c r="I644" s="489"/>
      <c r="J644" s="489"/>
      <c r="K644" s="489"/>
      <c r="L644" s="489"/>
      <c r="M644" s="489"/>
      <c r="N644" s="489"/>
      <c r="O644" s="489"/>
      <c r="P644" s="489"/>
      <c r="Q644" s="489"/>
      <c r="R644" s="489"/>
      <c r="S644" s="489"/>
      <c r="T644" s="489"/>
      <c r="U644" s="489"/>
      <c r="V644" s="489"/>
      <c r="W644" s="489"/>
    </row>
    <row r="645" spans="1:23">
      <c r="A645" s="489"/>
      <c r="B645" s="489"/>
      <c r="C645" s="489"/>
      <c r="D645" s="489"/>
      <c r="E645" s="489"/>
      <c r="F645" s="489"/>
      <c r="G645" s="489"/>
      <c r="H645" s="489"/>
      <c r="I645" s="489"/>
      <c r="J645" s="489"/>
      <c r="K645" s="489"/>
      <c r="L645" s="489"/>
      <c r="M645" s="489"/>
      <c r="N645" s="489"/>
      <c r="O645" s="489"/>
      <c r="P645" s="489"/>
      <c r="Q645" s="489"/>
      <c r="R645" s="489"/>
      <c r="S645" s="489"/>
      <c r="T645" s="489"/>
      <c r="U645" s="489"/>
      <c r="V645" s="489"/>
      <c r="W645" s="489"/>
    </row>
    <row r="646" spans="1:23">
      <c r="A646" s="489"/>
      <c r="B646" s="489"/>
      <c r="C646" s="489"/>
      <c r="D646" s="489"/>
      <c r="E646" s="489"/>
      <c r="F646" s="489"/>
      <c r="G646" s="489"/>
      <c r="H646" s="489"/>
      <c r="I646" s="489"/>
      <c r="J646" s="489"/>
      <c r="K646" s="489"/>
      <c r="L646" s="489"/>
      <c r="M646" s="489"/>
      <c r="N646" s="489"/>
      <c r="O646" s="489"/>
      <c r="P646" s="489"/>
      <c r="Q646" s="489"/>
      <c r="R646" s="489"/>
      <c r="S646" s="489"/>
      <c r="T646" s="489"/>
      <c r="U646" s="489"/>
      <c r="V646" s="489"/>
      <c r="W646" s="489"/>
    </row>
    <row r="647" spans="1:23">
      <c r="A647" s="489"/>
      <c r="B647" s="489"/>
      <c r="C647" s="489"/>
      <c r="D647" s="489"/>
      <c r="E647" s="489"/>
      <c r="F647" s="489"/>
      <c r="G647" s="489"/>
      <c r="H647" s="489"/>
      <c r="I647" s="489"/>
      <c r="J647" s="489"/>
      <c r="K647" s="489"/>
      <c r="L647" s="489"/>
      <c r="M647" s="489"/>
      <c r="N647" s="489"/>
      <c r="O647" s="489"/>
      <c r="P647" s="489"/>
      <c r="Q647" s="489"/>
      <c r="R647" s="489"/>
      <c r="S647" s="489"/>
      <c r="T647" s="489"/>
      <c r="U647" s="489"/>
      <c r="V647" s="489"/>
      <c r="W647" s="489"/>
    </row>
    <row r="648" spans="1:23">
      <c r="A648" s="489"/>
      <c r="B648" s="489"/>
      <c r="C648" s="489"/>
      <c r="D648" s="489"/>
      <c r="E648" s="489"/>
      <c r="F648" s="489"/>
      <c r="G648" s="489"/>
      <c r="H648" s="489"/>
      <c r="I648" s="489"/>
      <c r="J648" s="489"/>
      <c r="K648" s="489"/>
      <c r="L648" s="489"/>
      <c r="M648" s="489"/>
      <c r="N648" s="489"/>
      <c r="O648" s="489"/>
      <c r="P648" s="489"/>
      <c r="Q648" s="489"/>
      <c r="R648" s="489"/>
      <c r="S648" s="489"/>
      <c r="T648" s="489"/>
      <c r="U648" s="489"/>
      <c r="V648" s="489"/>
      <c r="W648" s="489"/>
    </row>
    <row r="649" spans="1:23">
      <c r="A649" s="489"/>
      <c r="B649" s="489"/>
      <c r="C649" s="489"/>
      <c r="D649" s="489"/>
      <c r="E649" s="489"/>
      <c r="F649" s="489"/>
      <c r="G649" s="489"/>
      <c r="H649" s="489"/>
      <c r="I649" s="489"/>
      <c r="J649" s="489"/>
      <c r="K649" s="489"/>
      <c r="L649" s="489"/>
      <c r="M649" s="489"/>
      <c r="N649" s="489"/>
      <c r="O649" s="489"/>
      <c r="P649" s="489"/>
      <c r="Q649" s="489"/>
      <c r="R649" s="489"/>
      <c r="S649" s="489"/>
      <c r="T649" s="489"/>
      <c r="U649" s="489"/>
      <c r="V649" s="489"/>
      <c r="W649" s="489"/>
    </row>
    <row r="650" spans="1:23">
      <c r="A650" s="489"/>
      <c r="B650" s="489"/>
      <c r="C650" s="489"/>
      <c r="D650" s="489"/>
      <c r="E650" s="489"/>
      <c r="F650" s="489"/>
      <c r="G650" s="489"/>
      <c r="H650" s="489"/>
      <c r="I650" s="489"/>
      <c r="J650" s="489"/>
      <c r="K650" s="489"/>
      <c r="L650" s="489"/>
      <c r="M650" s="489"/>
      <c r="N650" s="489"/>
      <c r="O650" s="489"/>
      <c r="P650" s="489"/>
      <c r="Q650" s="489"/>
      <c r="R650" s="489"/>
      <c r="S650" s="489"/>
      <c r="T650" s="489"/>
      <c r="U650" s="489"/>
      <c r="V650" s="489"/>
      <c r="W650" s="489"/>
    </row>
    <row r="651" spans="1:23">
      <c r="A651" s="489"/>
      <c r="B651" s="489"/>
      <c r="C651" s="489"/>
      <c r="D651" s="489"/>
      <c r="E651" s="489"/>
      <c r="F651" s="489"/>
      <c r="G651" s="489"/>
      <c r="H651" s="489"/>
      <c r="I651" s="489"/>
      <c r="J651" s="489"/>
      <c r="K651" s="489"/>
      <c r="L651" s="489"/>
      <c r="M651" s="489"/>
      <c r="N651" s="489"/>
      <c r="O651" s="489"/>
      <c r="P651" s="489"/>
      <c r="Q651" s="489"/>
      <c r="R651" s="489"/>
      <c r="S651" s="489"/>
      <c r="T651" s="489"/>
      <c r="U651" s="489"/>
      <c r="V651" s="489"/>
      <c r="W651" s="489"/>
    </row>
    <row r="652" spans="1:23">
      <c r="A652" s="489"/>
      <c r="B652" s="489"/>
      <c r="C652" s="489"/>
      <c r="D652" s="489"/>
      <c r="E652" s="489"/>
      <c r="F652" s="489"/>
      <c r="G652" s="489"/>
      <c r="H652" s="489"/>
      <c r="I652" s="489"/>
      <c r="J652" s="489"/>
      <c r="K652" s="489"/>
      <c r="L652" s="489"/>
      <c r="M652" s="489"/>
      <c r="N652" s="489"/>
      <c r="O652" s="489"/>
      <c r="P652" s="489"/>
      <c r="Q652" s="489"/>
      <c r="R652" s="489"/>
      <c r="S652" s="489"/>
      <c r="T652" s="489"/>
      <c r="U652" s="489"/>
      <c r="V652" s="489"/>
      <c r="W652" s="489"/>
    </row>
    <row r="653" spans="1:23">
      <c r="A653" s="489"/>
      <c r="B653" s="489"/>
      <c r="C653" s="489"/>
      <c r="D653" s="489"/>
      <c r="E653" s="489"/>
      <c r="F653" s="489"/>
      <c r="G653" s="489"/>
      <c r="H653" s="489"/>
      <c r="I653" s="489"/>
      <c r="J653" s="489"/>
      <c r="K653" s="489"/>
      <c r="L653" s="489"/>
      <c r="M653" s="489"/>
      <c r="N653" s="489"/>
      <c r="O653" s="489"/>
      <c r="P653" s="489"/>
      <c r="Q653" s="489"/>
      <c r="R653" s="489"/>
      <c r="S653" s="489"/>
      <c r="T653" s="489"/>
      <c r="U653" s="489"/>
      <c r="V653" s="489"/>
      <c r="W653" s="489"/>
    </row>
    <row r="654" spans="1:23">
      <c r="A654" s="489"/>
      <c r="B654" s="489"/>
      <c r="C654" s="489"/>
      <c r="D654" s="489"/>
      <c r="E654" s="489"/>
      <c r="F654" s="489"/>
      <c r="G654" s="489"/>
      <c r="H654" s="489"/>
      <c r="I654" s="489"/>
      <c r="J654" s="489"/>
      <c r="K654" s="489"/>
      <c r="L654" s="489"/>
      <c r="M654" s="489"/>
      <c r="N654" s="489"/>
      <c r="O654" s="489"/>
      <c r="P654" s="489"/>
      <c r="Q654" s="489"/>
      <c r="R654" s="489"/>
      <c r="S654" s="489"/>
      <c r="T654" s="489"/>
      <c r="U654" s="489"/>
      <c r="V654" s="489"/>
      <c r="W654" s="489"/>
    </row>
    <row r="655" spans="1:23">
      <c r="A655" s="489"/>
      <c r="B655" s="489"/>
      <c r="C655" s="489"/>
      <c r="D655" s="489"/>
      <c r="E655" s="489"/>
      <c r="F655" s="489"/>
      <c r="G655" s="489"/>
      <c r="H655" s="489"/>
      <c r="I655" s="489"/>
      <c r="J655" s="489"/>
      <c r="K655" s="489"/>
      <c r="L655" s="489"/>
      <c r="M655" s="489"/>
      <c r="N655" s="489"/>
      <c r="O655" s="489"/>
      <c r="P655" s="489"/>
      <c r="Q655" s="489"/>
      <c r="R655" s="489"/>
      <c r="S655" s="489"/>
      <c r="T655" s="489"/>
      <c r="U655" s="489"/>
      <c r="V655" s="489"/>
      <c r="W655" s="489"/>
    </row>
    <row r="656" spans="1:23">
      <c r="A656" s="489"/>
      <c r="B656" s="489"/>
      <c r="C656" s="489"/>
      <c r="D656" s="489"/>
      <c r="E656" s="489"/>
      <c r="F656" s="489"/>
      <c r="G656" s="489"/>
      <c r="H656" s="489"/>
      <c r="I656" s="489"/>
      <c r="J656" s="489"/>
      <c r="K656" s="489"/>
      <c r="L656" s="489"/>
      <c r="M656" s="489"/>
      <c r="N656" s="489"/>
      <c r="O656" s="489"/>
      <c r="P656" s="489"/>
      <c r="Q656" s="489"/>
      <c r="R656" s="489"/>
      <c r="S656" s="489"/>
      <c r="T656" s="489"/>
      <c r="U656" s="489"/>
      <c r="V656" s="489"/>
      <c r="W656" s="489"/>
    </row>
    <row r="657" spans="1:23">
      <c r="A657" s="489"/>
      <c r="B657" s="489"/>
      <c r="C657" s="489"/>
      <c r="D657" s="489"/>
      <c r="E657" s="489"/>
      <c r="F657" s="489"/>
      <c r="G657" s="489"/>
      <c r="H657" s="489"/>
      <c r="I657" s="489"/>
      <c r="J657" s="489"/>
      <c r="K657" s="489"/>
      <c r="L657" s="489"/>
      <c r="M657" s="489"/>
      <c r="N657" s="489"/>
      <c r="O657" s="489"/>
      <c r="P657" s="489"/>
      <c r="Q657" s="489"/>
      <c r="R657" s="489"/>
      <c r="S657" s="489"/>
      <c r="T657" s="489"/>
      <c r="U657" s="489"/>
      <c r="V657" s="489"/>
      <c r="W657" s="489"/>
    </row>
    <row r="658" spans="1:23">
      <c r="A658" s="489"/>
      <c r="B658" s="489"/>
      <c r="C658" s="489"/>
      <c r="D658" s="489"/>
      <c r="E658" s="489"/>
      <c r="F658" s="489"/>
      <c r="G658" s="489"/>
      <c r="H658" s="489"/>
      <c r="I658" s="489"/>
      <c r="J658" s="489"/>
      <c r="K658" s="489"/>
      <c r="L658" s="489"/>
      <c r="M658" s="489"/>
      <c r="N658" s="489"/>
      <c r="O658" s="489"/>
      <c r="P658" s="489"/>
      <c r="Q658" s="489"/>
      <c r="R658" s="489"/>
      <c r="S658" s="489"/>
      <c r="T658" s="489"/>
      <c r="U658" s="489"/>
      <c r="V658" s="489"/>
      <c r="W658" s="489"/>
    </row>
    <row r="659" spans="1:23">
      <c r="A659" s="489"/>
      <c r="B659" s="489"/>
      <c r="C659" s="489"/>
      <c r="D659" s="489"/>
      <c r="E659" s="489"/>
      <c r="F659" s="489"/>
      <c r="G659" s="489"/>
      <c r="H659" s="489"/>
      <c r="I659" s="489"/>
      <c r="J659" s="489"/>
      <c r="K659" s="489"/>
      <c r="L659" s="489"/>
      <c r="M659" s="489"/>
      <c r="N659" s="489"/>
      <c r="O659" s="489"/>
      <c r="P659" s="489"/>
      <c r="Q659" s="489"/>
      <c r="R659" s="489"/>
      <c r="S659" s="489"/>
      <c r="T659" s="489"/>
      <c r="U659" s="489"/>
      <c r="V659" s="489"/>
      <c r="W659" s="489"/>
    </row>
    <row r="660" spans="1:23">
      <c r="A660" s="489"/>
      <c r="B660" s="489"/>
      <c r="C660" s="489"/>
      <c r="D660" s="489"/>
      <c r="E660" s="489"/>
      <c r="F660" s="489"/>
      <c r="G660" s="489"/>
      <c r="H660" s="489"/>
      <c r="I660" s="489"/>
      <c r="J660" s="489"/>
      <c r="K660" s="489"/>
      <c r="L660" s="489"/>
      <c r="M660" s="489"/>
      <c r="N660" s="489"/>
      <c r="O660" s="489"/>
      <c r="P660" s="489"/>
      <c r="Q660" s="489"/>
      <c r="R660" s="489"/>
      <c r="S660" s="489"/>
      <c r="T660" s="489"/>
      <c r="U660" s="489"/>
      <c r="V660" s="489"/>
      <c r="W660" s="489"/>
    </row>
    <row r="661" spans="1:23">
      <c r="A661" s="489"/>
      <c r="B661" s="489"/>
      <c r="C661" s="489"/>
      <c r="D661" s="489"/>
      <c r="E661" s="489"/>
      <c r="F661" s="489"/>
      <c r="G661" s="489"/>
      <c r="H661" s="489"/>
      <c r="I661" s="489"/>
      <c r="J661" s="489"/>
      <c r="K661" s="489"/>
      <c r="L661" s="489"/>
      <c r="M661" s="489"/>
      <c r="N661" s="489"/>
      <c r="O661" s="489"/>
      <c r="P661" s="489"/>
      <c r="Q661" s="489"/>
      <c r="R661" s="489"/>
      <c r="S661" s="489"/>
      <c r="T661" s="489"/>
      <c r="U661" s="489"/>
      <c r="V661" s="489"/>
      <c r="W661" s="489"/>
    </row>
    <row r="662" spans="1:23">
      <c r="A662" s="489"/>
      <c r="B662" s="489"/>
      <c r="C662" s="489"/>
      <c r="D662" s="489"/>
      <c r="E662" s="489"/>
      <c r="F662" s="489"/>
      <c r="G662" s="489"/>
      <c r="H662" s="489"/>
      <c r="I662" s="489"/>
      <c r="J662" s="489"/>
      <c r="K662" s="489"/>
      <c r="L662" s="489"/>
      <c r="M662" s="489"/>
      <c r="N662" s="489"/>
      <c r="O662" s="489"/>
      <c r="P662" s="489"/>
      <c r="Q662" s="489"/>
      <c r="R662" s="489"/>
      <c r="S662" s="489"/>
      <c r="T662" s="489"/>
      <c r="U662" s="489"/>
      <c r="V662" s="489"/>
      <c r="W662" s="489"/>
    </row>
    <row r="663" spans="1:23">
      <c r="A663" s="489"/>
      <c r="B663" s="489"/>
      <c r="C663" s="489"/>
      <c r="D663" s="489"/>
      <c r="E663" s="489"/>
      <c r="F663" s="489"/>
      <c r="G663" s="489"/>
      <c r="H663" s="489"/>
      <c r="I663" s="489"/>
      <c r="J663" s="489"/>
      <c r="K663" s="489"/>
      <c r="L663" s="489"/>
      <c r="M663" s="489"/>
      <c r="N663" s="489"/>
      <c r="O663" s="489"/>
      <c r="P663" s="489"/>
      <c r="Q663" s="489"/>
      <c r="R663" s="489"/>
      <c r="S663" s="489"/>
      <c r="T663" s="489"/>
      <c r="U663" s="489"/>
      <c r="V663" s="489"/>
      <c r="W663" s="489"/>
    </row>
    <row r="664" spans="1:23">
      <c r="A664" s="489"/>
      <c r="B664" s="489"/>
      <c r="C664" s="489"/>
      <c r="D664" s="489"/>
      <c r="E664" s="489"/>
      <c r="F664" s="489"/>
      <c r="G664" s="489"/>
      <c r="H664" s="489"/>
      <c r="I664" s="489"/>
      <c r="J664" s="489"/>
      <c r="K664" s="489"/>
      <c r="L664" s="489"/>
      <c r="M664" s="489"/>
      <c r="N664" s="489"/>
      <c r="O664" s="489"/>
      <c r="P664" s="489"/>
      <c r="Q664" s="489"/>
      <c r="R664" s="489"/>
      <c r="S664" s="489"/>
      <c r="T664" s="489"/>
      <c r="U664" s="489"/>
      <c r="V664" s="489"/>
      <c r="W664" s="489"/>
    </row>
    <row r="665" spans="1:23">
      <c r="A665" s="489"/>
      <c r="B665" s="489"/>
      <c r="C665" s="489"/>
      <c r="D665" s="489"/>
      <c r="E665" s="489"/>
      <c r="F665" s="489"/>
      <c r="G665" s="489"/>
      <c r="H665" s="489"/>
      <c r="I665" s="489"/>
      <c r="J665" s="489"/>
      <c r="K665" s="489"/>
      <c r="L665" s="489"/>
      <c r="M665" s="489"/>
      <c r="N665" s="489"/>
      <c r="O665" s="489"/>
      <c r="P665" s="489"/>
      <c r="Q665" s="489"/>
      <c r="R665" s="489"/>
      <c r="S665" s="489"/>
      <c r="T665" s="489"/>
      <c r="U665" s="489"/>
      <c r="V665" s="489"/>
      <c r="W665" s="489"/>
    </row>
    <row r="666" spans="1:23">
      <c r="A666" s="489"/>
      <c r="B666" s="489"/>
      <c r="C666" s="489"/>
      <c r="D666" s="489"/>
      <c r="E666" s="489"/>
      <c r="F666" s="489"/>
      <c r="G666" s="489"/>
      <c r="H666" s="489"/>
      <c r="I666" s="489"/>
      <c r="J666" s="489"/>
      <c r="K666" s="489"/>
      <c r="L666" s="489"/>
      <c r="M666" s="489"/>
      <c r="N666" s="489"/>
      <c r="O666" s="489"/>
      <c r="P666" s="489"/>
      <c r="Q666" s="489"/>
      <c r="R666" s="489"/>
      <c r="S666" s="489"/>
      <c r="T666" s="489"/>
      <c r="U666" s="489"/>
      <c r="V666" s="489"/>
      <c r="W666" s="489"/>
    </row>
    <row r="667" spans="1:23">
      <c r="A667" s="489"/>
      <c r="B667" s="489"/>
      <c r="C667" s="489"/>
      <c r="D667" s="489"/>
      <c r="E667" s="489"/>
      <c r="F667" s="489"/>
      <c r="G667" s="489"/>
      <c r="H667" s="489"/>
      <c r="I667" s="489"/>
      <c r="J667" s="489"/>
      <c r="K667" s="489"/>
      <c r="L667" s="489"/>
      <c r="M667" s="489"/>
      <c r="N667" s="489"/>
      <c r="O667" s="489"/>
      <c r="P667" s="489"/>
      <c r="Q667" s="489"/>
      <c r="R667" s="489"/>
      <c r="S667" s="489"/>
      <c r="T667" s="489"/>
      <c r="U667" s="489"/>
      <c r="V667" s="489"/>
      <c r="W667" s="489"/>
    </row>
    <row r="668" spans="1:23">
      <c r="A668" s="489"/>
      <c r="B668" s="489"/>
      <c r="C668" s="489"/>
      <c r="D668" s="489"/>
      <c r="E668" s="489"/>
      <c r="F668" s="489"/>
      <c r="G668" s="489"/>
      <c r="H668" s="489"/>
      <c r="I668" s="489"/>
      <c r="J668" s="489"/>
      <c r="K668" s="489"/>
      <c r="L668" s="489"/>
      <c r="M668" s="489"/>
      <c r="N668" s="489"/>
      <c r="O668" s="489"/>
      <c r="P668" s="489"/>
      <c r="Q668" s="489"/>
      <c r="R668" s="489"/>
      <c r="S668" s="489"/>
      <c r="T668" s="489"/>
      <c r="U668" s="489"/>
      <c r="V668" s="489"/>
      <c r="W668" s="489"/>
    </row>
    <row r="669" spans="1:23">
      <c r="A669" s="489"/>
      <c r="B669" s="489"/>
      <c r="C669" s="489"/>
      <c r="D669" s="489"/>
      <c r="E669" s="489"/>
      <c r="F669" s="489"/>
      <c r="G669" s="489"/>
      <c r="H669" s="489"/>
      <c r="I669" s="489"/>
      <c r="J669" s="489"/>
      <c r="K669" s="489"/>
      <c r="L669" s="489"/>
      <c r="M669" s="489"/>
      <c r="N669" s="489"/>
      <c r="O669" s="489"/>
      <c r="P669" s="489"/>
      <c r="Q669" s="489"/>
      <c r="R669" s="489"/>
      <c r="S669" s="489"/>
      <c r="T669" s="489"/>
      <c r="U669" s="489"/>
      <c r="V669" s="489"/>
      <c r="W669" s="489"/>
    </row>
    <row r="670" spans="1:23">
      <c r="A670" s="489"/>
      <c r="B670" s="489"/>
      <c r="C670" s="489"/>
      <c r="D670" s="489"/>
      <c r="E670" s="489"/>
      <c r="F670" s="489"/>
      <c r="G670" s="489"/>
      <c r="H670" s="489"/>
      <c r="I670" s="489"/>
      <c r="J670" s="489"/>
      <c r="K670" s="489"/>
      <c r="L670" s="489"/>
      <c r="M670" s="489"/>
      <c r="N670" s="489"/>
      <c r="O670" s="489"/>
      <c r="P670" s="489"/>
      <c r="Q670" s="489"/>
      <c r="R670" s="489"/>
      <c r="S670" s="489"/>
      <c r="T670" s="489"/>
      <c r="U670" s="489"/>
      <c r="V670" s="489"/>
      <c r="W670" s="489"/>
    </row>
    <row r="671" spans="1:23">
      <c r="A671" s="489"/>
      <c r="B671" s="489"/>
      <c r="C671" s="489"/>
      <c r="D671" s="489"/>
      <c r="E671" s="489"/>
      <c r="F671" s="489"/>
      <c r="G671" s="489"/>
      <c r="H671" s="489"/>
      <c r="I671" s="489"/>
      <c r="J671" s="489"/>
      <c r="K671" s="489"/>
      <c r="L671" s="489"/>
      <c r="M671" s="489"/>
      <c r="N671" s="489"/>
      <c r="O671" s="489"/>
      <c r="P671" s="489"/>
      <c r="Q671" s="489"/>
      <c r="R671" s="489"/>
      <c r="S671" s="489"/>
      <c r="T671" s="489"/>
      <c r="U671" s="489"/>
      <c r="V671" s="489"/>
      <c r="W671" s="489"/>
    </row>
    <row r="672" spans="1:23">
      <c r="A672" s="489"/>
      <c r="B672" s="489"/>
      <c r="C672" s="489"/>
      <c r="D672" s="489"/>
      <c r="E672" s="489"/>
      <c r="F672" s="489"/>
      <c r="G672" s="489"/>
      <c r="H672" s="489"/>
      <c r="I672" s="489"/>
      <c r="J672" s="489"/>
      <c r="K672" s="489"/>
      <c r="L672" s="489"/>
      <c r="M672" s="489"/>
      <c r="N672" s="489"/>
      <c r="O672" s="489"/>
      <c r="P672" s="489"/>
      <c r="Q672" s="489"/>
      <c r="R672" s="489"/>
      <c r="S672" s="489"/>
      <c r="T672" s="489"/>
      <c r="U672" s="489"/>
      <c r="V672" s="489"/>
      <c r="W672" s="489"/>
    </row>
    <row r="673" spans="1:23">
      <c r="A673" s="489"/>
      <c r="B673" s="489"/>
      <c r="C673" s="489"/>
      <c r="D673" s="489"/>
      <c r="E673" s="489"/>
      <c r="F673" s="489"/>
      <c r="G673" s="489"/>
      <c r="H673" s="489"/>
      <c r="I673" s="489"/>
      <c r="J673" s="489"/>
      <c r="K673" s="489"/>
      <c r="L673" s="489"/>
      <c r="M673" s="489"/>
      <c r="N673" s="489"/>
      <c r="O673" s="489"/>
      <c r="P673" s="489"/>
      <c r="Q673" s="489"/>
      <c r="R673" s="489"/>
      <c r="S673" s="489"/>
      <c r="T673" s="489"/>
      <c r="U673" s="489"/>
      <c r="V673" s="489"/>
      <c r="W673" s="489"/>
    </row>
    <row r="674" spans="1:23">
      <c r="A674" s="489"/>
      <c r="B674" s="489"/>
      <c r="C674" s="489"/>
      <c r="D674" s="489"/>
      <c r="E674" s="489"/>
      <c r="F674" s="489"/>
      <c r="G674" s="489"/>
      <c r="H674" s="489"/>
      <c r="I674" s="489"/>
      <c r="J674" s="489"/>
      <c r="K674" s="489"/>
      <c r="L674" s="489"/>
      <c r="M674" s="489"/>
      <c r="N674" s="489"/>
      <c r="O674" s="489"/>
      <c r="P674" s="489"/>
      <c r="Q674" s="489"/>
      <c r="R674" s="489"/>
      <c r="S674" s="489"/>
      <c r="T674" s="489"/>
      <c r="U674" s="489"/>
      <c r="V674" s="489"/>
      <c r="W674" s="489"/>
    </row>
    <row r="675" spans="1:23">
      <c r="A675" s="489"/>
      <c r="B675" s="489"/>
      <c r="C675" s="489"/>
      <c r="D675" s="489"/>
      <c r="E675" s="489"/>
      <c r="F675" s="489"/>
      <c r="G675" s="489"/>
      <c r="H675" s="489"/>
      <c r="I675" s="489"/>
      <c r="J675" s="489"/>
      <c r="K675" s="489"/>
      <c r="L675" s="489"/>
      <c r="M675" s="489"/>
      <c r="N675" s="489"/>
      <c r="O675" s="489"/>
      <c r="P675" s="489"/>
      <c r="Q675" s="489"/>
      <c r="R675" s="489"/>
      <c r="S675" s="489"/>
      <c r="T675" s="489"/>
      <c r="U675" s="489"/>
      <c r="V675" s="489"/>
      <c r="W675" s="489"/>
    </row>
    <row r="676" spans="1:23">
      <c r="A676" s="489"/>
      <c r="B676" s="489"/>
      <c r="C676" s="489"/>
      <c r="D676" s="489"/>
      <c r="E676" s="489"/>
      <c r="F676" s="489"/>
      <c r="G676" s="489"/>
      <c r="H676" s="489"/>
      <c r="I676" s="489"/>
      <c r="J676" s="489"/>
      <c r="K676" s="489"/>
      <c r="L676" s="489"/>
      <c r="M676" s="489"/>
      <c r="N676" s="489"/>
      <c r="O676" s="489"/>
      <c r="P676" s="489"/>
      <c r="Q676" s="489"/>
      <c r="R676" s="489"/>
      <c r="S676" s="489"/>
      <c r="T676" s="489"/>
      <c r="U676" s="489"/>
      <c r="V676" s="489"/>
      <c r="W676" s="489"/>
    </row>
    <row r="677" spans="1:23">
      <c r="A677" s="489"/>
      <c r="B677" s="489"/>
      <c r="C677" s="489"/>
      <c r="D677" s="489"/>
      <c r="E677" s="489"/>
      <c r="F677" s="489"/>
      <c r="G677" s="489"/>
      <c r="H677" s="489"/>
      <c r="I677" s="489"/>
      <c r="J677" s="489"/>
      <c r="K677" s="489"/>
      <c r="L677" s="489"/>
      <c r="M677" s="489"/>
      <c r="N677" s="489"/>
      <c r="O677" s="489"/>
      <c r="P677" s="489"/>
      <c r="Q677" s="489"/>
      <c r="R677" s="489"/>
      <c r="S677" s="489"/>
      <c r="T677" s="489"/>
      <c r="U677" s="489"/>
      <c r="V677" s="489"/>
      <c r="W677" s="489"/>
    </row>
    <row r="678" spans="1:23">
      <c r="A678" s="489"/>
      <c r="B678" s="489"/>
      <c r="C678" s="489"/>
      <c r="D678" s="489"/>
      <c r="E678" s="489"/>
      <c r="F678" s="489"/>
      <c r="G678" s="489"/>
      <c r="H678" s="489"/>
      <c r="I678" s="489"/>
      <c r="J678" s="489"/>
      <c r="K678" s="489"/>
      <c r="L678" s="489"/>
      <c r="M678" s="489"/>
      <c r="N678" s="489"/>
      <c r="O678" s="489"/>
      <c r="P678" s="489"/>
      <c r="Q678" s="489"/>
      <c r="R678" s="489"/>
      <c r="S678" s="489"/>
      <c r="T678" s="489"/>
      <c r="U678" s="489"/>
      <c r="V678" s="489"/>
      <c r="W678" s="489"/>
    </row>
    <row r="679" spans="1:23">
      <c r="A679" s="489"/>
      <c r="B679" s="489"/>
      <c r="C679" s="489"/>
      <c r="D679" s="489"/>
      <c r="E679" s="489"/>
      <c r="F679" s="489"/>
      <c r="G679" s="489"/>
      <c r="H679" s="489"/>
      <c r="I679" s="489"/>
      <c r="J679" s="489"/>
      <c r="K679" s="489"/>
      <c r="L679" s="489"/>
      <c r="M679" s="489"/>
      <c r="N679" s="489"/>
      <c r="O679" s="489"/>
      <c r="P679" s="489"/>
      <c r="Q679" s="489"/>
      <c r="R679" s="489"/>
      <c r="S679" s="489"/>
      <c r="T679" s="489"/>
      <c r="U679" s="489"/>
      <c r="V679" s="489"/>
      <c r="W679" s="489"/>
    </row>
    <row r="680" spans="1:23">
      <c r="A680" s="489"/>
      <c r="B680" s="489"/>
      <c r="C680" s="489"/>
      <c r="D680" s="489"/>
      <c r="E680" s="489"/>
      <c r="F680" s="489"/>
      <c r="G680" s="489"/>
      <c r="H680" s="489"/>
      <c r="I680" s="489"/>
      <c r="J680" s="489"/>
      <c r="K680" s="489"/>
      <c r="L680" s="489"/>
      <c r="M680" s="489"/>
      <c r="N680" s="489"/>
      <c r="O680" s="489"/>
      <c r="P680" s="489"/>
      <c r="Q680" s="489"/>
      <c r="R680" s="489"/>
      <c r="S680" s="489"/>
      <c r="T680" s="489"/>
      <c r="U680" s="489"/>
      <c r="V680" s="489"/>
      <c r="W680" s="489"/>
    </row>
    <row r="681" spans="1:23">
      <c r="A681" s="489"/>
      <c r="B681" s="489"/>
      <c r="C681" s="489"/>
      <c r="D681" s="489"/>
      <c r="E681" s="489"/>
      <c r="F681" s="489"/>
      <c r="G681" s="489"/>
      <c r="H681" s="489"/>
      <c r="I681" s="489"/>
      <c r="J681" s="489"/>
      <c r="K681" s="489"/>
      <c r="L681" s="489"/>
      <c r="M681" s="489"/>
      <c r="N681" s="489"/>
      <c r="O681" s="489"/>
      <c r="P681" s="489"/>
      <c r="Q681" s="489"/>
      <c r="R681" s="489"/>
      <c r="S681" s="489"/>
      <c r="T681" s="489"/>
      <c r="U681" s="489"/>
      <c r="V681" s="489"/>
      <c r="W681" s="489"/>
    </row>
    <row r="682" spans="1:23">
      <c r="A682" s="489"/>
      <c r="B682" s="489"/>
      <c r="C682" s="489"/>
      <c r="D682" s="489"/>
      <c r="E682" s="489"/>
      <c r="F682" s="489"/>
      <c r="G682" s="489"/>
      <c r="H682" s="489"/>
      <c r="I682" s="489"/>
      <c r="J682" s="489"/>
      <c r="K682" s="489"/>
      <c r="L682" s="489"/>
      <c r="M682" s="489"/>
      <c r="N682" s="489"/>
      <c r="O682" s="489"/>
      <c r="P682" s="489"/>
      <c r="Q682" s="489"/>
      <c r="R682" s="489"/>
      <c r="S682" s="489"/>
      <c r="T682" s="489"/>
      <c r="U682" s="489"/>
      <c r="V682" s="489"/>
      <c r="W682" s="489"/>
    </row>
    <row r="683" spans="1:23">
      <c r="A683" s="489"/>
      <c r="B683" s="489"/>
      <c r="C683" s="489"/>
      <c r="D683" s="489"/>
      <c r="E683" s="489"/>
      <c r="F683" s="489"/>
      <c r="G683" s="489"/>
      <c r="H683" s="489"/>
      <c r="I683" s="489"/>
      <c r="J683" s="489"/>
      <c r="K683" s="489"/>
      <c r="L683" s="489"/>
      <c r="M683" s="489"/>
      <c r="N683" s="489"/>
      <c r="O683" s="489"/>
      <c r="P683" s="489"/>
      <c r="Q683" s="489"/>
      <c r="R683" s="489"/>
      <c r="S683" s="489"/>
      <c r="T683" s="489"/>
      <c r="U683" s="489"/>
      <c r="V683" s="489"/>
      <c r="W683" s="489"/>
    </row>
    <row r="684" spans="1:23">
      <c r="A684" s="489"/>
      <c r="B684" s="489"/>
      <c r="C684" s="489"/>
      <c r="D684" s="489"/>
      <c r="E684" s="489"/>
      <c r="F684" s="489"/>
      <c r="G684" s="489"/>
      <c r="H684" s="489"/>
      <c r="I684" s="489"/>
      <c r="J684" s="489"/>
      <c r="K684" s="489"/>
      <c r="L684" s="489"/>
      <c r="M684" s="489"/>
      <c r="N684" s="489"/>
      <c r="O684" s="489"/>
      <c r="P684" s="489"/>
      <c r="Q684" s="489"/>
      <c r="R684" s="489"/>
      <c r="S684" s="489"/>
      <c r="T684" s="489"/>
      <c r="U684" s="489"/>
      <c r="V684" s="489"/>
      <c r="W684" s="489"/>
    </row>
    <row r="685" spans="1:23">
      <c r="A685" s="489"/>
      <c r="B685" s="489"/>
      <c r="C685" s="489"/>
      <c r="D685" s="489"/>
      <c r="E685" s="489"/>
      <c r="F685" s="489"/>
      <c r="G685" s="489"/>
      <c r="H685" s="489"/>
      <c r="I685" s="489"/>
      <c r="J685" s="489"/>
      <c r="K685" s="489"/>
      <c r="L685" s="489"/>
      <c r="M685" s="489"/>
      <c r="N685" s="489"/>
      <c r="O685" s="489"/>
      <c r="P685" s="489"/>
      <c r="Q685" s="489"/>
      <c r="R685" s="489"/>
      <c r="S685" s="489"/>
      <c r="T685" s="489"/>
      <c r="U685" s="489"/>
      <c r="V685" s="489"/>
      <c r="W685" s="489"/>
    </row>
    <row r="686" spans="1:23">
      <c r="A686" s="489"/>
      <c r="B686" s="489"/>
      <c r="C686" s="489"/>
      <c r="D686" s="489"/>
      <c r="E686" s="489"/>
      <c r="F686" s="489"/>
      <c r="G686" s="489"/>
      <c r="H686" s="489"/>
      <c r="I686" s="489"/>
      <c r="J686" s="489"/>
      <c r="K686" s="489"/>
      <c r="L686" s="489"/>
      <c r="M686" s="489"/>
      <c r="N686" s="489"/>
      <c r="O686" s="489"/>
      <c r="P686" s="489"/>
      <c r="Q686" s="489"/>
      <c r="R686" s="489"/>
      <c r="S686" s="489"/>
      <c r="T686" s="489"/>
      <c r="U686" s="489"/>
      <c r="V686" s="489"/>
      <c r="W686" s="489"/>
    </row>
    <row r="687" spans="1:23">
      <c r="A687" s="489"/>
      <c r="B687" s="489"/>
      <c r="C687" s="489"/>
      <c r="D687" s="489"/>
      <c r="E687" s="489"/>
      <c r="F687" s="489"/>
      <c r="G687" s="489"/>
      <c r="H687" s="489"/>
      <c r="I687" s="489"/>
      <c r="J687" s="489"/>
      <c r="K687" s="489"/>
      <c r="L687" s="489"/>
      <c r="M687" s="489"/>
      <c r="N687" s="489"/>
      <c r="O687" s="489"/>
      <c r="P687" s="489"/>
      <c r="Q687" s="489"/>
      <c r="R687" s="489"/>
      <c r="S687" s="489"/>
      <c r="T687" s="489"/>
      <c r="U687" s="489"/>
      <c r="V687" s="489"/>
      <c r="W687" s="489"/>
    </row>
    <row r="688" spans="1:23">
      <c r="A688" s="489"/>
      <c r="B688" s="489"/>
      <c r="C688" s="489"/>
      <c r="D688" s="489"/>
      <c r="E688" s="489"/>
      <c r="F688" s="489"/>
      <c r="G688" s="489"/>
      <c r="H688" s="489"/>
      <c r="I688" s="489"/>
      <c r="J688" s="489"/>
      <c r="K688" s="489"/>
      <c r="L688" s="489"/>
      <c r="M688" s="489"/>
      <c r="N688" s="489"/>
      <c r="O688" s="489"/>
      <c r="P688" s="489"/>
      <c r="Q688" s="489"/>
      <c r="R688" s="489"/>
      <c r="S688" s="489"/>
      <c r="T688" s="489"/>
      <c r="U688" s="489"/>
      <c r="V688" s="489"/>
      <c r="W688" s="489"/>
    </row>
    <row r="689" spans="1:23">
      <c r="A689" s="489"/>
      <c r="B689" s="489"/>
      <c r="C689" s="489"/>
      <c r="D689" s="489"/>
      <c r="E689" s="489"/>
      <c r="F689" s="489"/>
      <c r="G689" s="489"/>
      <c r="H689" s="489"/>
      <c r="I689" s="489"/>
      <c r="J689" s="489"/>
      <c r="K689" s="489"/>
      <c r="L689" s="489"/>
      <c r="M689" s="489"/>
      <c r="N689" s="489"/>
      <c r="O689" s="489"/>
      <c r="P689" s="489"/>
      <c r="Q689" s="489"/>
      <c r="R689" s="489"/>
      <c r="S689" s="489"/>
      <c r="T689" s="489"/>
      <c r="U689" s="489"/>
      <c r="V689" s="489"/>
      <c r="W689" s="489"/>
    </row>
    <row r="690" spans="1:23">
      <c r="A690" s="489"/>
      <c r="B690" s="489"/>
      <c r="C690" s="489"/>
      <c r="D690" s="489"/>
      <c r="E690" s="489"/>
      <c r="F690" s="489"/>
      <c r="G690" s="489"/>
      <c r="H690" s="489"/>
      <c r="I690" s="489"/>
      <c r="J690" s="489"/>
      <c r="K690" s="489"/>
      <c r="L690" s="489"/>
      <c r="M690" s="489"/>
      <c r="N690" s="489"/>
      <c r="O690" s="489"/>
      <c r="P690" s="489"/>
      <c r="Q690" s="489"/>
      <c r="R690" s="489"/>
      <c r="S690" s="489"/>
      <c r="T690" s="489"/>
      <c r="U690" s="489"/>
      <c r="V690" s="489"/>
      <c r="W690" s="489"/>
    </row>
    <row r="691" spans="1:23">
      <c r="A691" s="489"/>
      <c r="B691" s="489"/>
      <c r="C691" s="489"/>
      <c r="D691" s="489"/>
      <c r="E691" s="489"/>
      <c r="F691" s="489"/>
      <c r="G691" s="489"/>
      <c r="H691" s="489"/>
      <c r="I691" s="489"/>
      <c r="J691" s="489"/>
      <c r="K691" s="489"/>
      <c r="L691" s="489"/>
      <c r="M691" s="489"/>
      <c r="N691" s="489"/>
      <c r="O691" s="489"/>
      <c r="P691" s="489"/>
      <c r="Q691" s="489"/>
      <c r="R691" s="489"/>
      <c r="S691" s="489"/>
      <c r="T691" s="489"/>
      <c r="U691" s="489"/>
      <c r="V691" s="489"/>
      <c r="W691" s="489"/>
    </row>
    <row r="692" spans="1:23">
      <c r="A692" s="489"/>
      <c r="B692" s="489"/>
      <c r="C692" s="489"/>
      <c r="D692" s="489"/>
      <c r="E692" s="489"/>
      <c r="F692" s="489"/>
      <c r="G692" s="489"/>
      <c r="H692" s="489"/>
      <c r="I692" s="489"/>
      <c r="J692" s="489"/>
      <c r="K692" s="489"/>
      <c r="L692" s="489"/>
      <c r="M692" s="489"/>
      <c r="N692" s="489"/>
      <c r="O692" s="489"/>
      <c r="P692" s="489"/>
      <c r="Q692" s="489"/>
      <c r="R692" s="489"/>
      <c r="S692" s="489"/>
      <c r="T692" s="489"/>
      <c r="U692" s="489"/>
      <c r="V692" s="489"/>
      <c r="W692" s="489"/>
    </row>
    <row r="693" spans="1:23">
      <c r="A693" s="489"/>
      <c r="B693" s="489"/>
      <c r="C693" s="489"/>
      <c r="D693" s="489"/>
      <c r="E693" s="489"/>
      <c r="F693" s="489"/>
      <c r="G693" s="489"/>
      <c r="H693" s="489"/>
      <c r="I693" s="489"/>
      <c r="J693" s="489"/>
      <c r="K693" s="489"/>
      <c r="L693" s="489"/>
      <c r="M693" s="489"/>
      <c r="N693" s="489"/>
      <c r="O693" s="489"/>
      <c r="P693" s="489"/>
      <c r="Q693" s="489"/>
      <c r="R693" s="489"/>
      <c r="S693" s="489"/>
      <c r="T693" s="489"/>
      <c r="U693" s="489"/>
      <c r="V693" s="489"/>
      <c r="W693" s="489"/>
    </row>
    <row r="694" spans="1:23">
      <c r="A694" s="489"/>
      <c r="B694" s="489"/>
      <c r="C694" s="489"/>
      <c r="D694" s="489"/>
      <c r="E694" s="489"/>
      <c r="F694" s="489"/>
      <c r="G694" s="489"/>
      <c r="H694" s="489"/>
      <c r="I694" s="489"/>
      <c r="J694" s="489"/>
      <c r="K694" s="489"/>
      <c r="L694" s="489"/>
      <c r="M694" s="489"/>
      <c r="N694" s="489"/>
      <c r="O694" s="489"/>
      <c r="P694" s="489"/>
      <c r="Q694" s="489"/>
      <c r="R694" s="489"/>
      <c r="S694" s="489"/>
      <c r="T694" s="489"/>
      <c r="U694" s="489"/>
      <c r="V694" s="489"/>
      <c r="W694" s="489"/>
    </row>
    <row r="695" spans="1:23">
      <c r="A695" s="489"/>
      <c r="B695" s="489"/>
      <c r="C695" s="489"/>
      <c r="D695" s="489"/>
      <c r="E695" s="489"/>
      <c r="F695" s="489"/>
      <c r="G695" s="489"/>
      <c r="H695" s="489"/>
      <c r="I695" s="489"/>
      <c r="J695" s="489"/>
      <c r="K695" s="489"/>
      <c r="L695" s="489"/>
      <c r="M695" s="489"/>
      <c r="N695" s="489"/>
      <c r="O695" s="489"/>
      <c r="P695" s="489"/>
      <c r="Q695" s="489"/>
      <c r="R695" s="489"/>
      <c r="S695" s="489"/>
      <c r="T695" s="489"/>
      <c r="U695" s="489"/>
      <c r="V695" s="489"/>
      <c r="W695" s="489"/>
    </row>
    <row r="696" spans="1:23">
      <c r="A696" s="489"/>
      <c r="B696" s="489"/>
      <c r="C696" s="489"/>
      <c r="D696" s="489"/>
      <c r="E696" s="489"/>
      <c r="F696" s="489"/>
      <c r="G696" s="489"/>
      <c r="H696" s="489"/>
      <c r="I696" s="489"/>
      <c r="J696" s="489"/>
      <c r="K696" s="489"/>
      <c r="L696" s="489"/>
      <c r="M696" s="489"/>
      <c r="N696" s="489"/>
      <c r="O696" s="489"/>
      <c r="P696" s="489"/>
      <c r="Q696" s="489"/>
      <c r="R696" s="489"/>
      <c r="S696" s="489"/>
      <c r="T696" s="489"/>
      <c r="U696" s="489"/>
      <c r="V696" s="489"/>
      <c r="W696" s="489"/>
    </row>
    <row r="697" spans="1:23">
      <c r="A697" s="489"/>
      <c r="B697" s="489"/>
      <c r="C697" s="489"/>
      <c r="D697" s="489"/>
      <c r="E697" s="489"/>
      <c r="F697" s="489"/>
      <c r="G697" s="489"/>
      <c r="H697" s="489"/>
      <c r="I697" s="489"/>
      <c r="J697" s="489"/>
      <c r="K697" s="489"/>
      <c r="L697" s="489"/>
      <c r="M697" s="489"/>
      <c r="N697" s="489"/>
      <c r="O697" s="489"/>
      <c r="P697" s="489"/>
      <c r="Q697" s="489"/>
      <c r="R697" s="489"/>
      <c r="S697" s="489"/>
      <c r="T697" s="489"/>
      <c r="U697" s="489"/>
      <c r="V697" s="489"/>
      <c r="W697" s="489"/>
    </row>
    <row r="698" spans="1:23">
      <c r="A698" s="489"/>
      <c r="B698" s="489"/>
      <c r="C698" s="489"/>
      <c r="D698" s="489"/>
      <c r="E698" s="489"/>
      <c r="F698" s="489"/>
      <c r="G698" s="489"/>
      <c r="H698" s="489"/>
      <c r="I698" s="489"/>
      <c r="J698" s="489"/>
      <c r="K698" s="489"/>
      <c r="L698" s="489"/>
      <c r="M698" s="489"/>
      <c r="N698" s="489"/>
      <c r="O698" s="489"/>
      <c r="P698" s="489"/>
      <c r="Q698" s="489"/>
      <c r="R698" s="489"/>
      <c r="S698" s="489"/>
      <c r="T698" s="489"/>
      <c r="U698" s="489"/>
      <c r="V698" s="489"/>
      <c r="W698" s="489"/>
    </row>
    <row r="699" spans="1:23">
      <c r="A699" s="489"/>
      <c r="B699" s="489"/>
      <c r="C699" s="489"/>
      <c r="D699" s="489"/>
      <c r="E699" s="489"/>
      <c r="F699" s="489"/>
      <c r="G699" s="489"/>
      <c r="H699" s="489"/>
      <c r="I699" s="489"/>
      <c r="J699" s="489"/>
      <c r="K699" s="489"/>
      <c r="L699" s="489"/>
      <c r="M699" s="489"/>
      <c r="N699" s="489"/>
      <c r="O699" s="489"/>
      <c r="P699" s="489"/>
      <c r="Q699" s="489"/>
      <c r="R699" s="489"/>
      <c r="S699" s="489"/>
      <c r="T699" s="489"/>
      <c r="U699" s="489"/>
      <c r="V699" s="489"/>
      <c r="W699" s="489"/>
    </row>
    <row r="700" spans="1:23">
      <c r="A700" s="489"/>
      <c r="B700" s="489"/>
      <c r="C700" s="489"/>
      <c r="D700" s="489"/>
      <c r="E700" s="489"/>
      <c r="F700" s="489"/>
      <c r="G700" s="489"/>
      <c r="H700" s="489"/>
      <c r="I700" s="489"/>
      <c r="J700" s="489"/>
      <c r="K700" s="489"/>
      <c r="L700" s="489"/>
      <c r="M700" s="489"/>
      <c r="N700" s="489"/>
      <c r="O700" s="489"/>
      <c r="P700" s="489"/>
      <c r="Q700" s="489"/>
      <c r="R700" s="489"/>
      <c r="S700" s="489"/>
      <c r="T700" s="489"/>
      <c r="U700" s="489"/>
      <c r="V700" s="489"/>
      <c r="W700" s="489"/>
    </row>
    <row r="701" spans="1:23">
      <c r="A701" s="489"/>
      <c r="B701" s="489"/>
      <c r="C701" s="489"/>
      <c r="D701" s="489"/>
      <c r="E701" s="489"/>
      <c r="F701" s="489"/>
      <c r="G701" s="489"/>
      <c r="H701" s="489"/>
      <c r="I701" s="489"/>
      <c r="J701" s="489"/>
      <c r="K701" s="489"/>
      <c r="L701" s="489"/>
      <c r="M701" s="489"/>
      <c r="N701" s="489"/>
      <c r="O701" s="489"/>
      <c r="P701" s="489"/>
      <c r="Q701" s="489"/>
      <c r="R701" s="489"/>
      <c r="S701" s="489"/>
      <c r="T701" s="489"/>
      <c r="U701" s="489"/>
      <c r="V701" s="489"/>
      <c r="W701" s="489"/>
    </row>
    <row r="702" spans="1:23">
      <c r="A702" s="489"/>
      <c r="B702" s="489"/>
      <c r="C702" s="489"/>
      <c r="D702" s="489"/>
      <c r="E702" s="489"/>
      <c r="F702" s="489"/>
      <c r="G702" s="489"/>
      <c r="H702" s="489"/>
      <c r="I702" s="489"/>
      <c r="J702" s="489"/>
      <c r="K702" s="489"/>
      <c r="L702" s="489"/>
      <c r="M702" s="489"/>
      <c r="N702" s="489"/>
      <c r="O702" s="489"/>
      <c r="P702" s="489"/>
      <c r="Q702" s="489"/>
      <c r="R702" s="489"/>
      <c r="S702" s="489"/>
      <c r="T702" s="489"/>
      <c r="U702" s="489"/>
      <c r="V702" s="489"/>
      <c r="W702" s="489"/>
    </row>
    <row r="703" spans="1:23">
      <c r="A703" s="489"/>
      <c r="B703" s="489"/>
      <c r="C703" s="489"/>
      <c r="D703" s="489"/>
      <c r="E703" s="489"/>
      <c r="F703" s="489"/>
      <c r="G703" s="489"/>
      <c r="H703" s="489"/>
      <c r="I703" s="489"/>
      <c r="J703" s="489"/>
      <c r="K703" s="489"/>
      <c r="L703" s="489"/>
      <c r="M703" s="489"/>
      <c r="N703" s="489"/>
      <c r="O703" s="489"/>
      <c r="P703" s="489"/>
      <c r="Q703" s="489"/>
      <c r="R703" s="489"/>
      <c r="S703" s="489"/>
      <c r="T703" s="489"/>
      <c r="U703" s="489"/>
      <c r="V703" s="489"/>
      <c r="W703" s="489"/>
    </row>
    <row r="704" spans="1:23">
      <c r="A704" s="489"/>
      <c r="B704" s="489"/>
      <c r="C704" s="489"/>
      <c r="D704" s="489"/>
      <c r="E704" s="489"/>
      <c r="F704" s="489"/>
      <c r="G704" s="489"/>
      <c r="H704" s="489"/>
      <c r="I704" s="489"/>
      <c r="J704" s="489"/>
      <c r="K704" s="489"/>
      <c r="L704" s="489"/>
      <c r="M704" s="489"/>
      <c r="N704" s="489"/>
      <c r="O704" s="489"/>
      <c r="P704" s="489"/>
      <c r="Q704" s="489"/>
      <c r="R704" s="489"/>
      <c r="S704" s="489"/>
      <c r="T704" s="489"/>
      <c r="U704" s="489"/>
      <c r="V704" s="489"/>
      <c r="W704" s="489"/>
    </row>
    <row r="705" spans="1:23">
      <c r="A705" s="489"/>
      <c r="B705" s="489"/>
      <c r="C705" s="489"/>
      <c r="D705" s="489"/>
      <c r="E705" s="489"/>
      <c r="F705" s="489"/>
      <c r="G705" s="489"/>
      <c r="H705" s="489"/>
      <c r="I705" s="489"/>
      <c r="J705" s="489"/>
      <c r="K705" s="489"/>
      <c r="L705" s="489"/>
      <c r="M705" s="489"/>
      <c r="N705" s="489"/>
      <c r="O705" s="489"/>
      <c r="P705" s="489"/>
      <c r="Q705" s="489"/>
      <c r="R705" s="489"/>
      <c r="S705" s="489"/>
      <c r="T705" s="489"/>
      <c r="U705" s="489"/>
      <c r="V705" s="489"/>
      <c r="W705" s="489"/>
    </row>
    <row r="706" spans="1:23">
      <c r="A706" s="489"/>
      <c r="B706" s="489"/>
      <c r="C706" s="489"/>
      <c r="D706" s="489"/>
      <c r="E706" s="489"/>
      <c r="F706" s="489"/>
      <c r="G706" s="489"/>
      <c r="H706" s="489"/>
      <c r="I706" s="489"/>
      <c r="J706" s="489"/>
      <c r="K706" s="489"/>
      <c r="L706" s="489"/>
      <c r="M706" s="489"/>
      <c r="N706" s="489"/>
      <c r="O706" s="489"/>
      <c r="P706" s="489"/>
      <c r="Q706" s="489"/>
      <c r="R706" s="489"/>
      <c r="S706" s="489"/>
      <c r="T706" s="489"/>
      <c r="U706" s="489"/>
      <c r="V706" s="489"/>
      <c r="W706" s="489"/>
    </row>
    <row r="707" spans="1:23">
      <c r="A707" s="489"/>
      <c r="B707" s="489"/>
      <c r="C707" s="489"/>
      <c r="D707" s="489"/>
      <c r="E707" s="489"/>
      <c r="F707" s="489"/>
      <c r="G707" s="489"/>
      <c r="H707" s="489"/>
      <c r="I707" s="489"/>
      <c r="J707" s="489"/>
      <c r="K707" s="489"/>
      <c r="L707" s="489"/>
      <c r="M707" s="489"/>
      <c r="N707" s="489"/>
      <c r="O707" s="489"/>
      <c r="P707" s="489"/>
      <c r="Q707" s="489"/>
      <c r="R707" s="489"/>
      <c r="S707" s="489"/>
      <c r="T707" s="489"/>
      <c r="U707" s="489"/>
      <c r="V707" s="489"/>
      <c r="W707" s="489"/>
    </row>
    <row r="708" spans="1:23">
      <c r="A708" s="489"/>
      <c r="B708" s="489"/>
      <c r="C708" s="489"/>
      <c r="D708" s="489"/>
      <c r="E708" s="489"/>
      <c r="F708" s="489"/>
      <c r="G708" s="489"/>
      <c r="H708" s="489"/>
      <c r="I708" s="489"/>
      <c r="J708" s="489"/>
      <c r="K708" s="489"/>
      <c r="L708" s="489"/>
      <c r="M708" s="489"/>
      <c r="N708" s="489"/>
      <c r="O708" s="489"/>
      <c r="P708" s="489"/>
      <c r="Q708" s="489"/>
      <c r="R708" s="489"/>
      <c r="S708" s="489"/>
      <c r="T708" s="489"/>
      <c r="U708" s="489"/>
      <c r="V708" s="489"/>
      <c r="W708" s="489"/>
    </row>
    <row r="709" spans="1:23">
      <c r="A709" s="489"/>
      <c r="B709" s="489"/>
      <c r="C709" s="489"/>
      <c r="D709" s="489"/>
      <c r="E709" s="489"/>
      <c r="F709" s="489"/>
      <c r="G709" s="489"/>
      <c r="H709" s="489"/>
      <c r="I709" s="489"/>
      <c r="J709" s="489"/>
      <c r="K709" s="489"/>
      <c r="L709" s="489"/>
      <c r="M709" s="489"/>
      <c r="N709" s="489"/>
      <c r="O709" s="489"/>
      <c r="P709" s="489"/>
      <c r="Q709" s="489"/>
      <c r="R709" s="489"/>
      <c r="S709" s="489"/>
      <c r="T709" s="489"/>
      <c r="U709" s="489"/>
      <c r="V709" s="489"/>
      <c r="W709" s="489"/>
    </row>
    <row r="710" spans="1:23">
      <c r="A710" s="489"/>
      <c r="B710" s="489"/>
      <c r="C710" s="489"/>
      <c r="D710" s="489"/>
      <c r="E710" s="489"/>
      <c r="F710" s="489"/>
      <c r="G710" s="489"/>
      <c r="H710" s="489"/>
      <c r="I710" s="489"/>
      <c r="J710" s="489"/>
      <c r="K710" s="489"/>
      <c r="L710" s="489"/>
      <c r="M710" s="489"/>
      <c r="N710" s="489"/>
      <c r="O710" s="489"/>
      <c r="P710" s="489"/>
      <c r="Q710" s="489"/>
      <c r="R710" s="489"/>
      <c r="S710" s="489"/>
      <c r="T710" s="489"/>
      <c r="U710" s="489"/>
      <c r="V710" s="489"/>
      <c r="W710" s="489"/>
    </row>
    <row r="711" spans="1:23">
      <c r="A711" s="489"/>
      <c r="B711" s="489"/>
      <c r="C711" s="489"/>
      <c r="D711" s="489"/>
      <c r="E711" s="489"/>
      <c r="F711" s="489"/>
      <c r="G711" s="489"/>
      <c r="H711" s="489"/>
      <c r="I711" s="489"/>
      <c r="J711" s="489"/>
      <c r="K711" s="489"/>
      <c r="L711" s="489"/>
      <c r="M711" s="489"/>
      <c r="N711" s="489"/>
      <c r="O711" s="489"/>
      <c r="P711" s="489"/>
      <c r="Q711" s="489"/>
      <c r="R711" s="489"/>
      <c r="S711" s="489"/>
      <c r="T711" s="489"/>
      <c r="U711" s="489"/>
      <c r="V711" s="489"/>
      <c r="W711" s="489"/>
    </row>
    <row r="712" spans="1:23">
      <c r="A712" s="489"/>
      <c r="B712" s="489"/>
      <c r="C712" s="489"/>
      <c r="D712" s="489"/>
      <c r="E712" s="489"/>
      <c r="F712" s="489"/>
      <c r="G712" s="489"/>
      <c r="H712" s="489"/>
      <c r="I712" s="489"/>
      <c r="J712" s="489"/>
      <c r="K712" s="489"/>
      <c r="L712" s="489"/>
      <c r="M712" s="489"/>
      <c r="N712" s="489"/>
      <c r="O712" s="489"/>
      <c r="P712" s="489"/>
      <c r="Q712" s="489"/>
      <c r="R712" s="489"/>
      <c r="S712" s="489"/>
      <c r="T712" s="489"/>
      <c r="U712" s="489"/>
      <c r="V712" s="489"/>
      <c r="W712" s="489"/>
    </row>
    <row r="713" spans="1:23">
      <c r="A713" s="489"/>
      <c r="B713" s="489"/>
      <c r="C713" s="489"/>
      <c r="D713" s="489"/>
      <c r="E713" s="489"/>
      <c r="F713" s="489"/>
      <c r="G713" s="489"/>
      <c r="H713" s="489"/>
      <c r="I713" s="489"/>
      <c r="J713" s="489"/>
      <c r="K713" s="489"/>
      <c r="L713" s="489"/>
      <c r="M713" s="489"/>
      <c r="N713" s="489"/>
      <c r="O713" s="489"/>
      <c r="P713" s="489"/>
      <c r="Q713" s="489"/>
      <c r="R713" s="489"/>
      <c r="S713" s="489"/>
      <c r="T713" s="489"/>
      <c r="U713" s="489"/>
      <c r="V713" s="489"/>
      <c r="W713" s="489"/>
    </row>
    <row r="714" spans="1:23">
      <c r="A714" s="489"/>
      <c r="B714" s="489"/>
      <c r="C714" s="489"/>
      <c r="D714" s="489"/>
      <c r="E714" s="489"/>
      <c r="F714" s="489"/>
      <c r="G714" s="489"/>
      <c r="H714" s="489"/>
      <c r="I714" s="489"/>
      <c r="J714" s="489"/>
      <c r="K714" s="489"/>
      <c r="L714" s="489"/>
      <c r="M714" s="489"/>
      <c r="N714" s="489"/>
      <c r="O714" s="489"/>
      <c r="P714" s="489"/>
      <c r="Q714" s="489"/>
      <c r="R714" s="489"/>
      <c r="S714" s="489"/>
      <c r="T714" s="489"/>
      <c r="U714" s="489"/>
      <c r="V714" s="489"/>
      <c r="W714" s="489"/>
    </row>
    <row r="715" spans="1:23">
      <c r="A715" s="489"/>
      <c r="B715" s="489"/>
      <c r="C715" s="489"/>
      <c r="D715" s="489"/>
      <c r="E715" s="489"/>
      <c r="F715" s="489"/>
      <c r="G715" s="489"/>
      <c r="H715" s="489"/>
      <c r="I715" s="489"/>
      <c r="J715" s="489"/>
      <c r="K715" s="489"/>
      <c r="L715" s="489"/>
      <c r="M715" s="489"/>
      <c r="N715" s="489"/>
      <c r="O715" s="489"/>
      <c r="P715" s="489"/>
      <c r="Q715" s="489"/>
      <c r="R715" s="489"/>
      <c r="S715" s="489"/>
      <c r="T715" s="489"/>
      <c r="U715" s="489"/>
      <c r="V715" s="489"/>
      <c r="W715" s="489"/>
    </row>
    <row r="716" spans="1:23">
      <c r="A716" s="489"/>
      <c r="B716" s="489"/>
      <c r="C716" s="489"/>
      <c r="D716" s="489"/>
      <c r="E716" s="489"/>
      <c r="F716" s="489"/>
      <c r="G716" s="489"/>
      <c r="H716" s="489"/>
      <c r="I716" s="489"/>
      <c r="J716" s="489"/>
      <c r="K716" s="489"/>
      <c r="L716" s="489"/>
      <c r="M716" s="489"/>
      <c r="N716" s="489"/>
      <c r="O716" s="489"/>
      <c r="P716" s="489"/>
      <c r="Q716" s="489"/>
      <c r="R716" s="489"/>
      <c r="S716" s="489"/>
      <c r="T716" s="489"/>
      <c r="U716" s="489"/>
      <c r="V716" s="489"/>
      <c r="W716" s="489"/>
    </row>
    <row r="717" spans="1:23">
      <c r="A717" s="489"/>
      <c r="B717" s="489"/>
      <c r="C717" s="489"/>
      <c r="D717" s="489"/>
      <c r="E717" s="489"/>
      <c r="F717" s="489"/>
      <c r="G717" s="489"/>
      <c r="H717" s="489"/>
      <c r="I717" s="489"/>
      <c r="J717" s="489"/>
      <c r="K717" s="489"/>
      <c r="L717" s="489"/>
      <c r="M717" s="489"/>
      <c r="N717" s="489"/>
      <c r="O717" s="489"/>
      <c r="P717" s="489"/>
      <c r="Q717" s="489"/>
      <c r="R717" s="489"/>
      <c r="S717" s="489"/>
      <c r="T717" s="489"/>
      <c r="U717" s="489"/>
      <c r="V717" s="489"/>
      <c r="W717" s="489"/>
    </row>
    <row r="718" spans="1:23">
      <c r="A718" s="489"/>
      <c r="B718" s="489"/>
      <c r="C718" s="489"/>
      <c r="D718" s="489"/>
      <c r="E718" s="489"/>
      <c r="F718" s="489"/>
      <c r="G718" s="489"/>
      <c r="H718" s="489"/>
      <c r="I718" s="489"/>
      <c r="J718" s="489"/>
      <c r="K718" s="489"/>
      <c r="L718" s="489"/>
      <c r="M718" s="489"/>
      <c r="N718" s="489"/>
      <c r="O718" s="489"/>
      <c r="P718" s="489"/>
      <c r="Q718" s="489"/>
      <c r="R718" s="489"/>
      <c r="S718" s="489"/>
      <c r="T718" s="489"/>
      <c r="U718" s="489"/>
      <c r="V718" s="489"/>
      <c r="W718" s="489"/>
    </row>
    <row r="719" spans="1:23">
      <c r="A719" s="489"/>
      <c r="B719" s="489"/>
      <c r="C719" s="489"/>
      <c r="D719" s="489"/>
      <c r="E719" s="489"/>
      <c r="F719" s="489"/>
      <c r="G719" s="489"/>
      <c r="H719" s="489"/>
      <c r="I719" s="489"/>
      <c r="J719" s="489"/>
      <c r="K719" s="489"/>
      <c r="L719" s="489"/>
      <c r="M719" s="489"/>
      <c r="N719" s="489"/>
      <c r="O719" s="489"/>
      <c r="P719" s="489"/>
      <c r="Q719" s="489"/>
      <c r="R719" s="489"/>
      <c r="S719" s="489"/>
      <c r="T719" s="489"/>
      <c r="U719" s="489"/>
      <c r="V719" s="489"/>
      <c r="W719" s="489"/>
    </row>
    <row r="720" spans="1:23">
      <c r="A720" s="489"/>
      <c r="B720" s="489"/>
      <c r="C720" s="489"/>
      <c r="D720" s="489"/>
      <c r="E720" s="489"/>
      <c r="F720" s="489"/>
      <c r="G720" s="489"/>
      <c r="H720" s="489"/>
      <c r="I720" s="489"/>
      <c r="J720" s="489"/>
      <c r="K720" s="489"/>
      <c r="L720" s="489"/>
      <c r="M720" s="489"/>
      <c r="N720" s="489"/>
      <c r="O720" s="489"/>
      <c r="P720" s="489"/>
      <c r="Q720" s="489"/>
      <c r="R720" s="489"/>
      <c r="S720" s="489"/>
      <c r="T720" s="489"/>
      <c r="U720" s="489"/>
      <c r="V720" s="489"/>
      <c r="W720" s="489"/>
    </row>
    <row r="721" spans="1:23">
      <c r="A721" s="489"/>
      <c r="B721" s="489"/>
      <c r="C721" s="489"/>
      <c r="D721" s="489"/>
      <c r="E721" s="489"/>
      <c r="F721" s="489"/>
      <c r="G721" s="489"/>
      <c r="H721" s="489"/>
      <c r="I721" s="489"/>
      <c r="J721" s="489"/>
      <c r="K721" s="489"/>
      <c r="L721" s="489"/>
      <c r="M721" s="489"/>
      <c r="N721" s="489"/>
      <c r="O721" s="489"/>
      <c r="P721" s="489"/>
      <c r="Q721" s="489"/>
      <c r="R721" s="489"/>
      <c r="S721" s="489"/>
      <c r="T721" s="489"/>
      <c r="U721" s="489"/>
      <c r="V721" s="489"/>
      <c r="W721" s="489"/>
    </row>
    <row r="722" spans="1:23">
      <c r="A722" s="489"/>
      <c r="B722" s="489"/>
      <c r="C722" s="489"/>
      <c r="D722" s="489"/>
      <c r="E722" s="489"/>
      <c r="F722" s="489"/>
      <c r="G722" s="489"/>
      <c r="H722" s="489"/>
      <c r="I722" s="489"/>
      <c r="J722" s="489"/>
      <c r="K722" s="489"/>
      <c r="L722" s="489"/>
      <c r="M722" s="489"/>
      <c r="N722" s="489"/>
      <c r="O722" s="489"/>
      <c r="P722" s="489"/>
      <c r="Q722" s="489"/>
      <c r="R722" s="489"/>
      <c r="S722" s="489"/>
      <c r="T722" s="489"/>
      <c r="U722" s="489"/>
      <c r="V722" s="489"/>
      <c r="W722" s="489"/>
    </row>
    <row r="723" spans="1:23">
      <c r="A723" s="489"/>
      <c r="B723" s="489"/>
      <c r="C723" s="489"/>
      <c r="D723" s="489"/>
      <c r="E723" s="489"/>
      <c r="F723" s="489"/>
      <c r="G723" s="489"/>
      <c r="H723" s="489"/>
      <c r="I723" s="489"/>
      <c r="J723" s="489"/>
      <c r="K723" s="489"/>
      <c r="L723" s="489"/>
      <c r="M723" s="489"/>
      <c r="N723" s="489"/>
      <c r="O723" s="489"/>
      <c r="P723" s="489"/>
      <c r="Q723" s="489"/>
      <c r="R723" s="489"/>
      <c r="S723" s="489"/>
      <c r="T723" s="489"/>
      <c r="U723" s="489"/>
      <c r="V723" s="489"/>
      <c r="W723" s="489"/>
    </row>
    <row r="724" spans="1:23">
      <c r="A724" s="489"/>
      <c r="B724" s="489"/>
      <c r="C724" s="489"/>
      <c r="D724" s="489"/>
      <c r="E724" s="489"/>
      <c r="F724" s="489"/>
      <c r="G724" s="489"/>
      <c r="H724" s="489"/>
      <c r="I724" s="489"/>
      <c r="J724" s="489"/>
      <c r="K724" s="489"/>
      <c r="L724" s="489"/>
      <c r="M724" s="489"/>
      <c r="N724" s="489"/>
      <c r="O724" s="489"/>
      <c r="P724" s="489"/>
      <c r="Q724" s="489"/>
      <c r="R724" s="489"/>
      <c r="S724" s="489"/>
      <c r="T724" s="489"/>
      <c r="U724" s="489"/>
      <c r="V724" s="489"/>
      <c r="W724" s="489"/>
    </row>
    <row r="725" spans="1:23">
      <c r="A725" s="489"/>
      <c r="B725" s="489"/>
      <c r="C725" s="489"/>
      <c r="D725" s="489"/>
      <c r="E725" s="489"/>
      <c r="F725" s="489"/>
      <c r="G725" s="489"/>
      <c r="H725" s="489"/>
      <c r="I725" s="489"/>
      <c r="J725" s="489"/>
      <c r="K725" s="489"/>
      <c r="L725" s="489"/>
      <c r="M725" s="489"/>
      <c r="N725" s="489"/>
      <c r="O725" s="489"/>
      <c r="P725" s="489"/>
      <c r="Q725" s="489"/>
      <c r="R725" s="489"/>
      <c r="S725" s="489"/>
      <c r="T725" s="489"/>
      <c r="U725" s="489"/>
      <c r="V725" s="489"/>
      <c r="W725" s="489"/>
    </row>
    <row r="726" spans="1:23">
      <c r="A726" s="489"/>
      <c r="B726" s="489"/>
      <c r="C726" s="489"/>
      <c r="D726" s="489"/>
      <c r="E726" s="489"/>
      <c r="F726" s="489"/>
      <c r="G726" s="489"/>
      <c r="H726" s="489"/>
      <c r="I726" s="489"/>
      <c r="J726" s="489"/>
      <c r="K726" s="489"/>
      <c r="L726" s="489"/>
      <c r="M726" s="489"/>
      <c r="N726" s="489"/>
      <c r="O726" s="489"/>
      <c r="P726" s="489"/>
      <c r="Q726" s="489"/>
      <c r="R726" s="489"/>
      <c r="S726" s="489"/>
      <c r="T726" s="489"/>
      <c r="U726" s="489"/>
      <c r="V726" s="489"/>
      <c r="W726" s="489"/>
    </row>
    <row r="727" spans="1:23">
      <c r="A727" s="489"/>
      <c r="B727" s="489"/>
      <c r="C727" s="489"/>
      <c r="D727" s="489"/>
      <c r="E727" s="489"/>
      <c r="F727" s="489"/>
      <c r="G727" s="489"/>
      <c r="H727" s="489"/>
      <c r="I727" s="489"/>
      <c r="J727" s="489"/>
      <c r="K727" s="489"/>
      <c r="L727" s="489"/>
      <c r="M727" s="489"/>
      <c r="N727" s="489"/>
      <c r="O727" s="489"/>
      <c r="P727" s="489"/>
      <c r="Q727" s="489"/>
      <c r="R727" s="489"/>
      <c r="S727" s="489"/>
      <c r="T727" s="489"/>
      <c r="U727" s="489"/>
      <c r="V727" s="489"/>
      <c r="W727" s="489"/>
    </row>
    <row r="728" spans="1:23">
      <c r="A728" s="489"/>
      <c r="B728" s="489"/>
      <c r="C728" s="489"/>
      <c r="D728" s="489"/>
      <c r="E728" s="489"/>
      <c r="F728" s="489"/>
      <c r="G728" s="489"/>
      <c r="H728" s="489"/>
      <c r="I728" s="489"/>
      <c r="J728" s="489"/>
      <c r="K728" s="489"/>
      <c r="L728" s="489"/>
      <c r="M728" s="489"/>
      <c r="N728" s="489"/>
      <c r="O728" s="489"/>
      <c r="P728" s="489"/>
      <c r="Q728" s="489"/>
      <c r="R728" s="489"/>
      <c r="S728" s="489"/>
      <c r="T728" s="489"/>
      <c r="U728" s="489"/>
      <c r="V728" s="489"/>
      <c r="W728" s="489"/>
    </row>
    <row r="729" spans="1:23">
      <c r="A729" s="489"/>
      <c r="B729" s="489"/>
      <c r="C729" s="489"/>
      <c r="D729" s="489"/>
      <c r="E729" s="489"/>
      <c r="F729" s="489"/>
      <c r="G729" s="489"/>
      <c r="H729" s="489"/>
      <c r="I729" s="489"/>
      <c r="J729" s="489"/>
      <c r="K729" s="489"/>
      <c r="L729" s="489"/>
      <c r="M729" s="489"/>
      <c r="N729" s="489"/>
      <c r="O729" s="489"/>
      <c r="P729" s="489"/>
      <c r="Q729" s="489"/>
      <c r="R729" s="489"/>
      <c r="S729" s="489"/>
      <c r="T729" s="489"/>
      <c r="U729" s="489"/>
      <c r="V729" s="489"/>
      <c r="W729" s="489"/>
    </row>
    <row r="730" spans="1:23">
      <c r="A730" s="489"/>
      <c r="B730" s="489"/>
      <c r="C730" s="489"/>
      <c r="D730" s="489"/>
      <c r="E730" s="489"/>
      <c r="F730" s="489"/>
      <c r="G730" s="489"/>
      <c r="H730" s="489"/>
      <c r="I730" s="489"/>
      <c r="J730" s="489"/>
      <c r="K730" s="489"/>
      <c r="L730" s="489"/>
      <c r="M730" s="489"/>
      <c r="N730" s="489"/>
      <c r="O730" s="489"/>
      <c r="P730" s="489"/>
      <c r="Q730" s="489"/>
      <c r="R730" s="489"/>
      <c r="S730" s="489"/>
      <c r="T730" s="489"/>
      <c r="U730" s="489"/>
      <c r="V730" s="489"/>
      <c r="W730" s="489"/>
    </row>
    <row r="731" spans="1:23">
      <c r="A731" s="489"/>
      <c r="B731" s="489"/>
      <c r="C731" s="489"/>
      <c r="D731" s="489"/>
      <c r="E731" s="489"/>
      <c r="F731" s="489"/>
      <c r="G731" s="489"/>
      <c r="H731" s="489"/>
      <c r="I731" s="489"/>
      <c r="J731" s="489"/>
      <c r="K731" s="489"/>
      <c r="L731" s="489"/>
      <c r="M731" s="489"/>
      <c r="N731" s="489"/>
      <c r="O731" s="489"/>
      <c r="P731" s="489"/>
      <c r="Q731" s="489"/>
      <c r="R731" s="489"/>
      <c r="S731" s="489"/>
      <c r="T731" s="489"/>
      <c r="U731" s="489"/>
      <c r="V731" s="489"/>
      <c r="W731" s="489"/>
    </row>
    <row r="732" spans="1:23">
      <c r="A732" s="489"/>
      <c r="B732" s="489"/>
      <c r="C732" s="489"/>
      <c r="D732" s="489"/>
      <c r="E732" s="489"/>
      <c r="F732" s="489"/>
      <c r="G732" s="489"/>
      <c r="H732" s="489"/>
      <c r="I732" s="489"/>
      <c r="J732" s="489"/>
      <c r="K732" s="489"/>
      <c r="L732" s="489"/>
      <c r="M732" s="489"/>
      <c r="N732" s="489"/>
      <c r="O732" s="489"/>
      <c r="P732" s="489"/>
      <c r="Q732" s="489"/>
      <c r="R732" s="489"/>
      <c r="S732" s="489"/>
      <c r="T732" s="489"/>
      <c r="U732" s="489"/>
      <c r="V732" s="489"/>
      <c r="W732" s="489"/>
    </row>
    <row r="733" spans="1:23">
      <c r="A733" s="489"/>
      <c r="B733" s="489"/>
      <c r="C733" s="489"/>
      <c r="D733" s="489"/>
      <c r="E733" s="489"/>
      <c r="F733" s="489"/>
      <c r="G733" s="489"/>
      <c r="H733" s="489"/>
      <c r="I733" s="489"/>
      <c r="J733" s="489"/>
      <c r="K733" s="489"/>
      <c r="L733" s="489"/>
      <c r="M733" s="489"/>
      <c r="N733" s="489"/>
      <c r="O733" s="489"/>
      <c r="P733" s="489"/>
      <c r="Q733" s="489"/>
      <c r="R733" s="489"/>
      <c r="S733" s="489"/>
      <c r="T733" s="489"/>
      <c r="U733" s="489"/>
      <c r="V733" s="489"/>
      <c r="W733" s="489"/>
    </row>
    <row r="734" spans="1:23">
      <c r="A734" s="489"/>
      <c r="B734" s="489"/>
      <c r="C734" s="489"/>
      <c r="D734" s="489"/>
      <c r="E734" s="489"/>
      <c r="F734" s="489"/>
      <c r="G734" s="489"/>
      <c r="H734" s="489"/>
      <c r="I734" s="489"/>
      <c r="J734" s="489"/>
      <c r="K734" s="489"/>
      <c r="L734" s="489"/>
      <c r="M734" s="489"/>
      <c r="N734" s="489"/>
      <c r="O734" s="489"/>
      <c r="P734" s="489"/>
      <c r="Q734" s="489"/>
      <c r="R734" s="489"/>
      <c r="S734" s="489"/>
      <c r="T734" s="489"/>
      <c r="U734" s="489"/>
      <c r="V734" s="489"/>
      <c r="W734" s="489"/>
    </row>
    <row r="735" spans="1:23">
      <c r="A735" s="489"/>
      <c r="B735" s="489"/>
      <c r="C735" s="489"/>
      <c r="D735" s="489"/>
      <c r="E735" s="489"/>
      <c r="F735" s="489"/>
      <c r="G735" s="489"/>
      <c r="H735" s="489"/>
      <c r="I735" s="489"/>
      <c r="J735" s="489"/>
      <c r="K735" s="489"/>
      <c r="L735" s="489"/>
      <c r="M735" s="489"/>
      <c r="N735" s="489"/>
      <c r="O735" s="489"/>
      <c r="P735" s="489"/>
      <c r="Q735" s="489"/>
      <c r="R735" s="489"/>
      <c r="S735" s="489"/>
      <c r="T735" s="489"/>
      <c r="U735" s="489"/>
      <c r="V735" s="489"/>
      <c r="W735" s="489"/>
    </row>
    <row r="736" spans="1:23">
      <c r="A736" s="489"/>
      <c r="B736" s="489"/>
      <c r="C736" s="489"/>
      <c r="D736" s="489"/>
      <c r="E736" s="489"/>
      <c r="F736" s="489"/>
      <c r="G736" s="489"/>
      <c r="H736" s="489"/>
      <c r="I736" s="489"/>
      <c r="J736" s="489"/>
      <c r="K736" s="489"/>
      <c r="L736" s="489"/>
      <c r="M736" s="489"/>
      <c r="N736" s="489"/>
      <c r="O736" s="489"/>
      <c r="P736" s="489"/>
      <c r="Q736" s="489"/>
      <c r="R736" s="489"/>
      <c r="S736" s="489"/>
      <c r="T736" s="489"/>
      <c r="U736" s="489"/>
      <c r="V736" s="489"/>
      <c r="W736" s="489"/>
    </row>
    <row r="737" spans="1:23">
      <c r="A737" s="489"/>
      <c r="B737" s="489"/>
      <c r="C737" s="489"/>
      <c r="D737" s="489"/>
      <c r="E737" s="489"/>
      <c r="F737" s="489"/>
      <c r="G737" s="489"/>
      <c r="H737" s="489"/>
      <c r="I737" s="489"/>
      <c r="J737" s="489"/>
      <c r="K737" s="489"/>
      <c r="L737" s="489"/>
      <c r="M737" s="489"/>
      <c r="N737" s="489"/>
      <c r="O737" s="489"/>
      <c r="P737" s="489"/>
      <c r="Q737" s="489"/>
      <c r="R737" s="489"/>
      <c r="S737" s="489"/>
      <c r="T737" s="489"/>
      <c r="U737" s="489"/>
      <c r="V737" s="489"/>
      <c r="W737" s="489"/>
    </row>
    <row r="738" spans="1:23">
      <c r="A738" s="489"/>
      <c r="B738" s="489"/>
      <c r="C738" s="489"/>
      <c r="D738" s="489"/>
      <c r="E738" s="489"/>
      <c r="F738" s="489"/>
      <c r="G738" s="489"/>
      <c r="H738" s="489"/>
      <c r="I738" s="489"/>
      <c r="J738" s="489"/>
      <c r="K738" s="489"/>
      <c r="L738" s="489"/>
      <c r="M738" s="489"/>
      <c r="N738" s="489"/>
      <c r="O738" s="489"/>
      <c r="P738" s="489"/>
      <c r="Q738" s="489"/>
      <c r="R738" s="489"/>
      <c r="S738" s="489"/>
      <c r="T738" s="489"/>
      <c r="U738" s="489"/>
      <c r="V738" s="489"/>
      <c r="W738" s="489"/>
    </row>
    <row r="739" spans="1:23">
      <c r="A739" s="489"/>
      <c r="B739" s="489"/>
      <c r="C739" s="489"/>
      <c r="D739" s="489"/>
      <c r="E739" s="489"/>
      <c r="F739" s="489"/>
      <c r="G739" s="489"/>
      <c r="H739" s="489"/>
      <c r="I739" s="489"/>
      <c r="J739" s="489"/>
      <c r="K739" s="489"/>
      <c r="L739" s="489"/>
      <c r="M739" s="489"/>
      <c r="N739" s="489"/>
      <c r="O739" s="489"/>
      <c r="P739" s="489"/>
      <c r="Q739" s="489"/>
      <c r="R739" s="489"/>
      <c r="S739" s="489"/>
      <c r="T739" s="489"/>
      <c r="U739" s="489"/>
      <c r="V739" s="489"/>
      <c r="W739" s="489"/>
    </row>
    <row r="740" spans="1:23">
      <c r="A740" s="489"/>
      <c r="B740" s="489"/>
      <c r="C740" s="489"/>
      <c r="D740" s="489"/>
      <c r="E740" s="489"/>
      <c r="F740" s="489"/>
      <c r="G740" s="489"/>
      <c r="H740" s="489"/>
      <c r="I740" s="489"/>
      <c r="J740" s="489"/>
      <c r="K740" s="489"/>
      <c r="L740" s="489"/>
      <c r="M740" s="489"/>
      <c r="N740" s="489"/>
      <c r="O740" s="489"/>
      <c r="P740" s="489"/>
      <c r="Q740" s="489"/>
      <c r="R740" s="489"/>
      <c r="S740" s="489"/>
      <c r="T740" s="489"/>
      <c r="U740" s="489"/>
      <c r="V740" s="489"/>
      <c r="W740" s="489"/>
    </row>
    <row r="741" spans="1:23">
      <c r="A741" s="489"/>
      <c r="B741" s="489"/>
      <c r="C741" s="489"/>
      <c r="D741" s="489"/>
      <c r="E741" s="489"/>
      <c r="F741" s="489"/>
      <c r="G741" s="489"/>
      <c r="H741" s="489"/>
      <c r="I741" s="489"/>
      <c r="J741" s="489"/>
      <c r="K741" s="489"/>
      <c r="L741" s="489"/>
      <c r="M741" s="489"/>
      <c r="N741" s="489"/>
      <c r="O741" s="489"/>
      <c r="P741" s="489"/>
      <c r="Q741" s="489"/>
      <c r="R741" s="489"/>
      <c r="S741" s="489"/>
      <c r="T741" s="489"/>
      <c r="U741" s="489"/>
      <c r="V741" s="489"/>
      <c r="W741" s="489"/>
    </row>
    <row r="742" spans="1:23">
      <c r="A742" s="489"/>
      <c r="B742" s="489"/>
      <c r="C742" s="489"/>
      <c r="D742" s="489"/>
      <c r="E742" s="489"/>
      <c r="F742" s="489"/>
      <c r="G742" s="489"/>
      <c r="H742" s="489"/>
      <c r="I742" s="489"/>
      <c r="J742" s="489"/>
      <c r="K742" s="489"/>
      <c r="L742" s="489"/>
      <c r="M742" s="489"/>
      <c r="N742" s="489"/>
      <c r="O742" s="489"/>
      <c r="P742" s="489"/>
      <c r="Q742" s="489"/>
      <c r="R742" s="489"/>
      <c r="S742" s="489"/>
      <c r="T742" s="489"/>
      <c r="U742" s="489"/>
      <c r="V742" s="489"/>
      <c r="W742" s="489"/>
    </row>
    <row r="743" spans="1:23">
      <c r="A743" s="489"/>
      <c r="B743" s="489"/>
      <c r="C743" s="489"/>
      <c r="D743" s="489"/>
      <c r="E743" s="489"/>
      <c r="F743" s="489"/>
      <c r="G743" s="489"/>
      <c r="H743" s="489"/>
      <c r="I743" s="489"/>
      <c r="J743" s="489"/>
      <c r="K743" s="489"/>
      <c r="L743" s="489"/>
      <c r="M743" s="489"/>
      <c r="N743" s="489"/>
      <c r="O743" s="489"/>
      <c r="P743" s="489"/>
      <c r="Q743" s="489"/>
      <c r="R743" s="489"/>
      <c r="S743" s="489"/>
      <c r="T743" s="489"/>
      <c r="U743" s="489"/>
      <c r="V743" s="489"/>
      <c r="W743" s="489"/>
    </row>
    <row r="744" spans="1:23">
      <c r="A744" s="489"/>
      <c r="B744" s="489"/>
      <c r="C744" s="489"/>
      <c r="D744" s="489"/>
      <c r="E744" s="489"/>
      <c r="F744" s="489"/>
      <c r="G744" s="489"/>
      <c r="H744" s="489"/>
      <c r="I744" s="489"/>
      <c r="J744" s="489"/>
      <c r="K744" s="489"/>
      <c r="L744" s="489"/>
      <c r="M744" s="489"/>
      <c r="N744" s="489"/>
      <c r="O744" s="489"/>
      <c r="P744" s="489"/>
      <c r="Q744" s="489"/>
      <c r="R744" s="489"/>
      <c r="S744" s="489"/>
      <c r="T744" s="489"/>
      <c r="U744" s="489"/>
      <c r="V744" s="489"/>
      <c r="W744" s="489"/>
    </row>
    <row r="745" spans="1:23">
      <c r="A745" s="489"/>
      <c r="B745" s="489"/>
      <c r="C745" s="489"/>
      <c r="D745" s="489"/>
      <c r="E745" s="489"/>
      <c r="F745" s="489"/>
      <c r="G745" s="489"/>
      <c r="H745" s="489"/>
      <c r="I745" s="489"/>
      <c r="J745" s="489"/>
      <c r="K745" s="489"/>
      <c r="L745" s="489"/>
      <c r="M745" s="489"/>
      <c r="N745" s="489"/>
      <c r="O745" s="489"/>
      <c r="P745" s="489"/>
      <c r="Q745" s="489"/>
      <c r="R745" s="489"/>
      <c r="S745" s="489"/>
      <c r="T745" s="489"/>
      <c r="U745" s="489"/>
      <c r="V745" s="489"/>
      <c r="W745" s="489"/>
    </row>
    <row r="746" spans="1:23">
      <c r="A746" s="489"/>
      <c r="B746" s="489"/>
      <c r="C746" s="489"/>
      <c r="D746" s="489"/>
      <c r="E746" s="489"/>
      <c r="F746" s="489"/>
      <c r="G746" s="489"/>
      <c r="H746" s="489"/>
      <c r="I746" s="489"/>
      <c r="J746" s="489"/>
      <c r="K746" s="489"/>
      <c r="L746" s="489"/>
      <c r="M746" s="489"/>
      <c r="N746" s="489"/>
      <c r="O746" s="489"/>
      <c r="P746" s="489"/>
      <c r="Q746" s="489"/>
      <c r="R746" s="489"/>
      <c r="S746" s="489"/>
      <c r="T746" s="489"/>
      <c r="U746" s="489"/>
      <c r="V746" s="489"/>
      <c r="W746" s="489"/>
    </row>
    <row r="747" spans="1:23">
      <c r="A747" s="489"/>
      <c r="B747" s="489"/>
      <c r="C747" s="489"/>
      <c r="D747" s="489"/>
      <c r="E747" s="489"/>
      <c r="F747" s="489"/>
      <c r="G747" s="489"/>
      <c r="H747" s="489"/>
      <c r="I747" s="489"/>
      <c r="J747" s="489"/>
      <c r="K747" s="489"/>
      <c r="L747" s="489"/>
      <c r="M747" s="489"/>
      <c r="N747" s="489"/>
      <c r="O747" s="489"/>
      <c r="P747" s="489"/>
      <c r="Q747" s="489"/>
      <c r="R747" s="489"/>
      <c r="S747" s="489"/>
      <c r="T747" s="489"/>
      <c r="U747" s="489"/>
      <c r="V747" s="489"/>
      <c r="W747" s="489"/>
    </row>
    <row r="748" spans="1:23">
      <c r="A748" s="489"/>
      <c r="B748" s="489"/>
      <c r="C748" s="489"/>
      <c r="D748" s="489"/>
      <c r="E748" s="489"/>
      <c r="F748" s="489"/>
      <c r="G748" s="489"/>
      <c r="H748" s="489"/>
      <c r="I748" s="489"/>
      <c r="J748" s="489"/>
      <c r="K748" s="489"/>
      <c r="L748" s="489"/>
      <c r="M748" s="489"/>
      <c r="N748" s="489"/>
      <c r="O748" s="489"/>
      <c r="P748" s="489"/>
      <c r="Q748" s="489"/>
      <c r="R748" s="489"/>
      <c r="S748" s="489"/>
      <c r="T748" s="489"/>
      <c r="U748" s="489"/>
      <c r="V748" s="489"/>
      <c r="W748" s="489"/>
    </row>
    <row r="749" spans="1:23">
      <c r="A749" s="489"/>
      <c r="B749" s="489"/>
      <c r="C749" s="489"/>
      <c r="D749" s="489"/>
      <c r="E749" s="489"/>
      <c r="F749" s="489"/>
      <c r="G749" s="489"/>
      <c r="H749" s="489"/>
      <c r="I749" s="489"/>
      <c r="J749" s="489"/>
      <c r="K749" s="489"/>
      <c r="L749" s="489"/>
      <c r="M749" s="489"/>
      <c r="N749" s="489"/>
      <c r="O749" s="489"/>
      <c r="P749" s="489"/>
      <c r="Q749" s="489"/>
      <c r="R749" s="489"/>
      <c r="S749" s="489"/>
      <c r="T749" s="489"/>
      <c r="U749" s="489"/>
      <c r="V749" s="489"/>
      <c r="W749" s="489"/>
    </row>
    <row r="750" spans="1:23">
      <c r="A750" s="489"/>
      <c r="B750" s="489"/>
      <c r="C750" s="489"/>
      <c r="D750" s="489"/>
      <c r="E750" s="489"/>
      <c r="F750" s="489"/>
      <c r="G750" s="489"/>
      <c r="H750" s="489"/>
      <c r="I750" s="489"/>
      <c r="J750" s="489"/>
      <c r="K750" s="489"/>
      <c r="L750" s="489"/>
      <c r="M750" s="489"/>
      <c r="N750" s="489"/>
      <c r="O750" s="489"/>
      <c r="P750" s="489"/>
      <c r="Q750" s="489"/>
      <c r="R750" s="489"/>
      <c r="S750" s="489"/>
      <c r="T750" s="489"/>
      <c r="U750" s="489"/>
      <c r="V750" s="489"/>
      <c r="W750" s="489"/>
    </row>
    <row r="751" spans="1:23">
      <c r="A751" s="489"/>
      <c r="B751" s="489"/>
      <c r="C751" s="489"/>
      <c r="D751" s="489"/>
      <c r="E751" s="489"/>
      <c r="F751" s="489"/>
      <c r="G751" s="489"/>
      <c r="H751" s="489"/>
      <c r="I751" s="489"/>
      <c r="J751" s="489"/>
      <c r="K751" s="489"/>
      <c r="L751" s="489"/>
      <c r="M751" s="489"/>
      <c r="N751" s="489"/>
      <c r="O751" s="489"/>
      <c r="P751" s="489"/>
      <c r="Q751" s="489"/>
      <c r="R751" s="489"/>
      <c r="S751" s="489"/>
      <c r="T751" s="489"/>
      <c r="U751" s="489"/>
      <c r="V751" s="489"/>
      <c r="W751" s="489"/>
    </row>
    <row r="752" spans="1:23">
      <c r="A752" s="489"/>
      <c r="B752" s="489"/>
      <c r="C752" s="489"/>
      <c r="D752" s="489"/>
      <c r="E752" s="489"/>
      <c r="F752" s="489"/>
      <c r="G752" s="489"/>
      <c r="H752" s="489"/>
      <c r="I752" s="489"/>
      <c r="J752" s="489"/>
      <c r="K752" s="489"/>
      <c r="L752" s="489"/>
      <c r="M752" s="489"/>
      <c r="N752" s="489"/>
      <c r="O752" s="489"/>
      <c r="P752" s="489"/>
      <c r="Q752" s="489"/>
      <c r="R752" s="489"/>
      <c r="S752" s="489"/>
      <c r="T752" s="489"/>
      <c r="U752" s="489"/>
      <c r="V752" s="489"/>
      <c r="W752" s="489"/>
    </row>
    <row r="753" spans="1:23">
      <c r="A753" s="489"/>
      <c r="B753" s="489"/>
      <c r="C753" s="489"/>
      <c r="D753" s="489"/>
      <c r="E753" s="489"/>
      <c r="F753" s="489"/>
      <c r="G753" s="489"/>
      <c r="H753" s="489"/>
      <c r="I753" s="489"/>
      <c r="J753" s="489"/>
      <c r="K753" s="489"/>
      <c r="L753" s="489"/>
      <c r="M753" s="489"/>
      <c r="N753" s="489"/>
      <c r="O753" s="489"/>
      <c r="P753" s="489"/>
      <c r="Q753" s="489"/>
      <c r="R753" s="489"/>
      <c r="S753" s="489"/>
      <c r="T753" s="489"/>
      <c r="U753" s="489"/>
      <c r="V753" s="489"/>
      <c r="W753" s="489"/>
    </row>
    <row r="754" spans="1:23">
      <c r="A754" s="489"/>
      <c r="B754" s="489"/>
      <c r="C754" s="489"/>
      <c r="D754" s="489"/>
      <c r="E754" s="489"/>
      <c r="F754" s="489"/>
      <c r="G754" s="489"/>
      <c r="H754" s="489"/>
      <c r="I754" s="489"/>
      <c r="J754" s="489"/>
      <c r="K754" s="489"/>
      <c r="L754" s="489"/>
      <c r="M754" s="489"/>
      <c r="N754" s="489"/>
      <c r="O754" s="489"/>
      <c r="P754" s="489"/>
      <c r="Q754" s="489"/>
      <c r="R754" s="489"/>
      <c r="S754" s="489"/>
      <c r="T754" s="489"/>
      <c r="U754" s="489"/>
      <c r="V754" s="489"/>
      <c r="W754" s="489"/>
    </row>
    <row r="755" spans="1:23">
      <c r="A755" s="489"/>
      <c r="B755" s="489"/>
      <c r="C755" s="489"/>
      <c r="D755" s="489"/>
      <c r="E755" s="489"/>
      <c r="F755" s="489"/>
      <c r="G755" s="489"/>
      <c r="H755" s="489"/>
      <c r="I755" s="489"/>
      <c r="J755" s="489"/>
      <c r="K755" s="489"/>
      <c r="L755" s="489"/>
      <c r="M755" s="489"/>
      <c r="N755" s="489"/>
      <c r="O755" s="489"/>
      <c r="P755" s="489"/>
      <c r="Q755" s="489"/>
      <c r="R755" s="489"/>
      <c r="S755" s="489"/>
      <c r="T755" s="489"/>
      <c r="U755" s="489"/>
      <c r="V755" s="489"/>
      <c r="W755" s="489"/>
    </row>
    <row r="756" spans="1:23">
      <c r="A756" s="489"/>
      <c r="B756" s="489"/>
      <c r="C756" s="489"/>
      <c r="D756" s="489"/>
      <c r="E756" s="489"/>
      <c r="F756" s="489"/>
      <c r="G756" s="489"/>
      <c r="H756" s="489"/>
      <c r="I756" s="489"/>
      <c r="J756" s="489"/>
      <c r="K756" s="489"/>
      <c r="L756" s="489"/>
      <c r="M756" s="489"/>
      <c r="N756" s="489"/>
      <c r="O756" s="489"/>
      <c r="P756" s="489"/>
      <c r="Q756" s="489"/>
      <c r="R756" s="489"/>
      <c r="S756" s="489"/>
      <c r="T756" s="489"/>
      <c r="U756" s="489"/>
      <c r="V756" s="489"/>
      <c r="W756" s="489"/>
    </row>
    <row r="757" spans="1:23">
      <c r="A757" s="489"/>
      <c r="B757" s="489"/>
      <c r="C757" s="489"/>
      <c r="D757" s="489"/>
      <c r="E757" s="489"/>
      <c r="F757" s="489"/>
      <c r="G757" s="489"/>
      <c r="H757" s="489"/>
      <c r="I757" s="489"/>
      <c r="J757" s="489"/>
      <c r="K757" s="489"/>
      <c r="L757" s="489"/>
      <c r="M757" s="489"/>
      <c r="N757" s="489"/>
      <c r="O757" s="489"/>
      <c r="P757" s="489"/>
      <c r="Q757" s="489"/>
      <c r="R757" s="489"/>
      <c r="S757" s="489"/>
      <c r="T757" s="489"/>
      <c r="U757" s="489"/>
      <c r="V757" s="489"/>
      <c r="W757" s="489"/>
    </row>
    <row r="758" spans="1:23">
      <c r="A758" s="489"/>
      <c r="B758" s="489"/>
      <c r="C758" s="489"/>
      <c r="D758" s="489"/>
      <c r="E758" s="489"/>
      <c r="F758" s="489"/>
      <c r="G758" s="489"/>
      <c r="H758" s="489"/>
      <c r="I758" s="489"/>
      <c r="J758" s="489"/>
      <c r="K758" s="489"/>
      <c r="L758" s="489"/>
      <c r="M758" s="489"/>
      <c r="N758" s="489"/>
      <c r="O758" s="489"/>
      <c r="P758" s="489"/>
      <c r="Q758" s="489"/>
      <c r="R758" s="489"/>
      <c r="S758" s="489"/>
      <c r="T758" s="489"/>
      <c r="U758" s="489"/>
      <c r="V758" s="489"/>
      <c r="W758" s="489"/>
    </row>
    <row r="759" spans="1:23">
      <c r="A759" s="489"/>
      <c r="B759" s="489"/>
      <c r="C759" s="489"/>
      <c r="D759" s="489"/>
      <c r="E759" s="489"/>
      <c r="F759" s="489"/>
      <c r="G759" s="489"/>
      <c r="H759" s="489"/>
      <c r="I759" s="489"/>
      <c r="J759" s="489"/>
      <c r="K759" s="489"/>
      <c r="L759" s="489"/>
      <c r="M759" s="489"/>
      <c r="N759" s="489"/>
      <c r="O759" s="489"/>
      <c r="P759" s="489"/>
      <c r="Q759" s="489"/>
      <c r="R759" s="489"/>
      <c r="S759" s="489"/>
      <c r="T759" s="489"/>
      <c r="U759" s="489"/>
      <c r="V759" s="489"/>
      <c r="W759" s="489"/>
    </row>
    <row r="760" spans="1:23">
      <c r="A760" s="489"/>
      <c r="B760" s="489"/>
      <c r="C760" s="489"/>
      <c r="D760" s="489"/>
      <c r="E760" s="489"/>
      <c r="F760" s="489"/>
      <c r="G760" s="489"/>
      <c r="H760" s="489"/>
      <c r="I760" s="489"/>
      <c r="J760" s="489"/>
      <c r="K760" s="489"/>
      <c r="L760" s="489"/>
      <c r="M760" s="489"/>
      <c r="N760" s="489"/>
      <c r="O760" s="489"/>
      <c r="P760" s="489"/>
      <c r="Q760" s="489"/>
      <c r="R760" s="489"/>
      <c r="S760" s="489"/>
      <c r="T760" s="489"/>
      <c r="U760" s="489"/>
      <c r="V760" s="489"/>
      <c r="W760" s="489"/>
    </row>
    <row r="761" spans="1:23">
      <c r="A761" s="489"/>
      <c r="B761" s="489"/>
      <c r="C761" s="489"/>
      <c r="D761" s="489"/>
      <c r="E761" s="489"/>
      <c r="F761" s="489"/>
      <c r="G761" s="489"/>
      <c r="H761" s="489"/>
      <c r="I761" s="489"/>
      <c r="J761" s="489"/>
      <c r="K761" s="489"/>
      <c r="L761" s="489"/>
      <c r="M761" s="489"/>
      <c r="N761" s="489"/>
      <c r="O761" s="489"/>
      <c r="P761" s="489"/>
      <c r="Q761" s="489"/>
      <c r="R761" s="489"/>
      <c r="S761" s="489"/>
      <c r="T761" s="489"/>
      <c r="U761" s="489"/>
      <c r="V761" s="489"/>
      <c r="W761" s="489"/>
    </row>
    <row r="762" spans="1:23">
      <c r="A762" s="489"/>
      <c r="B762" s="489"/>
      <c r="C762" s="489"/>
      <c r="D762" s="489"/>
      <c r="E762" s="489"/>
      <c r="F762" s="489"/>
      <c r="G762" s="489"/>
      <c r="H762" s="489"/>
      <c r="I762" s="489"/>
      <c r="J762" s="489"/>
      <c r="K762" s="489"/>
      <c r="L762" s="489"/>
      <c r="M762" s="489"/>
      <c r="N762" s="489"/>
      <c r="O762" s="489"/>
      <c r="P762" s="489"/>
      <c r="Q762" s="489"/>
      <c r="R762" s="489"/>
      <c r="S762" s="489"/>
      <c r="T762" s="489"/>
      <c r="U762" s="489"/>
      <c r="V762" s="489"/>
      <c r="W762" s="489"/>
    </row>
    <row r="763" spans="1:23">
      <c r="A763" s="489"/>
      <c r="B763" s="489"/>
      <c r="C763" s="489"/>
      <c r="D763" s="489"/>
      <c r="E763" s="489"/>
      <c r="F763" s="489"/>
      <c r="G763" s="489"/>
      <c r="H763" s="489"/>
      <c r="I763" s="489"/>
      <c r="J763" s="489"/>
      <c r="K763" s="489"/>
      <c r="L763" s="489"/>
      <c r="M763" s="489"/>
      <c r="N763" s="489"/>
      <c r="O763" s="489"/>
      <c r="P763" s="489"/>
      <c r="Q763" s="489"/>
      <c r="R763" s="489"/>
      <c r="S763" s="489"/>
      <c r="T763" s="489"/>
      <c r="U763" s="489"/>
      <c r="V763" s="489"/>
      <c r="W763" s="489"/>
    </row>
    <row r="764" spans="1:23">
      <c r="A764" s="489"/>
      <c r="B764" s="489"/>
      <c r="C764" s="489"/>
      <c r="D764" s="489"/>
      <c r="E764" s="489"/>
      <c r="F764" s="489"/>
      <c r="G764" s="489"/>
      <c r="H764" s="489"/>
      <c r="I764" s="489"/>
      <c r="J764" s="489"/>
      <c r="K764" s="489"/>
      <c r="L764" s="489"/>
      <c r="M764" s="489"/>
      <c r="N764" s="489"/>
      <c r="O764" s="489"/>
      <c r="P764" s="489"/>
      <c r="Q764" s="489"/>
      <c r="R764" s="489"/>
      <c r="S764" s="489"/>
      <c r="T764" s="489"/>
      <c r="U764" s="489"/>
      <c r="V764" s="489"/>
      <c r="W764" s="489"/>
    </row>
    <row r="765" spans="1:23">
      <c r="A765" s="489"/>
      <c r="B765" s="489"/>
      <c r="C765" s="489"/>
      <c r="D765" s="489"/>
      <c r="E765" s="489"/>
      <c r="F765" s="489"/>
      <c r="G765" s="489"/>
      <c r="H765" s="489"/>
      <c r="I765" s="489"/>
      <c r="J765" s="489"/>
      <c r="K765" s="489"/>
      <c r="L765" s="489"/>
      <c r="M765" s="489"/>
      <c r="N765" s="489"/>
      <c r="O765" s="489"/>
      <c r="P765" s="489"/>
      <c r="Q765" s="489"/>
      <c r="R765" s="489"/>
      <c r="S765" s="489"/>
      <c r="T765" s="489"/>
      <c r="U765" s="489"/>
      <c r="V765" s="489"/>
      <c r="W765" s="489"/>
    </row>
    <row r="766" spans="1:23">
      <c r="A766" s="489"/>
      <c r="B766" s="489"/>
      <c r="C766" s="489"/>
      <c r="D766" s="489"/>
      <c r="E766" s="489"/>
      <c r="F766" s="489"/>
      <c r="G766" s="489"/>
      <c r="H766" s="489"/>
      <c r="I766" s="489"/>
      <c r="J766" s="489"/>
      <c r="K766" s="489"/>
      <c r="L766" s="489"/>
      <c r="M766" s="489"/>
      <c r="N766" s="489"/>
      <c r="O766" s="489"/>
      <c r="P766" s="489"/>
      <c r="Q766" s="489"/>
      <c r="R766" s="489"/>
      <c r="S766" s="489"/>
      <c r="T766" s="489"/>
      <c r="U766" s="489"/>
      <c r="V766" s="489"/>
      <c r="W766" s="489"/>
    </row>
    <row r="767" spans="1:23">
      <c r="A767" s="489"/>
      <c r="B767" s="489"/>
      <c r="C767" s="489"/>
      <c r="D767" s="489"/>
      <c r="E767" s="489"/>
      <c r="F767" s="489"/>
      <c r="G767" s="489"/>
      <c r="H767" s="489"/>
      <c r="I767" s="489"/>
      <c r="J767" s="489"/>
      <c r="K767" s="489"/>
      <c r="L767" s="489"/>
      <c r="M767" s="489"/>
      <c r="N767" s="489"/>
      <c r="O767" s="489"/>
      <c r="P767" s="489"/>
      <c r="Q767" s="489"/>
      <c r="R767" s="489"/>
      <c r="S767" s="489"/>
      <c r="T767" s="489"/>
      <c r="U767" s="489"/>
      <c r="V767" s="489"/>
      <c r="W767" s="489"/>
    </row>
    <row r="768" spans="1:23">
      <c r="A768" s="489"/>
      <c r="B768" s="489"/>
      <c r="C768" s="489"/>
      <c r="D768" s="489"/>
      <c r="E768" s="489"/>
      <c r="F768" s="489"/>
      <c r="G768" s="489"/>
      <c r="H768" s="489"/>
      <c r="I768" s="489"/>
      <c r="J768" s="489"/>
      <c r="K768" s="489"/>
      <c r="L768" s="489"/>
      <c r="M768" s="489"/>
      <c r="N768" s="489"/>
      <c r="O768" s="489"/>
      <c r="P768" s="489"/>
      <c r="Q768" s="489"/>
      <c r="R768" s="489"/>
      <c r="S768" s="489"/>
      <c r="T768" s="489"/>
      <c r="U768" s="489"/>
      <c r="V768" s="489"/>
      <c r="W768" s="489"/>
    </row>
    <row r="769" spans="1:23">
      <c r="A769" s="489"/>
      <c r="B769" s="489"/>
      <c r="C769" s="489"/>
      <c r="D769" s="489"/>
      <c r="E769" s="489"/>
      <c r="F769" s="489"/>
      <c r="G769" s="489"/>
      <c r="H769" s="489"/>
      <c r="I769" s="489"/>
      <c r="J769" s="489"/>
      <c r="K769" s="489"/>
      <c r="L769" s="489"/>
      <c r="M769" s="489"/>
      <c r="N769" s="489"/>
      <c r="O769" s="489"/>
      <c r="P769" s="489"/>
      <c r="Q769" s="489"/>
      <c r="R769" s="489"/>
      <c r="S769" s="489"/>
      <c r="T769" s="489"/>
      <c r="U769" s="489"/>
      <c r="V769" s="489"/>
      <c r="W769" s="489"/>
    </row>
    <row r="770" spans="1:23">
      <c r="A770" s="489"/>
      <c r="B770" s="489"/>
      <c r="C770" s="489"/>
      <c r="D770" s="489"/>
      <c r="E770" s="489"/>
      <c r="F770" s="489"/>
      <c r="G770" s="489"/>
      <c r="H770" s="489"/>
      <c r="I770" s="489"/>
      <c r="J770" s="489"/>
      <c r="K770" s="489"/>
      <c r="L770" s="489"/>
      <c r="M770" s="489"/>
      <c r="N770" s="489"/>
      <c r="O770" s="489"/>
      <c r="P770" s="489"/>
      <c r="Q770" s="489"/>
      <c r="R770" s="489"/>
      <c r="S770" s="489"/>
      <c r="T770" s="489"/>
      <c r="U770" s="489"/>
      <c r="V770" s="489"/>
      <c r="W770" s="489"/>
    </row>
    <row r="771" spans="1:23">
      <c r="A771" s="489"/>
      <c r="B771" s="489"/>
      <c r="C771" s="489"/>
      <c r="D771" s="489"/>
      <c r="E771" s="489"/>
      <c r="F771" s="489"/>
      <c r="G771" s="489"/>
      <c r="H771" s="489"/>
      <c r="I771" s="489"/>
      <c r="J771" s="489"/>
      <c r="K771" s="489"/>
      <c r="L771" s="489"/>
      <c r="M771" s="489"/>
      <c r="N771" s="489"/>
      <c r="O771" s="489"/>
      <c r="P771" s="489"/>
      <c r="Q771" s="489"/>
      <c r="R771" s="489"/>
      <c r="S771" s="489"/>
      <c r="T771" s="489"/>
      <c r="U771" s="489"/>
      <c r="V771" s="489"/>
      <c r="W771" s="489"/>
    </row>
    <row r="772" spans="1:23">
      <c r="A772" s="489"/>
      <c r="B772" s="489"/>
      <c r="C772" s="489"/>
      <c r="D772" s="489"/>
      <c r="E772" s="489"/>
      <c r="F772" s="489"/>
      <c r="G772" s="489"/>
      <c r="H772" s="489"/>
      <c r="I772" s="489"/>
      <c r="J772" s="489"/>
      <c r="K772" s="489"/>
      <c r="L772" s="489"/>
      <c r="M772" s="489"/>
      <c r="N772" s="489"/>
      <c r="O772" s="489"/>
      <c r="P772" s="489"/>
      <c r="Q772" s="489"/>
      <c r="R772" s="489"/>
      <c r="S772" s="489"/>
      <c r="T772" s="489"/>
      <c r="U772" s="489"/>
      <c r="V772" s="489"/>
      <c r="W772" s="489"/>
    </row>
    <row r="773" spans="1:23">
      <c r="A773" s="489"/>
      <c r="B773" s="489"/>
      <c r="C773" s="489"/>
      <c r="D773" s="489"/>
      <c r="E773" s="489"/>
      <c r="F773" s="489"/>
      <c r="G773" s="489"/>
      <c r="H773" s="489"/>
      <c r="I773" s="489"/>
      <c r="J773" s="489"/>
      <c r="K773" s="489"/>
      <c r="L773" s="489"/>
      <c r="M773" s="489"/>
      <c r="N773" s="489"/>
      <c r="O773" s="489"/>
      <c r="P773" s="489"/>
      <c r="Q773" s="489"/>
      <c r="R773" s="489"/>
      <c r="S773" s="489"/>
      <c r="T773" s="489"/>
      <c r="U773" s="489"/>
      <c r="V773" s="489"/>
      <c r="W773" s="489"/>
    </row>
    <row r="774" spans="1:23">
      <c r="A774" s="489"/>
      <c r="B774" s="489"/>
      <c r="C774" s="489"/>
      <c r="D774" s="489"/>
      <c r="E774" s="489"/>
      <c r="F774" s="489"/>
      <c r="G774" s="489"/>
      <c r="H774" s="489"/>
      <c r="I774" s="489"/>
      <c r="J774" s="489"/>
      <c r="K774" s="489"/>
      <c r="L774" s="489"/>
      <c r="M774" s="489"/>
      <c r="N774" s="489"/>
      <c r="O774" s="489"/>
      <c r="P774" s="489"/>
      <c r="Q774" s="489"/>
      <c r="R774" s="489"/>
      <c r="S774" s="489"/>
      <c r="T774" s="489"/>
      <c r="U774" s="489"/>
      <c r="V774" s="489"/>
      <c r="W774" s="489"/>
    </row>
    <row r="775" spans="1:23">
      <c r="A775" s="489"/>
      <c r="B775" s="489"/>
      <c r="C775" s="489"/>
      <c r="D775" s="489"/>
      <c r="E775" s="489"/>
      <c r="F775" s="489"/>
      <c r="G775" s="489"/>
      <c r="H775" s="489"/>
      <c r="I775" s="489"/>
      <c r="J775" s="489"/>
      <c r="K775" s="489"/>
      <c r="L775" s="489"/>
      <c r="M775" s="489"/>
      <c r="N775" s="489"/>
      <c r="O775" s="489"/>
      <c r="P775" s="489"/>
      <c r="Q775" s="489"/>
      <c r="R775" s="489"/>
      <c r="S775" s="489"/>
      <c r="T775" s="489"/>
      <c r="U775" s="489"/>
      <c r="V775" s="489"/>
      <c r="W775" s="489"/>
    </row>
    <row r="776" spans="1:23">
      <c r="A776" s="489"/>
      <c r="B776" s="489"/>
      <c r="C776" s="489"/>
      <c r="D776" s="489"/>
      <c r="E776" s="489"/>
      <c r="F776" s="489"/>
      <c r="G776" s="489"/>
      <c r="H776" s="489"/>
      <c r="I776" s="489"/>
      <c r="J776" s="489"/>
      <c r="K776" s="489"/>
      <c r="L776" s="489"/>
      <c r="M776" s="489"/>
      <c r="N776" s="489"/>
      <c r="O776" s="489"/>
      <c r="P776" s="489"/>
      <c r="Q776" s="489"/>
      <c r="R776" s="489"/>
      <c r="S776" s="489"/>
      <c r="T776" s="489"/>
      <c r="U776" s="489"/>
      <c r="V776" s="489"/>
      <c r="W776" s="489"/>
    </row>
    <row r="777" spans="1:23">
      <c r="A777" s="489"/>
      <c r="B777" s="489"/>
      <c r="C777" s="489"/>
      <c r="D777" s="489"/>
      <c r="E777" s="489"/>
      <c r="F777" s="489"/>
      <c r="G777" s="489"/>
      <c r="H777" s="489"/>
      <c r="I777" s="489"/>
      <c r="J777" s="489"/>
      <c r="K777" s="489"/>
      <c r="L777" s="489"/>
      <c r="M777" s="489"/>
      <c r="N777" s="489"/>
      <c r="O777" s="489"/>
      <c r="P777" s="489"/>
      <c r="Q777" s="489"/>
      <c r="R777" s="489"/>
      <c r="S777" s="489"/>
      <c r="T777" s="489"/>
      <c r="U777" s="489"/>
      <c r="V777" s="489"/>
      <c r="W777" s="489"/>
    </row>
    <row r="778" spans="1:23">
      <c r="A778" s="489"/>
      <c r="B778" s="489"/>
      <c r="C778" s="489"/>
      <c r="D778" s="489"/>
      <c r="E778" s="489"/>
      <c r="F778" s="489"/>
      <c r="G778" s="489"/>
      <c r="H778" s="489"/>
      <c r="I778" s="489"/>
      <c r="J778" s="489"/>
      <c r="K778" s="489"/>
      <c r="L778" s="489"/>
      <c r="M778" s="489"/>
      <c r="N778" s="489"/>
      <c r="O778" s="489"/>
      <c r="P778" s="489"/>
      <c r="Q778" s="489"/>
      <c r="R778" s="489"/>
      <c r="S778" s="489"/>
      <c r="T778" s="489"/>
      <c r="U778" s="489"/>
      <c r="V778" s="489"/>
      <c r="W778" s="489"/>
    </row>
    <row r="779" spans="1:23">
      <c r="A779" s="489"/>
      <c r="B779" s="489"/>
      <c r="C779" s="489"/>
      <c r="D779" s="489"/>
      <c r="E779" s="489"/>
      <c r="F779" s="489"/>
      <c r="G779" s="489"/>
      <c r="H779" s="489"/>
      <c r="I779" s="489"/>
      <c r="J779" s="489"/>
      <c r="K779" s="489"/>
      <c r="L779" s="489"/>
      <c r="M779" s="489"/>
      <c r="N779" s="489"/>
      <c r="O779" s="489"/>
      <c r="P779" s="489"/>
      <c r="Q779" s="489"/>
      <c r="R779" s="489"/>
      <c r="S779" s="489"/>
      <c r="T779" s="489"/>
      <c r="U779" s="489"/>
      <c r="V779" s="489"/>
      <c r="W779" s="489"/>
    </row>
    <row r="780" spans="1:23">
      <c r="A780" s="489"/>
      <c r="B780" s="489"/>
      <c r="C780" s="489"/>
      <c r="D780" s="489"/>
      <c r="E780" s="489"/>
      <c r="F780" s="489"/>
      <c r="G780" s="489"/>
      <c r="H780" s="489"/>
      <c r="I780" s="489"/>
      <c r="J780" s="489"/>
      <c r="K780" s="489"/>
      <c r="L780" s="489"/>
      <c r="M780" s="489"/>
      <c r="N780" s="489"/>
      <c r="O780" s="489"/>
      <c r="P780" s="489"/>
      <c r="Q780" s="489"/>
      <c r="R780" s="489"/>
      <c r="S780" s="489"/>
      <c r="T780" s="489"/>
      <c r="U780" s="489"/>
      <c r="V780" s="489"/>
      <c r="W780" s="489"/>
    </row>
    <row r="781" spans="1:23">
      <c r="A781" s="489"/>
      <c r="B781" s="489"/>
      <c r="C781" s="489"/>
      <c r="D781" s="489"/>
      <c r="E781" s="489"/>
      <c r="F781" s="489"/>
      <c r="G781" s="489"/>
      <c r="H781" s="489"/>
      <c r="I781" s="489"/>
      <c r="J781" s="489"/>
      <c r="K781" s="489"/>
      <c r="L781" s="489"/>
      <c r="M781" s="489"/>
      <c r="N781" s="489"/>
      <c r="O781" s="489"/>
      <c r="P781" s="489"/>
      <c r="Q781" s="489"/>
      <c r="R781" s="489"/>
      <c r="S781" s="489"/>
      <c r="T781" s="489"/>
      <c r="U781" s="489"/>
      <c r="V781" s="489"/>
      <c r="W781" s="489"/>
    </row>
    <row r="782" spans="1:23">
      <c r="A782" s="489"/>
      <c r="B782" s="489"/>
      <c r="C782" s="489"/>
      <c r="D782" s="489"/>
      <c r="E782" s="489"/>
      <c r="F782" s="489"/>
      <c r="G782" s="489"/>
      <c r="H782" s="489"/>
      <c r="I782" s="489"/>
      <c r="J782" s="489"/>
      <c r="K782" s="489"/>
      <c r="L782" s="489"/>
      <c r="M782" s="489"/>
      <c r="N782" s="489"/>
      <c r="O782" s="489"/>
      <c r="P782" s="489"/>
      <c r="Q782" s="489"/>
      <c r="R782" s="489"/>
      <c r="S782" s="489"/>
      <c r="T782" s="489"/>
      <c r="U782" s="489"/>
      <c r="V782" s="489"/>
      <c r="W782" s="489"/>
    </row>
    <row r="783" spans="1:23">
      <c r="A783" s="489"/>
      <c r="B783" s="489"/>
      <c r="C783" s="489"/>
      <c r="D783" s="489"/>
      <c r="E783" s="489"/>
      <c r="F783" s="489"/>
      <c r="G783" s="489"/>
      <c r="H783" s="489"/>
      <c r="I783" s="489"/>
      <c r="J783" s="489"/>
      <c r="K783" s="489"/>
      <c r="L783" s="489"/>
      <c r="M783" s="489"/>
      <c r="N783" s="489"/>
      <c r="O783" s="489"/>
      <c r="P783" s="489"/>
      <c r="Q783" s="489"/>
      <c r="R783" s="489"/>
      <c r="S783" s="489"/>
      <c r="T783" s="489"/>
      <c r="U783" s="489"/>
      <c r="V783" s="489"/>
      <c r="W783" s="489"/>
    </row>
    <row r="784" spans="1:23">
      <c r="A784" s="489"/>
      <c r="B784" s="489"/>
      <c r="C784" s="489"/>
      <c r="D784" s="489"/>
      <c r="E784" s="489"/>
      <c r="F784" s="489"/>
      <c r="G784" s="489"/>
      <c r="H784" s="489"/>
      <c r="I784" s="489"/>
      <c r="J784" s="489"/>
      <c r="K784" s="489"/>
      <c r="L784" s="489"/>
      <c r="M784" s="489"/>
      <c r="N784" s="489"/>
      <c r="O784" s="489"/>
      <c r="P784" s="489"/>
      <c r="Q784" s="489"/>
      <c r="R784" s="489"/>
      <c r="S784" s="489"/>
      <c r="T784" s="489"/>
      <c r="U784" s="489"/>
      <c r="V784" s="489"/>
      <c r="W784" s="489"/>
    </row>
    <row r="785" spans="1:23">
      <c r="A785" s="489"/>
      <c r="B785" s="489"/>
      <c r="C785" s="489"/>
      <c r="D785" s="489"/>
      <c r="E785" s="489"/>
      <c r="F785" s="489"/>
      <c r="G785" s="489"/>
      <c r="H785" s="489"/>
      <c r="I785" s="489"/>
      <c r="J785" s="489"/>
      <c r="K785" s="489"/>
      <c r="L785" s="489"/>
      <c r="M785" s="489"/>
      <c r="N785" s="489"/>
      <c r="O785" s="489"/>
      <c r="P785" s="489"/>
      <c r="Q785" s="489"/>
      <c r="R785" s="489"/>
      <c r="S785" s="489"/>
      <c r="T785" s="489"/>
      <c r="U785" s="489"/>
      <c r="V785" s="489"/>
      <c r="W785" s="489"/>
    </row>
    <row r="786" spans="1:23">
      <c r="A786" s="489"/>
      <c r="B786" s="489"/>
      <c r="C786" s="489"/>
      <c r="D786" s="489"/>
      <c r="E786" s="489"/>
      <c r="F786" s="489"/>
      <c r="G786" s="489"/>
      <c r="H786" s="489"/>
      <c r="I786" s="489"/>
      <c r="J786" s="489"/>
      <c r="K786" s="489"/>
      <c r="L786" s="489"/>
      <c r="M786" s="489"/>
      <c r="N786" s="489"/>
      <c r="O786" s="489"/>
      <c r="P786" s="489"/>
      <c r="Q786" s="489"/>
      <c r="R786" s="489"/>
      <c r="S786" s="489"/>
      <c r="T786" s="489"/>
      <c r="U786" s="489"/>
      <c r="V786" s="489"/>
      <c r="W786" s="489"/>
    </row>
    <row r="787" spans="1:23">
      <c r="A787" s="489"/>
      <c r="B787" s="489"/>
      <c r="C787" s="489"/>
      <c r="D787" s="489"/>
      <c r="E787" s="489"/>
      <c r="F787" s="489"/>
      <c r="G787" s="489"/>
      <c r="H787" s="489"/>
      <c r="I787" s="489"/>
      <c r="J787" s="489"/>
      <c r="K787" s="489"/>
      <c r="L787" s="489"/>
      <c r="M787" s="489"/>
      <c r="N787" s="489"/>
      <c r="O787" s="489"/>
      <c r="P787" s="489"/>
      <c r="Q787" s="489"/>
      <c r="R787" s="489"/>
      <c r="S787" s="489"/>
      <c r="T787" s="489"/>
      <c r="U787" s="489"/>
      <c r="V787" s="489"/>
      <c r="W787" s="489"/>
    </row>
    <row r="788" spans="1:23">
      <c r="A788" s="489"/>
      <c r="B788" s="489"/>
      <c r="C788" s="489"/>
      <c r="D788" s="489"/>
      <c r="E788" s="489"/>
      <c r="F788" s="489"/>
      <c r="G788" s="489"/>
      <c r="H788" s="489"/>
      <c r="I788" s="489"/>
      <c r="J788" s="489"/>
      <c r="K788" s="489"/>
      <c r="L788" s="489"/>
      <c r="M788" s="489"/>
      <c r="N788" s="489"/>
      <c r="O788" s="489"/>
      <c r="P788" s="489"/>
      <c r="Q788" s="489"/>
      <c r="R788" s="489"/>
      <c r="S788" s="489"/>
      <c r="T788" s="489"/>
      <c r="U788" s="489"/>
      <c r="V788" s="489"/>
      <c r="W788" s="489"/>
    </row>
    <row r="789" spans="1:23">
      <c r="A789" s="489"/>
      <c r="B789" s="489"/>
      <c r="C789" s="489"/>
      <c r="D789" s="489"/>
      <c r="E789" s="489"/>
      <c r="F789" s="489"/>
      <c r="G789" s="489"/>
      <c r="H789" s="489"/>
      <c r="I789" s="489"/>
      <c r="J789" s="489"/>
      <c r="K789" s="489"/>
      <c r="L789" s="489"/>
      <c r="M789" s="489"/>
      <c r="N789" s="489"/>
      <c r="O789" s="489"/>
      <c r="P789" s="489"/>
      <c r="Q789" s="489"/>
      <c r="R789" s="489"/>
      <c r="S789" s="489"/>
      <c r="T789" s="489"/>
      <c r="U789" s="489"/>
      <c r="V789" s="489"/>
      <c r="W789" s="489"/>
    </row>
    <row r="790" spans="1:23">
      <c r="A790" s="489"/>
      <c r="B790" s="489"/>
      <c r="C790" s="489"/>
      <c r="D790" s="489"/>
      <c r="E790" s="489"/>
      <c r="F790" s="489"/>
      <c r="G790" s="489"/>
      <c r="H790" s="489"/>
      <c r="I790" s="489"/>
      <c r="J790" s="489"/>
      <c r="K790" s="489"/>
      <c r="L790" s="489"/>
      <c r="M790" s="489"/>
      <c r="N790" s="489"/>
      <c r="O790" s="489"/>
      <c r="P790" s="489"/>
      <c r="Q790" s="489"/>
      <c r="R790" s="489"/>
      <c r="S790" s="489"/>
      <c r="T790" s="489"/>
      <c r="U790" s="489"/>
      <c r="V790" s="489"/>
      <c r="W790" s="489"/>
    </row>
    <row r="791" spans="1:23">
      <c r="A791" s="489"/>
      <c r="B791" s="489"/>
      <c r="C791" s="489"/>
      <c r="D791" s="489"/>
      <c r="E791" s="489"/>
      <c r="F791" s="489"/>
      <c r="G791" s="489"/>
      <c r="H791" s="489"/>
      <c r="I791" s="489"/>
      <c r="J791" s="489"/>
      <c r="K791" s="489"/>
      <c r="L791" s="489"/>
      <c r="M791" s="489"/>
      <c r="N791" s="489"/>
      <c r="O791" s="489"/>
      <c r="P791" s="489"/>
      <c r="Q791" s="489"/>
      <c r="R791" s="489"/>
      <c r="S791" s="489"/>
      <c r="T791" s="489"/>
      <c r="U791" s="489"/>
      <c r="V791" s="489"/>
      <c r="W791" s="489"/>
    </row>
    <row r="792" spans="1:23">
      <c r="A792" s="489"/>
      <c r="B792" s="489"/>
      <c r="C792" s="489"/>
      <c r="D792" s="489"/>
      <c r="E792" s="489"/>
      <c r="F792" s="489"/>
      <c r="G792" s="489"/>
      <c r="H792" s="489"/>
      <c r="I792" s="489"/>
      <c r="J792" s="489"/>
      <c r="K792" s="489"/>
      <c r="L792" s="489"/>
      <c r="M792" s="489"/>
      <c r="N792" s="489"/>
      <c r="O792" s="489"/>
      <c r="P792" s="489"/>
      <c r="Q792" s="489"/>
      <c r="R792" s="489"/>
      <c r="S792" s="489"/>
      <c r="T792" s="489"/>
      <c r="U792" s="489"/>
      <c r="V792" s="489"/>
      <c r="W792" s="489"/>
    </row>
    <row r="793" spans="1:23">
      <c r="A793" s="489"/>
      <c r="B793" s="489"/>
      <c r="C793" s="489"/>
      <c r="D793" s="489"/>
      <c r="E793" s="489"/>
      <c r="F793" s="489"/>
      <c r="G793" s="489"/>
      <c r="H793" s="489"/>
      <c r="I793" s="489"/>
      <c r="J793" s="489"/>
      <c r="K793" s="489"/>
      <c r="L793" s="489"/>
      <c r="M793" s="489"/>
      <c r="N793" s="489"/>
      <c r="O793" s="489"/>
      <c r="P793" s="489"/>
      <c r="Q793" s="489"/>
      <c r="R793" s="489"/>
      <c r="S793" s="489"/>
      <c r="T793" s="489"/>
      <c r="U793" s="489"/>
      <c r="V793" s="489"/>
      <c r="W793" s="489"/>
    </row>
    <row r="794" spans="1:23">
      <c r="A794" s="489"/>
      <c r="B794" s="489"/>
      <c r="C794" s="489"/>
      <c r="D794" s="489"/>
      <c r="E794" s="489"/>
      <c r="F794" s="489"/>
      <c r="G794" s="489"/>
      <c r="H794" s="489"/>
      <c r="I794" s="489"/>
      <c r="J794" s="489"/>
      <c r="K794" s="489"/>
      <c r="L794" s="489"/>
      <c r="M794" s="489"/>
      <c r="N794" s="489"/>
      <c r="O794" s="489"/>
      <c r="P794" s="489"/>
      <c r="Q794" s="489"/>
      <c r="R794" s="489"/>
      <c r="S794" s="489"/>
      <c r="T794" s="489"/>
      <c r="U794" s="489"/>
      <c r="V794" s="489"/>
      <c r="W794" s="489"/>
    </row>
    <row r="795" spans="1:23">
      <c r="A795" s="489"/>
      <c r="B795" s="489"/>
      <c r="C795" s="489"/>
      <c r="D795" s="489"/>
      <c r="E795" s="489"/>
      <c r="F795" s="489"/>
      <c r="G795" s="489"/>
      <c r="H795" s="489"/>
      <c r="I795" s="489"/>
      <c r="J795" s="489"/>
      <c r="K795" s="489"/>
      <c r="L795" s="489"/>
      <c r="M795" s="489"/>
      <c r="N795" s="489"/>
      <c r="O795" s="489"/>
      <c r="P795" s="489"/>
      <c r="Q795" s="489"/>
      <c r="R795" s="489"/>
      <c r="S795" s="489"/>
      <c r="T795" s="489"/>
      <c r="U795" s="489"/>
      <c r="V795" s="489"/>
      <c r="W795" s="489"/>
    </row>
    <row r="796" spans="1:23">
      <c r="A796" s="489"/>
      <c r="B796" s="489"/>
      <c r="C796" s="489"/>
      <c r="D796" s="489"/>
      <c r="E796" s="489"/>
      <c r="F796" s="489"/>
      <c r="G796" s="489"/>
      <c r="H796" s="489"/>
      <c r="I796" s="489"/>
      <c r="J796" s="489"/>
      <c r="K796" s="489"/>
      <c r="L796" s="489"/>
      <c r="M796" s="489"/>
      <c r="N796" s="489"/>
      <c r="O796" s="489"/>
      <c r="P796" s="489"/>
      <c r="Q796" s="489"/>
      <c r="R796" s="489"/>
      <c r="S796" s="489"/>
      <c r="T796" s="489"/>
      <c r="U796" s="489"/>
      <c r="V796" s="489"/>
      <c r="W796" s="489"/>
    </row>
    <row r="797" spans="1:23">
      <c r="A797" s="489"/>
      <c r="B797" s="489"/>
      <c r="C797" s="489"/>
      <c r="D797" s="489"/>
      <c r="E797" s="489"/>
      <c r="F797" s="489"/>
      <c r="G797" s="489"/>
      <c r="H797" s="489"/>
      <c r="I797" s="489"/>
      <c r="J797" s="489"/>
      <c r="K797" s="489"/>
      <c r="L797" s="489"/>
      <c r="M797" s="489"/>
      <c r="N797" s="489"/>
      <c r="O797" s="489"/>
      <c r="P797" s="489"/>
      <c r="Q797" s="489"/>
      <c r="R797" s="489"/>
      <c r="S797" s="489"/>
      <c r="T797" s="489"/>
      <c r="U797" s="489"/>
      <c r="V797" s="489"/>
      <c r="W797" s="489"/>
    </row>
    <row r="798" spans="1:23">
      <c r="A798" s="489"/>
      <c r="B798" s="489"/>
      <c r="C798" s="489"/>
      <c r="D798" s="489"/>
      <c r="E798" s="489"/>
      <c r="F798" s="489"/>
      <c r="G798" s="489"/>
      <c r="H798" s="489"/>
      <c r="I798" s="489"/>
      <c r="J798" s="489"/>
      <c r="K798" s="489"/>
      <c r="L798" s="489"/>
      <c r="M798" s="489"/>
      <c r="N798" s="489"/>
      <c r="O798" s="489"/>
      <c r="P798" s="489"/>
      <c r="Q798" s="489"/>
      <c r="R798" s="489"/>
      <c r="S798" s="489"/>
      <c r="T798" s="489"/>
      <c r="U798" s="489"/>
      <c r="V798" s="489"/>
      <c r="W798" s="489"/>
    </row>
    <row r="799" spans="1:23">
      <c r="A799" s="489"/>
      <c r="B799" s="489"/>
      <c r="C799" s="489"/>
      <c r="D799" s="489"/>
      <c r="E799" s="489"/>
      <c r="F799" s="489"/>
      <c r="G799" s="489"/>
      <c r="H799" s="489"/>
      <c r="I799" s="489"/>
      <c r="J799" s="489"/>
      <c r="K799" s="489"/>
      <c r="L799" s="489"/>
      <c r="M799" s="489"/>
      <c r="N799" s="489"/>
      <c r="O799" s="489"/>
      <c r="P799" s="489"/>
      <c r="Q799" s="489"/>
      <c r="R799" s="489"/>
      <c r="S799" s="489"/>
      <c r="T799" s="489"/>
      <c r="U799" s="489"/>
      <c r="V799" s="489"/>
      <c r="W799" s="489"/>
    </row>
    <row r="800" spans="1:23">
      <c r="A800" s="489"/>
      <c r="B800" s="489"/>
      <c r="C800" s="489"/>
      <c r="D800" s="489"/>
      <c r="E800" s="489"/>
      <c r="F800" s="489"/>
      <c r="G800" s="489"/>
      <c r="H800" s="489"/>
      <c r="I800" s="489"/>
      <c r="J800" s="489"/>
      <c r="K800" s="489"/>
      <c r="L800" s="489"/>
      <c r="M800" s="489"/>
      <c r="N800" s="489"/>
      <c r="O800" s="489"/>
      <c r="P800" s="489"/>
      <c r="Q800" s="489"/>
      <c r="R800" s="489"/>
      <c r="S800" s="489"/>
      <c r="T800" s="489"/>
      <c r="U800" s="489"/>
      <c r="V800" s="489"/>
      <c r="W800" s="489"/>
    </row>
    <row r="801" spans="1:23">
      <c r="A801" s="489"/>
      <c r="B801" s="489"/>
      <c r="C801" s="489"/>
      <c r="D801" s="489"/>
      <c r="E801" s="489"/>
      <c r="F801" s="489"/>
      <c r="G801" s="489"/>
      <c r="H801" s="489"/>
      <c r="I801" s="489"/>
      <c r="J801" s="489"/>
      <c r="K801" s="489"/>
      <c r="L801" s="489"/>
      <c r="M801" s="489"/>
      <c r="N801" s="489"/>
      <c r="O801" s="489"/>
      <c r="P801" s="489"/>
      <c r="Q801" s="489"/>
      <c r="R801" s="489"/>
      <c r="S801" s="489"/>
      <c r="T801" s="489"/>
      <c r="U801" s="489"/>
      <c r="V801" s="489"/>
      <c r="W801" s="489"/>
    </row>
    <row r="802" spans="1:23">
      <c r="A802" s="489"/>
      <c r="B802" s="489"/>
      <c r="C802" s="489"/>
      <c r="D802" s="489"/>
      <c r="E802" s="489"/>
      <c r="F802" s="489"/>
      <c r="G802" s="489"/>
      <c r="H802" s="489"/>
      <c r="I802" s="489"/>
      <c r="J802" s="489"/>
      <c r="K802" s="489"/>
      <c r="L802" s="489"/>
      <c r="M802" s="489"/>
      <c r="N802" s="489"/>
      <c r="O802" s="489"/>
      <c r="P802" s="489"/>
      <c r="Q802" s="489"/>
      <c r="R802" s="489"/>
      <c r="S802" s="489"/>
      <c r="T802" s="489"/>
      <c r="U802" s="489"/>
      <c r="V802" s="489"/>
      <c r="W802" s="489"/>
    </row>
    <row r="803" spans="1:23">
      <c r="A803" s="489"/>
      <c r="B803" s="489"/>
      <c r="C803" s="489"/>
      <c r="D803" s="489"/>
      <c r="E803" s="489"/>
      <c r="F803" s="489"/>
      <c r="G803" s="489"/>
      <c r="H803" s="489"/>
      <c r="I803" s="489"/>
      <c r="J803" s="489"/>
      <c r="K803" s="489"/>
      <c r="L803" s="489"/>
      <c r="M803" s="489"/>
      <c r="N803" s="489"/>
      <c r="O803" s="489"/>
      <c r="P803" s="489"/>
      <c r="Q803" s="489"/>
      <c r="R803" s="489"/>
      <c r="S803" s="489"/>
      <c r="T803" s="489"/>
      <c r="U803" s="489"/>
      <c r="V803" s="489"/>
      <c r="W803" s="489"/>
    </row>
    <row r="804" spans="1:23">
      <c r="A804" s="489"/>
      <c r="B804" s="489"/>
      <c r="C804" s="489"/>
      <c r="D804" s="489"/>
      <c r="E804" s="489"/>
      <c r="F804" s="489"/>
      <c r="G804" s="489"/>
      <c r="H804" s="489"/>
      <c r="I804" s="489"/>
      <c r="J804" s="489"/>
      <c r="K804" s="489"/>
      <c r="L804" s="489"/>
      <c r="M804" s="489"/>
      <c r="N804" s="489"/>
      <c r="O804" s="489"/>
      <c r="P804" s="489"/>
      <c r="Q804" s="489"/>
      <c r="R804" s="489"/>
      <c r="S804" s="489"/>
      <c r="T804" s="489"/>
      <c r="U804" s="489"/>
      <c r="V804" s="489"/>
      <c r="W804" s="489"/>
    </row>
    <row r="805" spans="1:23">
      <c r="A805" s="489"/>
      <c r="B805" s="489"/>
      <c r="C805" s="489"/>
      <c r="D805" s="489"/>
      <c r="E805" s="489"/>
      <c r="F805" s="489"/>
      <c r="G805" s="489"/>
      <c r="H805" s="489"/>
      <c r="I805" s="489"/>
      <c r="J805" s="489"/>
      <c r="K805" s="489"/>
      <c r="L805" s="489"/>
      <c r="M805" s="489"/>
      <c r="N805" s="489"/>
      <c r="O805" s="489"/>
      <c r="P805" s="489"/>
      <c r="Q805" s="489"/>
      <c r="R805" s="489"/>
      <c r="S805" s="489"/>
      <c r="T805" s="489"/>
      <c r="U805" s="489"/>
      <c r="V805" s="489"/>
      <c r="W805" s="489"/>
    </row>
    <row r="806" spans="1:23">
      <c r="A806" s="489"/>
      <c r="B806" s="489"/>
      <c r="C806" s="489"/>
      <c r="D806" s="489"/>
      <c r="E806" s="489"/>
      <c r="F806" s="489"/>
      <c r="G806" s="489"/>
      <c r="H806" s="489"/>
      <c r="I806" s="489"/>
      <c r="J806" s="489"/>
      <c r="K806" s="489"/>
      <c r="L806" s="489"/>
      <c r="M806" s="489"/>
      <c r="N806" s="489"/>
      <c r="O806" s="489"/>
      <c r="P806" s="489"/>
      <c r="Q806" s="489"/>
      <c r="R806" s="489"/>
      <c r="S806" s="489"/>
      <c r="T806" s="489"/>
      <c r="U806" s="489"/>
      <c r="V806" s="489"/>
      <c r="W806" s="489"/>
    </row>
    <row r="807" spans="1:23">
      <c r="A807" s="489"/>
      <c r="B807" s="489"/>
      <c r="C807" s="489"/>
      <c r="D807" s="489"/>
      <c r="E807" s="489"/>
      <c r="F807" s="489"/>
      <c r="G807" s="489"/>
      <c r="H807" s="489"/>
      <c r="I807" s="489"/>
      <c r="J807" s="489"/>
      <c r="K807" s="489"/>
      <c r="L807" s="489"/>
      <c r="M807" s="489"/>
      <c r="N807" s="489"/>
      <c r="O807" s="489"/>
      <c r="P807" s="489"/>
      <c r="Q807" s="489"/>
      <c r="R807" s="489"/>
      <c r="S807" s="489"/>
      <c r="T807" s="489"/>
      <c r="U807" s="489"/>
      <c r="V807" s="489"/>
      <c r="W807" s="489"/>
    </row>
    <row r="808" spans="1:23">
      <c r="A808" s="489"/>
      <c r="B808" s="489"/>
      <c r="C808" s="489"/>
      <c r="D808" s="489"/>
      <c r="E808" s="489"/>
      <c r="F808" s="489"/>
      <c r="G808" s="489"/>
      <c r="H808" s="489"/>
      <c r="I808" s="489"/>
      <c r="J808" s="489"/>
      <c r="K808" s="489"/>
      <c r="L808" s="489"/>
      <c r="M808" s="489"/>
      <c r="N808" s="489"/>
      <c r="O808" s="489"/>
      <c r="P808" s="489"/>
      <c r="Q808" s="489"/>
      <c r="R808" s="489"/>
      <c r="S808" s="489"/>
      <c r="T808" s="489"/>
      <c r="U808" s="489"/>
      <c r="V808" s="489"/>
      <c r="W808" s="489"/>
    </row>
    <row r="809" spans="1:23">
      <c r="A809" s="489"/>
      <c r="B809" s="489"/>
      <c r="C809" s="489"/>
      <c r="D809" s="489"/>
      <c r="E809" s="489"/>
      <c r="F809" s="489"/>
      <c r="G809" s="489"/>
      <c r="H809" s="489"/>
      <c r="I809" s="489"/>
      <c r="J809" s="489"/>
      <c r="K809" s="489"/>
      <c r="L809" s="489"/>
      <c r="M809" s="489"/>
      <c r="N809" s="489"/>
      <c r="O809" s="489"/>
      <c r="P809" s="489"/>
      <c r="Q809" s="489"/>
      <c r="R809" s="489"/>
      <c r="S809" s="489"/>
      <c r="T809" s="489"/>
      <c r="U809" s="489"/>
      <c r="V809" s="489"/>
      <c r="W809" s="489"/>
    </row>
    <row r="810" spans="1:23">
      <c r="A810" s="489"/>
      <c r="B810" s="489"/>
      <c r="C810" s="489"/>
      <c r="D810" s="489"/>
      <c r="E810" s="489"/>
      <c r="F810" s="489"/>
      <c r="G810" s="489"/>
      <c r="H810" s="489"/>
      <c r="I810" s="489"/>
      <c r="J810" s="489"/>
      <c r="K810" s="489"/>
      <c r="L810" s="489"/>
      <c r="M810" s="489"/>
      <c r="N810" s="489"/>
      <c r="O810" s="489"/>
      <c r="P810" s="489"/>
      <c r="Q810" s="489"/>
      <c r="R810" s="489"/>
      <c r="S810" s="489"/>
      <c r="T810" s="489"/>
      <c r="U810" s="489"/>
      <c r="V810" s="489"/>
      <c r="W810" s="489"/>
    </row>
    <row r="811" spans="1:23">
      <c r="A811" s="489"/>
      <c r="B811" s="489"/>
      <c r="C811" s="489"/>
      <c r="D811" s="489"/>
      <c r="E811" s="489"/>
      <c r="F811" s="489"/>
      <c r="G811" s="489"/>
      <c r="H811" s="489"/>
      <c r="I811" s="489"/>
      <c r="J811" s="489"/>
      <c r="K811" s="489"/>
      <c r="L811" s="489"/>
      <c r="M811" s="489"/>
      <c r="N811" s="489"/>
      <c r="O811" s="489"/>
      <c r="P811" s="489"/>
      <c r="Q811" s="489"/>
      <c r="R811" s="489"/>
      <c r="S811" s="489"/>
      <c r="T811" s="489"/>
      <c r="U811" s="489"/>
      <c r="V811" s="489"/>
      <c r="W811" s="489"/>
    </row>
    <row r="812" spans="1:23">
      <c r="A812" s="489"/>
      <c r="B812" s="489"/>
      <c r="C812" s="489"/>
      <c r="D812" s="489"/>
      <c r="E812" s="489"/>
      <c r="F812" s="489"/>
      <c r="G812" s="489"/>
      <c r="H812" s="489"/>
      <c r="I812" s="489"/>
      <c r="J812" s="489"/>
      <c r="K812" s="489"/>
      <c r="L812" s="489"/>
      <c r="M812" s="489"/>
      <c r="N812" s="489"/>
      <c r="O812" s="489"/>
      <c r="P812" s="489"/>
      <c r="Q812" s="489"/>
      <c r="R812" s="489"/>
      <c r="S812" s="489"/>
      <c r="T812" s="489"/>
      <c r="U812" s="489"/>
      <c r="V812" s="489"/>
      <c r="W812" s="489"/>
    </row>
    <row r="813" spans="1:23">
      <c r="A813" s="489"/>
      <c r="B813" s="489"/>
      <c r="C813" s="489"/>
      <c r="D813" s="489"/>
      <c r="E813" s="489"/>
      <c r="F813" s="489"/>
      <c r="G813" s="489"/>
      <c r="H813" s="489"/>
      <c r="I813" s="489"/>
      <c r="J813" s="489"/>
      <c r="K813" s="489"/>
      <c r="L813" s="489"/>
      <c r="M813" s="489"/>
      <c r="N813" s="489"/>
      <c r="O813" s="489"/>
      <c r="P813" s="489"/>
      <c r="Q813" s="489"/>
      <c r="R813" s="489"/>
      <c r="S813" s="489"/>
      <c r="T813" s="489"/>
      <c r="U813" s="489"/>
      <c r="V813" s="489"/>
      <c r="W813" s="489"/>
    </row>
    <row r="814" spans="1:23">
      <c r="A814" s="489"/>
      <c r="B814" s="489"/>
      <c r="C814" s="489"/>
      <c r="D814" s="489"/>
      <c r="E814" s="489"/>
      <c r="F814" s="489"/>
      <c r="G814" s="489"/>
      <c r="H814" s="489"/>
      <c r="I814" s="489"/>
      <c r="J814" s="489"/>
      <c r="K814" s="489"/>
      <c r="L814" s="489"/>
      <c r="M814" s="489"/>
      <c r="N814" s="489"/>
      <c r="O814" s="489"/>
      <c r="P814" s="489"/>
      <c r="Q814" s="489"/>
      <c r="R814" s="489"/>
      <c r="S814" s="489"/>
      <c r="T814" s="489"/>
      <c r="U814" s="489"/>
      <c r="V814" s="489"/>
      <c r="W814" s="489"/>
    </row>
    <row r="815" spans="1:23">
      <c r="A815" s="489"/>
      <c r="B815" s="489"/>
      <c r="C815" s="489"/>
      <c r="D815" s="489"/>
      <c r="E815" s="489"/>
      <c r="F815" s="489"/>
      <c r="G815" s="489"/>
      <c r="H815" s="489"/>
      <c r="I815" s="489"/>
      <c r="J815" s="489"/>
      <c r="K815" s="489"/>
      <c r="L815" s="489"/>
      <c r="M815" s="489"/>
      <c r="N815" s="489"/>
      <c r="O815" s="489"/>
      <c r="P815" s="489"/>
      <c r="Q815" s="489"/>
      <c r="R815" s="489"/>
      <c r="S815" s="489"/>
      <c r="T815" s="489"/>
      <c r="U815" s="489"/>
      <c r="V815" s="489"/>
      <c r="W815" s="489"/>
    </row>
    <row r="816" spans="1:23">
      <c r="A816" s="489"/>
      <c r="B816" s="489"/>
      <c r="C816" s="489"/>
      <c r="D816" s="489"/>
      <c r="E816" s="489"/>
      <c r="F816" s="489"/>
      <c r="G816" s="489"/>
      <c r="H816" s="489"/>
      <c r="I816" s="489"/>
      <c r="J816" s="489"/>
      <c r="K816" s="489"/>
      <c r="L816" s="489"/>
      <c r="M816" s="489"/>
      <c r="N816" s="489"/>
      <c r="O816" s="489"/>
      <c r="P816" s="489"/>
      <c r="Q816" s="489"/>
      <c r="R816" s="489"/>
      <c r="S816" s="489"/>
      <c r="T816" s="489"/>
      <c r="U816" s="489"/>
      <c r="V816" s="489"/>
      <c r="W816" s="489"/>
    </row>
    <row r="817" spans="1:23">
      <c r="A817" s="489"/>
      <c r="B817" s="489"/>
      <c r="C817" s="489"/>
      <c r="D817" s="489"/>
      <c r="E817" s="489"/>
      <c r="F817" s="489"/>
      <c r="G817" s="489"/>
      <c r="H817" s="489"/>
      <c r="I817" s="489"/>
      <c r="J817" s="489"/>
      <c r="K817" s="489"/>
      <c r="L817" s="489"/>
      <c r="M817" s="489"/>
      <c r="N817" s="489"/>
      <c r="O817" s="489"/>
      <c r="P817" s="489"/>
      <c r="Q817" s="489"/>
      <c r="R817" s="489"/>
      <c r="S817" s="489"/>
      <c r="T817" s="489"/>
      <c r="U817" s="489"/>
      <c r="V817" s="489"/>
      <c r="W817" s="489"/>
    </row>
    <row r="818" spans="1:23">
      <c r="A818" s="489"/>
      <c r="B818" s="489"/>
      <c r="C818" s="489"/>
      <c r="D818" s="489"/>
      <c r="E818" s="489"/>
      <c r="F818" s="489"/>
      <c r="G818" s="489"/>
      <c r="H818" s="489"/>
      <c r="I818" s="489"/>
      <c r="J818" s="489"/>
      <c r="K818" s="489"/>
      <c r="L818" s="489"/>
      <c r="M818" s="489"/>
      <c r="N818" s="489"/>
      <c r="O818" s="489"/>
      <c r="P818" s="489"/>
      <c r="Q818" s="489"/>
      <c r="R818" s="489"/>
      <c r="S818" s="489"/>
      <c r="T818" s="489"/>
      <c r="U818" s="489"/>
      <c r="V818" s="489"/>
      <c r="W818" s="489"/>
    </row>
    <row r="819" spans="1:23">
      <c r="A819" s="489"/>
      <c r="B819" s="489"/>
      <c r="C819" s="489"/>
      <c r="D819" s="489"/>
      <c r="E819" s="489"/>
      <c r="F819" s="489"/>
      <c r="G819" s="489"/>
      <c r="H819" s="489"/>
      <c r="I819" s="489"/>
      <c r="J819" s="489"/>
      <c r="K819" s="489"/>
      <c r="L819" s="489"/>
      <c r="M819" s="489"/>
      <c r="N819" s="489"/>
      <c r="O819" s="489"/>
      <c r="P819" s="489"/>
      <c r="Q819" s="489"/>
      <c r="R819" s="489"/>
      <c r="S819" s="489"/>
      <c r="T819" s="489"/>
      <c r="U819" s="489"/>
      <c r="V819" s="489"/>
      <c r="W819" s="489"/>
    </row>
    <row r="820" spans="1:23">
      <c r="A820" s="489"/>
      <c r="B820" s="489"/>
      <c r="C820" s="489"/>
      <c r="D820" s="489"/>
      <c r="E820" s="489"/>
      <c r="F820" s="489"/>
      <c r="G820" s="489"/>
      <c r="H820" s="489"/>
      <c r="I820" s="489"/>
      <c r="J820" s="489"/>
      <c r="K820" s="489"/>
      <c r="L820" s="489"/>
      <c r="M820" s="489"/>
      <c r="N820" s="489"/>
      <c r="O820" s="489"/>
      <c r="P820" s="489"/>
      <c r="Q820" s="489"/>
      <c r="R820" s="489"/>
      <c r="S820" s="489"/>
      <c r="T820" s="489"/>
      <c r="U820" s="489"/>
      <c r="V820" s="489"/>
      <c r="W820" s="489"/>
    </row>
    <row r="821" spans="1:23">
      <c r="A821" s="489"/>
      <c r="B821" s="489"/>
      <c r="C821" s="489"/>
      <c r="D821" s="489"/>
      <c r="E821" s="489"/>
      <c r="F821" s="489"/>
      <c r="G821" s="489"/>
      <c r="H821" s="489"/>
      <c r="I821" s="489"/>
      <c r="J821" s="489"/>
      <c r="K821" s="489"/>
      <c r="L821" s="489"/>
      <c r="M821" s="489"/>
      <c r="N821" s="489"/>
      <c r="O821" s="489"/>
      <c r="P821" s="489"/>
      <c r="Q821" s="489"/>
      <c r="R821" s="489"/>
      <c r="S821" s="489"/>
      <c r="T821" s="489"/>
      <c r="U821" s="489"/>
      <c r="V821" s="489"/>
      <c r="W821" s="489"/>
    </row>
    <row r="822" spans="1:23">
      <c r="A822" s="489"/>
      <c r="B822" s="489"/>
      <c r="C822" s="489"/>
      <c r="D822" s="489"/>
      <c r="E822" s="489"/>
      <c r="F822" s="489"/>
      <c r="G822" s="489"/>
      <c r="H822" s="489"/>
      <c r="I822" s="489"/>
      <c r="J822" s="489"/>
      <c r="K822" s="489"/>
      <c r="L822" s="489"/>
      <c r="M822" s="489"/>
      <c r="N822" s="489"/>
      <c r="O822" s="489"/>
      <c r="P822" s="489"/>
      <c r="Q822" s="489"/>
      <c r="R822" s="489"/>
      <c r="S822" s="489"/>
      <c r="T822" s="489"/>
      <c r="U822" s="489"/>
      <c r="V822" s="489"/>
      <c r="W822" s="489"/>
    </row>
    <row r="823" spans="1:23">
      <c r="A823" s="489"/>
      <c r="B823" s="489"/>
      <c r="C823" s="489"/>
      <c r="D823" s="489"/>
      <c r="E823" s="489"/>
      <c r="F823" s="489"/>
      <c r="G823" s="489"/>
      <c r="H823" s="489"/>
      <c r="I823" s="489"/>
      <c r="J823" s="489"/>
      <c r="K823" s="489"/>
      <c r="L823" s="489"/>
      <c r="M823" s="489"/>
      <c r="N823" s="489"/>
      <c r="O823" s="489"/>
      <c r="P823" s="489"/>
      <c r="Q823" s="489"/>
      <c r="R823" s="489"/>
      <c r="S823" s="489"/>
      <c r="T823" s="489"/>
      <c r="U823" s="489"/>
      <c r="V823" s="489"/>
      <c r="W823" s="489"/>
    </row>
    <row r="824" spans="1:23">
      <c r="A824" s="489"/>
      <c r="B824" s="489"/>
      <c r="C824" s="489"/>
      <c r="D824" s="489"/>
      <c r="E824" s="489"/>
      <c r="F824" s="489"/>
      <c r="G824" s="489"/>
      <c r="H824" s="489"/>
      <c r="I824" s="489"/>
      <c r="J824" s="489"/>
      <c r="K824" s="489"/>
      <c r="L824" s="489"/>
      <c r="M824" s="489"/>
      <c r="N824" s="489"/>
      <c r="O824" s="489"/>
      <c r="P824" s="489"/>
      <c r="Q824" s="489"/>
      <c r="R824" s="489"/>
      <c r="S824" s="489"/>
      <c r="T824" s="489"/>
      <c r="U824" s="489"/>
      <c r="V824" s="489"/>
      <c r="W824" s="489"/>
    </row>
    <row r="825" spans="1:23">
      <c r="A825" s="489"/>
      <c r="B825" s="489"/>
      <c r="C825" s="489"/>
      <c r="D825" s="489"/>
      <c r="E825" s="489"/>
      <c r="F825" s="489"/>
      <c r="G825" s="489"/>
      <c r="H825" s="489"/>
      <c r="I825" s="489"/>
      <c r="J825" s="489"/>
      <c r="K825" s="489"/>
      <c r="L825" s="489"/>
      <c r="M825" s="489"/>
      <c r="N825" s="489"/>
      <c r="O825" s="489"/>
      <c r="P825" s="489"/>
      <c r="Q825" s="489"/>
      <c r="R825" s="489"/>
      <c r="S825" s="489"/>
      <c r="T825" s="489"/>
      <c r="U825" s="489"/>
      <c r="V825" s="489"/>
      <c r="W825" s="489"/>
    </row>
    <row r="826" spans="1:23">
      <c r="A826" s="489"/>
      <c r="B826" s="489"/>
      <c r="C826" s="489"/>
      <c r="D826" s="489"/>
      <c r="E826" s="489"/>
      <c r="F826" s="489"/>
      <c r="G826" s="489"/>
      <c r="H826" s="489"/>
      <c r="I826" s="489"/>
      <c r="J826" s="489"/>
      <c r="K826" s="489"/>
      <c r="L826" s="489"/>
      <c r="M826" s="489"/>
      <c r="N826" s="489"/>
      <c r="O826" s="489"/>
      <c r="P826" s="489"/>
      <c r="Q826" s="489"/>
      <c r="R826" s="489"/>
      <c r="S826" s="489"/>
      <c r="T826" s="489"/>
      <c r="U826" s="489"/>
      <c r="V826" s="489"/>
      <c r="W826" s="489"/>
    </row>
    <row r="827" spans="1:23">
      <c r="A827" s="489"/>
      <c r="B827" s="489"/>
      <c r="C827" s="489"/>
      <c r="D827" s="489"/>
      <c r="E827" s="489"/>
      <c r="F827" s="489"/>
      <c r="G827" s="489"/>
      <c r="H827" s="489"/>
      <c r="I827" s="489"/>
      <c r="J827" s="489"/>
      <c r="K827" s="489"/>
      <c r="L827" s="489"/>
      <c r="M827" s="489"/>
      <c r="N827" s="489"/>
      <c r="O827" s="489"/>
      <c r="P827" s="489"/>
      <c r="Q827" s="489"/>
      <c r="R827" s="489"/>
      <c r="S827" s="489"/>
      <c r="T827" s="489"/>
      <c r="U827" s="489"/>
      <c r="V827" s="489"/>
      <c r="W827" s="489"/>
    </row>
    <row r="828" spans="1:23">
      <c r="A828" s="489"/>
      <c r="B828" s="489"/>
      <c r="C828" s="489"/>
      <c r="D828" s="489"/>
      <c r="E828" s="489"/>
      <c r="F828" s="489"/>
      <c r="G828" s="489"/>
      <c r="H828" s="489"/>
      <c r="I828" s="489"/>
      <c r="J828" s="489"/>
      <c r="K828" s="489"/>
      <c r="L828" s="489"/>
      <c r="M828" s="489"/>
      <c r="N828" s="489"/>
      <c r="O828" s="489"/>
      <c r="P828" s="489"/>
      <c r="Q828" s="489"/>
      <c r="R828" s="489"/>
      <c r="S828" s="489"/>
      <c r="T828" s="489"/>
      <c r="U828" s="489"/>
      <c r="V828" s="489"/>
      <c r="W828" s="489"/>
    </row>
    <row r="829" spans="1:23">
      <c r="A829" s="489"/>
      <c r="B829" s="489"/>
      <c r="C829" s="489"/>
      <c r="D829" s="489"/>
      <c r="E829" s="489"/>
      <c r="F829" s="489"/>
      <c r="G829" s="489"/>
      <c r="H829" s="489"/>
      <c r="I829" s="489"/>
      <c r="J829" s="489"/>
      <c r="K829" s="489"/>
      <c r="L829" s="489"/>
      <c r="M829" s="489"/>
      <c r="N829" s="489"/>
      <c r="O829" s="489"/>
      <c r="P829" s="489"/>
      <c r="Q829" s="489"/>
      <c r="R829" s="489"/>
      <c r="S829" s="489"/>
      <c r="T829" s="489"/>
      <c r="U829" s="489"/>
      <c r="V829" s="489"/>
      <c r="W829" s="489"/>
    </row>
    <row r="830" spans="1:23">
      <c r="A830" s="489"/>
      <c r="B830" s="489"/>
      <c r="C830" s="489"/>
      <c r="D830" s="489"/>
      <c r="E830" s="489"/>
      <c r="F830" s="489"/>
      <c r="G830" s="489"/>
      <c r="H830" s="489"/>
      <c r="I830" s="489"/>
      <c r="J830" s="489"/>
      <c r="K830" s="489"/>
      <c r="L830" s="489"/>
      <c r="M830" s="489"/>
      <c r="N830" s="489"/>
      <c r="O830" s="489"/>
      <c r="P830" s="489"/>
      <c r="Q830" s="489"/>
      <c r="R830" s="489"/>
      <c r="S830" s="489"/>
      <c r="T830" s="489"/>
      <c r="U830" s="489"/>
      <c r="V830" s="489"/>
      <c r="W830" s="489"/>
    </row>
    <row r="831" spans="1:23">
      <c r="A831" s="489"/>
      <c r="B831" s="489"/>
      <c r="C831" s="489"/>
      <c r="D831" s="489"/>
      <c r="E831" s="489"/>
      <c r="F831" s="489"/>
      <c r="G831" s="489"/>
      <c r="H831" s="489"/>
      <c r="I831" s="489"/>
      <c r="J831" s="489"/>
      <c r="K831" s="489"/>
      <c r="L831" s="489"/>
      <c r="M831" s="489"/>
      <c r="N831" s="489"/>
      <c r="O831" s="489"/>
      <c r="P831" s="489"/>
      <c r="Q831" s="489"/>
      <c r="R831" s="489"/>
      <c r="S831" s="489"/>
      <c r="T831" s="489"/>
      <c r="U831" s="489"/>
      <c r="V831" s="489"/>
      <c r="W831" s="489"/>
    </row>
    <row r="832" spans="1:23">
      <c r="A832" s="489"/>
      <c r="B832" s="489"/>
      <c r="C832" s="489"/>
      <c r="D832" s="489"/>
      <c r="E832" s="489"/>
      <c r="F832" s="489"/>
      <c r="G832" s="489"/>
      <c r="H832" s="489"/>
      <c r="I832" s="489"/>
      <c r="J832" s="489"/>
      <c r="K832" s="489"/>
      <c r="L832" s="489"/>
      <c r="M832" s="489"/>
      <c r="N832" s="489"/>
      <c r="O832" s="489"/>
      <c r="P832" s="489"/>
      <c r="Q832" s="489"/>
      <c r="R832" s="489"/>
      <c r="S832" s="489"/>
      <c r="T832" s="489"/>
      <c r="U832" s="489"/>
      <c r="V832" s="489"/>
      <c r="W832" s="489"/>
    </row>
    <row r="833" spans="1:23">
      <c r="A833" s="489"/>
      <c r="B833" s="489"/>
      <c r="C833" s="489"/>
      <c r="D833" s="489"/>
      <c r="E833" s="489"/>
      <c r="F833" s="489"/>
      <c r="G833" s="489"/>
      <c r="H833" s="489"/>
      <c r="I833" s="489"/>
      <c r="J833" s="489"/>
      <c r="K833" s="489"/>
      <c r="L833" s="489"/>
      <c r="M833" s="489"/>
      <c r="N833" s="489"/>
      <c r="O833" s="489"/>
      <c r="P833" s="489"/>
      <c r="Q833" s="489"/>
      <c r="R833" s="489"/>
      <c r="S833" s="489"/>
      <c r="T833" s="489"/>
      <c r="U833" s="489"/>
      <c r="V833" s="489"/>
      <c r="W833" s="489"/>
    </row>
    <row r="834" spans="1:23">
      <c r="A834" s="489"/>
      <c r="B834" s="489"/>
      <c r="C834" s="489"/>
      <c r="D834" s="489"/>
      <c r="E834" s="489"/>
      <c r="F834" s="489"/>
      <c r="G834" s="489"/>
      <c r="H834" s="489"/>
      <c r="I834" s="489"/>
      <c r="J834" s="489"/>
      <c r="K834" s="489"/>
      <c r="L834" s="489"/>
      <c r="M834" s="489"/>
      <c r="N834" s="489"/>
      <c r="O834" s="489"/>
      <c r="P834" s="489"/>
      <c r="Q834" s="489"/>
      <c r="R834" s="489"/>
      <c r="S834" s="489"/>
      <c r="T834" s="489"/>
      <c r="U834" s="489"/>
      <c r="V834" s="489"/>
      <c r="W834" s="489"/>
    </row>
    <row r="835" spans="1:23">
      <c r="A835" s="489"/>
      <c r="B835" s="489"/>
      <c r="C835" s="489"/>
      <c r="D835" s="489"/>
      <c r="E835" s="489"/>
      <c r="F835" s="489"/>
      <c r="G835" s="489"/>
      <c r="H835" s="489"/>
      <c r="I835" s="489"/>
      <c r="J835" s="489"/>
      <c r="K835" s="489"/>
      <c r="L835" s="489"/>
      <c r="M835" s="489"/>
      <c r="N835" s="489"/>
      <c r="O835" s="489"/>
      <c r="P835" s="489"/>
      <c r="Q835" s="489"/>
      <c r="R835" s="489"/>
      <c r="S835" s="489"/>
      <c r="T835" s="489"/>
      <c r="U835" s="489"/>
      <c r="V835" s="489"/>
      <c r="W835" s="489"/>
    </row>
    <row r="836" spans="1:23">
      <c r="A836" s="489"/>
      <c r="B836" s="489"/>
      <c r="C836" s="489"/>
      <c r="D836" s="489"/>
      <c r="E836" s="489"/>
      <c r="F836" s="489"/>
      <c r="G836" s="489"/>
      <c r="H836" s="489"/>
      <c r="I836" s="489"/>
      <c r="J836" s="489"/>
      <c r="K836" s="489"/>
      <c r="L836" s="489"/>
      <c r="M836" s="489"/>
      <c r="N836" s="489"/>
      <c r="O836" s="489"/>
      <c r="P836" s="489"/>
      <c r="Q836" s="489"/>
      <c r="R836" s="489"/>
      <c r="S836" s="489"/>
      <c r="T836" s="489"/>
      <c r="U836" s="489"/>
      <c r="V836" s="489"/>
      <c r="W836" s="489"/>
    </row>
    <row r="837" spans="1:23">
      <c r="A837" s="489"/>
      <c r="B837" s="489"/>
      <c r="C837" s="489"/>
      <c r="D837" s="489"/>
      <c r="E837" s="489"/>
      <c r="F837" s="489"/>
      <c r="G837" s="489"/>
      <c r="H837" s="489"/>
      <c r="I837" s="489"/>
      <c r="J837" s="489"/>
      <c r="K837" s="489"/>
      <c r="L837" s="489"/>
      <c r="M837" s="489"/>
      <c r="N837" s="489"/>
      <c r="O837" s="489"/>
      <c r="P837" s="489"/>
      <c r="Q837" s="489"/>
      <c r="R837" s="489"/>
      <c r="S837" s="489"/>
      <c r="T837" s="489"/>
      <c r="U837" s="489"/>
      <c r="V837" s="489"/>
      <c r="W837" s="489"/>
    </row>
    <row r="838" spans="1:23">
      <c r="A838" s="489"/>
      <c r="B838" s="489"/>
      <c r="C838" s="489"/>
      <c r="D838" s="489"/>
      <c r="E838" s="489"/>
      <c r="F838" s="489"/>
      <c r="G838" s="489"/>
      <c r="H838" s="489"/>
      <c r="I838" s="489"/>
      <c r="J838" s="489"/>
      <c r="K838" s="489"/>
      <c r="L838" s="489"/>
      <c r="M838" s="489"/>
      <c r="N838" s="489"/>
      <c r="O838" s="489"/>
      <c r="P838" s="489"/>
      <c r="Q838" s="489"/>
      <c r="R838" s="489"/>
      <c r="S838" s="489"/>
      <c r="T838" s="489"/>
      <c r="U838" s="489"/>
      <c r="V838" s="489"/>
      <c r="W838" s="489"/>
    </row>
    <row r="839" spans="1:23">
      <c r="A839" s="489"/>
      <c r="B839" s="489"/>
      <c r="C839" s="489"/>
      <c r="D839" s="489"/>
      <c r="E839" s="489"/>
      <c r="F839" s="489"/>
      <c r="G839" s="489"/>
      <c r="H839" s="489"/>
      <c r="I839" s="489"/>
      <c r="J839" s="489"/>
      <c r="K839" s="489"/>
      <c r="L839" s="489"/>
      <c r="M839" s="489"/>
      <c r="N839" s="489"/>
      <c r="O839" s="489"/>
      <c r="P839" s="489"/>
      <c r="Q839" s="489"/>
      <c r="R839" s="489"/>
      <c r="S839" s="489"/>
      <c r="T839" s="489"/>
      <c r="U839" s="489"/>
      <c r="V839" s="489"/>
      <c r="W839" s="489"/>
    </row>
    <row r="840" spans="1:23">
      <c r="A840" s="489"/>
      <c r="B840" s="489"/>
      <c r="C840" s="489"/>
      <c r="D840" s="489"/>
      <c r="E840" s="489"/>
      <c r="F840" s="489"/>
      <c r="G840" s="489"/>
      <c r="H840" s="489"/>
      <c r="I840" s="489"/>
      <c r="J840" s="489"/>
      <c r="K840" s="489"/>
      <c r="L840" s="489"/>
      <c r="M840" s="489"/>
      <c r="N840" s="489"/>
      <c r="O840" s="489"/>
      <c r="P840" s="489"/>
      <c r="Q840" s="489"/>
      <c r="R840" s="489"/>
      <c r="S840" s="489"/>
      <c r="T840" s="489"/>
      <c r="U840" s="489"/>
      <c r="V840" s="489"/>
      <c r="W840" s="489"/>
    </row>
    <row r="841" spans="1:23">
      <c r="A841" s="489"/>
      <c r="B841" s="489"/>
      <c r="C841" s="489"/>
      <c r="D841" s="489"/>
      <c r="E841" s="489"/>
      <c r="F841" s="489"/>
      <c r="G841" s="489"/>
      <c r="H841" s="489"/>
      <c r="I841" s="489"/>
      <c r="J841" s="489"/>
      <c r="K841" s="489"/>
      <c r="L841" s="489"/>
      <c r="M841" s="489"/>
      <c r="N841" s="489"/>
      <c r="O841" s="489"/>
      <c r="P841" s="489"/>
      <c r="Q841" s="489"/>
      <c r="R841" s="489"/>
      <c r="S841" s="489"/>
      <c r="T841" s="489"/>
      <c r="U841" s="489"/>
      <c r="V841" s="489"/>
      <c r="W841" s="489"/>
    </row>
    <row r="842" spans="1:23">
      <c r="A842" s="489"/>
      <c r="B842" s="489"/>
      <c r="C842" s="489"/>
      <c r="D842" s="489"/>
      <c r="E842" s="489"/>
      <c r="F842" s="489"/>
      <c r="G842" s="489"/>
      <c r="H842" s="489"/>
      <c r="I842" s="489"/>
      <c r="J842" s="489"/>
      <c r="K842" s="489"/>
      <c r="L842" s="489"/>
      <c r="M842" s="489"/>
      <c r="N842" s="489"/>
      <c r="O842" s="489"/>
      <c r="P842" s="489"/>
      <c r="Q842" s="489"/>
      <c r="R842" s="489"/>
      <c r="S842" s="489"/>
      <c r="T842" s="489"/>
      <c r="U842" s="489"/>
      <c r="V842" s="489"/>
      <c r="W842" s="489"/>
    </row>
    <row r="843" spans="1:23">
      <c r="A843" s="489"/>
      <c r="B843" s="489"/>
      <c r="C843" s="489"/>
      <c r="D843" s="489"/>
      <c r="E843" s="489"/>
      <c r="F843" s="489"/>
      <c r="G843" s="489"/>
      <c r="H843" s="489"/>
      <c r="I843" s="489"/>
      <c r="J843" s="489"/>
      <c r="K843" s="489"/>
      <c r="L843" s="489"/>
      <c r="M843" s="489"/>
      <c r="N843" s="489"/>
      <c r="O843" s="489"/>
      <c r="P843" s="489"/>
      <c r="Q843" s="489"/>
      <c r="R843" s="489"/>
      <c r="S843" s="489"/>
      <c r="T843" s="489"/>
      <c r="U843" s="489"/>
      <c r="V843" s="489"/>
      <c r="W843" s="489"/>
    </row>
    <row r="844" spans="1:23">
      <c r="A844" s="489"/>
      <c r="B844" s="489"/>
      <c r="C844" s="489"/>
      <c r="D844" s="489"/>
      <c r="E844" s="489"/>
      <c r="F844" s="489"/>
      <c r="G844" s="489"/>
      <c r="H844" s="489"/>
      <c r="I844" s="489"/>
      <c r="J844" s="489"/>
      <c r="K844" s="489"/>
      <c r="L844" s="489"/>
      <c r="M844" s="489"/>
      <c r="N844" s="489"/>
      <c r="O844" s="489"/>
      <c r="P844" s="489"/>
      <c r="Q844" s="489"/>
      <c r="R844" s="489"/>
      <c r="S844" s="489"/>
      <c r="T844" s="489"/>
      <c r="U844" s="489"/>
      <c r="V844" s="489"/>
      <c r="W844" s="489"/>
    </row>
    <row r="845" spans="1:23">
      <c r="A845" s="489"/>
      <c r="B845" s="489"/>
      <c r="C845" s="489"/>
      <c r="D845" s="489"/>
      <c r="E845" s="489"/>
      <c r="F845" s="489"/>
      <c r="G845" s="489"/>
      <c r="H845" s="489"/>
      <c r="I845" s="489"/>
      <c r="J845" s="489"/>
      <c r="K845" s="489"/>
      <c r="L845" s="489"/>
      <c r="M845" s="489"/>
      <c r="N845" s="489"/>
      <c r="O845" s="489"/>
      <c r="P845" s="489"/>
      <c r="Q845" s="489"/>
      <c r="R845" s="489"/>
      <c r="S845" s="489"/>
      <c r="T845" s="489"/>
      <c r="U845" s="489"/>
      <c r="V845" s="489"/>
      <c r="W845" s="489"/>
    </row>
    <row r="846" spans="1:23">
      <c r="A846" s="489"/>
      <c r="B846" s="489"/>
      <c r="C846" s="489"/>
      <c r="D846" s="489"/>
      <c r="E846" s="489"/>
      <c r="F846" s="489"/>
      <c r="G846" s="489"/>
      <c r="H846" s="489"/>
      <c r="I846" s="489"/>
      <c r="J846" s="489"/>
      <c r="K846" s="489"/>
      <c r="L846" s="489"/>
      <c r="M846" s="489"/>
      <c r="N846" s="489"/>
      <c r="O846" s="489"/>
      <c r="P846" s="489"/>
      <c r="Q846" s="489"/>
      <c r="R846" s="489"/>
      <c r="S846" s="489"/>
      <c r="T846" s="489"/>
      <c r="U846" s="489"/>
      <c r="V846" s="489"/>
      <c r="W846" s="489"/>
    </row>
    <row r="847" spans="1:23">
      <c r="A847" s="489"/>
      <c r="B847" s="489"/>
      <c r="C847" s="489"/>
      <c r="D847" s="489"/>
      <c r="E847" s="489"/>
      <c r="F847" s="489"/>
      <c r="G847" s="489"/>
      <c r="H847" s="489"/>
      <c r="I847" s="489"/>
      <c r="J847" s="489"/>
      <c r="K847" s="489"/>
      <c r="L847" s="489"/>
      <c r="M847" s="489"/>
      <c r="N847" s="489"/>
      <c r="O847" s="489"/>
      <c r="P847" s="489"/>
      <c r="Q847" s="489"/>
      <c r="R847" s="489"/>
      <c r="S847" s="489"/>
      <c r="T847" s="489"/>
      <c r="U847" s="489"/>
      <c r="V847" s="489"/>
      <c r="W847" s="489"/>
    </row>
    <row r="848" spans="1:23">
      <c r="A848" s="489"/>
      <c r="B848" s="489"/>
      <c r="C848" s="489"/>
      <c r="D848" s="489"/>
      <c r="E848" s="489"/>
      <c r="F848" s="489"/>
      <c r="G848" s="489"/>
      <c r="H848" s="489"/>
      <c r="I848" s="489"/>
      <c r="J848" s="489"/>
      <c r="K848" s="489"/>
      <c r="L848" s="489"/>
      <c r="M848" s="489"/>
      <c r="N848" s="489"/>
      <c r="O848" s="489"/>
      <c r="P848" s="489"/>
      <c r="Q848" s="489"/>
      <c r="R848" s="489"/>
      <c r="S848" s="489"/>
      <c r="T848" s="489"/>
      <c r="U848" s="489"/>
      <c r="V848" s="489"/>
      <c r="W848" s="489"/>
    </row>
    <row r="849" spans="1:23">
      <c r="A849" s="489"/>
      <c r="B849" s="489"/>
      <c r="C849" s="489"/>
      <c r="D849" s="489"/>
      <c r="E849" s="489"/>
      <c r="F849" s="489"/>
      <c r="G849" s="489"/>
      <c r="H849" s="489"/>
      <c r="I849" s="489"/>
      <c r="J849" s="489"/>
      <c r="K849" s="489"/>
      <c r="L849" s="489"/>
      <c r="M849" s="489"/>
      <c r="N849" s="489"/>
      <c r="O849" s="489"/>
      <c r="P849" s="489"/>
      <c r="Q849" s="489"/>
      <c r="R849" s="489"/>
      <c r="S849" s="489"/>
      <c r="T849" s="489"/>
      <c r="U849" s="489"/>
      <c r="V849" s="489"/>
      <c r="W849" s="489"/>
    </row>
    <row r="850" spans="1:23">
      <c r="A850" s="489"/>
      <c r="B850" s="489"/>
      <c r="C850" s="489"/>
      <c r="D850" s="489"/>
      <c r="E850" s="489"/>
      <c r="F850" s="489"/>
      <c r="G850" s="489"/>
      <c r="H850" s="489"/>
      <c r="I850" s="489"/>
      <c r="J850" s="489"/>
      <c r="K850" s="489"/>
      <c r="L850" s="489"/>
      <c r="M850" s="489"/>
      <c r="N850" s="489"/>
      <c r="O850" s="489"/>
      <c r="P850" s="489"/>
      <c r="Q850" s="489"/>
      <c r="R850" s="489"/>
      <c r="S850" s="489"/>
      <c r="T850" s="489"/>
      <c r="U850" s="489"/>
      <c r="V850" s="489"/>
      <c r="W850" s="489"/>
    </row>
    <row r="851" spans="1:23">
      <c r="A851" s="489"/>
      <c r="B851" s="489"/>
      <c r="C851" s="489"/>
      <c r="D851" s="489"/>
      <c r="E851" s="489"/>
      <c r="F851" s="489"/>
      <c r="G851" s="489"/>
      <c r="H851" s="489"/>
      <c r="I851" s="489"/>
      <c r="J851" s="489"/>
      <c r="K851" s="489"/>
      <c r="L851" s="489"/>
      <c r="M851" s="489"/>
      <c r="N851" s="489"/>
      <c r="O851" s="489"/>
      <c r="P851" s="489"/>
      <c r="Q851" s="489"/>
      <c r="R851" s="489"/>
      <c r="S851" s="489"/>
      <c r="T851" s="489"/>
      <c r="U851" s="489"/>
      <c r="V851" s="489"/>
      <c r="W851" s="489"/>
    </row>
    <row r="852" spans="1:23">
      <c r="A852" s="489"/>
      <c r="B852" s="489"/>
      <c r="C852" s="489"/>
      <c r="D852" s="489"/>
      <c r="E852" s="489"/>
      <c r="F852" s="489"/>
      <c r="G852" s="489"/>
      <c r="H852" s="489"/>
      <c r="I852" s="489"/>
      <c r="J852" s="489"/>
      <c r="K852" s="489"/>
      <c r="L852" s="489"/>
      <c r="M852" s="489"/>
      <c r="N852" s="489"/>
      <c r="O852" s="489"/>
      <c r="P852" s="489"/>
      <c r="Q852" s="489"/>
      <c r="R852" s="489"/>
      <c r="S852" s="489"/>
      <c r="T852" s="489"/>
      <c r="U852" s="489"/>
      <c r="V852" s="489"/>
      <c r="W852" s="489"/>
    </row>
    <row r="853" spans="1:23">
      <c r="A853" s="489"/>
      <c r="B853" s="489"/>
      <c r="C853" s="489"/>
      <c r="D853" s="489"/>
      <c r="E853" s="489"/>
      <c r="F853" s="489"/>
      <c r="G853" s="489"/>
      <c r="H853" s="489"/>
      <c r="I853" s="489"/>
      <c r="J853" s="489"/>
      <c r="K853" s="489"/>
      <c r="L853" s="489"/>
      <c r="M853" s="489"/>
      <c r="N853" s="489"/>
      <c r="O853" s="489"/>
      <c r="P853" s="489"/>
      <c r="Q853" s="489"/>
      <c r="R853" s="489"/>
      <c r="S853" s="489"/>
      <c r="T853" s="489"/>
      <c r="U853" s="489"/>
      <c r="V853" s="489"/>
      <c r="W853" s="489"/>
    </row>
    <row r="854" spans="1:23">
      <c r="A854" s="489"/>
      <c r="B854" s="489"/>
      <c r="C854" s="489"/>
      <c r="D854" s="489"/>
      <c r="E854" s="489"/>
      <c r="F854" s="489"/>
      <c r="G854" s="489"/>
      <c r="H854" s="489"/>
      <c r="I854" s="489"/>
      <c r="J854" s="489"/>
      <c r="K854" s="489"/>
      <c r="L854" s="489"/>
      <c r="M854" s="489"/>
      <c r="N854" s="489"/>
      <c r="O854" s="489"/>
      <c r="P854" s="489"/>
      <c r="Q854" s="489"/>
      <c r="R854" s="489"/>
      <c r="S854" s="489"/>
      <c r="T854" s="489"/>
      <c r="U854" s="489"/>
      <c r="V854" s="489"/>
      <c r="W854" s="489"/>
    </row>
    <row r="855" spans="1:23">
      <c r="A855" s="489"/>
      <c r="B855" s="489"/>
      <c r="C855" s="489"/>
      <c r="D855" s="489"/>
      <c r="E855" s="489"/>
      <c r="F855" s="489"/>
      <c r="G855" s="489"/>
      <c r="H855" s="489"/>
      <c r="I855" s="489"/>
      <c r="J855" s="489"/>
      <c r="K855" s="489"/>
      <c r="L855" s="489"/>
      <c r="M855" s="489"/>
      <c r="N855" s="489"/>
      <c r="O855" s="489"/>
      <c r="P855" s="489"/>
      <c r="Q855" s="489"/>
      <c r="R855" s="489"/>
      <c r="S855" s="489"/>
      <c r="T855" s="489"/>
      <c r="U855" s="489"/>
      <c r="V855" s="489"/>
      <c r="W855" s="489"/>
    </row>
    <row r="856" spans="1:23">
      <c r="A856" s="489"/>
      <c r="B856" s="489"/>
      <c r="C856" s="489"/>
      <c r="D856" s="489"/>
      <c r="E856" s="489"/>
      <c r="F856" s="489"/>
      <c r="G856" s="489"/>
      <c r="H856" s="489"/>
      <c r="I856" s="489"/>
      <c r="J856" s="489"/>
      <c r="K856" s="489"/>
      <c r="L856" s="489"/>
      <c r="M856" s="489"/>
      <c r="N856" s="489"/>
      <c r="O856" s="489"/>
      <c r="P856" s="489"/>
      <c r="Q856" s="489"/>
      <c r="R856" s="489"/>
      <c r="S856" s="489"/>
      <c r="T856" s="489"/>
      <c r="U856" s="489"/>
      <c r="V856" s="489"/>
      <c r="W856" s="489"/>
    </row>
    <row r="857" spans="1:23">
      <c r="A857" s="489"/>
      <c r="B857" s="489"/>
      <c r="C857" s="489"/>
      <c r="D857" s="489"/>
      <c r="E857" s="489"/>
      <c r="F857" s="489"/>
      <c r="G857" s="489"/>
      <c r="H857" s="489"/>
      <c r="I857" s="489"/>
      <c r="J857" s="489"/>
      <c r="K857" s="489"/>
      <c r="L857" s="489"/>
      <c r="M857" s="489"/>
      <c r="N857" s="489"/>
      <c r="O857" s="489"/>
      <c r="P857" s="489"/>
      <c r="Q857" s="489"/>
      <c r="R857" s="489"/>
      <c r="S857" s="489"/>
      <c r="T857" s="489"/>
      <c r="U857" s="489"/>
      <c r="V857" s="489"/>
      <c r="W857" s="489"/>
    </row>
    <row r="858" spans="1:23">
      <c r="A858" s="489"/>
      <c r="B858" s="489"/>
      <c r="C858" s="489"/>
      <c r="D858" s="489"/>
      <c r="E858" s="489"/>
      <c r="F858" s="489"/>
      <c r="G858" s="489"/>
      <c r="H858" s="489"/>
      <c r="I858" s="489"/>
      <c r="J858" s="489"/>
      <c r="K858" s="489"/>
      <c r="L858" s="489"/>
      <c r="M858" s="489"/>
      <c r="N858" s="489"/>
      <c r="O858" s="489"/>
      <c r="P858" s="489"/>
      <c r="Q858" s="489"/>
      <c r="R858" s="489"/>
      <c r="S858" s="489"/>
      <c r="T858" s="489"/>
      <c r="U858" s="489"/>
      <c r="V858" s="489"/>
      <c r="W858" s="489"/>
    </row>
    <row r="859" spans="1:23">
      <c r="A859" s="489"/>
      <c r="B859" s="489"/>
      <c r="C859" s="489"/>
      <c r="D859" s="489"/>
      <c r="E859" s="489"/>
      <c r="F859" s="489"/>
      <c r="G859" s="489"/>
      <c r="H859" s="489"/>
      <c r="I859" s="489"/>
      <c r="J859" s="489"/>
      <c r="K859" s="489"/>
      <c r="L859" s="489"/>
      <c r="M859" s="489"/>
      <c r="N859" s="489"/>
      <c r="O859" s="489"/>
      <c r="P859" s="489"/>
      <c r="Q859" s="489"/>
      <c r="R859" s="489"/>
      <c r="S859" s="489"/>
      <c r="T859" s="489"/>
      <c r="U859" s="489"/>
      <c r="V859" s="489"/>
      <c r="W859" s="489"/>
    </row>
    <row r="860" spans="1:23">
      <c r="A860" s="489"/>
      <c r="B860" s="489"/>
      <c r="C860" s="489"/>
      <c r="D860" s="489"/>
      <c r="E860" s="489"/>
      <c r="F860" s="489"/>
      <c r="G860" s="489"/>
      <c r="H860" s="489"/>
      <c r="I860" s="489"/>
      <c r="J860" s="489"/>
      <c r="K860" s="489"/>
      <c r="L860" s="489"/>
      <c r="M860" s="489"/>
      <c r="N860" s="489"/>
      <c r="O860" s="489"/>
      <c r="P860" s="489"/>
      <c r="Q860" s="489"/>
      <c r="R860" s="489"/>
      <c r="S860" s="489"/>
      <c r="T860" s="489"/>
      <c r="U860" s="489"/>
      <c r="V860" s="489"/>
      <c r="W860" s="489"/>
    </row>
    <row r="861" spans="1:23">
      <c r="A861" s="489"/>
      <c r="B861" s="489"/>
      <c r="C861" s="489"/>
      <c r="D861" s="489"/>
      <c r="E861" s="489"/>
      <c r="F861" s="489"/>
      <c r="G861" s="489"/>
      <c r="H861" s="489"/>
      <c r="I861" s="489"/>
      <c r="J861" s="489"/>
      <c r="K861" s="489"/>
      <c r="L861" s="489"/>
      <c r="M861" s="489"/>
      <c r="N861" s="489"/>
      <c r="O861" s="489"/>
      <c r="P861" s="489"/>
      <c r="Q861" s="489"/>
      <c r="R861" s="489"/>
      <c r="S861" s="489"/>
      <c r="T861" s="489"/>
      <c r="U861" s="489"/>
      <c r="V861" s="489"/>
      <c r="W861" s="489"/>
    </row>
    <row r="862" spans="1:23">
      <c r="A862" s="489"/>
      <c r="B862" s="489"/>
      <c r="C862" s="489"/>
      <c r="D862" s="489"/>
      <c r="E862" s="489"/>
      <c r="F862" s="489"/>
      <c r="G862" s="489"/>
      <c r="H862" s="489"/>
      <c r="I862" s="489"/>
      <c r="J862" s="489"/>
      <c r="K862" s="489"/>
      <c r="L862" s="489"/>
      <c r="M862" s="489"/>
      <c r="N862" s="489"/>
      <c r="O862" s="489"/>
      <c r="P862" s="489"/>
      <c r="Q862" s="489"/>
      <c r="R862" s="489"/>
      <c r="S862" s="489"/>
      <c r="T862" s="489"/>
      <c r="U862" s="489"/>
      <c r="V862" s="489"/>
      <c r="W862" s="489"/>
    </row>
    <row r="863" spans="1:23">
      <c r="A863" s="489"/>
      <c r="B863" s="489"/>
      <c r="C863" s="489"/>
      <c r="D863" s="489"/>
      <c r="E863" s="489"/>
      <c r="F863" s="489"/>
      <c r="G863" s="489"/>
      <c r="H863" s="489"/>
      <c r="I863" s="489"/>
      <c r="J863" s="489"/>
      <c r="K863" s="489"/>
      <c r="L863" s="489"/>
      <c r="M863" s="489"/>
      <c r="N863" s="489"/>
      <c r="O863" s="489"/>
      <c r="P863" s="489"/>
      <c r="Q863" s="489"/>
      <c r="R863" s="489"/>
      <c r="S863" s="489"/>
      <c r="T863" s="489"/>
      <c r="U863" s="489"/>
      <c r="V863" s="489"/>
      <c r="W863" s="489"/>
    </row>
    <row r="864" spans="1:23">
      <c r="A864" s="489"/>
      <c r="B864" s="489"/>
      <c r="C864" s="489"/>
      <c r="D864" s="489"/>
      <c r="E864" s="489"/>
      <c r="F864" s="489"/>
      <c r="G864" s="489"/>
      <c r="H864" s="489"/>
      <c r="I864" s="489"/>
      <c r="J864" s="489"/>
      <c r="K864" s="489"/>
      <c r="L864" s="489"/>
      <c r="M864" s="489"/>
      <c r="N864" s="489"/>
      <c r="O864" s="489"/>
      <c r="P864" s="489"/>
      <c r="Q864" s="489"/>
      <c r="R864" s="489"/>
      <c r="S864" s="489"/>
      <c r="T864" s="489"/>
      <c r="U864" s="489"/>
      <c r="V864" s="489"/>
      <c r="W864" s="489"/>
    </row>
    <row r="865" spans="1:23">
      <c r="A865" s="489"/>
      <c r="B865" s="489"/>
      <c r="C865" s="489"/>
      <c r="D865" s="489"/>
      <c r="E865" s="489"/>
      <c r="F865" s="489"/>
      <c r="G865" s="489"/>
      <c r="H865" s="489"/>
      <c r="I865" s="489"/>
      <c r="J865" s="489"/>
      <c r="K865" s="489"/>
      <c r="L865" s="489"/>
      <c r="M865" s="489"/>
      <c r="N865" s="489"/>
      <c r="O865" s="489"/>
      <c r="P865" s="489"/>
      <c r="Q865" s="489"/>
      <c r="R865" s="489"/>
      <c r="S865" s="489"/>
      <c r="T865" s="489"/>
      <c r="U865" s="489"/>
      <c r="V865" s="489"/>
      <c r="W865" s="489"/>
    </row>
    <row r="866" spans="1:23">
      <c r="A866" s="489"/>
      <c r="B866" s="489"/>
      <c r="C866" s="489"/>
      <c r="D866" s="489"/>
      <c r="E866" s="489"/>
      <c r="F866" s="489"/>
      <c r="G866" s="489"/>
      <c r="H866" s="489"/>
      <c r="I866" s="489"/>
      <c r="J866" s="489"/>
      <c r="K866" s="489"/>
      <c r="L866" s="489"/>
      <c r="M866" s="489"/>
      <c r="N866" s="489"/>
      <c r="O866" s="489"/>
      <c r="P866" s="489"/>
      <c r="Q866" s="489"/>
      <c r="R866" s="489"/>
      <c r="S866" s="489"/>
      <c r="T866" s="489"/>
      <c r="U866" s="489"/>
      <c r="V866" s="489"/>
      <c r="W866" s="489"/>
    </row>
    <row r="867" spans="1:23">
      <c r="A867" s="489"/>
      <c r="B867" s="489"/>
      <c r="C867" s="489"/>
      <c r="D867" s="489"/>
      <c r="E867" s="489"/>
      <c r="F867" s="489"/>
      <c r="G867" s="489"/>
      <c r="H867" s="489"/>
      <c r="I867" s="489"/>
      <c r="J867" s="489"/>
      <c r="K867" s="489"/>
      <c r="L867" s="489"/>
      <c r="M867" s="489"/>
      <c r="N867" s="489"/>
      <c r="O867" s="489"/>
      <c r="P867" s="489"/>
      <c r="Q867" s="489"/>
      <c r="R867" s="489"/>
      <c r="S867" s="489"/>
      <c r="T867" s="489"/>
      <c r="U867" s="489"/>
      <c r="V867" s="489"/>
      <c r="W867" s="489"/>
    </row>
    <row r="868" spans="1:23">
      <c r="A868" s="489"/>
      <c r="B868" s="489"/>
      <c r="C868" s="489"/>
      <c r="D868" s="489"/>
      <c r="E868" s="489"/>
      <c r="F868" s="489"/>
      <c r="G868" s="489"/>
      <c r="H868" s="489"/>
      <c r="I868" s="489"/>
      <c r="J868" s="489"/>
      <c r="K868" s="489"/>
      <c r="L868" s="489"/>
      <c r="M868" s="489"/>
      <c r="N868" s="489"/>
      <c r="O868" s="489"/>
      <c r="P868" s="489"/>
      <c r="Q868" s="489"/>
      <c r="R868" s="489"/>
      <c r="S868" s="489"/>
      <c r="T868" s="489"/>
      <c r="U868" s="489"/>
      <c r="V868" s="489"/>
      <c r="W868" s="489"/>
    </row>
    <row r="869" spans="1:23">
      <c r="A869" s="489"/>
      <c r="B869" s="489"/>
      <c r="C869" s="489"/>
      <c r="D869" s="489"/>
      <c r="E869" s="489"/>
      <c r="F869" s="489"/>
      <c r="G869" s="489"/>
      <c r="H869" s="489"/>
      <c r="I869" s="489"/>
      <c r="J869" s="489"/>
      <c r="K869" s="489"/>
      <c r="L869" s="489"/>
      <c r="M869" s="489"/>
      <c r="N869" s="489"/>
      <c r="O869" s="489"/>
      <c r="P869" s="489"/>
      <c r="Q869" s="489"/>
      <c r="R869" s="489"/>
      <c r="S869" s="489"/>
      <c r="T869" s="489"/>
      <c r="U869" s="489"/>
      <c r="V869" s="489"/>
      <c r="W869" s="489"/>
    </row>
    <row r="870" spans="1:23">
      <c r="A870" s="489"/>
      <c r="B870" s="489"/>
      <c r="C870" s="489"/>
      <c r="D870" s="489"/>
      <c r="E870" s="489"/>
      <c r="F870" s="489"/>
      <c r="G870" s="489"/>
      <c r="H870" s="489"/>
      <c r="I870" s="489"/>
      <c r="J870" s="489"/>
      <c r="K870" s="489"/>
      <c r="L870" s="489"/>
      <c r="M870" s="489"/>
      <c r="N870" s="489"/>
      <c r="O870" s="489"/>
      <c r="P870" s="489"/>
      <c r="Q870" s="489"/>
      <c r="R870" s="489"/>
      <c r="S870" s="489"/>
      <c r="T870" s="489"/>
      <c r="U870" s="489"/>
      <c r="V870" s="489"/>
      <c r="W870" s="489"/>
    </row>
    <row r="871" spans="1:23">
      <c r="A871" s="489"/>
      <c r="B871" s="489"/>
      <c r="C871" s="489"/>
      <c r="D871" s="489"/>
      <c r="E871" s="489"/>
      <c r="F871" s="489"/>
      <c r="G871" s="489"/>
      <c r="H871" s="489"/>
      <c r="I871" s="489"/>
      <c r="J871" s="489"/>
      <c r="K871" s="489"/>
      <c r="L871" s="489"/>
      <c r="M871" s="489"/>
      <c r="N871" s="489"/>
      <c r="O871" s="489"/>
      <c r="P871" s="489"/>
      <c r="Q871" s="489"/>
      <c r="R871" s="489"/>
      <c r="S871" s="489"/>
      <c r="T871" s="489"/>
      <c r="U871" s="489"/>
      <c r="V871" s="489"/>
      <c r="W871" s="489"/>
    </row>
    <row r="872" spans="1:23">
      <c r="A872" s="489"/>
      <c r="B872" s="489"/>
      <c r="C872" s="489"/>
      <c r="D872" s="489"/>
      <c r="E872" s="489"/>
      <c r="F872" s="489"/>
      <c r="G872" s="489"/>
      <c r="H872" s="489"/>
      <c r="I872" s="489"/>
      <c r="J872" s="489"/>
      <c r="K872" s="489"/>
      <c r="L872" s="489"/>
      <c r="M872" s="489"/>
      <c r="N872" s="489"/>
      <c r="O872" s="489"/>
      <c r="P872" s="489"/>
      <c r="Q872" s="489"/>
      <c r="R872" s="489"/>
      <c r="S872" s="489"/>
      <c r="T872" s="489"/>
      <c r="U872" s="489"/>
      <c r="V872" s="489"/>
      <c r="W872" s="489"/>
    </row>
    <row r="873" spans="1:23">
      <c r="A873" s="489"/>
      <c r="B873" s="489"/>
      <c r="C873" s="489"/>
      <c r="D873" s="489"/>
      <c r="E873" s="489"/>
      <c r="F873" s="489"/>
      <c r="G873" s="489"/>
      <c r="H873" s="489"/>
      <c r="I873" s="489"/>
      <c r="J873" s="489"/>
      <c r="K873" s="489"/>
      <c r="L873" s="489"/>
      <c r="M873" s="489"/>
      <c r="N873" s="489"/>
      <c r="O873" s="489"/>
      <c r="P873" s="489"/>
      <c r="Q873" s="489"/>
      <c r="R873" s="489"/>
      <c r="S873" s="489"/>
      <c r="T873" s="489"/>
      <c r="U873" s="489"/>
      <c r="V873" s="489"/>
      <c r="W873" s="489"/>
    </row>
    <row r="874" spans="1:23">
      <c r="A874" s="489"/>
      <c r="B874" s="489"/>
      <c r="C874" s="489"/>
      <c r="D874" s="489"/>
      <c r="E874" s="489"/>
      <c r="F874" s="489"/>
      <c r="G874" s="489"/>
      <c r="H874" s="489"/>
      <c r="I874" s="489"/>
      <c r="J874" s="489"/>
      <c r="K874" s="489"/>
      <c r="L874" s="489"/>
      <c r="M874" s="489"/>
      <c r="N874" s="489"/>
      <c r="O874" s="489"/>
      <c r="P874" s="489"/>
      <c r="Q874" s="489"/>
      <c r="R874" s="489"/>
      <c r="S874" s="489"/>
      <c r="T874" s="489"/>
      <c r="U874" s="489"/>
      <c r="V874" s="489"/>
      <c r="W874" s="489"/>
    </row>
    <row r="875" spans="1:23">
      <c r="A875" s="489"/>
      <c r="B875" s="489"/>
      <c r="C875" s="489"/>
      <c r="D875" s="489"/>
      <c r="E875" s="489"/>
      <c r="F875" s="489"/>
      <c r="G875" s="489"/>
      <c r="H875" s="489"/>
      <c r="I875" s="489"/>
      <c r="J875" s="489"/>
      <c r="K875" s="489"/>
      <c r="L875" s="489"/>
      <c r="M875" s="489"/>
      <c r="N875" s="489"/>
      <c r="O875" s="489"/>
      <c r="P875" s="489"/>
      <c r="Q875" s="489"/>
      <c r="R875" s="489"/>
      <c r="S875" s="489"/>
      <c r="T875" s="489"/>
      <c r="U875" s="489"/>
      <c r="V875" s="489"/>
      <c r="W875" s="489"/>
    </row>
    <row r="876" spans="1:23">
      <c r="A876" s="489"/>
      <c r="B876" s="489"/>
      <c r="C876" s="489"/>
      <c r="D876" s="489"/>
      <c r="E876" s="489"/>
      <c r="F876" s="489"/>
      <c r="G876" s="489"/>
      <c r="H876" s="489"/>
      <c r="I876" s="489"/>
      <c r="J876" s="489"/>
      <c r="K876" s="489"/>
      <c r="L876" s="489"/>
      <c r="M876" s="489"/>
      <c r="N876" s="489"/>
      <c r="O876" s="489"/>
      <c r="P876" s="489"/>
      <c r="Q876" s="489"/>
      <c r="R876" s="489"/>
      <c r="S876" s="489"/>
      <c r="T876" s="489"/>
      <c r="U876" s="489"/>
      <c r="V876" s="489"/>
      <c r="W876" s="489"/>
    </row>
    <row r="877" spans="1:23">
      <c r="A877" s="489"/>
      <c r="B877" s="489"/>
      <c r="C877" s="489"/>
      <c r="D877" s="489"/>
      <c r="E877" s="489"/>
      <c r="F877" s="489"/>
      <c r="G877" s="489"/>
      <c r="H877" s="489"/>
      <c r="I877" s="489"/>
      <c r="J877" s="489"/>
      <c r="K877" s="489"/>
      <c r="L877" s="489"/>
      <c r="M877" s="489"/>
      <c r="N877" s="489"/>
      <c r="O877" s="489"/>
      <c r="P877" s="489"/>
      <c r="Q877" s="489"/>
      <c r="R877" s="489"/>
      <c r="S877" s="489"/>
      <c r="T877" s="489"/>
      <c r="U877" s="489"/>
      <c r="V877" s="489"/>
      <c r="W877" s="489"/>
    </row>
    <row r="878" spans="1:23">
      <c r="A878" s="489"/>
      <c r="B878" s="489"/>
      <c r="C878" s="489"/>
      <c r="D878" s="489"/>
      <c r="E878" s="489"/>
      <c r="F878" s="489"/>
      <c r="G878" s="489"/>
      <c r="H878" s="489"/>
      <c r="I878" s="489"/>
      <c r="J878" s="489"/>
      <c r="K878" s="489"/>
      <c r="L878" s="489"/>
      <c r="M878" s="489"/>
      <c r="N878" s="489"/>
      <c r="O878" s="489"/>
      <c r="P878" s="489"/>
      <c r="Q878" s="489"/>
      <c r="R878" s="489"/>
      <c r="S878" s="489"/>
      <c r="T878" s="489"/>
      <c r="U878" s="489"/>
      <c r="V878" s="489"/>
      <c r="W878" s="489"/>
    </row>
    <row r="879" spans="1:23">
      <c r="A879" s="489"/>
      <c r="B879" s="489"/>
      <c r="C879" s="489"/>
      <c r="D879" s="489"/>
      <c r="E879" s="489"/>
      <c r="F879" s="489"/>
      <c r="G879" s="489"/>
      <c r="H879" s="489"/>
      <c r="I879" s="489"/>
      <c r="J879" s="489"/>
      <c r="K879" s="489"/>
      <c r="L879" s="489"/>
      <c r="M879" s="489"/>
      <c r="N879" s="489"/>
      <c r="O879" s="489"/>
      <c r="P879" s="489"/>
      <c r="Q879" s="489"/>
      <c r="R879" s="489"/>
      <c r="S879" s="489"/>
      <c r="T879" s="489"/>
      <c r="U879" s="489"/>
      <c r="V879" s="489"/>
      <c r="W879" s="489"/>
    </row>
    <row r="880" spans="1:23">
      <c r="A880" s="489"/>
      <c r="B880" s="489"/>
      <c r="C880" s="489"/>
      <c r="D880" s="489"/>
      <c r="E880" s="489"/>
      <c r="F880" s="489"/>
      <c r="G880" s="489"/>
      <c r="H880" s="489"/>
      <c r="I880" s="489"/>
      <c r="J880" s="489"/>
      <c r="K880" s="489"/>
      <c r="L880" s="489"/>
      <c r="M880" s="489"/>
      <c r="N880" s="489"/>
      <c r="O880" s="489"/>
      <c r="P880" s="489"/>
      <c r="Q880" s="489"/>
      <c r="R880" s="489"/>
      <c r="S880" s="489"/>
      <c r="T880" s="489"/>
      <c r="U880" s="489"/>
      <c r="V880" s="489"/>
      <c r="W880" s="489"/>
    </row>
    <row r="881" spans="1:23">
      <c r="A881" s="489"/>
      <c r="B881" s="489"/>
      <c r="C881" s="489"/>
      <c r="D881" s="489"/>
      <c r="E881" s="489"/>
      <c r="F881" s="489"/>
      <c r="G881" s="489"/>
      <c r="H881" s="489"/>
      <c r="I881" s="489"/>
      <c r="J881" s="489"/>
      <c r="K881" s="489"/>
      <c r="L881" s="489"/>
      <c r="M881" s="489"/>
      <c r="N881" s="489"/>
      <c r="O881" s="489"/>
      <c r="P881" s="489"/>
      <c r="Q881" s="489"/>
      <c r="R881" s="489"/>
      <c r="S881" s="489"/>
      <c r="T881" s="489"/>
      <c r="U881" s="489"/>
      <c r="V881" s="489"/>
      <c r="W881" s="489"/>
    </row>
    <row r="882" spans="1:23">
      <c r="A882" s="489"/>
      <c r="B882" s="489"/>
      <c r="C882" s="489"/>
      <c r="D882" s="489"/>
      <c r="E882" s="489"/>
      <c r="F882" s="489"/>
      <c r="G882" s="489"/>
      <c r="H882" s="489"/>
      <c r="I882" s="489"/>
      <c r="J882" s="489"/>
      <c r="K882" s="489"/>
      <c r="L882" s="489"/>
      <c r="M882" s="489"/>
      <c r="N882" s="489"/>
      <c r="O882" s="489"/>
      <c r="P882" s="489"/>
      <c r="Q882" s="489"/>
      <c r="R882" s="489"/>
      <c r="S882" s="489"/>
      <c r="T882" s="489"/>
      <c r="U882" s="489"/>
      <c r="V882" s="489"/>
      <c r="W882" s="489"/>
    </row>
    <row r="883" spans="1:23">
      <c r="A883" s="489"/>
      <c r="B883" s="489"/>
      <c r="C883" s="489"/>
      <c r="D883" s="489"/>
      <c r="E883" s="489"/>
      <c r="F883" s="489"/>
      <c r="G883" s="489"/>
      <c r="H883" s="489"/>
      <c r="I883" s="489"/>
      <c r="J883" s="489"/>
      <c r="K883" s="489"/>
      <c r="L883" s="489"/>
      <c r="M883" s="489"/>
      <c r="N883" s="489"/>
      <c r="O883" s="489"/>
      <c r="P883" s="489"/>
      <c r="Q883" s="489"/>
      <c r="R883" s="489"/>
      <c r="S883" s="489"/>
      <c r="T883" s="489"/>
      <c r="U883" s="489"/>
      <c r="V883" s="489"/>
      <c r="W883" s="489"/>
    </row>
    <row r="884" spans="1:23">
      <c r="A884" s="489"/>
      <c r="B884" s="489"/>
      <c r="C884" s="489"/>
      <c r="D884" s="489"/>
      <c r="E884" s="489"/>
      <c r="F884" s="489"/>
      <c r="G884" s="489"/>
      <c r="H884" s="489"/>
      <c r="I884" s="489"/>
      <c r="J884" s="489"/>
      <c r="K884" s="489"/>
      <c r="L884" s="489"/>
      <c r="M884" s="489"/>
      <c r="N884" s="489"/>
      <c r="O884" s="489"/>
      <c r="P884" s="489"/>
      <c r="Q884" s="489"/>
      <c r="R884" s="489"/>
      <c r="S884" s="489"/>
      <c r="T884" s="489"/>
      <c r="U884" s="489"/>
      <c r="V884" s="489"/>
      <c r="W884" s="489"/>
    </row>
    <row r="885" spans="1:23">
      <c r="A885" s="489"/>
      <c r="B885" s="489"/>
      <c r="C885" s="489"/>
      <c r="D885" s="489"/>
      <c r="E885" s="489"/>
      <c r="F885" s="489"/>
      <c r="G885" s="489"/>
      <c r="H885" s="489"/>
      <c r="I885" s="489"/>
      <c r="J885" s="489"/>
      <c r="K885" s="489"/>
      <c r="L885" s="489"/>
      <c r="M885" s="489"/>
      <c r="N885" s="489"/>
      <c r="O885" s="489"/>
      <c r="P885" s="489"/>
      <c r="Q885" s="489"/>
      <c r="R885" s="489"/>
      <c r="S885" s="489"/>
      <c r="T885" s="489"/>
      <c r="U885" s="489"/>
      <c r="V885" s="489"/>
      <c r="W885" s="489"/>
    </row>
    <row r="886" spans="1:23" ht="15" customHeight="1">
      <c r="A886" s="489"/>
      <c r="B886" s="489"/>
      <c r="C886" s="489"/>
      <c r="D886" s="489"/>
      <c r="E886" s="489"/>
      <c r="F886" s="489"/>
      <c r="G886" s="489"/>
      <c r="H886" s="489"/>
      <c r="I886" s="489"/>
      <c r="J886" s="489"/>
      <c r="K886" s="489"/>
      <c r="L886" s="489"/>
      <c r="M886" s="489"/>
      <c r="N886" s="489"/>
      <c r="O886" s="489"/>
      <c r="P886" s="489"/>
      <c r="Q886" s="489"/>
      <c r="R886" s="489"/>
      <c r="S886" s="489"/>
      <c r="T886" s="489"/>
      <c r="U886" s="489"/>
      <c r="V886" s="489"/>
      <c r="W886" s="489"/>
    </row>
    <row r="887" spans="1:23" ht="15" customHeight="1">
      <c r="A887" s="489"/>
      <c r="B887" s="489"/>
      <c r="C887" s="489"/>
      <c r="D887" s="489"/>
      <c r="E887" s="489"/>
      <c r="F887" s="489"/>
      <c r="G887" s="489"/>
      <c r="H887" s="489"/>
      <c r="I887" s="489"/>
      <c r="J887" s="489"/>
      <c r="K887" s="489"/>
      <c r="L887" s="489"/>
      <c r="M887" s="489"/>
      <c r="N887" s="489"/>
      <c r="O887" s="489"/>
      <c r="P887" s="489"/>
      <c r="Q887" s="489"/>
      <c r="R887" s="489"/>
      <c r="S887" s="489"/>
      <c r="T887" s="489"/>
      <c r="U887" s="489"/>
      <c r="V887" s="489"/>
      <c r="W887" s="489"/>
    </row>
    <row r="888" spans="1:23" ht="15" customHeight="1">
      <c r="A888" s="489"/>
      <c r="B888" s="489"/>
      <c r="C888" s="489"/>
      <c r="D888" s="489"/>
      <c r="E888" s="489"/>
      <c r="F888" s="489"/>
      <c r="G888" s="489"/>
      <c r="H888" s="489"/>
      <c r="I888" s="489"/>
      <c r="J888" s="489"/>
      <c r="K888" s="489"/>
      <c r="L888" s="489"/>
      <c r="M888" s="489"/>
      <c r="N888" s="489"/>
      <c r="O888" s="489"/>
      <c r="P888" s="489"/>
      <c r="Q888" s="489"/>
      <c r="R888" s="489"/>
      <c r="S888" s="489"/>
      <c r="T888" s="489"/>
      <c r="U888" s="489"/>
      <c r="V888" s="489"/>
      <c r="W888" s="489"/>
    </row>
    <row r="889" spans="1:23" ht="15" customHeight="1">
      <c r="A889" s="489"/>
      <c r="B889" s="489"/>
      <c r="C889" s="489"/>
      <c r="D889" s="489"/>
      <c r="E889" s="489"/>
      <c r="F889" s="489"/>
      <c r="G889" s="489"/>
      <c r="H889" s="489"/>
      <c r="I889" s="489"/>
      <c r="J889" s="489"/>
      <c r="K889" s="489"/>
      <c r="L889" s="489"/>
      <c r="M889" s="489"/>
      <c r="N889" s="489"/>
      <c r="O889" s="489"/>
      <c r="P889" s="489"/>
      <c r="Q889" s="489"/>
      <c r="R889" s="489"/>
      <c r="S889" s="489"/>
      <c r="T889" s="489"/>
      <c r="U889" s="489"/>
      <c r="V889" s="489"/>
      <c r="W889" s="489"/>
    </row>
    <row r="890" spans="1:23" ht="15" customHeight="1">
      <c r="A890" s="489"/>
      <c r="B890" s="489"/>
      <c r="C890" s="489"/>
      <c r="D890" s="489"/>
      <c r="E890" s="489"/>
      <c r="F890" s="489"/>
      <c r="G890" s="489"/>
      <c r="H890" s="489"/>
      <c r="I890" s="489"/>
      <c r="J890" s="489"/>
      <c r="K890" s="489"/>
      <c r="L890" s="489"/>
      <c r="M890" s="489"/>
      <c r="N890" s="489"/>
      <c r="O890" s="489"/>
      <c r="P890" s="489"/>
      <c r="Q890" s="489"/>
      <c r="R890" s="489"/>
      <c r="S890" s="489"/>
      <c r="T890" s="489"/>
      <c r="U890" s="489"/>
      <c r="V890" s="489"/>
      <c r="W890" s="489"/>
    </row>
    <row r="891" spans="1:23" ht="15" customHeight="1">
      <c r="A891" s="489"/>
      <c r="B891" s="489"/>
      <c r="C891" s="489"/>
      <c r="D891" s="489"/>
      <c r="E891" s="489"/>
      <c r="F891" s="489"/>
      <c r="G891" s="489"/>
      <c r="H891" s="489"/>
      <c r="I891" s="489"/>
      <c r="J891" s="489"/>
      <c r="K891" s="489"/>
      <c r="L891" s="489"/>
      <c r="M891" s="489"/>
      <c r="N891" s="489"/>
      <c r="O891" s="489"/>
      <c r="P891" s="489"/>
      <c r="Q891" s="489"/>
      <c r="R891" s="489"/>
      <c r="S891" s="489"/>
      <c r="T891" s="489"/>
      <c r="U891" s="489"/>
      <c r="V891" s="489"/>
      <c r="W891" s="489"/>
    </row>
    <row r="892" spans="1:23">
      <c r="A892" s="489"/>
      <c r="B892" s="489"/>
      <c r="C892" s="489"/>
      <c r="D892" s="489"/>
      <c r="E892" s="489"/>
      <c r="F892" s="489"/>
      <c r="G892" s="489"/>
      <c r="H892" s="489"/>
      <c r="I892" s="489"/>
      <c r="J892" s="489"/>
      <c r="K892" s="489"/>
      <c r="L892" s="489"/>
      <c r="M892" s="489"/>
      <c r="N892" s="489"/>
      <c r="O892" s="489"/>
      <c r="P892" s="489"/>
      <c r="Q892" s="489"/>
      <c r="R892" s="489"/>
      <c r="S892" s="489"/>
      <c r="T892" s="489"/>
      <c r="U892" s="489"/>
      <c r="V892" s="489"/>
      <c r="W892" s="489"/>
    </row>
    <row r="893" spans="1:23">
      <c r="A893" s="489"/>
      <c r="B893" s="489"/>
      <c r="C893" s="489"/>
      <c r="D893" s="489"/>
      <c r="E893" s="489"/>
      <c r="F893" s="489"/>
      <c r="G893" s="489"/>
      <c r="H893" s="489"/>
      <c r="I893" s="489"/>
      <c r="J893" s="489"/>
      <c r="K893" s="489"/>
      <c r="L893" s="489"/>
      <c r="M893" s="489"/>
      <c r="N893" s="489"/>
      <c r="O893" s="489"/>
      <c r="P893" s="489"/>
      <c r="Q893" s="489"/>
      <c r="R893" s="489"/>
      <c r="S893" s="489"/>
      <c r="T893" s="489"/>
      <c r="U893" s="489"/>
      <c r="V893" s="489"/>
      <c r="W893" s="489"/>
    </row>
    <row r="894" spans="1:23">
      <c r="A894" s="489"/>
      <c r="B894" s="489"/>
      <c r="C894" s="489"/>
      <c r="D894" s="489"/>
      <c r="E894" s="489"/>
      <c r="F894" s="489"/>
      <c r="G894" s="489"/>
      <c r="H894" s="489"/>
      <c r="I894" s="489"/>
      <c r="J894" s="489"/>
      <c r="K894" s="489"/>
      <c r="L894" s="489"/>
      <c r="M894" s="489"/>
      <c r="N894" s="489"/>
      <c r="O894" s="489"/>
      <c r="P894" s="489"/>
      <c r="Q894" s="489"/>
      <c r="R894" s="489"/>
      <c r="S894" s="489"/>
      <c r="T894" s="489"/>
      <c r="U894" s="489"/>
      <c r="V894" s="489"/>
      <c r="W894" s="489"/>
    </row>
    <row r="895" spans="1:23">
      <c r="A895" s="489"/>
      <c r="B895" s="489"/>
      <c r="C895" s="489"/>
      <c r="D895" s="489"/>
      <c r="E895" s="489"/>
      <c r="F895" s="489"/>
      <c r="G895" s="489"/>
      <c r="H895" s="489"/>
      <c r="I895" s="489"/>
      <c r="J895" s="489"/>
      <c r="K895" s="489"/>
      <c r="L895" s="489"/>
      <c r="M895" s="489"/>
      <c r="N895" s="489"/>
      <c r="O895" s="489"/>
      <c r="P895" s="489"/>
      <c r="Q895" s="489"/>
      <c r="R895" s="489"/>
      <c r="S895" s="489"/>
      <c r="T895" s="489"/>
      <c r="U895" s="489"/>
      <c r="V895" s="489"/>
      <c r="W895" s="489"/>
    </row>
    <row r="896" spans="1:23">
      <c r="A896" s="489"/>
      <c r="B896" s="489"/>
      <c r="C896" s="489"/>
      <c r="D896" s="489"/>
      <c r="E896" s="489"/>
      <c r="F896" s="489"/>
      <c r="G896" s="489"/>
      <c r="H896" s="489"/>
      <c r="I896" s="489"/>
      <c r="J896" s="489"/>
      <c r="K896" s="489"/>
      <c r="L896" s="489"/>
      <c r="M896" s="489"/>
      <c r="N896" s="489"/>
      <c r="O896" s="489"/>
      <c r="P896" s="489"/>
      <c r="Q896" s="489"/>
      <c r="R896" s="489"/>
      <c r="S896" s="489"/>
      <c r="T896" s="489"/>
      <c r="U896" s="489"/>
      <c r="V896" s="489"/>
      <c r="W896" s="489"/>
    </row>
    <row r="897" spans="1:23">
      <c r="A897" s="489"/>
      <c r="B897" s="489"/>
      <c r="C897" s="489"/>
      <c r="D897" s="489"/>
      <c r="E897" s="489"/>
      <c r="F897" s="489"/>
      <c r="G897" s="489"/>
      <c r="H897" s="489"/>
      <c r="I897" s="489"/>
      <c r="J897" s="489"/>
      <c r="K897" s="489"/>
      <c r="L897" s="489"/>
      <c r="M897" s="489"/>
      <c r="N897" s="489"/>
      <c r="O897" s="489"/>
      <c r="P897" s="489"/>
      <c r="Q897" s="489"/>
      <c r="R897" s="489"/>
      <c r="S897" s="489"/>
      <c r="T897" s="489"/>
      <c r="U897" s="489"/>
      <c r="V897" s="489"/>
      <c r="W897" s="489"/>
    </row>
    <row r="898" spans="1:23">
      <c r="A898" s="489"/>
      <c r="B898" s="489"/>
      <c r="C898" s="489"/>
      <c r="D898" s="489"/>
      <c r="E898" s="489"/>
      <c r="F898" s="489"/>
      <c r="G898" s="489"/>
      <c r="H898" s="489"/>
      <c r="I898" s="489"/>
      <c r="J898" s="489"/>
      <c r="K898" s="489"/>
      <c r="L898" s="489"/>
      <c r="M898" s="489"/>
      <c r="N898" s="489"/>
      <c r="O898" s="489"/>
      <c r="P898" s="489"/>
      <c r="Q898" s="489"/>
      <c r="R898" s="489"/>
      <c r="S898" s="489"/>
      <c r="T898" s="489"/>
      <c r="U898" s="489"/>
      <c r="V898" s="489"/>
      <c r="W898" s="489"/>
    </row>
    <row r="899" spans="1:23">
      <c r="A899" s="489"/>
      <c r="B899" s="489"/>
      <c r="C899" s="489"/>
      <c r="D899" s="489"/>
      <c r="E899" s="489"/>
      <c r="F899" s="489"/>
      <c r="G899" s="489"/>
      <c r="H899" s="489"/>
      <c r="I899" s="489"/>
      <c r="J899" s="489"/>
      <c r="K899" s="489"/>
      <c r="L899" s="489"/>
      <c r="M899" s="489"/>
      <c r="N899" s="489"/>
      <c r="O899" s="489"/>
      <c r="P899" s="489"/>
      <c r="Q899" s="489"/>
      <c r="R899" s="489"/>
      <c r="S899" s="489"/>
      <c r="T899" s="489"/>
      <c r="U899" s="489"/>
      <c r="V899" s="489"/>
      <c r="W899" s="489"/>
    </row>
    <row r="900" spans="1:23">
      <c r="A900" s="489"/>
      <c r="B900" s="489"/>
      <c r="C900" s="489"/>
      <c r="D900" s="489"/>
      <c r="E900" s="489"/>
      <c r="F900" s="489"/>
      <c r="G900" s="489"/>
      <c r="H900" s="489"/>
      <c r="I900" s="489"/>
      <c r="J900" s="489"/>
      <c r="K900" s="489"/>
      <c r="L900" s="489"/>
      <c r="M900" s="489"/>
      <c r="N900" s="489"/>
      <c r="O900" s="489"/>
      <c r="P900" s="489"/>
      <c r="Q900" s="489"/>
      <c r="R900" s="489"/>
      <c r="S900" s="489"/>
      <c r="T900" s="489"/>
      <c r="U900" s="489"/>
      <c r="V900" s="489"/>
      <c r="W900" s="489"/>
    </row>
    <row r="901" spans="1:23">
      <c r="A901" s="489"/>
      <c r="B901" s="489"/>
      <c r="C901" s="489"/>
      <c r="D901" s="489"/>
      <c r="E901" s="489"/>
      <c r="F901" s="489"/>
      <c r="G901" s="489"/>
      <c r="H901" s="489"/>
      <c r="I901" s="489"/>
      <c r="J901" s="489"/>
      <c r="K901" s="489"/>
      <c r="L901" s="489"/>
      <c r="M901" s="489"/>
      <c r="N901" s="489"/>
      <c r="O901" s="489"/>
      <c r="P901" s="489"/>
      <c r="Q901" s="489"/>
      <c r="R901" s="489"/>
      <c r="S901" s="489"/>
      <c r="T901" s="489"/>
      <c r="U901" s="489"/>
      <c r="V901" s="489"/>
      <c r="W901" s="489"/>
    </row>
    <row r="902" spans="1:23">
      <c r="A902" s="489"/>
      <c r="B902" s="489"/>
      <c r="C902" s="489"/>
      <c r="D902" s="489"/>
      <c r="E902" s="489"/>
      <c r="F902" s="489"/>
      <c r="G902" s="489"/>
      <c r="H902" s="489"/>
      <c r="I902" s="489"/>
      <c r="J902" s="489"/>
      <c r="K902" s="489"/>
      <c r="L902" s="489"/>
      <c r="M902" s="489"/>
      <c r="N902" s="489"/>
      <c r="O902" s="489"/>
      <c r="P902" s="489"/>
      <c r="Q902" s="489"/>
      <c r="R902" s="489"/>
      <c r="S902" s="489"/>
      <c r="T902" s="489"/>
      <c r="U902" s="489"/>
      <c r="V902" s="489"/>
      <c r="W902" s="489"/>
    </row>
    <row r="903" spans="1:23">
      <c r="A903" s="489"/>
      <c r="B903" s="489"/>
      <c r="C903" s="489"/>
      <c r="D903" s="489"/>
      <c r="E903" s="489"/>
      <c r="F903" s="489"/>
      <c r="G903" s="489"/>
      <c r="H903" s="489"/>
      <c r="I903" s="489"/>
      <c r="J903" s="489"/>
      <c r="K903" s="489"/>
      <c r="L903" s="489"/>
      <c r="M903" s="489"/>
      <c r="N903" s="489"/>
      <c r="O903" s="489"/>
      <c r="P903" s="489"/>
      <c r="Q903" s="489"/>
      <c r="R903" s="489"/>
      <c r="S903" s="489"/>
      <c r="T903" s="489"/>
      <c r="U903" s="489"/>
      <c r="V903" s="489"/>
      <c r="W903" s="489"/>
    </row>
    <row r="904" spans="1:23">
      <c r="A904" s="489"/>
      <c r="B904" s="489"/>
      <c r="C904" s="489"/>
      <c r="D904" s="489"/>
      <c r="E904" s="489"/>
      <c r="F904" s="489"/>
      <c r="G904" s="489"/>
      <c r="H904" s="489"/>
      <c r="I904" s="489"/>
      <c r="J904" s="489"/>
      <c r="K904" s="489"/>
      <c r="L904" s="489"/>
      <c r="M904" s="489"/>
      <c r="N904" s="489"/>
      <c r="O904" s="489"/>
      <c r="P904" s="489"/>
      <c r="Q904" s="489"/>
      <c r="R904" s="489"/>
      <c r="S904" s="489"/>
      <c r="T904" s="489"/>
      <c r="U904" s="489"/>
      <c r="V904" s="489"/>
      <c r="W904" s="489"/>
    </row>
    <row r="905" spans="1:23">
      <c r="A905" s="489"/>
      <c r="B905" s="489"/>
      <c r="C905" s="489"/>
      <c r="D905" s="489"/>
      <c r="E905" s="489"/>
      <c r="F905" s="489"/>
      <c r="G905" s="489"/>
      <c r="H905" s="489"/>
      <c r="I905" s="489"/>
      <c r="J905" s="489"/>
      <c r="K905" s="489"/>
      <c r="L905" s="489"/>
      <c r="M905" s="489"/>
      <c r="N905" s="489"/>
      <c r="O905" s="489"/>
      <c r="P905" s="489"/>
      <c r="Q905" s="489"/>
      <c r="R905" s="489"/>
      <c r="S905" s="489"/>
      <c r="T905" s="489"/>
      <c r="U905" s="489"/>
      <c r="V905" s="489"/>
      <c r="W905" s="489"/>
    </row>
    <row r="906" spans="1:23">
      <c r="A906" s="489"/>
      <c r="B906" s="489"/>
      <c r="C906" s="489"/>
      <c r="D906" s="489"/>
      <c r="E906" s="489"/>
      <c r="F906" s="489"/>
      <c r="G906" s="489"/>
      <c r="H906" s="489"/>
      <c r="I906" s="489"/>
      <c r="J906" s="489"/>
      <c r="K906" s="489"/>
      <c r="L906" s="489"/>
      <c r="M906" s="489"/>
      <c r="N906" s="489"/>
      <c r="O906" s="489"/>
      <c r="P906" s="489"/>
      <c r="Q906" s="489"/>
      <c r="R906" s="489"/>
      <c r="S906" s="489"/>
      <c r="T906" s="489"/>
      <c r="U906" s="489"/>
      <c r="V906" s="489"/>
      <c r="W906" s="489"/>
    </row>
    <row r="907" spans="1:23">
      <c r="A907" s="489"/>
      <c r="B907" s="489"/>
      <c r="C907" s="489"/>
      <c r="D907" s="489"/>
      <c r="E907" s="489"/>
      <c r="F907" s="489"/>
      <c r="G907" s="489"/>
      <c r="H907" s="489"/>
      <c r="I907" s="489"/>
      <c r="J907" s="489"/>
      <c r="K907" s="489"/>
      <c r="L907" s="489"/>
      <c r="M907" s="489"/>
      <c r="N907" s="489"/>
      <c r="O907" s="489"/>
      <c r="P907" s="489"/>
      <c r="Q907" s="489"/>
      <c r="R907" s="489"/>
      <c r="S907" s="489"/>
      <c r="T907" s="489"/>
      <c r="U907" s="489"/>
      <c r="V907" s="489"/>
      <c r="W907" s="489"/>
    </row>
    <row r="908" spans="1:23">
      <c r="A908" s="489"/>
      <c r="B908" s="489"/>
      <c r="C908" s="489"/>
      <c r="D908" s="489"/>
      <c r="E908" s="489"/>
      <c r="F908" s="489"/>
      <c r="G908" s="489"/>
      <c r="H908" s="489"/>
      <c r="I908" s="489"/>
      <c r="J908" s="489"/>
      <c r="K908" s="489"/>
      <c r="L908" s="489"/>
      <c r="M908" s="489"/>
      <c r="N908" s="489"/>
      <c r="O908" s="489"/>
      <c r="P908" s="489"/>
      <c r="Q908" s="489"/>
      <c r="R908" s="489"/>
      <c r="S908" s="489"/>
      <c r="T908" s="489"/>
      <c r="U908" s="489"/>
      <c r="V908" s="489"/>
      <c r="W908" s="489"/>
    </row>
    <row r="909" spans="1:23">
      <c r="A909" s="489"/>
      <c r="B909" s="489"/>
      <c r="C909" s="489"/>
      <c r="D909" s="489"/>
      <c r="E909" s="489"/>
      <c r="F909" s="489"/>
      <c r="G909" s="489"/>
      <c r="H909" s="489"/>
      <c r="I909" s="489"/>
      <c r="J909" s="489"/>
      <c r="K909" s="489"/>
      <c r="L909" s="489"/>
      <c r="M909" s="489"/>
      <c r="N909" s="489"/>
      <c r="O909" s="489"/>
      <c r="P909" s="489"/>
      <c r="Q909" s="489"/>
      <c r="R909" s="489"/>
      <c r="S909" s="489"/>
      <c r="T909" s="489"/>
      <c r="U909" s="489"/>
      <c r="V909" s="489"/>
      <c r="W909" s="489"/>
    </row>
    <row r="910" spans="1:23">
      <c r="A910" s="489"/>
      <c r="B910" s="489"/>
      <c r="C910" s="489"/>
      <c r="D910" s="489"/>
      <c r="E910" s="489"/>
      <c r="F910" s="489"/>
      <c r="G910" s="489"/>
      <c r="H910" s="489"/>
      <c r="I910" s="489"/>
      <c r="J910" s="489"/>
      <c r="K910" s="489"/>
      <c r="L910" s="489"/>
      <c r="M910" s="489"/>
      <c r="N910" s="489"/>
      <c r="O910" s="489"/>
      <c r="P910" s="489"/>
      <c r="Q910" s="489"/>
      <c r="R910" s="489"/>
      <c r="S910" s="489"/>
      <c r="T910" s="489"/>
      <c r="U910" s="489"/>
      <c r="V910" s="489"/>
      <c r="W910" s="489"/>
    </row>
    <row r="911" spans="1:23">
      <c r="A911" s="489"/>
      <c r="B911" s="489"/>
      <c r="C911" s="489"/>
      <c r="D911" s="489"/>
      <c r="E911" s="489"/>
      <c r="F911" s="489"/>
      <c r="G911" s="489"/>
      <c r="H911" s="489"/>
      <c r="I911" s="489"/>
      <c r="J911" s="489"/>
      <c r="K911" s="489"/>
      <c r="L911" s="489"/>
      <c r="M911" s="489"/>
      <c r="N911" s="489"/>
      <c r="O911" s="489"/>
      <c r="P911" s="489"/>
      <c r="Q911" s="489"/>
      <c r="R911" s="489"/>
      <c r="S911" s="489"/>
      <c r="T911" s="489"/>
      <c r="U911" s="489"/>
      <c r="V911" s="489"/>
      <c r="W911" s="489"/>
    </row>
    <row r="912" spans="1:23">
      <c r="A912" s="489"/>
      <c r="B912" s="489"/>
      <c r="C912" s="489"/>
      <c r="D912" s="489"/>
      <c r="E912" s="489"/>
      <c r="F912" s="489"/>
      <c r="G912" s="489"/>
      <c r="H912" s="489"/>
      <c r="I912" s="489"/>
      <c r="J912" s="489"/>
      <c r="K912" s="489"/>
      <c r="L912" s="489"/>
      <c r="M912" s="489"/>
      <c r="N912" s="489"/>
      <c r="O912" s="489"/>
      <c r="P912" s="489"/>
      <c r="Q912" s="489"/>
      <c r="R912" s="489"/>
      <c r="S912" s="489"/>
      <c r="T912" s="489"/>
      <c r="U912" s="489"/>
      <c r="V912" s="489"/>
      <c r="W912" s="489"/>
    </row>
    <row r="913" spans="1:23">
      <c r="A913" s="489"/>
      <c r="B913" s="489"/>
      <c r="C913" s="489"/>
      <c r="D913" s="489"/>
      <c r="E913" s="489"/>
      <c r="F913" s="489"/>
      <c r="G913" s="489"/>
      <c r="H913" s="489"/>
      <c r="I913" s="489"/>
      <c r="J913" s="489"/>
      <c r="K913" s="489"/>
      <c r="L913" s="489"/>
      <c r="M913" s="489"/>
      <c r="N913" s="489"/>
      <c r="O913" s="489"/>
      <c r="P913" s="489"/>
      <c r="Q913" s="489"/>
      <c r="R913" s="489"/>
      <c r="S913" s="489"/>
      <c r="T913" s="489"/>
      <c r="U913" s="489"/>
      <c r="V913" s="489"/>
      <c r="W913" s="489"/>
    </row>
    <row r="914" spans="1:23">
      <c r="A914" s="489"/>
      <c r="B914" s="489"/>
      <c r="C914" s="489"/>
      <c r="D914" s="489"/>
      <c r="E914" s="489"/>
      <c r="F914" s="489"/>
      <c r="G914" s="489"/>
      <c r="H914" s="489"/>
      <c r="I914" s="489"/>
      <c r="J914" s="489"/>
      <c r="K914" s="489"/>
      <c r="L914" s="489"/>
      <c r="M914" s="489"/>
      <c r="N914" s="489"/>
      <c r="O914" s="489"/>
      <c r="P914" s="489"/>
      <c r="Q914" s="489"/>
      <c r="R914" s="489"/>
      <c r="S914" s="489"/>
      <c r="T914" s="489"/>
      <c r="U914" s="489"/>
      <c r="V914" s="489"/>
      <c r="W914" s="489"/>
    </row>
    <row r="915" spans="1:23">
      <c r="A915" s="489"/>
      <c r="B915" s="489"/>
      <c r="C915" s="489"/>
      <c r="D915" s="489"/>
      <c r="E915" s="489"/>
      <c r="F915" s="489"/>
      <c r="G915" s="489"/>
      <c r="H915" s="489"/>
      <c r="I915" s="489"/>
      <c r="J915" s="489"/>
      <c r="K915" s="489"/>
      <c r="L915" s="489"/>
      <c r="M915" s="489"/>
      <c r="N915" s="489"/>
      <c r="O915" s="489"/>
      <c r="P915" s="489"/>
      <c r="Q915" s="489"/>
      <c r="R915" s="489"/>
      <c r="S915" s="489"/>
      <c r="T915" s="489"/>
      <c r="U915" s="489"/>
      <c r="V915" s="489"/>
      <c r="W915" s="489"/>
    </row>
    <row r="916" spans="1:23">
      <c r="A916" s="489"/>
      <c r="B916" s="489"/>
      <c r="C916" s="489"/>
      <c r="D916" s="489"/>
      <c r="E916" s="489"/>
      <c r="F916" s="489"/>
      <c r="G916" s="489"/>
      <c r="H916" s="489"/>
      <c r="I916" s="489"/>
      <c r="J916" s="489"/>
      <c r="K916" s="489"/>
      <c r="L916" s="489"/>
      <c r="M916" s="489"/>
      <c r="N916" s="489"/>
      <c r="O916" s="489"/>
      <c r="P916" s="489"/>
      <c r="Q916" s="489"/>
      <c r="R916" s="489"/>
      <c r="S916" s="489"/>
      <c r="T916" s="489"/>
      <c r="U916" s="489"/>
      <c r="V916" s="489"/>
      <c r="W916" s="489"/>
    </row>
    <row r="917" spans="1:23">
      <c r="A917" s="489"/>
      <c r="B917" s="489"/>
      <c r="C917" s="489"/>
      <c r="D917" s="489"/>
      <c r="E917" s="489"/>
      <c r="F917" s="489"/>
      <c r="G917" s="489"/>
      <c r="H917" s="489"/>
      <c r="I917" s="489"/>
      <c r="J917" s="489"/>
      <c r="K917" s="489"/>
      <c r="L917" s="489"/>
      <c r="M917" s="489"/>
      <c r="N917" s="489"/>
      <c r="O917" s="489"/>
      <c r="P917" s="489"/>
      <c r="Q917" s="489"/>
      <c r="R917" s="489"/>
      <c r="S917" s="489"/>
      <c r="T917" s="489"/>
      <c r="U917" s="489"/>
      <c r="V917" s="489"/>
      <c r="W917" s="489"/>
    </row>
    <row r="918" spans="1:23">
      <c r="A918" s="489"/>
      <c r="B918" s="489"/>
      <c r="C918" s="489"/>
      <c r="D918" s="489"/>
      <c r="E918" s="489"/>
      <c r="F918" s="489"/>
      <c r="G918" s="489"/>
      <c r="H918" s="489"/>
      <c r="I918" s="489"/>
      <c r="J918" s="489"/>
      <c r="K918" s="489"/>
      <c r="L918" s="489"/>
      <c r="M918" s="489"/>
      <c r="N918" s="489"/>
      <c r="O918" s="489"/>
      <c r="P918" s="489"/>
      <c r="Q918" s="489"/>
      <c r="R918" s="489"/>
      <c r="S918" s="489"/>
      <c r="T918" s="489"/>
      <c r="U918" s="489"/>
      <c r="V918" s="489"/>
      <c r="W918" s="489"/>
    </row>
    <row r="919" spans="1:23">
      <c r="A919" s="489"/>
      <c r="B919" s="489"/>
      <c r="C919" s="489"/>
      <c r="D919" s="489"/>
      <c r="E919" s="489"/>
      <c r="F919" s="489"/>
      <c r="G919" s="489"/>
      <c r="H919" s="489"/>
      <c r="I919" s="489"/>
      <c r="J919" s="489"/>
      <c r="K919" s="489"/>
      <c r="L919" s="489"/>
      <c r="M919" s="489"/>
      <c r="N919" s="489"/>
      <c r="O919" s="489"/>
      <c r="P919" s="489"/>
      <c r="Q919" s="489"/>
      <c r="R919" s="489"/>
      <c r="S919" s="489"/>
      <c r="T919" s="489"/>
      <c r="U919" s="489"/>
      <c r="V919" s="489"/>
      <c r="W919" s="489"/>
    </row>
    <row r="920" spans="1:23">
      <c r="A920" s="489"/>
      <c r="B920" s="489"/>
      <c r="C920" s="489"/>
      <c r="D920" s="489"/>
      <c r="E920" s="489"/>
      <c r="F920" s="489"/>
      <c r="G920" s="489"/>
      <c r="H920" s="489"/>
      <c r="I920" s="489"/>
      <c r="J920" s="489"/>
      <c r="K920" s="489"/>
      <c r="L920" s="489"/>
      <c r="M920" s="489"/>
      <c r="N920" s="489"/>
      <c r="O920" s="489"/>
      <c r="P920" s="489"/>
      <c r="Q920" s="489"/>
      <c r="R920" s="489"/>
      <c r="S920" s="489"/>
      <c r="T920" s="489"/>
      <c r="U920" s="489"/>
      <c r="V920" s="489"/>
      <c r="W920" s="489"/>
    </row>
    <row r="921" spans="1:23">
      <c r="A921" s="489"/>
      <c r="B921" s="489"/>
      <c r="C921" s="489"/>
      <c r="D921" s="489"/>
      <c r="E921" s="489"/>
      <c r="F921" s="489"/>
      <c r="G921" s="489"/>
      <c r="H921" s="489"/>
      <c r="I921" s="489"/>
      <c r="J921" s="489"/>
      <c r="K921" s="489"/>
      <c r="L921" s="489"/>
      <c r="M921" s="489"/>
      <c r="N921" s="489"/>
      <c r="O921" s="489"/>
      <c r="P921" s="489"/>
      <c r="Q921" s="489"/>
      <c r="R921" s="489"/>
      <c r="S921" s="489"/>
      <c r="T921" s="489"/>
      <c r="U921" s="489"/>
      <c r="V921" s="489"/>
      <c r="W921" s="489"/>
    </row>
    <row r="922" spans="1:23">
      <c r="A922" s="489"/>
      <c r="B922" s="489"/>
      <c r="C922" s="489"/>
      <c r="D922" s="489"/>
      <c r="E922" s="489"/>
      <c r="F922" s="489"/>
      <c r="G922" s="489"/>
      <c r="H922" s="489"/>
      <c r="I922" s="489"/>
      <c r="J922" s="489"/>
      <c r="K922" s="489"/>
      <c r="L922" s="489"/>
      <c r="M922" s="489"/>
      <c r="N922" s="489"/>
      <c r="O922" s="489"/>
      <c r="P922" s="489"/>
      <c r="Q922" s="489"/>
      <c r="R922" s="489"/>
      <c r="S922" s="489"/>
      <c r="T922" s="489"/>
      <c r="U922" s="489"/>
      <c r="V922" s="489"/>
      <c r="W922" s="489"/>
    </row>
    <row r="923" spans="1:23">
      <c r="A923" s="489"/>
      <c r="B923" s="489"/>
      <c r="C923" s="489"/>
      <c r="D923" s="489"/>
      <c r="E923" s="489"/>
      <c r="F923" s="489"/>
      <c r="G923" s="489"/>
      <c r="H923" s="489"/>
      <c r="I923" s="489"/>
      <c r="J923" s="489"/>
      <c r="K923" s="489"/>
      <c r="L923" s="489"/>
      <c r="M923" s="489"/>
      <c r="N923" s="489"/>
      <c r="O923" s="489"/>
      <c r="P923" s="489"/>
      <c r="Q923" s="489"/>
      <c r="R923" s="489"/>
      <c r="S923" s="489"/>
      <c r="T923" s="489"/>
      <c r="U923" s="489"/>
      <c r="V923" s="489"/>
      <c r="W923" s="489"/>
    </row>
    <row r="924" spans="1:23">
      <c r="A924" s="489"/>
      <c r="B924" s="489"/>
      <c r="C924" s="489"/>
      <c r="D924" s="489"/>
      <c r="E924" s="489"/>
      <c r="F924" s="489"/>
      <c r="G924" s="489"/>
      <c r="H924" s="489"/>
      <c r="I924" s="489"/>
      <c r="J924" s="489"/>
      <c r="K924" s="489"/>
      <c r="L924" s="489"/>
      <c r="M924" s="489"/>
      <c r="N924" s="489"/>
      <c r="O924" s="489"/>
      <c r="P924" s="489"/>
      <c r="Q924" s="489"/>
      <c r="R924" s="489"/>
      <c r="S924" s="489"/>
      <c r="T924" s="489"/>
      <c r="U924" s="489"/>
      <c r="V924" s="489"/>
      <c r="W924" s="489"/>
    </row>
    <row r="925" spans="1:23">
      <c r="A925" s="489"/>
      <c r="B925" s="489"/>
      <c r="C925" s="489"/>
      <c r="D925" s="489"/>
      <c r="E925" s="489"/>
      <c r="F925" s="489"/>
      <c r="G925" s="489"/>
      <c r="H925" s="489"/>
      <c r="I925" s="489"/>
      <c r="J925" s="489"/>
      <c r="K925" s="489"/>
      <c r="L925" s="489"/>
      <c r="M925" s="489"/>
      <c r="N925" s="489"/>
      <c r="O925" s="489"/>
      <c r="P925" s="489"/>
      <c r="Q925" s="489"/>
      <c r="R925" s="489"/>
      <c r="S925" s="489"/>
      <c r="T925" s="489"/>
      <c r="U925" s="489"/>
      <c r="V925" s="489"/>
      <c r="W925" s="489"/>
    </row>
    <row r="926" spans="1:23">
      <c r="A926" s="489"/>
      <c r="B926" s="489"/>
      <c r="C926" s="489"/>
      <c r="D926" s="489"/>
      <c r="E926" s="489"/>
      <c r="F926" s="489"/>
      <c r="G926" s="489"/>
      <c r="H926" s="489"/>
      <c r="I926" s="489"/>
      <c r="J926" s="489"/>
      <c r="K926" s="489"/>
      <c r="L926" s="489"/>
      <c r="M926" s="489"/>
      <c r="N926" s="489"/>
      <c r="O926" s="489"/>
      <c r="P926" s="489"/>
      <c r="Q926" s="489"/>
      <c r="R926" s="489"/>
      <c r="S926" s="489"/>
      <c r="T926" s="489"/>
      <c r="U926" s="489"/>
      <c r="V926" s="489"/>
      <c r="W926" s="489"/>
    </row>
    <row r="927" spans="1:23">
      <c r="A927" s="489"/>
      <c r="B927" s="489"/>
      <c r="C927" s="489"/>
      <c r="D927" s="489"/>
      <c r="E927" s="489"/>
      <c r="F927" s="489"/>
      <c r="G927" s="489"/>
      <c r="H927" s="489"/>
      <c r="I927" s="489"/>
      <c r="J927" s="489"/>
      <c r="K927" s="489"/>
      <c r="L927" s="489"/>
      <c r="M927" s="489"/>
      <c r="N927" s="489"/>
      <c r="O927" s="489"/>
      <c r="P927" s="489"/>
      <c r="Q927" s="489"/>
      <c r="R927" s="489"/>
      <c r="S927" s="489"/>
      <c r="T927" s="489"/>
      <c r="U927" s="489"/>
      <c r="V927" s="489"/>
      <c r="W927" s="489"/>
    </row>
    <row r="928" spans="1:23">
      <c r="A928" s="489"/>
      <c r="B928" s="489"/>
      <c r="C928" s="489"/>
      <c r="D928" s="489"/>
      <c r="E928" s="489"/>
      <c r="F928" s="489"/>
      <c r="G928" s="489"/>
      <c r="H928" s="489"/>
      <c r="I928" s="489"/>
      <c r="J928" s="489"/>
      <c r="K928" s="489"/>
      <c r="L928" s="489"/>
      <c r="M928" s="489"/>
      <c r="N928" s="489"/>
      <c r="O928" s="489"/>
      <c r="P928" s="489"/>
      <c r="Q928" s="489"/>
      <c r="R928" s="489"/>
      <c r="S928" s="489"/>
      <c r="T928" s="489"/>
      <c r="U928" s="489"/>
      <c r="V928" s="489"/>
      <c r="W928" s="489"/>
    </row>
    <row r="929" spans="1:23">
      <c r="A929" s="489"/>
      <c r="B929" s="489"/>
      <c r="C929" s="489"/>
      <c r="D929" s="489"/>
      <c r="E929" s="489"/>
      <c r="F929" s="489"/>
      <c r="G929" s="489"/>
      <c r="H929" s="489"/>
      <c r="I929" s="489"/>
      <c r="J929" s="489"/>
      <c r="K929" s="489"/>
      <c r="L929" s="489"/>
      <c r="M929" s="489"/>
      <c r="N929" s="489"/>
      <c r="O929" s="489"/>
      <c r="P929" s="489"/>
      <c r="Q929" s="489"/>
      <c r="R929" s="489"/>
      <c r="S929" s="489"/>
      <c r="T929" s="489"/>
      <c r="U929" s="489"/>
      <c r="V929" s="489"/>
      <c r="W929" s="489"/>
    </row>
    <row r="930" spans="1:23">
      <c r="A930" s="489"/>
      <c r="B930" s="489"/>
      <c r="C930" s="489"/>
      <c r="D930" s="489"/>
      <c r="E930" s="489"/>
      <c r="F930" s="489"/>
      <c r="G930" s="489"/>
      <c r="H930" s="489"/>
      <c r="I930" s="489"/>
      <c r="J930" s="489"/>
      <c r="K930" s="489"/>
      <c r="L930" s="489"/>
      <c r="M930" s="489"/>
      <c r="N930" s="489"/>
      <c r="O930" s="489"/>
      <c r="P930" s="489"/>
      <c r="Q930" s="489"/>
      <c r="R930" s="489"/>
      <c r="S930" s="489"/>
      <c r="T930" s="489"/>
      <c r="U930" s="489"/>
      <c r="V930" s="489"/>
      <c r="W930" s="489"/>
    </row>
    <row r="931" spans="1:23">
      <c r="A931" s="489"/>
      <c r="B931" s="489"/>
      <c r="C931" s="489"/>
      <c r="D931" s="489"/>
      <c r="E931" s="489"/>
      <c r="F931" s="489"/>
      <c r="G931" s="489"/>
      <c r="H931" s="489"/>
      <c r="I931" s="489"/>
      <c r="J931" s="489"/>
      <c r="K931" s="489"/>
      <c r="L931" s="489"/>
      <c r="M931" s="489"/>
      <c r="N931" s="489"/>
      <c r="O931" s="489"/>
      <c r="P931" s="489"/>
      <c r="Q931" s="489"/>
      <c r="R931" s="489"/>
      <c r="S931" s="489"/>
      <c r="T931" s="489"/>
      <c r="U931" s="489"/>
      <c r="V931" s="489"/>
      <c r="W931" s="489"/>
    </row>
    <row r="932" spans="1:23">
      <c r="A932" s="489"/>
      <c r="B932" s="489"/>
      <c r="C932" s="489"/>
      <c r="D932" s="489"/>
      <c r="E932" s="489"/>
      <c r="F932" s="489"/>
      <c r="G932" s="489"/>
      <c r="H932" s="489"/>
      <c r="I932" s="489"/>
      <c r="J932" s="489"/>
      <c r="K932" s="489"/>
      <c r="L932" s="489"/>
      <c r="M932" s="489"/>
      <c r="N932" s="489"/>
      <c r="O932" s="489"/>
      <c r="P932" s="489"/>
      <c r="Q932" s="489"/>
      <c r="R932" s="489"/>
      <c r="S932" s="489"/>
      <c r="T932" s="489"/>
      <c r="U932" s="489"/>
      <c r="V932" s="489"/>
      <c r="W932" s="489"/>
    </row>
    <row r="933" spans="1:23">
      <c r="A933" s="489"/>
      <c r="B933" s="489"/>
      <c r="C933" s="489"/>
      <c r="D933" s="489"/>
      <c r="E933" s="489"/>
      <c r="F933" s="489"/>
      <c r="G933" s="489"/>
      <c r="H933" s="489"/>
      <c r="I933" s="489"/>
      <c r="J933" s="489"/>
      <c r="K933" s="489"/>
      <c r="L933" s="489"/>
      <c r="M933" s="489"/>
      <c r="N933" s="489"/>
      <c r="O933" s="489"/>
      <c r="P933" s="489"/>
      <c r="Q933" s="489"/>
      <c r="R933" s="489"/>
      <c r="S933" s="489"/>
      <c r="T933" s="489"/>
      <c r="U933" s="489"/>
      <c r="V933" s="489"/>
      <c r="W933" s="489"/>
    </row>
    <row r="934" spans="1:23">
      <c r="A934" s="489"/>
      <c r="B934" s="489"/>
      <c r="C934" s="489"/>
      <c r="D934" s="489"/>
      <c r="E934" s="489"/>
      <c r="F934" s="489"/>
      <c r="G934" s="489"/>
      <c r="H934" s="489"/>
      <c r="I934" s="489"/>
      <c r="J934" s="489"/>
      <c r="K934" s="489"/>
      <c r="L934" s="489"/>
      <c r="M934" s="489"/>
      <c r="N934" s="489"/>
      <c r="O934" s="489"/>
      <c r="P934" s="489"/>
      <c r="Q934" s="489"/>
      <c r="R934" s="489"/>
      <c r="S934" s="489"/>
      <c r="T934" s="489"/>
      <c r="U934" s="489"/>
      <c r="V934" s="489"/>
      <c r="W934" s="489"/>
    </row>
    <row r="935" spans="1:23">
      <c r="A935" s="489"/>
      <c r="B935" s="489"/>
      <c r="C935" s="489"/>
      <c r="D935" s="489"/>
      <c r="E935" s="489"/>
      <c r="F935" s="489"/>
      <c r="G935" s="489"/>
      <c r="H935" s="489"/>
      <c r="I935" s="489"/>
      <c r="J935" s="489"/>
      <c r="K935" s="489"/>
      <c r="L935" s="489"/>
      <c r="M935" s="489"/>
      <c r="N935" s="489"/>
      <c r="O935" s="489"/>
      <c r="P935" s="489"/>
      <c r="Q935" s="489"/>
      <c r="R935" s="489"/>
      <c r="S935" s="489"/>
      <c r="T935" s="489"/>
      <c r="U935" s="489"/>
      <c r="V935" s="489"/>
      <c r="W935" s="489"/>
    </row>
    <row r="936" spans="1:23">
      <c r="A936" s="489"/>
      <c r="B936" s="489"/>
      <c r="C936" s="489"/>
      <c r="D936" s="489"/>
      <c r="E936" s="489"/>
      <c r="F936" s="489"/>
      <c r="G936" s="489"/>
      <c r="H936" s="489"/>
      <c r="I936" s="489"/>
      <c r="J936" s="489"/>
      <c r="K936" s="489"/>
      <c r="L936" s="489"/>
      <c r="M936" s="489"/>
      <c r="N936" s="489"/>
      <c r="O936" s="489"/>
      <c r="P936" s="489"/>
      <c r="Q936" s="489"/>
      <c r="R936" s="489"/>
      <c r="S936" s="489"/>
      <c r="T936" s="489"/>
      <c r="U936" s="489"/>
      <c r="V936" s="489"/>
      <c r="W936" s="489"/>
    </row>
    <row r="937" spans="1:23">
      <c r="A937" s="489"/>
      <c r="B937" s="489"/>
      <c r="C937" s="489"/>
      <c r="D937" s="489"/>
      <c r="E937" s="489"/>
      <c r="F937" s="489"/>
      <c r="G937" s="489"/>
      <c r="H937" s="489"/>
      <c r="I937" s="489"/>
      <c r="J937" s="489"/>
      <c r="K937" s="489"/>
      <c r="L937" s="489"/>
      <c r="M937" s="489"/>
      <c r="N937" s="489"/>
      <c r="O937" s="489"/>
      <c r="P937" s="489"/>
      <c r="Q937" s="489"/>
      <c r="R937" s="489"/>
      <c r="S937" s="489"/>
      <c r="T937" s="489"/>
      <c r="U937" s="489"/>
      <c r="V937" s="489"/>
      <c r="W937" s="489"/>
    </row>
    <row r="938" spans="1:23">
      <c r="A938" s="489"/>
      <c r="B938" s="489"/>
      <c r="C938" s="489"/>
      <c r="D938" s="489"/>
      <c r="E938" s="489"/>
      <c r="F938" s="489"/>
      <c r="G938" s="489"/>
      <c r="H938" s="489"/>
      <c r="I938" s="489"/>
      <c r="J938" s="489"/>
      <c r="K938" s="489"/>
      <c r="L938" s="489"/>
      <c r="M938" s="489"/>
      <c r="N938" s="489"/>
      <c r="O938" s="489"/>
      <c r="P938" s="489"/>
      <c r="Q938" s="489"/>
      <c r="R938" s="489"/>
      <c r="S938" s="489"/>
      <c r="T938" s="489"/>
      <c r="U938" s="489"/>
      <c r="V938" s="489"/>
      <c r="W938" s="489"/>
    </row>
    <row r="939" spans="1:23">
      <c r="A939" s="489"/>
      <c r="B939" s="489"/>
      <c r="C939" s="489"/>
      <c r="D939" s="489"/>
      <c r="E939" s="489"/>
      <c r="F939" s="489"/>
      <c r="G939" s="489"/>
      <c r="H939" s="489"/>
      <c r="I939" s="489"/>
      <c r="J939" s="489"/>
      <c r="K939" s="489"/>
      <c r="L939" s="489"/>
      <c r="M939" s="489"/>
      <c r="N939" s="489"/>
      <c r="O939" s="489"/>
      <c r="P939" s="489"/>
      <c r="Q939" s="489"/>
      <c r="R939" s="489"/>
      <c r="S939" s="489"/>
      <c r="T939" s="489"/>
      <c r="U939" s="489"/>
      <c r="V939" s="489"/>
      <c r="W939" s="489"/>
    </row>
    <row r="940" spans="1:23">
      <c r="A940" s="489"/>
      <c r="B940" s="489"/>
      <c r="C940" s="489"/>
      <c r="D940" s="489"/>
      <c r="E940" s="489"/>
      <c r="F940" s="489"/>
      <c r="G940" s="489"/>
      <c r="H940" s="489"/>
      <c r="I940" s="489"/>
      <c r="J940" s="489"/>
      <c r="K940" s="489"/>
      <c r="L940" s="489"/>
      <c r="M940" s="489"/>
      <c r="N940" s="489"/>
      <c r="O940" s="489"/>
      <c r="P940" s="489"/>
      <c r="Q940" s="489"/>
      <c r="R940" s="489"/>
      <c r="S940" s="489"/>
      <c r="T940" s="489"/>
      <c r="U940" s="489"/>
      <c r="V940" s="489"/>
      <c r="W940" s="489"/>
    </row>
    <row r="941" spans="1:23">
      <c r="A941" s="489"/>
      <c r="B941" s="489"/>
      <c r="C941" s="489"/>
      <c r="D941" s="489"/>
      <c r="E941" s="489"/>
      <c r="F941" s="489"/>
      <c r="G941" s="489"/>
      <c r="H941" s="489"/>
      <c r="I941" s="489"/>
      <c r="J941" s="489"/>
      <c r="K941" s="489"/>
      <c r="L941" s="489"/>
      <c r="M941" s="489"/>
      <c r="N941" s="489"/>
      <c r="O941" s="489"/>
      <c r="P941" s="489"/>
      <c r="Q941" s="489"/>
      <c r="R941" s="489"/>
      <c r="S941" s="489"/>
      <c r="T941" s="489"/>
      <c r="U941" s="489"/>
      <c r="V941" s="489"/>
      <c r="W941" s="489"/>
    </row>
    <row r="942" spans="1:23">
      <c r="A942" s="489"/>
      <c r="B942" s="489"/>
      <c r="C942" s="489"/>
      <c r="D942" s="489"/>
      <c r="E942" s="489"/>
      <c r="F942" s="489"/>
      <c r="G942" s="489"/>
      <c r="H942" s="489"/>
      <c r="I942" s="489"/>
      <c r="J942" s="489"/>
      <c r="K942" s="489"/>
      <c r="L942" s="489"/>
      <c r="M942" s="489"/>
      <c r="N942" s="489"/>
      <c r="O942" s="489"/>
      <c r="P942" s="489"/>
      <c r="Q942" s="489"/>
      <c r="R942" s="489"/>
      <c r="S942" s="489"/>
      <c r="T942" s="489"/>
      <c r="U942" s="489"/>
      <c r="V942" s="489"/>
      <c r="W942" s="489"/>
    </row>
    <row r="943" spans="1:23">
      <c r="A943" s="489"/>
      <c r="B943" s="489"/>
      <c r="C943" s="489"/>
      <c r="D943" s="489"/>
      <c r="E943" s="489"/>
      <c r="F943" s="489"/>
      <c r="G943" s="489"/>
      <c r="H943" s="489"/>
      <c r="I943" s="489"/>
      <c r="J943" s="489"/>
      <c r="K943" s="489"/>
      <c r="L943" s="489"/>
      <c r="M943" s="489"/>
      <c r="N943" s="489"/>
      <c r="O943" s="489"/>
      <c r="P943" s="489"/>
      <c r="Q943" s="489"/>
      <c r="R943" s="489"/>
      <c r="S943" s="489"/>
      <c r="T943" s="489"/>
      <c r="U943" s="489"/>
      <c r="V943" s="489"/>
      <c r="W943" s="489"/>
    </row>
    <row r="944" spans="1:23">
      <c r="A944" s="489"/>
      <c r="B944" s="489"/>
      <c r="C944" s="489"/>
      <c r="D944" s="489"/>
      <c r="E944" s="489"/>
      <c r="F944" s="489"/>
      <c r="G944" s="489"/>
      <c r="H944" s="489"/>
      <c r="I944" s="489"/>
      <c r="J944" s="489"/>
      <c r="K944" s="489"/>
      <c r="L944" s="489"/>
      <c r="M944" s="489"/>
      <c r="N944" s="489"/>
      <c r="O944" s="489"/>
      <c r="P944" s="489"/>
      <c r="Q944" s="489"/>
      <c r="R944" s="489"/>
      <c r="S944" s="489"/>
      <c r="T944" s="489"/>
      <c r="U944" s="489"/>
      <c r="V944" s="489"/>
      <c r="W944" s="489"/>
    </row>
    <row r="945" spans="1:23">
      <c r="A945" s="489"/>
      <c r="B945" s="489"/>
      <c r="C945" s="489"/>
      <c r="D945" s="489"/>
      <c r="E945" s="489"/>
      <c r="F945" s="489"/>
      <c r="G945" s="489"/>
      <c r="H945" s="489"/>
      <c r="I945" s="489"/>
      <c r="J945" s="489"/>
      <c r="K945" s="489"/>
      <c r="L945" s="489"/>
      <c r="M945" s="489"/>
      <c r="N945" s="489"/>
      <c r="O945" s="489"/>
      <c r="P945" s="489"/>
      <c r="Q945" s="489"/>
      <c r="R945" s="489"/>
      <c r="S945" s="489"/>
      <c r="T945" s="489"/>
      <c r="U945" s="489"/>
      <c r="V945" s="489"/>
      <c r="W945" s="489"/>
    </row>
    <row r="946" spans="1:23">
      <c r="A946" s="489"/>
      <c r="B946" s="489"/>
      <c r="C946" s="489"/>
      <c r="D946" s="489"/>
      <c r="E946" s="489"/>
      <c r="F946" s="489"/>
      <c r="G946" s="489"/>
      <c r="H946" s="489"/>
      <c r="I946" s="489"/>
      <c r="J946" s="489"/>
      <c r="K946" s="489"/>
      <c r="L946" s="489"/>
      <c r="M946" s="489"/>
      <c r="N946" s="489"/>
      <c r="O946" s="489"/>
      <c r="P946" s="489"/>
      <c r="Q946" s="489"/>
      <c r="R946" s="489"/>
      <c r="S946" s="489"/>
      <c r="T946" s="489"/>
      <c r="U946" s="489"/>
      <c r="V946" s="489"/>
      <c r="W946" s="489"/>
    </row>
    <row r="947" spans="1:23">
      <c r="A947" s="489"/>
      <c r="B947" s="489"/>
      <c r="C947" s="489"/>
      <c r="D947" s="489"/>
      <c r="E947" s="489"/>
      <c r="F947" s="489"/>
      <c r="G947" s="489"/>
      <c r="H947" s="489"/>
      <c r="I947" s="489"/>
      <c r="J947" s="489"/>
      <c r="K947" s="489"/>
      <c r="L947" s="489"/>
      <c r="M947" s="489"/>
      <c r="N947" s="489"/>
      <c r="O947" s="489"/>
      <c r="P947" s="489"/>
      <c r="Q947" s="489"/>
      <c r="R947" s="489"/>
      <c r="S947" s="489"/>
      <c r="T947" s="489"/>
      <c r="U947" s="489"/>
      <c r="V947" s="489"/>
      <c r="W947" s="489"/>
    </row>
    <row r="948" spans="1:23">
      <c r="A948" s="489"/>
      <c r="B948" s="489"/>
      <c r="C948" s="489"/>
      <c r="D948" s="489"/>
      <c r="E948" s="489"/>
      <c r="F948" s="489"/>
      <c r="G948" s="489"/>
      <c r="H948" s="489"/>
      <c r="I948" s="489"/>
      <c r="J948" s="489"/>
      <c r="K948" s="489"/>
      <c r="L948" s="489"/>
      <c r="M948" s="489"/>
      <c r="N948" s="489"/>
      <c r="O948" s="489"/>
      <c r="P948" s="489"/>
      <c r="Q948" s="489"/>
      <c r="R948" s="489"/>
      <c r="S948" s="489"/>
      <c r="T948" s="489"/>
      <c r="U948" s="489"/>
      <c r="V948" s="489"/>
      <c r="W948" s="489"/>
    </row>
    <row r="949" spans="1:23">
      <c r="A949" s="489"/>
      <c r="B949" s="489"/>
      <c r="C949" s="489"/>
      <c r="D949" s="489"/>
      <c r="E949" s="489"/>
      <c r="F949" s="489"/>
      <c r="G949" s="489"/>
      <c r="H949" s="489"/>
      <c r="I949" s="489"/>
      <c r="J949" s="489"/>
      <c r="K949" s="489"/>
      <c r="L949" s="489"/>
      <c r="M949" s="489"/>
      <c r="N949" s="489"/>
      <c r="O949" s="489"/>
      <c r="P949" s="489"/>
      <c r="Q949" s="489"/>
      <c r="R949" s="489"/>
      <c r="S949" s="489"/>
      <c r="T949" s="489"/>
      <c r="U949" s="489"/>
      <c r="V949" s="489"/>
      <c r="W949" s="489"/>
    </row>
    <row r="950" spans="1:23">
      <c r="A950" s="489"/>
      <c r="B950" s="489"/>
      <c r="C950" s="489"/>
      <c r="D950" s="489"/>
      <c r="E950" s="489"/>
      <c r="F950" s="489"/>
      <c r="G950" s="489"/>
      <c r="H950" s="489"/>
      <c r="I950" s="489"/>
      <c r="J950" s="489"/>
      <c r="K950" s="489"/>
      <c r="L950" s="489"/>
      <c r="M950" s="489"/>
      <c r="N950" s="489"/>
      <c r="O950" s="489"/>
      <c r="P950" s="489"/>
      <c r="Q950" s="489"/>
      <c r="R950" s="489"/>
      <c r="S950" s="489"/>
      <c r="T950" s="489"/>
      <c r="U950" s="489"/>
      <c r="V950" s="489"/>
      <c r="W950" s="489"/>
    </row>
    <row r="951" spans="1:23">
      <c r="A951" s="489"/>
      <c r="B951" s="489"/>
      <c r="C951" s="489"/>
      <c r="D951" s="489"/>
      <c r="E951" s="489"/>
      <c r="F951" s="489"/>
      <c r="G951" s="489"/>
      <c r="H951" s="489"/>
      <c r="I951" s="489"/>
      <c r="J951" s="489"/>
      <c r="K951" s="489"/>
      <c r="L951" s="489"/>
      <c r="M951" s="489"/>
      <c r="N951" s="489"/>
      <c r="O951" s="489"/>
      <c r="P951" s="489"/>
      <c r="Q951" s="489"/>
      <c r="R951" s="489"/>
      <c r="S951" s="489"/>
      <c r="T951" s="489"/>
      <c r="U951" s="489"/>
      <c r="V951" s="489"/>
      <c r="W951" s="489"/>
    </row>
    <row r="952" spans="1:23">
      <c r="A952" s="489"/>
      <c r="B952" s="489"/>
      <c r="C952" s="489"/>
      <c r="D952" s="489"/>
      <c r="E952" s="489"/>
      <c r="F952" s="489"/>
      <c r="G952" s="489"/>
      <c r="H952" s="489"/>
      <c r="I952" s="489"/>
      <c r="J952" s="489"/>
      <c r="K952" s="489"/>
      <c r="L952" s="489"/>
      <c r="M952" s="489"/>
      <c r="N952" s="489"/>
      <c r="O952" s="489"/>
      <c r="P952" s="489"/>
      <c r="Q952" s="489"/>
      <c r="R952" s="489"/>
      <c r="S952" s="489"/>
      <c r="T952" s="489"/>
      <c r="U952" s="489"/>
      <c r="V952" s="489"/>
      <c r="W952" s="489"/>
    </row>
    <row r="953" spans="1:23">
      <c r="A953" s="489"/>
      <c r="B953" s="489"/>
      <c r="C953" s="489"/>
      <c r="D953" s="489"/>
      <c r="E953" s="489"/>
      <c r="F953" s="489"/>
      <c r="G953" s="489"/>
      <c r="H953" s="489"/>
      <c r="I953" s="489"/>
      <c r="J953" s="489"/>
      <c r="K953" s="489"/>
      <c r="L953" s="489"/>
      <c r="M953" s="489"/>
      <c r="N953" s="489"/>
      <c r="O953" s="489"/>
      <c r="P953" s="489"/>
      <c r="Q953" s="489"/>
      <c r="R953" s="489"/>
      <c r="S953" s="489"/>
      <c r="T953" s="489"/>
      <c r="U953" s="489"/>
      <c r="V953" s="489"/>
      <c r="W953" s="489"/>
    </row>
    <row r="954" spans="1:23">
      <c r="A954" s="489"/>
      <c r="B954" s="489"/>
      <c r="C954" s="489"/>
      <c r="D954" s="489"/>
      <c r="E954" s="489"/>
      <c r="F954" s="489"/>
      <c r="G954" s="489"/>
      <c r="H954" s="489"/>
      <c r="I954" s="489"/>
      <c r="J954" s="489"/>
      <c r="K954" s="489"/>
      <c r="L954" s="489"/>
      <c r="M954" s="489"/>
      <c r="N954" s="489"/>
      <c r="O954" s="489"/>
      <c r="P954" s="489"/>
      <c r="Q954" s="489"/>
      <c r="R954" s="489"/>
      <c r="S954" s="489"/>
      <c r="T954" s="489"/>
      <c r="U954" s="489"/>
      <c r="V954" s="489"/>
      <c r="W954" s="489"/>
    </row>
    <row r="955" spans="1:23">
      <c r="A955" s="489"/>
      <c r="B955" s="489"/>
      <c r="C955" s="489"/>
      <c r="D955" s="489"/>
      <c r="E955" s="489"/>
      <c r="F955" s="489"/>
      <c r="G955" s="489"/>
      <c r="H955" s="489"/>
      <c r="I955" s="489"/>
      <c r="J955" s="489"/>
      <c r="K955" s="489"/>
      <c r="L955" s="489"/>
      <c r="M955" s="489"/>
      <c r="N955" s="489"/>
      <c r="O955" s="489"/>
      <c r="P955" s="489"/>
      <c r="Q955" s="489"/>
      <c r="R955" s="489"/>
      <c r="S955" s="489"/>
      <c r="T955" s="489"/>
      <c r="U955" s="489"/>
      <c r="V955" s="489"/>
      <c r="W955" s="489"/>
    </row>
    <row r="956" spans="1:23">
      <c r="A956" s="489"/>
      <c r="B956" s="489"/>
      <c r="C956" s="489"/>
      <c r="D956" s="489"/>
      <c r="E956" s="489"/>
      <c r="F956" s="489"/>
      <c r="G956" s="489"/>
      <c r="H956" s="489"/>
      <c r="I956" s="489"/>
      <c r="J956" s="489"/>
      <c r="K956" s="489"/>
      <c r="L956" s="489"/>
      <c r="M956" s="489"/>
      <c r="N956" s="489"/>
      <c r="O956" s="489"/>
      <c r="P956" s="489"/>
      <c r="Q956" s="489"/>
      <c r="R956" s="489"/>
      <c r="S956" s="489"/>
      <c r="T956" s="489"/>
      <c r="U956" s="489"/>
      <c r="V956" s="489"/>
      <c r="W956" s="489"/>
    </row>
    <row r="957" spans="1:23">
      <c r="A957" s="489"/>
      <c r="B957" s="489"/>
      <c r="C957" s="489"/>
      <c r="D957" s="489"/>
      <c r="E957" s="489"/>
      <c r="F957" s="489"/>
      <c r="G957" s="489"/>
      <c r="H957" s="489"/>
      <c r="I957" s="489"/>
      <c r="J957" s="489"/>
      <c r="K957" s="489"/>
      <c r="L957" s="489"/>
      <c r="M957" s="489"/>
      <c r="N957" s="489"/>
      <c r="O957" s="489"/>
      <c r="P957" s="489"/>
      <c r="Q957" s="489"/>
      <c r="R957" s="489"/>
      <c r="S957" s="489"/>
      <c r="T957" s="489"/>
      <c r="U957" s="489"/>
      <c r="V957" s="489"/>
      <c r="W957" s="489"/>
    </row>
    <row r="958" spans="1:23">
      <c r="A958" s="489"/>
      <c r="B958" s="489"/>
      <c r="C958" s="489"/>
      <c r="D958" s="489"/>
      <c r="E958" s="489"/>
      <c r="F958" s="489"/>
      <c r="G958" s="489"/>
      <c r="H958" s="489"/>
      <c r="I958" s="489"/>
      <c r="J958" s="489"/>
      <c r="K958" s="489"/>
      <c r="L958" s="489"/>
      <c r="M958" s="489"/>
      <c r="N958" s="489"/>
      <c r="O958" s="489"/>
      <c r="P958" s="489"/>
      <c r="Q958" s="489"/>
      <c r="R958" s="489"/>
      <c r="S958" s="489"/>
      <c r="T958" s="489"/>
      <c r="U958" s="489"/>
      <c r="V958" s="489"/>
      <c r="W958" s="489"/>
    </row>
    <row r="959" spans="1:23" ht="15" customHeight="1">
      <c r="A959" s="489"/>
      <c r="B959" s="489"/>
      <c r="C959" s="489"/>
      <c r="D959" s="489"/>
      <c r="E959" s="489"/>
      <c r="F959" s="489"/>
      <c r="G959" s="489"/>
      <c r="H959" s="489"/>
      <c r="I959" s="489"/>
      <c r="J959" s="489"/>
      <c r="K959" s="489"/>
      <c r="L959" s="489"/>
      <c r="M959" s="489"/>
      <c r="N959" s="489"/>
      <c r="O959" s="489"/>
      <c r="P959" s="489"/>
      <c r="Q959" s="489"/>
      <c r="R959" s="489"/>
      <c r="S959" s="489"/>
      <c r="T959" s="489"/>
      <c r="U959" s="489"/>
      <c r="V959" s="489"/>
      <c r="W959" s="489"/>
    </row>
    <row r="960" spans="1:23" ht="15" customHeight="1">
      <c r="A960" s="489"/>
      <c r="B960" s="489"/>
      <c r="C960" s="489"/>
      <c r="D960" s="489"/>
      <c r="E960" s="489"/>
      <c r="F960" s="489"/>
      <c r="G960" s="489"/>
      <c r="H960" s="489"/>
      <c r="I960" s="489"/>
      <c r="J960" s="489"/>
      <c r="K960" s="489"/>
      <c r="L960" s="489"/>
      <c r="M960" s="489"/>
      <c r="N960" s="489"/>
      <c r="O960" s="489"/>
      <c r="P960" s="489"/>
      <c r="Q960" s="489"/>
      <c r="R960" s="489"/>
      <c r="S960" s="489"/>
      <c r="T960" s="489"/>
      <c r="U960" s="489"/>
      <c r="V960" s="489"/>
      <c r="W960" s="489"/>
    </row>
    <row r="961" spans="1:23" ht="15" customHeight="1">
      <c r="A961" s="489"/>
      <c r="B961" s="489"/>
      <c r="C961" s="489"/>
      <c r="D961" s="489"/>
      <c r="E961" s="489"/>
      <c r="F961" s="489"/>
      <c r="G961" s="489"/>
      <c r="H961" s="489"/>
      <c r="I961" s="489"/>
      <c r="J961" s="489"/>
      <c r="K961" s="489"/>
      <c r="L961" s="489"/>
      <c r="M961" s="489"/>
      <c r="N961" s="489"/>
      <c r="O961" s="489"/>
      <c r="P961" s="489"/>
      <c r="Q961" s="489"/>
      <c r="R961" s="489"/>
      <c r="S961" s="489"/>
      <c r="T961" s="489"/>
      <c r="U961" s="489"/>
      <c r="V961" s="489"/>
      <c r="W961" s="489"/>
    </row>
    <row r="962" spans="1:23" ht="15" customHeight="1">
      <c r="A962" s="489"/>
      <c r="B962" s="489"/>
      <c r="C962" s="489"/>
      <c r="D962" s="489"/>
      <c r="E962" s="489"/>
      <c r="H962" s="489"/>
      <c r="I962" s="489"/>
      <c r="J962" s="489"/>
      <c r="K962" s="489"/>
      <c r="L962" s="489"/>
      <c r="M962" s="489"/>
      <c r="N962" s="489"/>
      <c r="O962" s="489"/>
      <c r="P962" s="489"/>
      <c r="Q962" s="489"/>
      <c r="R962" s="489"/>
      <c r="S962" s="489"/>
      <c r="T962" s="489"/>
      <c r="U962" s="489"/>
      <c r="V962" s="489"/>
      <c r="W962" s="489"/>
    </row>
    <row r="963" spans="1:23" ht="15" customHeight="1">
      <c r="A963" s="489"/>
      <c r="B963" s="489"/>
      <c r="C963" s="489"/>
      <c r="D963" s="489"/>
      <c r="E963" s="489"/>
      <c r="H963" s="489"/>
      <c r="I963" s="489"/>
      <c r="J963" s="489"/>
      <c r="K963" s="489"/>
      <c r="L963" s="489"/>
      <c r="M963" s="489"/>
      <c r="N963" s="489"/>
      <c r="O963" s="489"/>
      <c r="P963" s="489"/>
      <c r="Q963" s="489"/>
      <c r="R963" s="489"/>
      <c r="S963" s="489"/>
      <c r="T963" s="489"/>
      <c r="U963" s="489"/>
      <c r="V963" s="489"/>
      <c r="W963" s="489"/>
    </row>
    <row r="964" spans="1:23" ht="15" customHeight="1">
      <c r="A964" s="489"/>
      <c r="B964" s="489"/>
      <c r="C964" s="489"/>
      <c r="D964" s="489"/>
      <c r="E964" s="489"/>
      <c r="H964" s="489"/>
      <c r="I964" s="489"/>
      <c r="J964" s="489"/>
      <c r="K964" s="489"/>
      <c r="L964" s="489"/>
      <c r="M964" s="489"/>
      <c r="N964" s="489"/>
      <c r="O964" s="489"/>
      <c r="P964" s="489"/>
      <c r="Q964" s="489"/>
      <c r="R964" s="489"/>
      <c r="S964" s="489"/>
      <c r="T964" s="489"/>
      <c r="U964" s="489"/>
      <c r="V964" s="489"/>
      <c r="W964" s="489"/>
    </row>
    <row r="965" spans="1:23" ht="15" customHeight="1">
      <c r="A965" s="489"/>
      <c r="B965" s="489"/>
      <c r="C965" s="489"/>
      <c r="D965" s="489"/>
      <c r="E965" s="489"/>
      <c r="H965" s="489"/>
      <c r="I965" s="489"/>
      <c r="J965" s="489"/>
      <c r="K965" s="489"/>
      <c r="L965" s="489"/>
      <c r="M965" s="489"/>
      <c r="N965" s="489"/>
      <c r="O965" s="489"/>
      <c r="P965" s="489"/>
      <c r="Q965" s="489"/>
      <c r="R965" s="489"/>
      <c r="S965" s="489"/>
      <c r="T965" s="489"/>
      <c r="U965" s="489"/>
      <c r="V965" s="489"/>
      <c r="W965" s="489"/>
    </row>
    <row r="966" spans="1:23" ht="15" customHeight="1">
      <c r="A966" s="489"/>
      <c r="B966" s="489"/>
      <c r="C966" s="489"/>
      <c r="D966" s="489"/>
      <c r="E966" s="489"/>
      <c r="H966" s="489"/>
      <c r="I966" s="489"/>
      <c r="J966" s="489"/>
      <c r="K966" s="489"/>
      <c r="L966" s="489"/>
      <c r="M966" s="489"/>
      <c r="N966" s="489"/>
      <c r="O966" s="489"/>
      <c r="P966" s="489"/>
      <c r="Q966" s="489"/>
      <c r="R966" s="489"/>
      <c r="S966" s="489"/>
      <c r="T966" s="489"/>
      <c r="U966" s="489"/>
      <c r="V966" s="489"/>
      <c r="W966" s="489"/>
    </row>
    <row r="967" spans="1:23" ht="15" customHeight="1">
      <c r="A967" s="489"/>
      <c r="B967" s="489"/>
      <c r="C967" s="489"/>
      <c r="D967" s="489"/>
      <c r="E967" s="489"/>
      <c r="H967" s="489"/>
      <c r="I967" s="489"/>
      <c r="J967" s="489"/>
      <c r="K967" s="489"/>
      <c r="L967" s="489"/>
      <c r="M967" s="489"/>
      <c r="N967" s="489"/>
      <c r="O967" s="489"/>
      <c r="P967" s="489"/>
      <c r="Q967" s="489"/>
      <c r="R967" s="489"/>
      <c r="S967" s="489"/>
      <c r="T967" s="489"/>
      <c r="U967" s="489"/>
      <c r="V967" s="489"/>
      <c r="W967" s="489"/>
    </row>
    <row r="968" spans="1:23" ht="15" customHeight="1">
      <c r="A968" s="489"/>
      <c r="B968" s="489"/>
      <c r="C968" s="489"/>
      <c r="D968" s="489"/>
      <c r="E968" s="489"/>
      <c r="H968" s="489"/>
      <c r="I968" s="489"/>
      <c r="J968" s="489"/>
      <c r="K968" s="489"/>
      <c r="L968" s="489"/>
      <c r="M968" s="489"/>
      <c r="N968" s="489"/>
      <c r="O968" s="489"/>
      <c r="P968" s="489"/>
      <c r="Q968" s="489"/>
      <c r="R968" s="489"/>
      <c r="S968" s="489"/>
      <c r="T968" s="489"/>
      <c r="U968" s="489"/>
      <c r="V968" s="489"/>
      <c r="W968" s="489"/>
    </row>
    <row r="969" spans="1:23" ht="15" customHeight="1">
      <c r="A969" s="489"/>
      <c r="B969" s="489"/>
      <c r="C969" s="489"/>
      <c r="D969" s="489"/>
      <c r="E969" s="489"/>
      <c r="H969" s="489"/>
      <c r="I969" s="489"/>
      <c r="J969" s="489"/>
      <c r="K969" s="489"/>
      <c r="L969" s="489"/>
      <c r="M969" s="489"/>
      <c r="N969" s="489"/>
      <c r="O969" s="489"/>
      <c r="P969" s="489"/>
      <c r="Q969" s="489"/>
      <c r="R969" s="489"/>
      <c r="S969" s="489"/>
      <c r="T969" s="489"/>
      <c r="U969" s="489"/>
      <c r="V969" s="489"/>
      <c r="W969" s="489"/>
    </row>
    <row r="970" spans="1:23" ht="15" customHeight="1">
      <c r="A970" s="489"/>
      <c r="B970" s="489"/>
      <c r="C970" s="489"/>
      <c r="D970" s="489"/>
      <c r="E970" s="489"/>
      <c r="H970" s="489"/>
      <c r="I970" s="489"/>
      <c r="J970" s="489"/>
      <c r="K970" s="489"/>
      <c r="L970" s="489"/>
      <c r="M970" s="489"/>
      <c r="N970" s="489"/>
      <c r="O970" s="489"/>
      <c r="P970" s="489"/>
      <c r="Q970" s="489"/>
      <c r="R970" s="489"/>
      <c r="S970" s="489"/>
      <c r="T970" s="489"/>
      <c r="U970" s="489"/>
      <c r="V970" s="489"/>
      <c r="W970" s="489"/>
    </row>
    <row r="971" spans="1:23" ht="15" customHeight="1">
      <c r="A971" s="489"/>
      <c r="B971" s="489"/>
      <c r="C971" s="489"/>
      <c r="D971" s="489"/>
      <c r="E971" s="489"/>
      <c r="H971" s="489"/>
      <c r="I971" s="489"/>
      <c r="J971" s="489"/>
      <c r="K971" s="489"/>
      <c r="L971" s="489"/>
      <c r="M971" s="489"/>
      <c r="N971" s="489"/>
      <c r="O971" s="489"/>
      <c r="P971" s="489"/>
      <c r="Q971" s="489"/>
      <c r="R971" s="489"/>
      <c r="S971" s="489"/>
      <c r="T971" s="489"/>
      <c r="U971" s="489"/>
      <c r="V971" s="489"/>
      <c r="W971" s="489"/>
    </row>
    <row r="972" spans="1:23" ht="15" customHeight="1">
      <c r="A972" s="489"/>
      <c r="B972" s="489"/>
      <c r="C972" s="489"/>
      <c r="D972" s="489"/>
      <c r="E972" s="489"/>
      <c r="H972" s="489"/>
      <c r="I972" s="489"/>
      <c r="J972" s="489"/>
      <c r="K972" s="489"/>
      <c r="L972" s="489"/>
      <c r="M972" s="489"/>
      <c r="N972" s="489"/>
      <c r="O972" s="489"/>
      <c r="P972" s="489"/>
      <c r="Q972" s="489"/>
      <c r="R972" s="489"/>
      <c r="S972" s="489"/>
      <c r="T972" s="489"/>
      <c r="U972" s="489"/>
      <c r="V972" s="489"/>
      <c r="W972" s="489"/>
    </row>
    <row r="973" spans="1:23" ht="15" customHeight="1">
      <c r="A973" s="489"/>
      <c r="B973" s="489"/>
      <c r="C973" s="489"/>
      <c r="D973" s="489"/>
      <c r="E973" s="489"/>
      <c r="H973" s="489"/>
      <c r="I973" s="489"/>
      <c r="J973" s="489"/>
      <c r="K973" s="489"/>
      <c r="L973" s="489"/>
      <c r="M973" s="489"/>
      <c r="N973" s="489"/>
      <c r="O973" s="489"/>
      <c r="P973" s="489"/>
      <c r="Q973" s="489"/>
      <c r="R973" s="489"/>
      <c r="S973" s="489"/>
      <c r="T973" s="489"/>
      <c r="U973" s="489"/>
      <c r="V973" s="489"/>
      <c r="W973" s="489"/>
    </row>
    <row r="974" spans="1:23" ht="15" customHeight="1">
      <c r="A974" s="489"/>
      <c r="B974" s="489"/>
      <c r="C974" s="489"/>
      <c r="D974" s="489"/>
      <c r="E974" s="489"/>
      <c r="H974" s="489"/>
      <c r="I974" s="489"/>
      <c r="J974" s="489"/>
      <c r="K974" s="489"/>
      <c r="L974" s="489"/>
      <c r="M974" s="489"/>
      <c r="N974" s="489"/>
      <c r="O974" s="489"/>
      <c r="P974" s="489"/>
      <c r="Q974" s="489"/>
      <c r="R974" s="489"/>
      <c r="S974" s="489"/>
      <c r="T974" s="489"/>
      <c r="U974" s="489"/>
      <c r="V974" s="489"/>
      <c r="W974" s="489"/>
    </row>
    <row r="975" spans="1:23" ht="15" customHeight="1">
      <c r="A975" s="489"/>
      <c r="B975" s="489"/>
      <c r="C975" s="489"/>
      <c r="D975" s="489"/>
      <c r="E975" s="489"/>
      <c r="H975" s="489"/>
      <c r="I975" s="489"/>
      <c r="J975" s="489"/>
      <c r="K975" s="489"/>
      <c r="L975" s="489"/>
      <c r="M975" s="489"/>
      <c r="N975" s="489"/>
      <c r="O975" s="489"/>
      <c r="P975" s="489"/>
      <c r="Q975" s="489"/>
      <c r="R975" s="489"/>
      <c r="S975" s="489"/>
      <c r="T975" s="489"/>
      <c r="U975" s="489"/>
      <c r="V975" s="489"/>
      <c r="W975" s="489"/>
    </row>
    <row r="976" spans="1:23" ht="15" customHeight="1">
      <c r="A976" s="489"/>
      <c r="B976" s="489"/>
      <c r="C976" s="489"/>
      <c r="D976" s="489"/>
      <c r="E976" s="489"/>
      <c r="H976" s="489"/>
      <c r="I976" s="489"/>
      <c r="J976" s="489"/>
      <c r="K976" s="489"/>
      <c r="L976" s="489"/>
      <c r="M976" s="489"/>
      <c r="N976" s="489"/>
      <c r="O976" s="489"/>
      <c r="P976" s="489"/>
      <c r="Q976" s="489"/>
      <c r="R976" s="489"/>
      <c r="S976" s="489"/>
      <c r="T976" s="489"/>
      <c r="U976" s="489"/>
      <c r="V976" s="489"/>
      <c r="W976" s="489"/>
    </row>
    <row r="977" spans="1:23" ht="15" customHeight="1">
      <c r="A977" s="489"/>
      <c r="B977" s="489"/>
      <c r="C977" s="489"/>
      <c r="D977" s="489"/>
      <c r="E977" s="489"/>
      <c r="H977" s="489"/>
      <c r="I977" s="489"/>
      <c r="J977" s="489"/>
      <c r="K977" s="489"/>
      <c r="L977" s="489"/>
      <c r="M977" s="489"/>
      <c r="N977" s="489"/>
      <c r="O977" s="489"/>
      <c r="P977" s="489"/>
      <c r="Q977" s="489"/>
      <c r="R977" s="489"/>
      <c r="S977" s="489"/>
      <c r="T977" s="489"/>
      <c r="U977" s="489"/>
      <c r="V977" s="489"/>
      <c r="W977" s="489"/>
    </row>
    <row r="978" spans="1:23" ht="15" customHeight="1">
      <c r="A978" s="489"/>
      <c r="I978" s="489"/>
      <c r="J978" s="489"/>
      <c r="K978" s="489"/>
      <c r="L978" s="489"/>
      <c r="M978" s="489"/>
      <c r="N978" s="489"/>
      <c r="O978" s="489"/>
      <c r="P978" s="489"/>
      <c r="Q978" s="489"/>
      <c r="R978" s="489"/>
      <c r="S978" s="489"/>
      <c r="T978" s="489"/>
      <c r="U978" s="489"/>
      <c r="V978" s="489"/>
      <c r="W978" s="489"/>
    </row>
    <row r="979" spans="1:23" ht="15" customHeight="1">
      <c r="A979" s="489"/>
      <c r="I979" s="489"/>
      <c r="J979" s="487"/>
      <c r="K979" s="487"/>
      <c r="L979" s="487"/>
      <c r="M979" s="487"/>
      <c r="N979" s="489"/>
      <c r="O979" s="489"/>
      <c r="P979" s="489"/>
      <c r="Q979" s="489"/>
      <c r="R979" s="489"/>
      <c r="S979" s="489"/>
      <c r="T979" s="489"/>
      <c r="U979" s="489"/>
      <c r="V979" s="489"/>
      <c r="W979" s="489"/>
    </row>
    <row r="980" spans="1:23" ht="15" customHeight="1">
      <c r="A980" s="489"/>
      <c r="I980" s="489"/>
      <c r="J980" s="487"/>
      <c r="K980" s="487"/>
      <c r="L980" s="487"/>
      <c r="M980" s="487"/>
      <c r="N980" s="489"/>
      <c r="O980" s="489"/>
      <c r="P980" s="489"/>
      <c r="Q980" s="489"/>
      <c r="R980" s="489"/>
      <c r="S980" s="489"/>
      <c r="T980" s="489"/>
      <c r="U980" s="489"/>
      <c r="V980" s="489"/>
      <c r="W980" s="489"/>
    </row>
    <row r="981" spans="1:23" ht="15" customHeight="1">
      <c r="A981" s="489"/>
      <c r="I981" s="489"/>
      <c r="J981" s="487"/>
      <c r="K981" s="487"/>
      <c r="L981" s="487"/>
      <c r="M981" s="487"/>
      <c r="N981" s="489"/>
      <c r="O981" s="489"/>
      <c r="P981" s="489"/>
      <c r="Q981" s="489"/>
      <c r="R981" s="489"/>
      <c r="S981" s="489"/>
      <c r="T981" s="489"/>
      <c r="U981" s="489"/>
      <c r="V981" s="489"/>
      <c r="W981" s="489"/>
    </row>
    <row r="982" spans="1:23" ht="15" customHeight="1">
      <c r="A982" s="489"/>
      <c r="I982" s="489"/>
      <c r="J982" s="487"/>
      <c r="K982" s="487"/>
      <c r="L982" s="487"/>
      <c r="M982" s="487"/>
      <c r="N982" s="489"/>
      <c r="O982" s="489"/>
      <c r="P982" s="489"/>
      <c r="Q982" s="489"/>
      <c r="R982" s="489"/>
      <c r="S982" s="489"/>
      <c r="T982" s="489"/>
      <c r="U982" s="489"/>
      <c r="V982" s="489"/>
      <c r="W982" s="489"/>
    </row>
    <row r="983" spans="1:23" ht="15" customHeight="1">
      <c r="A983" s="489"/>
      <c r="I983" s="489"/>
      <c r="J983" s="487"/>
      <c r="K983" s="487"/>
      <c r="L983" s="487"/>
      <c r="M983" s="487"/>
      <c r="N983" s="489"/>
      <c r="O983" s="489"/>
      <c r="P983" s="489"/>
      <c r="Q983" s="489"/>
      <c r="R983" s="489"/>
      <c r="S983" s="489"/>
      <c r="T983" s="489"/>
      <c r="U983" s="489"/>
      <c r="V983" s="489"/>
      <c r="W983" s="489"/>
    </row>
    <row r="984" spans="1:23" ht="15" customHeight="1">
      <c r="A984" s="489"/>
      <c r="I984" s="489"/>
      <c r="J984" s="487"/>
      <c r="K984" s="487"/>
      <c r="L984" s="487"/>
      <c r="M984" s="487"/>
      <c r="N984" s="489"/>
      <c r="O984" s="489"/>
      <c r="P984" s="489"/>
      <c r="Q984" s="489"/>
      <c r="R984" s="489"/>
      <c r="S984" s="489"/>
      <c r="T984" s="489"/>
      <c r="U984" s="489"/>
      <c r="V984" s="489"/>
      <c r="W984" s="489"/>
    </row>
    <row r="985" spans="1:23" ht="15" customHeight="1">
      <c r="A985" s="489"/>
      <c r="I985" s="489"/>
      <c r="J985" s="487"/>
      <c r="K985" s="487"/>
      <c r="L985" s="487"/>
      <c r="M985" s="487"/>
      <c r="N985" s="489"/>
      <c r="O985" s="489"/>
      <c r="P985" s="489"/>
      <c r="Q985" s="489"/>
      <c r="R985" s="489"/>
      <c r="S985" s="489"/>
      <c r="T985" s="489"/>
      <c r="U985" s="489"/>
      <c r="V985" s="489"/>
      <c r="W985" s="489"/>
    </row>
    <row r="986" spans="1:23" ht="15" customHeight="1">
      <c r="A986" s="489"/>
      <c r="I986" s="489"/>
      <c r="J986" s="487"/>
      <c r="K986" s="487"/>
      <c r="L986" s="487"/>
      <c r="M986" s="487"/>
      <c r="N986" s="489"/>
      <c r="O986" s="489"/>
      <c r="P986" s="489"/>
      <c r="Q986" s="489"/>
      <c r="R986" s="489"/>
      <c r="S986" s="489"/>
      <c r="T986" s="489"/>
      <c r="U986" s="489"/>
      <c r="V986" s="489"/>
      <c r="W986" s="489"/>
    </row>
    <row r="987" spans="1:23" ht="15" customHeight="1">
      <c r="A987" s="489"/>
      <c r="I987" s="489"/>
      <c r="J987" s="487"/>
      <c r="K987" s="487"/>
      <c r="L987" s="487"/>
      <c r="M987" s="487"/>
      <c r="N987" s="489"/>
      <c r="O987" s="489"/>
      <c r="P987" s="489"/>
      <c r="Q987" s="489"/>
      <c r="R987" s="489"/>
      <c r="S987" s="489"/>
      <c r="T987" s="489"/>
      <c r="U987" s="489"/>
      <c r="V987" s="489"/>
      <c r="W987" s="489"/>
    </row>
    <row r="988" spans="1:23" ht="15" customHeight="1">
      <c r="A988" s="489"/>
      <c r="I988" s="489"/>
      <c r="J988" s="487"/>
      <c r="K988" s="487"/>
      <c r="L988" s="487"/>
      <c r="M988" s="487"/>
      <c r="N988" s="489"/>
      <c r="O988" s="489"/>
      <c r="P988" s="489"/>
      <c r="Q988" s="489"/>
      <c r="R988" s="489"/>
      <c r="S988" s="489"/>
      <c r="T988" s="489"/>
      <c r="U988" s="489"/>
      <c r="V988" s="489"/>
      <c r="W988" s="489"/>
    </row>
    <row r="989" spans="1:23" ht="15" customHeight="1">
      <c r="A989" s="489"/>
      <c r="I989" s="489"/>
      <c r="J989" s="487"/>
      <c r="K989" s="487"/>
      <c r="L989" s="487"/>
      <c r="M989" s="487"/>
      <c r="N989" s="489"/>
      <c r="O989" s="489"/>
      <c r="P989" s="489"/>
      <c r="Q989" s="489"/>
      <c r="R989" s="489"/>
      <c r="S989" s="489"/>
      <c r="T989" s="489"/>
      <c r="U989" s="489"/>
      <c r="V989" s="489"/>
      <c r="W989" s="489"/>
    </row>
  </sheetData>
  <mergeCells count="10">
    <mergeCell ref="B17:C17"/>
    <mergeCell ref="B5:C5"/>
    <mergeCell ref="B6:C6"/>
    <mergeCell ref="B12:H12"/>
    <mergeCell ref="I12:T12"/>
    <mergeCell ref="U12:AF12"/>
    <mergeCell ref="AG12:AR12"/>
    <mergeCell ref="B3:D3"/>
    <mergeCell ref="B1:D1"/>
    <mergeCell ref="B4:C4"/>
  </mergeCells>
  <pageMargins left="0.511811024" right="0.511811024" top="0.78740157499999996" bottom="0.78740157499999996"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outlinePr summaryBelow="0" summaryRight="0"/>
  </sheetPr>
  <dimension ref="A1:Z998"/>
  <sheetViews>
    <sheetView workbookViewId="0"/>
  </sheetViews>
  <sheetFormatPr defaultColWidth="14.42578125" defaultRowHeight="15" customHeight="1"/>
  <cols>
    <col min="1" max="1" width="7.28515625" customWidth="1"/>
    <col min="2" max="2" width="44.140625" customWidth="1"/>
    <col min="5" max="5" width="13" customWidth="1"/>
  </cols>
  <sheetData>
    <row r="1" spans="1:26">
      <c r="A1" s="86"/>
      <c r="B1" s="109" t="s">
        <v>83</v>
      </c>
      <c r="C1" s="109" t="s">
        <v>84</v>
      </c>
      <c r="D1" s="109" t="s">
        <v>85</v>
      </c>
      <c r="E1" s="111"/>
      <c r="F1" s="111" t="s">
        <v>33</v>
      </c>
      <c r="G1" s="111" t="s">
        <v>34</v>
      </c>
      <c r="H1" s="111" t="s">
        <v>35</v>
      </c>
      <c r="I1" s="111" t="s">
        <v>36</v>
      </c>
      <c r="J1" s="97"/>
      <c r="K1" s="97"/>
      <c r="L1" s="97"/>
      <c r="M1" s="97"/>
      <c r="N1" s="97"/>
      <c r="O1" s="97"/>
      <c r="P1" s="97"/>
      <c r="Q1" s="97"/>
      <c r="R1" s="97"/>
      <c r="S1" s="97"/>
      <c r="T1" s="97"/>
      <c r="U1" s="97"/>
      <c r="V1" s="97"/>
      <c r="W1" s="97"/>
      <c r="X1" s="97"/>
      <c r="Y1" s="97"/>
      <c r="Z1" s="97"/>
    </row>
    <row r="2" spans="1:26">
      <c r="A2" s="86">
        <v>1</v>
      </c>
      <c r="B2" s="117" t="s">
        <v>93</v>
      </c>
      <c r="C2" s="118" t="s">
        <v>94</v>
      </c>
      <c r="D2" s="110">
        <v>-8970</v>
      </c>
      <c r="E2" s="110"/>
      <c r="F2" s="110">
        <v>-8970</v>
      </c>
      <c r="G2" s="110">
        <v>-8970</v>
      </c>
      <c r="H2" s="110">
        <v>-8970</v>
      </c>
      <c r="I2" s="110">
        <v>-8970</v>
      </c>
      <c r="J2" s="114"/>
      <c r="K2" s="97"/>
      <c r="L2" s="97"/>
      <c r="M2" s="97"/>
      <c r="N2" s="97"/>
      <c r="O2" s="97"/>
      <c r="P2" s="97"/>
      <c r="Q2" s="97"/>
      <c r="R2" s="97"/>
      <c r="S2" s="97"/>
      <c r="T2" s="97"/>
      <c r="U2" s="97"/>
      <c r="V2" s="97"/>
      <c r="W2" s="97"/>
      <c r="X2" s="97"/>
      <c r="Y2" s="97"/>
      <c r="Z2" s="97"/>
    </row>
    <row r="3" spans="1:26">
      <c r="A3" s="86">
        <v>2</v>
      </c>
      <c r="B3" s="119" t="s">
        <v>95</v>
      </c>
      <c r="C3" s="89" t="s">
        <v>26</v>
      </c>
      <c r="D3" s="114">
        <v>-2262.35</v>
      </c>
      <c r="E3" s="114"/>
      <c r="F3" s="114">
        <v>-2262.35</v>
      </c>
      <c r="G3" s="114">
        <v>-2262.35</v>
      </c>
      <c r="H3" s="114">
        <v>-2262.35</v>
      </c>
      <c r="I3" s="114">
        <v>-2262.35</v>
      </c>
      <c r="J3" s="114"/>
      <c r="K3" s="97"/>
      <c r="L3" s="97"/>
      <c r="M3" s="97"/>
      <c r="N3" s="97"/>
      <c r="O3" s="97"/>
      <c r="P3" s="97"/>
      <c r="Q3" s="97"/>
      <c r="R3" s="97"/>
      <c r="S3" s="97"/>
      <c r="T3" s="97"/>
      <c r="U3" s="97"/>
      <c r="V3" s="97"/>
      <c r="W3" s="97"/>
      <c r="X3" s="97"/>
      <c r="Y3" s="97"/>
      <c r="Z3" s="97"/>
    </row>
    <row r="4" spans="1:26">
      <c r="A4" s="86">
        <v>3</v>
      </c>
      <c r="B4" s="113" t="s">
        <v>96</v>
      </c>
      <c r="C4" s="89" t="s">
        <v>26</v>
      </c>
      <c r="D4" s="114">
        <v>-5000</v>
      </c>
      <c r="E4" s="114"/>
      <c r="F4" s="114">
        <v>-5000</v>
      </c>
      <c r="G4" s="114">
        <v>-5000</v>
      </c>
      <c r="H4" s="114">
        <v>-5000</v>
      </c>
      <c r="I4" s="114">
        <v>-5000</v>
      </c>
      <c r="J4" s="114"/>
      <c r="K4" s="97"/>
      <c r="L4" s="97"/>
      <c r="M4" s="97"/>
      <c r="N4" s="97"/>
      <c r="O4" s="97"/>
      <c r="P4" s="97"/>
      <c r="Q4" s="97"/>
      <c r="R4" s="97"/>
      <c r="S4" s="97"/>
      <c r="T4" s="97"/>
      <c r="U4" s="97"/>
      <c r="V4" s="97"/>
      <c r="W4" s="97"/>
      <c r="X4" s="97"/>
      <c r="Y4" s="97"/>
      <c r="Z4" s="97"/>
    </row>
    <row r="5" spans="1:26">
      <c r="A5" s="86">
        <v>4</v>
      </c>
      <c r="B5" s="119" t="s">
        <v>97</v>
      </c>
      <c r="C5" s="89" t="s">
        <v>26</v>
      </c>
      <c r="D5" s="114">
        <v>-1800</v>
      </c>
      <c r="E5" s="114"/>
      <c r="F5" s="114">
        <v>-1800</v>
      </c>
      <c r="G5" s="114">
        <v>2100</v>
      </c>
      <c r="H5" s="114">
        <v>0</v>
      </c>
      <c r="I5" s="114">
        <v>0</v>
      </c>
      <c r="J5" s="114"/>
      <c r="K5" s="97"/>
      <c r="L5" s="97"/>
      <c r="M5" s="97"/>
      <c r="N5" s="97"/>
      <c r="O5" s="97"/>
      <c r="P5" s="97"/>
      <c r="Q5" s="97"/>
      <c r="R5" s="97"/>
      <c r="S5" s="97"/>
      <c r="T5" s="97"/>
      <c r="U5" s="97"/>
      <c r="V5" s="97"/>
      <c r="W5" s="97"/>
      <c r="X5" s="97"/>
      <c r="Y5" s="97"/>
      <c r="Z5" s="97"/>
    </row>
    <row r="6" spans="1:26">
      <c r="A6" s="86">
        <v>5</v>
      </c>
      <c r="B6" s="119" t="s">
        <v>98</v>
      </c>
      <c r="C6" s="89" t="s">
        <v>26</v>
      </c>
      <c r="D6" s="114">
        <v>-1800</v>
      </c>
      <c r="E6" s="114"/>
      <c r="F6" s="114">
        <v>0</v>
      </c>
      <c r="G6" s="114">
        <v>0</v>
      </c>
      <c r="H6" s="114">
        <v>0</v>
      </c>
      <c r="I6" s="114">
        <v>0</v>
      </c>
      <c r="J6" s="114"/>
      <c r="K6" s="97"/>
      <c r="L6" s="97"/>
      <c r="M6" s="97"/>
      <c r="N6" s="97"/>
      <c r="O6" s="97"/>
      <c r="P6" s="97"/>
      <c r="Q6" s="97"/>
      <c r="R6" s="97"/>
      <c r="S6" s="97"/>
      <c r="T6" s="97"/>
      <c r="U6" s="97"/>
      <c r="V6" s="97"/>
      <c r="W6" s="97"/>
      <c r="X6" s="97"/>
      <c r="Y6" s="97"/>
      <c r="Z6" s="97"/>
    </row>
    <row r="7" spans="1:26">
      <c r="A7" s="86">
        <v>6</v>
      </c>
      <c r="B7" s="113" t="s">
        <v>99</v>
      </c>
      <c r="C7" s="89" t="s">
        <v>26</v>
      </c>
      <c r="D7" s="114">
        <v>-4500.71</v>
      </c>
      <c r="E7" s="114"/>
      <c r="F7" s="114">
        <v>-4500.71</v>
      </c>
      <c r="G7" s="114">
        <v>-4500.71</v>
      </c>
      <c r="H7" s="114">
        <v>-4500.71</v>
      </c>
      <c r="I7" s="114">
        <v>-4500.71</v>
      </c>
      <c r="J7" s="114"/>
      <c r="K7" s="97"/>
      <c r="L7" s="97"/>
      <c r="M7" s="97"/>
      <c r="N7" s="97"/>
      <c r="O7" s="97"/>
      <c r="P7" s="97"/>
      <c r="Q7" s="97"/>
      <c r="R7" s="97"/>
      <c r="S7" s="97"/>
      <c r="T7" s="97"/>
      <c r="U7" s="97"/>
      <c r="V7" s="97"/>
      <c r="W7" s="97"/>
      <c r="X7" s="97"/>
      <c r="Y7" s="97"/>
      <c r="Z7" s="97"/>
    </row>
    <row r="8" spans="1:26">
      <c r="A8" s="86">
        <v>7</v>
      </c>
      <c r="B8" s="119" t="s">
        <v>100</v>
      </c>
      <c r="C8" s="89" t="s">
        <v>101</v>
      </c>
      <c r="D8" s="114">
        <v>-15000</v>
      </c>
      <c r="E8" s="114"/>
      <c r="F8" s="114">
        <v>-10000</v>
      </c>
      <c r="G8" s="114">
        <v>-15000</v>
      </c>
      <c r="H8" s="114">
        <v>-15000</v>
      </c>
      <c r="I8" s="114">
        <v>-15000</v>
      </c>
      <c r="J8" s="114"/>
      <c r="K8" s="97"/>
      <c r="L8" s="97"/>
      <c r="M8" s="97"/>
      <c r="N8" s="97"/>
      <c r="O8" s="97"/>
      <c r="P8" s="97"/>
      <c r="Q8" s="97"/>
      <c r="R8" s="97"/>
      <c r="S8" s="97"/>
      <c r="T8" s="97"/>
      <c r="U8" s="97"/>
      <c r="V8" s="97"/>
      <c r="W8" s="97"/>
      <c r="X8" s="97"/>
      <c r="Y8" s="97"/>
      <c r="Z8" s="97"/>
    </row>
    <row r="9" spans="1:26">
      <c r="A9" s="86">
        <v>8</v>
      </c>
      <c r="B9" s="120" t="s">
        <v>102</v>
      </c>
      <c r="C9" s="89" t="s">
        <v>103</v>
      </c>
      <c r="D9" s="114">
        <v>-3000</v>
      </c>
      <c r="E9" s="121"/>
      <c r="F9" s="114">
        <v>-3000</v>
      </c>
      <c r="G9" s="114">
        <v>-3000</v>
      </c>
      <c r="H9" s="114">
        <v>0</v>
      </c>
      <c r="I9" s="114">
        <v>0</v>
      </c>
      <c r="J9" s="114"/>
      <c r="K9" s="97"/>
      <c r="L9" s="97"/>
      <c r="M9" s="97"/>
      <c r="N9" s="97"/>
      <c r="O9" s="97"/>
      <c r="P9" s="97"/>
      <c r="Q9" s="97"/>
      <c r="R9" s="97"/>
      <c r="S9" s="97"/>
      <c r="T9" s="97"/>
      <c r="U9" s="97"/>
      <c r="V9" s="97"/>
      <c r="W9" s="97"/>
      <c r="X9" s="97"/>
      <c r="Y9" s="97"/>
      <c r="Z9" s="97"/>
    </row>
    <row r="10" spans="1:26">
      <c r="A10" s="122">
        <v>9</v>
      </c>
      <c r="B10" s="120" t="s">
        <v>104</v>
      </c>
      <c r="C10" s="97" t="s">
        <v>105</v>
      </c>
      <c r="D10" s="121">
        <v>-15000</v>
      </c>
      <c r="E10" s="121"/>
      <c r="F10" s="121">
        <v>-15000</v>
      </c>
      <c r="G10" s="121">
        <v>-5000</v>
      </c>
      <c r="H10" s="121">
        <v>-5000</v>
      </c>
      <c r="I10" s="121">
        <v>-5000</v>
      </c>
      <c r="J10" s="121"/>
      <c r="K10" s="97"/>
      <c r="L10" s="97"/>
      <c r="M10" s="97"/>
      <c r="N10" s="97"/>
      <c r="O10" s="97"/>
      <c r="P10" s="97"/>
      <c r="Q10" s="97"/>
      <c r="R10" s="97"/>
      <c r="S10" s="97"/>
      <c r="T10" s="97"/>
      <c r="U10" s="97"/>
      <c r="V10" s="97"/>
      <c r="W10" s="97"/>
      <c r="X10" s="97"/>
      <c r="Y10" s="97"/>
      <c r="Z10" s="97"/>
    </row>
    <row r="11" spans="1:26">
      <c r="A11" s="86">
        <v>10</v>
      </c>
      <c r="B11" s="113" t="s">
        <v>106</v>
      </c>
      <c r="C11" s="89" t="s">
        <v>26</v>
      </c>
      <c r="D11" s="114">
        <v>-2605.7800000000002</v>
      </c>
      <c r="E11" s="114"/>
      <c r="F11" s="114">
        <v>-2605.7800000000002</v>
      </c>
      <c r="G11" s="114">
        <v>-2605.7800000000002</v>
      </c>
      <c r="H11" s="114">
        <v>-2605.7800000000002</v>
      </c>
      <c r="I11" s="114">
        <v>-2605.7800000000002</v>
      </c>
      <c r="J11" s="114"/>
      <c r="K11" s="97"/>
      <c r="L11" s="97"/>
      <c r="M11" s="97"/>
      <c r="N11" s="97"/>
      <c r="O11" s="97"/>
      <c r="P11" s="97"/>
      <c r="Q11" s="97"/>
      <c r="R11" s="97"/>
      <c r="S11" s="97"/>
      <c r="T11" s="97"/>
      <c r="U11" s="97"/>
      <c r="V11" s="97"/>
      <c r="W11" s="97"/>
      <c r="X11" s="97"/>
      <c r="Y11" s="97"/>
      <c r="Z11" s="97"/>
    </row>
    <row r="12" spans="1:26">
      <c r="A12" s="86">
        <v>11</v>
      </c>
      <c r="B12" s="113" t="s">
        <v>107</v>
      </c>
      <c r="C12" s="89" t="s">
        <v>94</v>
      </c>
      <c r="D12" s="114">
        <v>-3219.84</v>
      </c>
      <c r="E12" s="114"/>
      <c r="F12" s="114">
        <v>-3219.84</v>
      </c>
      <c r="G12" s="114">
        <v>-4177.5200000000004</v>
      </c>
      <c r="H12" s="114">
        <v>-4177.5200000000004</v>
      </c>
      <c r="I12" s="114">
        <v>-4177.5200000000004</v>
      </c>
      <c r="J12" s="114"/>
      <c r="K12" s="97"/>
      <c r="L12" s="97"/>
      <c r="M12" s="97"/>
      <c r="N12" s="97"/>
      <c r="O12" s="97"/>
      <c r="P12" s="97"/>
      <c r="Q12" s="97"/>
      <c r="R12" s="97"/>
      <c r="S12" s="97"/>
      <c r="T12" s="97"/>
      <c r="U12" s="97"/>
      <c r="V12" s="97"/>
      <c r="W12" s="97"/>
      <c r="X12" s="97"/>
      <c r="Y12" s="97"/>
      <c r="Z12" s="97"/>
    </row>
    <row r="13" spans="1:26">
      <c r="A13" s="86">
        <v>12</v>
      </c>
      <c r="B13" s="119" t="s">
        <v>108</v>
      </c>
      <c r="C13" s="89" t="s">
        <v>26</v>
      </c>
      <c r="D13" s="114">
        <v>-10000</v>
      </c>
      <c r="E13" s="114"/>
      <c r="F13" s="114">
        <v>-10000</v>
      </c>
      <c r="G13" s="114">
        <v>-10000</v>
      </c>
      <c r="H13" s="114">
        <v>-10000</v>
      </c>
      <c r="I13" s="114">
        <v>-10000</v>
      </c>
      <c r="J13" s="114"/>
      <c r="K13" s="97"/>
      <c r="L13" s="97"/>
      <c r="M13" s="97"/>
      <c r="N13" s="97"/>
      <c r="O13" s="97"/>
      <c r="P13" s="97"/>
      <c r="Q13" s="97"/>
      <c r="R13" s="97"/>
      <c r="S13" s="97"/>
      <c r="T13" s="97"/>
      <c r="U13" s="97"/>
      <c r="V13" s="97"/>
      <c r="W13" s="97"/>
      <c r="X13" s="97"/>
      <c r="Y13" s="97"/>
      <c r="Z13" s="97"/>
    </row>
    <row r="14" spans="1:26">
      <c r="A14" s="86">
        <v>13</v>
      </c>
      <c r="B14" s="119" t="s">
        <v>109</v>
      </c>
      <c r="C14" s="89" t="s">
        <v>110</v>
      </c>
      <c r="D14" s="114">
        <v>-35000</v>
      </c>
      <c r="E14" s="114"/>
      <c r="F14" s="114">
        <v>0</v>
      </c>
      <c r="G14" s="114">
        <v>0</v>
      </c>
      <c r="H14" s="114">
        <v>-35000</v>
      </c>
      <c r="I14" s="114">
        <v>-35000</v>
      </c>
      <c r="J14" s="114"/>
      <c r="K14" s="97"/>
      <c r="L14" s="97"/>
      <c r="M14" s="97"/>
      <c r="N14" s="97"/>
      <c r="O14" s="97"/>
      <c r="P14" s="97"/>
      <c r="Q14" s="97"/>
      <c r="R14" s="97"/>
      <c r="S14" s="97"/>
      <c r="T14" s="97"/>
      <c r="U14" s="97"/>
      <c r="V14" s="97"/>
      <c r="W14" s="97"/>
      <c r="X14" s="97"/>
      <c r="Y14" s="97"/>
      <c r="Z14" s="97"/>
    </row>
    <row r="15" spans="1:26">
      <c r="A15" s="86">
        <v>14</v>
      </c>
      <c r="B15" s="113" t="s">
        <v>111</v>
      </c>
      <c r="C15" s="89" t="s">
        <v>103</v>
      </c>
      <c r="D15" s="114">
        <v>-4304.53</v>
      </c>
      <c r="E15" s="121"/>
      <c r="F15" s="114">
        <v>-4304.53</v>
      </c>
      <c r="G15" s="114">
        <v>-4304.53</v>
      </c>
      <c r="H15" s="114">
        <v>-4304.53</v>
      </c>
      <c r="I15" s="114">
        <v>-4304.53</v>
      </c>
      <c r="J15" s="114"/>
      <c r="K15" s="97"/>
      <c r="L15" s="97"/>
      <c r="M15" s="97"/>
      <c r="N15" s="97"/>
      <c r="O15" s="97"/>
      <c r="P15" s="97"/>
      <c r="Q15" s="97"/>
      <c r="R15" s="97"/>
      <c r="S15" s="97"/>
      <c r="T15" s="97"/>
      <c r="U15" s="97"/>
      <c r="V15" s="97"/>
      <c r="W15" s="97"/>
      <c r="X15" s="97"/>
      <c r="Y15" s="97"/>
      <c r="Z15" s="97"/>
    </row>
    <row r="16" spans="1:26">
      <c r="A16" s="86">
        <v>15</v>
      </c>
      <c r="B16" s="113" t="s">
        <v>112</v>
      </c>
      <c r="C16" s="89" t="s">
        <v>86</v>
      </c>
      <c r="D16" s="114">
        <v>-4483.71</v>
      </c>
      <c r="E16" s="114"/>
      <c r="F16" s="114">
        <v>-4483.71</v>
      </c>
      <c r="G16" s="114">
        <v>-4483.71</v>
      </c>
      <c r="H16" s="114">
        <v>-4483.71</v>
      </c>
      <c r="I16" s="114">
        <v>-4483.71</v>
      </c>
      <c r="J16" s="114"/>
      <c r="K16" s="97"/>
      <c r="L16" s="97"/>
      <c r="M16" s="97"/>
      <c r="N16" s="97"/>
      <c r="O16" s="97"/>
      <c r="P16" s="97"/>
      <c r="Q16" s="97"/>
      <c r="R16" s="97"/>
      <c r="S16" s="97"/>
      <c r="T16" s="97"/>
      <c r="U16" s="97"/>
      <c r="V16" s="97"/>
      <c r="W16" s="97"/>
      <c r="X16" s="97"/>
      <c r="Y16" s="97"/>
      <c r="Z16" s="97"/>
    </row>
    <row r="17" spans="1:26">
      <c r="A17" s="86">
        <v>16</v>
      </c>
      <c r="B17" s="113" t="s">
        <v>113</v>
      </c>
      <c r="C17" s="89" t="s">
        <v>94</v>
      </c>
      <c r="D17" s="114">
        <v>-2297.77</v>
      </c>
      <c r="E17" s="114"/>
      <c r="F17" s="114">
        <v>-2297.77</v>
      </c>
      <c r="G17" s="114">
        <v>-2297.77</v>
      </c>
      <c r="H17" s="114">
        <v>-2297.77</v>
      </c>
      <c r="I17" s="114">
        <v>-2297.77</v>
      </c>
      <c r="J17" s="114"/>
      <c r="K17" s="97"/>
      <c r="L17" s="97"/>
      <c r="M17" s="97"/>
      <c r="N17" s="97"/>
      <c r="O17" s="97"/>
      <c r="P17" s="97"/>
      <c r="Q17" s="97"/>
      <c r="R17" s="97"/>
      <c r="S17" s="97"/>
      <c r="T17" s="97"/>
      <c r="U17" s="97"/>
      <c r="V17" s="97"/>
      <c r="W17" s="97"/>
      <c r="X17" s="97"/>
      <c r="Y17" s="97"/>
      <c r="Z17" s="97"/>
    </row>
    <row r="18" spans="1:26">
      <c r="A18" s="122">
        <v>17</v>
      </c>
      <c r="B18" s="113" t="s">
        <v>114</v>
      </c>
      <c r="C18" s="97" t="s">
        <v>86</v>
      </c>
      <c r="D18" s="121">
        <v>-3000</v>
      </c>
      <c r="E18" s="121"/>
      <c r="F18" s="121">
        <v>-3000</v>
      </c>
      <c r="G18" s="121">
        <v>-3000</v>
      </c>
      <c r="H18" s="121">
        <v>-3000</v>
      </c>
      <c r="I18" s="121">
        <v>-3000</v>
      </c>
      <c r="J18" s="121"/>
      <c r="K18" s="97"/>
      <c r="L18" s="97"/>
      <c r="M18" s="97"/>
      <c r="N18" s="97"/>
      <c r="O18" s="97"/>
      <c r="P18" s="97"/>
      <c r="Q18" s="97"/>
      <c r="R18" s="97"/>
      <c r="S18" s="97"/>
      <c r="T18" s="97"/>
      <c r="U18" s="97"/>
      <c r="V18" s="97"/>
      <c r="W18" s="97"/>
      <c r="X18" s="97"/>
      <c r="Y18" s="97"/>
      <c r="Z18" s="97"/>
    </row>
    <row r="19" spans="1:26">
      <c r="A19" s="86">
        <v>18</v>
      </c>
      <c r="B19" s="113" t="s">
        <v>115</v>
      </c>
      <c r="C19" s="89" t="s">
        <v>94</v>
      </c>
      <c r="D19" s="114">
        <v>-20000</v>
      </c>
      <c r="E19" s="114"/>
      <c r="F19" s="114">
        <v>-5000</v>
      </c>
      <c r="G19" s="114">
        <v>-20000</v>
      </c>
      <c r="H19" s="114">
        <v>-20000</v>
      </c>
      <c r="I19" s="114">
        <v>-20000</v>
      </c>
      <c r="J19" s="123"/>
      <c r="K19" s="97"/>
      <c r="L19" s="97"/>
      <c r="M19" s="97"/>
      <c r="N19" s="97"/>
      <c r="O19" s="97"/>
      <c r="P19" s="97"/>
      <c r="Q19" s="97"/>
      <c r="R19" s="97"/>
      <c r="S19" s="97"/>
      <c r="T19" s="97"/>
      <c r="U19" s="97"/>
      <c r="V19" s="97"/>
      <c r="W19" s="97"/>
      <c r="X19" s="97"/>
      <c r="Y19" s="97"/>
      <c r="Z19" s="97"/>
    </row>
    <row r="20" spans="1:26">
      <c r="A20" s="86">
        <v>19</v>
      </c>
      <c r="B20" s="120" t="s">
        <v>116</v>
      </c>
      <c r="C20" s="89" t="s">
        <v>26</v>
      </c>
      <c r="D20" s="114">
        <v>-2356.96</v>
      </c>
      <c r="E20" s="114"/>
      <c r="F20" s="114">
        <v>-2356.96</v>
      </c>
      <c r="G20" s="114">
        <v>-2356.96</v>
      </c>
      <c r="H20" s="114">
        <v>0</v>
      </c>
      <c r="I20" s="114">
        <v>0</v>
      </c>
      <c r="J20" s="114"/>
      <c r="K20" s="97"/>
      <c r="L20" s="97"/>
      <c r="M20" s="97"/>
      <c r="N20" s="97"/>
      <c r="O20" s="97"/>
      <c r="P20" s="97"/>
      <c r="Q20" s="97"/>
      <c r="R20" s="97"/>
      <c r="S20" s="97"/>
      <c r="T20" s="97"/>
      <c r="U20" s="97"/>
      <c r="V20" s="97"/>
      <c r="W20" s="97"/>
      <c r="X20" s="97"/>
      <c r="Y20" s="97"/>
      <c r="Z20" s="97"/>
    </row>
    <row r="21" spans="1:26">
      <c r="A21" s="122">
        <v>20</v>
      </c>
      <c r="B21" s="120" t="s">
        <v>117</v>
      </c>
      <c r="C21" s="97" t="s">
        <v>86</v>
      </c>
      <c r="D21" s="121">
        <v>-2500</v>
      </c>
      <c r="E21" s="121"/>
      <c r="F21" s="121">
        <v>-2500</v>
      </c>
      <c r="G21" s="121">
        <v>-2500</v>
      </c>
      <c r="H21" s="121">
        <v>0</v>
      </c>
      <c r="I21" s="121">
        <v>0</v>
      </c>
      <c r="J21" s="121"/>
      <c r="K21" s="97"/>
      <c r="L21" s="97"/>
      <c r="M21" s="97"/>
      <c r="N21" s="97"/>
      <c r="O21" s="97"/>
      <c r="P21" s="97"/>
      <c r="Q21" s="97"/>
      <c r="R21" s="97"/>
      <c r="S21" s="97"/>
      <c r="T21" s="97"/>
      <c r="U21" s="97"/>
      <c r="V21" s="97"/>
      <c r="W21" s="97"/>
      <c r="X21" s="97"/>
      <c r="Y21" s="97"/>
      <c r="Z21" s="97"/>
    </row>
    <row r="22" spans="1:26">
      <c r="A22" s="86">
        <v>21</v>
      </c>
      <c r="B22" s="120" t="s">
        <v>118</v>
      </c>
      <c r="C22" s="89" t="s">
        <v>86</v>
      </c>
      <c r="D22" s="114">
        <v>-4500</v>
      </c>
      <c r="E22" s="114"/>
      <c r="F22" s="114">
        <v>-4500</v>
      </c>
      <c r="G22" s="114">
        <v>-4500</v>
      </c>
      <c r="H22" s="114">
        <v>0</v>
      </c>
      <c r="I22" s="114">
        <v>0</v>
      </c>
      <c r="J22" s="123"/>
      <c r="K22" s="97"/>
      <c r="L22" s="97"/>
      <c r="M22" s="97"/>
      <c r="N22" s="97"/>
      <c r="O22" s="97"/>
      <c r="P22" s="97"/>
      <c r="Q22" s="97"/>
      <c r="R22" s="97"/>
      <c r="S22" s="97"/>
      <c r="T22" s="97"/>
      <c r="U22" s="97"/>
      <c r="V22" s="97"/>
      <c r="W22" s="97"/>
      <c r="X22" s="97"/>
      <c r="Y22" s="97"/>
      <c r="Z22" s="97"/>
    </row>
    <row r="23" spans="1:26">
      <c r="A23" s="86"/>
      <c r="B23" s="97"/>
      <c r="C23" s="97"/>
      <c r="D23" s="114"/>
      <c r="E23" s="97"/>
      <c r="F23" s="97"/>
      <c r="G23" s="97"/>
      <c r="H23" s="97"/>
      <c r="I23" s="97"/>
      <c r="J23" s="97"/>
      <c r="K23" s="97"/>
      <c r="L23" s="97"/>
      <c r="M23" s="97"/>
      <c r="N23" s="97"/>
      <c r="O23" s="97"/>
      <c r="P23" s="97"/>
      <c r="Q23" s="97"/>
      <c r="R23" s="97"/>
      <c r="S23" s="97"/>
      <c r="T23" s="97"/>
      <c r="U23" s="97"/>
      <c r="V23" s="97"/>
      <c r="W23" s="97"/>
      <c r="X23" s="97"/>
      <c r="Y23" s="97"/>
      <c r="Z23" s="97"/>
    </row>
    <row r="24" spans="1:26">
      <c r="A24" s="86"/>
      <c r="B24" s="97"/>
      <c r="C24" s="97"/>
      <c r="D24" s="114"/>
      <c r="E24" s="97"/>
      <c r="F24" s="97"/>
      <c r="G24" s="97"/>
      <c r="H24" s="97"/>
      <c r="I24" s="97"/>
      <c r="J24" s="97"/>
      <c r="K24" s="97"/>
      <c r="L24" s="97"/>
      <c r="M24" s="97"/>
      <c r="N24" s="97"/>
      <c r="O24" s="97"/>
      <c r="P24" s="97"/>
      <c r="Q24" s="97"/>
      <c r="R24" s="97"/>
      <c r="S24" s="97"/>
      <c r="T24" s="97"/>
      <c r="U24" s="97"/>
      <c r="V24" s="97"/>
      <c r="W24" s="97"/>
      <c r="X24" s="97"/>
      <c r="Y24" s="97"/>
      <c r="Z24" s="97"/>
    </row>
    <row r="25" spans="1:26">
      <c r="A25" s="86"/>
      <c r="B25" s="97"/>
      <c r="C25" s="97"/>
      <c r="D25" s="114"/>
      <c r="E25" s="97"/>
      <c r="F25" s="97"/>
      <c r="G25" s="97"/>
      <c r="H25" s="97"/>
      <c r="I25" s="97"/>
      <c r="J25" s="97"/>
      <c r="K25" s="97"/>
      <c r="L25" s="97"/>
      <c r="M25" s="97"/>
      <c r="N25" s="97"/>
      <c r="O25" s="97"/>
      <c r="P25" s="97"/>
      <c r="Q25" s="97"/>
      <c r="R25" s="97"/>
      <c r="S25" s="97"/>
      <c r="T25" s="97"/>
      <c r="U25" s="97"/>
      <c r="V25" s="97"/>
      <c r="W25" s="97"/>
      <c r="X25" s="97"/>
      <c r="Y25" s="97"/>
      <c r="Z25" s="97"/>
    </row>
    <row r="26" spans="1:26">
      <c r="A26" s="86"/>
      <c r="B26" s="97"/>
      <c r="C26" s="97"/>
      <c r="D26" s="114"/>
      <c r="E26" s="97"/>
      <c r="F26" s="97"/>
      <c r="G26" s="97"/>
      <c r="H26" s="97"/>
      <c r="I26" s="97"/>
      <c r="J26" s="97"/>
      <c r="K26" s="97"/>
      <c r="L26" s="97"/>
      <c r="M26" s="97"/>
      <c r="N26" s="97"/>
      <c r="O26" s="97"/>
      <c r="P26" s="97"/>
      <c r="Q26" s="97"/>
      <c r="R26" s="97"/>
      <c r="S26" s="97"/>
      <c r="T26" s="97"/>
      <c r="U26" s="97"/>
      <c r="V26" s="97"/>
      <c r="W26" s="97"/>
      <c r="X26" s="97"/>
      <c r="Y26" s="97"/>
      <c r="Z26" s="97"/>
    </row>
    <row r="27" spans="1:26">
      <c r="A27" s="86"/>
      <c r="B27" s="97"/>
      <c r="C27" s="97"/>
      <c r="D27" s="114"/>
      <c r="E27" s="97"/>
      <c r="F27" s="97"/>
      <c r="G27" s="97"/>
      <c r="H27" s="97"/>
      <c r="I27" s="97"/>
      <c r="J27" s="97"/>
      <c r="K27" s="97"/>
      <c r="L27" s="97"/>
      <c r="M27" s="97"/>
      <c r="N27" s="97"/>
      <c r="O27" s="97"/>
      <c r="P27" s="97"/>
      <c r="Q27" s="97"/>
      <c r="R27" s="97"/>
      <c r="S27" s="97"/>
      <c r="T27" s="97"/>
      <c r="U27" s="97"/>
      <c r="V27" s="97"/>
      <c r="W27" s="97"/>
      <c r="X27" s="97"/>
      <c r="Y27" s="97"/>
      <c r="Z27" s="97"/>
    </row>
    <row r="28" spans="1:26">
      <c r="A28" s="86"/>
      <c r="B28" s="97"/>
      <c r="C28" s="97"/>
      <c r="D28" s="114"/>
      <c r="E28" s="97"/>
      <c r="F28" s="97"/>
      <c r="G28" s="97"/>
      <c r="H28" s="97"/>
      <c r="I28" s="97"/>
      <c r="J28" s="97"/>
      <c r="K28" s="97"/>
      <c r="L28" s="97"/>
      <c r="M28" s="97"/>
      <c r="N28" s="97"/>
      <c r="O28" s="97"/>
      <c r="P28" s="97"/>
      <c r="Q28" s="97"/>
      <c r="R28" s="97"/>
      <c r="S28" s="97"/>
      <c r="T28" s="97"/>
      <c r="U28" s="97"/>
      <c r="V28" s="97"/>
      <c r="W28" s="97"/>
      <c r="X28" s="97"/>
      <c r="Y28" s="97"/>
      <c r="Z28" s="97"/>
    </row>
    <row r="29" spans="1:26">
      <c r="A29" s="86"/>
      <c r="B29" s="97"/>
      <c r="C29" s="97"/>
      <c r="D29" s="114"/>
      <c r="E29" s="97"/>
      <c r="F29" s="97"/>
      <c r="G29" s="97"/>
      <c r="H29" s="97"/>
      <c r="I29" s="97"/>
      <c r="J29" s="97"/>
      <c r="K29" s="97"/>
      <c r="L29" s="97"/>
      <c r="M29" s="97"/>
      <c r="N29" s="97"/>
      <c r="O29" s="97"/>
      <c r="P29" s="97"/>
      <c r="Q29" s="97"/>
      <c r="R29" s="97"/>
      <c r="S29" s="97"/>
      <c r="T29" s="97"/>
      <c r="U29" s="97"/>
      <c r="V29" s="97"/>
      <c r="W29" s="97"/>
      <c r="X29" s="97"/>
      <c r="Y29" s="97"/>
      <c r="Z29" s="97"/>
    </row>
    <row r="30" spans="1:26">
      <c r="A30" s="86"/>
      <c r="B30" s="97"/>
      <c r="C30" s="97"/>
      <c r="D30" s="114"/>
      <c r="E30" s="97"/>
      <c r="F30" s="97"/>
      <c r="G30" s="97"/>
      <c r="H30" s="97"/>
      <c r="I30" s="97"/>
      <c r="J30" s="97"/>
      <c r="K30" s="97"/>
      <c r="L30" s="97"/>
      <c r="M30" s="97"/>
      <c r="N30" s="97"/>
      <c r="O30" s="97"/>
      <c r="P30" s="97"/>
      <c r="Q30" s="97"/>
      <c r="R30" s="97"/>
      <c r="S30" s="97"/>
      <c r="T30" s="97"/>
      <c r="U30" s="97"/>
      <c r="V30" s="97"/>
      <c r="W30" s="97"/>
      <c r="X30" s="97"/>
      <c r="Y30" s="97"/>
      <c r="Z30" s="97"/>
    </row>
    <row r="31" spans="1:26">
      <c r="A31" s="86"/>
      <c r="B31" s="97"/>
      <c r="C31" s="97"/>
      <c r="D31" s="114"/>
      <c r="E31" s="97"/>
      <c r="F31" s="97"/>
      <c r="G31" s="97"/>
      <c r="H31" s="97"/>
      <c r="I31" s="97"/>
      <c r="J31" s="97"/>
      <c r="K31" s="97"/>
      <c r="L31" s="97"/>
      <c r="M31" s="97"/>
      <c r="N31" s="97"/>
      <c r="O31" s="97"/>
      <c r="P31" s="97"/>
      <c r="Q31" s="97"/>
      <c r="R31" s="97"/>
      <c r="S31" s="97"/>
      <c r="T31" s="97"/>
      <c r="U31" s="97"/>
      <c r="V31" s="97"/>
      <c r="W31" s="97"/>
      <c r="X31" s="97"/>
      <c r="Y31" s="97"/>
      <c r="Z31" s="97"/>
    </row>
    <row r="32" spans="1:26">
      <c r="A32" s="86"/>
      <c r="B32" s="97"/>
      <c r="C32" s="97"/>
      <c r="D32" s="114"/>
      <c r="E32" s="97"/>
      <c r="F32" s="97"/>
      <c r="G32" s="97"/>
      <c r="H32" s="97"/>
      <c r="I32" s="97"/>
      <c r="J32" s="97"/>
      <c r="K32" s="97"/>
      <c r="L32" s="97"/>
      <c r="M32" s="97"/>
      <c r="N32" s="97"/>
      <c r="O32" s="97"/>
      <c r="P32" s="97"/>
      <c r="Q32" s="97"/>
      <c r="R32" s="97"/>
      <c r="S32" s="97"/>
      <c r="T32" s="97"/>
      <c r="U32" s="97"/>
      <c r="V32" s="97"/>
      <c r="W32" s="97"/>
      <c r="X32" s="97"/>
      <c r="Y32" s="97"/>
      <c r="Z32" s="97"/>
    </row>
    <row r="33" spans="1:26">
      <c r="A33" s="86"/>
      <c r="B33" s="97"/>
      <c r="C33" s="97"/>
      <c r="D33" s="114"/>
      <c r="E33" s="97"/>
      <c r="F33" s="97"/>
      <c r="G33" s="97"/>
      <c r="H33" s="97"/>
      <c r="I33" s="97"/>
      <c r="J33" s="97"/>
      <c r="K33" s="97"/>
      <c r="L33" s="97"/>
      <c r="M33" s="97"/>
      <c r="N33" s="97"/>
      <c r="O33" s="97"/>
      <c r="P33" s="97"/>
      <c r="Q33" s="97"/>
      <c r="R33" s="97"/>
      <c r="S33" s="97"/>
      <c r="T33" s="97"/>
      <c r="U33" s="97"/>
      <c r="V33" s="97"/>
      <c r="W33" s="97"/>
      <c r="X33" s="97"/>
      <c r="Y33" s="97"/>
      <c r="Z33" s="97"/>
    </row>
    <row r="34" spans="1:26">
      <c r="A34" s="86"/>
      <c r="B34" s="97"/>
      <c r="C34" s="97"/>
      <c r="D34" s="114"/>
      <c r="E34" s="97"/>
      <c r="F34" s="97"/>
      <c r="G34" s="97"/>
      <c r="H34" s="97"/>
      <c r="I34" s="97"/>
      <c r="J34" s="97"/>
      <c r="K34" s="97"/>
      <c r="L34" s="97"/>
      <c r="M34" s="97"/>
      <c r="N34" s="97"/>
      <c r="O34" s="97"/>
      <c r="P34" s="97"/>
      <c r="Q34" s="97"/>
      <c r="R34" s="97"/>
      <c r="S34" s="97"/>
      <c r="T34" s="97"/>
      <c r="U34" s="97"/>
      <c r="V34" s="97"/>
      <c r="W34" s="97"/>
      <c r="X34" s="97"/>
      <c r="Y34" s="97"/>
      <c r="Z34" s="97"/>
    </row>
    <row r="35" spans="1:26">
      <c r="A35" s="86"/>
      <c r="B35" s="97"/>
      <c r="C35" s="97"/>
      <c r="D35" s="114"/>
      <c r="E35" s="97"/>
      <c r="F35" s="97"/>
      <c r="G35" s="97"/>
      <c r="H35" s="97"/>
      <c r="I35" s="97"/>
      <c r="J35" s="97"/>
      <c r="K35" s="97"/>
      <c r="L35" s="97"/>
      <c r="M35" s="97"/>
      <c r="N35" s="97"/>
      <c r="O35" s="97"/>
      <c r="P35" s="97"/>
      <c r="Q35" s="97"/>
      <c r="R35" s="97"/>
      <c r="S35" s="97"/>
      <c r="T35" s="97"/>
      <c r="U35" s="97"/>
      <c r="V35" s="97"/>
      <c r="W35" s="97"/>
      <c r="X35" s="97"/>
      <c r="Y35" s="97"/>
      <c r="Z35" s="97"/>
    </row>
    <row r="36" spans="1:26">
      <c r="A36" s="86"/>
      <c r="B36" s="97"/>
      <c r="C36" s="97"/>
      <c r="D36" s="114"/>
      <c r="E36" s="97"/>
      <c r="F36" s="97"/>
      <c r="G36" s="97"/>
      <c r="H36" s="97"/>
      <c r="I36" s="97"/>
      <c r="J36" s="97"/>
      <c r="K36" s="97"/>
      <c r="L36" s="97"/>
      <c r="M36" s="97"/>
      <c r="N36" s="97"/>
      <c r="O36" s="97"/>
      <c r="P36" s="97"/>
      <c r="Q36" s="97"/>
      <c r="R36" s="97"/>
      <c r="S36" s="97"/>
      <c r="T36" s="97"/>
      <c r="U36" s="97"/>
      <c r="V36" s="97"/>
      <c r="W36" s="97"/>
      <c r="X36" s="97"/>
      <c r="Y36" s="97"/>
      <c r="Z36" s="97"/>
    </row>
    <row r="37" spans="1:26">
      <c r="A37" s="86"/>
      <c r="B37" s="97"/>
      <c r="C37" s="97"/>
      <c r="D37" s="114"/>
      <c r="E37" s="97"/>
      <c r="F37" s="97"/>
      <c r="G37" s="97"/>
      <c r="H37" s="97"/>
      <c r="I37" s="97"/>
      <c r="J37" s="97"/>
      <c r="K37" s="97"/>
      <c r="L37" s="97"/>
      <c r="M37" s="97"/>
      <c r="N37" s="97"/>
      <c r="O37" s="97"/>
      <c r="P37" s="97"/>
      <c r="Q37" s="97"/>
      <c r="R37" s="97"/>
      <c r="S37" s="97"/>
      <c r="T37" s="97"/>
      <c r="U37" s="97"/>
      <c r="V37" s="97"/>
      <c r="W37" s="97"/>
      <c r="X37" s="97"/>
      <c r="Y37" s="97"/>
      <c r="Z37" s="97"/>
    </row>
    <row r="38" spans="1:26">
      <c r="A38" s="86"/>
      <c r="B38" s="97"/>
      <c r="C38" s="97"/>
      <c r="D38" s="114"/>
      <c r="E38" s="97"/>
      <c r="F38" s="97"/>
      <c r="G38" s="97"/>
      <c r="H38" s="97"/>
      <c r="I38" s="97"/>
      <c r="J38" s="97"/>
      <c r="K38" s="97"/>
      <c r="L38" s="97"/>
      <c r="M38" s="97"/>
      <c r="N38" s="97"/>
      <c r="O38" s="97"/>
      <c r="P38" s="97"/>
      <c r="Q38" s="97"/>
      <c r="R38" s="97"/>
      <c r="S38" s="97"/>
      <c r="T38" s="97"/>
      <c r="U38" s="97"/>
      <c r="V38" s="97"/>
      <c r="W38" s="97"/>
      <c r="X38" s="97"/>
      <c r="Y38" s="97"/>
      <c r="Z38" s="97"/>
    </row>
    <row r="39" spans="1:26">
      <c r="A39" s="86"/>
      <c r="B39" s="97"/>
      <c r="C39" s="97"/>
      <c r="D39" s="114"/>
      <c r="E39" s="97"/>
      <c r="F39" s="97"/>
      <c r="G39" s="97"/>
      <c r="H39" s="97"/>
      <c r="I39" s="97"/>
      <c r="J39" s="97"/>
      <c r="K39" s="97"/>
      <c r="L39" s="97"/>
      <c r="M39" s="97"/>
      <c r="N39" s="97"/>
      <c r="O39" s="97"/>
      <c r="P39" s="97"/>
      <c r="Q39" s="97"/>
      <c r="R39" s="97"/>
      <c r="S39" s="97"/>
      <c r="T39" s="97"/>
      <c r="U39" s="97"/>
      <c r="V39" s="97"/>
      <c r="W39" s="97"/>
      <c r="X39" s="97"/>
      <c r="Y39" s="97"/>
      <c r="Z39" s="97"/>
    </row>
    <row r="40" spans="1:26">
      <c r="A40" s="86"/>
      <c r="B40" s="97"/>
      <c r="C40" s="97"/>
      <c r="D40" s="114"/>
      <c r="E40" s="97"/>
      <c r="F40" s="97"/>
      <c r="G40" s="97"/>
      <c r="H40" s="97"/>
      <c r="I40" s="97"/>
      <c r="J40" s="97"/>
      <c r="K40" s="97"/>
      <c r="L40" s="97"/>
      <c r="M40" s="97"/>
      <c r="N40" s="97"/>
      <c r="O40" s="97"/>
      <c r="P40" s="97"/>
      <c r="Q40" s="97"/>
      <c r="R40" s="97"/>
      <c r="S40" s="97"/>
      <c r="T40" s="97"/>
      <c r="U40" s="97"/>
      <c r="V40" s="97"/>
      <c r="W40" s="97"/>
      <c r="X40" s="97"/>
      <c r="Y40" s="97"/>
      <c r="Z40" s="97"/>
    </row>
    <row r="41" spans="1:26">
      <c r="A41" s="86"/>
      <c r="B41" s="97"/>
      <c r="C41" s="97"/>
      <c r="D41" s="114"/>
      <c r="E41" s="97"/>
      <c r="F41" s="97"/>
      <c r="G41" s="97"/>
      <c r="H41" s="97"/>
      <c r="I41" s="97"/>
      <c r="J41" s="97"/>
      <c r="K41" s="97"/>
      <c r="L41" s="97"/>
      <c r="M41" s="97"/>
      <c r="N41" s="97"/>
      <c r="O41" s="97"/>
      <c r="P41" s="97"/>
      <c r="Q41" s="97"/>
      <c r="R41" s="97"/>
      <c r="S41" s="97"/>
      <c r="T41" s="97"/>
      <c r="U41" s="97"/>
      <c r="V41" s="97"/>
      <c r="W41" s="97"/>
      <c r="X41" s="97"/>
      <c r="Y41" s="97"/>
      <c r="Z41" s="97"/>
    </row>
    <row r="42" spans="1:26">
      <c r="A42" s="86"/>
      <c r="B42" s="97"/>
      <c r="C42" s="97"/>
      <c r="D42" s="114"/>
      <c r="E42" s="97"/>
      <c r="F42" s="97"/>
      <c r="G42" s="97"/>
      <c r="H42" s="97"/>
      <c r="I42" s="97"/>
      <c r="J42" s="97"/>
      <c r="K42" s="97"/>
      <c r="L42" s="97"/>
      <c r="M42" s="97"/>
      <c r="N42" s="97"/>
      <c r="O42" s="97"/>
      <c r="P42" s="97"/>
      <c r="Q42" s="97"/>
      <c r="R42" s="97"/>
      <c r="S42" s="97"/>
      <c r="T42" s="97"/>
      <c r="U42" s="97"/>
      <c r="V42" s="97"/>
      <c r="W42" s="97"/>
      <c r="X42" s="97"/>
      <c r="Y42" s="97"/>
      <c r="Z42" s="97"/>
    </row>
    <row r="43" spans="1:26">
      <c r="A43" s="86"/>
      <c r="B43" s="97"/>
      <c r="C43" s="97"/>
      <c r="D43" s="114"/>
      <c r="E43" s="97"/>
      <c r="F43" s="97"/>
      <c r="G43" s="97"/>
      <c r="H43" s="97"/>
      <c r="I43" s="97"/>
      <c r="J43" s="97"/>
      <c r="K43" s="97"/>
      <c r="L43" s="97"/>
      <c r="M43" s="97"/>
      <c r="N43" s="97"/>
      <c r="O43" s="97"/>
      <c r="P43" s="97"/>
      <c r="Q43" s="97"/>
      <c r="R43" s="97"/>
      <c r="S43" s="97"/>
      <c r="T43" s="97"/>
      <c r="U43" s="97"/>
      <c r="V43" s="97"/>
      <c r="W43" s="97"/>
      <c r="X43" s="97"/>
      <c r="Y43" s="97"/>
      <c r="Z43" s="97"/>
    </row>
    <row r="44" spans="1:26">
      <c r="A44" s="86"/>
      <c r="B44" s="97"/>
      <c r="C44" s="97"/>
      <c r="D44" s="114"/>
      <c r="E44" s="97"/>
      <c r="F44" s="97"/>
      <c r="G44" s="97"/>
      <c r="H44" s="97"/>
      <c r="I44" s="97"/>
      <c r="J44" s="97"/>
      <c r="K44" s="97"/>
      <c r="L44" s="97"/>
      <c r="M44" s="97"/>
      <c r="N44" s="97"/>
      <c r="O44" s="97"/>
      <c r="P44" s="97"/>
      <c r="Q44" s="97"/>
      <c r="R44" s="97"/>
      <c r="S44" s="97"/>
      <c r="T44" s="97"/>
      <c r="U44" s="97"/>
      <c r="V44" s="97"/>
      <c r="W44" s="97"/>
      <c r="X44" s="97"/>
      <c r="Y44" s="97"/>
      <c r="Z44" s="97"/>
    </row>
    <row r="45" spans="1:26">
      <c r="A45" s="86"/>
      <c r="B45" s="97"/>
      <c r="C45" s="97"/>
      <c r="D45" s="114"/>
      <c r="E45" s="97"/>
      <c r="F45" s="97"/>
      <c r="G45" s="97"/>
      <c r="H45" s="97"/>
      <c r="I45" s="97"/>
      <c r="J45" s="97"/>
      <c r="K45" s="97"/>
      <c r="L45" s="97"/>
      <c r="M45" s="97"/>
      <c r="N45" s="97"/>
      <c r="O45" s="97"/>
      <c r="P45" s="97"/>
      <c r="Q45" s="97"/>
      <c r="R45" s="97"/>
      <c r="S45" s="97"/>
      <c r="T45" s="97"/>
      <c r="U45" s="97"/>
      <c r="V45" s="97"/>
      <c r="W45" s="97"/>
      <c r="X45" s="97"/>
      <c r="Y45" s="97"/>
      <c r="Z45" s="97"/>
    </row>
    <row r="46" spans="1:26">
      <c r="A46" s="86"/>
      <c r="B46" s="97"/>
      <c r="C46" s="97"/>
      <c r="D46" s="114"/>
      <c r="E46" s="97"/>
      <c r="F46" s="97"/>
      <c r="G46" s="97"/>
      <c r="H46" s="97"/>
      <c r="I46" s="97"/>
      <c r="J46" s="97"/>
      <c r="K46" s="97"/>
      <c r="L46" s="97"/>
      <c r="M46" s="97"/>
      <c r="N46" s="97"/>
      <c r="O46" s="97"/>
      <c r="P46" s="97"/>
      <c r="Q46" s="97"/>
      <c r="R46" s="97"/>
      <c r="S46" s="97"/>
      <c r="T46" s="97"/>
      <c r="U46" s="97"/>
      <c r="V46" s="97"/>
      <c r="W46" s="97"/>
      <c r="X46" s="97"/>
      <c r="Y46" s="97"/>
      <c r="Z46" s="97"/>
    </row>
    <row r="47" spans="1:26">
      <c r="A47" s="86"/>
      <c r="B47" s="97"/>
      <c r="C47" s="97"/>
      <c r="D47" s="114"/>
      <c r="E47" s="97"/>
      <c r="F47" s="97"/>
      <c r="G47" s="97"/>
      <c r="H47" s="97"/>
      <c r="I47" s="97"/>
      <c r="J47" s="97"/>
      <c r="K47" s="97"/>
      <c r="L47" s="97"/>
      <c r="M47" s="97"/>
      <c r="N47" s="97"/>
      <c r="O47" s="97"/>
      <c r="P47" s="97"/>
      <c r="Q47" s="97"/>
      <c r="R47" s="97"/>
      <c r="S47" s="97"/>
      <c r="T47" s="97"/>
      <c r="U47" s="97"/>
      <c r="V47" s="97"/>
      <c r="W47" s="97"/>
      <c r="X47" s="97"/>
      <c r="Y47" s="97"/>
      <c r="Z47" s="97"/>
    </row>
    <row r="48" spans="1:26">
      <c r="A48" s="86"/>
      <c r="B48" s="97"/>
      <c r="C48" s="97"/>
      <c r="D48" s="114"/>
      <c r="E48" s="97"/>
      <c r="F48" s="97"/>
      <c r="G48" s="97"/>
      <c r="H48" s="97"/>
      <c r="I48" s="97"/>
      <c r="J48" s="97"/>
      <c r="K48" s="97"/>
      <c r="L48" s="97"/>
      <c r="M48" s="97"/>
      <c r="N48" s="97"/>
      <c r="O48" s="97"/>
      <c r="P48" s="97"/>
      <c r="Q48" s="97"/>
      <c r="R48" s="97"/>
      <c r="S48" s="97"/>
      <c r="T48" s="97"/>
      <c r="U48" s="97"/>
      <c r="V48" s="97"/>
      <c r="W48" s="97"/>
      <c r="X48" s="97"/>
      <c r="Y48" s="97"/>
      <c r="Z48" s="97"/>
    </row>
    <row r="49" spans="1:26">
      <c r="A49" s="86"/>
      <c r="B49" s="97"/>
      <c r="C49" s="97"/>
      <c r="D49" s="114"/>
      <c r="E49" s="97"/>
      <c r="F49" s="97"/>
      <c r="G49" s="97"/>
      <c r="H49" s="97"/>
      <c r="I49" s="97"/>
      <c r="J49" s="97"/>
      <c r="K49" s="97"/>
      <c r="L49" s="97"/>
      <c r="M49" s="97"/>
      <c r="N49" s="97"/>
      <c r="O49" s="97"/>
      <c r="P49" s="97"/>
      <c r="Q49" s="97"/>
      <c r="R49" s="97"/>
      <c r="S49" s="97"/>
      <c r="T49" s="97"/>
      <c r="U49" s="97"/>
      <c r="V49" s="97"/>
      <c r="W49" s="97"/>
      <c r="X49" s="97"/>
      <c r="Y49" s="97"/>
      <c r="Z49" s="97"/>
    </row>
    <row r="50" spans="1:26">
      <c r="A50" s="86"/>
      <c r="B50" s="97"/>
      <c r="C50" s="97"/>
      <c r="D50" s="114"/>
      <c r="E50" s="97"/>
      <c r="F50" s="97"/>
      <c r="G50" s="97"/>
      <c r="H50" s="97"/>
      <c r="I50" s="97"/>
      <c r="J50" s="97"/>
      <c r="K50" s="97"/>
      <c r="L50" s="97"/>
      <c r="M50" s="97"/>
      <c r="N50" s="97"/>
      <c r="O50" s="97"/>
      <c r="P50" s="97"/>
      <c r="Q50" s="97"/>
      <c r="R50" s="97"/>
      <c r="S50" s="97"/>
      <c r="T50" s="97"/>
      <c r="U50" s="97"/>
      <c r="V50" s="97"/>
      <c r="W50" s="97"/>
      <c r="X50" s="97"/>
      <c r="Y50" s="97"/>
      <c r="Z50" s="97"/>
    </row>
    <row r="51" spans="1:26">
      <c r="A51" s="86"/>
      <c r="B51" s="97"/>
      <c r="C51" s="97"/>
      <c r="D51" s="114"/>
      <c r="E51" s="97"/>
      <c r="F51" s="97"/>
      <c r="G51" s="97"/>
      <c r="H51" s="97"/>
      <c r="I51" s="97"/>
      <c r="J51" s="97"/>
      <c r="K51" s="97"/>
      <c r="L51" s="97"/>
      <c r="M51" s="97"/>
      <c r="N51" s="97"/>
      <c r="O51" s="97"/>
      <c r="P51" s="97"/>
      <c r="Q51" s="97"/>
      <c r="R51" s="97"/>
      <c r="S51" s="97"/>
      <c r="T51" s="97"/>
      <c r="U51" s="97"/>
      <c r="V51" s="97"/>
      <c r="W51" s="97"/>
      <c r="X51" s="97"/>
      <c r="Y51" s="97"/>
      <c r="Z51" s="97"/>
    </row>
    <row r="52" spans="1:26">
      <c r="A52" s="86"/>
      <c r="B52" s="97"/>
      <c r="C52" s="97"/>
      <c r="D52" s="114"/>
      <c r="E52" s="97"/>
      <c r="F52" s="97"/>
      <c r="G52" s="97"/>
      <c r="H52" s="97"/>
      <c r="I52" s="97"/>
      <c r="J52" s="97"/>
      <c r="K52" s="97"/>
      <c r="L52" s="97"/>
      <c r="M52" s="97"/>
      <c r="N52" s="97"/>
      <c r="O52" s="97"/>
      <c r="P52" s="97"/>
      <c r="Q52" s="97"/>
      <c r="R52" s="97"/>
      <c r="S52" s="97"/>
      <c r="T52" s="97"/>
      <c r="U52" s="97"/>
      <c r="V52" s="97"/>
      <c r="W52" s="97"/>
      <c r="X52" s="97"/>
      <c r="Y52" s="97"/>
      <c r="Z52" s="97"/>
    </row>
    <row r="53" spans="1:26">
      <c r="A53" s="86"/>
      <c r="B53" s="97"/>
      <c r="C53" s="97"/>
      <c r="D53" s="114"/>
      <c r="E53" s="97"/>
      <c r="F53" s="97"/>
      <c r="G53" s="97"/>
      <c r="H53" s="97"/>
      <c r="I53" s="97"/>
      <c r="J53" s="97"/>
      <c r="K53" s="97"/>
      <c r="L53" s="97"/>
      <c r="M53" s="97"/>
      <c r="N53" s="97"/>
      <c r="O53" s="97"/>
      <c r="P53" s="97"/>
      <c r="Q53" s="97"/>
      <c r="R53" s="97"/>
      <c r="S53" s="97"/>
      <c r="T53" s="97"/>
      <c r="U53" s="97"/>
      <c r="V53" s="97"/>
      <c r="W53" s="97"/>
      <c r="X53" s="97"/>
      <c r="Y53" s="97"/>
      <c r="Z53" s="97"/>
    </row>
    <row r="54" spans="1:26">
      <c r="A54" s="86"/>
      <c r="B54" s="97"/>
      <c r="C54" s="97"/>
      <c r="D54" s="114"/>
      <c r="E54" s="97"/>
      <c r="F54" s="97"/>
      <c r="G54" s="97"/>
      <c r="H54" s="97"/>
      <c r="I54" s="97"/>
      <c r="J54" s="97"/>
      <c r="K54" s="97"/>
      <c r="L54" s="97"/>
      <c r="M54" s="97"/>
      <c r="N54" s="97"/>
      <c r="O54" s="97"/>
      <c r="P54" s="97"/>
      <c r="Q54" s="97"/>
      <c r="R54" s="97"/>
      <c r="S54" s="97"/>
      <c r="T54" s="97"/>
      <c r="U54" s="97"/>
      <c r="V54" s="97"/>
      <c r="W54" s="97"/>
      <c r="X54" s="97"/>
      <c r="Y54" s="97"/>
      <c r="Z54" s="97"/>
    </row>
    <row r="55" spans="1:26">
      <c r="A55" s="86"/>
      <c r="B55" s="97"/>
      <c r="C55" s="97"/>
      <c r="D55" s="114"/>
      <c r="E55" s="97"/>
      <c r="F55" s="97"/>
      <c r="G55" s="97"/>
      <c r="H55" s="97"/>
      <c r="I55" s="97"/>
      <c r="J55" s="97"/>
      <c r="K55" s="97"/>
      <c r="L55" s="97"/>
      <c r="M55" s="97"/>
      <c r="N55" s="97"/>
      <c r="O55" s="97"/>
      <c r="P55" s="97"/>
      <c r="Q55" s="97"/>
      <c r="R55" s="97"/>
      <c r="S55" s="97"/>
      <c r="T55" s="97"/>
      <c r="U55" s="97"/>
      <c r="V55" s="97"/>
      <c r="W55" s="97"/>
      <c r="X55" s="97"/>
      <c r="Y55" s="97"/>
      <c r="Z55" s="97"/>
    </row>
    <row r="56" spans="1:26">
      <c r="A56" s="86"/>
      <c r="B56" s="97"/>
      <c r="C56" s="97"/>
      <c r="D56" s="114"/>
      <c r="E56" s="97"/>
      <c r="F56" s="97"/>
      <c r="G56" s="97"/>
      <c r="H56" s="97"/>
      <c r="I56" s="97"/>
      <c r="J56" s="97"/>
      <c r="K56" s="97"/>
      <c r="L56" s="97"/>
      <c r="M56" s="97"/>
      <c r="N56" s="97"/>
      <c r="O56" s="97"/>
      <c r="P56" s="97"/>
      <c r="Q56" s="97"/>
      <c r="R56" s="97"/>
      <c r="S56" s="97"/>
      <c r="T56" s="97"/>
      <c r="U56" s="97"/>
      <c r="V56" s="97"/>
      <c r="W56" s="97"/>
      <c r="X56" s="97"/>
      <c r="Y56" s="97"/>
      <c r="Z56" s="97"/>
    </row>
    <row r="57" spans="1:26">
      <c r="A57" s="86"/>
      <c r="B57" s="97"/>
      <c r="C57" s="97"/>
      <c r="D57" s="114"/>
      <c r="E57" s="97"/>
      <c r="F57" s="97"/>
      <c r="G57" s="97"/>
      <c r="H57" s="97"/>
      <c r="I57" s="97"/>
      <c r="J57" s="97"/>
      <c r="K57" s="97"/>
      <c r="L57" s="97"/>
      <c r="M57" s="97"/>
      <c r="N57" s="97"/>
      <c r="O57" s="97"/>
      <c r="P57" s="97"/>
      <c r="Q57" s="97"/>
      <c r="R57" s="97"/>
      <c r="S57" s="97"/>
      <c r="T57" s="97"/>
      <c r="U57" s="97"/>
      <c r="V57" s="97"/>
      <c r="W57" s="97"/>
      <c r="X57" s="97"/>
      <c r="Y57" s="97"/>
      <c r="Z57" s="97"/>
    </row>
    <row r="58" spans="1:26">
      <c r="A58" s="86"/>
      <c r="B58" s="97"/>
      <c r="C58" s="97"/>
      <c r="D58" s="114"/>
      <c r="E58" s="97"/>
      <c r="F58" s="97"/>
      <c r="G58" s="97"/>
      <c r="H58" s="97"/>
      <c r="I58" s="97"/>
      <c r="J58" s="97"/>
      <c r="K58" s="97"/>
      <c r="L58" s="97"/>
      <c r="M58" s="97"/>
      <c r="N58" s="97"/>
      <c r="O58" s="97"/>
      <c r="P58" s="97"/>
      <c r="Q58" s="97"/>
      <c r="R58" s="97"/>
      <c r="S58" s="97"/>
      <c r="T58" s="97"/>
      <c r="U58" s="97"/>
      <c r="V58" s="97"/>
      <c r="W58" s="97"/>
      <c r="X58" s="97"/>
      <c r="Y58" s="97"/>
      <c r="Z58" s="97"/>
    </row>
    <row r="59" spans="1:26">
      <c r="A59" s="86"/>
      <c r="B59" s="97"/>
      <c r="C59" s="97"/>
      <c r="D59" s="114"/>
      <c r="E59" s="97"/>
      <c r="F59" s="97"/>
      <c r="G59" s="97"/>
      <c r="H59" s="97"/>
      <c r="I59" s="97"/>
      <c r="J59" s="97"/>
      <c r="K59" s="97"/>
      <c r="L59" s="97"/>
      <c r="M59" s="97"/>
      <c r="N59" s="97"/>
      <c r="O59" s="97"/>
      <c r="P59" s="97"/>
      <c r="Q59" s="97"/>
      <c r="R59" s="97"/>
      <c r="S59" s="97"/>
      <c r="T59" s="97"/>
      <c r="U59" s="97"/>
      <c r="V59" s="97"/>
      <c r="W59" s="97"/>
      <c r="X59" s="97"/>
      <c r="Y59" s="97"/>
      <c r="Z59" s="97"/>
    </row>
    <row r="60" spans="1:26">
      <c r="A60" s="86"/>
      <c r="B60" s="97"/>
      <c r="C60" s="97"/>
      <c r="D60" s="114"/>
      <c r="E60" s="97"/>
      <c r="F60" s="97"/>
      <c r="G60" s="97"/>
      <c r="H60" s="97"/>
      <c r="I60" s="97"/>
      <c r="J60" s="97"/>
      <c r="K60" s="97"/>
      <c r="L60" s="97"/>
      <c r="M60" s="97"/>
      <c r="N60" s="97"/>
      <c r="O60" s="97"/>
      <c r="P60" s="97"/>
      <c r="Q60" s="97"/>
      <c r="R60" s="97"/>
      <c r="S60" s="97"/>
      <c r="T60" s="97"/>
      <c r="U60" s="97"/>
      <c r="V60" s="97"/>
      <c r="W60" s="97"/>
      <c r="X60" s="97"/>
      <c r="Y60" s="97"/>
      <c r="Z60" s="97"/>
    </row>
    <row r="61" spans="1:26">
      <c r="A61" s="86"/>
      <c r="B61" s="97"/>
      <c r="C61" s="97"/>
      <c r="D61" s="114"/>
      <c r="E61" s="97"/>
      <c r="F61" s="97"/>
      <c r="G61" s="97"/>
      <c r="H61" s="97"/>
      <c r="I61" s="97"/>
      <c r="J61" s="97"/>
      <c r="K61" s="97"/>
      <c r="L61" s="97"/>
      <c r="M61" s="97"/>
      <c r="N61" s="97"/>
      <c r="O61" s="97"/>
      <c r="P61" s="97"/>
      <c r="Q61" s="97"/>
      <c r="R61" s="97"/>
      <c r="S61" s="97"/>
      <c r="T61" s="97"/>
      <c r="U61" s="97"/>
      <c r="V61" s="97"/>
      <c r="W61" s="97"/>
      <c r="X61" s="97"/>
      <c r="Y61" s="97"/>
      <c r="Z61" s="97"/>
    </row>
    <row r="62" spans="1:26">
      <c r="A62" s="115"/>
      <c r="B62" s="97"/>
      <c r="C62" s="97"/>
      <c r="D62" s="114"/>
      <c r="E62" s="97"/>
      <c r="F62" s="97"/>
      <c r="G62" s="97"/>
      <c r="H62" s="97"/>
      <c r="I62" s="97"/>
      <c r="J62" s="97"/>
      <c r="K62" s="97"/>
      <c r="L62" s="97"/>
      <c r="M62" s="97"/>
      <c r="N62" s="97"/>
      <c r="O62" s="97"/>
      <c r="P62" s="97"/>
      <c r="Q62" s="97"/>
      <c r="R62" s="97"/>
      <c r="S62" s="97"/>
      <c r="T62" s="97"/>
      <c r="U62" s="97"/>
      <c r="V62" s="97"/>
      <c r="W62" s="97"/>
      <c r="X62" s="97"/>
      <c r="Y62" s="97"/>
      <c r="Z62" s="97"/>
    </row>
    <row r="63" spans="1:26">
      <c r="A63" s="115"/>
      <c r="B63" s="97"/>
      <c r="C63" s="97"/>
      <c r="D63" s="114"/>
      <c r="E63" s="97"/>
      <c r="F63" s="97"/>
      <c r="G63" s="97"/>
      <c r="H63" s="97"/>
      <c r="I63" s="97"/>
      <c r="J63" s="97"/>
      <c r="K63" s="97"/>
      <c r="L63" s="97"/>
      <c r="M63" s="97"/>
      <c r="N63" s="97"/>
      <c r="O63" s="97"/>
      <c r="P63" s="97"/>
      <c r="Q63" s="97"/>
      <c r="R63" s="97"/>
      <c r="S63" s="97"/>
      <c r="T63" s="97"/>
      <c r="U63" s="97"/>
      <c r="V63" s="97"/>
      <c r="W63" s="97"/>
      <c r="X63" s="97"/>
      <c r="Y63" s="97"/>
      <c r="Z63" s="97"/>
    </row>
    <row r="64" spans="1:26">
      <c r="A64" s="115"/>
      <c r="B64" s="97"/>
      <c r="C64" s="97"/>
      <c r="D64" s="114"/>
      <c r="E64" s="97"/>
      <c r="F64" s="97"/>
      <c r="G64" s="97"/>
      <c r="H64" s="97"/>
      <c r="I64" s="97"/>
      <c r="J64" s="97"/>
      <c r="K64" s="97"/>
      <c r="L64" s="97"/>
      <c r="M64" s="97"/>
      <c r="N64" s="97"/>
      <c r="O64" s="97"/>
      <c r="P64" s="97"/>
      <c r="Q64" s="97"/>
      <c r="R64" s="97"/>
      <c r="S64" s="97"/>
      <c r="T64" s="97"/>
      <c r="U64" s="97"/>
      <c r="V64" s="97"/>
      <c r="W64" s="97"/>
      <c r="X64" s="97"/>
      <c r="Y64" s="97"/>
      <c r="Z64" s="97"/>
    </row>
    <row r="65" spans="1:26">
      <c r="A65" s="115"/>
      <c r="B65" s="97"/>
      <c r="C65" s="97"/>
      <c r="D65" s="114"/>
      <c r="E65" s="97"/>
      <c r="F65" s="97"/>
      <c r="G65" s="97"/>
      <c r="H65" s="97"/>
      <c r="I65" s="97"/>
      <c r="J65" s="97"/>
      <c r="K65" s="97"/>
      <c r="L65" s="97"/>
      <c r="M65" s="97"/>
      <c r="N65" s="97"/>
      <c r="O65" s="97"/>
      <c r="P65" s="97"/>
      <c r="Q65" s="97"/>
      <c r="R65" s="97"/>
      <c r="S65" s="97"/>
      <c r="T65" s="97"/>
      <c r="U65" s="97"/>
      <c r="V65" s="97"/>
      <c r="W65" s="97"/>
      <c r="X65" s="97"/>
      <c r="Y65" s="97"/>
      <c r="Z65" s="97"/>
    </row>
    <row r="66" spans="1:26">
      <c r="A66" s="115"/>
      <c r="B66" s="97"/>
      <c r="C66" s="97"/>
      <c r="D66" s="114"/>
      <c r="E66" s="97"/>
      <c r="F66" s="97"/>
      <c r="G66" s="97"/>
      <c r="H66" s="97"/>
      <c r="I66" s="97"/>
      <c r="J66" s="97"/>
      <c r="K66" s="97"/>
      <c r="L66" s="97"/>
      <c r="M66" s="97"/>
      <c r="N66" s="97"/>
      <c r="O66" s="97"/>
      <c r="P66" s="97"/>
      <c r="Q66" s="97"/>
      <c r="R66" s="97"/>
      <c r="S66" s="97"/>
      <c r="T66" s="97"/>
      <c r="U66" s="97"/>
      <c r="V66" s="97"/>
      <c r="W66" s="97"/>
      <c r="X66" s="97"/>
      <c r="Y66" s="97"/>
      <c r="Z66" s="97"/>
    </row>
    <row r="67" spans="1:26">
      <c r="A67" s="115"/>
      <c r="B67" s="97"/>
      <c r="C67" s="97"/>
      <c r="D67" s="114"/>
      <c r="E67" s="97"/>
      <c r="F67" s="97"/>
      <c r="G67" s="97"/>
      <c r="H67" s="97"/>
      <c r="I67" s="97"/>
      <c r="J67" s="97"/>
      <c r="K67" s="97"/>
      <c r="L67" s="97"/>
      <c r="M67" s="97"/>
      <c r="N67" s="97"/>
      <c r="O67" s="97"/>
      <c r="P67" s="97"/>
      <c r="Q67" s="97"/>
      <c r="R67" s="97"/>
      <c r="S67" s="97"/>
      <c r="T67" s="97"/>
      <c r="U67" s="97"/>
      <c r="V67" s="97"/>
      <c r="W67" s="97"/>
      <c r="X67" s="97"/>
      <c r="Y67" s="97"/>
      <c r="Z67" s="97"/>
    </row>
    <row r="68" spans="1:26">
      <c r="A68" s="115"/>
      <c r="B68" s="97"/>
      <c r="C68" s="97"/>
      <c r="D68" s="114"/>
      <c r="E68" s="97"/>
      <c r="F68" s="97"/>
      <c r="G68" s="97"/>
      <c r="H68" s="97"/>
      <c r="I68" s="97"/>
      <c r="J68" s="97"/>
      <c r="K68" s="97"/>
      <c r="L68" s="97"/>
      <c r="M68" s="97"/>
      <c r="N68" s="97"/>
      <c r="O68" s="97"/>
      <c r="P68" s="97"/>
      <c r="Q68" s="97"/>
      <c r="R68" s="97"/>
      <c r="S68" s="97"/>
      <c r="T68" s="97"/>
      <c r="U68" s="97"/>
      <c r="V68" s="97"/>
      <c r="W68" s="97"/>
      <c r="X68" s="97"/>
      <c r="Y68" s="97"/>
      <c r="Z68" s="97"/>
    </row>
    <row r="69" spans="1:26">
      <c r="A69" s="115"/>
      <c r="B69" s="97"/>
      <c r="C69" s="97"/>
      <c r="D69" s="114"/>
      <c r="E69" s="97"/>
      <c r="F69" s="97"/>
      <c r="G69" s="97"/>
      <c r="H69" s="97"/>
      <c r="I69" s="97"/>
      <c r="J69" s="97"/>
      <c r="K69" s="97"/>
      <c r="L69" s="97"/>
      <c r="M69" s="97"/>
      <c r="N69" s="97"/>
      <c r="O69" s="97"/>
      <c r="P69" s="97"/>
      <c r="Q69" s="97"/>
      <c r="R69" s="97"/>
      <c r="S69" s="97"/>
      <c r="T69" s="97"/>
      <c r="U69" s="97"/>
      <c r="V69" s="97"/>
      <c r="W69" s="97"/>
      <c r="X69" s="97"/>
      <c r="Y69" s="97"/>
      <c r="Z69" s="97"/>
    </row>
    <row r="70" spans="1:26">
      <c r="A70" s="115"/>
      <c r="B70" s="97"/>
      <c r="C70" s="97"/>
      <c r="D70" s="114"/>
      <c r="E70" s="97"/>
      <c r="F70" s="97"/>
      <c r="G70" s="97"/>
      <c r="H70" s="97"/>
      <c r="I70" s="97"/>
      <c r="J70" s="97"/>
      <c r="K70" s="97"/>
      <c r="L70" s="97"/>
      <c r="M70" s="97"/>
      <c r="N70" s="97"/>
      <c r="O70" s="97"/>
      <c r="P70" s="97"/>
      <c r="Q70" s="97"/>
      <c r="R70" s="97"/>
      <c r="S70" s="97"/>
      <c r="T70" s="97"/>
      <c r="U70" s="97"/>
      <c r="V70" s="97"/>
      <c r="W70" s="97"/>
      <c r="X70" s="97"/>
      <c r="Y70" s="97"/>
      <c r="Z70" s="97"/>
    </row>
    <row r="71" spans="1:26">
      <c r="A71" s="115"/>
      <c r="B71" s="97"/>
      <c r="C71" s="97"/>
      <c r="D71" s="114"/>
      <c r="E71" s="97"/>
      <c r="F71" s="97"/>
      <c r="G71" s="97"/>
      <c r="H71" s="97"/>
      <c r="I71" s="97"/>
      <c r="J71" s="97"/>
      <c r="K71" s="97"/>
      <c r="L71" s="97"/>
      <c r="M71" s="97"/>
      <c r="N71" s="97"/>
      <c r="O71" s="97"/>
      <c r="P71" s="97"/>
      <c r="Q71" s="97"/>
      <c r="R71" s="97"/>
      <c r="S71" s="97"/>
      <c r="T71" s="97"/>
      <c r="U71" s="97"/>
      <c r="V71" s="97"/>
      <c r="W71" s="97"/>
      <c r="X71" s="97"/>
      <c r="Y71" s="97"/>
      <c r="Z71" s="97"/>
    </row>
    <row r="72" spans="1:26">
      <c r="A72" s="115"/>
      <c r="B72" s="97"/>
      <c r="C72" s="97"/>
      <c r="D72" s="114"/>
      <c r="E72" s="97"/>
      <c r="F72" s="97"/>
      <c r="G72" s="97"/>
      <c r="H72" s="97"/>
      <c r="I72" s="97"/>
      <c r="J72" s="97"/>
      <c r="K72" s="97"/>
      <c r="L72" s="97"/>
      <c r="M72" s="97"/>
      <c r="N72" s="97"/>
      <c r="O72" s="97"/>
      <c r="P72" s="97"/>
      <c r="Q72" s="97"/>
      <c r="R72" s="97"/>
      <c r="S72" s="97"/>
      <c r="T72" s="97"/>
      <c r="U72" s="97"/>
      <c r="V72" s="97"/>
      <c r="W72" s="97"/>
      <c r="X72" s="97"/>
      <c r="Y72" s="97"/>
      <c r="Z72" s="97"/>
    </row>
    <row r="73" spans="1:26">
      <c r="A73" s="115"/>
      <c r="B73" s="97"/>
      <c r="C73" s="97"/>
      <c r="D73" s="114"/>
      <c r="E73" s="97"/>
      <c r="F73" s="97"/>
      <c r="G73" s="97"/>
      <c r="H73" s="97"/>
      <c r="I73" s="97"/>
      <c r="J73" s="97"/>
      <c r="K73" s="97"/>
      <c r="L73" s="97"/>
      <c r="M73" s="97"/>
      <c r="N73" s="97"/>
      <c r="O73" s="97"/>
      <c r="P73" s="97"/>
      <c r="Q73" s="97"/>
      <c r="R73" s="97"/>
      <c r="S73" s="97"/>
      <c r="T73" s="97"/>
      <c r="U73" s="97"/>
      <c r="V73" s="97"/>
      <c r="W73" s="97"/>
      <c r="X73" s="97"/>
      <c r="Y73" s="97"/>
      <c r="Z73" s="97"/>
    </row>
    <row r="74" spans="1:26">
      <c r="A74" s="115"/>
      <c r="B74" s="97"/>
      <c r="C74" s="97"/>
      <c r="D74" s="114"/>
      <c r="E74" s="97"/>
      <c r="F74" s="97"/>
      <c r="G74" s="97"/>
      <c r="H74" s="97"/>
      <c r="I74" s="97"/>
      <c r="J74" s="97"/>
      <c r="K74" s="97"/>
      <c r="L74" s="97"/>
      <c r="M74" s="97"/>
      <c r="N74" s="97"/>
      <c r="O74" s="97"/>
      <c r="P74" s="97"/>
      <c r="Q74" s="97"/>
      <c r="R74" s="97"/>
      <c r="S74" s="97"/>
      <c r="T74" s="97"/>
      <c r="U74" s="97"/>
      <c r="V74" s="97"/>
      <c r="W74" s="97"/>
      <c r="X74" s="97"/>
      <c r="Y74" s="97"/>
      <c r="Z74" s="97"/>
    </row>
    <row r="75" spans="1:26">
      <c r="A75" s="115"/>
      <c r="B75" s="97"/>
      <c r="C75" s="97"/>
      <c r="D75" s="114"/>
      <c r="E75" s="97"/>
      <c r="F75" s="97"/>
      <c r="G75" s="97"/>
      <c r="H75" s="97"/>
      <c r="I75" s="97"/>
      <c r="J75" s="97"/>
      <c r="K75" s="97"/>
      <c r="L75" s="97"/>
      <c r="M75" s="97"/>
      <c r="N75" s="97"/>
      <c r="O75" s="97"/>
      <c r="P75" s="97"/>
      <c r="Q75" s="97"/>
      <c r="R75" s="97"/>
      <c r="S75" s="97"/>
      <c r="T75" s="97"/>
      <c r="U75" s="97"/>
      <c r="V75" s="97"/>
      <c r="W75" s="97"/>
      <c r="X75" s="97"/>
      <c r="Y75" s="97"/>
      <c r="Z75" s="97"/>
    </row>
    <row r="76" spans="1:26">
      <c r="A76" s="115"/>
      <c r="B76" s="97"/>
      <c r="C76" s="97"/>
      <c r="D76" s="114"/>
      <c r="E76" s="97"/>
      <c r="F76" s="97"/>
      <c r="G76" s="97"/>
      <c r="H76" s="97"/>
      <c r="I76" s="97"/>
      <c r="J76" s="97"/>
      <c r="K76" s="97"/>
      <c r="L76" s="97"/>
      <c r="M76" s="97"/>
      <c r="N76" s="97"/>
      <c r="O76" s="97"/>
      <c r="P76" s="97"/>
      <c r="Q76" s="97"/>
      <c r="R76" s="97"/>
      <c r="S76" s="97"/>
      <c r="T76" s="97"/>
      <c r="U76" s="97"/>
      <c r="V76" s="97"/>
      <c r="W76" s="97"/>
      <c r="X76" s="97"/>
      <c r="Y76" s="97"/>
      <c r="Z76" s="97"/>
    </row>
    <row r="77" spans="1:26">
      <c r="A77" s="115"/>
      <c r="B77" s="97"/>
      <c r="C77" s="97"/>
      <c r="D77" s="114"/>
      <c r="E77" s="97"/>
      <c r="F77" s="97"/>
      <c r="G77" s="97"/>
      <c r="H77" s="97"/>
      <c r="I77" s="97"/>
      <c r="J77" s="97"/>
      <c r="K77" s="97"/>
      <c r="L77" s="97"/>
      <c r="M77" s="97"/>
      <c r="N77" s="97"/>
      <c r="O77" s="97"/>
      <c r="P77" s="97"/>
      <c r="Q77" s="97"/>
      <c r="R77" s="97"/>
      <c r="S77" s="97"/>
      <c r="T77" s="97"/>
      <c r="U77" s="97"/>
      <c r="V77" s="97"/>
      <c r="W77" s="97"/>
      <c r="X77" s="97"/>
      <c r="Y77" s="97"/>
      <c r="Z77" s="97"/>
    </row>
    <row r="78" spans="1:26">
      <c r="A78" s="115"/>
      <c r="B78" s="97"/>
      <c r="C78" s="97"/>
      <c r="D78" s="114"/>
      <c r="E78" s="97"/>
      <c r="F78" s="97"/>
      <c r="G78" s="97"/>
      <c r="H78" s="97"/>
      <c r="I78" s="97"/>
      <c r="J78" s="97"/>
      <c r="K78" s="97"/>
      <c r="L78" s="97"/>
      <c r="M78" s="97"/>
      <c r="N78" s="97"/>
      <c r="O78" s="97"/>
      <c r="P78" s="97"/>
      <c r="Q78" s="97"/>
      <c r="R78" s="97"/>
      <c r="S78" s="97"/>
      <c r="T78" s="97"/>
      <c r="U78" s="97"/>
      <c r="V78" s="97"/>
      <c r="W78" s="97"/>
      <c r="X78" s="97"/>
      <c r="Y78" s="97"/>
      <c r="Z78" s="97"/>
    </row>
    <row r="79" spans="1:26">
      <c r="A79" s="115"/>
      <c r="B79" s="97"/>
      <c r="C79" s="97"/>
      <c r="D79" s="114"/>
      <c r="E79" s="97"/>
      <c r="F79" s="97"/>
      <c r="G79" s="97"/>
      <c r="H79" s="97"/>
      <c r="I79" s="97"/>
      <c r="J79" s="97"/>
      <c r="K79" s="97"/>
      <c r="L79" s="97"/>
      <c r="M79" s="97"/>
      <c r="N79" s="97"/>
      <c r="O79" s="97"/>
      <c r="P79" s="97"/>
      <c r="Q79" s="97"/>
      <c r="R79" s="97"/>
      <c r="S79" s="97"/>
      <c r="T79" s="97"/>
      <c r="U79" s="97"/>
      <c r="V79" s="97"/>
      <c r="W79" s="97"/>
      <c r="X79" s="97"/>
      <c r="Y79" s="97"/>
      <c r="Z79" s="97"/>
    </row>
    <row r="80" spans="1:26">
      <c r="A80" s="115"/>
      <c r="B80" s="97"/>
      <c r="C80" s="97"/>
      <c r="D80" s="114"/>
      <c r="E80" s="97"/>
      <c r="F80" s="97"/>
      <c r="G80" s="97"/>
      <c r="H80" s="97"/>
      <c r="I80" s="97"/>
      <c r="J80" s="97"/>
      <c r="K80" s="97"/>
      <c r="L80" s="97"/>
      <c r="M80" s="97"/>
      <c r="N80" s="97"/>
      <c r="O80" s="97"/>
      <c r="P80" s="97"/>
      <c r="Q80" s="97"/>
      <c r="R80" s="97"/>
      <c r="S80" s="97"/>
      <c r="T80" s="97"/>
      <c r="U80" s="97"/>
      <c r="V80" s="97"/>
      <c r="W80" s="97"/>
      <c r="X80" s="97"/>
      <c r="Y80" s="97"/>
      <c r="Z80" s="97"/>
    </row>
    <row r="81" spans="1:26">
      <c r="A81" s="115"/>
      <c r="B81" s="97"/>
      <c r="C81" s="97"/>
      <c r="D81" s="114"/>
      <c r="E81" s="97"/>
      <c r="F81" s="97"/>
      <c r="G81" s="97"/>
      <c r="H81" s="97"/>
      <c r="I81" s="97"/>
      <c r="J81" s="97"/>
      <c r="K81" s="97"/>
      <c r="L81" s="97"/>
      <c r="M81" s="97"/>
      <c r="N81" s="97"/>
      <c r="O81" s="97"/>
      <c r="P81" s="97"/>
      <c r="Q81" s="97"/>
      <c r="R81" s="97"/>
      <c r="S81" s="97"/>
      <c r="T81" s="97"/>
      <c r="U81" s="97"/>
      <c r="V81" s="97"/>
      <c r="W81" s="97"/>
      <c r="X81" s="97"/>
      <c r="Y81" s="97"/>
      <c r="Z81" s="97"/>
    </row>
    <row r="82" spans="1:26">
      <c r="A82" s="115"/>
      <c r="B82" s="97"/>
      <c r="C82" s="97"/>
      <c r="D82" s="114"/>
      <c r="E82" s="97"/>
      <c r="F82" s="97"/>
      <c r="G82" s="97"/>
      <c r="H82" s="97"/>
      <c r="I82" s="97"/>
      <c r="J82" s="97"/>
      <c r="K82" s="97"/>
      <c r="L82" s="97"/>
      <c r="M82" s="97"/>
      <c r="N82" s="97"/>
      <c r="O82" s="97"/>
      <c r="P82" s="97"/>
      <c r="Q82" s="97"/>
      <c r="R82" s="97"/>
      <c r="S82" s="97"/>
      <c r="T82" s="97"/>
      <c r="U82" s="97"/>
      <c r="V82" s="97"/>
      <c r="W82" s="97"/>
      <c r="X82" s="97"/>
      <c r="Y82" s="97"/>
      <c r="Z82" s="97"/>
    </row>
    <row r="83" spans="1:26">
      <c r="A83" s="115"/>
      <c r="B83" s="97"/>
      <c r="C83" s="97"/>
      <c r="D83" s="114"/>
      <c r="E83" s="97"/>
      <c r="F83" s="97"/>
      <c r="G83" s="97"/>
      <c r="H83" s="97"/>
      <c r="I83" s="97"/>
      <c r="J83" s="97"/>
      <c r="K83" s="97"/>
      <c r="L83" s="97"/>
      <c r="M83" s="97"/>
      <c r="N83" s="97"/>
      <c r="O83" s="97"/>
      <c r="P83" s="97"/>
      <c r="Q83" s="97"/>
      <c r="R83" s="97"/>
      <c r="S83" s="97"/>
      <c r="T83" s="97"/>
      <c r="U83" s="97"/>
      <c r="V83" s="97"/>
      <c r="W83" s="97"/>
      <c r="X83" s="97"/>
      <c r="Y83" s="97"/>
      <c r="Z83" s="97"/>
    </row>
    <row r="84" spans="1:26">
      <c r="A84" s="115"/>
      <c r="B84" s="97"/>
      <c r="C84" s="97"/>
      <c r="D84" s="114"/>
      <c r="E84" s="97"/>
      <c r="F84" s="97"/>
      <c r="G84" s="97"/>
      <c r="H84" s="97"/>
      <c r="I84" s="97"/>
      <c r="J84" s="97"/>
      <c r="K84" s="97"/>
      <c r="L84" s="97"/>
      <c r="M84" s="97"/>
      <c r="N84" s="97"/>
      <c r="O84" s="97"/>
      <c r="P84" s="97"/>
      <c r="Q84" s="97"/>
      <c r="R84" s="97"/>
      <c r="S84" s="97"/>
      <c r="T84" s="97"/>
      <c r="U84" s="97"/>
      <c r="V84" s="97"/>
      <c r="W84" s="97"/>
      <c r="X84" s="97"/>
      <c r="Y84" s="97"/>
      <c r="Z84" s="97"/>
    </row>
    <row r="85" spans="1:26">
      <c r="A85" s="115"/>
      <c r="B85" s="97"/>
      <c r="C85" s="97"/>
      <c r="D85" s="114"/>
      <c r="E85" s="97"/>
      <c r="F85" s="97"/>
      <c r="G85" s="97"/>
      <c r="H85" s="97"/>
      <c r="I85" s="97"/>
      <c r="J85" s="97"/>
      <c r="K85" s="97"/>
      <c r="L85" s="97"/>
      <c r="M85" s="97"/>
      <c r="N85" s="97"/>
      <c r="O85" s="97"/>
      <c r="P85" s="97"/>
      <c r="Q85" s="97"/>
      <c r="R85" s="97"/>
      <c r="S85" s="97"/>
      <c r="T85" s="97"/>
      <c r="U85" s="97"/>
      <c r="V85" s="97"/>
      <c r="W85" s="97"/>
      <c r="X85" s="97"/>
      <c r="Y85" s="97"/>
      <c r="Z85" s="97"/>
    </row>
    <row r="86" spans="1:26">
      <c r="A86" s="115"/>
      <c r="B86" s="97"/>
      <c r="C86" s="97"/>
      <c r="D86" s="114"/>
      <c r="E86" s="97"/>
      <c r="F86" s="97"/>
      <c r="G86" s="97"/>
      <c r="H86" s="97"/>
      <c r="I86" s="97"/>
      <c r="J86" s="97"/>
      <c r="K86" s="97"/>
      <c r="L86" s="97"/>
      <c r="M86" s="97"/>
      <c r="N86" s="97"/>
      <c r="O86" s="97"/>
      <c r="P86" s="97"/>
      <c r="Q86" s="97"/>
      <c r="R86" s="97"/>
      <c r="S86" s="97"/>
      <c r="T86" s="97"/>
      <c r="U86" s="97"/>
      <c r="V86" s="97"/>
      <c r="W86" s="97"/>
      <c r="X86" s="97"/>
      <c r="Y86" s="97"/>
      <c r="Z86" s="97"/>
    </row>
    <row r="87" spans="1:26">
      <c r="A87" s="115"/>
      <c r="B87" s="97"/>
      <c r="C87" s="97"/>
      <c r="D87" s="114"/>
      <c r="E87" s="97"/>
      <c r="F87" s="97"/>
      <c r="G87" s="97"/>
      <c r="H87" s="97"/>
      <c r="I87" s="97"/>
      <c r="J87" s="97"/>
      <c r="K87" s="97"/>
      <c r="L87" s="97"/>
      <c r="M87" s="97"/>
      <c r="N87" s="97"/>
      <c r="O87" s="97"/>
      <c r="P87" s="97"/>
      <c r="Q87" s="97"/>
      <c r="R87" s="97"/>
      <c r="S87" s="97"/>
      <c r="T87" s="97"/>
      <c r="U87" s="97"/>
      <c r="V87" s="97"/>
      <c r="W87" s="97"/>
      <c r="X87" s="97"/>
      <c r="Y87" s="97"/>
      <c r="Z87" s="97"/>
    </row>
    <row r="88" spans="1:26">
      <c r="A88" s="115"/>
      <c r="B88" s="97"/>
      <c r="C88" s="97"/>
      <c r="D88" s="114"/>
      <c r="E88" s="97"/>
      <c r="F88" s="97"/>
      <c r="G88" s="97"/>
      <c r="H88" s="97"/>
      <c r="I88" s="97"/>
      <c r="J88" s="97"/>
      <c r="K88" s="97"/>
      <c r="L88" s="97"/>
      <c r="M88" s="97"/>
      <c r="N88" s="97"/>
      <c r="O88" s="97"/>
      <c r="P88" s="97"/>
      <c r="Q88" s="97"/>
      <c r="R88" s="97"/>
      <c r="S88" s="97"/>
      <c r="T88" s="97"/>
      <c r="U88" s="97"/>
      <c r="V88" s="97"/>
      <c r="W88" s="97"/>
      <c r="X88" s="97"/>
      <c r="Y88" s="97"/>
      <c r="Z88" s="97"/>
    </row>
    <row r="89" spans="1:26">
      <c r="A89" s="115"/>
      <c r="B89" s="97"/>
      <c r="C89" s="97"/>
      <c r="D89" s="114"/>
      <c r="E89" s="97"/>
      <c r="F89" s="97"/>
      <c r="G89" s="97"/>
      <c r="H89" s="97"/>
      <c r="I89" s="97"/>
      <c r="J89" s="97"/>
      <c r="K89" s="97"/>
      <c r="L89" s="97"/>
      <c r="M89" s="97"/>
      <c r="N89" s="97"/>
      <c r="O89" s="97"/>
      <c r="P89" s="97"/>
      <c r="Q89" s="97"/>
      <c r="R89" s="97"/>
      <c r="S89" s="97"/>
      <c r="T89" s="97"/>
      <c r="U89" s="97"/>
      <c r="V89" s="97"/>
      <c r="W89" s="97"/>
      <c r="X89" s="97"/>
      <c r="Y89" s="97"/>
      <c r="Z89" s="97"/>
    </row>
    <row r="90" spans="1:26">
      <c r="A90" s="115"/>
      <c r="B90" s="97"/>
      <c r="C90" s="97"/>
      <c r="D90" s="114"/>
      <c r="E90" s="97"/>
      <c r="F90" s="97"/>
      <c r="G90" s="97"/>
      <c r="H90" s="97"/>
      <c r="I90" s="97"/>
      <c r="J90" s="97"/>
      <c r="K90" s="97"/>
      <c r="L90" s="97"/>
      <c r="M90" s="97"/>
      <c r="N90" s="97"/>
      <c r="O90" s="97"/>
      <c r="P90" s="97"/>
      <c r="Q90" s="97"/>
      <c r="R90" s="97"/>
      <c r="S90" s="97"/>
      <c r="T90" s="97"/>
      <c r="U90" s="97"/>
      <c r="V90" s="97"/>
      <c r="W90" s="97"/>
      <c r="X90" s="97"/>
      <c r="Y90" s="97"/>
      <c r="Z90" s="97"/>
    </row>
    <row r="91" spans="1:26">
      <c r="A91" s="115"/>
      <c r="B91" s="97"/>
      <c r="C91" s="97"/>
      <c r="D91" s="114"/>
      <c r="E91" s="97"/>
      <c r="F91" s="97"/>
      <c r="G91" s="97"/>
      <c r="H91" s="97"/>
      <c r="I91" s="97"/>
      <c r="J91" s="97"/>
      <c r="K91" s="97"/>
      <c r="L91" s="97"/>
      <c r="M91" s="97"/>
      <c r="N91" s="97"/>
      <c r="O91" s="97"/>
      <c r="P91" s="97"/>
      <c r="Q91" s="97"/>
      <c r="R91" s="97"/>
      <c r="S91" s="97"/>
      <c r="T91" s="97"/>
      <c r="U91" s="97"/>
      <c r="V91" s="97"/>
      <c r="W91" s="97"/>
      <c r="X91" s="97"/>
      <c r="Y91" s="97"/>
      <c r="Z91" s="97"/>
    </row>
    <row r="92" spans="1:26">
      <c r="A92" s="115"/>
      <c r="B92" s="97"/>
      <c r="C92" s="97"/>
      <c r="D92" s="114"/>
      <c r="E92" s="97"/>
      <c r="F92" s="97"/>
      <c r="G92" s="97"/>
      <c r="H92" s="97"/>
      <c r="I92" s="97"/>
      <c r="J92" s="97"/>
      <c r="K92" s="97"/>
      <c r="L92" s="97"/>
      <c r="M92" s="97"/>
      <c r="N92" s="97"/>
      <c r="O92" s="97"/>
      <c r="P92" s="97"/>
      <c r="Q92" s="97"/>
      <c r="R92" s="97"/>
      <c r="S92" s="97"/>
      <c r="T92" s="97"/>
      <c r="U92" s="97"/>
      <c r="V92" s="97"/>
      <c r="W92" s="97"/>
      <c r="X92" s="97"/>
      <c r="Y92" s="97"/>
      <c r="Z92" s="97"/>
    </row>
    <row r="93" spans="1:26">
      <c r="A93" s="115"/>
      <c r="B93" s="97"/>
      <c r="C93" s="97"/>
      <c r="D93" s="114"/>
      <c r="E93" s="97"/>
      <c r="F93" s="97"/>
      <c r="G93" s="97"/>
      <c r="H93" s="97"/>
      <c r="I93" s="97"/>
      <c r="J93" s="97"/>
      <c r="K93" s="97"/>
      <c r="L93" s="97"/>
      <c r="M93" s="97"/>
      <c r="N93" s="97"/>
      <c r="O93" s="97"/>
      <c r="P93" s="97"/>
      <c r="Q93" s="97"/>
      <c r="R93" s="97"/>
      <c r="S93" s="97"/>
      <c r="T93" s="97"/>
      <c r="U93" s="97"/>
      <c r="V93" s="97"/>
      <c r="W93" s="97"/>
      <c r="X93" s="97"/>
      <c r="Y93" s="97"/>
      <c r="Z93" s="97"/>
    </row>
    <row r="94" spans="1:26">
      <c r="A94" s="115"/>
      <c r="B94" s="97"/>
      <c r="C94" s="97"/>
      <c r="D94" s="114"/>
      <c r="E94" s="97"/>
      <c r="F94" s="97"/>
      <c r="G94" s="97"/>
      <c r="H94" s="97"/>
      <c r="I94" s="97"/>
      <c r="J94" s="97"/>
      <c r="K94" s="97"/>
      <c r="L94" s="97"/>
      <c r="M94" s="97"/>
      <c r="N94" s="97"/>
      <c r="O94" s="97"/>
      <c r="P94" s="97"/>
      <c r="Q94" s="97"/>
      <c r="R94" s="97"/>
      <c r="S94" s="97"/>
      <c r="T94" s="97"/>
      <c r="U94" s="97"/>
      <c r="V94" s="97"/>
      <c r="W94" s="97"/>
      <c r="X94" s="97"/>
      <c r="Y94" s="97"/>
      <c r="Z94" s="97"/>
    </row>
    <row r="95" spans="1:26">
      <c r="A95" s="115"/>
      <c r="B95" s="97"/>
      <c r="C95" s="97"/>
      <c r="D95" s="114"/>
      <c r="E95" s="97"/>
      <c r="F95" s="97"/>
      <c r="G95" s="97"/>
      <c r="H95" s="97"/>
      <c r="I95" s="97"/>
      <c r="J95" s="97"/>
      <c r="K95" s="97"/>
      <c r="L95" s="97"/>
      <c r="M95" s="97"/>
      <c r="N95" s="97"/>
      <c r="O95" s="97"/>
      <c r="P95" s="97"/>
      <c r="Q95" s="97"/>
      <c r="R95" s="97"/>
      <c r="S95" s="97"/>
      <c r="T95" s="97"/>
      <c r="U95" s="97"/>
      <c r="V95" s="97"/>
      <c r="W95" s="97"/>
      <c r="X95" s="97"/>
      <c r="Y95" s="97"/>
      <c r="Z95" s="97"/>
    </row>
    <row r="96" spans="1:26">
      <c r="A96" s="115"/>
      <c r="B96" s="97"/>
      <c r="C96" s="97"/>
      <c r="D96" s="114"/>
      <c r="E96" s="97"/>
      <c r="F96" s="97"/>
      <c r="G96" s="97"/>
      <c r="H96" s="97"/>
      <c r="I96" s="97"/>
      <c r="J96" s="97"/>
      <c r="K96" s="97"/>
      <c r="L96" s="97"/>
      <c r="M96" s="97"/>
      <c r="N96" s="97"/>
      <c r="O96" s="97"/>
      <c r="P96" s="97"/>
      <c r="Q96" s="97"/>
      <c r="R96" s="97"/>
      <c r="S96" s="97"/>
      <c r="T96" s="97"/>
      <c r="U96" s="97"/>
      <c r="V96" s="97"/>
      <c r="W96" s="97"/>
      <c r="X96" s="97"/>
      <c r="Y96" s="97"/>
      <c r="Z96" s="97"/>
    </row>
    <row r="97" spans="1:26">
      <c r="A97" s="115"/>
      <c r="B97" s="97"/>
      <c r="C97" s="97"/>
      <c r="D97" s="114"/>
      <c r="E97" s="97"/>
      <c r="F97" s="97"/>
      <c r="G97" s="97"/>
      <c r="H97" s="97"/>
      <c r="I97" s="97"/>
      <c r="J97" s="97"/>
      <c r="K97" s="97"/>
      <c r="L97" s="97"/>
      <c r="M97" s="97"/>
      <c r="N97" s="97"/>
      <c r="O97" s="97"/>
      <c r="P97" s="97"/>
      <c r="Q97" s="97"/>
      <c r="R97" s="97"/>
      <c r="S97" s="97"/>
      <c r="T97" s="97"/>
      <c r="U97" s="97"/>
      <c r="V97" s="97"/>
      <c r="W97" s="97"/>
      <c r="X97" s="97"/>
      <c r="Y97" s="97"/>
      <c r="Z97" s="97"/>
    </row>
    <row r="98" spans="1:26">
      <c r="A98" s="115"/>
      <c r="B98" s="97"/>
      <c r="C98" s="97"/>
      <c r="D98" s="114"/>
      <c r="E98" s="97"/>
      <c r="F98" s="97"/>
      <c r="G98" s="97"/>
      <c r="H98" s="97"/>
      <c r="I98" s="97"/>
      <c r="J98" s="97"/>
      <c r="K98" s="97"/>
      <c r="L98" s="97"/>
      <c r="M98" s="97"/>
      <c r="N98" s="97"/>
      <c r="O98" s="97"/>
      <c r="P98" s="97"/>
      <c r="Q98" s="97"/>
      <c r="R98" s="97"/>
      <c r="S98" s="97"/>
      <c r="T98" s="97"/>
      <c r="U98" s="97"/>
      <c r="V98" s="97"/>
      <c r="W98" s="97"/>
      <c r="X98" s="97"/>
      <c r="Y98" s="97"/>
      <c r="Z98" s="97"/>
    </row>
    <row r="99" spans="1:26">
      <c r="A99" s="115"/>
      <c r="B99" s="97"/>
      <c r="C99" s="97"/>
      <c r="D99" s="114"/>
      <c r="E99" s="97"/>
      <c r="F99" s="97"/>
      <c r="G99" s="97"/>
      <c r="H99" s="97"/>
      <c r="I99" s="97"/>
      <c r="J99" s="97"/>
      <c r="K99" s="97"/>
      <c r="L99" s="97"/>
      <c r="M99" s="97"/>
      <c r="N99" s="97"/>
      <c r="O99" s="97"/>
      <c r="P99" s="97"/>
      <c r="Q99" s="97"/>
      <c r="R99" s="97"/>
      <c r="S99" s="97"/>
      <c r="T99" s="97"/>
      <c r="U99" s="97"/>
      <c r="V99" s="97"/>
      <c r="W99" s="97"/>
      <c r="X99" s="97"/>
      <c r="Y99" s="97"/>
      <c r="Z99" s="97"/>
    </row>
    <row r="100" spans="1:26">
      <c r="A100" s="115"/>
      <c r="B100" s="97"/>
      <c r="C100" s="97"/>
      <c r="D100" s="114"/>
      <c r="E100" s="97"/>
      <c r="F100" s="97"/>
      <c r="G100" s="97"/>
      <c r="H100" s="97"/>
      <c r="I100" s="97"/>
      <c r="J100" s="97"/>
      <c r="K100" s="97"/>
      <c r="L100" s="97"/>
      <c r="M100" s="97"/>
      <c r="N100" s="97"/>
      <c r="O100" s="97"/>
      <c r="P100" s="97"/>
      <c r="Q100" s="97"/>
      <c r="R100" s="97"/>
      <c r="S100" s="97"/>
      <c r="T100" s="97"/>
      <c r="U100" s="97"/>
      <c r="V100" s="97"/>
      <c r="W100" s="97"/>
      <c r="X100" s="97"/>
      <c r="Y100" s="97"/>
      <c r="Z100" s="97"/>
    </row>
    <row r="101" spans="1:26">
      <c r="A101" s="115"/>
      <c r="B101" s="97"/>
      <c r="C101" s="97"/>
      <c r="D101" s="114"/>
      <c r="E101" s="97"/>
      <c r="F101" s="97"/>
      <c r="G101" s="97"/>
      <c r="H101" s="97"/>
      <c r="I101" s="97"/>
      <c r="J101" s="97"/>
      <c r="K101" s="97"/>
      <c r="L101" s="97"/>
      <c r="M101" s="97"/>
      <c r="N101" s="97"/>
      <c r="O101" s="97"/>
      <c r="P101" s="97"/>
      <c r="Q101" s="97"/>
      <c r="R101" s="97"/>
      <c r="S101" s="97"/>
      <c r="T101" s="97"/>
      <c r="U101" s="97"/>
      <c r="V101" s="97"/>
      <c r="W101" s="97"/>
      <c r="X101" s="97"/>
      <c r="Y101" s="97"/>
      <c r="Z101" s="97"/>
    </row>
    <row r="102" spans="1:26">
      <c r="A102" s="115"/>
      <c r="B102" s="97"/>
      <c r="C102" s="97"/>
      <c r="D102" s="114"/>
      <c r="E102" s="97"/>
      <c r="F102" s="97"/>
      <c r="G102" s="97"/>
      <c r="H102" s="97"/>
      <c r="I102" s="97"/>
      <c r="J102" s="97"/>
      <c r="K102" s="97"/>
      <c r="L102" s="97"/>
      <c r="M102" s="97"/>
      <c r="N102" s="97"/>
      <c r="O102" s="97"/>
      <c r="P102" s="97"/>
      <c r="Q102" s="97"/>
      <c r="R102" s="97"/>
      <c r="S102" s="97"/>
      <c r="T102" s="97"/>
      <c r="U102" s="97"/>
      <c r="V102" s="97"/>
      <c r="W102" s="97"/>
      <c r="X102" s="97"/>
      <c r="Y102" s="97"/>
      <c r="Z102" s="97"/>
    </row>
    <row r="103" spans="1:26">
      <c r="A103" s="115"/>
      <c r="B103" s="97"/>
      <c r="C103" s="97"/>
      <c r="D103" s="114"/>
      <c r="E103" s="97"/>
      <c r="F103" s="97"/>
      <c r="G103" s="97"/>
      <c r="H103" s="97"/>
      <c r="I103" s="97"/>
      <c r="J103" s="97"/>
      <c r="K103" s="97"/>
      <c r="L103" s="97"/>
      <c r="M103" s="97"/>
      <c r="N103" s="97"/>
      <c r="O103" s="97"/>
      <c r="P103" s="97"/>
      <c r="Q103" s="97"/>
      <c r="R103" s="97"/>
      <c r="S103" s="97"/>
      <c r="T103" s="97"/>
      <c r="U103" s="97"/>
      <c r="V103" s="97"/>
      <c r="W103" s="97"/>
      <c r="X103" s="97"/>
      <c r="Y103" s="97"/>
      <c r="Z103" s="97"/>
    </row>
    <row r="104" spans="1:26">
      <c r="A104" s="115"/>
      <c r="B104" s="97"/>
      <c r="C104" s="97"/>
      <c r="D104" s="114"/>
      <c r="E104" s="97"/>
      <c r="F104" s="97"/>
      <c r="G104" s="97"/>
      <c r="H104" s="97"/>
      <c r="I104" s="97"/>
      <c r="J104" s="97"/>
      <c r="K104" s="97"/>
      <c r="L104" s="97"/>
      <c r="M104" s="97"/>
      <c r="N104" s="97"/>
      <c r="O104" s="97"/>
      <c r="P104" s="97"/>
      <c r="Q104" s="97"/>
      <c r="R104" s="97"/>
      <c r="S104" s="97"/>
      <c r="T104" s="97"/>
      <c r="U104" s="97"/>
      <c r="V104" s="97"/>
      <c r="W104" s="97"/>
      <c r="X104" s="97"/>
      <c r="Y104" s="97"/>
      <c r="Z104" s="97"/>
    </row>
    <row r="105" spans="1:26">
      <c r="A105" s="115"/>
      <c r="B105" s="97"/>
      <c r="C105" s="97"/>
      <c r="D105" s="114"/>
      <c r="E105" s="97"/>
      <c r="F105" s="97"/>
      <c r="G105" s="97"/>
      <c r="H105" s="97"/>
      <c r="I105" s="97"/>
      <c r="J105" s="97"/>
      <c r="K105" s="97"/>
      <c r="L105" s="97"/>
      <c r="M105" s="97"/>
      <c r="N105" s="97"/>
      <c r="O105" s="97"/>
      <c r="P105" s="97"/>
      <c r="Q105" s="97"/>
      <c r="R105" s="97"/>
      <c r="S105" s="97"/>
      <c r="T105" s="97"/>
      <c r="U105" s="97"/>
      <c r="V105" s="97"/>
      <c r="W105" s="97"/>
      <c r="X105" s="97"/>
      <c r="Y105" s="97"/>
      <c r="Z105" s="97"/>
    </row>
    <row r="106" spans="1:26">
      <c r="A106" s="115"/>
      <c r="B106" s="97"/>
      <c r="C106" s="97"/>
      <c r="D106" s="114"/>
      <c r="E106" s="97"/>
      <c r="F106" s="97"/>
      <c r="G106" s="97"/>
      <c r="H106" s="97"/>
      <c r="I106" s="97"/>
      <c r="J106" s="97"/>
      <c r="K106" s="97"/>
      <c r="L106" s="97"/>
      <c r="M106" s="97"/>
      <c r="N106" s="97"/>
      <c r="O106" s="97"/>
      <c r="P106" s="97"/>
      <c r="Q106" s="97"/>
      <c r="R106" s="97"/>
      <c r="S106" s="97"/>
      <c r="T106" s="97"/>
      <c r="U106" s="97"/>
      <c r="V106" s="97"/>
      <c r="W106" s="97"/>
      <c r="X106" s="97"/>
      <c r="Y106" s="97"/>
      <c r="Z106" s="97"/>
    </row>
    <row r="107" spans="1:26">
      <c r="A107" s="115"/>
      <c r="B107" s="97"/>
      <c r="C107" s="97"/>
      <c r="D107" s="114"/>
      <c r="E107" s="97"/>
      <c r="F107" s="97"/>
      <c r="G107" s="97"/>
      <c r="H107" s="97"/>
      <c r="I107" s="97"/>
      <c r="J107" s="97"/>
      <c r="K107" s="97"/>
      <c r="L107" s="97"/>
      <c r="M107" s="97"/>
      <c r="N107" s="97"/>
      <c r="O107" s="97"/>
      <c r="P107" s="97"/>
      <c r="Q107" s="97"/>
      <c r="R107" s="97"/>
      <c r="S107" s="97"/>
      <c r="T107" s="97"/>
      <c r="U107" s="97"/>
      <c r="V107" s="97"/>
      <c r="W107" s="97"/>
      <c r="X107" s="97"/>
      <c r="Y107" s="97"/>
      <c r="Z107" s="97"/>
    </row>
    <row r="108" spans="1:26">
      <c r="A108" s="115"/>
      <c r="B108" s="97"/>
      <c r="C108" s="97"/>
      <c r="D108" s="114"/>
      <c r="E108" s="97"/>
      <c r="F108" s="97"/>
      <c r="G108" s="97"/>
      <c r="H108" s="97"/>
      <c r="I108" s="97"/>
      <c r="J108" s="97"/>
      <c r="K108" s="97"/>
      <c r="L108" s="97"/>
      <c r="M108" s="97"/>
      <c r="N108" s="97"/>
      <c r="O108" s="97"/>
      <c r="P108" s="97"/>
      <c r="Q108" s="97"/>
      <c r="R108" s="97"/>
      <c r="S108" s="97"/>
      <c r="T108" s="97"/>
      <c r="U108" s="97"/>
      <c r="V108" s="97"/>
      <c r="W108" s="97"/>
      <c r="X108" s="97"/>
      <c r="Y108" s="97"/>
      <c r="Z108" s="97"/>
    </row>
    <row r="109" spans="1:26">
      <c r="A109" s="115"/>
      <c r="B109" s="97"/>
      <c r="C109" s="97"/>
      <c r="D109" s="114"/>
      <c r="E109" s="97"/>
      <c r="F109" s="97"/>
      <c r="G109" s="97"/>
      <c r="H109" s="97"/>
      <c r="I109" s="97"/>
      <c r="J109" s="97"/>
      <c r="K109" s="97"/>
      <c r="L109" s="97"/>
      <c r="M109" s="97"/>
      <c r="N109" s="97"/>
      <c r="O109" s="97"/>
      <c r="P109" s="97"/>
      <c r="Q109" s="97"/>
      <c r="R109" s="97"/>
      <c r="S109" s="97"/>
      <c r="T109" s="97"/>
      <c r="U109" s="97"/>
      <c r="V109" s="97"/>
      <c r="W109" s="97"/>
      <c r="X109" s="97"/>
      <c r="Y109" s="97"/>
      <c r="Z109" s="97"/>
    </row>
    <row r="110" spans="1:26">
      <c r="A110" s="116"/>
      <c r="D110" s="92"/>
      <c r="E110" s="112"/>
      <c r="F110" s="97"/>
      <c r="G110" s="97"/>
      <c r="H110" s="97"/>
      <c r="I110" s="97"/>
      <c r="J110" s="97"/>
      <c r="K110" s="97"/>
      <c r="L110" s="97"/>
      <c r="M110" s="97"/>
      <c r="N110" s="97"/>
      <c r="O110" s="97"/>
      <c r="P110" s="97"/>
      <c r="Q110" s="97"/>
      <c r="R110" s="97"/>
      <c r="S110" s="97"/>
      <c r="T110" s="97"/>
      <c r="U110" s="97"/>
      <c r="V110" s="97"/>
      <c r="W110" s="97"/>
      <c r="X110" s="97"/>
      <c r="Y110" s="97"/>
      <c r="Z110" s="97"/>
    </row>
    <row r="111" spans="1:26">
      <c r="A111" s="116"/>
      <c r="D111" s="92"/>
      <c r="E111" s="112"/>
      <c r="F111" s="97"/>
      <c r="G111" s="97"/>
      <c r="H111" s="97"/>
      <c r="I111" s="97"/>
      <c r="J111" s="97"/>
      <c r="K111" s="97"/>
      <c r="L111" s="97"/>
      <c r="M111" s="97"/>
      <c r="N111" s="97"/>
      <c r="O111" s="97"/>
      <c r="P111" s="97"/>
      <c r="Q111" s="97"/>
      <c r="R111" s="97"/>
      <c r="S111" s="97"/>
      <c r="T111" s="97"/>
      <c r="U111" s="97"/>
      <c r="V111" s="97"/>
      <c r="W111" s="97"/>
      <c r="X111" s="97"/>
      <c r="Y111" s="97"/>
      <c r="Z111" s="97"/>
    </row>
    <row r="112" spans="1:26">
      <c r="A112" s="116"/>
      <c r="D112" s="92"/>
      <c r="E112" s="112"/>
      <c r="F112" s="97"/>
      <c r="G112" s="97"/>
      <c r="H112" s="97"/>
      <c r="I112" s="97"/>
      <c r="J112" s="97"/>
      <c r="K112" s="97"/>
      <c r="L112" s="97"/>
      <c r="M112" s="97"/>
      <c r="N112" s="97"/>
      <c r="O112" s="97"/>
      <c r="P112" s="97"/>
      <c r="Q112" s="97"/>
      <c r="R112" s="97"/>
      <c r="S112" s="97"/>
      <c r="T112" s="97"/>
      <c r="U112" s="97"/>
      <c r="V112" s="97"/>
      <c r="W112" s="97"/>
      <c r="X112" s="97"/>
      <c r="Y112" s="97"/>
      <c r="Z112" s="97"/>
    </row>
    <row r="113" spans="1:26">
      <c r="A113" s="116"/>
      <c r="D113" s="92"/>
      <c r="E113" s="112"/>
      <c r="F113" s="97"/>
      <c r="G113" s="97"/>
      <c r="H113" s="97"/>
      <c r="I113" s="97"/>
      <c r="J113" s="97"/>
      <c r="K113" s="97"/>
      <c r="L113" s="97"/>
      <c r="M113" s="97"/>
      <c r="N113" s="97"/>
      <c r="O113" s="97"/>
      <c r="P113" s="97"/>
      <c r="Q113" s="97"/>
      <c r="R113" s="97"/>
      <c r="S113" s="97"/>
      <c r="T113" s="97"/>
      <c r="U113" s="97"/>
      <c r="V113" s="97"/>
      <c r="W113" s="97"/>
      <c r="X113" s="97"/>
      <c r="Y113" s="97"/>
      <c r="Z113" s="97"/>
    </row>
    <row r="114" spans="1:26">
      <c r="A114" s="116"/>
      <c r="D114" s="92"/>
      <c r="E114" s="112"/>
      <c r="F114" s="97"/>
      <c r="G114" s="97"/>
      <c r="H114" s="97"/>
      <c r="I114" s="97"/>
      <c r="J114" s="97"/>
      <c r="K114" s="97"/>
      <c r="L114" s="97"/>
      <c r="M114" s="97"/>
      <c r="N114" s="97"/>
      <c r="O114" s="97"/>
      <c r="P114" s="97"/>
      <c r="Q114" s="97"/>
      <c r="R114" s="97"/>
      <c r="S114" s="97"/>
      <c r="T114" s="97"/>
      <c r="U114" s="97"/>
      <c r="V114" s="97"/>
      <c r="W114" s="97"/>
      <c r="X114" s="97"/>
      <c r="Y114" s="97"/>
      <c r="Z114" s="97"/>
    </row>
    <row r="115" spans="1:26">
      <c r="A115" s="116"/>
      <c r="D115" s="92"/>
      <c r="E115" s="112"/>
      <c r="F115" s="97"/>
      <c r="G115" s="97"/>
      <c r="H115" s="97"/>
      <c r="I115" s="97"/>
      <c r="J115" s="97"/>
      <c r="K115" s="97"/>
      <c r="L115" s="97"/>
      <c r="M115" s="97"/>
      <c r="N115" s="97"/>
      <c r="O115" s="97"/>
      <c r="P115" s="97"/>
      <c r="Q115" s="97"/>
      <c r="R115" s="97"/>
      <c r="S115" s="97"/>
      <c r="T115" s="97"/>
      <c r="U115" s="97"/>
      <c r="V115" s="97"/>
      <c r="W115" s="97"/>
      <c r="X115" s="97"/>
      <c r="Y115" s="97"/>
      <c r="Z115" s="97"/>
    </row>
    <row r="116" spans="1:26">
      <c r="A116" s="116"/>
      <c r="D116" s="92"/>
      <c r="E116" s="112"/>
      <c r="F116" s="97"/>
      <c r="G116" s="97"/>
      <c r="H116" s="97"/>
      <c r="I116" s="97"/>
      <c r="J116" s="97"/>
      <c r="K116" s="97"/>
      <c r="L116" s="97"/>
      <c r="M116" s="97"/>
      <c r="N116" s="97"/>
      <c r="O116" s="97"/>
      <c r="P116" s="97"/>
      <c r="Q116" s="97"/>
      <c r="R116" s="97"/>
      <c r="S116" s="97"/>
      <c r="T116" s="97"/>
      <c r="U116" s="97"/>
      <c r="V116" s="97"/>
      <c r="W116" s="97"/>
      <c r="X116" s="97"/>
      <c r="Y116" s="97"/>
      <c r="Z116" s="97"/>
    </row>
    <row r="117" spans="1:26">
      <c r="A117" s="116"/>
      <c r="D117" s="92"/>
      <c r="E117" s="112"/>
      <c r="F117" s="97"/>
      <c r="G117" s="97"/>
      <c r="H117" s="97"/>
      <c r="I117" s="97"/>
      <c r="J117" s="97"/>
      <c r="K117" s="97"/>
      <c r="L117" s="97"/>
      <c r="M117" s="97"/>
      <c r="N117" s="97"/>
      <c r="O117" s="97"/>
      <c r="P117" s="97"/>
      <c r="Q117" s="97"/>
      <c r="R117" s="97"/>
      <c r="S117" s="97"/>
      <c r="T117" s="97"/>
      <c r="U117" s="97"/>
      <c r="V117" s="97"/>
      <c r="W117" s="97"/>
      <c r="X117" s="97"/>
      <c r="Y117" s="97"/>
      <c r="Z117" s="97"/>
    </row>
    <row r="118" spans="1:26">
      <c r="A118" s="116"/>
      <c r="D118" s="92"/>
      <c r="E118" s="112"/>
      <c r="F118" s="97"/>
      <c r="G118" s="97"/>
      <c r="H118" s="97"/>
      <c r="I118" s="97"/>
      <c r="J118" s="97"/>
      <c r="K118" s="97"/>
      <c r="L118" s="97"/>
      <c r="M118" s="97"/>
      <c r="N118" s="97"/>
      <c r="O118" s="97"/>
      <c r="P118" s="97"/>
      <c r="Q118" s="97"/>
      <c r="R118" s="97"/>
      <c r="S118" s="97"/>
      <c r="T118" s="97"/>
      <c r="U118" s="97"/>
      <c r="V118" s="97"/>
      <c r="W118" s="97"/>
      <c r="X118" s="97"/>
      <c r="Y118" s="97"/>
      <c r="Z118" s="97"/>
    </row>
    <row r="119" spans="1:26">
      <c r="A119" s="116"/>
      <c r="D119" s="92"/>
      <c r="E119" s="112"/>
      <c r="F119" s="97"/>
      <c r="G119" s="97"/>
      <c r="H119" s="97"/>
      <c r="I119" s="97"/>
      <c r="J119" s="97"/>
      <c r="K119" s="97"/>
      <c r="L119" s="97"/>
      <c r="M119" s="97"/>
      <c r="N119" s="97"/>
      <c r="O119" s="97"/>
      <c r="P119" s="97"/>
      <c r="Q119" s="97"/>
      <c r="R119" s="97"/>
      <c r="S119" s="97"/>
      <c r="T119" s="97"/>
      <c r="U119" s="97"/>
      <c r="V119" s="97"/>
      <c r="W119" s="97"/>
      <c r="X119" s="97"/>
      <c r="Y119" s="97"/>
      <c r="Z119" s="97"/>
    </row>
    <row r="120" spans="1:26">
      <c r="A120" s="116"/>
      <c r="D120" s="92"/>
      <c r="E120" s="112"/>
      <c r="F120" s="97"/>
      <c r="G120" s="97"/>
      <c r="H120" s="97"/>
      <c r="I120" s="97"/>
      <c r="J120" s="97"/>
      <c r="K120" s="97"/>
      <c r="L120" s="97"/>
      <c r="M120" s="97"/>
      <c r="N120" s="97"/>
      <c r="O120" s="97"/>
      <c r="P120" s="97"/>
      <c r="Q120" s="97"/>
      <c r="R120" s="97"/>
      <c r="S120" s="97"/>
      <c r="T120" s="97"/>
      <c r="U120" s="97"/>
      <c r="V120" s="97"/>
      <c r="W120" s="97"/>
      <c r="X120" s="97"/>
      <c r="Y120" s="97"/>
      <c r="Z120" s="97"/>
    </row>
    <row r="121" spans="1:26">
      <c r="A121" s="116"/>
      <c r="D121" s="92"/>
      <c r="E121" s="112"/>
      <c r="F121" s="97"/>
      <c r="G121" s="97"/>
      <c r="H121" s="97"/>
      <c r="I121" s="97"/>
      <c r="J121" s="97"/>
      <c r="K121" s="97"/>
      <c r="L121" s="97"/>
      <c r="M121" s="97"/>
      <c r="N121" s="97"/>
      <c r="O121" s="97"/>
      <c r="P121" s="97"/>
      <c r="Q121" s="97"/>
      <c r="R121" s="97"/>
      <c r="S121" s="97"/>
      <c r="T121" s="97"/>
      <c r="U121" s="97"/>
      <c r="V121" s="97"/>
      <c r="W121" s="97"/>
      <c r="X121" s="97"/>
      <c r="Y121" s="97"/>
      <c r="Z121" s="97"/>
    </row>
    <row r="122" spans="1:26">
      <c r="A122" s="116"/>
      <c r="D122" s="92"/>
      <c r="E122" s="112"/>
      <c r="F122" s="97"/>
      <c r="G122" s="97"/>
      <c r="H122" s="97"/>
      <c r="I122" s="97"/>
      <c r="J122" s="97"/>
      <c r="K122" s="97"/>
      <c r="L122" s="97"/>
      <c r="M122" s="97"/>
      <c r="N122" s="97"/>
      <c r="O122" s="97"/>
      <c r="P122" s="97"/>
      <c r="Q122" s="97"/>
      <c r="R122" s="97"/>
      <c r="S122" s="97"/>
      <c r="T122" s="97"/>
      <c r="U122" s="97"/>
      <c r="V122" s="97"/>
      <c r="W122" s="97"/>
      <c r="X122" s="97"/>
      <c r="Y122" s="97"/>
      <c r="Z122" s="97"/>
    </row>
    <row r="123" spans="1:26">
      <c r="A123" s="116"/>
      <c r="D123" s="92"/>
      <c r="E123" s="112"/>
      <c r="F123" s="97"/>
      <c r="G123" s="97"/>
      <c r="H123" s="97"/>
      <c r="I123" s="97"/>
      <c r="J123" s="97"/>
      <c r="K123" s="97"/>
      <c r="L123" s="97"/>
      <c r="M123" s="97"/>
      <c r="N123" s="97"/>
      <c r="O123" s="97"/>
      <c r="P123" s="97"/>
      <c r="Q123" s="97"/>
      <c r="R123" s="97"/>
      <c r="S123" s="97"/>
      <c r="T123" s="97"/>
      <c r="U123" s="97"/>
      <c r="V123" s="97"/>
      <c r="W123" s="97"/>
      <c r="X123" s="97"/>
      <c r="Y123" s="97"/>
      <c r="Z123" s="97"/>
    </row>
    <row r="124" spans="1:26">
      <c r="A124" s="116"/>
      <c r="D124" s="92"/>
      <c r="E124" s="112"/>
      <c r="F124" s="97"/>
      <c r="G124" s="97"/>
      <c r="H124" s="97"/>
      <c r="I124" s="97"/>
      <c r="J124" s="97"/>
      <c r="K124" s="97"/>
      <c r="L124" s="97"/>
      <c r="M124" s="97"/>
      <c r="N124" s="97"/>
      <c r="O124" s="97"/>
      <c r="P124" s="97"/>
      <c r="Q124" s="97"/>
      <c r="R124" s="97"/>
      <c r="S124" s="97"/>
      <c r="T124" s="97"/>
      <c r="U124" s="97"/>
      <c r="V124" s="97"/>
      <c r="W124" s="97"/>
      <c r="X124" s="97"/>
      <c r="Y124" s="97"/>
      <c r="Z124" s="97"/>
    </row>
    <row r="125" spans="1:26">
      <c r="A125" s="116"/>
      <c r="D125" s="92"/>
      <c r="E125" s="112"/>
      <c r="F125" s="97"/>
      <c r="G125" s="97"/>
      <c r="H125" s="97"/>
      <c r="I125" s="97"/>
      <c r="J125" s="97"/>
      <c r="K125" s="97"/>
      <c r="L125" s="97"/>
      <c r="M125" s="97"/>
      <c r="N125" s="97"/>
      <c r="O125" s="97"/>
      <c r="P125" s="97"/>
      <c r="Q125" s="97"/>
      <c r="R125" s="97"/>
      <c r="S125" s="97"/>
      <c r="T125" s="97"/>
      <c r="U125" s="97"/>
      <c r="V125" s="97"/>
      <c r="W125" s="97"/>
      <c r="X125" s="97"/>
      <c r="Y125" s="97"/>
      <c r="Z125" s="97"/>
    </row>
    <row r="126" spans="1:26">
      <c r="A126" s="116"/>
      <c r="D126" s="92"/>
      <c r="E126" s="112"/>
      <c r="F126" s="97"/>
      <c r="G126" s="97"/>
      <c r="H126" s="97"/>
      <c r="I126" s="97"/>
      <c r="J126" s="97"/>
      <c r="K126" s="97"/>
      <c r="L126" s="97"/>
      <c r="M126" s="97"/>
      <c r="N126" s="97"/>
      <c r="O126" s="97"/>
      <c r="P126" s="97"/>
      <c r="Q126" s="97"/>
      <c r="R126" s="97"/>
      <c r="S126" s="97"/>
      <c r="T126" s="97"/>
      <c r="U126" s="97"/>
      <c r="V126" s="97"/>
      <c r="W126" s="97"/>
      <c r="X126" s="97"/>
      <c r="Y126" s="97"/>
      <c r="Z126" s="97"/>
    </row>
    <row r="127" spans="1:26">
      <c r="A127" s="116"/>
      <c r="D127" s="92"/>
      <c r="E127" s="112"/>
      <c r="F127" s="97"/>
      <c r="G127" s="97"/>
      <c r="H127" s="97"/>
      <c r="I127" s="97"/>
      <c r="J127" s="97"/>
      <c r="K127" s="97"/>
      <c r="L127" s="97"/>
      <c r="M127" s="97"/>
      <c r="N127" s="97"/>
      <c r="O127" s="97"/>
      <c r="P127" s="97"/>
      <c r="Q127" s="97"/>
      <c r="R127" s="97"/>
      <c r="S127" s="97"/>
      <c r="T127" s="97"/>
      <c r="U127" s="97"/>
      <c r="V127" s="97"/>
      <c r="W127" s="97"/>
      <c r="X127" s="97"/>
      <c r="Y127" s="97"/>
      <c r="Z127" s="97"/>
    </row>
    <row r="128" spans="1:26">
      <c r="A128" s="116"/>
      <c r="D128" s="92"/>
      <c r="E128" s="112"/>
      <c r="F128" s="97"/>
      <c r="G128" s="97"/>
      <c r="H128" s="97"/>
      <c r="I128" s="97"/>
      <c r="J128" s="97"/>
      <c r="K128" s="97"/>
      <c r="L128" s="97"/>
      <c r="M128" s="97"/>
      <c r="N128" s="97"/>
      <c r="O128" s="97"/>
      <c r="P128" s="97"/>
      <c r="Q128" s="97"/>
      <c r="R128" s="97"/>
      <c r="S128" s="97"/>
      <c r="T128" s="97"/>
      <c r="U128" s="97"/>
      <c r="V128" s="97"/>
      <c r="W128" s="97"/>
      <c r="X128" s="97"/>
      <c r="Y128" s="97"/>
      <c r="Z128" s="97"/>
    </row>
    <row r="129" spans="1:26">
      <c r="A129" s="116"/>
      <c r="D129" s="92"/>
      <c r="E129" s="112"/>
      <c r="F129" s="97"/>
      <c r="G129" s="97"/>
      <c r="H129" s="97"/>
      <c r="I129" s="97"/>
      <c r="J129" s="97"/>
      <c r="K129" s="97"/>
      <c r="L129" s="97"/>
      <c r="M129" s="97"/>
      <c r="N129" s="97"/>
      <c r="O129" s="97"/>
      <c r="P129" s="97"/>
      <c r="Q129" s="97"/>
      <c r="R129" s="97"/>
      <c r="S129" s="97"/>
      <c r="T129" s="97"/>
      <c r="U129" s="97"/>
      <c r="V129" s="97"/>
      <c r="W129" s="97"/>
      <c r="X129" s="97"/>
      <c r="Y129" s="97"/>
      <c r="Z129" s="97"/>
    </row>
    <row r="130" spans="1:26">
      <c r="A130" s="116"/>
      <c r="D130" s="92"/>
      <c r="E130" s="112"/>
      <c r="F130" s="97"/>
      <c r="G130" s="97"/>
      <c r="H130" s="97"/>
      <c r="I130" s="97"/>
      <c r="J130" s="97"/>
      <c r="K130" s="97"/>
      <c r="L130" s="97"/>
      <c r="M130" s="97"/>
      <c r="N130" s="97"/>
      <c r="O130" s="97"/>
      <c r="P130" s="97"/>
      <c r="Q130" s="97"/>
      <c r="R130" s="97"/>
      <c r="S130" s="97"/>
      <c r="T130" s="97"/>
      <c r="U130" s="97"/>
      <c r="V130" s="97"/>
      <c r="W130" s="97"/>
      <c r="X130" s="97"/>
      <c r="Y130" s="97"/>
      <c r="Z130" s="97"/>
    </row>
    <row r="131" spans="1:26">
      <c r="A131" s="116"/>
      <c r="D131" s="92"/>
      <c r="E131" s="112"/>
      <c r="F131" s="97"/>
      <c r="G131" s="97"/>
      <c r="H131" s="97"/>
      <c r="I131" s="97"/>
      <c r="J131" s="97"/>
      <c r="K131" s="97"/>
      <c r="L131" s="97"/>
      <c r="M131" s="97"/>
      <c r="N131" s="97"/>
      <c r="O131" s="97"/>
      <c r="P131" s="97"/>
      <c r="Q131" s="97"/>
      <c r="R131" s="97"/>
      <c r="S131" s="97"/>
      <c r="T131" s="97"/>
      <c r="U131" s="97"/>
      <c r="V131" s="97"/>
      <c r="W131" s="97"/>
      <c r="X131" s="97"/>
      <c r="Y131" s="97"/>
      <c r="Z131" s="97"/>
    </row>
    <row r="132" spans="1:26">
      <c r="A132" s="116"/>
      <c r="D132" s="92"/>
      <c r="E132" s="112"/>
      <c r="F132" s="97"/>
      <c r="G132" s="97"/>
      <c r="H132" s="97"/>
      <c r="I132" s="97"/>
      <c r="J132" s="97"/>
      <c r="K132" s="97"/>
      <c r="L132" s="97"/>
      <c r="M132" s="97"/>
      <c r="N132" s="97"/>
      <c r="O132" s="97"/>
      <c r="P132" s="97"/>
      <c r="Q132" s="97"/>
      <c r="R132" s="97"/>
      <c r="S132" s="97"/>
      <c r="T132" s="97"/>
      <c r="U132" s="97"/>
      <c r="V132" s="97"/>
      <c r="W132" s="97"/>
      <c r="X132" s="97"/>
      <c r="Y132" s="97"/>
      <c r="Z132" s="97"/>
    </row>
    <row r="133" spans="1:26">
      <c r="A133" s="116"/>
      <c r="D133" s="92"/>
      <c r="E133" s="112"/>
      <c r="F133" s="97"/>
      <c r="G133" s="97"/>
      <c r="H133" s="97"/>
      <c r="I133" s="97"/>
      <c r="J133" s="97"/>
      <c r="K133" s="97"/>
      <c r="L133" s="97"/>
      <c r="M133" s="97"/>
      <c r="N133" s="97"/>
      <c r="O133" s="97"/>
      <c r="P133" s="97"/>
      <c r="Q133" s="97"/>
      <c r="R133" s="97"/>
      <c r="S133" s="97"/>
      <c r="T133" s="97"/>
      <c r="U133" s="97"/>
      <c r="V133" s="97"/>
      <c r="W133" s="97"/>
      <c r="X133" s="97"/>
      <c r="Y133" s="97"/>
      <c r="Z133" s="97"/>
    </row>
    <row r="134" spans="1:26">
      <c r="A134" s="116"/>
      <c r="D134" s="92"/>
      <c r="E134" s="112"/>
      <c r="F134" s="97"/>
      <c r="G134" s="97"/>
      <c r="H134" s="97"/>
      <c r="I134" s="97"/>
      <c r="J134" s="97"/>
      <c r="K134" s="97"/>
      <c r="L134" s="97"/>
      <c r="M134" s="97"/>
      <c r="N134" s="97"/>
      <c r="O134" s="97"/>
      <c r="P134" s="97"/>
      <c r="Q134" s="97"/>
      <c r="R134" s="97"/>
      <c r="S134" s="97"/>
      <c r="T134" s="97"/>
      <c r="U134" s="97"/>
      <c r="V134" s="97"/>
      <c r="W134" s="97"/>
      <c r="X134" s="97"/>
      <c r="Y134" s="97"/>
      <c r="Z134" s="97"/>
    </row>
    <row r="135" spans="1:26">
      <c r="A135" s="116"/>
      <c r="D135" s="92"/>
      <c r="E135" s="112"/>
      <c r="F135" s="97"/>
      <c r="G135" s="97"/>
      <c r="H135" s="97"/>
      <c r="I135" s="97"/>
      <c r="J135" s="97"/>
      <c r="K135" s="97"/>
      <c r="L135" s="97"/>
      <c r="M135" s="97"/>
      <c r="N135" s="97"/>
      <c r="O135" s="97"/>
      <c r="P135" s="97"/>
      <c r="Q135" s="97"/>
      <c r="R135" s="97"/>
      <c r="S135" s="97"/>
      <c r="T135" s="97"/>
      <c r="U135" s="97"/>
      <c r="V135" s="97"/>
      <c r="W135" s="97"/>
      <c r="X135" s="97"/>
      <c r="Y135" s="97"/>
      <c r="Z135" s="97"/>
    </row>
    <row r="136" spans="1:26">
      <c r="A136" s="116"/>
      <c r="D136" s="92"/>
      <c r="E136" s="112"/>
      <c r="F136" s="97"/>
      <c r="G136" s="97"/>
      <c r="H136" s="97"/>
      <c r="I136" s="97"/>
      <c r="J136" s="97"/>
      <c r="K136" s="97"/>
      <c r="L136" s="97"/>
      <c r="M136" s="97"/>
      <c r="N136" s="97"/>
      <c r="O136" s="97"/>
      <c r="P136" s="97"/>
      <c r="Q136" s="97"/>
      <c r="R136" s="97"/>
      <c r="S136" s="97"/>
      <c r="T136" s="97"/>
      <c r="U136" s="97"/>
      <c r="V136" s="97"/>
      <c r="W136" s="97"/>
      <c r="X136" s="97"/>
      <c r="Y136" s="97"/>
      <c r="Z136" s="97"/>
    </row>
    <row r="137" spans="1:26">
      <c r="A137" s="116"/>
      <c r="D137" s="92"/>
      <c r="E137" s="112"/>
      <c r="F137" s="97"/>
      <c r="G137" s="97"/>
      <c r="H137" s="97"/>
      <c r="I137" s="97"/>
      <c r="J137" s="97"/>
      <c r="K137" s="97"/>
      <c r="L137" s="97"/>
      <c r="M137" s="97"/>
      <c r="N137" s="97"/>
      <c r="O137" s="97"/>
      <c r="P137" s="97"/>
      <c r="Q137" s="97"/>
      <c r="R137" s="97"/>
      <c r="S137" s="97"/>
      <c r="T137" s="97"/>
      <c r="U137" s="97"/>
      <c r="V137" s="97"/>
      <c r="W137" s="97"/>
      <c r="X137" s="97"/>
      <c r="Y137" s="97"/>
      <c r="Z137" s="97"/>
    </row>
    <row r="138" spans="1:26">
      <c r="A138" s="116"/>
      <c r="D138" s="92"/>
      <c r="E138" s="112"/>
      <c r="F138" s="97"/>
      <c r="G138" s="97"/>
      <c r="H138" s="97"/>
      <c r="I138" s="97"/>
      <c r="J138" s="97"/>
      <c r="K138" s="97"/>
      <c r="L138" s="97"/>
      <c r="M138" s="97"/>
      <c r="N138" s="97"/>
      <c r="O138" s="97"/>
      <c r="P138" s="97"/>
      <c r="Q138" s="97"/>
      <c r="R138" s="97"/>
      <c r="S138" s="97"/>
      <c r="T138" s="97"/>
      <c r="U138" s="97"/>
      <c r="V138" s="97"/>
      <c r="W138" s="97"/>
      <c r="X138" s="97"/>
      <c r="Y138" s="97"/>
      <c r="Z138" s="97"/>
    </row>
    <row r="139" spans="1:26">
      <c r="A139" s="116"/>
      <c r="D139" s="92"/>
      <c r="E139" s="112"/>
      <c r="F139" s="97"/>
      <c r="G139" s="97"/>
      <c r="H139" s="97"/>
      <c r="I139" s="97"/>
      <c r="J139" s="97"/>
      <c r="K139" s="97"/>
      <c r="L139" s="97"/>
      <c r="M139" s="97"/>
      <c r="N139" s="97"/>
      <c r="O139" s="97"/>
      <c r="P139" s="97"/>
      <c r="Q139" s="97"/>
      <c r="R139" s="97"/>
      <c r="S139" s="97"/>
      <c r="T139" s="97"/>
      <c r="U139" s="97"/>
      <c r="V139" s="97"/>
      <c r="W139" s="97"/>
      <c r="X139" s="97"/>
      <c r="Y139" s="97"/>
      <c r="Z139" s="97"/>
    </row>
    <row r="140" spans="1:26">
      <c r="A140" s="116"/>
      <c r="D140" s="92"/>
      <c r="E140" s="112"/>
      <c r="F140" s="97"/>
      <c r="G140" s="97"/>
      <c r="H140" s="97"/>
      <c r="I140" s="97"/>
      <c r="J140" s="97"/>
      <c r="K140" s="97"/>
      <c r="L140" s="97"/>
      <c r="M140" s="97"/>
      <c r="N140" s="97"/>
      <c r="O140" s="97"/>
      <c r="P140" s="97"/>
      <c r="Q140" s="97"/>
      <c r="R140" s="97"/>
      <c r="S140" s="97"/>
      <c r="T140" s="97"/>
      <c r="U140" s="97"/>
      <c r="V140" s="97"/>
      <c r="W140" s="97"/>
      <c r="X140" s="97"/>
      <c r="Y140" s="97"/>
      <c r="Z140" s="97"/>
    </row>
    <row r="141" spans="1:26">
      <c r="A141" s="116"/>
      <c r="D141" s="92"/>
      <c r="E141" s="112"/>
      <c r="F141" s="97"/>
      <c r="G141" s="97"/>
      <c r="H141" s="97"/>
      <c r="I141" s="97"/>
      <c r="J141" s="97"/>
      <c r="K141" s="97"/>
      <c r="L141" s="97"/>
      <c r="M141" s="97"/>
      <c r="N141" s="97"/>
      <c r="O141" s="97"/>
      <c r="P141" s="97"/>
      <c r="Q141" s="97"/>
      <c r="R141" s="97"/>
      <c r="S141" s="97"/>
      <c r="T141" s="97"/>
      <c r="U141" s="97"/>
      <c r="V141" s="97"/>
      <c r="W141" s="97"/>
      <c r="X141" s="97"/>
      <c r="Y141" s="97"/>
      <c r="Z141" s="97"/>
    </row>
    <row r="142" spans="1:26">
      <c r="A142" s="116"/>
      <c r="D142" s="92"/>
      <c r="E142" s="112"/>
      <c r="F142" s="97"/>
      <c r="G142" s="97"/>
      <c r="H142" s="97"/>
      <c r="I142" s="97"/>
      <c r="J142" s="97"/>
      <c r="K142" s="97"/>
      <c r="L142" s="97"/>
      <c r="M142" s="97"/>
      <c r="N142" s="97"/>
      <c r="O142" s="97"/>
      <c r="P142" s="97"/>
      <c r="Q142" s="97"/>
      <c r="R142" s="97"/>
      <c r="S142" s="97"/>
      <c r="T142" s="97"/>
      <c r="U142" s="97"/>
      <c r="V142" s="97"/>
      <c r="W142" s="97"/>
      <c r="X142" s="97"/>
      <c r="Y142" s="97"/>
      <c r="Z142" s="97"/>
    </row>
    <row r="143" spans="1:26">
      <c r="A143" s="116"/>
      <c r="D143" s="92"/>
      <c r="E143" s="112"/>
      <c r="F143" s="97"/>
      <c r="G143" s="97"/>
      <c r="H143" s="97"/>
      <c r="I143" s="97"/>
      <c r="J143" s="97"/>
      <c r="K143" s="97"/>
      <c r="L143" s="97"/>
      <c r="M143" s="97"/>
      <c r="N143" s="97"/>
      <c r="O143" s="97"/>
      <c r="P143" s="97"/>
      <c r="Q143" s="97"/>
      <c r="R143" s="97"/>
      <c r="S143" s="97"/>
      <c r="T143" s="97"/>
      <c r="U143" s="97"/>
      <c r="V143" s="97"/>
      <c r="W143" s="97"/>
      <c r="X143" s="97"/>
      <c r="Y143" s="97"/>
      <c r="Z143" s="97"/>
    </row>
    <row r="144" spans="1:26">
      <c r="A144" s="116"/>
      <c r="D144" s="92"/>
      <c r="E144" s="112"/>
      <c r="F144" s="97"/>
      <c r="G144" s="97"/>
      <c r="H144" s="97"/>
      <c r="I144" s="97"/>
      <c r="J144" s="97"/>
      <c r="K144" s="97"/>
      <c r="L144" s="97"/>
      <c r="M144" s="97"/>
      <c r="N144" s="97"/>
      <c r="O144" s="97"/>
      <c r="P144" s="97"/>
      <c r="Q144" s="97"/>
      <c r="R144" s="97"/>
      <c r="S144" s="97"/>
      <c r="T144" s="97"/>
      <c r="U144" s="97"/>
      <c r="V144" s="97"/>
      <c r="W144" s="97"/>
      <c r="X144" s="97"/>
      <c r="Y144" s="97"/>
      <c r="Z144" s="97"/>
    </row>
    <row r="145" spans="1:26">
      <c r="A145" s="116"/>
      <c r="D145" s="92"/>
      <c r="E145" s="112"/>
      <c r="F145" s="97"/>
      <c r="G145" s="97"/>
      <c r="H145" s="97"/>
      <c r="I145" s="97"/>
      <c r="J145" s="97"/>
      <c r="K145" s="97"/>
      <c r="L145" s="97"/>
      <c r="M145" s="97"/>
      <c r="N145" s="97"/>
      <c r="O145" s="97"/>
      <c r="P145" s="97"/>
      <c r="Q145" s="97"/>
      <c r="R145" s="97"/>
      <c r="S145" s="97"/>
      <c r="T145" s="97"/>
      <c r="U145" s="97"/>
      <c r="V145" s="97"/>
      <c r="W145" s="97"/>
      <c r="X145" s="97"/>
      <c r="Y145" s="97"/>
      <c r="Z145" s="97"/>
    </row>
    <row r="146" spans="1:26">
      <c r="A146" s="116"/>
      <c r="D146" s="92"/>
      <c r="E146" s="112"/>
      <c r="F146" s="97"/>
      <c r="G146" s="97"/>
      <c r="H146" s="97"/>
      <c r="I146" s="97"/>
      <c r="J146" s="97"/>
      <c r="K146" s="97"/>
      <c r="L146" s="97"/>
      <c r="M146" s="97"/>
      <c r="N146" s="97"/>
      <c r="O146" s="97"/>
      <c r="P146" s="97"/>
      <c r="Q146" s="97"/>
      <c r="R146" s="97"/>
      <c r="S146" s="97"/>
      <c r="T146" s="97"/>
      <c r="U146" s="97"/>
      <c r="V146" s="97"/>
      <c r="W146" s="97"/>
      <c r="X146" s="97"/>
      <c r="Y146" s="97"/>
      <c r="Z146" s="97"/>
    </row>
    <row r="147" spans="1:26">
      <c r="A147" s="116"/>
      <c r="D147" s="92"/>
      <c r="E147" s="112"/>
      <c r="F147" s="97"/>
      <c r="G147" s="97"/>
      <c r="H147" s="97"/>
      <c r="I147" s="97"/>
      <c r="J147" s="97"/>
      <c r="K147" s="97"/>
      <c r="L147" s="97"/>
      <c r="M147" s="97"/>
      <c r="N147" s="97"/>
      <c r="O147" s="97"/>
      <c r="P147" s="97"/>
      <c r="Q147" s="97"/>
      <c r="R147" s="97"/>
      <c r="S147" s="97"/>
      <c r="T147" s="97"/>
      <c r="U147" s="97"/>
      <c r="V147" s="97"/>
      <c r="W147" s="97"/>
      <c r="X147" s="97"/>
      <c r="Y147" s="97"/>
      <c r="Z147" s="97"/>
    </row>
    <row r="148" spans="1:26">
      <c r="A148" s="116"/>
      <c r="D148" s="92"/>
      <c r="E148" s="112"/>
      <c r="F148" s="97"/>
      <c r="G148" s="97"/>
      <c r="H148" s="97"/>
      <c r="I148" s="97"/>
      <c r="J148" s="97"/>
      <c r="K148" s="97"/>
      <c r="L148" s="97"/>
      <c r="M148" s="97"/>
      <c r="N148" s="97"/>
      <c r="O148" s="97"/>
      <c r="P148" s="97"/>
      <c r="Q148" s="97"/>
      <c r="R148" s="97"/>
      <c r="S148" s="97"/>
      <c r="T148" s="97"/>
      <c r="U148" s="97"/>
      <c r="V148" s="97"/>
      <c r="W148" s="97"/>
      <c r="X148" s="97"/>
      <c r="Y148" s="97"/>
      <c r="Z148" s="97"/>
    </row>
    <row r="149" spans="1:26">
      <c r="A149" s="116"/>
      <c r="D149" s="92"/>
      <c r="E149" s="112"/>
      <c r="F149" s="97"/>
      <c r="G149" s="97"/>
      <c r="H149" s="97"/>
      <c r="I149" s="97"/>
      <c r="J149" s="97"/>
      <c r="K149" s="97"/>
      <c r="L149" s="97"/>
      <c r="M149" s="97"/>
      <c r="N149" s="97"/>
      <c r="O149" s="97"/>
      <c r="P149" s="97"/>
      <c r="Q149" s="97"/>
      <c r="R149" s="97"/>
      <c r="S149" s="97"/>
      <c r="T149" s="97"/>
      <c r="U149" s="97"/>
      <c r="V149" s="97"/>
      <c r="W149" s="97"/>
      <c r="X149" s="97"/>
      <c r="Y149" s="97"/>
      <c r="Z149" s="97"/>
    </row>
    <row r="150" spans="1:26">
      <c r="A150" s="116"/>
      <c r="D150" s="92"/>
      <c r="E150" s="112"/>
      <c r="F150" s="97"/>
      <c r="G150" s="97"/>
      <c r="H150" s="97"/>
      <c r="I150" s="97"/>
      <c r="J150" s="97"/>
      <c r="K150" s="97"/>
      <c r="L150" s="97"/>
      <c r="M150" s="97"/>
      <c r="N150" s="97"/>
      <c r="O150" s="97"/>
      <c r="P150" s="97"/>
      <c r="Q150" s="97"/>
      <c r="R150" s="97"/>
      <c r="S150" s="97"/>
      <c r="T150" s="97"/>
      <c r="U150" s="97"/>
      <c r="V150" s="97"/>
      <c r="W150" s="97"/>
      <c r="X150" s="97"/>
      <c r="Y150" s="97"/>
      <c r="Z150" s="97"/>
    </row>
    <row r="151" spans="1:26">
      <c r="A151" s="116"/>
      <c r="D151" s="92"/>
      <c r="E151" s="112"/>
      <c r="F151" s="97"/>
      <c r="G151" s="97"/>
      <c r="H151" s="97"/>
      <c r="I151" s="97"/>
      <c r="J151" s="97"/>
      <c r="K151" s="97"/>
      <c r="L151" s="97"/>
      <c r="M151" s="97"/>
      <c r="N151" s="97"/>
      <c r="O151" s="97"/>
      <c r="P151" s="97"/>
      <c r="Q151" s="97"/>
      <c r="R151" s="97"/>
      <c r="S151" s="97"/>
      <c r="T151" s="97"/>
      <c r="U151" s="97"/>
      <c r="V151" s="97"/>
      <c r="W151" s="97"/>
      <c r="X151" s="97"/>
      <c r="Y151" s="97"/>
      <c r="Z151" s="97"/>
    </row>
    <row r="152" spans="1:26">
      <c r="A152" s="116"/>
      <c r="D152" s="92"/>
      <c r="E152" s="112"/>
      <c r="F152" s="97"/>
      <c r="G152" s="97"/>
      <c r="H152" s="97"/>
      <c r="I152" s="97"/>
      <c r="J152" s="97"/>
      <c r="K152" s="97"/>
      <c r="L152" s="97"/>
      <c r="M152" s="97"/>
      <c r="N152" s="97"/>
      <c r="O152" s="97"/>
      <c r="P152" s="97"/>
      <c r="Q152" s="97"/>
      <c r="R152" s="97"/>
      <c r="S152" s="97"/>
      <c r="T152" s="97"/>
      <c r="U152" s="97"/>
      <c r="V152" s="97"/>
      <c r="W152" s="97"/>
      <c r="X152" s="97"/>
      <c r="Y152" s="97"/>
      <c r="Z152" s="97"/>
    </row>
    <row r="153" spans="1:26">
      <c r="A153" s="116"/>
      <c r="D153" s="92"/>
      <c r="E153" s="112"/>
      <c r="F153" s="97"/>
      <c r="G153" s="97"/>
      <c r="H153" s="97"/>
      <c r="I153" s="97"/>
      <c r="J153" s="97"/>
      <c r="K153" s="97"/>
      <c r="L153" s="97"/>
      <c r="M153" s="97"/>
      <c r="N153" s="97"/>
      <c r="O153" s="97"/>
      <c r="P153" s="97"/>
      <c r="Q153" s="97"/>
      <c r="R153" s="97"/>
      <c r="S153" s="97"/>
      <c r="T153" s="97"/>
      <c r="U153" s="97"/>
      <c r="V153" s="97"/>
      <c r="W153" s="97"/>
      <c r="X153" s="97"/>
      <c r="Y153" s="97"/>
      <c r="Z153" s="97"/>
    </row>
    <row r="154" spans="1:26">
      <c r="A154" s="116"/>
      <c r="D154" s="92"/>
      <c r="E154" s="112"/>
      <c r="F154" s="97"/>
      <c r="G154" s="97"/>
      <c r="H154" s="97"/>
      <c r="I154" s="97"/>
      <c r="J154" s="97"/>
      <c r="K154" s="97"/>
      <c r="L154" s="97"/>
      <c r="M154" s="97"/>
      <c r="N154" s="97"/>
      <c r="O154" s="97"/>
      <c r="P154" s="97"/>
      <c r="Q154" s="97"/>
      <c r="R154" s="97"/>
      <c r="S154" s="97"/>
      <c r="T154" s="97"/>
      <c r="U154" s="97"/>
      <c r="V154" s="97"/>
      <c r="W154" s="97"/>
      <c r="X154" s="97"/>
      <c r="Y154" s="97"/>
      <c r="Z154" s="97"/>
    </row>
    <row r="155" spans="1:26">
      <c r="A155" s="116"/>
      <c r="D155" s="92"/>
      <c r="E155" s="112"/>
      <c r="F155" s="97"/>
      <c r="G155" s="97"/>
      <c r="H155" s="97"/>
      <c r="I155" s="97"/>
      <c r="J155" s="97"/>
      <c r="K155" s="97"/>
      <c r="L155" s="97"/>
      <c r="M155" s="97"/>
      <c r="N155" s="97"/>
      <c r="O155" s="97"/>
      <c r="P155" s="97"/>
      <c r="Q155" s="97"/>
      <c r="R155" s="97"/>
      <c r="S155" s="97"/>
      <c r="T155" s="97"/>
      <c r="U155" s="97"/>
      <c r="V155" s="97"/>
      <c r="W155" s="97"/>
      <c r="X155" s="97"/>
      <c r="Y155" s="97"/>
      <c r="Z155" s="97"/>
    </row>
    <row r="156" spans="1:26">
      <c r="A156" s="116"/>
      <c r="D156" s="92"/>
      <c r="E156" s="112"/>
      <c r="F156" s="97"/>
      <c r="G156" s="97"/>
      <c r="H156" s="97"/>
      <c r="I156" s="97"/>
      <c r="J156" s="97"/>
      <c r="K156" s="97"/>
      <c r="L156" s="97"/>
      <c r="M156" s="97"/>
      <c r="N156" s="97"/>
      <c r="O156" s="97"/>
      <c r="P156" s="97"/>
      <c r="Q156" s="97"/>
      <c r="R156" s="97"/>
      <c r="S156" s="97"/>
      <c r="T156" s="97"/>
      <c r="U156" s="97"/>
      <c r="V156" s="97"/>
      <c r="W156" s="97"/>
      <c r="X156" s="97"/>
      <c r="Y156" s="97"/>
      <c r="Z156" s="97"/>
    </row>
    <row r="157" spans="1:26">
      <c r="A157" s="116"/>
      <c r="D157" s="92"/>
      <c r="E157" s="112"/>
      <c r="F157" s="97"/>
      <c r="G157" s="97"/>
      <c r="H157" s="97"/>
      <c r="I157" s="97"/>
      <c r="J157" s="97"/>
      <c r="K157" s="97"/>
      <c r="L157" s="97"/>
      <c r="M157" s="97"/>
      <c r="N157" s="97"/>
      <c r="O157" s="97"/>
      <c r="P157" s="97"/>
      <c r="Q157" s="97"/>
      <c r="R157" s="97"/>
      <c r="S157" s="97"/>
      <c r="T157" s="97"/>
      <c r="U157" s="97"/>
      <c r="V157" s="97"/>
      <c r="W157" s="97"/>
      <c r="X157" s="97"/>
      <c r="Y157" s="97"/>
      <c r="Z157" s="97"/>
    </row>
    <row r="158" spans="1:26">
      <c r="A158" s="116"/>
      <c r="D158" s="92"/>
      <c r="E158" s="112"/>
      <c r="F158" s="97"/>
      <c r="G158" s="97"/>
      <c r="H158" s="97"/>
      <c r="I158" s="97"/>
      <c r="J158" s="97"/>
      <c r="K158" s="97"/>
      <c r="L158" s="97"/>
      <c r="M158" s="97"/>
      <c r="N158" s="97"/>
      <c r="O158" s="97"/>
      <c r="P158" s="97"/>
      <c r="Q158" s="97"/>
      <c r="R158" s="97"/>
      <c r="S158" s="97"/>
      <c r="T158" s="97"/>
      <c r="U158" s="97"/>
      <c r="V158" s="97"/>
      <c r="W158" s="97"/>
      <c r="X158" s="97"/>
      <c r="Y158" s="97"/>
      <c r="Z158" s="97"/>
    </row>
    <row r="159" spans="1:26">
      <c r="A159" s="116"/>
      <c r="D159" s="92"/>
      <c r="E159" s="112"/>
      <c r="F159" s="97"/>
      <c r="G159" s="97"/>
      <c r="H159" s="97"/>
      <c r="I159" s="97"/>
      <c r="J159" s="97"/>
      <c r="K159" s="97"/>
      <c r="L159" s="97"/>
      <c r="M159" s="97"/>
      <c r="N159" s="97"/>
      <c r="O159" s="97"/>
      <c r="P159" s="97"/>
      <c r="Q159" s="97"/>
      <c r="R159" s="97"/>
      <c r="S159" s="97"/>
      <c r="T159" s="97"/>
      <c r="U159" s="97"/>
      <c r="V159" s="97"/>
      <c r="W159" s="97"/>
      <c r="X159" s="97"/>
      <c r="Y159" s="97"/>
      <c r="Z159" s="97"/>
    </row>
    <row r="160" spans="1:26">
      <c r="A160" s="116"/>
      <c r="D160" s="92"/>
      <c r="E160" s="112"/>
      <c r="F160" s="97"/>
      <c r="G160" s="97"/>
      <c r="H160" s="97"/>
      <c r="I160" s="97"/>
      <c r="J160" s="97"/>
      <c r="K160" s="97"/>
      <c r="L160" s="97"/>
      <c r="M160" s="97"/>
      <c r="N160" s="97"/>
      <c r="O160" s="97"/>
      <c r="P160" s="97"/>
      <c r="Q160" s="97"/>
      <c r="R160" s="97"/>
      <c r="S160" s="97"/>
      <c r="T160" s="97"/>
      <c r="U160" s="97"/>
      <c r="V160" s="97"/>
      <c r="W160" s="97"/>
      <c r="X160" s="97"/>
      <c r="Y160" s="97"/>
      <c r="Z160" s="97"/>
    </row>
    <row r="161" spans="1:26">
      <c r="A161" s="116"/>
      <c r="D161" s="92"/>
      <c r="E161" s="112"/>
      <c r="F161" s="97"/>
      <c r="G161" s="97"/>
      <c r="H161" s="97"/>
      <c r="I161" s="97"/>
      <c r="J161" s="97"/>
      <c r="K161" s="97"/>
      <c r="L161" s="97"/>
      <c r="M161" s="97"/>
      <c r="N161" s="97"/>
      <c r="O161" s="97"/>
      <c r="P161" s="97"/>
      <c r="Q161" s="97"/>
      <c r="R161" s="97"/>
      <c r="S161" s="97"/>
      <c r="T161" s="97"/>
      <c r="U161" s="97"/>
      <c r="V161" s="97"/>
      <c r="W161" s="97"/>
      <c r="X161" s="97"/>
      <c r="Y161" s="97"/>
      <c r="Z161" s="97"/>
    </row>
    <row r="162" spans="1:26">
      <c r="A162" s="116"/>
      <c r="D162" s="92"/>
      <c r="E162" s="112"/>
      <c r="F162" s="97"/>
      <c r="G162" s="97"/>
      <c r="H162" s="97"/>
      <c r="I162" s="97"/>
      <c r="J162" s="97"/>
      <c r="K162" s="97"/>
      <c r="L162" s="97"/>
      <c r="M162" s="97"/>
      <c r="N162" s="97"/>
      <c r="O162" s="97"/>
      <c r="P162" s="97"/>
      <c r="Q162" s="97"/>
      <c r="R162" s="97"/>
      <c r="S162" s="97"/>
      <c r="T162" s="97"/>
      <c r="U162" s="97"/>
      <c r="V162" s="97"/>
      <c r="W162" s="97"/>
      <c r="X162" s="97"/>
      <c r="Y162" s="97"/>
      <c r="Z162" s="97"/>
    </row>
    <row r="163" spans="1:26">
      <c r="A163" s="116"/>
      <c r="D163" s="92"/>
      <c r="E163" s="112"/>
      <c r="F163" s="97"/>
      <c r="G163" s="97"/>
      <c r="H163" s="97"/>
      <c r="I163" s="97"/>
      <c r="J163" s="97"/>
      <c r="K163" s="97"/>
      <c r="L163" s="97"/>
      <c r="M163" s="97"/>
      <c r="N163" s="97"/>
      <c r="O163" s="97"/>
      <c r="P163" s="97"/>
      <c r="Q163" s="97"/>
      <c r="R163" s="97"/>
      <c r="S163" s="97"/>
      <c r="T163" s="97"/>
      <c r="U163" s="97"/>
      <c r="V163" s="97"/>
      <c r="W163" s="97"/>
      <c r="X163" s="97"/>
      <c r="Y163" s="97"/>
      <c r="Z163" s="97"/>
    </row>
    <row r="164" spans="1:26">
      <c r="A164" s="116"/>
      <c r="D164" s="92"/>
      <c r="E164" s="112"/>
      <c r="F164" s="97"/>
      <c r="G164" s="97"/>
      <c r="H164" s="97"/>
      <c r="I164" s="97"/>
      <c r="J164" s="97"/>
      <c r="K164" s="97"/>
      <c r="L164" s="97"/>
      <c r="M164" s="97"/>
      <c r="N164" s="97"/>
      <c r="O164" s="97"/>
      <c r="P164" s="97"/>
      <c r="Q164" s="97"/>
      <c r="R164" s="97"/>
      <c r="S164" s="97"/>
      <c r="T164" s="97"/>
      <c r="U164" s="97"/>
      <c r="V164" s="97"/>
      <c r="W164" s="97"/>
      <c r="X164" s="97"/>
      <c r="Y164" s="97"/>
      <c r="Z164" s="97"/>
    </row>
    <row r="165" spans="1:26">
      <c r="A165" s="116"/>
      <c r="D165" s="92"/>
      <c r="E165" s="112"/>
      <c r="F165" s="97"/>
      <c r="G165" s="97"/>
      <c r="H165" s="97"/>
      <c r="I165" s="97"/>
      <c r="J165" s="97"/>
      <c r="K165" s="97"/>
      <c r="L165" s="97"/>
      <c r="M165" s="97"/>
      <c r="N165" s="97"/>
      <c r="O165" s="97"/>
      <c r="P165" s="97"/>
      <c r="Q165" s="97"/>
      <c r="R165" s="97"/>
      <c r="S165" s="97"/>
      <c r="T165" s="97"/>
      <c r="U165" s="97"/>
      <c r="V165" s="97"/>
      <c r="W165" s="97"/>
      <c r="X165" s="97"/>
      <c r="Y165" s="97"/>
      <c r="Z165" s="97"/>
    </row>
    <row r="166" spans="1:26">
      <c r="A166" s="116"/>
      <c r="D166" s="92"/>
      <c r="E166" s="112"/>
      <c r="F166" s="97"/>
      <c r="G166" s="97"/>
      <c r="H166" s="97"/>
      <c r="I166" s="97"/>
      <c r="J166" s="97"/>
      <c r="K166" s="97"/>
      <c r="L166" s="97"/>
      <c r="M166" s="97"/>
      <c r="N166" s="97"/>
      <c r="O166" s="97"/>
      <c r="P166" s="97"/>
      <c r="Q166" s="97"/>
      <c r="R166" s="97"/>
      <c r="S166" s="97"/>
      <c r="T166" s="97"/>
      <c r="U166" s="97"/>
      <c r="V166" s="97"/>
      <c r="W166" s="97"/>
      <c r="X166" s="97"/>
      <c r="Y166" s="97"/>
      <c r="Z166" s="97"/>
    </row>
    <row r="167" spans="1:26">
      <c r="A167" s="116"/>
      <c r="D167" s="92"/>
      <c r="E167" s="112"/>
      <c r="F167" s="97"/>
      <c r="G167" s="97"/>
      <c r="H167" s="97"/>
      <c r="I167" s="97"/>
      <c r="J167" s="97"/>
      <c r="K167" s="97"/>
      <c r="L167" s="97"/>
      <c r="M167" s="97"/>
      <c r="N167" s="97"/>
      <c r="O167" s="97"/>
      <c r="P167" s="97"/>
      <c r="Q167" s="97"/>
      <c r="R167" s="97"/>
      <c r="S167" s="97"/>
      <c r="T167" s="97"/>
      <c r="U167" s="97"/>
      <c r="V167" s="97"/>
      <c r="W167" s="97"/>
      <c r="X167" s="97"/>
      <c r="Y167" s="97"/>
      <c r="Z167" s="97"/>
    </row>
    <row r="168" spans="1:26">
      <c r="A168" s="116"/>
      <c r="D168" s="92"/>
      <c r="E168" s="112"/>
      <c r="F168" s="97"/>
      <c r="G168" s="97"/>
      <c r="H168" s="97"/>
      <c r="I168" s="97"/>
      <c r="J168" s="97"/>
      <c r="K168" s="97"/>
      <c r="L168" s="97"/>
      <c r="M168" s="97"/>
      <c r="N168" s="97"/>
      <c r="O168" s="97"/>
      <c r="P168" s="97"/>
      <c r="Q168" s="97"/>
      <c r="R168" s="97"/>
      <c r="S168" s="97"/>
      <c r="T168" s="97"/>
      <c r="U168" s="97"/>
      <c r="V168" s="97"/>
      <c r="W168" s="97"/>
      <c r="X168" s="97"/>
      <c r="Y168" s="97"/>
      <c r="Z168" s="97"/>
    </row>
    <row r="169" spans="1:26">
      <c r="A169" s="116"/>
      <c r="D169" s="92"/>
      <c r="E169" s="112"/>
      <c r="F169" s="97"/>
      <c r="G169" s="97"/>
      <c r="H169" s="97"/>
      <c r="I169" s="97"/>
      <c r="J169" s="97"/>
      <c r="K169" s="97"/>
      <c r="L169" s="97"/>
      <c r="M169" s="97"/>
      <c r="N169" s="97"/>
      <c r="O169" s="97"/>
      <c r="P169" s="97"/>
      <c r="Q169" s="97"/>
      <c r="R169" s="97"/>
      <c r="S169" s="97"/>
      <c r="T169" s="97"/>
      <c r="U169" s="97"/>
      <c r="V169" s="97"/>
      <c r="W169" s="97"/>
      <c r="X169" s="97"/>
      <c r="Y169" s="97"/>
      <c r="Z169" s="97"/>
    </row>
    <row r="170" spans="1:26">
      <c r="A170" s="116"/>
      <c r="D170" s="92"/>
      <c r="E170" s="112"/>
      <c r="F170" s="97"/>
      <c r="G170" s="97"/>
      <c r="H170" s="97"/>
      <c r="I170" s="97"/>
      <c r="J170" s="97"/>
      <c r="K170" s="97"/>
      <c r="L170" s="97"/>
      <c r="M170" s="97"/>
      <c r="N170" s="97"/>
      <c r="O170" s="97"/>
      <c r="P170" s="97"/>
      <c r="Q170" s="97"/>
      <c r="R170" s="97"/>
      <c r="S170" s="97"/>
      <c r="T170" s="97"/>
      <c r="U170" s="97"/>
      <c r="V170" s="97"/>
      <c r="W170" s="97"/>
      <c r="X170" s="97"/>
      <c r="Y170" s="97"/>
      <c r="Z170" s="97"/>
    </row>
    <row r="171" spans="1:26">
      <c r="A171" s="116"/>
      <c r="D171" s="92"/>
      <c r="E171" s="112"/>
      <c r="F171" s="97"/>
      <c r="G171" s="97"/>
      <c r="H171" s="97"/>
      <c r="I171" s="97"/>
      <c r="J171" s="97"/>
      <c r="K171" s="97"/>
      <c r="L171" s="97"/>
      <c r="M171" s="97"/>
      <c r="N171" s="97"/>
      <c r="O171" s="97"/>
      <c r="P171" s="97"/>
      <c r="Q171" s="97"/>
      <c r="R171" s="97"/>
      <c r="S171" s="97"/>
      <c r="T171" s="97"/>
      <c r="U171" s="97"/>
      <c r="V171" s="97"/>
      <c r="W171" s="97"/>
      <c r="X171" s="97"/>
      <c r="Y171" s="97"/>
      <c r="Z171" s="97"/>
    </row>
    <row r="172" spans="1:26">
      <c r="A172" s="116"/>
      <c r="D172" s="92"/>
      <c r="E172" s="112"/>
      <c r="F172" s="97"/>
      <c r="G172" s="97"/>
      <c r="H172" s="97"/>
      <c r="I172" s="97"/>
      <c r="J172" s="97"/>
      <c r="K172" s="97"/>
      <c r="L172" s="97"/>
      <c r="M172" s="97"/>
      <c r="N172" s="97"/>
      <c r="O172" s="97"/>
      <c r="P172" s="97"/>
      <c r="Q172" s="97"/>
      <c r="R172" s="97"/>
      <c r="S172" s="97"/>
      <c r="T172" s="97"/>
      <c r="U172" s="97"/>
      <c r="V172" s="97"/>
      <c r="W172" s="97"/>
      <c r="X172" s="97"/>
      <c r="Y172" s="97"/>
      <c r="Z172" s="97"/>
    </row>
    <row r="173" spans="1:26">
      <c r="A173" s="116"/>
      <c r="D173" s="92"/>
      <c r="E173" s="112"/>
      <c r="F173" s="97"/>
      <c r="G173" s="97"/>
      <c r="H173" s="97"/>
      <c r="I173" s="97"/>
      <c r="J173" s="97"/>
      <c r="K173" s="97"/>
      <c r="L173" s="97"/>
      <c r="M173" s="97"/>
      <c r="N173" s="97"/>
      <c r="O173" s="97"/>
      <c r="P173" s="97"/>
      <c r="Q173" s="97"/>
      <c r="R173" s="97"/>
      <c r="S173" s="97"/>
      <c r="T173" s="97"/>
      <c r="U173" s="97"/>
      <c r="V173" s="97"/>
      <c r="W173" s="97"/>
      <c r="X173" s="97"/>
      <c r="Y173" s="97"/>
      <c r="Z173" s="97"/>
    </row>
    <row r="174" spans="1:26">
      <c r="A174" s="116"/>
      <c r="D174" s="92"/>
      <c r="E174" s="112"/>
      <c r="F174" s="97"/>
      <c r="G174" s="97"/>
      <c r="H174" s="97"/>
      <c r="I174" s="97"/>
      <c r="J174" s="97"/>
      <c r="K174" s="97"/>
      <c r="L174" s="97"/>
      <c r="M174" s="97"/>
      <c r="N174" s="97"/>
      <c r="O174" s="97"/>
      <c r="P174" s="97"/>
      <c r="Q174" s="97"/>
      <c r="R174" s="97"/>
      <c r="S174" s="97"/>
      <c r="T174" s="97"/>
      <c r="U174" s="97"/>
      <c r="V174" s="97"/>
      <c r="W174" s="97"/>
      <c r="X174" s="97"/>
      <c r="Y174" s="97"/>
      <c r="Z174" s="97"/>
    </row>
    <row r="175" spans="1:26">
      <c r="A175" s="116"/>
      <c r="D175" s="92"/>
      <c r="E175" s="112"/>
      <c r="F175" s="97"/>
      <c r="G175" s="97"/>
      <c r="H175" s="97"/>
      <c r="I175" s="97"/>
      <c r="J175" s="97"/>
      <c r="K175" s="97"/>
      <c r="L175" s="97"/>
      <c r="M175" s="97"/>
      <c r="N175" s="97"/>
      <c r="O175" s="97"/>
      <c r="P175" s="97"/>
      <c r="Q175" s="97"/>
      <c r="R175" s="97"/>
      <c r="S175" s="97"/>
      <c r="T175" s="97"/>
      <c r="U175" s="97"/>
      <c r="V175" s="97"/>
      <c r="W175" s="97"/>
      <c r="X175" s="97"/>
      <c r="Y175" s="97"/>
      <c r="Z175" s="97"/>
    </row>
    <row r="176" spans="1:26">
      <c r="A176" s="116"/>
      <c r="D176" s="92"/>
      <c r="E176" s="112"/>
      <c r="F176" s="97"/>
      <c r="G176" s="97"/>
      <c r="H176" s="97"/>
      <c r="I176" s="97"/>
      <c r="J176" s="97"/>
      <c r="K176" s="97"/>
      <c r="L176" s="97"/>
      <c r="M176" s="97"/>
      <c r="N176" s="97"/>
      <c r="O176" s="97"/>
      <c r="P176" s="97"/>
      <c r="Q176" s="97"/>
      <c r="R176" s="97"/>
      <c r="S176" s="97"/>
      <c r="T176" s="97"/>
      <c r="U176" s="97"/>
      <c r="V176" s="97"/>
      <c r="W176" s="97"/>
      <c r="X176" s="97"/>
      <c r="Y176" s="97"/>
      <c r="Z176" s="97"/>
    </row>
    <row r="177" spans="1:26">
      <c r="A177" s="116"/>
      <c r="D177" s="92"/>
      <c r="E177" s="112"/>
      <c r="F177" s="97"/>
      <c r="G177" s="97"/>
      <c r="H177" s="97"/>
      <c r="I177" s="97"/>
      <c r="J177" s="97"/>
      <c r="K177" s="97"/>
      <c r="L177" s="97"/>
      <c r="M177" s="97"/>
      <c r="N177" s="97"/>
      <c r="O177" s="97"/>
      <c r="P177" s="97"/>
      <c r="Q177" s="97"/>
      <c r="R177" s="97"/>
      <c r="S177" s="97"/>
      <c r="T177" s="97"/>
      <c r="U177" s="97"/>
      <c r="V177" s="97"/>
      <c r="W177" s="97"/>
      <c r="X177" s="97"/>
      <c r="Y177" s="97"/>
      <c r="Z177" s="97"/>
    </row>
    <row r="178" spans="1:26">
      <c r="A178" s="116"/>
      <c r="D178" s="92"/>
      <c r="E178" s="112"/>
      <c r="F178" s="97"/>
      <c r="G178" s="97"/>
      <c r="H178" s="97"/>
      <c r="I178" s="97"/>
      <c r="J178" s="97"/>
      <c r="K178" s="97"/>
      <c r="L178" s="97"/>
      <c r="M178" s="97"/>
      <c r="N178" s="97"/>
      <c r="O178" s="97"/>
      <c r="P178" s="97"/>
      <c r="Q178" s="97"/>
      <c r="R178" s="97"/>
      <c r="S178" s="97"/>
      <c r="T178" s="97"/>
      <c r="U178" s="97"/>
      <c r="V178" s="97"/>
      <c r="W178" s="97"/>
      <c r="X178" s="97"/>
      <c r="Y178" s="97"/>
      <c r="Z178" s="97"/>
    </row>
    <row r="179" spans="1:26">
      <c r="A179" s="116"/>
      <c r="D179" s="92"/>
      <c r="E179" s="112"/>
      <c r="F179" s="97"/>
      <c r="G179" s="97"/>
      <c r="H179" s="97"/>
      <c r="I179" s="97"/>
      <c r="J179" s="97"/>
      <c r="K179" s="97"/>
      <c r="L179" s="97"/>
      <c r="M179" s="97"/>
      <c r="N179" s="97"/>
      <c r="O179" s="97"/>
      <c r="P179" s="97"/>
      <c r="Q179" s="97"/>
      <c r="R179" s="97"/>
      <c r="S179" s="97"/>
      <c r="T179" s="97"/>
      <c r="U179" s="97"/>
      <c r="V179" s="97"/>
      <c r="W179" s="97"/>
      <c r="X179" s="97"/>
      <c r="Y179" s="97"/>
      <c r="Z179" s="97"/>
    </row>
    <row r="180" spans="1:26">
      <c r="A180" s="116"/>
      <c r="D180" s="92"/>
      <c r="E180" s="112"/>
      <c r="F180" s="97"/>
      <c r="G180" s="97"/>
      <c r="H180" s="97"/>
      <c r="I180" s="97"/>
      <c r="J180" s="97"/>
      <c r="K180" s="97"/>
      <c r="L180" s="97"/>
      <c r="M180" s="97"/>
      <c r="N180" s="97"/>
      <c r="O180" s="97"/>
      <c r="P180" s="97"/>
      <c r="Q180" s="97"/>
      <c r="R180" s="97"/>
      <c r="S180" s="97"/>
      <c r="T180" s="97"/>
      <c r="U180" s="97"/>
      <c r="V180" s="97"/>
      <c r="W180" s="97"/>
      <c r="X180" s="97"/>
      <c r="Y180" s="97"/>
      <c r="Z180" s="97"/>
    </row>
    <row r="181" spans="1:26">
      <c r="A181" s="116"/>
      <c r="D181" s="92"/>
      <c r="E181" s="112"/>
      <c r="F181" s="97"/>
      <c r="G181" s="97"/>
      <c r="H181" s="97"/>
      <c r="I181" s="97"/>
      <c r="J181" s="97"/>
      <c r="K181" s="97"/>
      <c r="L181" s="97"/>
      <c r="M181" s="97"/>
      <c r="N181" s="97"/>
      <c r="O181" s="97"/>
      <c r="P181" s="97"/>
      <c r="Q181" s="97"/>
      <c r="R181" s="97"/>
      <c r="S181" s="97"/>
      <c r="T181" s="97"/>
      <c r="U181" s="97"/>
      <c r="V181" s="97"/>
      <c r="W181" s="97"/>
      <c r="X181" s="97"/>
      <c r="Y181" s="97"/>
      <c r="Z181" s="97"/>
    </row>
    <row r="182" spans="1:26">
      <c r="A182" s="116"/>
      <c r="D182" s="92"/>
      <c r="E182" s="112"/>
      <c r="F182" s="97"/>
      <c r="G182" s="97"/>
      <c r="H182" s="97"/>
      <c r="I182" s="97"/>
      <c r="J182" s="97"/>
      <c r="K182" s="97"/>
      <c r="L182" s="97"/>
      <c r="M182" s="97"/>
      <c r="N182" s="97"/>
      <c r="O182" s="97"/>
      <c r="P182" s="97"/>
      <c r="Q182" s="97"/>
      <c r="R182" s="97"/>
      <c r="S182" s="97"/>
      <c r="T182" s="97"/>
      <c r="U182" s="97"/>
      <c r="V182" s="97"/>
      <c r="W182" s="97"/>
      <c r="X182" s="97"/>
      <c r="Y182" s="97"/>
      <c r="Z182" s="97"/>
    </row>
    <row r="183" spans="1:26">
      <c r="A183" s="116"/>
      <c r="D183" s="92"/>
      <c r="E183" s="112"/>
      <c r="F183" s="97"/>
      <c r="G183" s="97"/>
      <c r="H183" s="97"/>
      <c r="I183" s="97"/>
      <c r="J183" s="97"/>
      <c r="K183" s="97"/>
      <c r="L183" s="97"/>
      <c r="M183" s="97"/>
      <c r="N183" s="97"/>
      <c r="O183" s="97"/>
      <c r="P183" s="97"/>
      <c r="Q183" s="97"/>
      <c r="R183" s="97"/>
      <c r="S183" s="97"/>
      <c r="T183" s="97"/>
      <c r="U183" s="97"/>
      <c r="V183" s="97"/>
      <c r="W183" s="97"/>
      <c r="X183" s="97"/>
      <c r="Y183" s="97"/>
      <c r="Z183" s="97"/>
    </row>
    <row r="184" spans="1:26">
      <c r="A184" s="116"/>
      <c r="D184" s="92"/>
      <c r="E184" s="112"/>
      <c r="F184" s="97"/>
      <c r="G184" s="97"/>
      <c r="H184" s="97"/>
      <c r="I184" s="97"/>
      <c r="J184" s="97"/>
      <c r="K184" s="97"/>
      <c r="L184" s="97"/>
      <c r="M184" s="97"/>
      <c r="N184" s="97"/>
      <c r="O184" s="97"/>
      <c r="P184" s="97"/>
      <c r="Q184" s="97"/>
      <c r="R184" s="97"/>
      <c r="S184" s="97"/>
      <c r="T184" s="97"/>
      <c r="U184" s="97"/>
      <c r="V184" s="97"/>
      <c r="W184" s="97"/>
      <c r="X184" s="97"/>
      <c r="Y184" s="97"/>
      <c r="Z184" s="97"/>
    </row>
    <row r="185" spans="1:26">
      <c r="A185" s="116"/>
      <c r="D185" s="92"/>
      <c r="E185" s="112"/>
      <c r="F185" s="97"/>
      <c r="G185" s="97"/>
      <c r="H185" s="97"/>
      <c r="I185" s="97"/>
      <c r="J185" s="97"/>
      <c r="K185" s="97"/>
      <c r="L185" s="97"/>
      <c r="M185" s="97"/>
      <c r="N185" s="97"/>
      <c r="O185" s="97"/>
      <c r="P185" s="97"/>
      <c r="Q185" s="97"/>
      <c r="R185" s="97"/>
      <c r="S185" s="97"/>
      <c r="T185" s="97"/>
      <c r="U185" s="97"/>
      <c r="V185" s="97"/>
      <c r="W185" s="97"/>
      <c r="X185" s="97"/>
      <c r="Y185" s="97"/>
      <c r="Z185" s="97"/>
    </row>
    <row r="186" spans="1:26">
      <c r="A186" s="116"/>
      <c r="D186" s="92"/>
      <c r="E186" s="112"/>
      <c r="F186" s="97"/>
      <c r="G186" s="97"/>
      <c r="H186" s="97"/>
      <c r="I186" s="97"/>
      <c r="J186" s="97"/>
      <c r="K186" s="97"/>
      <c r="L186" s="97"/>
      <c r="M186" s="97"/>
      <c r="N186" s="97"/>
      <c r="O186" s="97"/>
      <c r="P186" s="97"/>
      <c r="Q186" s="97"/>
      <c r="R186" s="97"/>
      <c r="S186" s="97"/>
      <c r="T186" s="97"/>
      <c r="U186" s="97"/>
      <c r="V186" s="97"/>
      <c r="W186" s="97"/>
      <c r="X186" s="97"/>
      <c r="Y186" s="97"/>
      <c r="Z186" s="97"/>
    </row>
    <row r="187" spans="1:26">
      <c r="A187" s="116"/>
      <c r="D187" s="92"/>
      <c r="E187" s="112"/>
      <c r="F187" s="97"/>
      <c r="G187" s="97"/>
      <c r="H187" s="97"/>
      <c r="I187" s="97"/>
      <c r="J187" s="97"/>
      <c r="K187" s="97"/>
      <c r="L187" s="97"/>
      <c r="M187" s="97"/>
      <c r="N187" s="97"/>
      <c r="O187" s="97"/>
      <c r="P187" s="97"/>
      <c r="Q187" s="97"/>
      <c r="R187" s="97"/>
      <c r="S187" s="97"/>
      <c r="T187" s="97"/>
      <c r="U187" s="97"/>
      <c r="V187" s="97"/>
      <c r="W187" s="97"/>
      <c r="X187" s="97"/>
      <c r="Y187" s="97"/>
      <c r="Z187" s="97"/>
    </row>
    <row r="188" spans="1:26">
      <c r="A188" s="116"/>
      <c r="D188" s="92"/>
      <c r="E188" s="112"/>
      <c r="F188" s="97"/>
      <c r="G188" s="97"/>
      <c r="H188" s="97"/>
      <c r="I188" s="97"/>
      <c r="J188" s="97"/>
      <c r="K188" s="97"/>
      <c r="L188" s="97"/>
      <c r="M188" s="97"/>
      <c r="N188" s="97"/>
      <c r="O188" s="97"/>
      <c r="P188" s="97"/>
      <c r="Q188" s="97"/>
      <c r="R188" s="97"/>
      <c r="S188" s="97"/>
      <c r="T188" s="97"/>
      <c r="U188" s="97"/>
      <c r="V188" s="97"/>
      <c r="W188" s="97"/>
      <c r="X188" s="97"/>
      <c r="Y188" s="97"/>
      <c r="Z188" s="97"/>
    </row>
    <row r="189" spans="1:26">
      <c r="A189" s="116"/>
      <c r="D189" s="92"/>
      <c r="E189" s="112"/>
      <c r="F189" s="97"/>
      <c r="G189" s="97"/>
      <c r="H189" s="97"/>
      <c r="I189" s="97"/>
      <c r="J189" s="97"/>
      <c r="K189" s="97"/>
      <c r="L189" s="97"/>
      <c r="M189" s="97"/>
      <c r="N189" s="97"/>
      <c r="O189" s="97"/>
      <c r="P189" s="97"/>
      <c r="Q189" s="97"/>
      <c r="R189" s="97"/>
      <c r="S189" s="97"/>
      <c r="T189" s="97"/>
      <c r="U189" s="97"/>
      <c r="V189" s="97"/>
      <c r="W189" s="97"/>
      <c r="X189" s="97"/>
      <c r="Y189" s="97"/>
      <c r="Z189" s="97"/>
    </row>
    <row r="190" spans="1:26">
      <c r="A190" s="116"/>
      <c r="D190" s="92"/>
      <c r="E190" s="112"/>
      <c r="F190" s="97"/>
      <c r="G190" s="97"/>
      <c r="H190" s="97"/>
      <c r="I190" s="97"/>
      <c r="J190" s="97"/>
      <c r="K190" s="97"/>
      <c r="L190" s="97"/>
      <c r="M190" s="97"/>
      <c r="N190" s="97"/>
      <c r="O190" s="97"/>
      <c r="P190" s="97"/>
      <c r="Q190" s="97"/>
      <c r="R190" s="97"/>
      <c r="S190" s="97"/>
      <c r="T190" s="97"/>
      <c r="U190" s="97"/>
      <c r="V190" s="97"/>
      <c r="W190" s="97"/>
      <c r="X190" s="97"/>
      <c r="Y190" s="97"/>
      <c r="Z190" s="97"/>
    </row>
    <row r="191" spans="1:26">
      <c r="A191" s="116"/>
      <c r="D191" s="92"/>
      <c r="E191" s="112"/>
      <c r="F191" s="97"/>
      <c r="G191" s="97"/>
      <c r="H191" s="97"/>
      <c r="I191" s="97"/>
      <c r="J191" s="97"/>
      <c r="K191" s="97"/>
      <c r="L191" s="97"/>
      <c r="M191" s="97"/>
      <c r="N191" s="97"/>
      <c r="O191" s="97"/>
      <c r="P191" s="97"/>
      <c r="Q191" s="97"/>
      <c r="R191" s="97"/>
      <c r="S191" s="97"/>
      <c r="T191" s="97"/>
      <c r="U191" s="97"/>
      <c r="V191" s="97"/>
      <c r="W191" s="97"/>
      <c r="X191" s="97"/>
      <c r="Y191" s="97"/>
      <c r="Z191" s="97"/>
    </row>
    <row r="192" spans="1:26">
      <c r="A192" s="116"/>
      <c r="D192" s="92"/>
      <c r="E192" s="112"/>
      <c r="F192" s="97"/>
      <c r="G192" s="97"/>
      <c r="H192" s="97"/>
      <c r="I192" s="97"/>
      <c r="J192" s="97"/>
      <c r="K192" s="97"/>
      <c r="L192" s="97"/>
      <c r="M192" s="97"/>
      <c r="N192" s="97"/>
      <c r="O192" s="97"/>
      <c r="P192" s="97"/>
      <c r="Q192" s="97"/>
      <c r="R192" s="97"/>
      <c r="S192" s="97"/>
      <c r="T192" s="97"/>
      <c r="U192" s="97"/>
      <c r="V192" s="97"/>
      <c r="W192" s="97"/>
      <c r="X192" s="97"/>
      <c r="Y192" s="97"/>
      <c r="Z192" s="97"/>
    </row>
    <row r="193" spans="1:26">
      <c r="A193" s="116"/>
      <c r="D193" s="92"/>
      <c r="E193" s="112"/>
      <c r="F193" s="97"/>
      <c r="G193" s="97"/>
      <c r="H193" s="97"/>
      <c r="I193" s="97"/>
      <c r="J193" s="97"/>
      <c r="K193" s="97"/>
      <c r="L193" s="97"/>
      <c r="M193" s="97"/>
      <c r="N193" s="97"/>
      <c r="O193" s="97"/>
      <c r="P193" s="97"/>
      <c r="Q193" s="97"/>
      <c r="R193" s="97"/>
      <c r="S193" s="97"/>
      <c r="T193" s="97"/>
      <c r="U193" s="97"/>
      <c r="V193" s="97"/>
      <c r="W193" s="97"/>
      <c r="X193" s="97"/>
      <c r="Y193" s="97"/>
      <c r="Z193" s="97"/>
    </row>
    <row r="194" spans="1:26">
      <c r="A194" s="116"/>
      <c r="D194" s="92"/>
      <c r="E194" s="112"/>
      <c r="F194" s="97"/>
      <c r="G194" s="97"/>
      <c r="H194" s="97"/>
      <c r="I194" s="97"/>
      <c r="J194" s="97"/>
      <c r="K194" s="97"/>
      <c r="L194" s="97"/>
      <c r="M194" s="97"/>
      <c r="N194" s="97"/>
      <c r="O194" s="97"/>
      <c r="P194" s="97"/>
      <c r="Q194" s="97"/>
      <c r="R194" s="97"/>
      <c r="S194" s="97"/>
      <c r="T194" s="97"/>
      <c r="U194" s="97"/>
      <c r="V194" s="97"/>
      <c r="W194" s="97"/>
      <c r="X194" s="97"/>
      <c r="Y194" s="97"/>
      <c r="Z194" s="97"/>
    </row>
    <row r="195" spans="1:26">
      <c r="A195" s="116"/>
      <c r="D195" s="92"/>
      <c r="E195" s="112"/>
      <c r="F195" s="97"/>
      <c r="G195" s="97"/>
      <c r="H195" s="97"/>
      <c r="I195" s="97"/>
      <c r="J195" s="97"/>
      <c r="K195" s="97"/>
      <c r="L195" s="97"/>
      <c r="M195" s="97"/>
      <c r="N195" s="97"/>
      <c r="O195" s="97"/>
      <c r="P195" s="97"/>
      <c r="Q195" s="97"/>
      <c r="R195" s="97"/>
      <c r="S195" s="97"/>
      <c r="T195" s="97"/>
      <c r="U195" s="97"/>
      <c r="V195" s="97"/>
      <c r="W195" s="97"/>
      <c r="X195" s="97"/>
      <c r="Y195" s="97"/>
      <c r="Z195" s="97"/>
    </row>
    <row r="196" spans="1:26">
      <c r="A196" s="116"/>
      <c r="D196" s="92"/>
      <c r="E196" s="112"/>
      <c r="F196" s="97"/>
      <c r="G196" s="97"/>
      <c r="H196" s="97"/>
      <c r="I196" s="97"/>
      <c r="J196" s="97"/>
      <c r="K196" s="97"/>
      <c r="L196" s="97"/>
      <c r="M196" s="97"/>
      <c r="N196" s="97"/>
      <c r="O196" s="97"/>
      <c r="P196" s="97"/>
      <c r="Q196" s="97"/>
      <c r="R196" s="97"/>
      <c r="S196" s="97"/>
      <c r="T196" s="97"/>
      <c r="U196" s="97"/>
      <c r="V196" s="97"/>
      <c r="W196" s="97"/>
      <c r="X196" s="97"/>
      <c r="Y196" s="97"/>
      <c r="Z196" s="97"/>
    </row>
    <row r="197" spans="1:26">
      <c r="A197" s="116"/>
      <c r="D197" s="92"/>
      <c r="E197" s="112"/>
      <c r="F197" s="97"/>
      <c r="G197" s="97"/>
      <c r="H197" s="97"/>
      <c r="I197" s="97"/>
      <c r="J197" s="97"/>
      <c r="K197" s="97"/>
      <c r="L197" s="97"/>
      <c r="M197" s="97"/>
      <c r="N197" s="97"/>
      <c r="O197" s="97"/>
      <c r="P197" s="97"/>
      <c r="Q197" s="97"/>
      <c r="R197" s="97"/>
      <c r="S197" s="97"/>
      <c r="T197" s="97"/>
      <c r="U197" s="97"/>
      <c r="V197" s="97"/>
      <c r="W197" s="97"/>
      <c r="X197" s="97"/>
      <c r="Y197" s="97"/>
      <c r="Z197" s="97"/>
    </row>
    <row r="198" spans="1:26">
      <c r="A198" s="116"/>
      <c r="D198" s="92"/>
      <c r="E198" s="112"/>
      <c r="F198" s="97"/>
      <c r="G198" s="97"/>
      <c r="H198" s="97"/>
      <c r="I198" s="97"/>
      <c r="J198" s="97"/>
      <c r="K198" s="97"/>
      <c r="L198" s="97"/>
      <c r="M198" s="97"/>
      <c r="N198" s="97"/>
      <c r="O198" s="97"/>
      <c r="P198" s="97"/>
      <c r="Q198" s="97"/>
      <c r="R198" s="97"/>
      <c r="S198" s="97"/>
      <c r="T198" s="97"/>
      <c r="U198" s="97"/>
      <c r="V198" s="97"/>
      <c r="W198" s="97"/>
      <c r="X198" s="97"/>
      <c r="Y198" s="97"/>
      <c r="Z198" s="97"/>
    </row>
    <row r="199" spans="1:26">
      <c r="A199" s="116"/>
      <c r="D199" s="92"/>
      <c r="E199" s="112"/>
      <c r="F199" s="97"/>
      <c r="G199" s="97"/>
      <c r="H199" s="97"/>
      <c r="I199" s="97"/>
      <c r="J199" s="97"/>
      <c r="K199" s="97"/>
      <c r="L199" s="97"/>
      <c r="M199" s="97"/>
      <c r="N199" s="97"/>
      <c r="O199" s="97"/>
      <c r="P199" s="97"/>
      <c r="Q199" s="97"/>
      <c r="R199" s="97"/>
      <c r="S199" s="97"/>
      <c r="T199" s="97"/>
      <c r="U199" s="97"/>
      <c r="V199" s="97"/>
      <c r="W199" s="97"/>
      <c r="X199" s="97"/>
      <c r="Y199" s="97"/>
      <c r="Z199" s="97"/>
    </row>
    <row r="200" spans="1:26">
      <c r="A200" s="116"/>
      <c r="D200" s="92"/>
      <c r="E200" s="112"/>
      <c r="F200" s="97"/>
      <c r="G200" s="97"/>
      <c r="H200" s="97"/>
      <c r="I200" s="97"/>
      <c r="J200" s="97"/>
      <c r="K200" s="97"/>
      <c r="L200" s="97"/>
      <c r="M200" s="97"/>
      <c r="N200" s="97"/>
      <c r="O200" s="97"/>
      <c r="P200" s="97"/>
      <c r="Q200" s="97"/>
      <c r="R200" s="97"/>
      <c r="S200" s="97"/>
      <c r="T200" s="97"/>
      <c r="U200" s="97"/>
      <c r="V200" s="97"/>
      <c r="W200" s="97"/>
      <c r="X200" s="97"/>
      <c r="Y200" s="97"/>
      <c r="Z200" s="97"/>
    </row>
    <row r="201" spans="1:26">
      <c r="A201" s="116"/>
      <c r="D201" s="92"/>
      <c r="E201" s="112"/>
      <c r="F201" s="97"/>
      <c r="G201" s="97"/>
      <c r="H201" s="97"/>
      <c r="I201" s="97"/>
      <c r="J201" s="97"/>
      <c r="K201" s="97"/>
      <c r="L201" s="97"/>
      <c r="M201" s="97"/>
      <c r="N201" s="97"/>
      <c r="O201" s="97"/>
      <c r="P201" s="97"/>
      <c r="Q201" s="97"/>
      <c r="R201" s="97"/>
      <c r="S201" s="97"/>
      <c r="T201" s="97"/>
      <c r="U201" s="97"/>
      <c r="V201" s="97"/>
      <c r="W201" s="97"/>
      <c r="X201" s="97"/>
      <c r="Y201" s="97"/>
      <c r="Z201" s="97"/>
    </row>
    <row r="202" spans="1:26">
      <c r="A202" s="116"/>
      <c r="D202" s="92"/>
      <c r="E202" s="112"/>
      <c r="F202" s="97"/>
      <c r="G202" s="97"/>
      <c r="H202" s="97"/>
      <c r="I202" s="97"/>
      <c r="J202" s="97"/>
      <c r="K202" s="97"/>
      <c r="L202" s="97"/>
      <c r="M202" s="97"/>
      <c r="N202" s="97"/>
      <c r="O202" s="97"/>
      <c r="P202" s="97"/>
      <c r="Q202" s="97"/>
      <c r="R202" s="97"/>
      <c r="S202" s="97"/>
      <c r="T202" s="97"/>
      <c r="U202" s="97"/>
      <c r="V202" s="97"/>
      <c r="W202" s="97"/>
      <c r="X202" s="97"/>
      <c r="Y202" s="97"/>
      <c r="Z202" s="97"/>
    </row>
    <row r="203" spans="1:26">
      <c r="A203" s="116"/>
      <c r="D203" s="92"/>
      <c r="E203" s="112"/>
      <c r="F203" s="97"/>
      <c r="G203" s="97"/>
      <c r="H203" s="97"/>
      <c r="I203" s="97"/>
      <c r="J203" s="97"/>
      <c r="K203" s="97"/>
      <c r="L203" s="97"/>
      <c r="M203" s="97"/>
      <c r="N203" s="97"/>
      <c r="O203" s="97"/>
      <c r="P203" s="97"/>
      <c r="Q203" s="97"/>
      <c r="R203" s="97"/>
      <c r="S203" s="97"/>
      <c r="T203" s="97"/>
      <c r="U203" s="97"/>
      <c r="V203" s="97"/>
      <c r="W203" s="97"/>
      <c r="X203" s="97"/>
      <c r="Y203" s="97"/>
      <c r="Z203" s="97"/>
    </row>
    <row r="204" spans="1:26">
      <c r="A204" s="116"/>
      <c r="D204" s="92"/>
      <c r="E204" s="112"/>
      <c r="F204" s="97"/>
      <c r="G204" s="97"/>
      <c r="H204" s="97"/>
      <c r="I204" s="97"/>
      <c r="J204" s="97"/>
      <c r="K204" s="97"/>
      <c r="L204" s="97"/>
      <c r="M204" s="97"/>
      <c r="N204" s="97"/>
      <c r="O204" s="97"/>
      <c r="P204" s="97"/>
      <c r="Q204" s="97"/>
      <c r="R204" s="97"/>
      <c r="S204" s="97"/>
      <c r="T204" s="97"/>
      <c r="U204" s="97"/>
      <c r="V204" s="97"/>
      <c r="W204" s="97"/>
      <c r="X204" s="97"/>
      <c r="Y204" s="97"/>
      <c r="Z204" s="97"/>
    </row>
    <row r="205" spans="1:26">
      <c r="A205" s="116"/>
      <c r="D205" s="92"/>
      <c r="E205" s="112"/>
      <c r="F205" s="97"/>
      <c r="G205" s="97"/>
      <c r="H205" s="97"/>
      <c r="I205" s="97"/>
      <c r="J205" s="97"/>
      <c r="K205" s="97"/>
      <c r="L205" s="97"/>
      <c r="M205" s="97"/>
      <c r="N205" s="97"/>
      <c r="O205" s="97"/>
      <c r="P205" s="97"/>
      <c r="Q205" s="97"/>
      <c r="R205" s="97"/>
      <c r="S205" s="97"/>
      <c r="T205" s="97"/>
      <c r="U205" s="97"/>
      <c r="V205" s="97"/>
      <c r="W205" s="97"/>
      <c r="X205" s="97"/>
      <c r="Y205" s="97"/>
      <c r="Z205" s="97"/>
    </row>
    <row r="206" spans="1:26">
      <c r="A206" s="116"/>
      <c r="D206" s="92"/>
      <c r="E206" s="112"/>
      <c r="F206" s="97"/>
      <c r="G206" s="97"/>
      <c r="H206" s="97"/>
      <c r="I206" s="97"/>
      <c r="J206" s="97"/>
      <c r="K206" s="97"/>
      <c r="L206" s="97"/>
      <c r="M206" s="97"/>
      <c r="N206" s="97"/>
      <c r="O206" s="97"/>
      <c r="P206" s="97"/>
      <c r="Q206" s="97"/>
      <c r="R206" s="97"/>
      <c r="S206" s="97"/>
      <c r="T206" s="97"/>
      <c r="U206" s="97"/>
      <c r="V206" s="97"/>
      <c r="W206" s="97"/>
      <c r="X206" s="97"/>
      <c r="Y206" s="97"/>
      <c r="Z206" s="97"/>
    </row>
    <row r="207" spans="1:26">
      <c r="A207" s="116"/>
      <c r="D207" s="92"/>
      <c r="E207" s="112"/>
      <c r="F207" s="97"/>
      <c r="G207" s="97"/>
      <c r="H207" s="97"/>
      <c r="I207" s="97"/>
      <c r="J207" s="97"/>
      <c r="K207" s="97"/>
      <c r="L207" s="97"/>
      <c r="M207" s="97"/>
      <c r="N207" s="97"/>
      <c r="O207" s="97"/>
      <c r="P207" s="97"/>
      <c r="Q207" s="97"/>
      <c r="R207" s="97"/>
      <c r="S207" s="97"/>
      <c r="T207" s="97"/>
      <c r="U207" s="97"/>
      <c r="V207" s="97"/>
      <c r="W207" s="97"/>
      <c r="X207" s="97"/>
      <c r="Y207" s="97"/>
      <c r="Z207" s="97"/>
    </row>
    <row r="208" spans="1:26">
      <c r="A208" s="116"/>
      <c r="D208" s="92"/>
      <c r="E208" s="112"/>
      <c r="F208" s="97"/>
      <c r="G208" s="97"/>
      <c r="H208" s="97"/>
      <c r="I208" s="97"/>
      <c r="J208" s="97"/>
      <c r="K208" s="97"/>
      <c r="L208" s="97"/>
      <c r="M208" s="97"/>
      <c r="N208" s="97"/>
      <c r="O208" s="97"/>
      <c r="P208" s="97"/>
      <c r="Q208" s="97"/>
      <c r="R208" s="97"/>
      <c r="S208" s="97"/>
      <c r="T208" s="97"/>
      <c r="U208" s="97"/>
      <c r="V208" s="97"/>
      <c r="W208" s="97"/>
      <c r="X208" s="97"/>
      <c r="Y208" s="97"/>
      <c r="Z208" s="97"/>
    </row>
    <row r="209" spans="1:26">
      <c r="A209" s="116"/>
      <c r="D209" s="92"/>
      <c r="E209" s="112"/>
      <c r="F209" s="97"/>
      <c r="G209" s="97"/>
      <c r="H209" s="97"/>
      <c r="I209" s="97"/>
      <c r="J209" s="97"/>
      <c r="K209" s="97"/>
      <c r="L209" s="97"/>
      <c r="M209" s="97"/>
      <c r="N209" s="97"/>
      <c r="O209" s="97"/>
      <c r="P209" s="97"/>
      <c r="Q209" s="97"/>
      <c r="R209" s="97"/>
      <c r="S209" s="97"/>
      <c r="T209" s="97"/>
      <c r="U209" s="97"/>
      <c r="V209" s="97"/>
      <c r="W209" s="97"/>
      <c r="X209" s="97"/>
      <c r="Y209" s="97"/>
      <c r="Z209" s="97"/>
    </row>
    <row r="210" spans="1:26">
      <c r="A210" s="116"/>
      <c r="D210" s="92"/>
      <c r="E210" s="112"/>
      <c r="F210" s="97"/>
      <c r="G210" s="97"/>
      <c r="H210" s="97"/>
      <c r="I210" s="97"/>
      <c r="J210" s="97"/>
      <c r="K210" s="97"/>
      <c r="L210" s="97"/>
      <c r="M210" s="97"/>
      <c r="N210" s="97"/>
      <c r="O210" s="97"/>
      <c r="P210" s="97"/>
      <c r="Q210" s="97"/>
      <c r="R210" s="97"/>
      <c r="S210" s="97"/>
      <c r="T210" s="97"/>
      <c r="U210" s="97"/>
      <c r="V210" s="97"/>
      <c r="W210" s="97"/>
      <c r="X210" s="97"/>
      <c r="Y210" s="97"/>
      <c r="Z210" s="97"/>
    </row>
    <row r="211" spans="1:26">
      <c r="A211" s="116"/>
      <c r="D211" s="92"/>
      <c r="E211" s="112"/>
      <c r="F211" s="97"/>
      <c r="G211" s="97"/>
      <c r="H211" s="97"/>
      <c r="I211" s="97"/>
      <c r="J211" s="97"/>
      <c r="K211" s="97"/>
      <c r="L211" s="97"/>
      <c r="M211" s="97"/>
      <c r="N211" s="97"/>
      <c r="O211" s="97"/>
      <c r="P211" s="97"/>
      <c r="Q211" s="97"/>
      <c r="R211" s="97"/>
      <c r="S211" s="97"/>
      <c r="T211" s="97"/>
      <c r="U211" s="97"/>
      <c r="V211" s="97"/>
      <c r="W211" s="97"/>
      <c r="X211" s="97"/>
      <c r="Y211" s="97"/>
      <c r="Z211" s="97"/>
    </row>
    <row r="212" spans="1:26">
      <c r="A212" s="116"/>
      <c r="D212" s="92"/>
      <c r="E212" s="112"/>
      <c r="F212" s="97"/>
      <c r="G212" s="97"/>
      <c r="H212" s="97"/>
      <c r="I212" s="97"/>
      <c r="J212" s="97"/>
      <c r="K212" s="97"/>
      <c r="L212" s="97"/>
      <c r="M212" s="97"/>
      <c r="N212" s="97"/>
      <c r="O212" s="97"/>
      <c r="P212" s="97"/>
      <c r="Q212" s="97"/>
      <c r="R212" s="97"/>
      <c r="S212" s="97"/>
      <c r="T212" s="97"/>
      <c r="U212" s="97"/>
      <c r="V212" s="97"/>
      <c r="W212" s="97"/>
      <c r="X212" s="97"/>
      <c r="Y212" s="97"/>
      <c r="Z212" s="97"/>
    </row>
    <row r="213" spans="1:26">
      <c r="A213" s="116"/>
      <c r="D213" s="92"/>
      <c r="E213" s="112"/>
      <c r="F213" s="97"/>
      <c r="G213" s="97"/>
      <c r="H213" s="97"/>
      <c r="I213" s="97"/>
      <c r="J213" s="97"/>
      <c r="K213" s="97"/>
      <c r="L213" s="97"/>
      <c r="M213" s="97"/>
      <c r="N213" s="97"/>
      <c r="O213" s="97"/>
      <c r="P213" s="97"/>
      <c r="Q213" s="97"/>
      <c r="R213" s="97"/>
      <c r="S213" s="97"/>
      <c r="T213" s="97"/>
      <c r="U213" s="97"/>
      <c r="V213" s="97"/>
      <c r="W213" s="97"/>
      <c r="X213" s="97"/>
      <c r="Y213" s="97"/>
      <c r="Z213" s="97"/>
    </row>
    <row r="214" spans="1:26">
      <c r="A214" s="116"/>
      <c r="D214" s="92"/>
      <c r="E214" s="112"/>
      <c r="F214" s="97"/>
      <c r="G214" s="97"/>
      <c r="H214" s="97"/>
      <c r="I214" s="97"/>
      <c r="J214" s="97"/>
      <c r="K214" s="97"/>
      <c r="L214" s="97"/>
      <c r="M214" s="97"/>
      <c r="N214" s="97"/>
      <c r="O214" s="97"/>
      <c r="P214" s="97"/>
      <c r="Q214" s="97"/>
      <c r="R214" s="97"/>
      <c r="S214" s="97"/>
      <c r="T214" s="97"/>
      <c r="U214" s="97"/>
      <c r="V214" s="97"/>
      <c r="W214" s="97"/>
      <c r="X214" s="97"/>
      <c r="Y214" s="97"/>
      <c r="Z214" s="97"/>
    </row>
    <row r="215" spans="1:26">
      <c r="A215" s="116"/>
      <c r="D215" s="92"/>
      <c r="E215" s="112"/>
      <c r="F215" s="97"/>
      <c r="G215" s="97"/>
      <c r="H215" s="97"/>
      <c r="I215" s="97"/>
      <c r="J215" s="97"/>
      <c r="K215" s="97"/>
      <c r="L215" s="97"/>
      <c r="M215" s="97"/>
      <c r="N215" s="97"/>
      <c r="O215" s="97"/>
      <c r="P215" s="97"/>
      <c r="Q215" s="97"/>
      <c r="R215" s="97"/>
      <c r="S215" s="97"/>
      <c r="T215" s="97"/>
      <c r="U215" s="97"/>
      <c r="V215" s="97"/>
      <c r="W215" s="97"/>
      <c r="X215" s="97"/>
      <c r="Y215" s="97"/>
      <c r="Z215" s="97"/>
    </row>
    <row r="216" spans="1:26">
      <c r="A216" s="116"/>
      <c r="D216" s="92"/>
      <c r="E216" s="112"/>
      <c r="F216" s="97"/>
      <c r="G216" s="97"/>
      <c r="H216" s="97"/>
      <c r="I216" s="97"/>
      <c r="J216" s="97"/>
      <c r="K216" s="97"/>
      <c r="L216" s="97"/>
      <c r="M216" s="97"/>
      <c r="N216" s="97"/>
      <c r="O216" s="97"/>
      <c r="P216" s="97"/>
      <c r="Q216" s="97"/>
      <c r="R216" s="97"/>
      <c r="S216" s="97"/>
      <c r="T216" s="97"/>
      <c r="U216" s="97"/>
      <c r="V216" s="97"/>
      <c r="W216" s="97"/>
      <c r="X216" s="97"/>
      <c r="Y216" s="97"/>
      <c r="Z216" s="97"/>
    </row>
    <row r="217" spans="1:26">
      <c r="A217" s="116"/>
      <c r="D217" s="92"/>
      <c r="E217" s="112"/>
      <c r="F217" s="97"/>
      <c r="G217" s="97"/>
      <c r="H217" s="97"/>
      <c r="I217" s="97"/>
      <c r="J217" s="97"/>
      <c r="K217" s="97"/>
      <c r="L217" s="97"/>
      <c r="M217" s="97"/>
      <c r="N217" s="97"/>
      <c r="O217" s="97"/>
      <c r="P217" s="97"/>
      <c r="Q217" s="97"/>
      <c r="R217" s="97"/>
      <c r="S217" s="97"/>
      <c r="T217" s="97"/>
      <c r="U217" s="97"/>
      <c r="V217" s="97"/>
      <c r="W217" s="97"/>
      <c r="X217" s="97"/>
      <c r="Y217" s="97"/>
      <c r="Z217" s="97"/>
    </row>
    <row r="218" spans="1:26">
      <c r="A218" s="116"/>
      <c r="D218" s="92"/>
      <c r="E218" s="112"/>
      <c r="F218" s="97"/>
      <c r="G218" s="97"/>
      <c r="H218" s="97"/>
      <c r="I218" s="97"/>
      <c r="J218" s="97"/>
      <c r="K218" s="97"/>
      <c r="L218" s="97"/>
      <c r="M218" s="97"/>
      <c r="N218" s="97"/>
      <c r="O218" s="97"/>
      <c r="P218" s="97"/>
      <c r="Q218" s="97"/>
      <c r="R218" s="97"/>
      <c r="S218" s="97"/>
      <c r="T218" s="97"/>
      <c r="U218" s="97"/>
      <c r="V218" s="97"/>
      <c r="W218" s="97"/>
      <c r="X218" s="97"/>
      <c r="Y218" s="97"/>
      <c r="Z218" s="97"/>
    </row>
    <row r="219" spans="1:26">
      <c r="A219" s="116"/>
      <c r="D219" s="92"/>
      <c r="E219" s="112"/>
      <c r="F219" s="97"/>
      <c r="G219" s="97"/>
      <c r="H219" s="97"/>
      <c r="I219" s="97"/>
      <c r="J219" s="97"/>
      <c r="K219" s="97"/>
      <c r="L219" s="97"/>
      <c r="M219" s="97"/>
      <c r="N219" s="97"/>
      <c r="O219" s="97"/>
      <c r="P219" s="97"/>
      <c r="Q219" s="97"/>
      <c r="R219" s="97"/>
      <c r="S219" s="97"/>
      <c r="T219" s="97"/>
      <c r="U219" s="97"/>
      <c r="V219" s="97"/>
      <c r="W219" s="97"/>
      <c r="X219" s="97"/>
      <c r="Y219" s="97"/>
      <c r="Z219" s="97"/>
    </row>
    <row r="220" spans="1:26">
      <c r="A220" s="116"/>
      <c r="D220" s="92"/>
      <c r="E220" s="112"/>
      <c r="F220" s="97"/>
      <c r="G220" s="97"/>
      <c r="H220" s="97"/>
      <c r="I220" s="97"/>
      <c r="J220" s="97"/>
      <c r="K220" s="97"/>
      <c r="L220" s="97"/>
      <c r="M220" s="97"/>
      <c r="N220" s="97"/>
      <c r="O220" s="97"/>
      <c r="P220" s="97"/>
      <c r="Q220" s="97"/>
      <c r="R220" s="97"/>
      <c r="S220" s="97"/>
      <c r="T220" s="97"/>
      <c r="U220" s="97"/>
      <c r="V220" s="97"/>
      <c r="W220" s="97"/>
      <c r="X220" s="97"/>
      <c r="Y220" s="97"/>
      <c r="Z220" s="97"/>
    </row>
    <row r="221" spans="1:26">
      <c r="A221" s="116"/>
      <c r="D221" s="92"/>
      <c r="E221" s="112"/>
      <c r="F221" s="97"/>
      <c r="G221" s="97"/>
      <c r="H221" s="97"/>
      <c r="I221" s="97"/>
      <c r="J221" s="97"/>
      <c r="K221" s="97"/>
      <c r="L221" s="97"/>
      <c r="M221" s="97"/>
      <c r="N221" s="97"/>
      <c r="O221" s="97"/>
      <c r="P221" s="97"/>
      <c r="Q221" s="97"/>
      <c r="R221" s="97"/>
      <c r="S221" s="97"/>
      <c r="T221" s="97"/>
      <c r="U221" s="97"/>
      <c r="V221" s="97"/>
      <c r="W221" s="97"/>
      <c r="X221" s="97"/>
      <c r="Y221" s="97"/>
      <c r="Z221" s="97"/>
    </row>
    <row r="222" spans="1:26">
      <c r="A222" s="116"/>
      <c r="D222" s="92"/>
      <c r="E222" s="112"/>
      <c r="F222" s="97"/>
      <c r="G222" s="97"/>
      <c r="H222" s="97"/>
      <c r="I222" s="97"/>
      <c r="J222" s="97"/>
      <c r="K222" s="97"/>
      <c r="L222" s="97"/>
      <c r="M222" s="97"/>
      <c r="N222" s="97"/>
      <c r="O222" s="97"/>
      <c r="P222" s="97"/>
      <c r="Q222" s="97"/>
      <c r="R222" s="97"/>
      <c r="S222" s="97"/>
      <c r="T222" s="97"/>
      <c r="U222" s="97"/>
      <c r="V222" s="97"/>
      <c r="W222" s="97"/>
      <c r="X222" s="97"/>
      <c r="Y222" s="97"/>
      <c r="Z222" s="97"/>
    </row>
    <row r="223" spans="1:26">
      <c r="A223" s="116"/>
      <c r="D223" s="92"/>
      <c r="E223" s="112"/>
      <c r="F223" s="97"/>
      <c r="G223" s="97"/>
      <c r="H223" s="97"/>
      <c r="I223" s="97"/>
      <c r="J223" s="97"/>
      <c r="K223" s="97"/>
      <c r="L223" s="97"/>
      <c r="M223" s="97"/>
      <c r="N223" s="97"/>
      <c r="O223" s="97"/>
      <c r="P223" s="97"/>
      <c r="Q223" s="97"/>
      <c r="R223" s="97"/>
      <c r="S223" s="97"/>
      <c r="T223" s="97"/>
      <c r="U223" s="97"/>
      <c r="V223" s="97"/>
      <c r="W223" s="97"/>
      <c r="X223" s="97"/>
      <c r="Y223" s="97"/>
      <c r="Z223" s="97"/>
    </row>
    <row r="224" spans="1:26">
      <c r="A224" s="116"/>
      <c r="D224" s="92"/>
      <c r="E224" s="112"/>
      <c r="F224" s="97"/>
      <c r="G224" s="97"/>
      <c r="H224" s="97"/>
      <c r="I224" s="97"/>
      <c r="J224" s="97"/>
      <c r="K224" s="97"/>
      <c r="L224" s="97"/>
      <c r="M224" s="97"/>
      <c r="N224" s="97"/>
      <c r="O224" s="97"/>
      <c r="P224" s="97"/>
      <c r="Q224" s="97"/>
      <c r="R224" s="97"/>
      <c r="S224" s="97"/>
      <c r="T224" s="97"/>
      <c r="U224" s="97"/>
      <c r="V224" s="97"/>
      <c r="W224" s="97"/>
      <c r="X224" s="97"/>
      <c r="Y224" s="97"/>
      <c r="Z224" s="97"/>
    </row>
    <row r="225" spans="1:26">
      <c r="A225" s="116"/>
      <c r="D225" s="92"/>
      <c r="E225" s="112"/>
      <c r="F225" s="97"/>
      <c r="G225" s="97"/>
      <c r="H225" s="97"/>
      <c r="I225" s="97"/>
      <c r="J225" s="97"/>
      <c r="K225" s="97"/>
      <c r="L225" s="97"/>
      <c r="M225" s="97"/>
      <c r="N225" s="97"/>
      <c r="O225" s="97"/>
      <c r="P225" s="97"/>
      <c r="Q225" s="97"/>
      <c r="R225" s="97"/>
      <c r="S225" s="97"/>
      <c r="T225" s="97"/>
      <c r="U225" s="97"/>
      <c r="V225" s="97"/>
      <c r="W225" s="97"/>
      <c r="X225" s="97"/>
      <c r="Y225" s="97"/>
      <c r="Z225" s="97"/>
    </row>
    <row r="226" spans="1:26">
      <c r="A226" s="116"/>
      <c r="D226" s="92"/>
      <c r="E226" s="112"/>
      <c r="F226" s="97"/>
      <c r="G226" s="97"/>
      <c r="H226" s="97"/>
      <c r="I226" s="97"/>
      <c r="J226" s="97"/>
      <c r="K226" s="97"/>
      <c r="L226" s="97"/>
      <c r="M226" s="97"/>
      <c r="N226" s="97"/>
      <c r="O226" s="97"/>
      <c r="P226" s="97"/>
      <c r="Q226" s="97"/>
      <c r="R226" s="97"/>
      <c r="S226" s="97"/>
      <c r="T226" s="97"/>
      <c r="U226" s="97"/>
      <c r="V226" s="97"/>
      <c r="W226" s="97"/>
      <c r="X226" s="97"/>
      <c r="Y226" s="97"/>
      <c r="Z226" s="97"/>
    </row>
    <row r="227" spans="1:26">
      <c r="A227" s="116"/>
      <c r="D227" s="92"/>
      <c r="E227" s="112"/>
      <c r="F227" s="97"/>
      <c r="G227" s="97"/>
      <c r="H227" s="97"/>
      <c r="I227" s="97"/>
      <c r="J227" s="97"/>
      <c r="K227" s="97"/>
      <c r="L227" s="97"/>
      <c r="M227" s="97"/>
      <c r="N227" s="97"/>
      <c r="O227" s="97"/>
      <c r="P227" s="97"/>
      <c r="Q227" s="97"/>
      <c r="R227" s="97"/>
      <c r="S227" s="97"/>
      <c r="T227" s="97"/>
      <c r="U227" s="97"/>
      <c r="V227" s="97"/>
      <c r="W227" s="97"/>
      <c r="X227" s="97"/>
      <c r="Y227" s="97"/>
      <c r="Z227" s="97"/>
    </row>
    <row r="228" spans="1:26">
      <c r="A228" s="116"/>
      <c r="D228" s="92"/>
      <c r="E228" s="112"/>
      <c r="F228" s="97"/>
      <c r="G228" s="97"/>
      <c r="H228" s="97"/>
      <c r="I228" s="97"/>
      <c r="J228" s="97"/>
      <c r="K228" s="97"/>
      <c r="L228" s="97"/>
      <c r="M228" s="97"/>
      <c r="N228" s="97"/>
      <c r="O228" s="97"/>
      <c r="P228" s="97"/>
      <c r="Q228" s="97"/>
      <c r="R228" s="97"/>
      <c r="S228" s="97"/>
      <c r="T228" s="97"/>
      <c r="U228" s="97"/>
      <c r="V228" s="97"/>
      <c r="W228" s="97"/>
      <c r="X228" s="97"/>
      <c r="Y228" s="97"/>
      <c r="Z228" s="97"/>
    </row>
    <row r="229" spans="1:26">
      <c r="A229" s="116"/>
      <c r="D229" s="92"/>
      <c r="E229" s="112"/>
      <c r="F229" s="97"/>
      <c r="G229" s="97"/>
      <c r="H229" s="97"/>
      <c r="I229" s="97"/>
      <c r="J229" s="97"/>
      <c r="K229" s="97"/>
      <c r="L229" s="97"/>
      <c r="M229" s="97"/>
      <c r="N229" s="97"/>
      <c r="O229" s="97"/>
      <c r="P229" s="97"/>
      <c r="Q229" s="97"/>
      <c r="R229" s="97"/>
      <c r="S229" s="97"/>
      <c r="T229" s="97"/>
      <c r="U229" s="97"/>
      <c r="V229" s="97"/>
      <c r="W229" s="97"/>
      <c r="X229" s="97"/>
      <c r="Y229" s="97"/>
      <c r="Z229" s="97"/>
    </row>
    <row r="230" spans="1:26">
      <c r="A230" s="116"/>
      <c r="D230" s="92"/>
      <c r="E230" s="112"/>
      <c r="F230" s="97"/>
      <c r="G230" s="97"/>
      <c r="H230" s="97"/>
      <c r="I230" s="97"/>
      <c r="J230" s="97"/>
      <c r="K230" s="97"/>
      <c r="L230" s="97"/>
      <c r="M230" s="97"/>
      <c r="N230" s="97"/>
      <c r="O230" s="97"/>
      <c r="P230" s="97"/>
      <c r="Q230" s="97"/>
      <c r="R230" s="97"/>
      <c r="S230" s="97"/>
      <c r="T230" s="97"/>
      <c r="U230" s="97"/>
      <c r="V230" s="97"/>
      <c r="W230" s="97"/>
      <c r="X230" s="97"/>
      <c r="Y230" s="97"/>
      <c r="Z230" s="97"/>
    </row>
    <row r="231" spans="1:26">
      <c r="A231" s="116"/>
      <c r="D231" s="92"/>
      <c r="E231" s="112"/>
      <c r="F231" s="97"/>
      <c r="G231" s="97"/>
      <c r="H231" s="97"/>
      <c r="I231" s="97"/>
      <c r="J231" s="97"/>
      <c r="K231" s="97"/>
      <c r="L231" s="97"/>
      <c r="M231" s="97"/>
      <c r="N231" s="97"/>
      <c r="O231" s="97"/>
      <c r="P231" s="97"/>
      <c r="Q231" s="97"/>
      <c r="R231" s="97"/>
      <c r="S231" s="97"/>
      <c r="T231" s="97"/>
      <c r="U231" s="97"/>
      <c r="V231" s="97"/>
      <c r="W231" s="97"/>
      <c r="X231" s="97"/>
      <c r="Y231" s="97"/>
      <c r="Z231" s="97"/>
    </row>
    <row r="232" spans="1:26">
      <c r="A232" s="116"/>
      <c r="D232" s="92"/>
      <c r="E232" s="112"/>
      <c r="F232" s="97"/>
      <c r="G232" s="97"/>
      <c r="H232" s="97"/>
      <c r="I232" s="97"/>
      <c r="J232" s="97"/>
      <c r="K232" s="97"/>
      <c r="L232" s="97"/>
      <c r="M232" s="97"/>
      <c r="N232" s="97"/>
      <c r="O232" s="97"/>
      <c r="P232" s="97"/>
      <c r="Q232" s="97"/>
      <c r="R232" s="97"/>
      <c r="S232" s="97"/>
      <c r="T232" s="97"/>
      <c r="U232" s="97"/>
      <c r="V232" s="97"/>
      <c r="W232" s="97"/>
      <c r="X232" s="97"/>
      <c r="Y232" s="97"/>
      <c r="Z232" s="97"/>
    </row>
    <row r="233" spans="1:26">
      <c r="A233" s="116"/>
      <c r="D233" s="92"/>
      <c r="E233" s="112"/>
      <c r="F233" s="97"/>
      <c r="G233" s="97"/>
      <c r="H233" s="97"/>
      <c r="I233" s="97"/>
      <c r="J233" s="97"/>
      <c r="K233" s="97"/>
      <c r="L233" s="97"/>
      <c r="M233" s="97"/>
      <c r="N233" s="97"/>
      <c r="O233" s="97"/>
      <c r="P233" s="97"/>
      <c r="Q233" s="97"/>
      <c r="R233" s="97"/>
      <c r="S233" s="97"/>
      <c r="T233" s="97"/>
      <c r="U233" s="97"/>
      <c r="V233" s="97"/>
      <c r="W233" s="97"/>
      <c r="X233" s="97"/>
      <c r="Y233" s="97"/>
      <c r="Z233" s="97"/>
    </row>
    <row r="234" spans="1:26">
      <c r="A234" s="116"/>
      <c r="D234" s="92"/>
      <c r="E234" s="112"/>
      <c r="F234" s="97"/>
      <c r="G234" s="97"/>
      <c r="H234" s="97"/>
      <c r="I234" s="97"/>
      <c r="J234" s="97"/>
      <c r="K234" s="97"/>
      <c r="L234" s="97"/>
      <c r="M234" s="97"/>
      <c r="N234" s="97"/>
      <c r="O234" s="97"/>
      <c r="P234" s="97"/>
      <c r="Q234" s="97"/>
      <c r="R234" s="97"/>
      <c r="S234" s="97"/>
      <c r="T234" s="97"/>
      <c r="U234" s="97"/>
      <c r="V234" s="97"/>
      <c r="W234" s="97"/>
      <c r="X234" s="97"/>
      <c r="Y234" s="97"/>
      <c r="Z234" s="97"/>
    </row>
    <row r="235" spans="1:26">
      <c r="A235" s="116"/>
      <c r="D235" s="92"/>
      <c r="E235" s="112"/>
      <c r="F235" s="97"/>
      <c r="G235" s="97"/>
      <c r="H235" s="97"/>
      <c r="I235" s="97"/>
      <c r="J235" s="97"/>
      <c r="K235" s="97"/>
      <c r="L235" s="97"/>
      <c r="M235" s="97"/>
      <c r="N235" s="97"/>
      <c r="O235" s="97"/>
      <c r="P235" s="97"/>
      <c r="Q235" s="97"/>
      <c r="R235" s="97"/>
      <c r="S235" s="97"/>
      <c r="T235" s="97"/>
      <c r="U235" s="97"/>
      <c r="V235" s="97"/>
      <c r="W235" s="97"/>
      <c r="X235" s="97"/>
      <c r="Y235" s="97"/>
      <c r="Z235" s="97"/>
    </row>
    <row r="236" spans="1:26">
      <c r="A236" s="116"/>
      <c r="D236" s="92"/>
      <c r="E236" s="112"/>
      <c r="F236" s="97"/>
      <c r="G236" s="97"/>
      <c r="H236" s="97"/>
      <c r="I236" s="97"/>
      <c r="J236" s="97"/>
      <c r="K236" s="97"/>
      <c r="L236" s="97"/>
      <c r="M236" s="97"/>
      <c r="N236" s="97"/>
      <c r="O236" s="97"/>
      <c r="P236" s="97"/>
      <c r="Q236" s="97"/>
      <c r="R236" s="97"/>
      <c r="S236" s="97"/>
      <c r="T236" s="97"/>
      <c r="U236" s="97"/>
      <c r="V236" s="97"/>
      <c r="W236" s="97"/>
      <c r="X236" s="97"/>
      <c r="Y236" s="97"/>
      <c r="Z236" s="97"/>
    </row>
    <row r="237" spans="1:26">
      <c r="A237" s="116"/>
      <c r="D237" s="92"/>
      <c r="E237" s="112"/>
      <c r="F237" s="97"/>
      <c r="G237" s="97"/>
      <c r="H237" s="97"/>
      <c r="I237" s="97"/>
      <c r="J237" s="97"/>
      <c r="K237" s="97"/>
      <c r="L237" s="97"/>
      <c r="M237" s="97"/>
      <c r="N237" s="97"/>
      <c r="O237" s="97"/>
      <c r="P237" s="97"/>
      <c r="Q237" s="97"/>
      <c r="R237" s="97"/>
      <c r="S237" s="97"/>
      <c r="T237" s="97"/>
      <c r="U237" s="97"/>
      <c r="V237" s="97"/>
      <c r="W237" s="97"/>
      <c r="X237" s="97"/>
      <c r="Y237" s="97"/>
      <c r="Z237" s="97"/>
    </row>
    <row r="238" spans="1:26">
      <c r="A238" s="116"/>
      <c r="D238" s="92"/>
      <c r="E238" s="112"/>
      <c r="F238" s="97"/>
      <c r="G238" s="97"/>
      <c r="H238" s="97"/>
      <c r="I238" s="97"/>
      <c r="J238" s="97"/>
      <c r="K238" s="97"/>
      <c r="L238" s="97"/>
      <c r="M238" s="97"/>
      <c r="N238" s="97"/>
      <c r="O238" s="97"/>
      <c r="P238" s="97"/>
      <c r="Q238" s="97"/>
      <c r="R238" s="97"/>
      <c r="S238" s="97"/>
      <c r="T238" s="97"/>
      <c r="U238" s="97"/>
      <c r="V238" s="97"/>
      <c r="W238" s="97"/>
      <c r="X238" s="97"/>
      <c r="Y238" s="97"/>
      <c r="Z238" s="97"/>
    </row>
    <row r="239" spans="1:26">
      <c r="A239" s="116"/>
      <c r="D239" s="92"/>
      <c r="E239" s="112"/>
      <c r="F239" s="97"/>
      <c r="G239" s="97"/>
      <c r="H239" s="97"/>
      <c r="I239" s="97"/>
      <c r="J239" s="97"/>
      <c r="K239" s="97"/>
      <c r="L239" s="97"/>
      <c r="M239" s="97"/>
      <c r="N239" s="97"/>
      <c r="O239" s="97"/>
      <c r="P239" s="97"/>
      <c r="Q239" s="97"/>
      <c r="R239" s="97"/>
      <c r="S239" s="97"/>
      <c r="T239" s="97"/>
      <c r="U239" s="97"/>
      <c r="V239" s="97"/>
      <c r="W239" s="97"/>
      <c r="X239" s="97"/>
      <c r="Y239" s="97"/>
      <c r="Z239" s="97"/>
    </row>
    <row r="240" spans="1:26">
      <c r="A240" s="116"/>
      <c r="D240" s="92"/>
      <c r="E240" s="112"/>
      <c r="F240" s="97"/>
      <c r="G240" s="97"/>
      <c r="H240" s="97"/>
      <c r="I240" s="97"/>
      <c r="J240" s="97"/>
      <c r="K240" s="97"/>
      <c r="L240" s="97"/>
      <c r="M240" s="97"/>
      <c r="N240" s="97"/>
      <c r="O240" s="97"/>
      <c r="P240" s="97"/>
      <c r="Q240" s="97"/>
      <c r="R240" s="97"/>
      <c r="S240" s="97"/>
      <c r="T240" s="97"/>
      <c r="U240" s="97"/>
      <c r="V240" s="97"/>
      <c r="W240" s="97"/>
      <c r="X240" s="97"/>
      <c r="Y240" s="97"/>
      <c r="Z240" s="97"/>
    </row>
    <row r="241" spans="1:26">
      <c r="A241" s="116"/>
      <c r="D241" s="92"/>
      <c r="E241" s="112"/>
      <c r="F241" s="97"/>
      <c r="G241" s="97"/>
      <c r="H241" s="97"/>
      <c r="I241" s="97"/>
      <c r="J241" s="97"/>
      <c r="K241" s="97"/>
      <c r="L241" s="97"/>
      <c r="M241" s="97"/>
      <c r="N241" s="97"/>
      <c r="O241" s="97"/>
      <c r="P241" s="97"/>
      <c r="Q241" s="97"/>
      <c r="R241" s="97"/>
      <c r="S241" s="97"/>
      <c r="T241" s="97"/>
      <c r="U241" s="97"/>
      <c r="V241" s="97"/>
      <c r="W241" s="97"/>
      <c r="X241" s="97"/>
      <c r="Y241" s="97"/>
      <c r="Z241" s="97"/>
    </row>
    <row r="242" spans="1:26">
      <c r="A242" s="116"/>
      <c r="D242" s="92"/>
      <c r="E242" s="112"/>
      <c r="F242" s="97"/>
      <c r="G242" s="97"/>
      <c r="H242" s="97"/>
      <c r="I242" s="97"/>
      <c r="J242" s="97"/>
      <c r="K242" s="97"/>
      <c r="L242" s="97"/>
      <c r="M242" s="97"/>
      <c r="N242" s="97"/>
      <c r="O242" s="97"/>
      <c r="P242" s="97"/>
      <c r="Q242" s="97"/>
      <c r="R242" s="97"/>
      <c r="S242" s="97"/>
      <c r="T242" s="97"/>
      <c r="U242" s="97"/>
      <c r="V242" s="97"/>
      <c r="W242" s="97"/>
      <c r="X242" s="97"/>
      <c r="Y242" s="97"/>
      <c r="Z242" s="97"/>
    </row>
    <row r="243" spans="1:26">
      <c r="A243" s="116"/>
      <c r="D243" s="92"/>
      <c r="E243" s="112"/>
      <c r="F243" s="97"/>
      <c r="G243" s="97"/>
      <c r="H243" s="97"/>
      <c r="I243" s="97"/>
      <c r="J243" s="97"/>
      <c r="K243" s="97"/>
      <c r="L243" s="97"/>
      <c r="M243" s="97"/>
      <c r="N243" s="97"/>
      <c r="O243" s="97"/>
      <c r="P243" s="97"/>
      <c r="Q243" s="97"/>
      <c r="R243" s="97"/>
      <c r="S243" s="97"/>
      <c r="T243" s="97"/>
      <c r="U243" s="97"/>
      <c r="V243" s="97"/>
      <c r="W243" s="97"/>
      <c r="X243" s="97"/>
      <c r="Y243" s="97"/>
      <c r="Z243" s="97"/>
    </row>
    <row r="244" spans="1:26">
      <c r="A244" s="116"/>
      <c r="D244" s="92"/>
      <c r="E244" s="112"/>
      <c r="F244" s="97"/>
      <c r="G244" s="97"/>
      <c r="H244" s="97"/>
      <c r="I244" s="97"/>
      <c r="J244" s="97"/>
      <c r="K244" s="97"/>
      <c r="L244" s="97"/>
      <c r="M244" s="97"/>
      <c r="N244" s="97"/>
      <c r="O244" s="97"/>
      <c r="P244" s="97"/>
      <c r="Q244" s="97"/>
      <c r="R244" s="97"/>
      <c r="S244" s="97"/>
      <c r="T244" s="97"/>
      <c r="U244" s="97"/>
      <c r="V244" s="97"/>
      <c r="W244" s="97"/>
      <c r="X244" s="97"/>
      <c r="Y244" s="97"/>
      <c r="Z244" s="97"/>
    </row>
    <row r="245" spans="1:26">
      <c r="A245" s="116"/>
      <c r="D245" s="92"/>
      <c r="E245" s="112"/>
      <c r="F245" s="97"/>
      <c r="G245" s="97"/>
      <c r="H245" s="97"/>
      <c r="I245" s="97"/>
      <c r="J245" s="97"/>
      <c r="K245" s="97"/>
      <c r="L245" s="97"/>
      <c r="M245" s="97"/>
      <c r="N245" s="97"/>
      <c r="O245" s="97"/>
      <c r="P245" s="97"/>
      <c r="Q245" s="97"/>
      <c r="R245" s="97"/>
      <c r="S245" s="97"/>
      <c r="T245" s="97"/>
      <c r="U245" s="97"/>
      <c r="V245" s="97"/>
      <c r="W245" s="97"/>
      <c r="X245" s="97"/>
      <c r="Y245" s="97"/>
      <c r="Z245" s="97"/>
    </row>
    <row r="246" spans="1:26">
      <c r="A246" s="116"/>
      <c r="D246" s="92"/>
      <c r="E246" s="112"/>
      <c r="F246" s="97"/>
      <c r="G246" s="97"/>
      <c r="H246" s="97"/>
      <c r="I246" s="97"/>
      <c r="J246" s="97"/>
      <c r="K246" s="97"/>
      <c r="L246" s="97"/>
      <c r="M246" s="97"/>
      <c r="N246" s="97"/>
      <c r="O246" s="97"/>
      <c r="P246" s="97"/>
      <c r="Q246" s="97"/>
      <c r="R246" s="97"/>
      <c r="S246" s="97"/>
      <c r="T246" s="97"/>
      <c r="U246" s="97"/>
      <c r="V246" s="97"/>
      <c r="W246" s="97"/>
      <c r="X246" s="97"/>
      <c r="Y246" s="97"/>
      <c r="Z246" s="97"/>
    </row>
    <row r="247" spans="1:26">
      <c r="A247" s="116"/>
      <c r="D247" s="92"/>
      <c r="E247" s="112"/>
      <c r="F247" s="97"/>
      <c r="G247" s="97"/>
      <c r="H247" s="97"/>
      <c r="I247" s="97"/>
      <c r="J247" s="97"/>
      <c r="K247" s="97"/>
      <c r="L247" s="97"/>
      <c r="M247" s="97"/>
      <c r="N247" s="97"/>
      <c r="O247" s="97"/>
      <c r="P247" s="97"/>
      <c r="Q247" s="97"/>
      <c r="R247" s="97"/>
      <c r="S247" s="97"/>
      <c r="T247" s="97"/>
      <c r="U247" s="97"/>
      <c r="V247" s="97"/>
      <c r="W247" s="97"/>
      <c r="X247" s="97"/>
      <c r="Y247" s="97"/>
      <c r="Z247" s="97"/>
    </row>
    <row r="248" spans="1:26">
      <c r="A248" s="116"/>
      <c r="D248" s="92"/>
      <c r="E248" s="112"/>
      <c r="F248" s="97"/>
      <c r="G248" s="97"/>
      <c r="H248" s="97"/>
      <c r="I248" s="97"/>
      <c r="J248" s="97"/>
      <c r="K248" s="97"/>
      <c r="L248" s="97"/>
      <c r="M248" s="97"/>
      <c r="N248" s="97"/>
      <c r="O248" s="97"/>
      <c r="P248" s="97"/>
      <c r="Q248" s="97"/>
      <c r="R248" s="97"/>
      <c r="S248" s="97"/>
      <c r="T248" s="97"/>
      <c r="U248" s="97"/>
      <c r="V248" s="97"/>
      <c r="W248" s="97"/>
      <c r="X248" s="97"/>
      <c r="Y248" s="97"/>
      <c r="Z248" s="97"/>
    </row>
    <row r="249" spans="1:26">
      <c r="A249" s="116"/>
      <c r="D249" s="92"/>
      <c r="E249" s="112"/>
      <c r="F249" s="97"/>
      <c r="G249" s="97"/>
      <c r="H249" s="97"/>
      <c r="I249" s="97"/>
      <c r="J249" s="97"/>
      <c r="K249" s="97"/>
      <c r="L249" s="97"/>
      <c r="M249" s="97"/>
      <c r="N249" s="97"/>
      <c r="O249" s="97"/>
      <c r="P249" s="97"/>
      <c r="Q249" s="97"/>
      <c r="R249" s="97"/>
      <c r="S249" s="97"/>
      <c r="T249" s="97"/>
      <c r="U249" s="97"/>
      <c r="V249" s="97"/>
      <c r="W249" s="97"/>
      <c r="X249" s="97"/>
      <c r="Y249" s="97"/>
      <c r="Z249" s="97"/>
    </row>
    <row r="250" spans="1:26">
      <c r="A250" s="116"/>
      <c r="D250" s="92"/>
      <c r="E250" s="112"/>
      <c r="F250" s="97"/>
      <c r="G250" s="97"/>
      <c r="H250" s="97"/>
      <c r="I250" s="97"/>
      <c r="J250" s="97"/>
      <c r="K250" s="97"/>
      <c r="L250" s="97"/>
      <c r="M250" s="97"/>
      <c r="N250" s="97"/>
      <c r="O250" s="97"/>
      <c r="P250" s="97"/>
      <c r="Q250" s="97"/>
      <c r="R250" s="97"/>
      <c r="S250" s="97"/>
      <c r="T250" s="97"/>
      <c r="U250" s="97"/>
      <c r="V250" s="97"/>
      <c r="W250" s="97"/>
      <c r="X250" s="97"/>
      <c r="Y250" s="97"/>
      <c r="Z250" s="97"/>
    </row>
    <row r="251" spans="1:26">
      <c r="A251" s="116"/>
      <c r="D251" s="92"/>
      <c r="E251" s="112"/>
      <c r="F251" s="97"/>
      <c r="G251" s="97"/>
      <c r="H251" s="97"/>
      <c r="I251" s="97"/>
      <c r="J251" s="97"/>
      <c r="K251" s="97"/>
      <c r="L251" s="97"/>
      <c r="M251" s="97"/>
      <c r="N251" s="97"/>
      <c r="O251" s="97"/>
      <c r="P251" s="97"/>
      <c r="Q251" s="97"/>
      <c r="R251" s="97"/>
      <c r="S251" s="97"/>
      <c r="T251" s="97"/>
      <c r="U251" s="97"/>
      <c r="V251" s="97"/>
      <c r="W251" s="97"/>
      <c r="X251" s="97"/>
      <c r="Y251" s="97"/>
      <c r="Z251" s="97"/>
    </row>
    <row r="252" spans="1:26">
      <c r="A252" s="116"/>
      <c r="D252" s="92"/>
      <c r="E252" s="112"/>
      <c r="F252" s="97"/>
      <c r="G252" s="97"/>
      <c r="H252" s="97"/>
      <c r="I252" s="97"/>
      <c r="J252" s="97"/>
      <c r="K252" s="97"/>
      <c r="L252" s="97"/>
      <c r="M252" s="97"/>
      <c r="N252" s="97"/>
      <c r="O252" s="97"/>
      <c r="P252" s="97"/>
      <c r="Q252" s="97"/>
      <c r="R252" s="97"/>
      <c r="S252" s="97"/>
      <c r="T252" s="97"/>
      <c r="U252" s="97"/>
      <c r="V252" s="97"/>
      <c r="W252" s="97"/>
      <c r="X252" s="97"/>
      <c r="Y252" s="97"/>
      <c r="Z252" s="97"/>
    </row>
    <row r="253" spans="1:26">
      <c r="A253" s="116"/>
      <c r="D253" s="92"/>
      <c r="E253" s="112"/>
      <c r="F253" s="97"/>
      <c r="G253" s="97"/>
      <c r="H253" s="97"/>
      <c r="I253" s="97"/>
      <c r="J253" s="97"/>
      <c r="K253" s="97"/>
      <c r="L253" s="97"/>
      <c r="M253" s="97"/>
      <c r="N253" s="97"/>
      <c r="O253" s="97"/>
      <c r="P253" s="97"/>
      <c r="Q253" s="97"/>
      <c r="R253" s="97"/>
      <c r="S253" s="97"/>
      <c r="T253" s="97"/>
      <c r="U253" s="97"/>
      <c r="V253" s="97"/>
      <c r="W253" s="97"/>
      <c r="X253" s="97"/>
      <c r="Y253" s="97"/>
      <c r="Z253" s="97"/>
    </row>
    <row r="254" spans="1:26">
      <c r="A254" s="116"/>
      <c r="D254" s="92"/>
      <c r="E254" s="112"/>
      <c r="F254" s="97"/>
      <c r="G254" s="97"/>
      <c r="H254" s="97"/>
      <c r="I254" s="97"/>
      <c r="J254" s="97"/>
      <c r="K254" s="97"/>
      <c r="L254" s="97"/>
      <c r="M254" s="97"/>
      <c r="N254" s="97"/>
      <c r="O254" s="97"/>
      <c r="P254" s="97"/>
      <c r="Q254" s="97"/>
      <c r="R254" s="97"/>
      <c r="S254" s="97"/>
      <c r="T254" s="97"/>
      <c r="U254" s="97"/>
      <c r="V254" s="97"/>
      <c r="W254" s="97"/>
      <c r="X254" s="97"/>
      <c r="Y254" s="97"/>
      <c r="Z254" s="97"/>
    </row>
    <row r="255" spans="1:26">
      <c r="A255" s="116"/>
      <c r="D255" s="92"/>
      <c r="E255" s="112"/>
      <c r="F255" s="97"/>
      <c r="G255" s="97"/>
      <c r="H255" s="97"/>
      <c r="I255" s="97"/>
      <c r="J255" s="97"/>
      <c r="K255" s="97"/>
      <c r="L255" s="97"/>
      <c r="M255" s="97"/>
      <c r="N255" s="97"/>
      <c r="O255" s="97"/>
      <c r="P255" s="97"/>
      <c r="Q255" s="97"/>
      <c r="R255" s="97"/>
      <c r="S255" s="97"/>
      <c r="T255" s="97"/>
      <c r="U255" s="97"/>
      <c r="V255" s="97"/>
      <c r="W255" s="97"/>
      <c r="X255" s="97"/>
      <c r="Y255" s="97"/>
      <c r="Z255" s="97"/>
    </row>
    <row r="256" spans="1:26">
      <c r="A256" s="116"/>
      <c r="D256" s="92"/>
      <c r="E256" s="112"/>
      <c r="F256" s="97"/>
      <c r="G256" s="97"/>
      <c r="H256" s="97"/>
      <c r="I256" s="97"/>
      <c r="J256" s="97"/>
      <c r="K256" s="97"/>
      <c r="L256" s="97"/>
      <c r="M256" s="97"/>
      <c r="N256" s="97"/>
      <c r="O256" s="97"/>
      <c r="P256" s="97"/>
      <c r="Q256" s="97"/>
      <c r="R256" s="97"/>
      <c r="S256" s="97"/>
      <c r="T256" s="97"/>
      <c r="U256" s="97"/>
      <c r="V256" s="97"/>
      <c r="W256" s="97"/>
      <c r="X256" s="97"/>
      <c r="Y256" s="97"/>
      <c r="Z256" s="97"/>
    </row>
    <row r="257" spans="1:26">
      <c r="A257" s="116"/>
      <c r="D257" s="92"/>
      <c r="E257" s="112"/>
      <c r="F257" s="97"/>
      <c r="G257" s="97"/>
      <c r="H257" s="97"/>
      <c r="I257" s="97"/>
      <c r="J257" s="97"/>
      <c r="K257" s="97"/>
      <c r="L257" s="97"/>
      <c r="M257" s="97"/>
      <c r="N257" s="97"/>
      <c r="O257" s="97"/>
      <c r="P257" s="97"/>
      <c r="Q257" s="97"/>
      <c r="R257" s="97"/>
      <c r="S257" s="97"/>
      <c r="T257" s="97"/>
      <c r="U257" s="97"/>
      <c r="V257" s="97"/>
      <c r="W257" s="97"/>
      <c r="X257" s="97"/>
      <c r="Y257" s="97"/>
      <c r="Z257" s="97"/>
    </row>
    <row r="258" spans="1:26">
      <c r="A258" s="116"/>
      <c r="D258" s="92"/>
      <c r="E258" s="112"/>
      <c r="F258" s="97"/>
      <c r="G258" s="97"/>
      <c r="H258" s="97"/>
      <c r="I258" s="97"/>
      <c r="J258" s="97"/>
      <c r="K258" s="97"/>
      <c r="L258" s="97"/>
      <c r="M258" s="97"/>
      <c r="N258" s="97"/>
      <c r="O258" s="97"/>
      <c r="P258" s="97"/>
      <c r="Q258" s="97"/>
      <c r="R258" s="97"/>
      <c r="S258" s="97"/>
      <c r="T258" s="97"/>
      <c r="U258" s="97"/>
      <c r="V258" s="97"/>
      <c r="W258" s="97"/>
      <c r="X258" s="97"/>
      <c r="Y258" s="97"/>
      <c r="Z258" s="97"/>
    </row>
    <row r="259" spans="1:26">
      <c r="A259" s="116"/>
      <c r="D259" s="92"/>
      <c r="E259" s="112"/>
      <c r="F259" s="97"/>
      <c r="G259" s="97"/>
      <c r="H259" s="97"/>
      <c r="I259" s="97"/>
      <c r="J259" s="97"/>
      <c r="K259" s="97"/>
      <c r="L259" s="97"/>
      <c r="M259" s="97"/>
      <c r="N259" s="97"/>
      <c r="O259" s="97"/>
      <c r="P259" s="97"/>
      <c r="Q259" s="97"/>
      <c r="R259" s="97"/>
      <c r="S259" s="97"/>
      <c r="T259" s="97"/>
      <c r="U259" s="97"/>
      <c r="V259" s="97"/>
      <c r="W259" s="97"/>
      <c r="X259" s="97"/>
      <c r="Y259" s="97"/>
      <c r="Z259" s="97"/>
    </row>
    <row r="260" spans="1:26">
      <c r="A260" s="116"/>
      <c r="D260" s="92"/>
      <c r="E260" s="112"/>
      <c r="F260" s="97"/>
      <c r="G260" s="97"/>
      <c r="H260" s="97"/>
      <c r="I260" s="97"/>
      <c r="J260" s="97"/>
      <c r="K260" s="97"/>
      <c r="L260" s="97"/>
      <c r="M260" s="97"/>
      <c r="N260" s="97"/>
      <c r="O260" s="97"/>
      <c r="P260" s="97"/>
      <c r="Q260" s="97"/>
      <c r="R260" s="97"/>
      <c r="S260" s="97"/>
      <c r="T260" s="97"/>
      <c r="U260" s="97"/>
      <c r="V260" s="97"/>
      <c r="W260" s="97"/>
      <c r="X260" s="97"/>
      <c r="Y260" s="97"/>
      <c r="Z260" s="97"/>
    </row>
    <row r="261" spans="1:26">
      <c r="A261" s="116"/>
      <c r="D261" s="92"/>
      <c r="E261" s="112"/>
      <c r="F261" s="97"/>
      <c r="G261" s="97"/>
      <c r="H261" s="97"/>
      <c r="I261" s="97"/>
      <c r="J261" s="97"/>
      <c r="K261" s="97"/>
      <c r="L261" s="97"/>
      <c r="M261" s="97"/>
      <c r="N261" s="97"/>
      <c r="O261" s="97"/>
      <c r="P261" s="97"/>
      <c r="Q261" s="97"/>
      <c r="R261" s="97"/>
      <c r="S261" s="97"/>
      <c r="T261" s="97"/>
      <c r="U261" s="97"/>
      <c r="V261" s="97"/>
      <c r="W261" s="97"/>
      <c r="X261" s="97"/>
      <c r="Y261" s="97"/>
      <c r="Z261" s="97"/>
    </row>
    <row r="262" spans="1:26">
      <c r="A262" s="116"/>
      <c r="D262" s="92"/>
      <c r="E262" s="112"/>
      <c r="F262" s="97"/>
      <c r="G262" s="97"/>
      <c r="H262" s="97"/>
      <c r="I262" s="97"/>
      <c r="J262" s="97"/>
      <c r="K262" s="97"/>
      <c r="L262" s="97"/>
      <c r="M262" s="97"/>
      <c r="N262" s="97"/>
      <c r="O262" s="97"/>
      <c r="P262" s="97"/>
      <c r="Q262" s="97"/>
      <c r="R262" s="97"/>
      <c r="S262" s="97"/>
      <c r="T262" s="97"/>
      <c r="U262" s="97"/>
      <c r="V262" s="97"/>
      <c r="W262" s="97"/>
      <c r="X262" s="97"/>
      <c r="Y262" s="97"/>
      <c r="Z262" s="97"/>
    </row>
    <row r="263" spans="1:26">
      <c r="A263" s="116"/>
      <c r="D263" s="92"/>
      <c r="E263" s="112"/>
      <c r="F263" s="97"/>
      <c r="G263" s="97"/>
      <c r="H263" s="97"/>
      <c r="I263" s="97"/>
      <c r="J263" s="97"/>
      <c r="K263" s="97"/>
      <c r="L263" s="97"/>
      <c r="M263" s="97"/>
      <c r="N263" s="97"/>
      <c r="O263" s="97"/>
      <c r="P263" s="97"/>
      <c r="Q263" s="97"/>
      <c r="R263" s="97"/>
      <c r="S263" s="97"/>
      <c r="T263" s="97"/>
      <c r="U263" s="97"/>
      <c r="V263" s="97"/>
      <c r="W263" s="97"/>
      <c r="X263" s="97"/>
      <c r="Y263" s="97"/>
      <c r="Z263" s="97"/>
    </row>
    <row r="264" spans="1:26">
      <c r="A264" s="116"/>
      <c r="D264" s="92"/>
      <c r="E264" s="112"/>
      <c r="F264" s="97"/>
      <c r="G264" s="97"/>
      <c r="H264" s="97"/>
      <c r="I264" s="97"/>
      <c r="J264" s="97"/>
      <c r="K264" s="97"/>
      <c r="L264" s="97"/>
      <c r="M264" s="97"/>
      <c r="N264" s="97"/>
      <c r="O264" s="97"/>
      <c r="P264" s="97"/>
      <c r="Q264" s="97"/>
      <c r="R264" s="97"/>
      <c r="S264" s="97"/>
      <c r="T264" s="97"/>
      <c r="U264" s="97"/>
      <c r="V264" s="97"/>
      <c r="W264" s="97"/>
      <c r="X264" s="97"/>
      <c r="Y264" s="97"/>
      <c r="Z264" s="97"/>
    </row>
    <row r="265" spans="1:26">
      <c r="A265" s="116"/>
      <c r="D265" s="92"/>
      <c r="E265" s="112"/>
      <c r="F265" s="97"/>
      <c r="G265" s="97"/>
      <c r="H265" s="97"/>
      <c r="I265" s="97"/>
      <c r="J265" s="97"/>
      <c r="K265" s="97"/>
      <c r="L265" s="97"/>
      <c r="M265" s="97"/>
      <c r="N265" s="97"/>
      <c r="O265" s="97"/>
      <c r="P265" s="97"/>
      <c r="Q265" s="97"/>
      <c r="R265" s="97"/>
      <c r="S265" s="97"/>
      <c r="T265" s="97"/>
      <c r="U265" s="97"/>
      <c r="V265" s="97"/>
      <c r="W265" s="97"/>
      <c r="X265" s="97"/>
      <c r="Y265" s="97"/>
      <c r="Z265" s="97"/>
    </row>
    <row r="266" spans="1:26">
      <c r="A266" s="116"/>
      <c r="D266" s="92"/>
      <c r="E266" s="112"/>
      <c r="F266" s="97"/>
      <c r="G266" s="97"/>
      <c r="H266" s="97"/>
      <c r="I266" s="97"/>
      <c r="J266" s="97"/>
      <c r="K266" s="97"/>
      <c r="L266" s="97"/>
      <c r="M266" s="97"/>
      <c r="N266" s="97"/>
      <c r="O266" s="97"/>
      <c r="P266" s="97"/>
      <c r="Q266" s="97"/>
      <c r="R266" s="97"/>
      <c r="S266" s="97"/>
      <c r="T266" s="97"/>
      <c r="U266" s="97"/>
      <c r="V266" s="97"/>
      <c r="W266" s="97"/>
      <c r="X266" s="97"/>
      <c r="Y266" s="97"/>
      <c r="Z266" s="97"/>
    </row>
    <row r="267" spans="1:26">
      <c r="A267" s="116"/>
      <c r="D267" s="92"/>
      <c r="E267" s="112"/>
      <c r="F267" s="97"/>
      <c r="G267" s="97"/>
      <c r="H267" s="97"/>
      <c r="I267" s="97"/>
      <c r="J267" s="97"/>
      <c r="K267" s="97"/>
      <c r="L267" s="97"/>
      <c r="M267" s="97"/>
      <c r="N267" s="97"/>
      <c r="O267" s="97"/>
      <c r="P267" s="97"/>
      <c r="Q267" s="97"/>
      <c r="R267" s="97"/>
      <c r="S267" s="97"/>
      <c r="T267" s="97"/>
      <c r="U267" s="97"/>
      <c r="V267" s="97"/>
      <c r="W267" s="97"/>
      <c r="X267" s="97"/>
      <c r="Y267" s="97"/>
      <c r="Z267" s="97"/>
    </row>
    <row r="268" spans="1:26">
      <c r="A268" s="116"/>
      <c r="D268" s="92"/>
      <c r="E268" s="112"/>
      <c r="F268" s="97"/>
      <c r="G268" s="97"/>
      <c r="H268" s="97"/>
      <c r="I268" s="97"/>
      <c r="J268" s="97"/>
      <c r="K268" s="97"/>
      <c r="L268" s="97"/>
      <c r="M268" s="97"/>
      <c r="N268" s="97"/>
      <c r="O268" s="97"/>
      <c r="P268" s="97"/>
      <c r="Q268" s="97"/>
      <c r="R268" s="97"/>
      <c r="S268" s="97"/>
      <c r="T268" s="97"/>
      <c r="U268" s="97"/>
      <c r="V268" s="97"/>
      <c r="W268" s="97"/>
      <c r="X268" s="97"/>
      <c r="Y268" s="97"/>
      <c r="Z268" s="97"/>
    </row>
    <row r="269" spans="1:26">
      <c r="A269" s="116"/>
      <c r="D269" s="92"/>
      <c r="E269" s="112"/>
      <c r="F269" s="97"/>
      <c r="G269" s="97"/>
      <c r="H269" s="97"/>
      <c r="I269" s="97"/>
      <c r="J269" s="97"/>
      <c r="K269" s="97"/>
      <c r="L269" s="97"/>
      <c r="M269" s="97"/>
      <c r="N269" s="97"/>
      <c r="O269" s="97"/>
      <c r="P269" s="97"/>
      <c r="Q269" s="97"/>
      <c r="R269" s="97"/>
      <c r="S269" s="97"/>
      <c r="T269" s="97"/>
      <c r="U269" s="97"/>
      <c r="V269" s="97"/>
      <c r="W269" s="97"/>
      <c r="X269" s="97"/>
      <c r="Y269" s="97"/>
      <c r="Z269" s="97"/>
    </row>
    <row r="270" spans="1:26">
      <c r="A270" s="116"/>
      <c r="D270" s="92"/>
      <c r="E270" s="112"/>
      <c r="F270" s="97"/>
      <c r="G270" s="97"/>
      <c r="H270" s="97"/>
      <c r="I270" s="97"/>
      <c r="J270" s="97"/>
      <c r="K270" s="97"/>
      <c r="L270" s="97"/>
      <c r="M270" s="97"/>
      <c r="N270" s="97"/>
      <c r="O270" s="97"/>
      <c r="P270" s="97"/>
      <c r="Q270" s="97"/>
      <c r="R270" s="97"/>
      <c r="S270" s="97"/>
      <c r="T270" s="97"/>
      <c r="U270" s="97"/>
      <c r="V270" s="97"/>
      <c r="W270" s="97"/>
      <c r="X270" s="97"/>
      <c r="Y270" s="97"/>
      <c r="Z270" s="97"/>
    </row>
    <row r="271" spans="1:26">
      <c r="A271" s="116"/>
      <c r="D271" s="92"/>
      <c r="E271" s="112"/>
      <c r="F271" s="97"/>
      <c r="G271" s="97"/>
      <c r="H271" s="97"/>
      <c r="I271" s="97"/>
      <c r="J271" s="97"/>
      <c r="K271" s="97"/>
      <c r="L271" s="97"/>
      <c r="M271" s="97"/>
      <c r="N271" s="97"/>
      <c r="O271" s="97"/>
      <c r="P271" s="97"/>
      <c r="Q271" s="97"/>
      <c r="R271" s="97"/>
      <c r="S271" s="97"/>
      <c r="T271" s="97"/>
      <c r="U271" s="97"/>
      <c r="V271" s="97"/>
      <c r="W271" s="97"/>
      <c r="X271" s="97"/>
      <c r="Y271" s="97"/>
      <c r="Z271" s="97"/>
    </row>
    <row r="272" spans="1:26">
      <c r="A272" s="116"/>
      <c r="D272" s="92"/>
      <c r="E272" s="112"/>
      <c r="F272" s="97"/>
      <c r="G272" s="97"/>
      <c r="H272" s="97"/>
      <c r="I272" s="97"/>
      <c r="J272" s="97"/>
      <c r="K272" s="97"/>
      <c r="L272" s="97"/>
      <c r="M272" s="97"/>
      <c r="N272" s="97"/>
      <c r="O272" s="97"/>
      <c r="P272" s="97"/>
      <c r="Q272" s="97"/>
      <c r="R272" s="97"/>
      <c r="S272" s="97"/>
      <c r="T272" s="97"/>
      <c r="U272" s="97"/>
      <c r="V272" s="97"/>
      <c r="W272" s="97"/>
      <c r="X272" s="97"/>
      <c r="Y272" s="97"/>
      <c r="Z272" s="97"/>
    </row>
    <row r="273" spans="1:26">
      <c r="A273" s="116"/>
      <c r="D273" s="92"/>
      <c r="E273" s="112"/>
      <c r="F273" s="97"/>
      <c r="G273" s="97"/>
      <c r="H273" s="97"/>
      <c r="I273" s="97"/>
      <c r="J273" s="97"/>
      <c r="K273" s="97"/>
      <c r="L273" s="97"/>
      <c r="M273" s="97"/>
      <c r="N273" s="97"/>
      <c r="O273" s="97"/>
      <c r="P273" s="97"/>
      <c r="Q273" s="97"/>
      <c r="R273" s="97"/>
      <c r="S273" s="97"/>
      <c r="T273" s="97"/>
      <c r="U273" s="97"/>
      <c r="V273" s="97"/>
      <c r="W273" s="97"/>
      <c r="X273" s="97"/>
      <c r="Y273" s="97"/>
      <c r="Z273" s="97"/>
    </row>
    <row r="274" spans="1:26">
      <c r="A274" s="116"/>
      <c r="D274" s="92"/>
      <c r="E274" s="112"/>
      <c r="F274" s="97"/>
      <c r="G274" s="97"/>
      <c r="H274" s="97"/>
      <c r="I274" s="97"/>
      <c r="J274" s="97"/>
      <c r="K274" s="97"/>
      <c r="L274" s="97"/>
      <c r="M274" s="97"/>
      <c r="N274" s="97"/>
      <c r="O274" s="97"/>
      <c r="P274" s="97"/>
      <c r="Q274" s="97"/>
      <c r="R274" s="97"/>
      <c r="S274" s="97"/>
      <c r="T274" s="97"/>
      <c r="U274" s="97"/>
      <c r="V274" s="97"/>
      <c r="W274" s="97"/>
      <c r="X274" s="97"/>
      <c r="Y274" s="97"/>
      <c r="Z274" s="97"/>
    </row>
    <row r="275" spans="1:26">
      <c r="A275" s="116"/>
      <c r="D275" s="92"/>
      <c r="E275" s="112"/>
      <c r="F275" s="97"/>
      <c r="G275" s="97"/>
      <c r="H275" s="97"/>
      <c r="I275" s="97"/>
      <c r="J275" s="97"/>
      <c r="K275" s="97"/>
      <c r="L275" s="97"/>
      <c r="M275" s="97"/>
      <c r="N275" s="97"/>
      <c r="O275" s="97"/>
      <c r="P275" s="97"/>
      <c r="Q275" s="97"/>
      <c r="R275" s="97"/>
      <c r="S275" s="97"/>
      <c r="T275" s="97"/>
      <c r="U275" s="97"/>
      <c r="V275" s="97"/>
      <c r="W275" s="97"/>
      <c r="X275" s="97"/>
      <c r="Y275" s="97"/>
      <c r="Z275" s="97"/>
    </row>
    <row r="276" spans="1:26">
      <c r="A276" s="116"/>
      <c r="D276" s="92"/>
      <c r="E276" s="112"/>
      <c r="F276" s="97"/>
      <c r="G276" s="97"/>
      <c r="H276" s="97"/>
      <c r="I276" s="97"/>
      <c r="J276" s="97"/>
      <c r="K276" s="97"/>
      <c r="L276" s="97"/>
      <c r="M276" s="97"/>
      <c r="N276" s="97"/>
      <c r="O276" s="97"/>
      <c r="P276" s="97"/>
      <c r="Q276" s="97"/>
      <c r="R276" s="97"/>
      <c r="S276" s="97"/>
      <c r="T276" s="97"/>
      <c r="U276" s="97"/>
      <c r="V276" s="97"/>
      <c r="W276" s="97"/>
      <c r="X276" s="97"/>
      <c r="Y276" s="97"/>
      <c r="Z276" s="97"/>
    </row>
    <row r="277" spans="1:26">
      <c r="A277" s="116"/>
      <c r="D277" s="92"/>
      <c r="E277" s="112"/>
      <c r="F277" s="97"/>
      <c r="G277" s="97"/>
      <c r="H277" s="97"/>
      <c r="I277" s="97"/>
      <c r="J277" s="97"/>
      <c r="K277" s="97"/>
      <c r="L277" s="97"/>
      <c r="M277" s="97"/>
      <c r="N277" s="97"/>
      <c r="O277" s="97"/>
      <c r="P277" s="97"/>
      <c r="Q277" s="97"/>
      <c r="R277" s="97"/>
      <c r="S277" s="97"/>
      <c r="T277" s="97"/>
      <c r="U277" s="97"/>
      <c r="V277" s="97"/>
      <c r="W277" s="97"/>
      <c r="X277" s="97"/>
      <c r="Y277" s="97"/>
      <c r="Z277" s="97"/>
    </row>
    <row r="278" spans="1:26">
      <c r="A278" s="116"/>
      <c r="D278" s="92"/>
      <c r="E278" s="112"/>
      <c r="F278" s="97"/>
      <c r="G278" s="97"/>
      <c r="H278" s="97"/>
      <c r="I278" s="97"/>
      <c r="J278" s="97"/>
      <c r="K278" s="97"/>
      <c r="L278" s="97"/>
      <c r="M278" s="97"/>
      <c r="N278" s="97"/>
      <c r="O278" s="97"/>
      <c r="P278" s="97"/>
      <c r="Q278" s="97"/>
      <c r="R278" s="97"/>
      <c r="S278" s="97"/>
      <c r="T278" s="97"/>
      <c r="U278" s="97"/>
      <c r="V278" s="97"/>
      <c r="W278" s="97"/>
      <c r="X278" s="97"/>
      <c r="Y278" s="97"/>
      <c r="Z278" s="97"/>
    </row>
    <row r="279" spans="1:26">
      <c r="A279" s="116"/>
      <c r="D279" s="92"/>
      <c r="E279" s="112"/>
      <c r="F279" s="97"/>
      <c r="G279" s="97"/>
      <c r="H279" s="97"/>
      <c r="I279" s="97"/>
      <c r="J279" s="97"/>
      <c r="K279" s="97"/>
      <c r="L279" s="97"/>
      <c r="M279" s="97"/>
      <c r="N279" s="97"/>
      <c r="O279" s="97"/>
      <c r="P279" s="97"/>
      <c r="Q279" s="97"/>
      <c r="R279" s="97"/>
      <c r="S279" s="97"/>
      <c r="T279" s="97"/>
      <c r="U279" s="97"/>
      <c r="V279" s="97"/>
      <c r="W279" s="97"/>
      <c r="X279" s="97"/>
      <c r="Y279" s="97"/>
      <c r="Z279" s="97"/>
    </row>
    <row r="280" spans="1:26">
      <c r="A280" s="116"/>
      <c r="D280" s="92"/>
      <c r="E280" s="112"/>
      <c r="F280" s="97"/>
      <c r="G280" s="97"/>
      <c r="H280" s="97"/>
      <c r="I280" s="97"/>
      <c r="J280" s="97"/>
      <c r="K280" s="97"/>
      <c r="L280" s="97"/>
      <c r="M280" s="97"/>
      <c r="N280" s="97"/>
      <c r="O280" s="97"/>
      <c r="P280" s="97"/>
      <c r="Q280" s="97"/>
      <c r="R280" s="97"/>
      <c r="S280" s="97"/>
      <c r="T280" s="97"/>
      <c r="U280" s="97"/>
      <c r="V280" s="97"/>
      <c r="W280" s="97"/>
      <c r="X280" s="97"/>
      <c r="Y280" s="97"/>
      <c r="Z280" s="97"/>
    </row>
    <row r="281" spans="1:26">
      <c r="A281" s="116"/>
      <c r="D281" s="92"/>
      <c r="E281" s="112"/>
      <c r="F281" s="97"/>
      <c r="G281" s="97"/>
      <c r="H281" s="97"/>
      <c r="I281" s="97"/>
      <c r="J281" s="97"/>
      <c r="K281" s="97"/>
      <c r="L281" s="97"/>
      <c r="M281" s="97"/>
      <c r="N281" s="97"/>
      <c r="O281" s="97"/>
      <c r="P281" s="97"/>
      <c r="Q281" s="97"/>
      <c r="R281" s="97"/>
      <c r="S281" s="97"/>
      <c r="T281" s="97"/>
      <c r="U281" s="97"/>
      <c r="V281" s="97"/>
      <c r="W281" s="97"/>
      <c r="X281" s="97"/>
      <c r="Y281" s="97"/>
      <c r="Z281" s="97"/>
    </row>
    <row r="282" spans="1:26">
      <c r="A282" s="116"/>
      <c r="D282" s="92"/>
      <c r="E282" s="112"/>
      <c r="F282" s="97"/>
      <c r="G282" s="97"/>
      <c r="H282" s="97"/>
      <c r="I282" s="97"/>
      <c r="J282" s="97"/>
      <c r="K282" s="97"/>
      <c r="L282" s="97"/>
      <c r="M282" s="97"/>
      <c r="N282" s="97"/>
      <c r="O282" s="97"/>
      <c r="P282" s="97"/>
      <c r="Q282" s="97"/>
      <c r="R282" s="97"/>
      <c r="S282" s="97"/>
      <c r="T282" s="97"/>
      <c r="U282" s="97"/>
      <c r="V282" s="97"/>
      <c r="W282" s="97"/>
      <c r="X282" s="97"/>
      <c r="Y282" s="97"/>
      <c r="Z282" s="97"/>
    </row>
    <row r="283" spans="1:26">
      <c r="A283" s="116"/>
      <c r="D283" s="92"/>
      <c r="E283" s="112"/>
      <c r="F283" s="97"/>
      <c r="G283" s="97"/>
      <c r="H283" s="97"/>
      <c r="I283" s="97"/>
      <c r="J283" s="97"/>
      <c r="K283" s="97"/>
      <c r="L283" s="97"/>
      <c r="M283" s="97"/>
      <c r="N283" s="97"/>
      <c r="O283" s="97"/>
      <c r="P283" s="97"/>
      <c r="Q283" s="97"/>
      <c r="R283" s="97"/>
      <c r="S283" s="97"/>
      <c r="T283" s="97"/>
      <c r="U283" s="97"/>
      <c r="V283" s="97"/>
      <c r="W283" s="97"/>
      <c r="X283" s="97"/>
      <c r="Y283" s="97"/>
      <c r="Z283" s="97"/>
    </row>
    <row r="284" spans="1:26">
      <c r="A284" s="116"/>
      <c r="D284" s="92"/>
      <c r="E284" s="112"/>
      <c r="F284" s="97"/>
      <c r="G284" s="97"/>
      <c r="H284" s="97"/>
      <c r="I284" s="97"/>
      <c r="J284" s="97"/>
      <c r="K284" s="97"/>
      <c r="L284" s="97"/>
      <c r="M284" s="97"/>
      <c r="N284" s="97"/>
      <c r="O284" s="97"/>
      <c r="P284" s="97"/>
      <c r="Q284" s="97"/>
      <c r="R284" s="97"/>
      <c r="S284" s="97"/>
      <c r="T284" s="97"/>
      <c r="U284" s="97"/>
      <c r="V284" s="97"/>
      <c r="W284" s="97"/>
      <c r="X284" s="97"/>
      <c r="Y284" s="97"/>
      <c r="Z284" s="97"/>
    </row>
    <row r="285" spans="1:26">
      <c r="A285" s="116"/>
      <c r="D285" s="92"/>
      <c r="E285" s="112"/>
      <c r="F285" s="97"/>
      <c r="G285" s="97"/>
      <c r="H285" s="97"/>
      <c r="I285" s="97"/>
      <c r="J285" s="97"/>
      <c r="K285" s="97"/>
      <c r="L285" s="97"/>
      <c r="M285" s="97"/>
      <c r="N285" s="97"/>
      <c r="O285" s="97"/>
      <c r="P285" s="97"/>
      <c r="Q285" s="97"/>
      <c r="R285" s="97"/>
      <c r="S285" s="97"/>
      <c r="T285" s="97"/>
      <c r="U285" s="97"/>
      <c r="V285" s="97"/>
      <c r="W285" s="97"/>
      <c r="X285" s="97"/>
      <c r="Y285" s="97"/>
      <c r="Z285" s="97"/>
    </row>
    <row r="286" spans="1:26">
      <c r="A286" s="116"/>
      <c r="D286" s="92"/>
      <c r="E286" s="112"/>
      <c r="F286" s="97"/>
      <c r="G286" s="97"/>
      <c r="H286" s="97"/>
      <c r="I286" s="97"/>
      <c r="J286" s="97"/>
      <c r="K286" s="97"/>
      <c r="L286" s="97"/>
      <c r="M286" s="97"/>
      <c r="N286" s="97"/>
      <c r="O286" s="97"/>
      <c r="P286" s="97"/>
      <c r="Q286" s="97"/>
      <c r="R286" s="97"/>
      <c r="S286" s="97"/>
      <c r="T286" s="97"/>
      <c r="U286" s="97"/>
      <c r="V286" s="97"/>
      <c r="W286" s="97"/>
      <c r="X286" s="97"/>
      <c r="Y286" s="97"/>
      <c r="Z286" s="97"/>
    </row>
    <row r="287" spans="1:26">
      <c r="A287" s="116"/>
      <c r="D287" s="92"/>
      <c r="E287" s="112"/>
      <c r="F287" s="97"/>
      <c r="G287" s="97"/>
      <c r="H287" s="97"/>
      <c r="I287" s="97"/>
      <c r="J287" s="97"/>
      <c r="K287" s="97"/>
      <c r="L287" s="97"/>
      <c r="M287" s="97"/>
      <c r="N287" s="97"/>
      <c r="O287" s="97"/>
      <c r="P287" s="97"/>
      <c r="Q287" s="97"/>
      <c r="R287" s="97"/>
      <c r="S287" s="97"/>
      <c r="T287" s="97"/>
      <c r="U287" s="97"/>
      <c r="V287" s="97"/>
      <c r="W287" s="97"/>
      <c r="X287" s="97"/>
      <c r="Y287" s="97"/>
      <c r="Z287" s="97"/>
    </row>
    <row r="288" spans="1:26">
      <c r="A288" s="116"/>
      <c r="D288" s="92"/>
      <c r="E288" s="112"/>
      <c r="F288" s="97"/>
      <c r="G288" s="97"/>
      <c r="H288" s="97"/>
      <c r="I288" s="97"/>
      <c r="J288" s="97"/>
      <c r="K288" s="97"/>
      <c r="L288" s="97"/>
      <c r="M288" s="97"/>
      <c r="N288" s="97"/>
      <c r="O288" s="97"/>
      <c r="P288" s="97"/>
      <c r="Q288" s="97"/>
      <c r="R288" s="97"/>
      <c r="S288" s="97"/>
      <c r="T288" s="97"/>
      <c r="U288" s="97"/>
      <c r="V288" s="97"/>
      <c r="W288" s="97"/>
      <c r="X288" s="97"/>
      <c r="Y288" s="97"/>
      <c r="Z288" s="97"/>
    </row>
    <row r="289" spans="1:26">
      <c r="A289" s="116"/>
      <c r="D289" s="92"/>
      <c r="E289" s="112"/>
      <c r="F289" s="97"/>
      <c r="G289" s="97"/>
      <c r="H289" s="97"/>
      <c r="I289" s="97"/>
      <c r="J289" s="97"/>
      <c r="K289" s="97"/>
      <c r="L289" s="97"/>
      <c r="M289" s="97"/>
      <c r="N289" s="97"/>
      <c r="O289" s="97"/>
      <c r="P289" s="97"/>
      <c r="Q289" s="97"/>
      <c r="R289" s="97"/>
      <c r="S289" s="97"/>
      <c r="T289" s="97"/>
      <c r="U289" s="97"/>
      <c r="V289" s="97"/>
      <c r="W289" s="97"/>
      <c r="X289" s="97"/>
      <c r="Y289" s="97"/>
      <c r="Z289" s="97"/>
    </row>
    <row r="290" spans="1:26">
      <c r="A290" s="116"/>
      <c r="D290" s="92"/>
      <c r="E290" s="112"/>
      <c r="F290" s="97"/>
      <c r="G290" s="97"/>
      <c r="H290" s="97"/>
      <c r="I290" s="97"/>
      <c r="J290" s="97"/>
      <c r="K290" s="97"/>
      <c r="L290" s="97"/>
      <c r="M290" s="97"/>
      <c r="N290" s="97"/>
      <c r="O290" s="97"/>
      <c r="P290" s="97"/>
      <c r="Q290" s="97"/>
      <c r="R290" s="97"/>
      <c r="S290" s="97"/>
      <c r="T290" s="97"/>
      <c r="U290" s="97"/>
      <c r="V290" s="97"/>
      <c r="W290" s="97"/>
      <c r="X290" s="97"/>
      <c r="Y290" s="97"/>
      <c r="Z290" s="97"/>
    </row>
    <row r="291" spans="1:26">
      <c r="A291" s="116"/>
      <c r="D291" s="92"/>
      <c r="E291" s="112"/>
      <c r="F291" s="97"/>
      <c r="G291" s="97"/>
      <c r="H291" s="97"/>
      <c r="I291" s="97"/>
      <c r="J291" s="97"/>
      <c r="K291" s="97"/>
      <c r="L291" s="97"/>
      <c r="M291" s="97"/>
      <c r="N291" s="97"/>
      <c r="O291" s="97"/>
      <c r="P291" s="97"/>
      <c r="Q291" s="97"/>
      <c r="R291" s="97"/>
      <c r="S291" s="97"/>
      <c r="T291" s="97"/>
      <c r="U291" s="97"/>
      <c r="V291" s="97"/>
      <c r="W291" s="97"/>
      <c r="X291" s="97"/>
      <c r="Y291" s="97"/>
      <c r="Z291" s="97"/>
    </row>
    <row r="292" spans="1:26">
      <c r="A292" s="116"/>
      <c r="D292" s="92"/>
      <c r="E292" s="112"/>
      <c r="F292" s="97"/>
      <c r="G292" s="97"/>
      <c r="H292" s="97"/>
      <c r="I292" s="97"/>
      <c r="J292" s="97"/>
      <c r="K292" s="97"/>
      <c r="L292" s="97"/>
      <c r="M292" s="97"/>
      <c r="N292" s="97"/>
      <c r="O292" s="97"/>
      <c r="P292" s="97"/>
      <c r="Q292" s="97"/>
      <c r="R292" s="97"/>
      <c r="S292" s="97"/>
      <c r="T292" s="97"/>
      <c r="U292" s="97"/>
      <c r="V292" s="97"/>
      <c r="W292" s="97"/>
      <c r="X292" s="97"/>
      <c r="Y292" s="97"/>
      <c r="Z292" s="97"/>
    </row>
    <row r="293" spans="1:26">
      <c r="A293" s="116"/>
      <c r="D293" s="92"/>
      <c r="E293" s="112"/>
      <c r="F293" s="97"/>
      <c r="G293" s="97"/>
      <c r="H293" s="97"/>
      <c r="I293" s="97"/>
      <c r="J293" s="97"/>
      <c r="K293" s="97"/>
      <c r="L293" s="97"/>
      <c r="M293" s="97"/>
      <c r="N293" s="97"/>
      <c r="O293" s="97"/>
      <c r="P293" s="97"/>
      <c r="Q293" s="97"/>
      <c r="R293" s="97"/>
      <c r="S293" s="97"/>
      <c r="T293" s="97"/>
      <c r="U293" s="97"/>
      <c r="V293" s="97"/>
      <c r="W293" s="97"/>
      <c r="X293" s="97"/>
      <c r="Y293" s="97"/>
      <c r="Z293" s="97"/>
    </row>
    <row r="294" spans="1:26">
      <c r="A294" s="116"/>
      <c r="D294" s="92"/>
      <c r="E294" s="112"/>
      <c r="F294" s="97"/>
      <c r="G294" s="97"/>
      <c r="H294" s="97"/>
      <c r="I294" s="97"/>
      <c r="J294" s="97"/>
      <c r="K294" s="97"/>
      <c r="L294" s="97"/>
      <c r="M294" s="97"/>
      <c r="N294" s="97"/>
      <c r="O294" s="97"/>
      <c r="P294" s="97"/>
      <c r="Q294" s="97"/>
      <c r="R294" s="97"/>
      <c r="S294" s="97"/>
      <c r="T294" s="97"/>
      <c r="U294" s="97"/>
      <c r="V294" s="97"/>
      <c r="W294" s="97"/>
      <c r="X294" s="97"/>
      <c r="Y294" s="97"/>
      <c r="Z294" s="97"/>
    </row>
    <row r="295" spans="1:26">
      <c r="A295" s="116"/>
      <c r="D295" s="92"/>
      <c r="E295" s="112"/>
      <c r="F295" s="97"/>
      <c r="G295" s="97"/>
      <c r="H295" s="97"/>
      <c r="I295" s="97"/>
      <c r="J295" s="97"/>
      <c r="K295" s="97"/>
      <c r="L295" s="97"/>
      <c r="M295" s="97"/>
      <c r="N295" s="97"/>
      <c r="O295" s="97"/>
      <c r="P295" s="97"/>
      <c r="Q295" s="97"/>
      <c r="R295" s="97"/>
      <c r="S295" s="97"/>
      <c r="T295" s="97"/>
      <c r="U295" s="97"/>
      <c r="V295" s="97"/>
      <c r="W295" s="97"/>
      <c r="X295" s="97"/>
      <c r="Y295" s="97"/>
      <c r="Z295" s="97"/>
    </row>
    <row r="296" spans="1:26">
      <c r="A296" s="116"/>
      <c r="D296" s="92"/>
      <c r="E296" s="112"/>
      <c r="F296" s="97"/>
      <c r="G296" s="97"/>
      <c r="H296" s="97"/>
      <c r="I296" s="97"/>
      <c r="J296" s="97"/>
      <c r="K296" s="97"/>
      <c r="L296" s="97"/>
      <c r="M296" s="97"/>
      <c r="N296" s="97"/>
      <c r="O296" s="97"/>
      <c r="P296" s="97"/>
      <c r="Q296" s="97"/>
      <c r="R296" s="97"/>
      <c r="S296" s="97"/>
      <c r="T296" s="97"/>
      <c r="U296" s="97"/>
      <c r="V296" s="97"/>
      <c r="W296" s="97"/>
      <c r="X296" s="97"/>
      <c r="Y296" s="97"/>
      <c r="Z296" s="97"/>
    </row>
    <row r="297" spans="1:26">
      <c r="A297" s="116"/>
      <c r="D297" s="92"/>
      <c r="E297" s="112"/>
      <c r="F297" s="97"/>
      <c r="G297" s="97"/>
      <c r="H297" s="97"/>
      <c r="I297" s="97"/>
      <c r="J297" s="97"/>
      <c r="K297" s="97"/>
      <c r="L297" s="97"/>
      <c r="M297" s="97"/>
      <c r="N297" s="97"/>
      <c r="O297" s="97"/>
      <c r="P297" s="97"/>
      <c r="Q297" s="97"/>
      <c r="R297" s="97"/>
      <c r="S297" s="97"/>
      <c r="T297" s="97"/>
      <c r="U297" s="97"/>
      <c r="V297" s="97"/>
      <c r="W297" s="97"/>
      <c r="X297" s="97"/>
      <c r="Y297" s="97"/>
      <c r="Z297" s="97"/>
    </row>
    <row r="298" spans="1:26">
      <c r="A298" s="116"/>
      <c r="D298" s="92"/>
      <c r="E298" s="112"/>
      <c r="F298" s="97"/>
      <c r="G298" s="97"/>
      <c r="H298" s="97"/>
      <c r="I298" s="97"/>
      <c r="J298" s="97"/>
      <c r="K298" s="97"/>
      <c r="L298" s="97"/>
      <c r="M298" s="97"/>
      <c r="N298" s="97"/>
      <c r="O298" s="97"/>
      <c r="P298" s="97"/>
      <c r="Q298" s="97"/>
      <c r="R298" s="97"/>
      <c r="S298" s="97"/>
      <c r="T298" s="97"/>
      <c r="U298" s="97"/>
      <c r="V298" s="97"/>
      <c r="W298" s="97"/>
      <c r="X298" s="97"/>
      <c r="Y298" s="97"/>
      <c r="Z298" s="97"/>
    </row>
    <row r="299" spans="1:26">
      <c r="A299" s="116"/>
      <c r="D299" s="92"/>
      <c r="E299" s="112"/>
      <c r="F299" s="97"/>
      <c r="G299" s="97"/>
      <c r="H299" s="97"/>
      <c r="I299" s="97"/>
      <c r="J299" s="97"/>
      <c r="K299" s="97"/>
      <c r="L299" s="97"/>
      <c r="M299" s="97"/>
      <c r="N299" s="97"/>
      <c r="O299" s="97"/>
      <c r="P299" s="97"/>
      <c r="Q299" s="97"/>
      <c r="R299" s="97"/>
      <c r="S299" s="97"/>
      <c r="T299" s="97"/>
      <c r="U299" s="97"/>
      <c r="V299" s="97"/>
      <c r="W299" s="97"/>
      <c r="X299" s="97"/>
      <c r="Y299" s="97"/>
      <c r="Z299" s="97"/>
    </row>
    <row r="300" spans="1:26">
      <c r="A300" s="116"/>
      <c r="D300" s="92"/>
      <c r="E300" s="112"/>
      <c r="F300" s="97"/>
      <c r="G300" s="97"/>
      <c r="H300" s="97"/>
      <c r="I300" s="97"/>
      <c r="J300" s="97"/>
      <c r="K300" s="97"/>
      <c r="L300" s="97"/>
      <c r="M300" s="97"/>
      <c r="N300" s="97"/>
      <c r="O300" s="97"/>
      <c r="P300" s="97"/>
      <c r="Q300" s="97"/>
      <c r="R300" s="97"/>
      <c r="S300" s="97"/>
      <c r="T300" s="97"/>
      <c r="U300" s="97"/>
      <c r="V300" s="97"/>
      <c r="W300" s="97"/>
      <c r="X300" s="97"/>
      <c r="Y300" s="97"/>
      <c r="Z300" s="97"/>
    </row>
    <row r="301" spans="1:26">
      <c r="A301" s="116"/>
      <c r="D301" s="92"/>
      <c r="E301" s="112"/>
      <c r="F301" s="97"/>
      <c r="G301" s="97"/>
      <c r="H301" s="97"/>
      <c r="I301" s="97"/>
      <c r="J301" s="97"/>
      <c r="K301" s="97"/>
      <c r="L301" s="97"/>
      <c r="M301" s="97"/>
      <c r="N301" s="97"/>
      <c r="O301" s="97"/>
      <c r="P301" s="97"/>
      <c r="Q301" s="97"/>
      <c r="R301" s="97"/>
      <c r="S301" s="97"/>
      <c r="T301" s="97"/>
      <c r="U301" s="97"/>
      <c r="V301" s="97"/>
      <c r="W301" s="97"/>
      <c r="X301" s="97"/>
      <c r="Y301" s="97"/>
      <c r="Z301" s="97"/>
    </row>
    <row r="302" spans="1:26">
      <c r="A302" s="116"/>
      <c r="D302" s="92"/>
      <c r="E302" s="112"/>
      <c r="F302" s="97"/>
      <c r="G302" s="97"/>
      <c r="H302" s="97"/>
      <c r="I302" s="97"/>
      <c r="J302" s="97"/>
      <c r="K302" s="97"/>
      <c r="L302" s="97"/>
      <c r="M302" s="97"/>
      <c r="N302" s="97"/>
      <c r="O302" s="97"/>
      <c r="P302" s="97"/>
      <c r="Q302" s="97"/>
      <c r="R302" s="97"/>
      <c r="S302" s="97"/>
      <c r="T302" s="97"/>
      <c r="U302" s="97"/>
      <c r="V302" s="97"/>
      <c r="W302" s="97"/>
      <c r="X302" s="97"/>
      <c r="Y302" s="97"/>
      <c r="Z302" s="97"/>
    </row>
    <row r="303" spans="1:26">
      <c r="A303" s="116"/>
      <c r="D303" s="92"/>
      <c r="E303" s="112"/>
      <c r="F303" s="97"/>
      <c r="G303" s="97"/>
      <c r="H303" s="97"/>
      <c r="I303" s="97"/>
      <c r="J303" s="97"/>
      <c r="K303" s="97"/>
      <c r="L303" s="97"/>
      <c r="M303" s="97"/>
      <c r="N303" s="97"/>
      <c r="O303" s="97"/>
      <c r="P303" s="97"/>
      <c r="Q303" s="97"/>
      <c r="R303" s="97"/>
      <c r="S303" s="97"/>
      <c r="T303" s="97"/>
      <c r="U303" s="97"/>
      <c r="V303" s="97"/>
      <c r="W303" s="97"/>
      <c r="X303" s="97"/>
      <c r="Y303" s="97"/>
      <c r="Z303" s="97"/>
    </row>
    <row r="304" spans="1:26">
      <c r="A304" s="116"/>
      <c r="D304" s="92"/>
      <c r="E304" s="112"/>
      <c r="F304" s="97"/>
      <c r="G304" s="97"/>
      <c r="H304" s="97"/>
      <c r="I304" s="97"/>
      <c r="J304" s="97"/>
      <c r="K304" s="97"/>
      <c r="L304" s="97"/>
      <c r="M304" s="97"/>
      <c r="N304" s="97"/>
      <c r="O304" s="97"/>
      <c r="P304" s="97"/>
      <c r="Q304" s="97"/>
      <c r="R304" s="97"/>
      <c r="S304" s="97"/>
      <c r="T304" s="97"/>
      <c r="U304" s="97"/>
      <c r="V304" s="97"/>
      <c r="W304" s="97"/>
      <c r="X304" s="97"/>
      <c r="Y304" s="97"/>
      <c r="Z304" s="97"/>
    </row>
    <row r="305" spans="1:26">
      <c r="A305" s="116"/>
      <c r="D305" s="92"/>
      <c r="E305" s="112"/>
      <c r="F305" s="97"/>
      <c r="G305" s="97"/>
      <c r="H305" s="97"/>
      <c r="I305" s="97"/>
      <c r="J305" s="97"/>
      <c r="K305" s="97"/>
      <c r="L305" s="97"/>
      <c r="M305" s="97"/>
      <c r="N305" s="97"/>
      <c r="O305" s="97"/>
      <c r="P305" s="97"/>
      <c r="Q305" s="97"/>
      <c r="R305" s="97"/>
      <c r="S305" s="97"/>
      <c r="T305" s="97"/>
      <c r="U305" s="97"/>
      <c r="V305" s="97"/>
      <c r="W305" s="97"/>
      <c r="X305" s="97"/>
      <c r="Y305" s="97"/>
      <c r="Z305" s="97"/>
    </row>
    <row r="306" spans="1:26">
      <c r="A306" s="116"/>
      <c r="D306" s="92"/>
      <c r="E306" s="112"/>
      <c r="F306" s="97"/>
      <c r="G306" s="97"/>
      <c r="H306" s="97"/>
      <c r="I306" s="97"/>
      <c r="J306" s="97"/>
      <c r="K306" s="97"/>
      <c r="L306" s="97"/>
      <c r="M306" s="97"/>
      <c r="N306" s="97"/>
      <c r="O306" s="97"/>
      <c r="P306" s="97"/>
      <c r="Q306" s="97"/>
      <c r="R306" s="97"/>
      <c r="S306" s="97"/>
      <c r="T306" s="97"/>
      <c r="U306" s="97"/>
      <c r="V306" s="97"/>
      <c r="W306" s="97"/>
      <c r="X306" s="97"/>
      <c r="Y306" s="97"/>
      <c r="Z306" s="97"/>
    </row>
    <row r="307" spans="1:26">
      <c r="A307" s="116"/>
      <c r="D307" s="92"/>
      <c r="E307" s="112"/>
      <c r="F307" s="97"/>
      <c r="G307" s="97"/>
      <c r="H307" s="97"/>
      <c r="I307" s="97"/>
      <c r="J307" s="97"/>
      <c r="K307" s="97"/>
      <c r="L307" s="97"/>
      <c r="M307" s="97"/>
      <c r="N307" s="97"/>
      <c r="O307" s="97"/>
      <c r="P307" s="97"/>
      <c r="Q307" s="97"/>
      <c r="R307" s="97"/>
      <c r="S307" s="97"/>
      <c r="T307" s="97"/>
      <c r="U307" s="97"/>
      <c r="V307" s="97"/>
      <c r="W307" s="97"/>
      <c r="X307" s="97"/>
      <c r="Y307" s="97"/>
      <c r="Z307" s="97"/>
    </row>
    <row r="308" spans="1:26">
      <c r="A308" s="116"/>
      <c r="D308" s="92"/>
      <c r="E308" s="112"/>
      <c r="F308" s="97"/>
      <c r="G308" s="97"/>
      <c r="H308" s="97"/>
      <c r="I308" s="97"/>
      <c r="J308" s="97"/>
      <c r="K308" s="97"/>
      <c r="L308" s="97"/>
      <c r="M308" s="97"/>
      <c r="N308" s="97"/>
      <c r="O308" s="97"/>
      <c r="P308" s="97"/>
      <c r="Q308" s="97"/>
      <c r="R308" s="97"/>
      <c r="S308" s="97"/>
      <c r="T308" s="97"/>
      <c r="U308" s="97"/>
      <c r="V308" s="97"/>
      <c r="W308" s="97"/>
      <c r="X308" s="97"/>
      <c r="Y308" s="97"/>
      <c r="Z308" s="97"/>
    </row>
    <row r="309" spans="1:26">
      <c r="A309" s="116"/>
      <c r="D309" s="92"/>
      <c r="E309" s="112"/>
      <c r="F309" s="97"/>
      <c r="G309" s="97"/>
      <c r="H309" s="97"/>
      <c r="I309" s="97"/>
      <c r="J309" s="97"/>
      <c r="K309" s="97"/>
      <c r="L309" s="97"/>
      <c r="M309" s="97"/>
      <c r="N309" s="97"/>
      <c r="O309" s="97"/>
      <c r="P309" s="97"/>
      <c r="Q309" s="97"/>
      <c r="R309" s="97"/>
      <c r="S309" s="97"/>
      <c r="T309" s="97"/>
      <c r="U309" s="97"/>
      <c r="V309" s="97"/>
      <c r="W309" s="97"/>
      <c r="X309" s="97"/>
      <c r="Y309" s="97"/>
      <c r="Z309" s="97"/>
    </row>
    <row r="310" spans="1:26">
      <c r="A310" s="116"/>
      <c r="D310" s="92"/>
      <c r="E310" s="112"/>
      <c r="F310" s="97"/>
      <c r="G310" s="97"/>
      <c r="H310" s="97"/>
      <c r="I310" s="97"/>
      <c r="J310" s="97"/>
      <c r="K310" s="97"/>
      <c r="L310" s="97"/>
      <c r="M310" s="97"/>
      <c r="N310" s="97"/>
      <c r="O310" s="97"/>
      <c r="P310" s="97"/>
      <c r="Q310" s="97"/>
      <c r="R310" s="97"/>
      <c r="S310" s="97"/>
      <c r="T310" s="97"/>
      <c r="U310" s="97"/>
      <c r="V310" s="97"/>
      <c r="W310" s="97"/>
      <c r="X310" s="97"/>
      <c r="Y310" s="97"/>
      <c r="Z310" s="97"/>
    </row>
    <row r="311" spans="1:26">
      <c r="A311" s="116"/>
      <c r="D311" s="92"/>
      <c r="E311" s="112"/>
      <c r="F311" s="97"/>
      <c r="G311" s="97"/>
      <c r="H311" s="97"/>
      <c r="I311" s="97"/>
      <c r="J311" s="97"/>
      <c r="K311" s="97"/>
      <c r="L311" s="97"/>
      <c r="M311" s="97"/>
      <c r="N311" s="97"/>
      <c r="O311" s="97"/>
      <c r="P311" s="97"/>
      <c r="Q311" s="97"/>
      <c r="R311" s="97"/>
      <c r="S311" s="97"/>
      <c r="T311" s="97"/>
      <c r="U311" s="97"/>
      <c r="V311" s="97"/>
      <c r="W311" s="97"/>
      <c r="X311" s="97"/>
      <c r="Y311" s="97"/>
      <c r="Z311" s="97"/>
    </row>
    <row r="312" spans="1:26">
      <c r="A312" s="116"/>
      <c r="D312" s="92"/>
      <c r="E312" s="112"/>
      <c r="F312" s="97"/>
      <c r="G312" s="97"/>
      <c r="H312" s="97"/>
      <c r="I312" s="97"/>
      <c r="J312" s="97"/>
      <c r="K312" s="97"/>
      <c r="L312" s="97"/>
      <c r="M312" s="97"/>
      <c r="N312" s="97"/>
      <c r="O312" s="97"/>
      <c r="P312" s="97"/>
      <c r="Q312" s="97"/>
      <c r="R312" s="97"/>
      <c r="S312" s="97"/>
      <c r="T312" s="97"/>
      <c r="U312" s="97"/>
      <c r="V312" s="97"/>
      <c r="W312" s="97"/>
      <c r="X312" s="97"/>
      <c r="Y312" s="97"/>
      <c r="Z312" s="97"/>
    </row>
    <row r="313" spans="1:26">
      <c r="A313" s="116"/>
      <c r="D313" s="92"/>
      <c r="E313" s="112"/>
      <c r="F313" s="97"/>
      <c r="G313" s="97"/>
      <c r="H313" s="97"/>
      <c r="I313" s="97"/>
      <c r="J313" s="97"/>
      <c r="K313" s="97"/>
      <c r="L313" s="97"/>
      <c r="M313" s="97"/>
      <c r="N313" s="97"/>
      <c r="O313" s="97"/>
      <c r="P313" s="97"/>
      <c r="Q313" s="97"/>
      <c r="R313" s="97"/>
      <c r="S313" s="97"/>
      <c r="T313" s="97"/>
      <c r="U313" s="97"/>
      <c r="V313" s="97"/>
      <c r="W313" s="97"/>
      <c r="X313" s="97"/>
      <c r="Y313" s="97"/>
      <c r="Z313" s="97"/>
    </row>
    <row r="314" spans="1:26">
      <c r="A314" s="116"/>
      <c r="D314" s="92"/>
      <c r="E314" s="112"/>
      <c r="F314" s="97"/>
      <c r="G314" s="97"/>
      <c r="H314" s="97"/>
      <c r="I314" s="97"/>
      <c r="J314" s="97"/>
      <c r="K314" s="97"/>
      <c r="L314" s="97"/>
      <c r="M314" s="97"/>
      <c r="N314" s="97"/>
      <c r="O314" s="97"/>
      <c r="P314" s="97"/>
      <c r="Q314" s="97"/>
      <c r="R314" s="97"/>
      <c r="S314" s="97"/>
      <c r="T314" s="97"/>
      <c r="U314" s="97"/>
      <c r="V314" s="97"/>
      <c r="W314" s="97"/>
      <c r="X314" s="97"/>
      <c r="Y314" s="97"/>
      <c r="Z314" s="97"/>
    </row>
    <row r="315" spans="1:26">
      <c r="A315" s="116"/>
      <c r="D315" s="92"/>
      <c r="E315" s="112"/>
      <c r="F315" s="97"/>
      <c r="G315" s="97"/>
      <c r="H315" s="97"/>
      <c r="I315" s="97"/>
      <c r="J315" s="97"/>
      <c r="K315" s="97"/>
      <c r="L315" s="97"/>
      <c r="M315" s="97"/>
      <c r="N315" s="97"/>
      <c r="O315" s="97"/>
      <c r="P315" s="97"/>
      <c r="Q315" s="97"/>
      <c r="R315" s="97"/>
      <c r="S315" s="97"/>
      <c r="T315" s="97"/>
      <c r="U315" s="97"/>
      <c r="V315" s="97"/>
      <c r="W315" s="97"/>
      <c r="X315" s="97"/>
      <c r="Y315" s="97"/>
      <c r="Z315" s="97"/>
    </row>
    <row r="316" spans="1:26">
      <c r="A316" s="116"/>
      <c r="D316" s="92"/>
      <c r="E316" s="112"/>
      <c r="F316" s="97"/>
      <c r="G316" s="97"/>
      <c r="H316" s="97"/>
      <c r="I316" s="97"/>
      <c r="J316" s="97"/>
      <c r="K316" s="97"/>
      <c r="L316" s="97"/>
      <c r="M316" s="97"/>
      <c r="N316" s="97"/>
      <c r="O316" s="97"/>
      <c r="P316" s="97"/>
      <c r="Q316" s="97"/>
      <c r="R316" s="97"/>
      <c r="S316" s="97"/>
      <c r="T316" s="97"/>
      <c r="U316" s="97"/>
      <c r="V316" s="97"/>
      <c r="W316" s="97"/>
      <c r="X316" s="97"/>
      <c r="Y316" s="97"/>
      <c r="Z316" s="97"/>
    </row>
    <row r="317" spans="1:26">
      <c r="A317" s="116"/>
      <c r="D317" s="92"/>
      <c r="E317" s="112"/>
      <c r="F317" s="97"/>
      <c r="G317" s="97"/>
      <c r="H317" s="97"/>
      <c r="I317" s="97"/>
      <c r="J317" s="97"/>
      <c r="K317" s="97"/>
      <c r="L317" s="97"/>
      <c r="M317" s="97"/>
      <c r="N317" s="97"/>
      <c r="O317" s="97"/>
      <c r="P317" s="97"/>
      <c r="Q317" s="97"/>
      <c r="R317" s="97"/>
      <c r="S317" s="97"/>
      <c r="T317" s="97"/>
      <c r="U317" s="97"/>
      <c r="V317" s="97"/>
      <c r="W317" s="97"/>
      <c r="X317" s="97"/>
      <c r="Y317" s="97"/>
      <c r="Z317" s="97"/>
    </row>
    <row r="318" spans="1:26">
      <c r="A318" s="116"/>
      <c r="D318" s="92"/>
      <c r="E318" s="112"/>
      <c r="F318" s="97"/>
      <c r="G318" s="97"/>
      <c r="H318" s="97"/>
      <c r="I318" s="97"/>
      <c r="J318" s="97"/>
      <c r="K318" s="97"/>
      <c r="L318" s="97"/>
      <c r="M318" s="97"/>
      <c r="N318" s="97"/>
      <c r="O318" s="97"/>
      <c r="P318" s="97"/>
      <c r="Q318" s="97"/>
      <c r="R318" s="97"/>
      <c r="S318" s="97"/>
      <c r="T318" s="97"/>
      <c r="U318" s="97"/>
      <c r="V318" s="97"/>
      <c r="W318" s="97"/>
      <c r="X318" s="97"/>
      <c r="Y318" s="97"/>
      <c r="Z318" s="97"/>
    </row>
    <row r="319" spans="1:26">
      <c r="A319" s="116"/>
      <c r="D319" s="92"/>
      <c r="E319" s="112"/>
      <c r="F319" s="97"/>
      <c r="G319" s="97"/>
      <c r="H319" s="97"/>
      <c r="I319" s="97"/>
      <c r="J319" s="97"/>
      <c r="K319" s="97"/>
      <c r="L319" s="97"/>
      <c r="M319" s="97"/>
      <c r="N319" s="97"/>
      <c r="O319" s="97"/>
      <c r="P319" s="97"/>
      <c r="Q319" s="97"/>
      <c r="R319" s="97"/>
      <c r="S319" s="97"/>
      <c r="T319" s="97"/>
      <c r="U319" s="97"/>
      <c r="V319" s="97"/>
      <c r="W319" s="97"/>
      <c r="X319" s="97"/>
      <c r="Y319" s="97"/>
      <c r="Z319" s="97"/>
    </row>
    <row r="320" spans="1:26">
      <c r="A320" s="116"/>
      <c r="D320" s="92"/>
      <c r="E320" s="112"/>
      <c r="F320" s="97"/>
      <c r="G320" s="97"/>
      <c r="H320" s="97"/>
      <c r="I320" s="97"/>
      <c r="J320" s="97"/>
      <c r="K320" s="97"/>
      <c r="L320" s="97"/>
      <c r="M320" s="97"/>
      <c r="N320" s="97"/>
      <c r="O320" s="97"/>
      <c r="P320" s="97"/>
      <c r="Q320" s="97"/>
      <c r="R320" s="97"/>
      <c r="S320" s="97"/>
      <c r="T320" s="97"/>
      <c r="U320" s="97"/>
      <c r="V320" s="97"/>
      <c r="W320" s="97"/>
      <c r="X320" s="97"/>
      <c r="Y320" s="97"/>
      <c r="Z320" s="97"/>
    </row>
    <row r="321" spans="1:26">
      <c r="A321" s="116"/>
      <c r="D321" s="92"/>
      <c r="E321" s="112"/>
      <c r="F321" s="97"/>
      <c r="G321" s="97"/>
      <c r="H321" s="97"/>
      <c r="I321" s="97"/>
      <c r="J321" s="97"/>
      <c r="K321" s="97"/>
      <c r="L321" s="97"/>
      <c r="M321" s="97"/>
      <c r="N321" s="97"/>
      <c r="O321" s="97"/>
      <c r="P321" s="97"/>
      <c r="Q321" s="97"/>
      <c r="R321" s="97"/>
      <c r="S321" s="97"/>
      <c r="T321" s="97"/>
      <c r="U321" s="97"/>
      <c r="V321" s="97"/>
      <c r="W321" s="97"/>
      <c r="X321" s="97"/>
      <c r="Y321" s="97"/>
      <c r="Z321" s="97"/>
    </row>
    <row r="322" spans="1:26">
      <c r="A322" s="116"/>
      <c r="D322" s="92"/>
      <c r="E322" s="112"/>
      <c r="F322" s="97"/>
      <c r="G322" s="97"/>
      <c r="H322" s="97"/>
      <c r="I322" s="97"/>
      <c r="J322" s="97"/>
      <c r="K322" s="97"/>
      <c r="L322" s="97"/>
      <c r="M322" s="97"/>
      <c r="N322" s="97"/>
      <c r="O322" s="97"/>
      <c r="P322" s="97"/>
      <c r="Q322" s="97"/>
      <c r="R322" s="97"/>
      <c r="S322" s="97"/>
      <c r="T322" s="97"/>
      <c r="U322" s="97"/>
      <c r="V322" s="97"/>
      <c r="W322" s="97"/>
      <c r="X322" s="97"/>
      <c r="Y322" s="97"/>
      <c r="Z322" s="97"/>
    </row>
    <row r="323" spans="1:26">
      <c r="A323" s="116"/>
      <c r="D323" s="92"/>
      <c r="E323" s="112"/>
      <c r="F323" s="97"/>
      <c r="G323" s="97"/>
      <c r="H323" s="97"/>
      <c r="I323" s="97"/>
      <c r="J323" s="97"/>
      <c r="K323" s="97"/>
      <c r="L323" s="97"/>
      <c r="M323" s="97"/>
      <c r="N323" s="97"/>
      <c r="O323" s="97"/>
      <c r="P323" s="97"/>
      <c r="Q323" s="97"/>
      <c r="R323" s="97"/>
      <c r="S323" s="97"/>
      <c r="T323" s="97"/>
      <c r="U323" s="97"/>
      <c r="V323" s="97"/>
      <c r="W323" s="97"/>
      <c r="X323" s="97"/>
      <c r="Y323" s="97"/>
      <c r="Z323" s="97"/>
    </row>
    <row r="324" spans="1:26">
      <c r="A324" s="116"/>
      <c r="D324" s="92"/>
      <c r="E324" s="112"/>
      <c r="F324" s="97"/>
      <c r="G324" s="97"/>
      <c r="H324" s="97"/>
      <c r="I324" s="97"/>
      <c r="J324" s="97"/>
      <c r="K324" s="97"/>
      <c r="L324" s="97"/>
      <c r="M324" s="97"/>
      <c r="N324" s="97"/>
      <c r="O324" s="97"/>
      <c r="P324" s="97"/>
      <c r="Q324" s="97"/>
      <c r="R324" s="97"/>
      <c r="S324" s="97"/>
      <c r="T324" s="97"/>
      <c r="U324" s="97"/>
      <c r="V324" s="97"/>
      <c r="W324" s="97"/>
      <c r="X324" s="97"/>
      <c r="Y324" s="97"/>
      <c r="Z324" s="97"/>
    </row>
    <row r="325" spans="1:26">
      <c r="A325" s="116"/>
      <c r="D325" s="92"/>
      <c r="E325" s="112"/>
      <c r="F325" s="97"/>
      <c r="G325" s="97"/>
      <c r="H325" s="97"/>
      <c r="I325" s="97"/>
      <c r="J325" s="97"/>
      <c r="K325" s="97"/>
      <c r="L325" s="97"/>
      <c r="M325" s="97"/>
      <c r="N325" s="97"/>
      <c r="O325" s="97"/>
      <c r="P325" s="97"/>
      <c r="Q325" s="97"/>
      <c r="R325" s="97"/>
      <c r="S325" s="97"/>
      <c r="T325" s="97"/>
      <c r="U325" s="97"/>
      <c r="V325" s="97"/>
      <c r="W325" s="97"/>
      <c r="X325" s="97"/>
      <c r="Y325" s="97"/>
      <c r="Z325" s="97"/>
    </row>
    <row r="326" spans="1:26">
      <c r="A326" s="116"/>
      <c r="D326" s="92"/>
      <c r="E326" s="112"/>
      <c r="F326" s="97"/>
      <c r="G326" s="97"/>
      <c r="H326" s="97"/>
      <c r="I326" s="97"/>
      <c r="J326" s="97"/>
      <c r="K326" s="97"/>
      <c r="L326" s="97"/>
      <c r="M326" s="97"/>
      <c r="N326" s="97"/>
      <c r="O326" s="97"/>
      <c r="P326" s="97"/>
      <c r="Q326" s="97"/>
      <c r="R326" s="97"/>
      <c r="S326" s="97"/>
      <c r="T326" s="97"/>
      <c r="U326" s="97"/>
      <c r="V326" s="97"/>
      <c r="W326" s="97"/>
      <c r="X326" s="97"/>
      <c r="Y326" s="97"/>
      <c r="Z326" s="97"/>
    </row>
    <row r="327" spans="1:26">
      <c r="A327" s="116"/>
      <c r="D327" s="92"/>
      <c r="E327" s="112"/>
      <c r="F327" s="97"/>
      <c r="G327" s="97"/>
      <c r="H327" s="97"/>
      <c r="I327" s="97"/>
      <c r="J327" s="97"/>
      <c r="K327" s="97"/>
      <c r="L327" s="97"/>
      <c r="M327" s="97"/>
      <c r="N327" s="97"/>
      <c r="O327" s="97"/>
      <c r="P327" s="97"/>
      <c r="Q327" s="97"/>
      <c r="R327" s="97"/>
      <c r="S327" s="97"/>
      <c r="T327" s="97"/>
      <c r="U327" s="97"/>
      <c r="V327" s="97"/>
      <c r="W327" s="97"/>
      <c r="X327" s="97"/>
      <c r="Y327" s="97"/>
      <c r="Z327" s="97"/>
    </row>
    <row r="328" spans="1:26">
      <c r="A328" s="116"/>
      <c r="D328" s="92"/>
      <c r="E328" s="112"/>
      <c r="F328" s="97"/>
      <c r="G328" s="97"/>
      <c r="H328" s="97"/>
      <c r="I328" s="97"/>
      <c r="J328" s="97"/>
      <c r="K328" s="97"/>
      <c r="L328" s="97"/>
      <c r="M328" s="97"/>
      <c r="N328" s="97"/>
      <c r="O328" s="97"/>
      <c r="P328" s="97"/>
      <c r="Q328" s="97"/>
      <c r="R328" s="97"/>
      <c r="S328" s="97"/>
      <c r="T328" s="97"/>
      <c r="U328" s="97"/>
      <c r="V328" s="97"/>
      <c r="W328" s="97"/>
      <c r="X328" s="97"/>
      <c r="Y328" s="97"/>
      <c r="Z328" s="97"/>
    </row>
    <row r="329" spans="1:26">
      <c r="A329" s="116"/>
      <c r="D329" s="92"/>
      <c r="E329" s="112"/>
      <c r="F329" s="97"/>
      <c r="G329" s="97"/>
      <c r="H329" s="97"/>
      <c r="I329" s="97"/>
      <c r="J329" s="97"/>
      <c r="K329" s="97"/>
      <c r="L329" s="97"/>
      <c r="M329" s="97"/>
      <c r="N329" s="97"/>
      <c r="O329" s="97"/>
      <c r="P329" s="97"/>
      <c r="Q329" s="97"/>
      <c r="R329" s="97"/>
      <c r="S329" s="97"/>
      <c r="T329" s="97"/>
      <c r="U329" s="97"/>
      <c r="V329" s="97"/>
      <c r="W329" s="97"/>
      <c r="X329" s="97"/>
      <c r="Y329" s="97"/>
      <c r="Z329" s="97"/>
    </row>
    <row r="330" spans="1:26">
      <c r="A330" s="116"/>
      <c r="D330" s="92"/>
      <c r="E330" s="112"/>
      <c r="F330" s="97"/>
      <c r="G330" s="97"/>
      <c r="H330" s="97"/>
      <c r="I330" s="97"/>
      <c r="J330" s="97"/>
      <c r="K330" s="97"/>
      <c r="L330" s="97"/>
      <c r="M330" s="97"/>
      <c r="N330" s="97"/>
      <c r="O330" s="97"/>
      <c r="P330" s="97"/>
      <c r="Q330" s="97"/>
      <c r="R330" s="97"/>
      <c r="S330" s="97"/>
      <c r="T330" s="97"/>
      <c r="U330" s="97"/>
      <c r="V330" s="97"/>
      <c r="W330" s="97"/>
      <c r="X330" s="97"/>
      <c r="Y330" s="97"/>
      <c r="Z330" s="97"/>
    </row>
    <row r="331" spans="1:26">
      <c r="A331" s="116"/>
      <c r="D331" s="92"/>
      <c r="E331" s="112"/>
      <c r="F331" s="97"/>
      <c r="G331" s="97"/>
      <c r="H331" s="97"/>
      <c r="I331" s="97"/>
      <c r="J331" s="97"/>
      <c r="K331" s="97"/>
      <c r="L331" s="97"/>
      <c r="M331" s="97"/>
      <c r="N331" s="97"/>
      <c r="O331" s="97"/>
      <c r="P331" s="97"/>
      <c r="Q331" s="97"/>
      <c r="R331" s="97"/>
      <c r="S331" s="97"/>
      <c r="T331" s="97"/>
      <c r="U331" s="97"/>
      <c r="V331" s="97"/>
      <c r="W331" s="97"/>
      <c r="X331" s="97"/>
      <c r="Y331" s="97"/>
      <c r="Z331" s="97"/>
    </row>
    <row r="332" spans="1:26">
      <c r="A332" s="116"/>
      <c r="D332" s="92"/>
      <c r="E332" s="112"/>
      <c r="F332" s="97"/>
      <c r="G332" s="97"/>
      <c r="H332" s="97"/>
      <c r="I332" s="97"/>
      <c r="J332" s="97"/>
      <c r="K332" s="97"/>
      <c r="L332" s="97"/>
      <c r="M332" s="97"/>
      <c r="N332" s="97"/>
      <c r="O332" s="97"/>
      <c r="P332" s="97"/>
      <c r="Q332" s="97"/>
      <c r="R332" s="97"/>
      <c r="S332" s="97"/>
      <c r="T332" s="97"/>
      <c r="U332" s="97"/>
      <c r="V332" s="97"/>
      <c r="W332" s="97"/>
      <c r="X332" s="97"/>
      <c r="Y332" s="97"/>
      <c r="Z332" s="97"/>
    </row>
    <row r="333" spans="1:26">
      <c r="A333" s="116"/>
      <c r="D333" s="92"/>
      <c r="E333" s="112"/>
      <c r="F333" s="97"/>
      <c r="G333" s="97"/>
      <c r="H333" s="97"/>
      <c r="I333" s="97"/>
      <c r="J333" s="97"/>
      <c r="K333" s="97"/>
      <c r="L333" s="97"/>
      <c r="M333" s="97"/>
      <c r="N333" s="97"/>
      <c r="O333" s="97"/>
      <c r="P333" s="97"/>
      <c r="Q333" s="97"/>
      <c r="R333" s="97"/>
      <c r="S333" s="97"/>
      <c r="T333" s="97"/>
      <c r="U333" s="97"/>
      <c r="V333" s="97"/>
      <c r="W333" s="97"/>
      <c r="X333" s="97"/>
      <c r="Y333" s="97"/>
      <c r="Z333" s="97"/>
    </row>
    <row r="334" spans="1:26">
      <c r="A334" s="116"/>
      <c r="D334" s="92"/>
      <c r="E334" s="112"/>
      <c r="F334" s="97"/>
      <c r="G334" s="97"/>
      <c r="H334" s="97"/>
      <c r="I334" s="97"/>
      <c r="J334" s="97"/>
      <c r="K334" s="97"/>
      <c r="L334" s="97"/>
      <c r="M334" s="97"/>
      <c r="N334" s="97"/>
      <c r="O334" s="97"/>
      <c r="P334" s="97"/>
      <c r="Q334" s="97"/>
      <c r="R334" s="97"/>
      <c r="S334" s="97"/>
      <c r="T334" s="97"/>
      <c r="U334" s="97"/>
      <c r="V334" s="97"/>
      <c r="W334" s="97"/>
      <c r="X334" s="97"/>
      <c r="Y334" s="97"/>
      <c r="Z334" s="97"/>
    </row>
    <row r="335" spans="1:26">
      <c r="A335" s="116"/>
      <c r="D335" s="92"/>
      <c r="E335" s="112"/>
      <c r="F335" s="97"/>
      <c r="G335" s="97"/>
      <c r="H335" s="97"/>
      <c r="I335" s="97"/>
      <c r="J335" s="97"/>
      <c r="K335" s="97"/>
      <c r="L335" s="97"/>
      <c r="M335" s="97"/>
      <c r="N335" s="97"/>
      <c r="O335" s="97"/>
      <c r="P335" s="97"/>
      <c r="Q335" s="97"/>
      <c r="R335" s="97"/>
      <c r="S335" s="97"/>
      <c r="T335" s="97"/>
      <c r="U335" s="97"/>
      <c r="V335" s="97"/>
      <c r="W335" s="97"/>
      <c r="X335" s="97"/>
      <c r="Y335" s="97"/>
      <c r="Z335" s="97"/>
    </row>
    <row r="336" spans="1:26">
      <c r="A336" s="116"/>
      <c r="D336" s="92"/>
      <c r="E336" s="112"/>
      <c r="F336" s="97"/>
      <c r="G336" s="97"/>
      <c r="H336" s="97"/>
      <c r="I336" s="97"/>
      <c r="J336" s="97"/>
      <c r="K336" s="97"/>
      <c r="L336" s="97"/>
      <c r="M336" s="97"/>
      <c r="N336" s="97"/>
      <c r="O336" s="97"/>
      <c r="P336" s="97"/>
      <c r="Q336" s="97"/>
      <c r="R336" s="97"/>
      <c r="S336" s="97"/>
      <c r="T336" s="97"/>
      <c r="U336" s="97"/>
      <c r="V336" s="97"/>
      <c r="W336" s="97"/>
      <c r="X336" s="97"/>
      <c r="Y336" s="97"/>
      <c r="Z336" s="97"/>
    </row>
    <row r="337" spans="1:26">
      <c r="A337" s="116"/>
      <c r="D337" s="92"/>
      <c r="E337" s="112"/>
      <c r="F337" s="97"/>
      <c r="G337" s="97"/>
      <c r="H337" s="97"/>
      <c r="I337" s="97"/>
      <c r="J337" s="97"/>
      <c r="K337" s="97"/>
      <c r="L337" s="97"/>
      <c r="M337" s="97"/>
      <c r="N337" s="97"/>
      <c r="O337" s="97"/>
      <c r="P337" s="97"/>
      <c r="Q337" s="97"/>
      <c r="R337" s="97"/>
      <c r="S337" s="97"/>
      <c r="T337" s="97"/>
      <c r="U337" s="97"/>
      <c r="V337" s="97"/>
      <c r="W337" s="97"/>
      <c r="X337" s="97"/>
      <c r="Y337" s="97"/>
      <c r="Z337" s="97"/>
    </row>
    <row r="338" spans="1:26">
      <c r="A338" s="116"/>
      <c r="D338" s="92"/>
      <c r="E338" s="112"/>
      <c r="F338" s="97"/>
      <c r="G338" s="97"/>
      <c r="H338" s="97"/>
      <c r="I338" s="97"/>
      <c r="J338" s="97"/>
      <c r="K338" s="97"/>
      <c r="L338" s="97"/>
      <c r="M338" s="97"/>
      <c r="N338" s="97"/>
      <c r="O338" s="97"/>
      <c r="P338" s="97"/>
      <c r="Q338" s="97"/>
      <c r="R338" s="97"/>
      <c r="S338" s="97"/>
      <c r="T338" s="97"/>
      <c r="U338" s="97"/>
      <c r="V338" s="97"/>
      <c r="W338" s="97"/>
      <c r="X338" s="97"/>
      <c r="Y338" s="97"/>
      <c r="Z338" s="97"/>
    </row>
    <row r="339" spans="1:26">
      <c r="A339" s="116"/>
      <c r="D339" s="92"/>
      <c r="E339" s="112"/>
      <c r="F339" s="97"/>
      <c r="G339" s="97"/>
      <c r="H339" s="97"/>
      <c r="I339" s="97"/>
      <c r="J339" s="97"/>
      <c r="K339" s="97"/>
      <c r="L339" s="97"/>
      <c r="M339" s="97"/>
      <c r="N339" s="97"/>
      <c r="O339" s="97"/>
      <c r="P339" s="97"/>
      <c r="Q339" s="97"/>
      <c r="R339" s="97"/>
      <c r="S339" s="97"/>
      <c r="T339" s="97"/>
      <c r="U339" s="97"/>
      <c r="V339" s="97"/>
      <c r="W339" s="97"/>
      <c r="X339" s="97"/>
      <c r="Y339" s="97"/>
      <c r="Z339" s="97"/>
    </row>
    <row r="340" spans="1:26">
      <c r="A340" s="116"/>
      <c r="D340" s="92"/>
      <c r="E340" s="112"/>
      <c r="F340" s="97"/>
      <c r="G340" s="97"/>
      <c r="H340" s="97"/>
      <c r="I340" s="97"/>
      <c r="J340" s="97"/>
      <c r="K340" s="97"/>
      <c r="L340" s="97"/>
      <c r="M340" s="97"/>
      <c r="N340" s="97"/>
      <c r="O340" s="97"/>
      <c r="P340" s="97"/>
      <c r="Q340" s="97"/>
      <c r="R340" s="97"/>
      <c r="S340" s="97"/>
      <c r="T340" s="97"/>
      <c r="U340" s="97"/>
      <c r="V340" s="97"/>
      <c r="W340" s="97"/>
      <c r="X340" s="97"/>
      <c r="Y340" s="97"/>
      <c r="Z340" s="97"/>
    </row>
    <row r="341" spans="1:26">
      <c r="A341" s="116"/>
      <c r="D341" s="92"/>
      <c r="E341" s="112"/>
      <c r="F341" s="97"/>
      <c r="G341" s="97"/>
      <c r="H341" s="97"/>
      <c r="I341" s="97"/>
      <c r="J341" s="97"/>
      <c r="K341" s="97"/>
      <c r="L341" s="97"/>
      <c r="M341" s="97"/>
      <c r="N341" s="97"/>
      <c r="O341" s="97"/>
      <c r="P341" s="97"/>
      <c r="Q341" s="97"/>
      <c r="R341" s="97"/>
      <c r="S341" s="97"/>
      <c r="T341" s="97"/>
      <c r="U341" s="97"/>
      <c r="V341" s="97"/>
      <c r="W341" s="97"/>
      <c r="X341" s="97"/>
      <c r="Y341" s="97"/>
      <c r="Z341" s="97"/>
    </row>
    <row r="342" spans="1:26">
      <c r="A342" s="116"/>
      <c r="D342" s="92"/>
      <c r="E342" s="112"/>
      <c r="F342" s="97"/>
      <c r="G342" s="97"/>
      <c r="H342" s="97"/>
      <c r="I342" s="97"/>
      <c r="J342" s="97"/>
      <c r="K342" s="97"/>
      <c r="L342" s="97"/>
      <c r="M342" s="97"/>
      <c r="N342" s="97"/>
      <c r="O342" s="97"/>
      <c r="P342" s="97"/>
      <c r="Q342" s="97"/>
      <c r="R342" s="97"/>
      <c r="S342" s="97"/>
      <c r="T342" s="97"/>
      <c r="U342" s="97"/>
      <c r="V342" s="97"/>
      <c r="W342" s="97"/>
      <c r="X342" s="97"/>
      <c r="Y342" s="97"/>
      <c r="Z342" s="97"/>
    </row>
    <row r="343" spans="1:26">
      <c r="A343" s="116"/>
      <c r="D343" s="92"/>
      <c r="E343" s="112"/>
      <c r="F343" s="97"/>
      <c r="G343" s="97"/>
      <c r="H343" s="97"/>
      <c r="I343" s="97"/>
      <c r="J343" s="97"/>
      <c r="K343" s="97"/>
      <c r="L343" s="97"/>
      <c r="M343" s="97"/>
      <c r="N343" s="97"/>
      <c r="O343" s="97"/>
      <c r="P343" s="97"/>
      <c r="Q343" s="97"/>
      <c r="R343" s="97"/>
      <c r="S343" s="97"/>
      <c r="T343" s="97"/>
      <c r="U343" s="97"/>
      <c r="V343" s="97"/>
      <c r="W343" s="97"/>
      <c r="X343" s="97"/>
      <c r="Y343" s="97"/>
      <c r="Z343" s="97"/>
    </row>
    <row r="344" spans="1:26">
      <c r="A344" s="116"/>
      <c r="D344" s="92"/>
      <c r="E344" s="112"/>
      <c r="F344" s="97"/>
      <c r="G344" s="97"/>
      <c r="H344" s="97"/>
      <c r="I344" s="97"/>
      <c r="J344" s="97"/>
      <c r="K344" s="97"/>
      <c r="L344" s="97"/>
      <c r="M344" s="97"/>
      <c r="N344" s="97"/>
      <c r="O344" s="97"/>
      <c r="P344" s="97"/>
      <c r="Q344" s="97"/>
      <c r="R344" s="97"/>
      <c r="S344" s="97"/>
      <c r="T344" s="97"/>
      <c r="U344" s="97"/>
      <c r="V344" s="97"/>
      <c r="W344" s="97"/>
      <c r="X344" s="97"/>
      <c r="Y344" s="97"/>
      <c r="Z344" s="97"/>
    </row>
    <row r="345" spans="1:26">
      <c r="A345" s="116"/>
      <c r="D345" s="92"/>
      <c r="E345" s="112"/>
      <c r="F345" s="97"/>
      <c r="G345" s="97"/>
      <c r="H345" s="97"/>
      <c r="I345" s="97"/>
      <c r="J345" s="97"/>
      <c r="K345" s="97"/>
      <c r="L345" s="97"/>
      <c r="M345" s="97"/>
      <c r="N345" s="97"/>
      <c r="O345" s="97"/>
      <c r="P345" s="97"/>
      <c r="Q345" s="97"/>
      <c r="R345" s="97"/>
      <c r="S345" s="97"/>
      <c r="T345" s="97"/>
      <c r="U345" s="97"/>
      <c r="V345" s="97"/>
      <c r="W345" s="97"/>
      <c r="X345" s="97"/>
      <c r="Y345" s="97"/>
      <c r="Z345" s="97"/>
    </row>
    <row r="346" spans="1:26">
      <c r="A346" s="116"/>
      <c r="D346" s="92"/>
      <c r="E346" s="112"/>
      <c r="F346" s="97"/>
      <c r="G346" s="97"/>
      <c r="H346" s="97"/>
      <c r="I346" s="97"/>
      <c r="J346" s="97"/>
      <c r="K346" s="97"/>
      <c r="L346" s="97"/>
      <c r="M346" s="97"/>
      <c r="N346" s="97"/>
      <c r="O346" s="97"/>
      <c r="P346" s="97"/>
      <c r="Q346" s="97"/>
      <c r="R346" s="97"/>
      <c r="S346" s="97"/>
      <c r="T346" s="97"/>
      <c r="U346" s="97"/>
      <c r="V346" s="97"/>
      <c r="W346" s="97"/>
      <c r="X346" s="97"/>
      <c r="Y346" s="97"/>
      <c r="Z346" s="97"/>
    </row>
    <row r="347" spans="1:26">
      <c r="A347" s="116"/>
      <c r="D347" s="92"/>
      <c r="E347" s="112"/>
      <c r="F347" s="97"/>
      <c r="G347" s="97"/>
      <c r="H347" s="97"/>
      <c r="I347" s="97"/>
      <c r="J347" s="97"/>
      <c r="K347" s="97"/>
      <c r="L347" s="97"/>
      <c r="M347" s="97"/>
      <c r="N347" s="97"/>
      <c r="O347" s="97"/>
      <c r="P347" s="97"/>
      <c r="Q347" s="97"/>
      <c r="R347" s="97"/>
      <c r="S347" s="97"/>
      <c r="T347" s="97"/>
      <c r="U347" s="97"/>
      <c r="V347" s="97"/>
      <c r="W347" s="97"/>
      <c r="X347" s="97"/>
      <c r="Y347" s="97"/>
      <c r="Z347" s="97"/>
    </row>
    <row r="348" spans="1:26">
      <c r="A348" s="116"/>
      <c r="D348" s="92"/>
      <c r="E348" s="112"/>
      <c r="F348" s="97"/>
      <c r="G348" s="97"/>
      <c r="H348" s="97"/>
      <c r="I348" s="97"/>
      <c r="J348" s="97"/>
      <c r="K348" s="97"/>
      <c r="L348" s="97"/>
      <c r="M348" s="97"/>
      <c r="N348" s="97"/>
      <c r="O348" s="97"/>
      <c r="P348" s="97"/>
      <c r="Q348" s="97"/>
      <c r="R348" s="97"/>
      <c r="S348" s="97"/>
      <c r="T348" s="97"/>
      <c r="U348" s="97"/>
      <c r="V348" s="97"/>
      <c r="W348" s="97"/>
      <c r="X348" s="97"/>
      <c r="Y348" s="97"/>
      <c r="Z348" s="97"/>
    </row>
    <row r="349" spans="1:26">
      <c r="A349" s="116"/>
      <c r="D349" s="92"/>
      <c r="E349" s="112"/>
      <c r="F349" s="97"/>
      <c r="G349" s="97"/>
      <c r="H349" s="97"/>
      <c r="I349" s="97"/>
      <c r="J349" s="97"/>
      <c r="K349" s="97"/>
      <c r="L349" s="97"/>
      <c r="M349" s="97"/>
      <c r="N349" s="97"/>
      <c r="O349" s="97"/>
      <c r="P349" s="97"/>
      <c r="Q349" s="97"/>
      <c r="R349" s="97"/>
      <c r="S349" s="97"/>
      <c r="T349" s="97"/>
      <c r="U349" s="97"/>
      <c r="V349" s="97"/>
      <c r="W349" s="97"/>
      <c r="X349" s="97"/>
      <c r="Y349" s="97"/>
      <c r="Z349" s="97"/>
    </row>
    <row r="350" spans="1:26">
      <c r="A350" s="116"/>
      <c r="D350" s="92"/>
      <c r="E350" s="112"/>
      <c r="F350" s="97"/>
      <c r="G350" s="97"/>
      <c r="H350" s="97"/>
      <c r="I350" s="97"/>
      <c r="J350" s="97"/>
      <c r="K350" s="97"/>
      <c r="L350" s="97"/>
      <c r="M350" s="97"/>
      <c r="N350" s="97"/>
      <c r="O350" s="97"/>
      <c r="P350" s="97"/>
      <c r="Q350" s="97"/>
      <c r="R350" s="97"/>
      <c r="S350" s="97"/>
      <c r="T350" s="97"/>
      <c r="U350" s="97"/>
      <c r="V350" s="97"/>
      <c r="W350" s="97"/>
      <c r="X350" s="97"/>
      <c r="Y350" s="97"/>
      <c r="Z350" s="97"/>
    </row>
    <row r="351" spans="1:26">
      <c r="A351" s="116"/>
      <c r="D351" s="92"/>
      <c r="E351" s="112"/>
      <c r="F351" s="97"/>
      <c r="G351" s="97"/>
      <c r="H351" s="97"/>
      <c r="I351" s="97"/>
      <c r="J351" s="97"/>
      <c r="K351" s="97"/>
      <c r="L351" s="97"/>
      <c r="M351" s="97"/>
      <c r="N351" s="97"/>
      <c r="O351" s="97"/>
      <c r="P351" s="97"/>
      <c r="Q351" s="97"/>
      <c r="R351" s="97"/>
      <c r="S351" s="97"/>
      <c r="T351" s="97"/>
      <c r="U351" s="97"/>
      <c r="V351" s="97"/>
      <c r="W351" s="97"/>
      <c r="X351" s="97"/>
      <c r="Y351" s="97"/>
      <c r="Z351" s="97"/>
    </row>
    <row r="352" spans="1:26">
      <c r="A352" s="116"/>
      <c r="D352" s="92"/>
      <c r="E352" s="112"/>
      <c r="F352" s="97"/>
      <c r="G352" s="97"/>
      <c r="H352" s="97"/>
      <c r="I352" s="97"/>
      <c r="J352" s="97"/>
      <c r="K352" s="97"/>
      <c r="L352" s="97"/>
      <c r="M352" s="97"/>
      <c r="N352" s="97"/>
      <c r="O352" s="97"/>
      <c r="P352" s="97"/>
      <c r="Q352" s="97"/>
      <c r="R352" s="97"/>
      <c r="S352" s="97"/>
      <c r="T352" s="97"/>
      <c r="U352" s="97"/>
      <c r="V352" s="97"/>
      <c r="W352" s="97"/>
      <c r="X352" s="97"/>
      <c r="Y352" s="97"/>
      <c r="Z352" s="97"/>
    </row>
    <row r="353" spans="1:26">
      <c r="A353" s="116"/>
      <c r="D353" s="92"/>
      <c r="E353" s="112"/>
      <c r="F353" s="97"/>
      <c r="G353" s="97"/>
      <c r="H353" s="97"/>
      <c r="I353" s="97"/>
      <c r="J353" s="97"/>
      <c r="K353" s="97"/>
      <c r="L353" s="97"/>
      <c r="M353" s="97"/>
      <c r="N353" s="97"/>
      <c r="O353" s="97"/>
      <c r="P353" s="97"/>
      <c r="Q353" s="97"/>
      <c r="R353" s="97"/>
      <c r="S353" s="97"/>
      <c r="T353" s="97"/>
      <c r="U353" s="97"/>
      <c r="V353" s="97"/>
      <c r="W353" s="97"/>
      <c r="X353" s="97"/>
      <c r="Y353" s="97"/>
      <c r="Z353" s="97"/>
    </row>
    <row r="354" spans="1:26">
      <c r="A354" s="116"/>
      <c r="D354" s="92"/>
      <c r="E354" s="112"/>
      <c r="F354" s="97"/>
      <c r="G354" s="97"/>
      <c r="H354" s="97"/>
      <c r="I354" s="97"/>
      <c r="J354" s="97"/>
      <c r="K354" s="97"/>
      <c r="L354" s="97"/>
      <c r="M354" s="97"/>
      <c r="N354" s="97"/>
      <c r="O354" s="97"/>
      <c r="P354" s="97"/>
      <c r="Q354" s="97"/>
      <c r="R354" s="97"/>
      <c r="S354" s="97"/>
      <c r="T354" s="97"/>
      <c r="U354" s="97"/>
      <c r="V354" s="97"/>
      <c r="W354" s="97"/>
      <c r="X354" s="97"/>
      <c r="Y354" s="97"/>
      <c r="Z354" s="97"/>
    </row>
    <row r="355" spans="1:26">
      <c r="A355" s="116"/>
      <c r="D355" s="92"/>
      <c r="E355" s="112"/>
      <c r="F355" s="97"/>
      <c r="G355" s="97"/>
      <c r="H355" s="97"/>
      <c r="I355" s="97"/>
      <c r="J355" s="97"/>
      <c r="K355" s="97"/>
      <c r="L355" s="97"/>
      <c r="M355" s="97"/>
      <c r="N355" s="97"/>
      <c r="O355" s="97"/>
      <c r="P355" s="97"/>
      <c r="Q355" s="97"/>
      <c r="R355" s="97"/>
      <c r="S355" s="97"/>
      <c r="T355" s="97"/>
      <c r="U355" s="97"/>
      <c r="V355" s="97"/>
      <c r="W355" s="97"/>
      <c r="X355" s="97"/>
      <c r="Y355" s="97"/>
      <c r="Z355" s="97"/>
    </row>
    <row r="356" spans="1:26">
      <c r="A356" s="116"/>
      <c r="D356" s="92"/>
      <c r="E356" s="112"/>
      <c r="F356" s="97"/>
      <c r="G356" s="97"/>
      <c r="H356" s="97"/>
      <c r="I356" s="97"/>
      <c r="J356" s="97"/>
      <c r="K356" s="97"/>
      <c r="L356" s="97"/>
      <c r="M356" s="97"/>
      <c r="N356" s="97"/>
      <c r="O356" s="97"/>
      <c r="P356" s="97"/>
      <c r="Q356" s="97"/>
      <c r="R356" s="97"/>
      <c r="S356" s="97"/>
      <c r="T356" s="97"/>
      <c r="U356" s="97"/>
      <c r="V356" s="97"/>
      <c r="W356" s="97"/>
      <c r="X356" s="97"/>
      <c r="Y356" s="97"/>
      <c r="Z356" s="97"/>
    </row>
    <row r="357" spans="1:26">
      <c r="A357" s="116"/>
      <c r="D357" s="92"/>
      <c r="E357" s="112"/>
      <c r="F357" s="97"/>
      <c r="G357" s="97"/>
      <c r="H357" s="97"/>
      <c r="I357" s="97"/>
      <c r="J357" s="97"/>
      <c r="K357" s="97"/>
      <c r="L357" s="97"/>
      <c r="M357" s="97"/>
      <c r="N357" s="97"/>
      <c r="O357" s="97"/>
      <c r="P357" s="97"/>
      <c r="Q357" s="97"/>
      <c r="R357" s="97"/>
      <c r="S357" s="97"/>
      <c r="T357" s="97"/>
      <c r="U357" s="97"/>
      <c r="V357" s="97"/>
      <c r="W357" s="97"/>
      <c r="X357" s="97"/>
      <c r="Y357" s="97"/>
      <c r="Z357" s="97"/>
    </row>
    <row r="358" spans="1:26">
      <c r="A358" s="116"/>
      <c r="D358" s="92"/>
      <c r="E358" s="112"/>
      <c r="F358" s="97"/>
      <c r="G358" s="97"/>
      <c r="H358" s="97"/>
      <c r="I358" s="97"/>
      <c r="J358" s="97"/>
      <c r="K358" s="97"/>
      <c r="L358" s="97"/>
      <c r="M358" s="97"/>
      <c r="N358" s="97"/>
      <c r="O358" s="97"/>
      <c r="P358" s="97"/>
      <c r="Q358" s="97"/>
      <c r="R358" s="97"/>
      <c r="S358" s="97"/>
      <c r="T358" s="97"/>
      <c r="U358" s="97"/>
      <c r="V358" s="97"/>
      <c r="W358" s="97"/>
      <c r="X358" s="97"/>
      <c r="Y358" s="97"/>
      <c r="Z358" s="97"/>
    </row>
    <row r="359" spans="1:26">
      <c r="A359" s="116"/>
      <c r="D359" s="92"/>
      <c r="E359" s="112"/>
      <c r="F359" s="97"/>
      <c r="G359" s="97"/>
      <c r="H359" s="97"/>
      <c r="I359" s="97"/>
      <c r="J359" s="97"/>
      <c r="K359" s="97"/>
      <c r="L359" s="97"/>
      <c r="M359" s="97"/>
      <c r="N359" s="97"/>
      <c r="O359" s="97"/>
      <c r="P359" s="97"/>
      <c r="Q359" s="97"/>
      <c r="R359" s="97"/>
      <c r="S359" s="97"/>
      <c r="T359" s="97"/>
      <c r="U359" s="97"/>
      <c r="V359" s="97"/>
      <c r="W359" s="97"/>
      <c r="X359" s="97"/>
      <c r="Y359" s="97"/>
      <c r="Z359" s="97"/>
    </row>
    <row r="360" spans="1:26">
      <c r="A360" s="116"/>
      <c r="D360" s="92"/>
      <c r="E360" s="112"/>
      <c r="F360" s="97"/>
      <c r="G360" s="97"/>
      <c r="H360" s="97"/>
      <c r="I360" s="97"/>
      <c r="J360" s="97"/>
      <c r="K360" s="97"/>
      <c r="L360" s="97"/>
      <c r="M360" s="97"/>
      <c r="N360" s="97"/>
      <c r="O360" s="97"/>
      <c r="P360" s="97"/>
      <c r="Q360" s="97"/>
      <c r="R360" s="97"/>
      <c r="S360" s="97"/>
      <c r="T360" s="97"/>
      <c r="U360" s="97"/>
      <c r="V360" s="97"/>
      <c r="W360" s="97"/>
      <c r="X360" s="97"/>
      <c r="Y360" s="97"/>
      <c r="Z360" s="97"/>
    </row>
    <row r="361" spans="1:26">
      <c r="A361" s="116"/>
      <c r="D361" s="92"/>
      <c r="E361" s="112"/>
      <c r="F361" s="97"/>
      <c r="G361" s="97"/>
      <c r="H361" s="97"/>
      <c r="I361" s="97"/>
      <c r="J361" s="97"/>
      <c r="K361" s="97"/>
      <c r="L361" s="97"/>
      <c r="M361" s="97"/>
      <c r="N361" s="97"/>
      <c r="O361" s="97"/>
      <c r="P361" s="97"/>
      <c r="Q361" s="97"/>
      <c r="R361" s="97"/>
      <c r="S361" s="97"/>
      <c r="T361" s="97"/>
      <c r="U361" s="97"/>
      <c r="V361" s="97"/>
      <c r="W361" s="97"/>
      <c r="X361" s="97"/>
      <c r="Y361" s="97"/>
      <c r="Z361" s="97"/>
    </row>
    <row r="362" spans="1:26">
      <c r="A362" s="116"/>
      <c r="D362" s="92"/>
      <c r="E362" s="112"/>
      <c r="F362" s="97"/>
      <c r="G362" s="97"/>
      <c r="H362" s="97"/>
      <c r="I362" s="97"/>
      <c r="J362" s="97"/>
      <c r="K362" s="97"/>
      <c r="L362" s="97"/>
      <c r="M362" s="97"/>
      <c r="N362" s="97"/>
      <c r="O362" s="97"/>
      <c r="P362" s="97"/>
      <c r="Q362" s="97"/>
      <c r="R362" s="97"/>
      <c r="S362" s="97"/>
      <c r="T362" s="97"/>
      <c r="U362" s="97"/>
      <c r="V362" s="97"/>
      <c r="W362" s="97"/>
      <c r="X362" s="97"/>
      <c r="Y362" s="97"/>
      <c r="Z362" s="97"/>
    </row>
    <row r="363" spans="1:26">
      <c r="A363" s="116"/>
      <c r="D363" s="92"/>
      <c r="E363" s="112"/>
      <c r="F363" s="97"/>
      <c r="G363" s="97"/>
      <c r="H363" s="97"/>
      <c r="I363" s="97"/>
      <c r="J363" s="97"/>
      <c r="K363" s="97"/>
      <c r="L363" s="97"/>
      <c r="M363" s="97"/>
      <c r="N363" s="97"/>
      <c r="O363" s="97"/>
      <c r="P363" s="97"/>
      <c r="Q363" s="97"/>
      <c r="R363" s="97"/>
      <c r="S363" s="97"/>
      <c r="T363" s="97"/>
      <c r="U363" s="97"/>
      <c r="V363" s="97"/>
      <c r="W363" s="97"/>
      <c r="X363" s="97"/>
      <c r="Y363" s="97"/>
      <c r="Z363" s="97"/>
    </row>
    <row r="364" spans="1:26">
      <c r="A364" s="116"/>
      <c r="D364" s="92"/>
      <c r="E364" s="112"/>
      <c r="F364" s="97"/>
      <c r="G364" s="97"/>
      <c r="H364" s="97"/>
      <c r="I364" s="97"/>
      <c r="J364" s="97"/>
      <c r="K364" s="97"/>
      <c r="L364" s="97"/>
      <c r="M364" s="97"/>
      <c r="N364" s="97"/>
      <c r="O364" s="97"/>
      <c r="P364" s="97"/>
      <c r="Q364" s="97"/>
      <c r="R364" s="97"/>
      <c r="S364" s="97"/>
      <c r="T364" s="97"/>
      <c r="U364" s="97"/>
      <c r="V364" s="97"/>
      <c r="W364" s="97"/>
      <c r="X364" s="97"/>
      <c r="Y364" s="97"/>
      <c r="Z364" s="97"/>
    </row>
    <row r="365" spans="1:26">
      <c r="A365" s="116"/>
      <c r="D365" s="92"/>
      <c r="E365" s="112"/>
      <c r="F365" s="97"/>
      <c r="G365" s="97"/>
      <c r="H365" s="97"/>
      <c r="I365" s="97"/>
      <c r="J365" s="97"/>
      <c r="K365" s="97"/>
      <c r="L365" s="97"/>
      <c r="M365" s="97"/>
      <c r="N365" s="97"/>
      <c r="O365" s="97"/>
      <c r="P365" s="97"/>
      <c r="Q365" s="97"/>
      <c r="R365" s="97"/>
      <c r="S365" s="97"/>
      <c r="T365" s="97"/>
      <c r="U365" s="97"/>
      <c r="V365" s="97"/>
      <c r="W365" s="97"/>
      <c r="X365" s="97"/>
      <c r="Y365" s="97"/>
      <c r="Z365" s="97"/>
    </row>
    <row r="366" spans="1:26">
      <c r="A366" s="116"/>
      <c r="D366" s="92"/>
      <c r="E366" s="112"/>
      <c r="F366" s="97"/>
      <c r="G366" s="97"/>
      <c r="H366" s="97"/>
      <c r="I366" s="97"/>
      <c r="J366" s="97"/>
      <c r="K366" s="97"/>
      <c r="L366" s="97"/>
      <c r="M366" s="97"/>
      <c r="N366" s="97"/>
      <c r="O366" s="97"/>
      <c r="P366" s="97"/>
      <c r="Q366" s="97"/>
      <c r="R366" s="97"/>
      <c r="S366" s="97"/>
      <c r="T366" s="97"/>
      <c r="U366" s="97"/>
      <c r="V366" s="97"/>
      <c r="W366" s="97"/>
      <c r="X366" s="97"/>
      <c r="Y366" s="97"/>
      <c r="Z366" s="97"/>
    </row>
    <row r="367" spans="1:26">
      <c r="A367" s="116"/>
      <c r="D367" s="92"/>
      <c r="E367" s="112"/>
      <c r="F367" s="97"/>
      <c r="G367" s="97"/>
      <c r="H367" s="97"/>
      <c r="I367" s="97"/>
      <c r="J367" s="97"/>
      <c r="K367" s="97"/>
      <c r="L367" s="97"/>
      <c r="M367" s="97"/>
      <c r="N367" s="97"/>
      <c r="O367" s="97"/>
      <c r="P367" s="97"/>
      <c r="Q367" s="97"/>
      <c r="R367" s="97"/>
      <c r="S367" s="97"/>
      <c r="T367" s="97"/>
      <c r="U367" s="97"/>
      <c r="V367" s="97"/>
      <c r="W367" s="97"/>
      <c r="X367" s="97"/>
      <c r="Y367" s="97"/>
      <c r="Z367" s="97"/>
    </row>
    <row r="368" spans="1:26">
      <c r="A368" s="116"/>
      <c r="D368" s="92"/>
      <c r="E368" s="112"/>
      <c r="F368" s="97"/>
      <c r="G368" s="97"/>
      <c r="H368" s="97"/>
      <c r="I368" s="97"/>
      <c r="J368" s="97"/>
      <c r="K368" s="97"/>
      <c r="L368" s="97"/>
      <c r="M368" s="97"/>
      <c r="N368" s="97"/>
      <c r="O368" s="97"/>
      <c r="P368" s="97"/>
      <c r="Q368" s="97"/>
      <c r="R368" s="97"/>
      <c r="S368" s="97"/>
      <c r="T368" s="97"/>
      <c r="U368" s="97"/>
      <c r="V368" s="97"/>
      <c r="W368" s="97"/>
      <c r="X368" s="97"/>
      <c r="Y368" s="97"/>
      <c r="Z368" s="97"/>
    </row>
    <row r="369" spans="1:26">
      <c r="A369" s="116"/>
      <c r="D369" s="92"/>
      <c r="E369" s="112"/>
      <c r="F369" s="97"/>
      <c r="G369" s="97"/>
      <c r="H369" s="97"/>
      <c r="I369" s="97"/>
      <c r="J369" s="97"/>
      <c r="K369" s="97"/>
      <c r="L369" s="97"/>
      <c r="M369" s="97"/>
      <c r="N369" s="97"/>
      <c r="O369" s="97"/>
      <c r="P369" s="97"/>
      <c r="Q369" s="97"/>
      <c r="R369" s="97"/>
      <c r="S369" s="97"/>
      <c r="T369" s="97"/>
      <c r="U369" s="97"/>
      <c r="V369" s="97"/>
      <c r="W369" s="97"/>
      <c r="X369" s="97"/>
      <c r="Y369" s="97"/>
      <c r="Z369" s="97"/>
    </row>
    <row r="370" spans="1:26">
      <c r="A370" s="116"/>
      <c r="D370" s="92"/>
      <c r="E370" s="112"/>
      <c r="F370" s="97"/>
      <c r="G370" s="97"/>
      <c r="H370" s="97"/>
      <c r="I370" s="97"/>
      <c r="J370" s="97"/>
      <c r="K370" s="97"/>
      <c r="L370" s="97"/>
      <c r="M370" s="97"/>
      <c r="N370" s="97"/>
      <c r="O370" s="97"/>
      <c r="P370" s="97"/>
      <c r="Q370" s="97"/>
      <c r="R370" s="97"/>
      <c r="S370" s="97"/>
      <c r="T370" s="97"/>
      <c r="U370" s="97"/>
      <c r="V370" s="97"/>
      <c r="W370" s="97"/>
      <c r="X370" s="97"/>
      <c r="Y370" s="97"/>
      <c r="Z370" s="97"/>
    </row>
    <row r="371" spans="1:26">
      <c r="A371" s="116"/>
      <c r="D371" s="92"/>
      <c r="E371" s="112"/>
      <c r="F371" s="97"/>
      <c r="G371" s="97"/>
      <c r="H371" s="97"/>
      <c r="I371" s="97"/>
      <c r="J371" s="97"/>
      <c r="K371" s="97"/>
      <c r="L371" s="97"/>
      <c r="M371" s="97"/>
      <c r="N371" s="97"/>
      <c r="O371" s="97"/>
      <c r="P371" s="97"/>
      <c r="Q371" s="97"/>
      <c r="R371" s="97"/>
      <c r="S371" s="97"/>
      <c r="T371" s="97"/>
      <c r="U371" s="97"/>
      <c r="V371" s="97"/>
      <c r="W371" s="97"/>
      <c r="X371" s="97"/>
      <c r="Y371" s="97"/>
      <c r="Z371" s="97"/>
    </row>
    <row r="372" spans="1:26">
      <c r="A372" s="116"/>
      <c r="D372" s="92"/>
      <c r="E372" s="112"/>
      <c r="F372" s="97"/>
      <c r="G372" s="97"/>
      <c r="H372" s="97"/>
      <c r="I372" s="97"/>
      <c r="J372" s="97"/>
      <c r="K372" s="97"/>
      <c r="L372" s="97"/>
      <c r="M372" s="97"/>
      <c r="N372" s="97"/>
      <c r="O372" s="97"/>
      <c r="P372" s="97"/>
      <c r="Q372" s="97"/>
      <c r="R372" s="97"/>
      <c r="S372" s="97"/>
      <c r="T372" s="97"/>
      <c r="U372" s="97"/>
      <c r="V372" s="97"/>
      <c r="W372" s="97"/>
      <c r="X372" s="97"/>
      <c r="Y372" s="97"/>
      <c r="Z372" s="97"/>
    </row>
    <row r="373" spans="1:26">
      <c r="A373" s="116"/>
      <c r="D373" s="92"/>
      <c r="E373" s="112"/>
      <c r="F373" s="97"/>
      <c r="G373" s="97"/>
      <c r="H373" s="97"/>
      <c r="I373" s="97"/>
      <c r="J373" s="97"/>
      <c r="K373" s="97"/>
      <c r="L373" s="97"/>
      <c r="M373" s="97"/>
      <c r="N373" s="97"/>
      <c r="O373" s="97"/>
      <c r="P373" s="97"/>
      <c r="Q373" s="97"/>
      <c r="R373" s="97"/>
      <c r="S373" s="97"/>
      <c r="T373" s="97"/>
      <c r="U373" s="97"/>
      <c r="V373" s="97"/>
      <c r="W373" s="97"/>
      <c r="X373" s="97"/>
      <c r="Y373" s="97"/>
      <c r="Z373" s="97"/>
    </row>
    <row r="374" spans="1:26">
      <c r="A374" s="116"/>
      <c r="D374" s="92"/>
      <c r="E374" s="112"/>
      <c r="F374" s="97"/>
      <c r="G374" s="97"/>
      <c r="H374" s="97"/>
      <c r="I374" s="97"/>
      <c r="J374" s="97"/>
      <c r="K374" s="97"/>
      <c r="L374" s="97"/>
      <c r="M374" s="97"/>
      <c r="N374" s="97"/>
      <c r="O374" s="97"/>
      <c r="P374" s="97"/>
      <c r="Q374" s="97"/>
      <c r="R374" s="97"/>
      <c r="S374" s="97"/>
      <c r="T374" s="97"/>
      <c r="U374" s="97"/>
      <c r="V374" s="97"/>
      <c r="W374" s="97"/>
      <c r="X374" s="97"/>
      <c r="Y374" s="97"/>
      <c r="Z374" s="97"/>
    </row>
    <row r="375" spans="1:26">
      <c r="A375" s="116"/>
      <c r="D375" s="92"/>
      <c r="E375" s="112"/>
      <c r="F375" s="97"/>
      <c r="G375" s="97"/>
      <c r="H375" s="97"/>
      <c r="I375" s="97"/>
      <c r="J375" s="97"/>
      <c r="K375" s="97"/>
      <c r="L375" s="97"/>
      <c r="M375" s="97"/>
      <c r="N375" s="97"/>
      <c r="O375" s="97"/>
      <c r="P375" s="97"/>
      <c r="Q375" s="97"/>
      <c r="R375" s="97"/>
      <c r="S375" s="97"/>
      <c r="T375" s="97"/>
      <c r="U375" s="97"/>
      <c r="V375" s="97"/>
      <c r="W375" s="97"/>
      <c r="X375" s="97"/>
      <c r="Y375" s="97"/>
      <c r="Z375" s="97"/>
    </row>
    <row r="376" spans="1:26">
      <c r="A376" s="116"/>
      <c r="D376" s="92"/>
      <c r="E376" s="112"/>
      <c r="F376" s="97"/>
      <c r="G376" s="97"/>
      <c r="H376" s="97"/>
      <c r="I376" s="97"/>
      <c r="J376" s="97"/>
      <c r="K376" s="97"/>
      <c r="L376" s="97"/>
      <c r="M376" s="97"/>
      <c r="N376" s="97"/>
      <c r="O376" s="97"/>
      <c r="P376" s="97"/>
      <c r="Q376" s="97"/>
      <c r="R376" s="97"/>
      <c r="S376" s="97"/>
      <c r="T376" s="97"/>
      <c r="U376" s="97"/>
      <c r="V376" s="97"/>
      <c r="W376" s="97"/>
      <c r="X376" s="97"/>
      <c r="Y376" s="97"/>
      <c r="Z376" s="97"/>
    </row>
    <row r="377" spans="1:26">
      <c r="A377" s="116"/>
      <c r="D377" s="92"/>
      <c r="E377" s="112"/>
      <c r="F377" s="97"/>
      <c r="G377" s="97"/>
      <c r="H377" s="97"/>
      <c r="I377" s="97"/>
      <c r="J377" s="97"/>
      <c r="K377" s="97"/>
      <c r="L377" s="97"/>
      <c r="M377" s="97"/>
      <c r="N377" s="97"/>
      <c r="O377" s="97"/>
      <c r="P377" s="97"/>
      <c r="Q377" s="97"/>
      <c r="R377" s="97"/>
      <c r="S377" s="97"/>
      <c r="T377" s="97"/>
      <c r="U377" s="97"/>
      <c r="V377" s="97"/>
      <c r="W377" s="97"/>
      <c r="X377" s="97"/>
      <c r="Y377" s="97"/>
      <c r="Z377" s="97"/>
    </row>
    <row r="378" spans="1:26">
      <c r="A378" s="116"/>
      <c r="D378" s="92"/>
      <c r="E378" s="112"/>
      <c r="F378" s="97"/>
      <c r="G378" s="97"/>
      <c r="H378" s="97"/>
      <c r="I378" s="97"/>
      <c r="J378" s="97"/>
      <c r="K378" s="97"/>
      <c r="L378" s="97"/>
      <c r="M378" s="97"/>
      <c r="N378" s="97"/>
      <c r="O378" s="97"/>
      <c r="P378" s="97"/>
      <c r="Q378" s="97"/>
      <c r="R378" s="97"/>
      <c r="S378" s="97"/>
      <c r="T378" s="97"/>
      <c r="U378" s="97"/>
      <c r="V378" s="97"/>
      <c r="W378" s="97"/>
      <c r="X378" s="97"/>
      <c r="Y378" s="97"/>
      <c r="Z378" s="97"/>
    </row>
    <row r="379" spans="1:26">
      <c r="A379" s="116"/>
      <c r="D379" s="92"/>
      <c r="E379" s="112"/>
      <c r="F379" s="97"/>
      <c r="G379" s="97"/>
      <c r="H379" s="97"/>
      <c r="I379" s="97"/>
      <c r="J379" s="97"/>
      <c r="K379" s="97"/>
      <c r="L379" s="97"/>
      <c r="M379" s="97"/>
      <c r="N379" s="97"/>
      <c r="O379" s="97"/>
      <c r="P379" s="97"/>
      <c r="Q379" s="97"/>
      <c r="R379" s="97"/>
      <c r="S379" s="97"/>
      <c r="T379" s="97"/>
      <c r="U379" s="97"/>
      <c r="V379" s="97"/>
      <c r="W379" s="97"/>
      <c r="X379" s="97"/>
      <c r="Y379" s="97"/>
      <c r="Z379" s="97"/>
    </row>
    <row r="380" spans="1:26">
      <c r="A380" s="116"/>
      <c r="D380" s="92"/>
      <c r="E380" s="112"/>
      <c r="F380" s="97"/>
      <c r="G380" s="97"/>
      <c r="H380" s="97"/>
      <c r="I380" s="97"/>
      <c r="J380" s="97"/>
      <c r="K380" s="97"/>
      <c r="L380" s="97"/>
      <c r="M380" s="97"/>
      <c r="N380" s="97"/>
      <c r="O380" s="97"/>
      <c r="P380" s="97"/>
      <c r="Q380" s="97"/>
      <c r="R380" s="97"/>
      <c r="S380" s="97"/>
      <c r="T380" s="97"/>
      <c r="U380" s="97"/>
      <c r="V380" s="97"/>
      <c r="W380" s="97"/>
      <c r="X380" s="97"/>
      <c r="Y380" s="97"/>
      <c r="Z380" s="97"/>
    </row>
    <row r="381" spans="1:26">
      <c r="A381" s="116"/>
      <c r="D381" s="92"/>
      <c r="E381" s="112"/>
      <c r="F381" s="97"/>
      <c r="G381" s="97"/>
      <c r="H381" s="97"/>
      <c r="I381" s="97"/>
      <c r="J381" s="97"/>
      <c r="K381" s="97"/>
      <c r="L381" s="97"/>
      <c r="M381" s="97"/>
      <c r="N381" s="97"/>
      <c r="O381" s="97"/>
      <c r="P381" s="97"/>
      <c r="Q381" s="97"/>
      <c r="R381" s="97"/>
      <c r="S381" s="97"/>
      <c r="T381" s="97"/>
      <c r="U381" s="97"/>
      <c r="V381" s="97"/>
      <c r="W381" s="97"/>
      <c r="X381" s="97"/>
      <c r="Y381" s="97"/>
      <c r="Z381" s="97"/>
    </row>
    <row r="382" spans="1:26">
      <c r="A382" s="116"/>
      <c r="D382" s="92"/>
      <c r="E382" s="112"/>
      <c r="F382" s="97"/>
      <c r="G382" s="97"/>
      <c r="H382" s="97"/>
      <c r="I382" s="97"/>
      <c r="J382" s="97"/>
      <c r="K382" s="97"/>
      <c r="L382" s="97"/>
      <c r="M382" s="97"/>
      <c r="N382" s="97"/>
      <c r="O382" s="97"/>
      <c r="P382" s="97"/>
      <c r="Q382" s="97"/>
      <c r="R382" s="97"/>
      <c r="S382" s="97"/>
      <c r="T382" s="97"/>
      <c r="U382" s="97"/>
      <c r="V382" s="97"/>
      <c r="W382" s="97"/>
      <c r="X382" s="97"/>
      <c r="Y382" s="97"/>
      <c r="Z382" s="97"/>
    </row>
    <row r="383" spans="1:26">
      <c r="A383" s="116"/>
      <c r="D383" s="92"/>
      <c r="E383" s="112"/>
      <c r="F383" s="97"/>
      <c r="G383" s="97"/>
      <c r="H383" s="97"/>
      <c r="I383" s="97"/>
      <c r="J383" s="97"/>
      <c r="K383" s="97"/>
      <c r="L383" s="97"/>
      <c r="M383" s="97"/>
      <c r="N383" s="97"/>
      <c r="O383" s="97"/>
      <c r="P383" s="97"/>
      <c r="Q383" s="97"/>
      <c r="R383" s="97"/>
      <c r="S383" s="97"/>
      <c r="T383" s="97"/>
      <c r="U383" s="97"/>
      <c r="V383" s="97"/>
      <c r="W383" s="97"/>
      <c r="X383" s="97"/>
      <c r="Y383" s="97"/>
      <c r="Z383" s="97"/>
    </row>
    <row r="384" spans="1:26">
      <c r="A384" s="116"/>
      <c r="D384" s="92"/>
      <c r="E384" s="112"/>
      <c r="F384" s="97"/>
      <c r="G384" s="97"/>
      <c r="H384" s="97"/>
      <c r="I384" s="97"/>
      <c r="J384" s="97"/>
      <c r="K384" s="97"/>
      <c r="L384" s="97"/>
      <c r="M384" s="97"/>
      <c r="N384" s="97"/>
      <c r="O384" s="97"/>
      <c r="P384" s="97"/>
      <c r="Q384" s="97"/>
      <c r="R384" s="97"/>
      <c r="S384" s="97"/>
      <c r="T384" s="97"/>
      <c r="U384" s="97"/>
      <c r="V384" s="97"/>
      <c r="W384" s="97"/>
      <c r="X384" s="97"/>
      <c r="Y384" s="97"/>
      <c r="Z384" s="97"/>
    </row>
    <row r="385" spans="1:26">
      <c r="A385" s="116"/>
      <c r="D385" s="92"/>
      <c r="E385" s="112"/>
      <c r="F385" s="97"/>
      <c r="G385" s="97"/>
      <c r="H385" s="97"/>
      <c r="I385" s="97"/>
      <c r="J385" s="97"/>
      <c r="K385" s="97"/>
      <c r="L385" s="97"/>
      <c r="M385" s="97"/>
      <c r="N385" s="97"/>
      <c r="O385" s="97"/>
      <c r="P385" s="97"/>
      <c r="Q385" s="97"/>
      <c r="R385" s="97"/>
      <c r="S385" s="97"/>
      <c r="T385" s="97"/>
      <c r="U385" s="97"/>
      <c r="V385" s="97"/>
      <c r="W385" s="97"/>
      <c r="X385" s="97"/>
      <c r="Y385" s="97"/>
      <c r="Z385" s="97"/>
    </row>
    <row r="386" spans="1:26">
      <c r="A386" s="116"/>
      <c r="D386" s="92"/>
      <c r="E386" s="112"/>
      <c r="F386" s="97"/>
      <c r="G386" s="97"/>
      <c r="H386" s="97"/>
      <c r="I386" s="97"/>
      <c r="J386" s="97"/>
      <c r="K386" s="97"/>
      <c r="L386" s="97"/>
      <c r="M386" s="97"/>
      <c r="N386" s="97"/>
      <c r="O386" s="97"/>
      <c r="P386" s="97"/>
      <c r="Q386" s="97"/>
      <c r="R386" s="97"/>
      <c r="S386" s="97"/>
      <c r="T386" s="97"/>
      <c r="U386" s="97"/>
      <c r="V386" s="97"/>
      <c r="W386" s="97"/>
      <c r="X386" s="97"/>
      <c r="Y386" s="97"/>
      <c r="Z386" s="97"/>
    </row>
    <row r="387" spans="1:26">
      <c r="A387" s="116"/>
      <c r="D387" s="92"/>
      <c r="E387" s="112"/>
      <c r="F387" s="97"/>
      <c r="G387" s="97"/>
      <c r="H387" s="97"/>
      <c r="I387" s="97"/>
      <c r="J387" s="97"/>
      <c r="K387" s="97"/>
      <c r="L387" s="97"/>
      <c r="M387" s="97"/>
      <c r="N387" s="97"/>
      <c r="O387" s="97"/>
      <c r="P387" s="97"/>
      <c r="Q387" s="97"/>
      <c r="R387" s="97"/>
      <c r="S387" s="97"/>
      <c r="T387" s="97"/>
      <c r="U387" s="97"/>
      <c r="V387" s="97"/>
      <c r="W387" s="97"/>
      <c r="X387" s="97"/>
      <c r="Y387" s="97"/>
      <c r="Z387" s="97"/>
    </row>
    <row r="388" spans="1:26">
      <c r="A388" s="116"/>
      <c r="D388" s="92"/>
      <c r="E388" s="112"/>
      <c r="F388" s="97"/>
      <c r="G388" s="97"/>
      <c r="H388" s="97"/>
      <c r="I388" s="97"/>
      <c r="J388" s="97"/>
      <c r="K388" s="97"/>
      <c r="L388" s="97"/>
      <c r="M388" s="97"/>
      <c r="N388" s="97"/>
      <c r="O388" s="97"/>
      <c r="P388" s="97"/>
      <c r="Q388" s="97"/>
      <c r="R388" s="97"/>
      <c r="S388" s="97"/>
      <c r="T388" s="97"/>
      <c r="U388" s="97"/>
      <c r="V388" s="97"/>
      <c r="W388" s="97"/>
      <c r="X388" s="97"/>
      <c r="Y388" s="97"/>
      <c r="Z388" s="97"/>
    </row>
    <row r="389" spans="1:26">
      <c r="A389" s="116"/>
      <c r="D389" s="92"/>
      <c r="E389" s="112"/>
      <c r="F389" s="97"/>
      <c r="G389" s="97"/>
      <c r="H389" s="97"/>
      <c r="I389" s="97"/>
      <c r="J389" s="97"/>
      <c r="K389" s="97"/>
      <c r="L389" s="97"/>
      <c r="M389" s="97"/>
      <c r="N389" s="97"/>
      <c r="O389" s="97"/>
      <c r="P389" s="97"/>
      <c r="Q389" s="97"/>
      <c r="R389" s="97"/>
      <c r="S389" s="97"/>
      <c r="T389" s="97"/>
      <c r="U389" s="97"/>
      <c r="V389" s="97"/>
      <c r="W389" s="97"/>
      <c r="X389" s="97"/>
      <c r="Y389" s="97"/>
      <c r="Z389" s="97"/>
    </row>
    <row r="390" spans="1:26">
      <c r="A390" s="116"/>
      <c r="D390" s="92"/>
      <c r="E390" s="112"/>
      <c r="F390" s="97"/>
      <c r="G390" s="97"/>
      <c r="H390" s="97"/>
      <c r="I390" s="97"/>
      <c r="J390" s="97"/>
      <c r="K390" s="97"/>
      <c r="L390" s="97"/>
      <c r="M390" s="97"/>
      <c r="N390" s="97"/>
      <c r="O390" s="97"/>
      <c r="P390" s="97"/>
      <c r="Q390" s="97"/>
      <c r="R390" s="97"/>
      <c r="S390" s="97"/>
      <c r="T390" s="97"/>
      <c r="U390" s="97"/>
      <c r="V390" s="97"/>
      <c r="W390" s="97"/>
      <c r="X390" s="97"/>
      <c r="Y390" s="97"/>
      <c r="Z390" s="97"/>
    </row>
    <row r="391" spans="1:26">
      <c r="A391" s="116"/>
      <c r="D391" s="92"/>
      <c r="E391" s="112"/>
      <c r="F391" s="97"/>
      <c r="G391" s="97"/>
      <c r="H391" s="97"/>
      <c r="I391" s="97"/>
      <c r="J391" s="97"/>
      <c r="K391" s="97"/>
      <c r="L391" s="97"/>
      <c r="M391" s="97"/>
      <c r="N391" s="97"/>
      <c r="O391" s="97"/>
      <c r="P391" s="97"/>
      <c r="Q391" s="97"/>
      <c r="R391" s="97"/>
      <c r="S391" s="97"/>
      <c r="T391" s="97"/>
      <c r="U391" s="97"/>
      <c r="V391" s="97"/>
      <c r="W391" s="97"/>
      <c r="X391" s="97"/>
      <c r="Y391" s="97"/>
      <c r="Z391" s="97"/>
    </row>
    <row r="392" spans="1:26">
      <c r="A392" s="116"/>
      <c r="D392" s="92"/>
      <c r="E392" s="112"/>
      <c r="F392" s="97"/>
      <c r="G392" s="97"/>
      <c r="H392" s="97"/>
      <c r="I392" s="97"/>
      <c r="J392" s="97"/>
      <c r="K392" s="97"/>
      <c r="L392" s="97"/>
      <c r="M392" s="97"/>
      <c r="N392" s="97"/>
      <c r="O392" s="97"/>
      <c r="P392" s="97"/>
      <c r="Q392" s="97"/>
      <c r="R392" s="97"/>
      <c r="S392" s="97"/>
      <c r="T392" s="97"/>
      <c r="U392" s="97"/>
      <c r="V392" s="97"/>
      <c r="W392" s="97"/>
      <c r="X392" s="97"/>
      <c r="Y392" s="97"/>
      <c r="Z392" s="97"/>
    </row>
    <row r="393" spans="1:26">
      <c r="A393" s="116"/>
      <c r="D393" s="92"/>
      <c r="E393" s="112"/>
      <c r="F393" s="97"/>
      <c r="G393" s="97"/>
      <c r="H393" s="97"/>
      <c r="I393" s="97"/>
      <c r="J393" s="97"/>
      <c r="K393" s="97"/>
      <c r="L393" s="97"/>
      <c r="M393" s="97"/>
      <c r="N393" s="97"/>
      <c r="O393" s="97"/>
      <c r="P393" s="97"/>
      <c r="Q393" s="97"/>
      <c r="R393" s="97"/>
      <c r="S393" s="97"/>
      <c r="T393" s="97"/>
      <c r="U393" s="97"/>
      <c r="V393" s="97"/>
      <c r="W393" s="97"/>
      <c r="X393" s="97"/>
      <c r="Y393" s="97"/>
      <c r="Z393" s="97"/>
    </row>
    <row r="394" spans="1:26">
      <c r="A394" s="116"/>
      <c r="D394" s="92"/>
      <c r="E394" s="112"/>
      <c r="F394" s="97"/>
      <c r="G394" s="97"/>
      <c r="H394" s="97"/>
      <c r="I394" s="97"/>
      <c r="J394" s="97"/>
      <c r="K394" s="97"/>
      <c r="L394" s="97"/>
      <c r="M394" s="97"/>
      <c r="N394" s="97"/>
      <c r="O394" s="97"/>
      <c r="P394" s="97"/>
      <c r="Q394" s="97"/>
      <c r="R394" s="97"/>
      <c r="S394" s="97"/>
      <c r="T394" s="97"/>
      <c r="U394" s="97"/>
      <c r="V394" s="97"/>
      <c r="W394" s="97"/>
      <c r="X394" s="97"/>
      <c r="Y394" s="97"/>
      <c r="Z394" s="97"/>
    </row>
    <row r="395" spans="1:26">
      <c r="A395" s="116"/>
      <c r="D395" s="92"/>
      <c r="E395" s="112"/>
      <c r="F395" s="97"/>
      <c r="G395" s="97"/>
      <c r="H395" s="97"/>
      <c r="I395" s="97"/>
      <c r="J395" s="97"/>
      <c r="K395" s="97"/>
      <c r="L395" s="97"/>
      <c r="M395" s="97"/>
      <c r="N395" s="97"/>
      <c r="O395" s="97"/>
      <c r="P395" s="97"/>
      <c r="Q395" s="97"/>
      <c r="R395" s="97"/>
      <c r="S395" s="97"/>
      <c r="T395" s="97"/>
      <c r="U395" s="97"/>
      <c r="V395" s="97"/>
      <c r="W395" s="97"/>
      <c r="X395" s="97"/>
      <c r="Y395" s="97"/>
      <c r="Z395" s="97"/>
    </row>
    <row r="396" spans="1:26">
      <c r="A396" s="116"/>
      <c r="D396" s="92"/>
      <c r="E396" s="112"/>
      <c r="F396" s="97"/>
      <c r="G396" s="97"/>
      <c r="H396" s="97"/>
      <c r="I396" s="97"/>
      <c r="J396" s="97"/>
      <c r="K396" s="97"/>
      <c r="L396" s="97"/>
      <c r="M396" s="97"/>
      <c r="N396" s="97"/>
      <c r="O396" s="97"/>
      <c r="P396" s="97"/>
      <c r="Q396" s="97"/>
      <c r="R396" s="97"/>
      <c r="S396" s="97"/>
      <c r="T396" s="97"/>
      <c r="U396" s="97"/>
      <c r="V396" s="97"/>
      <c r="W396" s="97"/>
      <c r="X396" s="97"/>
      <c r="Y396" s="97"/>
      <c r="Z396" s="97"/>
    </row>
    <row r="397" spans="1:26">
      <c r="A397" s="116"/>
      <c r="D397" s="92"/>
      <c r="E397" s="112"/>
      <c r="F397" s="97"/>
      <c r="G397" s="97"/>
      <c r="H397" s="97"/>
      <c r="I397" s="97"/>
      <c r="J397" s="97"/>
      <c r="K397" s="97"/>
      <c r="L397" s="97"/>
      <c r="M397" s="97"/>
      <c r="N397" s="97"/>
      <c r="O397" s="97"/>
      <c r="P397" s="97"/>
      <c r="Q397" s="97"/>
      <c r="R397" s="97"/>
      <c r="S397" s="97"/>
      <c r="T397" s="97"/>
      <c r="U397" s="97"/>
      <c r="V397" s="97"/>
      <c r="W397" s="97"/>
      <c r="X397" s="97"/>
      <c r="Y397" s="97"/>
      <c r="Z397" s="97"/>
    </row>
    <row r="398" spans="1:26">
      <c r="A398" s="116"/>
      <c r="D398" s="92"/>
      <c r="E398" s="112"/>
      <c r="F398" s="97"/>
      <c r="G398" s="97"/>
      <c r="H398" s="97"/>
      <c r="I398" s="97"/>
      <c r="J398" s="97"/>
      <c r="K398" s="97"/>
      <c r="L398" s="97"/>
      <c r="M398" s="97"/>
      <c r="N398" s="97"/>
      <c r="O398" s="97"/>
      <c r="P398" s="97"/>
      <c r="Q398" s="97"/>
      <c r="R398" s="97"/>
      <c r="S398" s="97"/>
      <c r="T398" s="97"/>
      <c r="U398" s="97"/>
      <c r="V398" s="97"/>
      <c r="W398" s="97"/>
      <c r="X398" s="97"/>
      <c r="Y398" s="97"/>
      <c r="Z398" s="97"/>
    </row>
    <row r="399" spans="1:26">
      <c r="A399" s="116"/>
      <c r="D399" s="92"/>
      <c r="E399" s="112"/>
      <c r="F399" s="97"/>
      <c r="G399" s="97"/>
      <c r="H399" s="97"/>
      <c r="I399" s="97"/>
      <c r="J399" s="97"/>
      <c r="K399" s="97"/>
      <c r="L399" s="97"/>
      <c r="M399" s="97"/>
      <c r="N399" s="97"/>
      <c r="O399" s="97"/>
      <c r="P399" s="97"/>
      <c r="Q399" s="97"/>
      <c r="R399" s="97"/>
      <c r="S399" s="97"/>
      <c r="T399" s="97"/>
      <c r="U399" s="97"/>
      <c r="V399" s="97"/>
      <c r="W399" s="97"/>
      <c r="X399" s="97"/>
      <c r="Y399" s="97"/>
      <c r="Z399" s="97"/>
    </row>
    <row r="400" spans="1:26">
      <c r="A400" s="116"/>
      <c r="D400" s="92"/>
      <c r="E400" s="112"/>
      <c r="F400" s="97"/>
      <c r="G400" s="97"/>
      <c r="H400" s="97"/>
      <c r="I400" s="97"/>
      <c r="J400" s="97"/>
      <c r="K400" s="97"/>
      <c r="L400" s="97"/>
      <c r="M400" s="97"/>
      <c r="N400" s="97"/>
      <c r="O400" s="97"/>
      <c r="P400" s="97"/>
      <c r="Q400" s="97"/>
      <c r="R400" s="97"/>
      <c r="S400" s="97"/>
      <c r="T400" s="97"/>
      <c r="U400" s="97"/>
      <c r="V400" s="97"/>
      <c r="W400" s="97"/>
      <c r="X400" s="97"/>
      <c r="Y400" s="97"/>
      <c r="Z400" s="97"/>
    </row>
    <row r="401" spans="1:26">
      <c r="A401" s="116"/>
      <c r="D401" s="92"/>
      <c r="E401" s="112"/>
      <c r="F401" s="97"/>
      <c r="G401" s="97"/>
      <c r="H401" s="97"/>
      <c r="I401" s="97"/>
      <c r="J401" s="97"/>
      <c r="K401" s="97"/>
      <c r="L401" s="97"/>
      <c r="M401" s="97"/>
      <c r="N401" s="97"/>
      <c r="O401" s="97"/>
      <c r="P401" s="97"/>
      <c r="Q401" s="97"/>
      <c r="R401" s="97"/>
      <c r="S401" s="97"/>
      <c r="T401" s="97"/>
      <c r="U401" s="97"/>
      <c r="V401" s="97"/>
      <c r="W401" s="97"/>
      <c r="X401" s="97"/>
      <c r="Y401" s="97"/>
      <c r="Z401" s="97"/>
    </row>
    <row r="402" spans="1:26">
      <c r="A402" s="116"/>
      <c r="D402" s="92"/>
      <c r="E402" s="112"/>
      <c r="F402" s="97"/>
      <c r="G402" s="97"/>
      <c r="H402" s="97"/>
      <c r="I402" s="97"/>
      <c r="J402" s="97"/>
      <c r="K402" s="97"/>
      <c r="L402" s="97"/>
      <c r="M402" s="97"/>
      <c r="N402" s="97"/>
      <c r="O402" s="97"/>
      <c r="P402" s="97"/>
      <c r="Q402" s="97"/>
      <c r="R402" s="97"/>
      <c r="S402" s="97"/>
      <c r="T402" s="97"/>
      <c r="U402" s="97"/>
      <c r="V402" s="97"/>
      <c r="W402" s="97"/>
      <c r="X402" s="97"/>
      <c r="Y402" s="97"/>
      <c r="Z402" s="97"/>
    </row>
    <row r="403" spans="1:26">
      <c r="A403" s="116"/>
      <c r="D403" s="92"/>
      <c r="E403" s="112"/>
      <c r="F403" s="97"/>
      <c r="G403" s="97"/>
      <c r="H403" s="97"/>
      <c r="I403" s="97"/>
      <c r="J403" s="97"/>
      <c r="K403" s="97"/>
      <c r="L403" s="97"/>
      <c r="M403" s="97"/>
      <c r="N403" s="97"/>
      <c r="O403" s="97"/>
      <c r="P403" s="97"/>
      <c r="Q403" s="97"/>
      <c r="R403" s="97"/>
      <c r="S403" s="97"/>
      <c r="T403" s="97"/>
      <c r="U403" s="97"/>
      <c r="V403" s="97"/>
      <c r="W403" s="97"/>
      <c r="X403" s="97"/>
      <c r="Y403" s="97"/>
      <c r="Z403" s="97"/>
    </row>
    <row r="404" spans="1:26">
      <c r="A404" s="116"/>
      <c r="D404" s="92"/>
      <c r="E404" s="112"/>
      <c r="F404" s="97"/>
      <c r="G404" s="97"/>
      <c r="H404" s="97"/>
      <c r="I404" s="97"/>
      <c r="J404" s="97"/>
      <c r="K404" s="97"/>
      <c r="L404" s="97"/>
      <c r="M404" s="97"/>
      <c r="N404" s="97"/>
      <c r="O404" s="97"/>
      <c r="P404" s="97"/>
      <c r="Q404" s="97"/>
      <c r="R404" s="97"/>
      <c r="S404" s="97"/>
      <c r="T404" s="97"/>
      <c r="U404" s="97"/>
      <c r="V404" s="97"/>
      <c r="W404" s="97"/>
      <c r="X404" s="97"/>
      <c r="Y404" s="97"/>
      <c r="Z404" s="97"/>
    </row>
    <row r="405" spans="1:26">
      <c r="A405" s="116"/>
      <c r="D405" s="92"/>
      <c r="E405" s="112"/>
      <c r="F405" s="97"/>
      <c r="G405" s="97"/>
      <c r="H405" s="97"/>
      <c r="I405" s="97"/>
      <c r="J405" s="97"/>
      <c r="K405" s="97"/>
      <c r="L405" s="97"/>
      <c r="M405" s="97"/>
      <c r="N405" s="97"/>
      <c r="O405" s="97"/>
      <c r="P405" s="97"/>
      <c r="Q405" s="97"/>
      <c r="R405" s="97"/>
      <c r="S405" s="97"/>
      <c r="T405" s="97"/>
      <c r="U405" s="97"/>
      <c r="V405" s="97"/>
      <c r="W405" s="97"/>
      <c r="X405" s="97"/>
      <c r="Y405" s="97"/>
      <c r="Z405" s="97"/>
    </row>
    <row r="406" spans="1:26">
      <c r="A406" s="116"/>
      <c r="D406" s="92"/>
      <c r="E406" s="112"/>
      <c r="F406" s="97"/>
      <c r="G406" s="97"/>
      <c r="H406" s="97"/>
      <c r="I406" s="97"/>
      <c r="J406" s="97"/>
      <c r="K406" s="97"/>
      <c r="L406" s="97"/>
      <c r="M406" s="97"/>
      <c r="N406" s="97"/>
      <c r="O406" s="97"/>
      <c r="P406" s="97"/>
      <c r="Q406" s="97"/>
      <c r="R406" s="97"/>
      <c r="S406" s="97"/>
      <c r="T406" s="97"/>
      <c r="U406" s="97"/>
      <c r="V406" s="97"/>
      <c r="W406" s="97"/>
      <c r="X406" s="97"/>
      <c r="Y406" s="97"/>
      <c r="Z406" s="97"/>
    </row>
    <row r="407" spans="1:26">
      <c r="A407" s="116"/>
      <c r="D407" s="92"/>
      <c r="E407" s="112"/>
      <c r="F407" s="97"/>
      <c r="G407" s="97"/>
      <c r="H407" s="97"/>
      <c r="I407" s="97"/>
      <c r="J407" s="97"/>
      <c r="K407" s="97"/>
      <c r="L407" s="97"/>
      <c r="M407" s="97"/>
      <c r="N407" s="97"/>
      <c r="O407" s="97"/>
      <c r="P407" s="97"/>
      <c r="Q407" s="97"/>
      <c r="R407" s="97"/>
      <c r="S407" s="97"/>
      <c r="T407" s="97"/>
      <c r="U407" s="97"/>
      <c r="V407" s="97"/>
      <c r="W407" s="97"/>
      <c r="X407" s="97"/>
      <c r="Y407" s="97"/>
      <c r="Z407" s="97"/>
    </row>
    <row r="408" spans="1:26">
      <c r="A408" s="116"/>
      <c r="D408" s="92"/>
      <c r="E408" s="112"/>
      <c r="F408" s="97"/>
      <c r="G408" s="97"/>
      <c r="H408" s="97"/>
      <c r="I408" s="97"/>
      <c r="J408" s="97"/>
      <c r="K408" s="97"/>
      <c r="L408" s="97"/>
      <c r="M408" s="97"/>
      <c r="N408" s="97"/>
      <c r="O408" s="97"/>
      <c r="P408" s="97"/>
      <c r="Q408" s="97"/>
      <c r="R408" s="97"/>
      <c r="S408" s="97"/>
      <c r="T408" s="97"/>
      <c r="U408" s="97"/>
      <c r="V408" s="97"/>
      <c r="W408" s="97"/>
      <c r="X408" s="97"/>
      <c r="Y408" s="97"/>
      <c r="Z408" s="97"/>
    </row>
    <row r="409" spans="1:26">
      <c r="A409" s="116"/>
      <c r="D409" s="92"/>
      <c r="E409" s="112"/>
      <c r="F409" s="97"/>
      <c r="G409" s="97"/>
      <c r="H409" s="97"/>
      <c r="I409" s="97"/>
      <c r="J409" s="97"/>
      <c r="K409" s="97"/>
      <c r="L409" s="97"/>
      <c r="M409" s="97"/>
      <c r="N409" s="97"/>
      <c r="O409" s="97"/>
      <c r="P409" s="97"/>
      <c r="Q409" s="97"/>
      <c r="R409" s="97"/>
      <c r="S409" s="97"/>
      <c r="T409" s="97"/>
      <c r="U409" s="97"/>
      <c r="V409" s="97"/>
      <c r="W409" s="97"/>
      <c r="X409" s="97"/>
      <c r="Y409" s="97"/>
      <c r="Z409" s="97"/>
    </row>
    <row r="410" spans="1:26">
      <c r="A410" s="116"/>
      <c r="D410" s="92"/>
      <c r="E410" s="112"/>
      <c r="F410" s="97"/>
      <c r="G410" s="97"/>
      <c r="H410" s="97"/>
      <c r="I410" s="97"/>
      <c r="J410" s="97"/>
      <c r="K410" s="97"/>
      <c r="L410" s="97"/>
      <c r="M410" s="97"/>
      <c r="N410" s="97"/>
      <c r="O410" s="97"/>
      <c r="P410" s="97"/>
      <c r="Q410" s="97"/>
      <c r="R410" s="97"/>
      <c r="S410" s="97"/>
      <c r="T410" s="97"/>
      <c r="U410" s="97"/>
      <c r="V410" s="97"/>
      <c r="W410" s="97"/>
      <c r="X410" s="97"/>
      <c r="Y410" s="97"/>
      <c r="Z410" s="97"/>
    </row>
    <row r="411" spans="1:26">
      <c r="A411" s="116"/>
      <c r="D411" s="92"/>
      <c r="E411" s="112"/>
      <c r="F411" s="97"/>
      <c r="G411" s="97"/>
      <c r="H411" s="97"/>
      <c r="I411" s="97"/>
      <c r="J411" s="97"/>
      <c r="K411" s="97"/>
      <c r="L411" s="97"/>
      <c r="M411" s="97"/>
      <c r="N411" s="97"/>
      <c r="O411" s="97"/>
      <c r="P411" s="97"/>
      <c r="Q411" s="97"/>
      <c r="R411" s="97"/>
      <c r="S411" s="97"/>
      <c r="T411" s="97"/>
      <c r="U411" s="97"/>
      <c r="V411" s="97"/>
      <c r="W411" s="97"/>
      <c r="X411" s="97"/>
      <c r="Y411" s="97"/>
      <c r="Z411" s="97"/>
    </row>
    <row r="412" spans="1:26">
      <c r="A412" s="116"/>
      <c r="D412" s="92"/>
      <c r="E412" s="112"/>
      <c r="F412" s="97"/>
      <c r="G412" s="97"/>
      <c r="H412" s="97"/>
      <c r="I412" s="97"/>
      <c r="J412" s="97"/>
      <c r="K412" s="97"/>
      <c r="L412" s="97"/>
      <c r="M412" s="97"/>
      <c r="N412" s="97"/>
      <c r="O412" s="97"/>
      <c r="P412" s="97"/>
      <c r="Q412" s="97"/>
      <c r="R412" s="97"/>
      <c r="S412" s="97"/>
      <c r="T412" s="97"/>
      <c r="U412" s="97"/>
      <c r="V412" s="97"/>
      <c r="W412" s="97"/>
      <c r="X412" s="97"/>
      <c r="Y412" s="97"/>
      <c r="Z412" s="97"/>
    </row>
    <row r="413" spans="1:26">
      <c r="A413" s="116"/>
      <c r="D413" s="92"/>
      <c r="E413" s="112"/>
      <c r="F413" s="97"/>
      <c r="G413" s="97"/>
      <c r="H413" s="97"/>
      <c r="I413" s="97"/>
      <c r="J413" s="97"/>
      <c r="K413" s="97"/>
      <c r="L413" s="97"/>
      <c r="M413" s="97"/>
      <c r="N413" s="97"/>
      <c r="O413" s="97"/>
      <c r="P413" s="97"/>
      <c r="Q413" s="97"/>
      <c r="R413" s="97"/>
      <c r="S413" s="97"/>
      <c r="T413" s="97"/>
      <c r="U413" s="97"/>
      <c r="V413" s="97"/>
      <c r="W413" s="97"/>
      <c r="X413" s="97"/>
      <c r="Y413" s="97"/>
      <c r="Z413" s="97"/>
    </row>
    <row r="414" spans="1:26">
      <c r="A414" s="116"/>
      <c r="D414" s="92"/>
      <c r="E414" s="112"/>
      <c r="F414" s="97"/>
      <c r="G414" s="97"/>
      <c r="H414" s="97"/>
      <c r="I414" s="97"/>
      <c r="J414" s="97"/>
      <c r="K414" s="97"/>
      <c r="L414" s="97"/>
      <c r="M414" s="97"/>
      <c r="N414" s="97"/>
      <c r="O414" s="97"/>
      <c r="P414" s="97"/>
      <c r="Q414" s="97"/>
      <c r="R414" s="97"/>
      <c r="S414" s="97"/>
      <c r="T414" s="97"/>
      <c r="U414" s="97"/>
      <c r="V414" s="97"/>
      <c r="W414" s="97"/>
      <c r="X414" s="97"/>
      <c r="Y414" s="97"/>
      <c r="Z414" s="97"/>
    </row>
    <row r="415" spans="1:26">
      <c r="A415" s="116"/>
      <c r="D415" s="92"/>
      <c r="E415" s="112"/>
      <c r="F415" s="97"/>
      <c r="G415" s="97"/>
      <c r="H415" s="97"/>
      <c r="I415" s="97"/>
      <c r="J415" s="97"/>
      <c r="K415" s="97"/>
      <c r="L415" s="97"/>
      <c r="M415" s="97"/>
      <c r="N415" s="97"/>
      <c r="O415" s="97"/>
      <c r="P415" s="97"/>
      <c r="Q415" s="97"/>
      <c r="R415" s="97"/>
      <c r="S415" s="97"/>
      <c r="T415" s="97"/>
      <c r="U415" s="97"/>
      <c r="V415" s="97"/>
      <c r="W415" s="97"/>
      <c r="X415" s="97"/>
      <c r="Y415" s="97"/>
      <c r="Z415" s="97"/>
    </row>
    <row r="416" spans="1:26">
      <c r="A416" s="116"/>
      <c r="D416" s="92"/>
      <c r="E416" s="112"/>
      <c r="F416" s="97"/>
      <c r="G416" s="97"/>
      <c r="H416" s="97"/>
      <c r="I416" s="97"/>
      <c r="J416" s="97"/>
      <c r="K416" s="97"/>
      <c r="L416" s="97"/>
      <c r="M416" s="97"/>
      <c r="N416" s="97"/>
      <c r="O416" s="97"/>
      <c r="P416" s="97"/>
      <c r="Q416" s="97"/>
      <c r="R416" s="97"/>
      <c r="S416" s="97"/>
      <c r="T416" s="97"/>
      <c r="U416" s="97"/>
      <c r="V416" s="97"/>
      <c r="W416" s="97"/>
      <c r="X416" s="97"/>
      <c r="Y416" s="97"/>
      <c r="Z416" s="97"/>
    </row>
    <row r="417" spans="1:26">
      <c r="A417" s="116"/>
      <c r="D417" s="92"/>
      <c r="E417" s="112"/>
      <c r="F417" s="97"/>
      <c r="G417" s="97"/>
      <c r="H417" s="97"/>
      <c r="I417" s="97"/>
      <c r="J417" s="97"/>
      <c r="K417" s="97"/>
      <c r="L417" s="97"/>
      <c r="M417" s="97"/>
      <c r="N417" s="97"/>
      <c r="O417" s="97"/>
      <c r="P417" s="97"/>
      <c r="Q417" s="97"/>
      <c r="R417" s="97"/>
      <c r="S417" s="97"/>
      <c r="T417" s="97"/>
      <c r="U417" s="97"/>
      <c r="V417" s="97"/>
      <c r="W417" s="97"/>
      <c r="X417" s="97"/>
      <c r="Y417" s="97"/>
      <c r="Z417" s="97"/>
    </row>
    <row r="418" spans="1:26">
      <c r="A418" s="116"/>
      <c r="D418" s="92"/>
      <c r="E418" s="112"/>
      <c r="F418" s="97"/>
      <c r="G418" s="97"/>
      <c r="H418" s="97"/>
      <c r="I418" s="97"/>
      <c r="J418" s="97"/>
      <c r="K418" s="97"/>
      <c r="L418" s="97"/>
      <c r="M418" s="97"/>
      <c r="N418" s="97"/>
      <c r="O418" s="97"/>
      <c r="P418" s="97"/>
      <c r="Q418" s="97"/>
      <c r="R418" s="97"/>
      <c r="S418" s="97"/>
      <c r="T418" s="97"/>
      <c r="U418" s="97"/>
      <c r="V418" s="97"/>
      <c r="W418" s="97"/>
      <c r="X418" s="97"/>
      <c r="Y418" s="97"/>
      <c r="Z418" s="97"/>
    </row>
    <row r="419" spans="1:26">
      <c r="A419" s="116"/>
      <c r="D419" s="92"/>
      <c r="E419" s="112"/>
      <c r="F419" s="97"/>
      <c r="G419" s="97"/>
      <c r="H419" s="97"/>
      <c r="I419" s="97"/>
      <c r="J419" s="97"/>
      <c r="K419" s="97"/>
      <c r="L419" s="97"/>
      <c r="M419" s="97"/>
      <c r="N419" s="97"/>
      <c r="O419" s="97"/>
      <c r="P419" s="97"/>
      <c r="Q419" s="97"/>
      <c r="R419" s="97"/>
      <c r="S419" s="97"/>
      <c r="T419" s="97"/>
      <c r="U419" s="97"/>
      <c r="V419" s="97"/>
      <c r="W419" s="97"/>
      <c r="X419" s="97"/>
      <c r="Y419" s="97"/>
      <c r="Z419" s="97"/>
    </row>
    <row r="420" spans="1:26">
      <c r="A420" s="116"/>
      <c r="D420" s="92"/>
      <c r="E420" s="112"/>
      <c r="F420" s="97"/>
      <c r="G420" s="97"/>
      <c r="H420" s="97"/>
      <c r="I420" s="97"/>
      <c r="J420" s="97"/>
      <c r="K420" s="97"/>
      <c r="L420" s="97"/>
      <c r="M420" s="97"/>
      <c r="N420" s="97"/>
      <c r="O420" s="97"/>
      <c r="P420" s="97"/>
      <c r="Q420" s="97"/>
      <c r="R420" s="97"/>
      <c r="S420" s="97"/>
      <c r="T420" s="97"/>
      <c r="U420" s="97"/>
      <c r="V420" s="97"/>
      <c r="W420" s="97"/>
      <c r="X420" s="97"/>
      <c r="Y420" s="97"/>
      <c r="Z420" s="97"/>
    </row>
    <row r="421" spans="1:26">
      <c r="A421" s="116"/>
      <c r="D421" s="92"/>
      <c r="E421" s="112"/>
      <c r="F421" s="97"/>
      <c r="G421" s="97"/>
      <c r="H421" s="97"/>
      <c r="I421" s="97"/>
      <c r="J421" s="97"/>
      <c r="K421" s="97"/>
      <c r="L421" s="97"/>
      <c r="M421" s="97"/>
      <c r="N421" s="97"/>
      <c r="O421" s="97"/>
      <c r="P421" s="97"/>
      <c r="Q421" s="97"/>
      <c r="R421" s="97"/>
      <c r="S421" s="97"/>
      <c r="T421" s="97"/>
      <c r="U421" s="97"/>
      <c r="V421" s="97"/>
      <c r="W421" s="97"/>
      <c r="X421" s="97"/>
      <c r="Y421" s="97"/>
      <c r="Z421" s="97"/>
    </row>
    <row r="422" spans="1:26">
      <c r="A422" s="116"/>
      <c r="D422" s="92"/>
      <c r="E422" s="112"/>
      <c r="F422" s="97"/>
      <c r="G422" s="97"/>
      <c r="H422" s="97"/>
      <c r="I422" s="97"/>
      <c r="J422" s="97"/>
      <c r="K422" s="97"/>
      <c r="L422" s="97"/>
      <c r="M422" s="97"/>
      <c r="N422" s="97"/>
      <c r="O422" s="97"/>
      <c r="P422" s="97"/>
      <c r="Q422" s="97"/>
      <c r="R422" s="97"/>
      <c r="S422" s="97"/>
      <c r="T422" s="97"/>
      <c r="U422" s="97"/>
      <c r="V422" s="97"/>
      <c r="W422" s="97"/>
      <c r="X422" s="97"/>
      <c r="Y422" s="97"/>
      <c r="Z422" s="97"/>
    </row>
    <row r="423" spans="1:26">
      <c r="A423" s="116"/>
      <c r="D423" s="92"/>
      <c r="E423" s="112"/>
      <c r="F423" s="97"/>
      <c r="G423" s="97"/>
      <c r="H423" s="97"/>
      <c r="I423" s="97"/>
      <c r="J423" s="97"/>
      <c r="K423" s="97"/>
      <c r="L423" s="97"/>
      <c r="M423" s="97"/>
      <c r="N423" s="97"/>
      <c r="O423" s="97"/>
      <c r="P423" s="97"/>
      <c r="Q423" s="97"/>
      <c r="R423" s="97"/>
      <c r="S423" s="97"/>
      <c r="T423" s="97"/>
      <c r="U423" s="97"/>
      <c r="V423" s="97"/>
      <c r="W423" s="97"/>
      <c r="X423" s="97"/>
      <c r="Y423" s="97"/>
      <c r="Z423" s="97"/>
    </row>
    <row r="424" spans="1:26">
      <c r="A424" s="116"/>
      <c r="D424" s="92"/>
      <c r="E424" s="112"/>
      <c r="F424" s="97"/>
      <c r="G424" s="97"/>
      <c r="H424" s="97"/>
      <c r="I424" s="97"/>
      <c r="J424" s="97"/>
      <c r="K424" s="97"/>
      <c r="L424" s="97"/>
      <c r="M424" s="97"/>
      <c r="N424" s="97"/>
      <c r="O424" s="97"/>
      <c r="P424" s="97"/>
      <c r="Q424" s="97"/>
      <c r="R424" s="97"/>
      <c r="S424" s="97"/>
      <c r="T424" s="97"/>
      <c r="U424" s="97"/>
      <c r="V424" s="97"/>
      <c r="W424" s="97"/>
      <c r="X424" s="97"/>
      <c r="Y424" s="97"/>
      <c r="Z424" s="97"/>
    </row>
    <row r="425" spans="1:26">
      <c r="A425" s="116"/>
      <c r="D425" s="92"/>
      <c r="E425" s="112"/>
      <c r="F425" s="97"/>
      <c r="G425" s="97"/>
      <c r="H425" s="97"/>
      <c r="I425" s="97"/>
      <c r="J425" s="97"/>
      <c r="K425" s="97"/>
      <c r="L425" s="97"/>
      <c r="M425" s="97"/>
      <c r="N425" s="97"/>
      <c r="O425" s="97"/>
      <c r="P425" s="97"/>
      <c r="Q425" s="97"/>
      <c r="R425" s="97"/>
      <c r="S425" s="97"/>
      <c r="T425" s="97"/>
      <c r="U425" s="97"/>
      <c r="V425" s="97"/>
      <c r="W425" s="97"/>
      <c r="X425" s="97"/>
      <c r="Y425" s="97"/>
      <c r="Z425" s="97"/>
    </row>
    <row r="426" spans="1:26">
      <c r="A426" s="116"/>
      <c r="D426" s="92"/>
      <c r="E426" s="112"/>
      <c r="F426" s="97"/>
      <c r="G426" s="97"/>
      <c r="H426" s="97"/>
      <c r="I426" s="97"/>
      <c r="J426" s="97"/>
      <c r="K426" s="97"/>
      <c r="L426" s="97"/>
      <c r="M426" s="97"/>
      <c r="N426" s="97"/>
      <c r="O426" s="97"/>
      <c r="P426" s="97"/>
      <c r="Q426" s="97"/>
      <c r="R426" s="97"/>
      <c r="S426" s="97"/>
      <c r="T426" s="97"/>
      <c r="U426" s="97"/>
      <c r="V426" s="97"/>
      <c r="W426" s="97"/>
      <c r="X426" s="97"/>
      <c r="Y426" s="97"/>
      <c r="Z426" s="97"/>
    </row>
    <row r="427" spans="1:26">
      <c r="A427" s="116"/>
      <c r="D427" s="92"/>
      <c r="E427" s="112"/>
      <c r="F427" s="97"/>
      <c r="G427" s="97"/>
      <c r="H427" s="97"/>
      <c r="I427" s="97"/>
      <c r="J427" s="97"/>
      <c r="K427" s="97"/>
      <c r="L427" s="97"/>
      <c r="M427" s="97"/>
      <c r="N427" s="97"/>
      <c r="O427" s="97"/>
      <c r="P427" s="97"/>
      <c r="Q427" s="97"/>
      <c r="R427" s="97"/>
      <c r="S427" s="97"/>
      <c r="T427" s="97"/>
      <c r="U427" s="97"/>
      <c r="V427" s="97"/>
      <c r="W427" s="97"/>
      <c r="X427" s="97"/>
      <c r="Y427" s="97"/>
      <c r="Z427" s="97"/>
    </row>
    <row r="428" spans="1:26">
      <c r="A428" s="116"/>
      <c r="D428" s="92"/>
      <c r="E428" s="112"/>
      <c r="F428" s="97"/>
      <c r="G428" s="97"/>
      <c r="H428" s="97"/>
      <c r="I428" s="97"/>
      <c r="J428" s="97"/>
      <c r="K428" s="97"/>
      <c r="L428" s="97"/>
      <c r="M428" s="97"/>
      <c r="N428" s="97"/>
      <c r="O428" s="97"/>
      <c r="P428" s="97"/>
      <c r="Q428" s="97"/>
      <c r="R428" s="97"/>
      <c r="S428" s="97"/>
      <c r="T428" s="97"/>
      <c r="U428" s="97"/>
      <c r="V428" s="97"/>
      <c r="W428" s="97"/>
      <c r="X428" s="97"/>
      <c r="Y428" s="97"/>
      <c r="Z428" s="97"/>
    </row>
    <row r="429" spans="1:26">
      <c r="A429" s="116"/>
      <c r="D429" s="92"/>
      <c r="E429" s="112"/>
      <c r="F429" s="97"/>
      <c r="G429" s="97"/>
      <c r="H429" s="97"/>
      <c r="I429" s="97"/>
      <c r="J429" s="97"/>
      <c r="K429" s="97"/>
      <c r="L429" s="97"/>
      <c r="M429" s="97"/>
      <c r="N429" s="97"/>
      <c r="O429" s="97"/>
      <c r="P429" s="97"/>
      <c r="Q429" s="97"/>
      <c r="R429" s="97"/>
      <c r="S429" s="97"/>
      <c r="T429" s="97"/>
      <c r="U429" s="97"/>
      <c r="V429" s="97"/>
      <c r="W429" s="97"/>
      <c r="X429" s="97"/>
      <c r="Y429" s="97"/>
      <c r="Z429" s="97"/>
    </row>
    <row r="430" spans="1:26">
      <c r="A430" s="116"/>
      <c r="D430" s="92"/>
      <c r="E430" s="112"/>
      <c r="F430" s="97"/>
      <c r="G430" s="97"/>
      <c r="H430" s="97"/>
      <c r="I430" s="97"/>
      <c r="J430" s="97"/>
      <c r="K430" s="97"/>
      <c r="L430" s="97"/>
      <c r="M430" s="97"/>
      <c r="N430" s="97"/>
      <c r="O430" s="97"/>
      <c r="P430" s="97"/>
      <c r="Q430" s="97"/>
      <c r="R430" s="97"/>
      <c r="S430" s="97"/>
      <c r="T430" s="97"/>
      <c r="U430" s="97"/>
      <c r="V430" s="97"/>
      <c r="W430" s="97"/>
      <c r="X430" s="97"/>
      <c r="Y430" s="97"/>
      <c r="Z430" s="97"/>
    </row>
    <row r="431" spans="1:26">
      <c r="A431" s="116"/>
      <c r="D431" s="92"/>
      <c r="E431" s="112"/>
      <c r="F431" s="97"/>
      <c r="G431" s="97"/>
      <c r="H431" s="97"/>
      <c r="I431" s="97"/>
      <c r="J431" s="97"/>
      <c r="K431" s="97"/>
      <c r="L431" s="97"/>
      <c r="M431" s="97"/>
      <c r="N431" s="97"/>
      <c r="O431" s="97"/>
      <c r="P431" s="97"/>
      <c r="Q431" s="97"/>
      <c r="R431" s="97"/>
      <c r="S431" s="97"/>
      <c r="T431" s="97"/>
      <c r="U431" s="97"/>
      <c r="V431" s="97"/>
      <c r="W431" s="97"/>
      <c r="X431" s="97"/>
      <c r="Y431" s="97"/>
      <c r="Z431" s="97"/>
    </row>
    <row r="432" spans="1:26">
      <c r="A432" s="116"/>
      <c r="D432" s="92"/>
      <c r="E432" s="112"/>
      <c r="F432" s="97"/>
      <c r="G432" s="97"/>
      <c r="H432" s="97"/>
      <c r="I432" s="97"/>
      <c r="J432" s="97"/>
      <c r="K432" s="97"/>
      <c r="L432" s="97"/>
      <c r="M432" s="97"/>
      <c r="N432" s="97"/>
      <c r="O432" s="97"/>
      <c r="P432" s="97"/>
      <c r="Q432" s="97"/>
      <c r="R432" s="97"/>
      <c r="S432" s="97"/>
      <c r="T432" s="97"/>
      <c r="U432" s="97"/>
      <c r="V432" s="97"/>
      <c r="W432" s="97"/>
      <c r="X432" s="97"/>
      <c r="Y432" s="97"/>
      <c r="Z432" s="97"/>
    </row>
    <row r="433" spans="1:26">
      <c r="A433" s="116"/>
      <c r="D433" s="92"/>
      <c r="E433" s="112"/>
      <c r="F433" s="97"/>
      <c r="G433" s="97"/>
      <c r="H433" s="97"/>
      <c r="I433" s="97"/>
      <c r="J433" s="97"/>
      <c r="K433" s="97"/>
      <c r="L433" s="97"/>
      <c r="M433" s="97"/>
      <c r="N433" s="97"/>
      <c r="O433" s="97"/>
      <c r="P433" s="97"/>
      <c r="Q433" s="97"/>
      <c r="R433" s="97"/>
      <c r="S433" s="97"/>
      <c r="T433" s="97"/>
      <c r="U433" s="97"/>
      <c r="V433" s="97"/>
      <c r="W433" s="97"/>
      <c r="X433" s="97"/>
      <c r="Y433" s="97"/>
      <c r="Z433" s="97"/>
    </row>
    <row r="434" spans="1:26">
      <c r="A434" s="116"/>
      <c r="D434" s="92"/>
      <c r="E434" s="112"/>
      <c r="F434" s="97"/>
      <c r="G434" s="97"/>
      <c r="H434" s="97"/>
      <c r="I434" s="97"/>
      <c r="J434" s="97"/>
      <c r="K434" s="97"/>
      <c r="L434" s="97"/>
      <c r="M434" s="97"/>
      <c r="N434" s="97"/>
      <c r="O434" s="97"/>
      <c r="P434" s="97"/>
      <c r="Q434" s="97"/>
      <c r="R434" s="97"/>
      <c r="S434" s="97"/>
      <c r="T434" s="97"/>
      <c r="U434" s="97"/>
      <c r="V434" s="97"/>
      <c r="W434" s="97"/>
      <c r="X434" s="97"/>
      <c r="Y434" s="97"/>
      <c r="Z434" s="97"/>
    </row>
    <row r="435" spans="1:26">
      <c r="A435" s="116"/>
      <c r="D435" s="92"/>
      <c r="E435" s="112"/>
      <c r="F435" s="97"/>
      <c r="G435" s="97"/>
      <c r="H435" s="97"/>
      <c r="I435" s="97"/>
      <c r="J435" s="97"/>
      <c r="K435" s="97"/>
      <c r="L435" s="97"/>
      <c r="M435" s="97"/>
      <c r="N435" s="97"/>
      <c r="O435" s="97"/>
      <c r="P435" s="97"/>
      <c r="Q435" s="97"/>
      <c r="R435" s="97"/>
      <c r="S435" s="97"/>
      <c r="T435" s="97"/>
      <c r="U435" s="97"/>
      <c r="V435" s="97"/>
      <c r="W435" s="97"/>
      <c r="X435" s="97"/>
      <c r="Y435" s="97"/>
      <c r="Z435" s="97"/>
    </row>
    <row r="436" spans="1:26">
      <c r="A436" s="116"/>
      <c r="D436" s="92"/>
      <c r="E436" s="112"/>
      <c r="F436" s="97"/>
      <c r="G436" s="97"/>
      <c r="H436" s="97"/>
      <c r="I436" s="97"/>
      <c r="J436" s="97"/>
      <c r="K436" s="97"/>
      <c r="L436" s="97"/>
      <c r="M436" s="97"/>
      <c r="N436" s="97"/>
      <c r="O436" s="97"/>
      <c r="P436" s="97"/>
      <c r="Q436" s="97"/>
      <c r="R436" s="97"/>
      <c r="S436" s="97"/>
      <c r="T436" s="97"/>
      <c r="U436" s="97"/>
      <c r="V436" s="97"/>
      <c r="W436" s="97"/>
      <c r="X436" s="97"/>
      <c r="Y436" s="97"/>
      <c r="Z436" s="97"/>
    </row>
    <row r="437" spans="1:26">
      <c r="A437" s="116"/>
      <c r="D437" s="92"/>
      <c r="E437" s="112"/>
      <c r="F437" s="97"/>
      <c r="G437" s="97"/>
      <c r="H437" s="97"/>
      <c r="I437" s="97"/>
      <c r="J437" s="97"/>
      <c r="K437" s="97"/>
      <c r="L437" s="97"/>
      <c r="M437" s="97"/>
      <c r="N437" s="97"/>
      <c r="O437" s="97"/>
      <c r="P437" s="97"/>
      <c r="Q437" s="97"/>
      <c r="R437" s="97"/>
      <c r="S437" s="97"/>
      <c r="T437" s="97"/>
      <c r="U437" s="97"/>
      <c r="V437" s="97"/>
      <c r="W437" s="97"/>
      <c r="X437" s="97"/>
      <c r="Y437" s="97"/>
      <c r="Z437" s="97"/>
    </row>
    <row r="438" spans="1:26">
      <c r="A438" s="116"/>
      <c r="D438" s="92"/>
      <c r="E438" s="112"/>
      <c r="F438" s="97"/>
      <c r="G438" s="97"/>
      <c r="H438" s="97"/>
      <c r="I438" s="97"/>
      <c r="J438" s="97"/>
      <c r="K438" s="97"/>
      <c r="L438" s="97"/>
      <c r="M438" s="97"/>
      <c r="N438" s="97"/>
      <c r="O438" s="97"/>
      <c r="P438" s="97"/>
      <c r="Q438" s="97"/>
      <c r="R438" s="97"/>
      <c r="S438" s="97"/>
      <c r="T438" s="97"/>
      <c r="U438" s="97"/>
      <c r="V438" s="97"/>
      <c r="W438" s="97"/>
      <c r="X438" s="97"/>
      <c r="Y438" s="97"/>
      <c r="Z438" s="97"/>
    </row>
    <row r="439" spans="1:26">
      <c r="A439" s="116"/>
      <c r="D439" s="92"/>
      <c r="E439" s="112"/>
      <c r="F439" s="97"/>
      <c r="G439" s="97"/>
      <c r="H439" s="97"/>
      <c r="I439" s="97"/>
      <c r="J439" s="97"/>
      <c r="K439" s="97"/>
      <c r="L439" s="97"/>
      <c r="M439" s="97"/>
      <c r="N439" s="97"/>
      <c r="O439" s="97"/>
      <c r="P439" s="97"/>
      <c r="Q439" s="97"/>
      <c r="R439" s="97"/>
      <c r="S439" s="97"/>
      <c r="T439" s="97"/>
      <c r="U439" s="97"/>
      <c r="V439" s="97"/>
      <c r="W439" s="97"/>
      <c r="X439" s="97"/>
      <c r="Y439" s="97"/>
      <c r="Z439" s="97"/>
    </row>
    <row r="440" spans="1:26">
      <c r="A440" s="116"/>
      <c r="D440" s="92"/>
      <c r="E440" s="112"/>
      <c r="F440" s="97"/>
      <c r="G440" s="97"/>
      <c r="H440" s="97"/>
      <c r="I440" s="97"/>
      <c r="J440" s="97"/>
      <c r="K440" s="97"/>
      <c r="L440" s="97"/>
      <c r="M440" s="97"/>
      <c r="N440" s="97"/>
      <c r="O440" s="97"/>
      <c r="P440" s="97"/>
      <c r="Q440" s="97"/>
      <c r="R440" s="97"/>
      <c r="S440" s="97"/>
      <c r="T440" s="97"/>
      <c r="U440" s="97"/>
      <c r="V440" s="97"/>
      <c r="W440" s="97"/>
      <c r="X440" s="97"/>
      <c r="Y440" s="97"/>
      <c r="Z440" s="97"/>
    </row>
    <row r="441" spans="1:26">
      <c r="A441" s="116"/>
      <c r="D441" s="92"/>
      <c r="E441" s="112"/>
      <c r="F441" s="97"/>
      <c r="G441" s="97"/>
      <c r="H441" s="97"/>
      <c r="I441" s="97"/>
      <c r="J441" s="97"/>
      <c r="K441" s="97"/>
      <c r="L441" s="97"/>
      <c r="M441" s="97"/>
      <c r="N441" s="97"/>
      <c r="O441" s="97"/>
      <c r="P441" s="97"/>
      <c r="Q441" s="97"/>
      <c r="R441" s="97"/>
      <c r="S441" s="97"/>
      <c r="T441" s="97"/>
      <c r="U441" s="97"/>
      <c r="V441" s="97"/>
      <c r="W441" s="97"/>
      <c r="X441" s="97"/>
      <c r="Y441" s="97"/>
      <c r="Z441" s="97"/>
    </row>
    <row r="442" spans="1:26">
      <c r="A442" s="116"/>
      <c r="D442" s="92"/>
      <c r="E442" s="112"/>
      <c r="F442" s="97"/>
      <c r="G442" s="97"/>
      <c r="H442" s="97"/>
      <c r="I442" s="97"/>
      <c r="J442" s="97"/>
      <c r="K442" s="97"/>
      <c r="L442" s="97"/>
      <c r="M442" s="97"/>
      <c r="N442" s="97"/>
      <c r="O442" s="97"/>
      <c r="P442" s="97"/>
      <c r="Q442" s="97"/>
      <c r="R442" s="97"/>
      <c r="S442" s="97"/>
      <c r="T442" s="97"/>
      <c r="U442" s="97"/>
      <c r="V442" s="97"/>
      <c r="W442" s="97"/>
      <c r="X442" s="97"/>
      <c r="Y442" s="97"/>
      <c r="Z442" s="97"/>
    </row>
    <row r="443" spans="1:26">
      <c r="A443" s="116"/>
      <c r="D443" s="92"/>
      <c r="E443" s="112"/>
      <c r="F443" s="97"/>
      <c r="G443" s="97"/>
      <c r="H443" s="97"/>
      <c r="I443" s="97"/>
      <c r="J443" s="97"/>
      <c r="K443" s="97"/>
      <c r="L443" s="97"/>
      <c r="M443" s="97"/>
      <c r="N443" s="97"/>
      <c r="O443" s="97"/>
      <c r="P443" s="97"/>
      <c r="Q443" s="97"/>
      <c r="R443" s="97"/>
      <c r="S443" s="97"/>
      <c r="T443" s="97"/>
      <c r="U443" s="97"/>
      <c r="V443" s="97"/>
      <c r="W443" s="97"/>
      <c r="X443" s="97"/>
      <c r="Y443" s="97"/>
      <c r="Z443" s="97"/>
    </row>
    <row r="444" spans="1:26">
      <c r="A444" s="116"/>
      <c r="D444" s="92"/>
      <c r="E444" s="112"/>
      <c r="F444" s="97"/>
      <c r="G444" s="97"/>
      <c r="H444" s="97"/>
      <c r="I444" s="97"/>
      <c r="J444" s="97"/>
      <c r="K444" s="97"/>
      <c r="L444" s="97"/>
      <c r="M444" s="97"/>
      <c r="N444" s="97"/>
      <c r="O444" s="97"/>
      <c r="P444" s="97"/>
      <c r="Q444" s="97"/>
      <c r="R444" s="97"/>
      <c r="S444" s="97"/>
      <c r="T444" s="97"/>
      <c r="U444" s="97"/>
      <c r="V444" s="97"/>
      <c r="W444" s="97"/>
      <c r="X444" s="97"/>
      <c r="Y444" s="97"/>
      <c r="Z444" s="97"/>
    </row>
    <row r="445" spans="1:26">
      <c r="A445" s="116"/>
      <c r="D445" s="92"/>
      <c r="E445" s="112"/>
      <c r="F445" s="97"/>
      <c r="G445" s="97"/>
      <c r="H445" s="97"/>
      <c r="I445" s="97"/>
      <c r="J445" s="97"/>
      <c r="K445" s="97"/>
      <c r="L445" s="97"/>
      <c r="M445" s="97"/>
      <c r="N445" s="97"/>
      <c r="O445" s="97"/>
      <c r="P445" s="97"/>
      <c r="Q445" s="97"/>
      <c r="R445" s="97"/>
      <c r="S445" s="97"/>
      <c r="T445" s="97"/>
      <c r="U445" s="97"/>
      <c r="V445" s="97"/>
      <c r="W445" s="97"/>
      <c r="X445" s="97"/>
      <c r="Y445" s="97"/>
      <c r="Z445" s="97"/>
    </row>
    <row r="446" spans="1:26">
      <c r="A446" s="116"/>
      <c r="D446" s="92"/>
      <c r="E446" s="112"/>
      <c r="F446" s="97"/>
      <c r="G446" s="97"/>
      <c r="H446" s="97"/>
      <c r="I446" s="97"/>
      <c r="J446" s="97"/>
      <c r="K446" s="97"/>
      <c r="L446" s="97"/>
      <c r="M446" s="97"/>
      <c r="N446" s="97"/>
      <c r="O446" s="97"/>
      <c r="P446" s="97"/>
      <c r="Q446" s="97"/>
      <c r="R446" s="97"/>
      <c r="S446" s="97"/>
      <c r="T446" s="97"/>
      <c r="U446" s="97"/>
      <c r="V446" s="97"/>
      <c r="W446" s="97"/>
      <c r="X446" s="97"/>
      <c r="Y446" s="97"/>
      <c r="Z446" s="97"/>
    </row>
    <row r="447" spans="1:26">
      <c r="A447" s="116"/>
      <c r="D447" s="92"/>
      <c r="E447" s="112"/>
      <c r="F447" s="97"/>
      <c r="G447" s="97"/>
      <c r="H447" s="97"/>
      <c r="I447" s="97"/>
      <c r="J447" s="97"/>
      <c r="K447" s="97"/>
      <c r="L447" s="97"/>
      <c r="M447" s="97"/>
      <c r="N447" s="97"/>
      <c r="O447" s="97"/>
      <c r="P447" s="97"/>
      <c r="Q447" s="97"/>
      <c r="R447" s="97"/>
      <c r="S447" s="97"/>
      <c r="T447" s="97"/>
      <c r="U447" s="97"/>
      <c r="V447" s="97"/>
      <c r="W447" s="97"/>
      <c r="X447" s="97"/>
      <c r="Y447" s="97"/>
      <c r="Z447" s="97"/>
    </row>
    <row r="448" spans="1:26">
      <c r="A448" s="116"/>
      <c r="D448" s="92"/>
      <c r="E448" s="112"/>
      <c r="F448" s="97"/>
      <c r="G448" s="97"/>
      <c r="H448" s="97"/>
      <c r="I448" s="97"/>
      <c r="J448" s="97"/>
      <c r="K448" s="97"/>
      <c r="L448" s="97"/>
      <c r="M448" s="97"/>
      <c r="N448" s="97"/>
      <c r="O448" s="97"/>
      <c r="P448" s="97"/>
      <c r="Q448" s="97"/>
      <c r="R448" s="97"/>
      <c r="S448" s="97"/>
      <c r="T448" s="97"/>
      <c r="U448" s="97"/>
      <c r="V448" s="97"/>
      <c r="W448" s="97"/>
      <c r="X448" s="97"/>
      <c r="Y448" s="97"/>
      <c r="Z448" s="97"/>
    </row>
    <row r="449" spans="1:26">
      <c r="A449" s="116"/>
      <c r="D449" s="92"/>
      <c r="E449" s="112"/>
      <c r="F449" s="97"/>
      <c r="G449" s="97"/>
      <c r="H449" s="97"/>
      <c r="I449" s="97"/>
      <c r="J449" s="97"/>
      <c r="K449" s="97"/>
      <c r="L449" s="97"/>
      <c r="M449" s="97"/>
      <c r="N449" s="97"/>
      <c r="O449" s="97"/>
      <c r="P449" s="97"/>
      <c r="Q449" s="97"/>
      <c r="R449" s="97"/>
      <c r="S449" s="97"/>
      <c r="T449" s="97"/>
      <c r="U449" s="97"/>
      <c r="V449" s="97"/>
      <c r="W449" s="97"/>
      <c r="X449" s="97"/>
      <c r="Y449" s="97"/>
      <c r="Z449" s="97"/>
    </row>
    <row r="450" spans="1:26">
      <c r="A450" s="116"/>
      <c r="D450" s="92"/>
      <c r="E450" s="112"/>
      <c r="F450" s="97"/>
      <c r="G450" s="97"/>
      <c r="H450" s="97"/>
      <c r="I450" s="97"/>
      <c r="J450" s="97"/>
      <c r="K450" s="97"/>
      <c r="L450" s="97"/>
      <c r="M450" s="97"/>
      <c r="N450" s="97"/>
      <c r="O450" s="97"/>
      <c r="P450" s="97"/>
      <c r="Q450" s="97"/>
      <c r="R450" s="97"/>
      <c r="S450" s="97"/>
      <c r="T450" s="97"/>
      <c r="U450" s="97"/>
      <c r="V450" s="97"/>
      <c r="W450" s="97"/>
      <c r="X450" s="97"/>
      <c r="Y450" s="97"/>
      <c r="Z450" s="97"/>
    </row>
    <row r="451" spans="1:26">
      <c r="A451" s="116"/>
      <c r="D451" s="92"/>
      <c r="E451" s="112"/>
      <c r="F451" s="97"/>
      <c r="G451" s="97"/>
      <c r="H451" s="97"/>
      <c r="I451" s="97"/>
      <c r="J451" s="97"/>
      <c r="K451" s="97"/>
      <c r="L451" s="97"/>
      <c r="M451" s="97"/>
      <c r="N451" s="97"/>
      <c r="O451" s="97"/>
      <c r="P451" s="97"/>
      <c r="Q451" s="97"/>
      <c r="R451" s="97"/>
      <c r="S451" s="97"/>
      <c r="T451" s="97"/>
      <c r="U451" s="97"/>
      <c r="V451" s="97"/>
      <c r="W451" s="97"/>
      <c r="X451" s="97"/>
      <c r="Y451" s="97"/>
      <c r="Z451" s="97"/>
    </row>
    <row r="452" spans="1:26">
      <c r="A452" s="116"/>
      <c r="D452" s="92"/>
      <c r="E452" s="112"/>
      <c r="F452" s="97"/>
      <c r="G452" s="97"/>
      <c r="H452" s="97"/>
      <c r="I452" s="97"/>
      <c r="J452" s="97"/>
      <c r="K452" s="97"/>
      <c r="L452" s="97"/>
      <c r="M452" s="97"/>
      <c r="N452" s="97"/>
      <c r="O452" s="97"/>
      <c r="P452" s="97"/>
      <c r="Q452" s="97"/>
      <c r="R452" s="97"/>
      <c r="S452" s="97"/>
      <c r="T452" s="97"/>
      <c r="U452" s="97"/>
      <c r="V452" s="97"/>
      <c r="W452" s="97"/>
      <c r="X452" s="97"/>
      <c r="Y452" s="97"/>
      <c r="Z452" s="97"/>
    </row>
    <row r="453" spans="1:26">
      <c r="A453" s="116"/>
      <c r="D453" s="92"/>
      <c r="E453" s="112"/>
      <c r="F453" s="97"/>
      <c r="G453" s="97"/>
      <c r="H453" s="97"/>
      <c r="I453" s="97"/>
      <c r="J453" s="97"/>
      <c r="K453" s="97"/>
      <c r="L453" s="97"/>
      <c r="M453" s="97"/>
      <c r="N453" s="97"/>
      <c r="O453" s="97"/>
      <c r="P453" s="97"/>
      <c r="Q453" s="97"/>
      <c r="R453" s="97"/>
      <c r="S453" s="97"/>
      <c r="T453" s="97"/>
      <c r="U453" s="97"/>
      <c r="V453" s="97"/>
      <c r="W453" s="97"/>
      <c r="X453" s="97"/>
      <c r="Y453" s="97"/>
      <c r="Z453" s="97"/>
    </row>
    <row r="454" spans="1:26">
      <c r="A454" s="116"/>
      <c r="D454" s="92"/>
      <c r="E454" s="112"/>
      <c r="F454" s="97"/>
      <c r="G454" s="97"/>
      <c r="H454" s="97"/>
      <c r="I454" s="97"/>
      <c r="J454" s="97"/>
      <c r="K454" s="97"/>
      <c r="L454" s="97"/>
      <c r="M454" s="97"/>
      <c r="N454" s="97"/>
      <c r="O454" s="97"/>
      <c r="P454" s="97"/>
      <c r="Q454" s="97"/>
      <c r="R454" s="97"/>
      <c r="S454" s="97"/>
      <c r="T454" s="97"/>
      <c r="U454" s="97"/>
      <c r="V454" s="97"/>
      <c r="W454" s="97"/>
      <c r="X454" s="97"/>
      <c r="Y454" s="97"/>
      <c r="Z454" s="97"/>
    </row>
    <row r="455" spans="1:26">
      <c r="A455" s="116"/>
      <c r="D455" s="92"/>
      <c r="E455" s="112"/>
      <c r="F455" s="97"/>
      <c r="G455" s="97"/>
      <c r="H455" s="97"/>
      <c r="I455" s="97"/>
      <c r="J455" s="97"/>
      <c r="K455" s="97"/>
      <c r="L455" s="97"/>
      <c r="M455" s="97"/>
      <c r="N455" s="97"/>
      <c r="O455" s="97"/>
      <c r="P455" s="97"/>
      <c r="Q455" s="97"/>
      <c r="R455" s="97"/>
      <c r="S455" s="97"/>
      <c r="T455" s="97"/>
      <c r="U455" s="97"/>
      <c r="V455" s="97"/>
      <c r="W455" s="97"/>
      <c r="X455" s="97"/>
      <c r="Y455" s="97"/>
      <c r="Z455" s="97"/>
    </row>
    <row r="456" spans="1:26">
      <c r="A456" s="116"/>
      <c r="D456" s="92"/>
      <c r="E456" s="112"/>
      <c r="F456" s="97"/>
      <c r="G456" s="97"/>
      <c r="H456" s="97"/>
      <c r="I456" s="97"/>
      <c r="J456" s="97"/>
      <c r="K456" s="97"/>
      <c r="L456" s="97"/>
      <c r="M456" s="97"/>
      <c r="N456" s="97"/>
      <c r="O456" s="97"/>
      <c r="P456" s="97"/>
      <c r="Q456" s="97"/>
      <c r="R456" s="97"/>
      <c r="S456" s="97"/>
      <c r="T456" s="97"/>
      <c r="U456" s="97"/>
      <c r="V456" s="97"/>
      <c r="W456" s="97"/>
      <c r="X456" s="97"/>
      <c r="Y456" s="97"/>
      <c r="Z456" s="97"/>
    </row>
    <row r="457" spans="1:26">
      <c r="A457" s="116"/>
      <c r="D457" s="92"/>
      <c r="E457" s="112"/>
      <c r="F457" s="97"/>
      <c r="G457" s="97"/>
      <c r="H457" s="97"/>
      <c r="I457" s="97"/>
      <c r="J457" s="97"/>
      <c r="K457" s="97"/>
      <c r="L457" s="97"/>
      <c r="M457" s="97"/>
      <c r="N457" s="97"/>
      <c r="O457" s="97"/>
      <c r="P457" s="97"/>
      <c r="Q457" s="97"/>
      <c r="R457" s="97"/>
      <c r="S457" s="97"/>
      <c r="T457" s="97"/>
      <c r="U457" s="97"/>
      <c r="V457" s="97"/>
      <c r="W457" s="97"/>
      <c r="X457" s="97"/>
      <c r="Y457" s="97"/>
      <c r="Z457" s="97"/>
    </row>
    <row r="458" spans="1:26">
      <c r="A458" s="116"/>
      <c r="D458" s="92"/>
      <c r="E458" s="112"/>
      <c r="F458" s="97"/>
      <c r="G458" s="97"/>
      <c r="H458" s="97"/>
      <c r="I458" s="97"/>
      <c r="J458" s="97"/>
      <c r="K458" s="97"/>
      <c r="L458" s="97"/>
      <c r="M458" s="97"/>
      <c r="N458" s="97"/>
      <c r="O458" s="97"/>
      <c r="P458" s="97"/>
      <c r="Q458" s="97"/>
      <c r="R458" s="97"/>
      <c r="S458" s="97"/>
      <c r="T458" s="97"/>
      <c r="U458" s="97"/>
      <c r="V458" s="97"/>
      <c r="W458" s="97"/>
      <c r="X458" s="97"/>
      <c r="Y458" s="97"/>
      <c r="Z458" s="97"/>
    </row>
    <row r="459" spans="1:26">
      <c r="A459" s="116"/>
      <c r="D459" s="92"/>
      <c r="E459" s="112"/>
      <c r="F459" s="97"/>
      <c r="G459" s="97"/>
      <c r="H459" s="97"/>
      <c r="I459" s="97"/>
      <c r="J459" s="97"/>
      <c r="K459" s="97"/>
      <c r="L459" s="97"/>
      <c r="M459" s="97"/>
      <c r="N459" s="97"/>
      <c r="O459" s="97"/>
      <c r="P459" s="97"/>
      <c r="Q459" s="97"/>
      <c r="R459" s="97"/>
      <c r="S459" s="97"/>
      <c r="T459" s="97"/>
      <c r="U459" s="97"/>
      <c r="V459" s="97"/>
      <c r="W459" s="97"/>
      <c r="X459" s="97"/>
      <c r="Y459" s="97"/>
      <c r="Z459" s="97"/>
    </row>
    <row r="460" spans="1:26">
      <c r="A460" s="116"/>
      <c r="D460" s="92"/>
      <c r="E460" s="112"/>
      <c r="F460" s="97"/>
      <c r="G460" s="97"/>
      <c r="H460" s="97"/>
      <c r="I460" s="97"/>
      <c r="J460" s="97"/>
      <c r="K460" s="97"/>
      <c r="L460" s="97"/>
      <c r="M460" s="97"/>
      <c r="N460" s="97"/>
      <c r="O460" s="97"/>
      <c r="P460" s="97"/>
      <c r="Q460" s="97"/>
      <c r="R460" s="97"/>
      <c r="S460" s="97"/>
      <c r="T460" s="97"/>
      <c r="U460" s="97"/>
      <c r="V460" s="97"/>
      <c r="W460" s="97"/>
      <c r="X460" s="97"/>
      <c r="Y460" s="97"/>
      <c r="Z460" s="97"/>
    </row>
    <row r="461" spans="1:26">
      <c r="A461" s="116"/>
      <c r="D461" s="92"/>
      <c r="E461" s="112"/>
      <c r="F461" s="97"/>
      <c r="G461" s="97"/>
      <c r="H461" s="97"/>
      <c r="I461" s="97"/>
      <c r="J461" s="97"/>
      <c r="K461" s="97"/>
      <c r="L461" s="97"/>
      <c r="M461" s="97"/>
      <c r="N461" s="97"/>
      <c r="O461" s="97"/>
      <c r="P461" s="97"/>
      <c r="Q461" s="97"/>
      <c r="R461" s="97"/>
      <c r="S461" s="97"/>
      <c r="T461" s="97"/>
      <c r="U461" s="97"/>
      <c r="V461" s="97"/>
      <c r="W461" s="97"/>
      <c r="X461" s="97"/>
      <c r="Y461" s="97"/>
      <c r="Z461" s="97"/>
    </row>
    <row r="462" spans="1:26">
      <c r="A462" s="116"/>
      <c r="D462" s="92"/>
      <c r="E462" s="112"/>
      <c r="F462" s="97"/>
      <c r="G462" s="97"/>
      <c r="H462" s="97"/>
      <c r="I462" s="97"/>
      <c r="J462" s="97"/>
      <c r="K462" s="97"/>
      <c r="L462" s="97"/>
      <c r="M462" s="97"/>
      <c r="N462" s="97"/>
      <c r="O462" s="97"/>
      <c r="P462" s="97"/>
      <c r="Q462" s="97"/>
      <c r="R462" s="97"/>
      <c r="S462" s="97"/>
      <c r="T462" s="97"/>
      <c r="U462" s="97"/>
      <c r="V462" s="97"/>
      <c r="W462" s="97"/>
      <c r="X462" s="97"/>
      <c r="Y462" s="97"/>
      <c r="Z462" s="97"/>
    </row>
    <row r="463" spans="1:26">
      <c r="A463" s="116"/>
      <c r="D463" s="92"/>
      <c r="E463" s="112"/>
      <c r="F463" s="97"/>
      <c r="G463" s="97"/>
      <c r="H463" s="97"/>
      <c r="I463" s="97"/>
      <c r="J463" s="97"/>
      <c r="K463" s="97"/>
      <c r="L463" s="97"/>
      <c r="M463" s="97"/>
      <c r="N463" s="97"/>
      <c r="O463" s="97"/>
      <c r="P463" s="97"/>
      <c r="Q463" s="97"/>
      <c r="R463" s="97"/>
      <c r="S463" s="97"/>
      <c r="T463" s="97"/>
      <c r="U463" s="97"/>
      <c r="V463" s="97"/>
      <c r="W463" s="97"/>
      <c r="X463" s="97"/>
      <c r="Y463" s="97"/>
      <c r="Z463" s="97"/>
    </row>
    <row r="464" spans="1:26">
      <c r="A464" s="116"/>
      <c r="D464" s="92"/>
      <c r="E464" s="112"/>
      <c r="F464" s="97"/>
      <c r="G464" s="97"/>
      <c r="H464" s="97"/>
      <c r="I464" s="97"/>
      <c r="J464" s="97"/>
      <c r="K464" s="97"/>
      <c r="L464" s="97"/>
      <c r="M464" s="97"/>
      <c r="N464" s="97"/>
      <c r="O464" s="97"/>
      <c r="P464" s="97"/>
      <c r="Q464" s="97"/>
      <c r="R464" s="97"/>
      <c r="S464" s="97"/>
      <c r="T464" s="97"/>
      <c r="U464" s="97"/>
      <c r="V464" s="97"/>
      <c r="W464" s="97"/>
      <c r="X464" s="97"/>
      <c r="Y464" s="97"/>
      <c r="Z464" s="97"/>
    </row>
    <row r="465" spans="1:26">
      <c r="A465" s="116"/>
      <c r="D465" s="92"/>
      <c r="E465" s="112"/>
      <c r="F465" s="97"/>
      <c r="G465" s="97"/>
      <c r="H465" s="97"/>
      <c r="I465" s="97"/>
      <c r="J465" s="97"/>
      <c r="K465" s="97"/>
      <c r="L465" s="97"/>
      <c r="M465" s="97"/>
      <c r="N465" s="97"/>
      <c r="O465" s="97"/>
      <c r="P465" s="97"/>
      <c r="Q465" s="97"/>
      <c r="R465" s="97"/>
      <c r="S465" s="97"/>
      <c r="T465" s="97"/>
      <c r="U465" s="97"/>
      <c r="V465" s="97"/>
      <c r="W465" s="97"/>
      <c r="X465" s="97"/>
      <c r="Y465" s="97"/>
      <c r="Z465" s="97"/>
    </row>
    <row r="466" spans="1:26">
      <c r="A466" s="116"/>
      <c r="D466" s="92"/>
      <c r="E466" s="112"/>
      <c r="F466" s="97"/>
      <c r="G466" s="97"/>
      <c r="H466" s="97"/>
      <c r="I466" s="97"/>
      <c r="J466" s="97"/>
      <c r="K466" s="97"/>
      <c r="L466" s="97"/>
      <c r="M466" s="97"/>
      <c r="N466" s="97"/>
      <c r="O466" s="97"/>
      <c r="P466" s="97"/>
      <c r="Q466" s="97"/>
      <c r="R466" s="97"/>
      <c r="S466" s="97"/>
      <c r="T466" s="97"/>
      <c r="U466" s="97"/>
      <c r="V466" s="97"/>
      <c r="W466" s="97"/>
      <c r="X466" s="97"/>
      <c r="Y466" s="97"/>
      <c r="Z466" s="97"/>
    </row>
    <row r="467" spans="1:26">
      <c r="A467" s="116"/>
      <c r="D467" s="92"/>
      <c r="E467" s="112"/>
      <c r="F467" s="97"/>
      <c r="G467" s="97"/>
      <c r="H467" s="97"/>
      <c r="I467" s="97"/>
      <c r="J467" s="97"/>
      <c r="K467" s="97"/>
      <c r="L467" s="97"/>
      <c r="M467" s="97"/>
      <c r="N467" s="97"/>
      <c r="O467" s="97"/>
      <c r="P467" s="97"/>
      <c r="Q467" s="97"/>
      <c r="R467" s="97"/>
      <c r="S467" s="97"/>
      <c r="T467" s="97"/>
      <c r="U467" s="97"/>
      <c r="V467" s="97"/>
      <c r="W467" s="97"/>
      <c r="X467" s="97"/>
      <c r="Y467" s="97"/>
      <c r="Z467" s="97"/>
    </row>
    <row r="468" spans="1:26">
      <c r="A468" s="116"/>
      <c r="D468" s="92"/>
      <c r="E468" s="112"/>
      <c r="F468" s="97"/>
      <c r="G468" s="97"/>
      <c r="H468" s="97"/>
      <c r="I468" s="97"/>
      <c r="J468" s="97"/>
      <c r="K468" s="97"/>
      <c r="L468" s="97"/>
      <c r="M468" s="97"/>
      <c r="N468" s="97"/>
      <c r="O468" s="97"/>
      <c r="P468" s="97"/>
      <c r="Q468" s="97"/>
      <c r="R468" s="97"/>
      <c r="S468" s="97"/>
      <c r="T468" s="97"/>
      <c r="U468" s="97"/>
      <c r="V468" s="97"/>
      <c r="W468" s="97"/>
      <c r="X468" s="97"/>
      <c r="Y468" s="97"/>
      <c r="Z468" s="97"/>
    </row>
    <row r="469" spans="1:26">
      <c r="A469" s="116"/>
      <c r="D469" s="92"/>
      <c r="E469" s="112"/>
      <c r="F469" s="97"/>
      <c r="G469" s="97"/>
      <c r="H469" s="97"/>
      <c r="I469" s="97"/>
      <c r="J469" s="97"/>
      <c r="K469" s="97"/>
      <c r="L469" s="97"/>
      <c r="M469" s="97"/>
      <c r="N469" s="97"/>
      <c r="O469" s="97"/>
      <c r="P469" s="97"/>
      <c r="Q469" s="97"/>
      <c r="R469" s="97"/>
      <c r="S469" s="97"/>
      <c r="T469" s="97"/>
      <c r="U469" s="97"/>
      <c r="V469" s="97"/>
      <c r="W469" s="97"/>
      <c r="X469" s="97"/>
      <c r="Y469" s="97"/>
      <c r="Z469" s="97"/>
    </row>
    <row r="470" spans="1:26">
      <c r="A470" s="116"/>
      <c r="D470" s="92"/>
      <c r="E470" s="112"/>
      <c r="F470" s="97"/>
      <c r="G470" s="97"/>
      <c r="H470" s="97"/>
      <c r="I470" s="97"/>
      <c r="J470" s="97"/>
      <c r="K470" s="97"/>
      <c r="L470" s="97"/>
      <c r="M470" s="97"/>
      <c r="N470" s="97"/>
      <c r="O470" s="97"/>
      <c r="P470" s="97"/>
      <c r="Q470" s="97"/>
      <c r="R470" s="97"/>
      <c r="S470" s="97"/>
      <c r="T470" s="97"/>
      <c r="U470" s="97"/>
      <c r="V470" s="97"/>
      <c r="W470" s="97"/>
      <c r="X470" s="97"/>
      <c r="Y470" s="97"/>
      <c r="Z470" s="97"/>
    </row>
    <row r="471" spans="1:26">
      <c r="A471" s="116"/>
      <c r="D471" s="92"/>
      <c r="E471" s="112"/>
      <c r="F471" s="97"/>
      <c r="G471" s="97"/>
      <c r="H471" s="97"/>
      <c r="I471" s="97"/>
      <c r="J471" s="97"/>
      <c r="K471" s="97"/>
      <c r="L471" s="97"/>
      <c r="M471" s="97"/>
      <c r="N471" s="97"/>
      <c r="O471" s="97"/>
      <c r="P471" s="97"/>
      <c r="Q471" s="97"/>
      <c r="R471" s="97"/>
      <c r="S471" s="97"/>
      <c r="T471" s="97"/>
      <c r="U471" s="97"/>
      <c r="V471" s="97"/>
      <c r="W471" s="97"/>
      <c r="X471" s="97"/>
      <c r="Y471" s="97"/>
      <c r="Z471" s="97"/>
    </row>
    <row r="472" spans="1:26">
      <c r="A472" s="116"/>
      <c r="D472" s="92"/>
      <c r="E472" s="112"/>
      <c r="F472" s="97"/>
      <c r="G472" s="97"/>
      <c r="H472" s="97"/>
      <c r="I472" s="97"/>
      <c r="J472" s="97"/>
      <c r="K472" s="97"/>
      <c r="L472" s="97"/>
      <c r="M472" s="97"/>
      <c r="N472" s="97"/>
      <c r="O472" s="97"/>
      <c r="P472" s="97"/>
      <c r="Q472" s="97"/>
      <c r="R472" s="97"/>
      <c r="S472" s="97"/>
      <c r="T472" s="97"/>
      <c r="U472" s="97"/>
      <c r="V472" s="97"/>
      <c r="W472" s="97"/>
      <c r="X472" s="97"/>
      <c r="Y472" s="97"/>
      <c r="Z472" s="97"/>
    </row>
    <row r="473" spans="1:26">
      <c r="A473" s="116"/>
      <c r="D473" s="92"/>
      <c r="E473" s="112"/>
      <c r="F473" s="97"/>
      <c r="G473" s="97"/>
      <c r="H473" s="97"/>
      <c r="I473" s="97"/>
      <c r="J473" s="97"/>
      <c r="K473" s="97"/>
      <c r="L473" s="97"/>
      <c r="M473" s="97"/>
      <c r="N473" s="97"/>
      <c r="O473" s="97"/>
      <c r="P473" s="97"/>
      <c r="Q473" s="97"/>
      <c r="R473" s="97"/>
      <c r="S473" s="97"/>
      <c r="T473" s="97"/>
      <c r="U473" s="97"/>
      <c r="V473" s="97"/>
      <c r="W473" s="97"/>
      <c r="X473" s="97"/>
      <c r="Y473" s="97"/>
      <c r="Z473" s="97"/>
    </row>
    <row r="474" spans="1:26">
      <c r="A474" s="116"/>
      <c r="D474" s="92"/>
      <c r="E474" s="112"/>
      <c r="F474" s="97"/>
      <c r="G474" s="97"/>
      <c r="H474" s="97"/>
      <c r="I474" s="97"/>
      <c r="J474" s="97"/>
      <c r="K474" s="97"/>
      <c r="L474" s="97"/>
      <c r="M474" s="97"/>
      <c r="N474" s="97"/>
      <c r="O474" s="97"/>
      <c r="P474" s="97"/>
      <c r="Q474" s="97"/>
      <c r="R474" s="97"/>
      <c r="S474" s="97"/>
      <c r="T474" s="97"/>
      <c r="U474" s="97"/>
      <c r="V474" s="97"/>
      <c r="W474" s="97"/>
      <c r="X474" s="97"/>
      <c r="Y474" s="97"/>
      <c r="Z474" s="97"/>
    </row>
    <row r="475" spans="1:26">
      <c r="A475" s="116"/>
      <c r="D475" s="92"/>
      <c r="E475" s="112"/>
      <c r="F475" s="97"/>
      <c r="G475" s="97"/>
      <c r="H475" s="97"/>
      <c r="I475" s="97"/>
      <c r="J475" s="97"/>
      <c r="K475" s="97"/>
      <c r="L475" s="97"/>
      <c r="M475" s="97"/>
      <c r="N475" s="97"/>
      <c r="O475" s="97"/>
      <c r="P475" s="97"/>
      <c r="Q475" s="97"/>
      <c r="R475" s="97"/>
      <c r="S475" s="97"/>
      <c r="T475" s="97"/>
      <c r="U475" s="97"/>
      <c r="V475" s="97"/>
      <c r="W475" s="97"/>
      <c r="X475" s="97"/>
      <c r="Y475" s="97"/>
      <c r="Z475" s="97"/>
    </row>
    <row r="476" spans="1:26">
      <c r="A476" s="116"/>
      <c r="D476" s="92"/>
      <c r="E476" s="112"/>
      <c r="F476" s="97"/>
      <c r="G476" s="97"/>
      <c r="H476" s="97"/>
      <c r="I476" s="97"/>
      <c r="J476" s="97"/>
      <c r="K476" s="97"/>
      <c r="L476" s="97"/>
      <c r="M476" s="97"/>
      <c r="N476" s="97"/>
      <c r="O476" s="97"/>
      <c r="P476" s="97"/>
      <c r="Q476" s="97"/>
      <c r="R476" s="97"/>
      <c r="S476" s="97"/>
      <c r="T476" s="97"/>
      <c r="U476" s="97"/>
      <c r="V476" s="97"/>
      <c r="W476" s="97"/>
      <c r="X476" s="97"/>
      <c r="Y476" s="97"/>
      <c r="Z476" s="97"/>
    </row>
    <row r="477" spans="1:26">
      <c r="A477" s="116"/>
      <c r="D477" s="92"/>
      <c r="E477" s="112"/>
      <c r="F477" s="97"/>
      <c r="G477" s="97"/>
      <c r="H477" s="97"/>
      <c r="I477" s="97"/>
      <c r="J477" s="97"/>
      <c r="K477" s="97"/>
      <c r="L477" s="97"/>
      <c r="M477" s="97"/>
      <c r="N477" s="97"/>
      <c r="O477" s="97"/>
      <c r="P477" s="97"/>
      <c r="Q477" s="97"/>
      <c r="R477" s="97"/>
      <c r="S477" s="97"/>
      <c r="T477" s="97"/>
      <c r="U477" s="97"/>
      <c r="V477" s="97"/>
      <c r="W477" s="97"/>
      <c r="X477" s="97"/>
      <c r="Y477" s="97"/>
      <c r="Z477" s="97"/>
    </row>
    <row r="478" spans="1:26">
      <c r="A478" s="116"/>
      <c r="D478" s="92"/>
      <c r="E478" s="112"/>
      <c r="F478" s="97"/>
      <c r="G478" s="97"/>
      <c r="H478" s="97"/>
      <c r="I478" s="97"/>
      <c r="J478" s="97"/>
      <c r="K478" s="97"/>
      <c r="L478" s="97"/>
      <c r="M478" s="97"/>
      <c r="N478" s="97"/>
      <c r="O478" s="97"/>
      <c r="P478" s="97"/>
      <c r="Q478" s="97"/>
      <c r="R478" s="97"/>
      <c r="S478" s="97"/>
      <c r="T478" s="97"/>
      <c r="U478" s="97"/>
      <c r="V478" s="97"/>
      <c r="W478" s="97"/>
      <c r="X478" s="97"/>
      <c r="Y478" s="97"/>
      <c r="Z478" s="97"/>
    </row>
    <row r="479" spans="1:26">
      <c r="A479" s="116"/>
      <c r="D479" s="92"/>
      <c r="E479" s="112"/>
      <c r="F479" s="97"/>
      <c r="G479" s="97"/>
      <c r="H479" s="97"/>
      <c r="I479" s="97"/>
      <c r="J479" s="97"/>
      <c r="K479" s="97"/>
      <c r="L479" s="97"/>
      <c r="M479" s="97"/>
      <c r="N479" s="97"/>
      <c r="O479" s="97"/>
      <c r="P479" s="97"/>
      <c r="Q479" s="97"/>
      <c r="R479" s="97"/>
      <c r="S479" s="97"/>
      <c r="T479" s="97"/>
      <c r="U479" s="97"/>
      <c r="V479" s="97"/>
      <c r="W479" s="97"/>
      <c r="X479" s="97"/>
      <c r="Y479" s="97"/>
      <c r="Z479" s="97"/>
    </row>
    <row r="480" spans="1:26">
      <c r="A480" s="116"/>
      <c r="D480" s="92"/>
      <c r="E480" s="112"/>
      <c r="F480" s="97"/>
      <c r="G480" s="97"/>
      <c r="H480" s="97"/>
      <c r="I480" s="97"/>
      <c r="J480" s="97"/>
      <c r="K480" s="97"/>
      <c r="L480" s="97"/>
      <c r="M480" s="97"/>
      <c r="N480" s="97"/>
      <c r="O480" s="97"/>
      <c r="P480" s="97"/>
      <c r="Q480" s="97"/>
      <c r="R480" s="97"/>
      <c r="S480" s="97"/>
      <c r="T480" s="97"/>
      <c r="U480" s="97"/>
      <c r="V480" s="97"/>
      <c r="W480" s="97"/>
      <c r="X480" s="97"/>
      <c r="Y480" s="97"/>
      <c r="Z480" s="97"/>
    </row>
    <row r="481" spans="1:26">
      <c r="A481" s="116"/>
      <c r="D481" s="92"/>
      <c r="E481" s="112"/>
      <c r="F481" s="97"/>
      <c r="G481" s="97"/>
      <c r="H481" s="97"/>
      <c r="I481" s="97"/>
      <c r="J481" s="97"/>
      <c r="K481" s="97"/>
      <c r="L481" s="97"/>
      <c r="M481" s="97"/>
      <c r="N481" s="97"/>
      <c r="O481" s="97"/>
      <c r="P481" s="97"/>
      <c r="Q481" s="97"/>
      <c r="R481" s="97"/>
      <c r="S481" s="97"/>
      <c r="T481" s="97"/>
      <c r="U481" s="97"/>
      <c r="V481" s="97"/>
      <c r="W481" s="97"/>
      <c r="X481" s="97"/>
      <c r="Y481" s="97"/>
      <c r="Z481" s="97"/>
    </row>
    <row r="482" spans="1:26">
      <c r="A482" s="116"/>
      <c r="D482" s="92"/>
      <c r="E482" s="112"/>
      <c r="F482" s="97"/>
      <c r="G482" s="97"/>
      <c r="H482" s="97"/>
      <c r="I482" s="97"/>
      <c r="J482" s="97"/>
      <c r="K482" s="97"/>
      <c r="L482" s="97"/>
      <c r="M482" s="97"/>
      <c r="N482" s="97"/>
      <c r="O482" s="97"/>
      <c r="P482" s="97"/>
      <c r="Q482" s="97"/>
      <c r="R482" s="97"/>
      <c r="S482" s="97"/>
      <c r="T482" s="97"/>
      <c r="U482" s="97"/>
      <c r="V482" s="97"/>
      <c r="W482" s="97"/>
      <c r="X482" s="97"/>
      <c r="Y482" s="97"/>
      <c r="Z482" s="97"/>
    </row>
    <row r="483" spans="1:26">
      <c r="A483" s="116"/>
      <c r="D483" s="92"/>
      <c r="E483" s="112"/>
      <c r="F483" s="97"/>
      <c r="G483" s="97"/>
      <c r="H483" s="97"/>
      <c r="I483" s="97"/>
      <c r="J483" s="97"/>
      <c r="K483" s="97"/>
      <c r="L483" s="97"/>
      <c r="M483" s="97"/>
      <c r="N483" s="97"/>
      <c r="O483" s="97"/>
      <c r="P483" s="97"/>
      <c r="Q483" s="97"/>
      <c r="R483" s="97"/>
      <c r="S483" s="97"/>
      <c r="T483" s="97"/>
      <c r="U483" s="97"/>
      <c r="V483" s="97"/>
      <c r="W483" s="97"/>
      <c r="X483" s="97"/>
      <c r="Y483" s="97"/>
      <c r="Z483" s="97"/>
    </row>
    <row r="484" spans="1:26">
      <c r="A484" s="116"/>
      <c r="D484" s="92"/>
      <c r="E484" s="112"/>
      <c r="F484" s="97"/>
      <c r="G484" s="97"/>
      <c r="H484" s="97"/>
      <c r="I484" s="97"/>
      <c r="J484" s="97"/>
      <c r="K484" s="97"/>
      <c r="L484" s="97"/>
      <c r="M484" s="97"/>
      <c r="N484" s="97"/>
      <c r="O484" s="97"/>
      <c r="P484" s="97"/>
      <c r="Q484" s="97"/>
      <c r="R484" s="97"/>
      <c r="S484" s="97"/>
      <c r="T484" s="97"/>
      <c r="U484" s="97"/>
      <c r="V484" s="97"/>
      <c r="W484" s="97"/>
      <c r="X484" s="97"/>
      <c r="Y484" s="97"/>
      <c r="Z484" s="97"/>
    </row>
    <row r="485" spans="1:26">
      <c r="A485" s="116"/>
      <c r="D485" s="92"/>
      <c r="E485" s="112"/>
      <c r="F485" s="97"/>
      <c r="G485" s="97"/>
      <c r="H485" s="97"/>
      <c r="I485" s="97"/>
      <c r="J485" s="97"/>
      <c r="K485" s="97"/>
      <c r="L485" s="97"/>
      <c r="M485" s="97"/>
      <c r="N485" s="97"/>
      <c r="O485" s="97"/>
      <c r="P485" s="97"/>
      <c r="Q485" s="97"/>
      <c r="R485" s="97"/>
      <c r="S485" s="97"/>
      <c r="T485" s="97"/>
      <c r="U485" s="97"/>
      <c r="V485" s="97"/>
      <c r="W485" s="97"/>
      <c r="X485" s="97"/>
      <c r="Y485" s="97"/>
      <c r="Z485" s="97"/>
    </row>
    <row r="486" spans="1:26">
      <c r="A486" s="116"/>
      <c r="D486" s="92"/>
      <c r="E486" s="112"/>
      <c r="F486" s="97"/>
      <c r="G486" s="97"/>
      <c r="H486" s="97"/>
      <c r="I486" s="97"/>
      <c r="J486" s="97"/>
      <c r="K486" s="97"/>
      <c r="L486" s="97"/>
      <c r="M486" s="97"/>
      <c r="N486" s="97"/>
      <c r="O486" s="97"/>
      <c r="P486" s="97"/>
      <c r="Q486" s="97"/>
      <c r="R486" s="97"/>
      <c r="S486" s="97"/>
      <c r="T486" s="97"/>
      <c r="U486" s="97"/>
      <c r="V486" s="97"/>
      <c r="W486" s="97"/>
      <c r="X486" s="97"/>
      <c r="Y486" s="97"/>
      <c r="Z486" s="97"/>
    </row>
    <row r="487" spans="1:26">
      <c r="A487" s="116"/>
      <c r="D487" s="92"/>
      <c r="E487" s="112"/>
      <c r="F487" s="97"/>
      <c r="G487" s="97"/>
      <c r="H487" s="97"/>
      <c r="I487" s="97"/>
      <c r="J487" s="97"/>
      <c r="K487" s="97"/>
      <c r="L487" s="97"/>
      <c r="M487" s="97"/>
      <c r="N487" s="97"/>
      <c r="O487" s="97"/>
      <c r="P487" s="97"/>
      <c r="Q487" s="97"/>
      <c r="R487" s="97"/>
      <c r="S487" s="97"/>
      <c r="T487" s="97"/>
      <c r="U487" s="97"/>
      <c r="V487" s="97"/>
      <c r="W487" s="97"/>
      <c r="X487" s="97"/>
      <c r="Y487" s="97"/>
      <c r="Z487" s="97"/>
    </row>
    <row r="488" spans="1:26">
      <c r="A488" s="116"/>
      <c r="D488" s="92"/>
      <c r="E488" s="112"/>
      <c r="F488" s="97"/>
      <c r="G488" s="97"/>
      <c r="H488" s="97"/>
      <c r="I488" s="97"/>
      <c r="J488" s="97"/>
      <c r="K488" s="97"/>
      <c r="L488" s="97"/>
      <c r="M488" s="97"/>
      <c r="N488" s="97"/>
      <c r="O488" s="97"/>
      <c r="P488" s="97"/>
      <c r="Q488" s="97"/>
      <c r="R488" s="97"/>
      <c r="S488" s="97"/>
      <c r="T488" s="97"/>
      <c r="U488" s="97"/>
      <c r="V488" s="97"/>
      <c r="W488" s="97"/>
      <c r="X488" s="97"/>
      <c r="Y488" s="97"/>
      <c r="Z488" s="97"/>
    </row>
    <row r="489" spans="1:26">
      <c r="A489" s="116"/>
      <c r="D489" s="92"/>
      <c r="E489" s="112"/>
      <c r="F489" s="97"/>
      <c r="G489" s="97"/>
      <c r="H489" s="97"/>
      <c r="I489" s="97"/>
      <c r="J489" s="97"/>
      <c r="K489" s="97"/>
      <c r="L489" s="97"/>
      <c r="M489" s="97"/>
      <c r="N489" s="97"/>
      <c r="O489" s="97"/>
      <c r="P489" s="97"/>
      <c r="Q489" s="97"/>
      <c r="R489" s="97"/>
      <c r="S489" s="97"/>
      <c r="T489" s="97"/>
      <c r="U489" s="97"/>
      <c r="V489" s="97"/>
      <c r="W489" s="97"/>
      <c r="X489" s="97"/>
      <c r="Y489" s="97"/>
      <c r="Z489" s="97"/>
    </row>
    <row r="490" spans="1:26">
      <c r="A490" s="116"/>
      <c r="D490" s="92"/>
      <c r="E490" s="112"/>
      <c r="F490" s="97"/>
      <c r="G490" s="97"/>
      <c r="H490" s="97"/>
      <c r="I490" s="97"/>
      <c r="J490" s="97"/>
      <c r="K490" s="97"/>
      <c r="L490" s="97"/>
      <c r="M490" s="97"/>
      <c r="N490" s="97"/>
      <c r="O490" s="97"/>
      <c r="P490" s="97"/>
      <c r="Q490" s="97"/>
      <c r="R490" s="97"/>
      <c r="S490" s="97"/>
      <c r="T490" s="97"/>
      <c r="U490" s="97"/>
      <c r="V490" s="97"/>
      <c r="W490" s="97"/>
      <c r="X490" s="97"/>
      <c r="Y490" s="97"/>
      <c r="Z490" s="97"/>
    </row>
    <row r="491" spans="1:26">
      <c r="A491" s="116"/>
      <c r="D491" s="92"/>
      <c r="E491" s="112"/>
      <c r="F491" s="97"/>
      <c r="G491" s="97"/>
      <c r="H491" s="97"/>
      <c r="I491" s="97"/>
      <c r="J491" s="97"/>
      <c r="K491" s="97"/>
      <c r="L491" s="97"/>
      <c r="M491" s="97"/>
      <c r="N491" s="97"/>
      <c r="O491" s="97"/>
      <c r="P491" s="97"/>
      <c r="Q491" s="97"/>
      <c r="R491" s="97"/>
      <c r="S491" s="97"/>
      <c r="T491" s="97"/>
      <c r="U491" s="97"/>
      <c r="V491" s="97"/>
      <c r="W491" s="97"/>
      <c r="X491" s="97"/>
      <c r="Y491" s="97"/>
      <c r="Z491" s="97"/>
    </row>
    <row r="492" spans="1:26">
      <c r="A492" s="116"/>
      <c r="D492" s="92"/>
      <c r="E492" s="112"/>
      <c r="F492" s="97"/>
      <c r="G492" s="97"/>
      <c r="H492" s="97"/>
      <c r="I492" s="97"/>
      <c r="J492" s="97"/>
      <c r="K492" s="97"/>
      <c r="L492" s="97"/>
      <c r="M492" s="97"/>
      <c r="N492" s="97"/>
      <c r="O492" s="97"/>
      <c r="P492" s="97"/>
      <c r="Q492" s="97"/>
      <c r="R492" s="97"/>
      <c r="S492" s="97"/>
      <c r="T492" s="97"/>
      <c r="U492" s="97"/>
      <c r="V492" s="97"/>
      <c r="W492" s="97"/>
      <c r="X492" s="97"/>
      <c r="Y492" s="97"/>
      <c r="Z492" s="97"/>
    </row>
    <row r="493" spans="1:26">
      <c r="A493" s="116"/>
      <c r="D493" s="92"/>
      <c r="E493" s="112"/>
      <c r="F493" s="97"/>
      <c r="G493" s="97"/>
      <c r="H493" s="97"/>
      <c r="I493" s="97"/>
      <c r="J493" s="97"/>
      <c r="K493" s="97"/>
      <c r="L493" s="97"/>
      <c r="M493" s="97"/>
      <c r="N493" s="97"/>
      <c r="O493" s="97"/>
      <c r="P493" s="97"/>
      <c r="Q493" s="97"/>
      <c r="R493" s="97"/>
      <c r="S493" s="97"/>
      <c r="T493" s="97"/>
      <c r="U493" s="97"/>
      <c r="V493" s="97"/>
      <c r="W493" s="97"/>
      <c r="X493" s="97"/>
      <c r="Y493" s="97"/>
      <c r="Z493" s="97"/>
    </row>
    <row r="494" spans="1:26">
      <c r="A494" s="116"/>
      <c r="D494" s="92"/>
      <c r="E494" s="112"/>
      <c r="F494" s="97"/>
      <c r="G494" s="97"/>
      <c r="H494" s="97"/>
      <c r="I494" s="97"/>
      <c r="J494" s="97"/>
      <c r="K494" s="97"/>
      <c r="L494" s="97"/>
      <c r="M494" s="97"/>
      <c r="N494" s="97"/>
      <c r="O494" s="97"/>
      <c r="P494" s="97"/>
      <c r="Q494" s="97"/>
      <c r="R494" s="97"/>
      <c r="S494" s="97"/>
      <c r="T494" s="97"/>
      <c r="U494" s="97"/>
      <c r="V494" s="97"/>
      <c r="W494" s="97"/>
      <c r="X494" s="97"/>
      <c r="Y494" s="97"/>
      <c r="Z494" s="97"/>
    </row>
    <row r="495" spans="1:26">
      <c r="A495" s="116"/>
      <c r="D495" s="92"/>
      <c r="E495" s="112"/>
      <c r="F495" s="97"/>
      <c r="G495" s="97"/>
      <c r="H495" s="97"/>
      <c r="I495" s="97"/>
      <c r="J495" s="97"/>
      <c r="K495" s="97"/>
      <c r="L495" s="97"/>
      <c r="M495" s="97"/>
      <c r="N495" s="97"/>
      <c r="O495" s="97"/>
      <c r="P495" s="97"/>
      <c r="Q495" s="97"/>
      <c r="R495" s="97"/>
      <c r="S495" s="97"/>
      <c r="T495" s="97"/>
      <c r="U495" s="97"/>
      <c r="V495" s="97"/>
      <c r="W495" s="97"/>
      <c r="X495" s="97"/>
      <c r="Y495" s="97"/>
      <c r="Z495" s="97"/>
    </row>
    <row r="496" spans="1:26">
      <c r="A496" s="116"/>
      <c r="D496" s="92"/>
      <c r="E496" s="112"/>
      <c r="F496" s="97"/>
      <c r="G496" s="97"/>
      <c r="H496" s="97"/>
      <c r="I496" s="97"/>
      <c r="J496" s="97"/>
      <c r="K496" s="97"/>
      <c r="L496" s="97"/>
      <c r="M496" s="97"/>
      <c r="N496" s="97"/>
      <c r="O496" s="97"/>
      <c r="P496" s="97"/>
      <c r="Q496" s="97"/>
      <c r="R496" s="97"/>
      <c r="S496" s="97"/>
      <c r="T496" s="97"/>
      <c r="U496" s="97"/>
      <c r="V496" s="97"/>
      <c r="W496" s="97"/>
      <c r="X496" s="97"/>
      <c r="Y496" s="97"/>
      <c r="Z496" s="97"/>
    </row>
    <row r="497" spans="1:26">
      <c r="A497" s="116"/>
      <c r="D497" s="92"/>
      <c r="E497" s="112"/>
      <c r="F497" s="97"/>
      <c r="G497" s="97"/>
      <c r="H497" s="97"/>
      <c r="I497" s="97"/>
      <c r="J497" s="97"/>
      <c r="K497" s="97"/>
      <c r="L497" s="97"/>
      <c r="M497" s="97"/>
      <c r="N497" s="97"/>
      <c r="O497" s="97"/>
      <c r="P497" s="97"/>
      <c r="Q497" s="97"/>
      <c r="R497" s="97"/>
      <c r="S497" s="97"/>
      <c r="T497" s="97"/>
      <c r="U497" s="97"/>
      <c r="V497" s="97"/>
      <c r="W497" s="97"/>
      <c r="X497" s="97"/>
      <c r="Y497" s="97"/>
      <c r="Z497" s="97"/>
    </row>
    <row r="498" spans="1:26">
      <c r="A498" s="116"/>
      <c r="D498" s="92"/>
      <c r="E498" s="112"/>
      <c r="F498" s="97"/>
      <c r="G498" s="97"/>
      <c r="H498" s="97"/>
      <c r="I498" s="97"/>
      <c r="J498" s="97"/>
      <c r="K498" s="97"/>
      <c r="L498" s="97"/>
      <c r="M498" s="97"/>
      <c r="N498" s="97"/>
      <c r="O498" s="97"/>
      <c r="P498" s="97"/>
      <c r="Q498" s="97"/>
      <c r="R498" s="97"/>
      <c r="S498" s="97"/>
      <c r="T498" s="97"/>
      <c r="U498" s="97"/>
      <c r="V498" s="97"/>
      <c r="W498" s="97"/>
      <c r="X498" s="97"/>
      <c r="Y498" s="97"/>
      <c r="Z498" s="97"/>
    </row>
    <row r="499" spans="1:26">
      <c r="A499" s="116"/>
      <c r="D499" s="92"/>
      <c r="E499" s="112"/>
      <c r="F499" s="97"/>
      <c r="G499" s="97"/>
      <c r="H499" s="97"/>
      <c r="I499" s="97"/>
      <c r="J499" s="97"/>
      <c r="K499" s="97"/>
      <c r="L499" s="97"/>
      <c r="M499" s="97"/>
      <c r="N499" s="97"/>
      <c r="O499" s="97"/>
      <c r="P499" s="97"/>
      <c r="Q499" s="97"/>
      <c r="R499" s="97"/>
      <c r="S499" s="97"/>
      <c r="T499" s="97"/>
      <c r="U499" s="97"/>
      <c r="V499" s="97"/>
      <c r="W499" s="97"/>
      <c r="X499" s="97"/>
      <c r="Y499" s="97"/>
      <c r="Z499" s="97"/>
    </row>
    <row r="500" spans="1:26">
      <c r="A500" s="116"/>
      <c r="D500" s="92"/>
      <c r="E500" s="112"/>
      <c r="F500" s="97"/>
      <c r="G500" s="97"/>
      <c r="H500" s="97"/>
      <c r="I500" s="97"/>
      <c r="J500" s="97"/>
      <c r="K500" s="97"/>
      <c r="L500" s="97"/>
      <c r="M500" s="97"/>
      <c r="N500" s="97"/>
      <c r="O500" s="97"/>
      <c r="P500" s="97"/>
      <c r="Q500" s="97"/>
      <c r="R500" s="97"/>
      <c r="S500" s="97"/>
      <c r="T500" s="97"/>
      <c r="U500" s="97"/>
      <c r="V500" s="97"/>
      <c r="W500" s="97"/>
      <c r="X500" s="97"/>
      <c r="Y500" s="97"/>
      <c r="Z500" s="97"/>
    </row>
    <row r="501" spans="1:26">
      <c r="A501" s="116"/>
      <c r="D501" s="92"/>
      <c r="E501" s="112"/>
      <c r="F501" s="97"/>
      <c r="G501" s="97"/>
      <c r="H501" s="97"/>
      <c r="I501" s="97"/>
      <c r="J501" s="97"/>
      <c r="K501" s="97"/>
      <c r="L501" s="97"/>
      <c r="M501" s="97"/>
      <c r="N501" s="97"/>
      <c r="O501" s="97"/>
      <c r="P501" s="97"/>
      <c r="Q501" s="97"/>
      <c r="R501" s="97"/>
      <c r="S501" s="97"/>
      <c r="T501" s="97"/>
      <c r="U501" s="97"/>
      <c r="V501" s="97"/>
      <c r="W501" s="97"/>
      <c r="X501" s="97"/>
      <c r="Y501" s="97"/>
      <c r="Z501" s="97"/>
    </row>
    <row r="502" spans="1:26">
      <c r="A502" s="116"/>
      <c r="D502" s="92"/>
      <c r="E502" s="112"/>
      <c r="F502" s="97"/>
      <c r="G502" s="97"/>
      <c r="H502" s="97"/>
      <c r="I502" s="97"/>
      <c r="J502" s="97"/>
      <c r="K502" s="97"/>
      <c r="L502" s="97"/>
      <c r="M502" s="97"/>
      <c r="N502" s="97"/>
      <c r="O502" s="97"/>
      <c r="P502" s="97"/>
      <c r="Q502" s="97"/>
      <c r="R502" s="97"/>
      <c r="S502" s="97"/>
      <c r="T502" s="97"/>
      <c r="U502" s="97"/>
      <c r="V502" s="97"/>
      <c r="W502" s="97"/>
      <c r="X502" s="97"/>
      <c r="Y502" s="97"/>
      <c r="Z502" s="97"/>
    </row>
    <row r="503" spans="1:26">
      <c r="A503" s="116"/>
      <c r="D503" s="92"/>
      <c r="E503" s="112"/>
      <c r="F503" s="97"/>
      <c r="G503" s="97"/>
      <c r="H503" s="97"/>
      <c r="I503" s="97"/>
      <c r="J503" s="97"/>
      <c r="K503" s="97"/>
      <c r="L503" s="97"/>
      <c r="M503" s="97"/>
      <c r="N503" s="97"/>
      <c r="O503" s="97"/>
      <c r="P503" s="97"/>
      <c r="Q503" s="97"/>
      <c r="R503" s="97"/>
      <c r="S503" s="97"/>
      <c r="T503" s="97"/>
      <c r="U503" s="97"/>
      <c r="V503" s="97"/>
      <c r="W503" s="97"/>
      <c r="X503" s="97"/>
      <c r="Y503" s="97"/>
      <c r="Z503" s="97"/>
    </row>
    <row r="504" spans="1:26">
      <c r="A504" s="116"/>
      <c r="D504" s="92"/>
      <c r="E504" s="112"/>
      <c r="F504" s="97"/>
      <c r="G504" s="97"/>
      <c r="H504" s="97"/>
      <c r="I504" s="97"/>
      <c r="J504" s="97"/>
      <c r="K504" s="97"/>
      <c r="L504" s="97"/>
      <c r="M504" s="97"/>
      <c r="N504" s="97"/>
      <c r="O504" s="97"/>
      <c r="P504" s="97"/>
      <c r="Q504" s="97"/>
      <c r="R504" s="97"/>
      <c r="S504" s="97"/>
      <c r="T504" s="97"/>
      <c r="U504" s="97"/>
      <c r="V504" s="97"/>
      <c r="W504" s="97"/>
      <c r="X504" s="97"/>
      <c r="Y504" s="97"/>
      <c r="Z504" s="97"/>
    </row>
    <row r="505" spans="1:26">
      <c r="A505" s="116"/>
      <c r="D505" s="92"/>
      <c r="E505" s="112"/>
      <c r="F505" s="97"/>
      <c r="G505" s="97"/>
      <c r="H505" s="97"/>
      <c r="I505" s="97"/>
      <c r="J505" s="97"/>
      <c r="K505" s="97"/>
      <c r="L505" s="97"/>
      <c r="M505" s="97"/>
      <c r="N505" s="97"/>
      <c r="O505" s="97"/>
      <c r="P505" s="97"/>
      <c r="Q505" s="97"/>
      <c r="R505" s="97"/>
      <c r="S505" s="97"/>
      <c r="T505" s="97"/>
      <c r="U505" s="97"/>
      <c r="V505" s="97"/>
      <c r="W505" s="97"/>
      <c r="X505" s="97"/>
      <c r="Y505" s="97"/>
      <c r="Z505" s="97"/>
    </row>
    <row r="506" spans="1:26">
      <c r="A506" s="116"/>
      <c r="D506" s="92"/>
      <c r="E506" s="112"/>
      <c r="F506" s="97"/>
      <c r="G506" s="97"/>
      <c r="H506" s="97"/>
      <c r="I506" s="97"/>
      <c r="J506" s="97"/>
      <c r="K506" s="97"/>
      <c r="L506" s="97"/>
      <c r="M506" s="97"/>
      <c r="N506" s="97"/>
      <c r="O506" s="97"/>
      <c r="P506" s="97"/>
      <c r="Q506" s="97"/>
      <c r="R506" s="97"/>
      <c r="S506" s="97"/>
      <c r="T506" s="97"/>
      <c r="U506" s="97"/>
      <c r="V506" s="97"/>
      <c r="W506" s="97"/>
      <c r="X506" s="97"/>
      <c r="Y506" s="97"/>
      <c r="Z506" s="97"/>
    </row>
    <row r="507" spans="1:26">
      <c r="A507" s="116"/>
      <c r="D507" s="92"/>
      <c r="E507" s="112"/>
      <c r="F507" s="97"/>
      <c r="G507" s="97"/>
      <c r="H507" s="97"/>
      <c r="I507" s="97"/>
      <c r="J507" s="97"/>
      <c r="K507" s="97"/>
      <c r="L507" s="97"/>
      <c r="M507" s="97"/>
      <c r="N507" s="97"/>
      <c r="O507" s="97"/>
      <c r="P507" s="97"/>
      <c r="Q507" s="97"/>
      <c r="R507" s="97"/>
      <c r="S507" s="97"/>
      <c r="T507" s="97"/>
      <c r="U507" s="97"/>
      <c r="V507" s="97"/>
      <c r="W507" s="97"/>
      <c r="X507" s="97"/>
      <c r="Y507" s="97"/>
      <c r="Z507" s="97"/>
    </row>
    <row r="508" spans="1:26">
      <c r="A508" s="116"/>
      <c r="D508" s="92"/>
      <c r="E508" s="112"/>
      <c r="F508" s="97"/>
      <c r="G508" s="97"/>
      <c r="H508" s="97"/>
      <c r="I508" s="97"/>
      <c r="J508" s="97"/>
      <c r="K508" s="97"/>
      <c r="L508" s="97"/>
      <c r="M508" s="97"/>
      <c r="N508" s="97"/>
      <c r="O508" s="97"/>
      <c r="P508" s="97"/>
      <c r="Q508" s="97"/>
      <c r="R508" s="97"/>
      <c r="S508" s="97"/>
      <c r="T508" s="97"/>
      <c r="U508" s="97"/>
      <c r="V508" s="97"/>
      <c r="W508" s="97"/>
      <c r="X508" s="97"/>
      <c r="Y508" s="97"/>
      <c r="Z508" s="97"/>
    </row>
    <row r="509" spans="1:26">
      <c r="A509" s="116"/>
      <c r="D509" s="92"/>
      <c r="E509" s="112"/>
      <c r="F509" s="97"/>
      <c r="G509" s="97"/>
      <c r="H509" s="97"/>
      <c r="I509" s="97"/>
      <c r="J509" s="97"/>
      <c r="K509" s="97"/>
      <c r="L509" s="97"/>
      <c r="M509" s="97"/>
      <c r="N509" s="97"/>
      <c r="O509" s="97"/>
      <c r="P509" s="97"/>
      <c r="Q509" s="97"/>
      <c r="R509" s="97"/>
      <c r="S509" s="97"/>
      <c r="T509" s="97"/>
      <c r="U509" s="97"/>
      <c r="V509" s="97"/>
      <c r="W509" s="97"/>
      <c r="X509" s="97"/>
      <c r="Y509" s="97"/>
      <c r="Z509" s="97"/>
    </row>
    <row r="510" spans="1:26">
      <c r="A510" s="116"/>
      <c r="D510" s="92"/>
      <c r="E510" s="112"/>
      <c r="F510" s="97"/>
      <c r="G510" s="97"/>
      <c r="H510" s="97"/>
      <c r="I510" s="97"/>
      <c r="J510" s="97"/>
      <c r="K510" s="97"/>
      <c r="L510" s="97"/>
      <c r="M510" s="97"/>
      <c r="N510" s="97"/>
      <c r="O510" s="97"/>
      <c r="P510" s="97"/>
      <c r="Q510" s="97"/>
      <c r="R510" s="97"/>
      <c r="S510" s="97"/>
      <c r="T510" s="97"/>
      <c r="U510" s="97"/>
      <c r="V510" s="97"/>
      <c r="W510" s="97"/>
      <c r="X510" s="97"/>
      <c r="Y510" s="97"/>
      <c r="Z510" s="97"/>
    </row>
    <row r="511" spans="1:26">
      <c r="A511" s="116"/>
      <c r="D511" s="92"/>
      <c r="E511" s="112"/>
      <c r="F511" s="97"/>
      <c r="G511" s="97"/>
      <c r="H511" s="97"/>
      <c r="I511" s="97"/>
      <c r="J511" s="97"/>
      <c r="K511" s="97"/>
      <c r="L511" s="97"/>
      <c r="M511" s="97"/>
      <c r="N511" s="97"/>
      <c r="O511" s="97"/>
      <c r="P511" s="97"/>
      <c r="Q511" s="97"/>
      <c r="R511" s="97"/>
      <c r="S511" s="97"/>
      <c r="T511" s="97"/>
      <c r="U511" s="97"/>
      <c r="V511" s="97"/>
      <c r="W511" s="97"/>
      <c r="X511" s="97"/>
      <c r="Y511" s="97"/>
      <c r="Z511" s="97"/>
    </row>
    <row r="512" spans="1:26">
      <c r="A512" s="116"/>
      <c r="D512" s="92"/>
      <c r="E512" s="112"/>
      <c r="F512" s="97"/>
      <c r="G512" s="97"/>
      <c r="H512" s="97"/>
      <c r="I512" s="97"/>
      <c r="J512" s="97"/>
      <c r="K512" s="97"/>
      <c r="L512" s="97"/>
      <c r="M512" s="97"/>
      <c r="N512" s="97"/>
      <c r="O512" s="97"/>
      <c r="P512" s="97"/>
      <c r="Q512" s="97"/>
      <c r="R512" s="97"/>
      <c r="S512" s="97"/>
      <c r="T512" s="97"/>
      <c r="U512" s="97"/>
      <c r="V512" s="97"/>
      <c r="W512" s="97"/>
      <c r="X512" s="97"/>
      <c r="Y512" s="97"/>
      <c r="Z512" s="97"/>
    </row>
    <row r="513" spans="1:26">
      <c r="A513" s="116"/>
      <c r="D513" s="92"/>
      <c r="E513" s="112"/>
      <c r="F513" s="97"/>
      <c r="G513" s="97"/>
      <c r="H513" s="97"/>
      <c r="I513" s="97"/>
      <c r="J513" s="97"/>
      <c r="K513" s="97"/>
      <c r="L513" s="97"/>
      <c r="M513" s="97"/>
      <c r="N513" s="97"/>
      <c r="O513" s="97"/>
      <c r="P513" s="97"/>
      <c r="Q513" s="97"/>
      <c r="R513" s="97"/>
      <c r="S513" s="97"/>
      <c r="T513" s="97"/>
      <c r="U513" s="97"/>
      <c r="V513" s="97"/>
      <c r="W513" s="97"/>
      <c r="X513" s="97"/>
      <c r="Y513" s="97"/>
      <c r="Z513" s="97"/>
    </row>
    <row r="514" spans="1:26">
      <c r="A514" s="116"/>
      <c r="D514" s="92"/>
      <c r="E514" s="112"/>
      <c r="F514" s="97"/>
      <c r="G514" s="97"/>
      <c r="H514" s="97"/>
      <c r="I514" s="97"/>
      <c r="J514" s="97"/>
      <c r="K514" s="97"/>
      <c r="L514" s="97"/>
      <c r="M514" s="97"/>
      <c r="N514" s="97"/>
      <c r="O514" s="97"/>
      <c r="P514" s="97"/>
      <c r="Q514" s="97"/>
      <c r="R514" s="97"/>
      <c r="S514" s="97"/>
      <c r="T514" s="97"/>
      <c r="U514" s="97"/>
      <c r="V514" s="97"/>
      <c r="W514" s="97"/>
      <c r="X514" s="97"/>
      <c r="Y514" s="97"/>
      <c r="Z514" s="97"/>
    </row>
    <row r="515" spans="1:26">
      <c r="A515" s="116"/>
      <c r="D515" s="92"/>
      <c r="E515" s="112"/>
      <c r="F515" s="97"/>
      <c r="G515" s="97"/>
      <c r="H515" s="97"/>
      <c r="I515" s="97"/>
      <c r="J515" s="97"/>
      <c r="K515" s="97"/>
      <c r="L515" s="97"/>
      <c r="M515" s="97"/>
      <c r="N515" s="97"/>
      <c r="O515" s="97"/>
      <c r="P515" s="97"/>
      <c r="Q515" s="97"/>
      <c r="R515" s="97"/>
      <c r="S515" s="97"/>
      <c r="T515" s="97"/>
      <c r="U515" s="97"/>
      <c r="V515" s="97"/>
      <c r="W515" s="97"/>
      <c r="X515" s="97"/>
      <c r="Y515" s="97"/>
      <c r="Z515" s="97"/>
    </row>
    <row r="516" spans="1:26">
      <c r="A516" s="116"/>
      <c r="D516" s="92"/>
      <c r="E516" s="112"/>
      <c r="F516" s="97"/>
      <c r="G516" s="97"/>
      <c r="H516" s="97"/>
      <c r="I516" s="97"/>
      <c r="J516" s="97"/>
      <c r="K516" s="97"/>
      <c r="L516" s="97"/>
      <c r="M516" s="97"/>
      <c r="N516" s="97"/>
      <c r="O516" s="97"/>
      <c r="P516" s="97"/>
      <c r="Q516" s="97"/>
      <c r="R516" s="97"/>
      <c r="S516" s="97"/>
      <c r="T516" s="97"/>
      <c r="U516" s="97"/>
      <c r="V516" s="97"/>
      <c r="W516" s="97"/>
      <c r="X516" s="97"/>
      <c r="Y516" s="97"/>
      <c r="Z516" s="97"/>
    </row>
    <row r="517" spans="1:26">
      <c r="A517" s="116"/>
      <c r="D517" s="92"/>
      <c r="E517" s="112"/>
      <c r="F517" s="97"/>
      <c r="G517" s="97"/>
      <c r="H517" s="97"/>
      <c r="I517" s="97"/>
      <c r="J517" s="97"/>
      <c r="K517" s="97"/>
      <c r="L517" s="97"/>
      <c r="M517" s="97"/>
      <c r="N517" s="97"/>
      <c r="O517" s="97"/>
      <c r="P517" s="97"/>
      <c r="Q517" s="97"/>
      <c r="R517" s="97"/>
      <c r="S517" s="97"/>
      <c r="T517" s="97"/>
      <c r="U517" s="97"/>
      <c r="V517" s="97"/>
      <c r="W517" s="97"/>
      <c r="X517" s="97"/>
      <c r="Y517" s="97"/>
      <c r="Z517" s="97"/>
    </row>
    <row r="518" spans="1:26">
      <c r="A518" s="116"/>
      <c r="D518" s="92"/>
      <c r="E518" s="112"/>
      <c r="F518" s="97"/>
      <c r="G518" s="97"/>
      <c r="H518" s="97"/>
      <c r="I518" s="97"/>
      <c r="J518" s="97"/>
      <c r="K518" s="97"/>
      <c r="L518" s="97"/>
      <c r="M518" s="97"/>
      <c r="N518" s="97"/>
      <c r="O518" s="97"/>
      <c r="P518" s="97"/>
      <c r="Q518" s="97"/>
      <c r="R518" s="97"/>
      <c r="S518" s="97"/>
      <c r="T518" s="97"/>
      <c r="U518" s="97"/>
      <c r="V518" s="97"/>
      <c r="W518" s="97"/>
      <c r="X518" s="97"/>
      <c r="Y518" s="97"/>
      <c r="Z518" s="97"/>
    </row>
    <row r="519" spans="1:26">
      <c r="A519" s="116"/>
      <c r="D519" s="92"/>
      <c r="E519" s="112"/>
      <c r="F519" s="97"/>
      <c r="G519" s="97"/>
      <c r="H519" s="97"/>
      <c r="I519" s="97"/>
      <c r="J519" s="97"/>
      <c r="K519" s="97"/>
      <c r="L519" s="97"/>
      <c r="M519" s="97"/>
      <c r="N519" s="97"/>
      <c r="O519" s="97"/>
      <c r="P519" s="97"/>
      <c r="Q519" s="97"/>
      <c r="R519" s="97"/>
      <c r="S519" s="97"/>
      <c r="T519" s="97"/>
      <c r="U519" s="97"/>
      <c r="V519" s="97"/>
      <c r="W519" s="97"/>
      <c r="X519" s="97"/>
      <c r="Y519" s="97"/>
      <c r="Z519" s="97"/>
    </row>
    <row r="520" spans="1:26">
      <c r="A520" s="116"/>
      <c r="D520" s="92"/>
      <c r="E520" s="112"/>
      <c r="F520" s="97"/>
      <c r="G520" s="97"/>
      <c r="H520" s="97"/>
      <c r="I520" s="97"/>
      <c r="J520" s="97"/>
      <c r="K520" s="97"/>
      <c r="L520" s="97"/>
      <c r="M520" s="97"/>
      <c r="N520" s="97"/>
      <c r="O520" s="97"/>
      <c r="P520" s="97"/>
      <c r="Q520" s="97"/>
      <c r="R520" s="97"/>
      <c r="S520" s="97"/>
      <c r="T520" s="97"/>
      <c r="U520" s="97"/>
      <c r="V520" s="97"/>
      <c r="W520" s="97"/>
      <c r="X520" s="97"/>
      <c r="Y520" s="97"/>
      <c r="Z520" s="97"/>
    </row>
    <row r="521" spans="1:26">
      <c r="A521" s="116"/>
      <c r="D521" s="92"/>
      <c r="E521" s="112"/>
      <c r="F521" s="97"/>
      <c r="G521" s="97"/>
      <c r="H521" s="97"/>
      <c r="I521" s="97"/>
      <c r="J521" s="97"/>
      <c r="K521" s="97"/>
      <c r="L521" s="97"/>
      <c r="M521" s="97"/>
      <c r="N521" s="97"/>
      <c r="O521" s="97"/>
      <c r="P521" s="97"/>
      <c r="Q521" s="97"/>
      <c r="R521" s="97"/>
      <c r="S521" s="97"/>
      <c r="T521" s="97"/>
      <c r="U521" s="97"/>
      <c r="V521" s="97"/>
      <c r="W521" s="97"/>
      <c r="X521" s="97"/>
      <c r="Y521" s="97"/>
      <c r="Z521" s="97"/>
    </row>
    <row r="522" spans="1:26">
      <c r="A522" s="116"/>
      <c r="D522" s="92"/>
      <c r="E522" s="112"/>
      <c r="F522" s="97"/>
      <c r="G522" s="97"/>
      <c r="H522" s="97"/>
      <c r="I522" s="97"/>
      <c r="J522" s="97"/>
      <c r="K522" s="97"/>
      <c r="L522" s="97"/>
      <c r="M522" s="97"/>
      <c r="N522" s="97"/>
      <c r="O522" s="97"/>
      <c r="P522" s="97"/>
      <c r="Q522" s="97"/>
      <c r="R522" s="97"/>
      <c r="S522" s="97"/>
      <c r="T522" s="97"/>
      <c r="U522" s="97"/>
      <c r="V522" s="97"/>
      <c r="W522" s="97"/>
      <c r="X522" s="97"/>
      <c r="Y522" s="97"/>
      <c r="Z522" s="97"/>
    </row>
    <row r="523" spans="1:26">
      <c r="A523" s="116"/>
      <c r="D523" s="92"/>
      <c r="E523" s="112"/>
      <c r="F523" s="97"/>
      <c r="G523" s="97"/>
      <c r="H523" s="97"/>
      <c r="I523" s="97"/>
      <c r="J523" s="97"/>
      <c r="K523" s="97"/>
      <c r="L523" s="97"/>
      <c r="M523" s="97"/>
      <c r="N523" s="97"/>
      <c r="O523" s="97"/>
      <c r="P523" s="97"/>
      <c r="Q523" s="97"/>
      <c r="R523" s="97"/>
      <c r="S523" s="97"/>
      <c r="T523" s="97"/>
      <c r="U523" s="97"/>
      <c r="V523" s="97"/>
      <c r="W523" s="97"/>
      <c r="X523" s="97"/>
      <c r="Y523" s="97"/>
      <c r="Z523" s="97"/>
    </row>
    <row r="524" spans="1:26">
      <c r="A524" s="116"/>
      <c r="D524" s="92"/>
      <c r="E524" s="112"/>
      <c r="F524" s="97"/>
      <c r="G524" s="97"/>
      <c r="H524" s="97"/>
      <c r="I524" s="97"/>
      <c r="J524" s="97"/>
      <c r="K524" s="97"/>
      <c r="L524" s="97"/>
      <c r="M524" s="97"/>
      <c r="N524" s="97"/>
      <c r="O524" s="97"/>
      <c r="P524" s="97"/>
      <c r="Q524" s="97"/>
      <c r="R524" s="97"/>
      <c r="S524" s="97"/>
      <c r="T524" s="97"/>
      <c r="U524" s="97"/>
      <c r="V524" s="97"/>
      <c r="W524" s="97"/>
      <c r="X524" s="97"/>
      <c r="Y524" s="97"/>
      <c r="Z524" s="97"/>
    </row>
    <row r="525" spans="1:26">
      <c r="A525" s="116"/>
      <c r="D525" s="92"/>
      <c r="E525" s="112"/>
      <c r="F525" s="97"/>
      <c r="G525" s="97"/>
      <c r="H525" s="97"/>
      <c r="I525" s="97"/>
      <c r="J525" s="97"/>
      <c r="K525" s="97"/>
      <c r="L525" s="97"/>
      <c r="M525" s="97"/>
      <c r="N525" s="97"/>
      <c r="O525" s="97"/>
      <c r="P525" s="97"/>
      <c r="Q525" s="97"/>
      <c r="R525" s="97"/>
      <c r="S525" s="97"/>
      <c r="T525" s="97"/>
      <c r="U525" s="97"/>
      <c r="V525" s="97"/>
      <c r="W525" s="97"/>
      <c r="X525" s="97"/>
      <c r="Y525" s="97"/>
      <c r="Z525" s="97"/>
    </row>
    <row r="526" spans="1:26">
      <c r="A526" s="116"/>
      <c r="D526" s="92"/>
      <c r="E526" s="112"/>
      <c r="F526" s="97"/>
      <c r="G526" s="97"/>
      <c r="H526" s="97"/>
      <c r="I526" s="97"/>
      <c r="J526" s="97"/>
      <c r="K526" s="97"/>
      <c r="L526" s="97"/>
      <c r="M526" s="97"/>
      <c r="N526" s="97"/>
      <c r="O526" s="97"/>
      <c r="P526" s="97"/>
      <c r="Q526" s="97"/>
      <c r="R526" s="97"/>
      <c r="S526" s="97"/>
      <c r="T526" s="97"/>
      <c r="U526" s="97"/>
      <c r="V526" s="97"/>
      <c r="W526" s="97"/>
      <c r="X526" s="97"/>
      <c r="Y526" s="97"/>
      <c r="Z526" s="97"/>
    </row>
    <row r="527" spans="1:26">
      <c r="A527" s="116"/>
      <c r="D527" s="92"/>
      <c r="E527" s="112"/>
      <c r="F527" s="97"/>
      <c r="G527" s="97"/>
      <c r="H527" s="97"/>
      <c r="I527" s="97"/>
      <c r="J527" s="97"/>
      <c r="K527" s="97"/>
      <c r="L527" s="97"/>
      <c r="M527" s="97"/>
      <c r="N527" s="97"/>
      <c r="O527" s="97"/>
      <c r="P527" s="97"/>
      <c r="Q527" s="97"/>
      <c r="R527" s="97"/>
      <c r="S527" s="97"/>
      <c r="T527" s="97"/>
      <c r="U527" s="97"/>
      <c r="V527" s="97"/>
      <c r="W527" s="97"/>
      <c r="X527" s="97"/>
      <c r="Y527" s="97"/>
      <c r="Z527" s="97"/>
    </row>
    <row r="528" spans="1:26">
      <c r="A528" s="116"/>
      <c r="D528" s="92"/>
      <c r="E528" s="112"/>
      <c r="F528" s="97"/>
      <c r="G528" s="97"/>
      <c r="H528" s="97"/>
      <c r="I528" s="97"/>
      <c r="J528" s="97"/>
      <c r="K528" s="97"/>
      <c r="L528" s="97"/>
      <c r="M528" s="97"/>
      <c r="N528" s="97"/>
      <c r="O528" s="97"/>
      <c r="P528" s="97"/>
      <c r="Q528" s="97"/>
      <c r="R528" s="97"/>
      <c r="S528" s="97"/>
      <c r="T528" s="97"/>
      <c r="U528" s="97"/>
      <c r="V528" s="97"/>
      <c r="W528" s="97"/>
      <c r="X528" s="97"/>
      <c r="Y528" s="97"/>
      <c r="Z528" s="97"/>
    </row>
    <row r="529" spans="1:26">
      <c r="A529" s="116"/>
      <c r="D529" s="92"/>
      <c r="E529" s="112"/>
      <c r="F529" s="97"/>
      <c r="G529" s="97"/>
      <c r="H529" s="97"/>
      <c r="I529" s="97"/>
      <c r="J529" s="97"/>
      <c r="K529" s="97"/>
      <c r="L529" s="97"/>
      <c r="M529" s="97"/>
      <c r="N529" s="97"/>
      <c r="O529" s="97"/>
      <c r="P529" s="97"/>
      <c r="Q529" s="97"/>
      <c r="R529" s="97"/>
      <c r="S529" s="97"/>
      <c r="T529" s="97"/>
      <c r="U529" s="97"/>
      <c r="V529" s="97"/>
      <c r="W529" s="97"/>
      <c r="X529" s="97"/>
      <c r="Y529" s="97"/>
      <c r="Z529" s="97"/>
    </row>
    <row r="530" spans="1:26">
      <c r="A530" s="116"/>
      <c r="D530" s="92"/>
      <c r="E530" s="112"/>
      <c r="F530" s="97"/>
      <c r="G530" s="97"/>
      <c r="H530" s="97"/>
      <c r="I530" s="97"/>
      <c r="J530" s="97"/>
      <c r="K530" s="97"/>
      <c r="L530" s="97"/>
      <c r="M530" s="97"/>
      <c r="N530" s="97"/>
      <c r="O530" s="97"/>
      <c r="P530" s="97"/>
      <c r="Q530" s="97"/>
      <c r="R530" s="97"/>
      <c r="S530" s="97"/>
      <c r="T530" s="97"/>
      <c r="U530" s="97"/>
      <c r="V530" s="97"/>
      <c r="W530" s="97"/>
      <c r="X530" s="97"/>
      <c r="Y530" s="97"/>
      <c r="Z530" s="97"/>
    </row>
    <row r="531" spans="1:26">
      <c r="A531" s="116"/>
      <c r="D531" s="92"/>
      <c r="E531" s="112"/>
      <c r="F531" s="97"/>
      <c r="G531" s="97"/>
      <c r="H531" s="97"/>
      <c r="I531" s="97"/>
      <c r="J531" s="97"/>
      <c r="K531" s="97"/>
      <c r="L531" s="97"/>
      <c r="M531" s="97"/>
      <c r="N531" s="97"/>
      <c r="O531" s="97"/>
      <c r="P531" s="97"/>
      <c r="Q531" s="97"/>
      <c r="R531" s="97"/>
      <c r="S531" s="97"/>
      <c r="T531" s="97"/>
      <c r="U531" s="97"/>
      <c r="V531" s="97"/>
      <c r="W531" s="97"/>
      <c r="X531" s="97"/>
      <c r="Y531" s="97"/>
      <c r="Z531" s="97"/>
    </row>
    <row r="532" spans="1:26">
      <c r="A532" s="116"/>
      <c r="D532" s="92"/>
      <c r="E532" s="112"/>
      <c r="F532" s="97"/>
      <c r="G532" s="97"/>
      <c r="H532" s="97"/>
      <c r="I532" s="97"/>
      <c r="J532" s="97"/>
      <c r="K532" s="97"/>
      <c r="L532" s="97"/>
      <c r="M532" s="97"/>
      <c r="N532" s="97"/>
      <c r="O532" s="97"/>
      <c r="P532" s="97"/>
      <c r="Q532" s="97"/>
      <c r="R532" s="97"/>
      <c r="S532" s="97"/>
      <c r="T532" s="97"/>
      <c r="U532" s="97"/>
      <c r="V532" s="97"/>
      <c r="W532" s="97"/>
      <c r="X532" s="97"/>
      <c r="Y532" s="97"/>
      <c r="Z532" s="97"/>
    </row>
    <row r="533" spans="1:26">
      <c r="A533" s="116"/>
      <c r="D533" s="92"/>
      <c r="E533" s="112"/>
      <c r="F533" s="97"/>
      <c r="G533" s="97"/>
      <c r="H533" s="97"/>
      <c r="I533" s="97"/>
      <c r="J533" s="97"/>
      <c r="K533" s="97"/>
      <c r="L533" s="97"/>
      <c r="M533" s="97"/>
      <c r="N533" s="97"/>
      <c r="O533" s="97"/>
      <c r="P533" s="97"/>
      <c r="Q533" s="97"/>
      <c r="R533" s="97"/>
      <c r="S533" s="97"/>
      <c r="T533" s="97"/>
      <c r="U533" s="97"/>
      <c r="V533" s="97"/>
      <c r="W533" s="97"/>
      <c r="X533" s="97"/>
      <c r="Y533" s="97"/>
      <c r="Z533" s="97"/>
    </row>
    <row r="534" spans="1:26">
      <c r="A534" s="116"/>
      <c r="D534" s="92"/>
      <c r="E534" s="112"/>
      <c r="F534" s="97"/>
      <c r="G534" s="97"/>
      <c r="H534" s="97"/>
      <c r="I534" s="97"/>
      <c r="J534" s="97"/>
      <c r="K534" s="97"/>
      <c r="L534" s="97"/>
      <c r="M534" s="97"/>
      <c r="N534" s="97"/>
      <c r="O534" s="97"/>
      <c r="P534" s="97"/>
      <c r="Q534" s="97"/>
      <c r="R534" s="97"/>
      <c r="S534" s="97"/>
      <c r="T534" s="97"/>
      <c r="U534" s="97"/>
      <c r="V534" s="97"/>
      <c r="W534" s="97"/>
      <c r="X534" s="97"/>
      <c r="Y534" s="97"/>
      <c r="Z534" s="97"/>
    </row>
    <row r="535" spans="1:26">
      <c r="A535" s="116"/>
      <c r="D535" s="92"/>
      <c r="E535" s="112"/>
      <c r="F535" s="97"/>
      <c r="G535" s="97"/>
      <c r="H535" s="97"/>
      <c r="I535" s="97"/>
      <c r="J535" s="97"/>
      <c r="K535" s="97"/>
      <c r="L535" s="97"/>
      <c r="M535" s="97"/>
      <c r="N535" s="97"/>
      <c r="O535" s="97"/>
      <c r="P535" s="97"/>
      <c r="Q535" s="97"/>
      <c r="R535" s="97"/>
      <c r="S535" s="97"/>
      <c r="T535" s="97"/>
      <c r="U535" s="97"/>
      <c r="V535" s="97"/>
      <c r="W535" s="97"/>
      <c r="X535" s="97"/>
      <c r="Y535" s="97"/>
      <c r="Z535" s="97"/>
    </row>
    <row r="536" spans="1:26">
      <c r="A536" s="116"/>
      <c r="D536" s="92"/>
      <c r="E536" s="112"/>
      <c r="F536" s="97"/>
      <c r="G536" s="97"/>
      <c r="H536" s="97"/>
      <c r="I536" s="97"/>
      <c r="J536" s="97"/>
      <c r="K536" s="97"/>
      <c r="L536" s="97"/>
      <c r="M536" s="97"/>
      <c r="N536" s="97"/>
      <c r="O536" s="97"/>
      <c r="P536" s="97"/>
      <c r="Q536" s="97"/>
      <c r="R536" s="97"/>
      <c r="S536" s="97"/>
      <c r="T536" s="97"/>
      <c r="U536" s="97"/>
      <c r="V536" s="97"/>
      <c r="W536" s="97"/>
      <c r="X536" s="97"/>
      <c r="Y536" s="97"/>
      <c r="Z536" s="97"/>
    </row>
    <row r="537" spans="1:26">
      <c r="A537" s="116"/>
      <c r="D537" s="92"/>
      <c r="E537" s="112"/>
      <c r="F537" s="97"/>
      <c r="G537" s="97"/>
      <c r="H537" s="97"/>
      <c r="I537" s="97"/>
      <c r="J537" s="97"/>
      <c r="K537" s="97"/>
      <c r="L537" s="97"/>
      <c r="M537" s="97"/>
      <c r="N537" s="97"/>
      <c r="O537" s="97"/>
      <c r="P537" s="97"/>
      <c r="Q537" s="97"/>
      <c r="R537" s="97"/>
      <c r="S537" s="97"/>
      <c r="T537" s="97"/>
      <c r="U537" s="97"/>
      <c r="V537" s="97"/>
      <c r="W537" s="97"/>
      <c r="X537" s="97"/>
      <c r="Y537" s="97"/>
      <c r="Z537" s="97"/>
    </row>
    <row r="538" spans="1:26">
      <c r="A538" s="116"/>
      <c r="D538" s="92"/>
      <c r="E538" s="112"/>
      <c r="F538" s="97"/>
      <c r="G538" s="97"/>
      <c r="H538" s="97"/>
      <c r="I538" s="97"/>
      <c r="J538" s="97"/>
      <c r="K538" s="97"/>
      <c r="L538" s="97"/>
      <c r="M538" s="97"/>
      <c r="N538" s="97"/>
      <c r="O538" s="97"/>
      <c r="P538" s="97"/>
      <c r="Q538" s="97"/>
      <c r="R538" s="97"/>
      <c r="S538" s="97"/>
      <c r="T538" s="97"/>
      <c r="U538" s="97"/>
      <c r="V538" s="97"/>
      <c r="W538" s="97"/>
      <c r="X538" s="97"/>
      <c r="Y538" s="97"/>
      <c r="Z538" s="97"/>
    </row>
    <row r="539" spans="1:26">
      <c r="A539" s="116"/>
      <c r="D539" s="92"/>
      <c r="E539" s="112"/>
      <c r="F539" s="97"/>
      <c r="G539" s="97"/>
      <c r="H539" s="97"/>
      <c r="I539" s="97"/>
      <c r="J539" s="97"/>
      <c r="K539" s="97"/>
      <c r="L539" s="97"/>
      <c r="M539" s="97"/>
      <c r="N539" s="97"/>
      <c r="O539" s="97"/>
      <c r="P539" s="97"/>
      <c r="Q539" s="97"/>
      <c r="R539" s="97"/>
      <c r="S539" s="97"/>
      <c r="T539" s="97"/>
      <c r="U539" s="97"/>
      <c r="V539" s="97"/>
      <c r="W539" s="97"/>
      <c r="X539" s="97"/>
      <c r="Y539" s="97"/>
      <c r="Z539" s="97"/>
    </row>
    <row r="540" spans="1:26">
      <c r="A540" s="116"/>
      <c r="D540" s="92"/>
      <c r="E540" s="112"/>
      <c r="F540" s="97"/>
      <c r="G540" s="97"/>
      <c r="H540" s="97"/>
      <c r="I540" s="97"/>
      <c r="J540" s="97"/>
      <c r="K540" s="97"/>
      <c r="L540" s="97"/>
      <c r="M540" s="97"/>
      <c r="N540" s="97"/>
      <c r="O540" s="97"/>
      <c r="P540" s="97"/>
      <c r="Q540" s="97"/>
      <c r="R540" s="97"/>
      <c r="S540" s="97"/>
      <c r="T540" s="97"/>
      <c r="U540" s="97"/>
      <c r="V540" s="97"/>
      <c r="W540" s="97"/>
      <c r="X540" s="97"/>
      <c r="Y540" s="97"/>
      <c r="Z540" s="97"/>
    </row>
    <row r="541" spans="1:26">
      <c r="A541" s="116"/>
      <c r="D541" s="92"/>
      <c r="E541" s="112"/>
      <c r="F541" s="97"/>
      <c r="G541" s="97"/>
      <c r="H541" s="97"/>
      <c r="I541" s="97"/>
      <c r="J541" s="97"/>
      <c r="K541" s="97"/>
      <c r="L541" s="97"/>
      <c r="M541" s="97"/>
      <c r="N541" s="97"/>
      <c r="O541" s="97"/>
      <c r="P541" s="97"/>
      <c r="Q541" s="97"/>
      <c r="R541" s="97"/>
      <c r="S541" s="97"/>
      <c r="T541" s="97"/>
      <c r="U541" s="97"/>
      <c r="V541" s="97"/>
      <c r="W541" s="97"/>
      <c r="X541" s="97"/>
      <c r="Y541" s="97"/>
      <c r="Z541" s="97"/>
    </row>
    <row r="542" spans="1:26">
      <c r="A542" s="116"/>
      <c r="D542" s="92"/>
      <c r="E542" s="112"/>
      <c r="F542" s="97"/>
      <c r="G542" s="97"/>
      <c r="H542" s="97"/>
      <c r="I542" s="97"/>
      <c r="J542" s="97"/>
      <c r="K542" s="97"/>
      <c r="L542" s="97"/>
      <c r="M542" s="97"/>
      <c r="N542" s="97"/>
      <c r="O542" s="97"/>
      <c r="P542" s="97"/>
      <c r="Q542" s="97"/>
      <c r="R542" s="97"/>
      <c r="S542" s="97"/>
      <c r="T542" s="97"/>
      <c r="U542" s="97"/>
      <c r="V542" s="97"/>
      <c r="W542" s="97"/>
      <c r="X542" s="97"/>
      <c r="Y542" s="97"/>
      <c r="Z542" s="97"/>
    </row>
    <row r="543" spans="1:26">
      <c r="A543" s="116"/>
      <c r="D543" s="92"/>
      <c r="E543" s="112"/>
      <c r="F543" s="97"/>
      <c r="G543" s="97"/>
      <c r="H543" s="97"/>
      <c r="I543" s="97"/>
      <c r="J543" s="97"/>
      <c r="K543" s="97"/>
      <c r="L543" s="97"/>
      <c r="M543" s="97"/>
      <c r="N543" s="97"/>
      <c r="O543" s="97"/>
      <c r="P543" s="97"/>
      <c r="Q543" s="97"/>
      <c r="R543" s="97"/>
      <c r="S543" s="97"/>
      <c r="T543" s="97"/>
      <c r="U543" s="97"/>
      <c r="V543" s="97"/>
      <c r="W543" s="97"/>
      <c r="X543" s="97"/>
      <c r="Y543" s="97"/>
      <c r="Z543" s="97"/>
    </row>
    <row r="544" spans="1:26">
      <c r="A544" s="116"/>
      <c r="D544" s="92"/>
      <c r="E544" s="112"/>
      <c r="F544" s="97"/>
      <c r="G544" s="97"/>
      <c r="H544" s="97"/>
      <c r="I544" s="97"/>
      <c r="J544" s="97"/>
      <c r="K544" s="97"/>
      <c r="L544" s="97"/>
      <c r="M544" s="97"/>
      <c r="N544" s="97"/>
      <c r="O544" s="97"/>
      <c r="P544" s="97"/>
      <c r="Q544" s="97"/>
      <c r="R544" s="97"/>
      <c r="S544" s="97"/>
      <c r="T544" s="97"/>
      <c r="U544" s="97"/>
      <c r="V544" s="97"/>
      <c r="W544" s="97"/>
      <c r="X544" s="97"/>
      <c r="Y544" s="97"/>
      <c r="Z544" s="97"/>
    </row>
    <row r="545" spans="1:26">
      <c r="A545" s="116"/>
      <c r="D545" s="92"/>
      <c r="E545" s="112"/>
      <c r="F545" s="97"/>
      <c r="G545" s="97"/>
      <c r="H545" s="97"/>
      <c r="I545" s="97"/>
      <c r="J545" s="97"/>
      <c r="K545" s="97"/>
      <c r="L545" s="97"/>
      <c r="M545" s="97"/>
      <c r="N545" s="97"/>
      <c r="O545" s="97"/>
      <c r="P545" s="97"/>
      <c r="Q545" s="97"/>
      <c r="R545" s="97"/>
      <c r="S545" s="97"/>
      <c r="T545" s="97"/>
      <c r="U545" s="97"/>
      <c r="V545" s="97"/>
      <c r="W545" s="97"/>
      <c r="X545" s="97"/>
      <c r="Y545" s="97"/>
      <c r="Z545" s="97"/>
    </row>
    <row r="546" spans="1:26">
      <c r="A546" s="116"/>
      <c r="D546" s="92"/>
      <c r="E546" s="112"/>
      <c r="F546" s="97"/>
      <c r="G546" s="97"/>
      <c r="H546" s="97"/>
      <c r="I546" s="97"/>
      <c r="J546" s="97"/>
      <c r="K546" s="97"/>
      <c r="L546" s="97"/>
      <c r="M546" s="97"/>
      <c r="N546" s="97"/>
      <c r="O546" s="97"/>
      <c r="P546" s="97"/>
      <c r="Q546" s="97"/>
      <c r="R546" s="97"/>
      <c r="S546" s="97"/>
      <c r="T546" s="97"/>
      <c r="U546" s="97"/>
      <c r="V546" s="97"/>
      <c r="W546" s="97"/>
      <c r="X546" s="97"/>
      <c r="Y546" s="97"/>
      <c r="Z546" s="97"/>
    </row>
    <row r="547" spans="1:26">
      <c r="A547" s="116"/>
      <c r="D547" s="92"/>
      <c r="E547" s="112"/>
      <c r="F547" s="97"/>
      <c r="G547" s="97"/>
      <c r="H547" s="97"/>
      <c r="I547" s="97"/>
      <c r="J547" s="97"/>
      <c r="K547" s="97"/>
      <c r="L547" s="97"/>
      <c r="M547" s="97"/>
      <c r="N547" s="97"/>
      <c r="O547" s="97"/>
      <c r="P547" s="97"/>
      <c r="Q547" s="97"/>
      <c r="R547" s="97"/>
      <c r="S547" s="97"/>
      <c r="T547" s="97"/>
      <c r="U547" s="97"/>
      <c r="V547" s="97"/>
      <c r="W547" s="97"/>
      <c r="X547" s="97"/>
      <c r="Y547" s="97"/>
      <c r="Z547" s="97"/>
    </row>
    <row r="548" spans="1:26">
      <c r="A548" s="116"/>
      <c r="D548" s="92"/>
      <c r="E548" s="112"/>
      <c r="F548" s="97"/>
      <c r="G548" s="97"/>
      <c r="H548" s="97"/>
      <c r="I548" s="97"/>
      <c r="J548" s="97"/>
      <c r="K548" s="97"/>
      <c r="L548" s="97"/>
      <c r="M548" s="97"/>
      <c r="N548" s="97"/>
      <c r="O548" s="97"/>
      <c r="P548" s="97"/>
      <c r="Q548" s="97"/>
      <c r="R548" s="97"/>
      <c r="S548" s="97"/>
      <c r="T548" s="97"/>
      <c r="U548" s="97"/>
      <c r="V548" s="97"/>
      <c r="W548" s="97"/>
      <c r="X548" s="97"/>
      <c r="Y548" s="97"/>
      <c r="Z548" s="97"/>
    </row>
    <row r="549" spans="1:26">
      <c r="A549" s="116"/>
      <c r="D549" s="92"/>
      <c r="E549" s="112"/>
      <c r="F549" s="97"/>
      <c r="G549" s="97"/>
      <c r="H549" s="97"/>
      <c r="I549" s="97"/>
      <c r="J549" s="97"/>
      <c r="K549" s="97"/>
      <c r="L549" s="97"/>
      <c r="M549" s="97"/>
      <c r="N549" s="97"/>
      <c r="O549" s="97"/>
      <c r="P549" s="97"/>
      <c r="Q549" s="97"/>
      <c r="R549" s="97"/>
      <c r="S549" s="97"/>
      <c r="T549" s="97"/>
      <c r="U549" s="97"/>
      <c r="V549" s="97"/>
      <c r="W549" s="97"/>
      <c r="X549" s="97"/>
      <c r="Y549" s="97"/>
      <c r="Z549" s="97"/>
    </row>
    <row r="550" spans="1:26">
      <c r="A550" s="116"/>
      <c r="D550" s="92"/>
      <c r="E550" s="112"/>
      <c r="F550" s="97"/>
      <c r="G550" s="97"/>
      <c r="H550" s="97"/>
      <c r="I550" s="97"/>
      <c r="J550" s="97"/>
      <c r="K550" s="97"/>
      <c r="L550" s="97"/>
      <c r="M550" s="97"/>
      <c r="N550" s="97"/>
      <c r="O550" s="97"/>
      <c r="P550" s="97"/>
      <c r="Q550" s="97"/>
      <c r="R550" s="97"/>
      <c r="S550" s="97"/>
      <c r="T550" s="97"/>
      <c r="U550" s="97"/>
      <c r="V550" s="97"/>
      <c r="W550" s="97"/>
      <c r="X550" s="97"/>
      <c r="Y550" s="97"/>
      <c r="Z550" s="97"/>
    </row>
    <row r="551" spans="1:26">
      <c r="A551" s="116"/>
      <c r="D551" s="92"/>
      <c r="E551" s="112"/>
      <c r="F551" s="97"/>
      <c r="G551" s="97"/>
      <c r="H551" s="97"/>
      <c r="I551" s="97"/>
      <c r="J551" s="97"/>
      <c r="K551" s="97"/>
      <c r="L551" s="97"/>
      <c r="M551" s="97"/>
      <c r="N551" s="97"/>
      <c r="O551" s="97"/>
      <c r="P551" s="97"/>
      <c r="Q551" s="97"/>
      <c r="R551" s="97"/>
      <c r="S551" s="97"/>
      <c r="T551" s="97"/>
      <c r="U551" s="97"/>
      <c r="V551" s="97"/>
      <c r="W551" s="97"/>
      <c r="X551" s="97"/>
      <c r="Y551" s="97"/>
      <c r="Z551" s="97"/>
    </row>
    <row r="552" spans="1:26">
      <c r="A552" s="116"/>
      <c r="D552" s="92"/>
      <c r="E552" s="112"/>
      <c r="F552" s="97"/>
      <c r="G552" s="97"/>
      <c r="H552" s="97"/>
      <c r="I552" s="97"/>
      <c r="J552" s="97"/>
      <c r="K552" s="97"/>
      <c r="L552" s="97"/>
      <c r="M552" s="97"/>
      <c r="N552" s="97"/>
      <c r="O552" s="97"/>
      <c r="P552" s="97"/>
      <c r="Q552" s="97"/>
      <c r="R552" s="97"/>
      <c r="S552" s="97"/>
      <c r="T552" s="97"/>
      <c r="U552" s="97"/>
      <c r="V552" s="97"/>
      <c r="W552" s="97"/>
      <c r="X552" s="97"/>
      <c r="Y552" s="97"/>
      <c r="Z552" s="97"/>
    </row>
    <row r="553" spans="1:26">
      <c r="A553" s="116"/>
      <c r="D553" s="92"/>
      <c r="E553" s="112"/>
      <c r="F553" s="97"/>
      <c r="G553" s="97"/>
      <c r="H553" s="97"/>
      <c r="I553" s="97"/>
      <c r="J553" s="97"/>
      <c r="K553" s="97"/>
      <c r="L553" s="97"/>
      <c r="M553" s="97"/>
      <c r="N553" s="97"/>
      <c r="O553" s="97"/>
      <c r="P553" s="97"/>
      <c r="Q553" s="97"/>
      <c r="R553" s="97"/>
      <c r="S553" s="97"/>
      <c r="T553" s="97"/>
      <c r="U553" s="97"/>
      <c r="V553" s="97"/>
      <c r="W553" s="97"/>
      <c r="X553" s="97"/>
      <c r="Y553" s="97"/>
      <c r="Z553" s="97"/>
    </row>
    <row r="554" spans="1:26">
      <c r="A554" s="116"/>
      <c r="D554" s="92"/>
      <c r="E554" s="112"/>
      <c r="F554" s="97"/>
      <c r="G554" s="97"/>
      <c r="H554" s="97"/>
      <c r="I554" s="97"/>
      <c r="J554" s="97"/>
      <c r="K554" s="97"/>
      <c r="L554" s="97"/>
      <c r="M554" s="97"/>
      <c r="N554" s="97"/>
      <c r="O554" s="97"/>
      <c r="P554" s="97"/>
      <c r="Q554" s="97"/>
      <c r="R554" s="97"/>
      <c r="S554" s="97"/>
      <c r="T554" s="97"/>
      <c r="U554" s="97"/>
      <c r="V554" s="97"/>
      <c r="W554" s="97"/>
      <c r="X554" s="97"/>
      <c r="Y554" s="97"/>
      <c r="Z554" s="97"/>
    </row>
    <row r="555" spans="1:26">
      <c r="A555" s="116"/>
      <c r="D555" s="92"/>
      <c r="E555" s="112"/>
      <c r="F555" s="97"/>
      <c r="G555" s="97"/>
      <c r="H555" s="97"/>
      <c r="I555" s="97"/>
      <c r="J555" s="97"/>
      <c r="K555" s="97"/>
      <c r="L555" s="97"/>
      <c r="M555" s="97"/>
      <c r="N555" s="97"/>
      <c r="O555" s="97"/>
      <c r="P555" s="97"/>
      <c r="Q555" s="97"/>
      <c r="R555" s="97"/>
      <c r="S555" s="97"/>
      <c r="T555" s="97"/>
      <c r="U555" s="97"/>
      <c r="V555" s="97"/>
      <c r="W555" s="97"/>
      <c r="X555" s="97"/>
      <c r="Y555" s="97"/>
      <c r="Z555" s="97"/>
    </row>
    <row r="556" spans="1:26">
      <c r="A556" s="116"/>
      <c r="D556" s="92"/>
      <c r="E556" s="112"/>
      <c r="F556" s="97"/>
      <c r="G556" s="97"/>
      <c r="H556" s="97"/>
      <c r="I556" s="97"/>
      <c r="J556" s="97"/>
      <c r="K556" s="97"/>
      <c r="L556" s="97"/>
      <c r="M556" s="97"/>
      <c r="N556" s="97"/>
      <c r="O556" s="97"/>
      <c r="P556" s="97"/>
      <c r="Q556" s="97"/>
      <c r="R556" s="97"/>
      <c r="S556" s="97"/>
      <c r="T556" s="97"/>
      <c r="U556" s="97"/>
      <c r="V556" s="97"/>
      <c r="W556" s="97"/>
      <c r="X556" s="97"/>
      <c r="Y556" s="97"/>
      <c r="Z556" s="97"/>
    </row>
    <row r="557" spans="1:26">
      <c r="A557" s="116"/>
      <c r="D557" s="92"/>
      <c r="E557" s="112"/>
      <c r="F557" s="97"/>
      <c r="G557" s="97"/>
      <c r="H557" s="97"/>
      <c r="I557" s="97"/>
      <c r="J557" s="97"/>
      <c r="K557" s="97"/>
      <c r="L557" s="97"/>
      <c r="M557" s="97"/>
      <c r="N557" s="97"/>
      <c r="O557" s="97"/>
      <c r="P557" s="97"/>
      <c r="Q557" s="97"/>
      <c r="R557" s="97"/>
      <c r="S557" s="97"/>
      <c r="T557" s="97"/>
      <c r="U557" s="97"/>
      <c r="V557" s="97"/>
      <c r="W557" s="97"/>
      <c r="X557" s="97"/>
      <c r="Y557" s="97"/>
      <c r="Z557" s="97"/>
    </row>
    <row r="558" spans="1:26">
      <c r="A558" s="116"/>
      <c r="D558" s="92"/>
      <c r="E558" s="112"/>
      <c r="F558" s="97"/>
      <c r="G558" s="97"/>
      <c r="H558" s="97"/>
      <c r="I558" s="97"/>
      <c r="J558" s="97"/>
      <c r="K558" s="97"/>
      <c r="L558" s="97"/>
      <c r="M558" s="97"/>
      <c r="N558" s="97"/>
      <c r="O558" s="97"/>
      <c r="P558" s="97"/>
      <c r="Q558" s="97"/>
      <c r="R558" s="97"/>
      <c r="S558" s="97"/>
      <c r="T558" s="97"/>
      <c r="U558" s="97"/>
      <c r="V558" s="97"/>
      <c r="W558" s="97"/>
      <c r="X558" s="97"/>
      <c r="Y558" s="97"/>
      <c r="Z558" s="97"/>
    </row>
    <row r="559" spans="1:26">
      <c r="A559" s="116"/>
      <c r="D559" s="92"/>
      <c r="E559" s="112"/>
      <c r="F559" s="97"/>
      <c r="G559" s="97"/>
      <c r="H559" s="97"/>
      <c r="I559" s="97"/>
      <c r="J559" s="97"/>
      <c r="K559" s="97"/>
      <c r="L559" s="97"/>
      <c r="M559" s="97"/>
      <c r="N559" s="97"/>
      <c r="O559" s="97"/>
      <c r="P559" s="97"/>
      <c r="Q559" s="97"/>
      <c r="R559" s="97"/>
      <c r="S559" s="97"/>
      <c r="T559" s="97"/>
      <c r="U559" s="97"/>
      <c r="V559" s="97"/>
      <c r="W559" s="97"/>
      <c r="X559" s="97"/>
      <c r="Y559" s="97"/>
      <c r="Z559" s="97"/>
    </row>
    <row r="560" spans="1:26">
      <c r="A560" s="116"/>
      <c r="D560" s="92"/>
      <c r="E560" s="112"/>
      <c r="F560" s="97"/>
      <c r="G560" s="97"/>
      <c r="H560" s="97"/>
      <c r="I560" s="97"/>
      <c r="J560" s="97"/>
      <c r="K560" s="97"/>
      <c r="L560" s="97"/>
      <c r="M560" s="97"/>
      <c r="N560" s="97"/>
      <c r="O560" s="97"/>
      <c r="P560" s="97"/>
      <c r="Q560" s="97"/>
      <c r="R560" s="97"/>
      <c r="S560" s="97"/>
      <c r="T560" s="97"/>
      <c r="U560" s="97"/>
      <c r="V560" s="97"/>
      <c r="W560" s="97"/>
      <c r="X560" s="97"/>
      <c r="Y560" s="97"/>
      <c r="Z560" s="97"/>
    </row>
    <row r="561" spans="1:26">
      <c r="A561" s="116"/>
      <c r="D561" s="92"/>
      <c r="E561" s="112"/>
      <c r="F561" s="97"/>
      <c r="G561" s="97"/>
      <c r="H561" s="97"/>
      <c r="I561" s="97"/>
      <c r="J561" s="97"/>
      <c r="K561" s="97"/>
      <c r="L561" s="97"/>
      <c r="M561" s="97"/>
      <c r="N561" s="97"/>
      <c r="O561" s="97"/>
      <c r="P561" s="97"/>
      <c r="Q561" s="97"/>
      <c r="R561" s="97"/>
      <c r="S561" s="97"/>
      <c r="T561" s="97"/>
      <c r="U561" s="97"/>
      <c r="V561" s="97"/>
      <c r="W561" s="97"/>
      <c r="X561" s="97"/>
      <c r="Y561" s="97"/>
      <c r="Z561" s="97"/>
    </row>
    <row r="562" spans="1:26">
      <c r="A562" s="116"/>
      <c r="D562" s="92"/>
      <c r="E562" s="112"/>
      <c r="F562" s="97"/>
      <c r="G562" s="97"/>
      <c r="H562" s="97"/>
      <c r="I562" s="97"/>
      <c r="J562" s="97"/>
      <c r="K562" s="97"/>
      <c r="L562" s="97"/>
      <c r="M562" s="97"/>
      <c r="N562" s="97"/>
      <c r="O562" s="97"/>
      <c r="P562" s="97"/>
      <c r="Q562" s="97"/>
      <c r="R562" s="97"/>
      <c r="S562" s="97"/>
      <c r="T562" s="97"/>
      <c r="U562" s="97"/>
      <c r="V562" s="97"/>
      <c r="W562" s="97"/>
      <c r="X562" s="97"/>
      <c r="Y562" s="97"/>
      <c r="Z562" s="97"/>
    </row>
    <row r="563" spans="1:26">
      <c r="A563" s="116"/>
      <c r="D563" s="92"/>
      <c r="E563" s="112"/>
      <c r="F563" s="97"/>
      <c r="G563" s="97"/>
      <c r="H563" s="97"/>
      <c r="I563" s="97"/>
      <c r="J563" s="97"/>
      <c r="K563" s="97"/>
      <c r="L563" s="97"/>
      <c r="M563" s="97"/>
      <c r="N563" s="97"/>
      <c r="O563" s="97"/>
      <c r="P563" s="97"/>
      <c r="Q563" s="97"/>
      <c r="R563" s="97"/>
      <c r="S563" s="97"/>
      <c r="T563" s="97"/>
      <c r="U563" s="97"/>
      <c r="V563" s="97"/>
      <c r="W563" s="97"/>
      <c r="X563" s="97"/>
      <c r="Y563" s="97"/>
      <c r="Z563" s="97"/>
    </row>
    <row r="564" spans="1:26">
      <c r="A564" s="116"/>
      <c r="D564" s="92"/>
      <c r="E564" s="112"/>
      <c r="F564" s="97"/>
      <c r="G564" s="97"/>
      <c r="H564" s="97"/>
      <c r="I564" s="97"/>
      <c r="J564" s="97"/>
      <c r="K564" s="97"/>
      <c r="L564" s="97"/>
      <c r="M564" s="97"/>
      <c r="N564" s="97"/>
      <c r="O564" s="97"/>
      <c r="P564" s="97"/>
      <c r="Q564" s="97"/>
      <c r="R564" s="97"/>
      <c r="S564" s="97"/>
      <c r="T564" s="97"/>
      <c r="U564" s="97"/>
      <c r="V564" s="97"/>
      <c r="W564" s="97"/>
      <c r="X564" s="97"/>
      <c r="Y564" s="97"/>
      <c r="Z564" s="97"/>
    </row>
    <row r="565" spans="1:26">
      <c r="A565" s="116"/>
      <c r="D565" s="92"/>
      <c r="E565" s="112"/>
      <c r="F565" s="97"/>
      <c r="G565" s="97"/>
      <c r="H565" s="97"/>
      <c r="I565" s="97"/>
      <c r="J565" s="97"/>
      <c r="K565" s="97"/>
      <c r="L565" s="97"/>
      <c r="M565" s="97"/>
      <c r="N565" s="97"/>
      <c r="O565" s="97"/>
      <c r="P565" s="97"/>
      <c r="Q565" s="97"/>
      <c r="R565" s="97"/>
      <c r="S565" s="97"/>
      <c r="T565" s="97"/>
      <c r="U565" s="97"/>
      <c r="V565" s="97"/>
      <c r="W565" s="97"/>
      <c r="X565" s="97"/>
      <c r="Y565" s="97"/>
      <c r="Z565" s="97"/>
    </row>
    <row r="566" spans="1:26">
      <c r="A566" s="116"/>
      <c r="D566" s="92"/>
      <c r="E566" s="112"/>
      <c r="F566" s="97"/>
      <c r="G566" s="97"/>
      <c r="H566" s="97"/>
      <c r="I566" s="97"/>
      <c r="J566" s="97"/>
      <c r="K566" s="97"/>
      <c r="L566" s="97"/>
      <c r="M566" s="97"/>
      <c r="N566" s="97"/>
      <c r="O566" s="97"/>
      <c r="P566" s="97"/>
      <c r="Q566" s="97"/>
      <c r="R566" s="97"/>
      <c r="S566" s="97"/>
      <c r="T566" s="97"/>
      <c r="U566" s="97"/>
      <c r="V566" s="97"/>
      <c r="W566" s="97"/>
      <c r="X566" s="97"/>
      <c r="Y566" s="97"/>
      <c r="Z566" s="97"/>
    </row>
    <row r="567" spans="1:26">
      <c r="A567" s="116"/>
      <c r="D567" s="92"/>
      <c r="E567" s="112"/>
      <c r="F567" s="97"/>
      <c r="G567" s="97"/>
      <c r="H567" s="97"/>
      <c r="I567" s="97"/>
      <c r="J567" s="97"/>
      <c r="K567" s="97"/>
      <c r="L567" s="97"/>
      <c r="M567" s="97"/>
      <c r="N567" s="97"/>
      <c r="O567" s="97"/>
      <c r="P567" s="97"/>
      <c r="Q567" s="97"/>
      <c r="R567" s="97"/>
      <c r="S567" s="97"/>
      <c r="T567" s="97"/>
      <c r="U567" s="97"/>
      <c r="V567" s="97"/>
      <c r="W567" s="97"/>
      <c r="X567" s="97"/>
      <c r="Y567" s="97"/>
      <c r="Z567" s="97"/>
    </row>
    <row r="568" spans="1:26">
      <c r="A568" s="116"/>
      <c r="D568" s="92"/>
      <c r="E568" s="112"/>
      <c r="F568" s="97"/>
      <c r="G568" s="97"/>
      <c r="H568" s="97"/>
      <c r="I568" s="97"/>
      <c r="J568" s="97"/>
      <c r="K568" s="97"/>
      <c r="L568" s="97"/>
      <c r="M568" s="97"/>
      <c r="N568" s="97"/>
      <c r="O568" s="97"/>
      <c r="P568" s="97"/>
      <c r="Q568" s="97"/>
      <c r="R568" s="97"/>
      <c r="S568" s="97"/>
      <c r="T568" s="97"/>
      <c r="U568" s="97"/>
      <c r="V568" s="97"/>
      <c r="W568" s="97"/>
      <c r="X568" s="97"/>
      <c r="Y568" s="97"/>
      <c r="Z568" s="97"/>
    </row>
    <row r="569" spans="1:26">
      <c r="A569" s="116"/>
      <c r="D569" s="92"/>
      <c r="E569" s="112"/>
      <c r="F569" s="97"/>
      <c r="G569" s="97"/>
      <c r="H569" s="97"/>
      <c r="I569" s="97"/>
      <c r="J569" s="97"/>
      <c r="K569" s="97"/>
      <c r="L569" s="97"/>
      <c r="M569" s="97"/>
      <c r="N569" s="97"/>
      <c r="O569" s="97"/>
      <c r="P569" s="97"/>
      <c r="Q569" s="97"/>
      <c r="R569" s="97"/>
      <c r="S569" s="97"/>
      <c r="T569" s="97"/>
      <c r="U569" s="97"/>
      <c r="V569" s="97"/>
      <c r="W569" s="97"/>
      <c r="X569" s="97"/>
      <c r="Y569" s="97"/>
      <c r="Z569" s="97"/>
    </row>
    <row r="570" spans="1:26">
      <c r="A570" s="116"/>
      <c r="D570" s="92"/>
      <c r="E570" s="112"/>
      <c r="F570" s="97"/>
      <c r="G570" s="97"/>
      <c r="H570" s="97"/>
      <c r="I570" s="97"/>
      <c r="J570" s="97"/>
      <c r="K570" s="97"/>
      <c r="L570" s="97"/>
      <c r="M570" s="97"/>
      <c r="N570" s="97"/>
      <c r="O570" s="97"/>
      <c r="P570" s="97"/>
      <c r="Q570" s="97"/>
      <c r="R570" s="97"/>
      <c r="S570" s="97"/>
      <c r="T570" s="97"/>
      <c r="U570" s="97"/>
      <c r="V570" s="97"/>
      <c r="W570" s="97"/>
      <c r="X570" s="97"/>
      <c r="Y570" s="97"/>
      <c r="Z570" s="97"/>
    </row>
    <row r="571" spans="1:26">
      <c r="A571" s="116"/>
      <c r="D571" s="92"/>
      <c r="E571" s="112"/>
      <c r="F571" s="97"/>
      <c r="G571" s="97"/>
      <c r="H571" s="97"/>
      <c r="I571" s="97"/>
      <c r="J571" s="97"/>
      <c r="K571" s="97"/>
      <c r="L571" s="97"/>
      <c r="M571" s="97"/>
      <c r="N571" s="97"/>
      <c r="O571" s="97"/>
      <c r="P571" s="97"/>
      <c r="Q571" s="97"/>
      <c r="R571" s="97"/>
      <c r="S571" s="97"/>
      <c r="T571" s="97"/>
      <c r="U571" s="97"/>
      <c r="V571" s="97"/>
      <c r="W571" s="97"/>
      <c r="X571" s="97"/>
      <c r="Y571" s="97"/>
      <c r="Z571" s="97"/>
    </row>
    <row r="572" spans="1:26">
      <c r="A572" s="116"/>
      <c r="D572" s="92"/>
      <c r="E572" s="112"/>
      <c r="F572" s="97"/>
      <c r="G572" s="97"/>
      <c r="H572" s="97"/>
      <c r="I572" s="97"/>
      <c r="J572" s="97"/>
      <c r="K572" s="97"/>
      <c r="L572" s="97"/>
      <c r="M572" s="97"/>
      <c r="N572" s="97"/>
      <c r="O572" s="97"/>
      <c r="P572" s="97"/>
      <c r="Q572" s="97"/>
      <c r="R572" s="97"/>
      <c r="S572" s="97"/>
      <c r="T572" s="97"/>
      <c r="U572" s="97"/>
      <c r="V572" s="97"/>
      <c r="W572" s="97"/>
      <c r="X572" s="97"/>
      <c r="Y572" s="97"/>
      <c r="Z572" s="97"/>
    </row>
    <row r="573" spans="1:26">
      <c r="A573" s="116"/>
      <c r="D573" s="92"/>
      <c r="E573" s="112"/>
      <c r="F573" s="97"/>
      <c r="G573" s="97"/>
      <c r="H573" s="97"/>
      <c r="I573" s="97"/>
      <c r="J573" s="97"/>
      <c r="K573" s="97"/>
      <c r="L573" s="97"/>
      <c r="M573" s="97"/>
      <c r="N573" s="97"/>
      <c r="O573" s="97"/>
      <c r="P573" s="97"/>
      <c r="Q573" s="97"/>
      <c r="R573" s="97"/>
      <c r="S573" s="97"/>
      <c r="T573" s="97"/>
      <c r="U573" s="97"/>
      <c r="V573" s="97"/>
      <c r="W573" s="97"/>
      <c r="X573" s="97"/>
      <c r="Y573" s="97"/>
      <c r="Z573" s="97"/>
    </row>
    <row r="574" spans="1:26">
      <c r="A574" s="116"/>
      <c r="D574" s="92"/>
      <c r="E574" s="112"/>
      <c r="F574" s="97"/>
      <c r="G574" s="97"/>
      <c r="H574" s="97"/>
      <c r="I574" s="97"/>
      <c r="J574" s="97"/>
      <c r="K574" s="97"/>
      <c r="L574" s="97"/>
      <c r="M574" s="97"/>
      <c r="N574" s="97"/>
      <c r="O574" s="97"/>
      <c r="P574" s="97"/>
      <c r="Q574" s="97"/>
      <c r="R574" s="97"/>
      <c r="S574" s="97"/>
      <c r="T574" s="97"/>
      <c r="U574" s="97"/>
      <c r="V574" s="97"/>
      <c r="W574" s="97"/>
      <c r="X574" s="97"/>
      <c r="Y574" s="97"/>
      <c r="Z574" s="97"/>
    </row>
    <row r="575" spans="1:26">
      <c r="A575" s="116"/>
      <c r="D575" s="92"/>
      <c r="E575" s="112"/>
      <c r="F575" s="97"/>
      <c r="G575" s="97"/>
      <c r="H575" s="97"/>
      <c r="I575" s="97"/>
      <c r="J575" s="97"/>
      <c r="K575" s="97"/>
      <c r="L575" s="97"/>
      <c r="M575" s="97"/>
      <c r="N575" s="97"/>
      <c r="O575" s="97"/>
      <c r="P575" s="97"/>
      <c r="Q575" s="97"/>
      <c r="R575" s="97"/>
      <c r="S575" s="97"/>
      <c r="T575" s="97"/>
      <c r="U575" s="97"/>
      <c r="V575" s="97"/>
      <c r="W575" s="97"/>
      <c r="X575" s="97"/>
      <c r="Y575" s="97"/>
      <c r="Z575" s="97"/>
    </row>
    <row r="576" spans="1:26">
      <c r="A576" s="116"/>
      <c r="D576" s="92"/>
      <c r="E576" s="112"/>
      <c r="F576" s="97"/>
      <c r="G576" s="97"/>
      <c r="H576" s="97"/>
      <c r="I576" s="97"/>
      <c r="J576" s="97"/>
      <c r="K576" s="97"/>
      <c r="L576" s="97"/>
      <c r="M576" s="97"/>
      <c r="N576" s="97"/>
      <c r="O576" s="97"/>
      <c r="P576" s="97"/>
      <c r="Q576" s="97"/>
      <c r="R576" s="97"/>
      <c r="S576" s="97"/>
      <c r="T576" s="97"/>
      <c r="U576" s="97"/>
      <c r="V576" s="97"/>
      <c r="W576" s="97"/>
      <c r="X576" s="97"/>
      <c r="Y576" s="97"/>
      <c r="Z576" s="97"/>
    </row>
    <row r="577" spans="1:26">
      <c r="A577" s="116"/>
      <c r="D577" s="92"/>
      <c r="E577" s="112"/>
      <c r="F577" s="97"/>
      <c r="G577" s="97"/>
      <c r="H577" s="97"/>
      <c r="I577" s="97"/>
      <c r="J577" s="97"/>
      <c r="K577" s="97"/>
      <c r="L577" s="97"/>
      <c r="M577" s="97"/>
      <c r="N577" s="97"/>
      <c r="O577" s="97"/>
      <c r="P577" s="97"/>
      <c r="Q577" s="97"/>
      <c r="R577" s="97"/>
      <c r="S577" s="97"/>
      <c r="T577" s="97"/>
      <c r="U577" s="97"/>
      <c r="V577" s="97"/>
      <c r="W577" s="97"/>
      <c r="X577" s="97"/>
      <c r="Y577" s="97"/>
      <c r="Z577" s="97"/>
    </row>
    <row r="578" spans="1:26">
      <c r="A578" s="116"/>
      <c r="D578" s="92"/>
      <c r="E578" s="112"/>
      <c r="F578" s="97"/>
      <c r="G578" s="97"/>
      <c r="H578" s="97"/>
      <c r="I578" s="97"/>
      <c r="J578" s="97"/>
      <c r="K578" s="97"/>
      <c r="L578" s="97"/>
      <c r="M578" s="97"/>
      <c r="N578" s="97"/>
      <c r="O578" s="97"/>
      <c r="P578" s="97"/>
      <c r="Q578" s="97"/>
      <c r="R578" s="97"/>
      <c r="S578" s="97"/>
      <c r="T578" s="97"/>
      <c r="U578" s="97"/>
      <c r="V578" s="97"/>
      <c r="W578" s="97"/>
      <c r="X578" s="97"/>
      <c r="Y578" s="97"/>
      <c r="Z578" s="97"/>
    </row>
    <row r="579" spans="1:26">
      <c r="A579" s="116"/>
      <c r="D579" s="92"/>
      <c r="E579" s="112"/>
      <c r="F579" s="97"/>
      <c r="G579" s="97"/>
      <c r="H579" s="97"/>
      <c r="I579" s="97"/>
      <c r="J579" s="97"/>
      <c r="K579" s="97"/>
      <c r="L579" s="97"/>
      <c r="M579" s="97"/>
      <c r="N579" s="97"/>
      <c r="O579" s="97"/>
      <c r="P579" s="97"/>
      <c r="Q579" s="97"/>
      <c r="R579" s="97"/>
      <c r="S579" s="97"/>
      <c r="T579" s="97"/>
      <c r="U579" s="97"/>
      <c r="V579" s="97"/>
      <c r="W579" s="97"/>
      <c r="X579" s="97"/>
      <c r="Y579" s="97"/>
      <c r="Z579" s="97"/>
    </row>
    <row r="580" spans="1:26">
      <c r="A580" s="116"/>
      <c r="D580" s="92"/>
      <c r="E580" s="112"/>
      <c r="F580" s="97"/>
      <c r="G580" s="97"/>
      <c r="H580" s="97"/>
      <c r="I580" s="97"/>
      <c r="J580" s="97"/>
      <c r="K580" s="97"/>
      <c r="L580" s="97"/>
      <c r="M580" s="97"/>
      <c r="N580" s="97"/>
      <c r="O580" s="97"/>
      <c r="P580" s="97"/>
      <c r="Q580" s="97"/>
      <c r="R580" s="97"/>
      <c r="S580" s="97"/>
      <c r="T580" s="97"/>
      <c r="U580" s="97"/>
      <c r="V580" s="97"/>
      <c r="W580" s="97"/>
      <c r="X580" s="97"/>
      <c r="Y580" s="97"/>
      <c r="Z580" s="97"/>
    </row>
    <row r="581" spans="1:26">
      <c r="A581" s="116"/>
      <c r="D581" s="92"/>
      <c r="E581" s="112"/>
      <c r="F581" s="97"/>
      <c r="G581" s="97"/>
      <c r="H581" s="97"/>
      <c r="I581" s="97"/>
      <c r="J581" s="97"/>
      <c r="K581" s="97"/>
      <c r="L581" s="97"/>
      <c r="M581" s="97"/>
      <c r="N581" s="97"/>
      <c r="O581" s="97"/>
      <c r="P581" s="97"/>
      <c r="Q581" s="97"/>
      <c r="R581" s="97"/>
      <c r="S581" s="97"/>
      <c r="T581" s="97"/>
      <c r="U581" s="97"/>
      <c r="V581" s="97"/>
      <c r="W581" s="97"/>
      <c r="X581" s="97"/>
      <c r="Y581" s="97"/>
      <c r="Z581" s="97"/>
    </row>
    <row r="582" spans="1:26">
      <c r="A582" s="116"/>
      <c r="D582" s="92"/>
      <c r="E582" s="112"/>
      <c r="F582" s="97"/>
      <c r="G582" s="97"/>
      <c r="H582" s="97"/>
      <c r="I582" s="97"/>
      <c r="J582" s="97"/>
      <c r="K582" s="97"/>
      <c r="L582" s="97"/>
      <c r="M582" s="97"/>
      <c r="N582" s="97"/>
      <c r="O582" s="97"/>
      <c r="P582" s="97"/>
      <c r="Q582" s="97"/>
      <c r="R582" s="97"/>
      <c r="S582" s="97"/>
      <c r="T582" s="97"/>
      <c r="U582" s="97"/>
      <c r="V582" s="97"/>
      <c r="W582" s="97"/>
      <c r="X582" s="97"/>
      <c r="Y582" s="97"/>
      <c r="Z582" s="97"/>
    </row>
    <row r="583" spans="1:26">
      <c r="A583" s="116"/>
      <c r="D583" s="92"/>
      <c r="E583" s="112"/>
      <c r="F583" s="97"/>
      <c r="G583" s="97"/>
      <c r="H583" s="97"/>
      <c r="I583" s="97"/>
      <c r="J583" s="97"/>
      <c r="K583" s="97"/>
      <c r="L583" s="97"/>
      <c r="M583" s="97"/>
      <c r="N583" s="97"/>
      <c r="O583" s="97"/>
      <c r="P583" s="97"/>
      <c r="Q583" s="97"/>
      <c r="R583" s="97"/>
      <c r="S583" s="97"/>
      <c r="T583" s="97"/>
      <c r="U583" s="97"/>
      <c r="V583" s="97"/>
      <c r="W583" s="97"/>
      <c r="X583" s="97"/>
      <c r="Y583" s="97"/>
      <c r="Z583" s="97"/>
    </row>
    <row r="584" spans="1:26">
      <c r="A584" s="116"/>
      <c r="D584" s="92"/>
      <c r="E584" s="112"/>
      <c r="F584" s="97"/>
      <c r="G584" s="97"/>
      <c r="H584" s="97"/>
      <c r="I584" s="97"/>
      <c r="J584" s="97"/>
      <c r="K584" s="97"/>
      <c r="L584" s="97"/>
      <c r="M584" s="97"/>
      <c r="N584" s="97"/>
      <c r="O584" s="97"/>
      <c r="P584" s="97"/>
      <c r="Q584" s="97"/>
      <c r="R584" s="97"/>
      <c r="S584" s="97"/>
      <c r="T584" s="97"/>
      <c r="U584" s="97"/>
      <c r="V584" s="97"/>
      <c r="W584" s="97"/>
      <c r="X584" s="97"/>
      <c r="Y584" s="97"/>
      <c r="Z584" s="97"/>
    </row>
    <row r="585" spans="1:26">
      <c r="A585" s="116"/>
      <c r="D585" s="92"/>
      <c r="E585" s="112"/>
      <c r="F585" s="97"/>
      <c r="G585" s="97"/>
      <c r="H585" s="97"/>
      <c r="I585" s="97"/>
      <c r="J585" s="97"/>
      <c r="K585" s="97"/>
      <c r="L585" s="97"/>
      <c r="M585" s="97"/>
      <c r="N585" s="97"/>
      <c r="O585" s="97"/>
      <c r="P585" s="97"/>
      <c r="Q585" s="97"/>
      <c r="R585" s="97"/>
      <c r="S585" s="97"/>
      <c r="T585" s="97"/>
      <c r="U585" s="97"/>
      <c r="V585" s="97"/>
      <c r="W585" s="97"/>
      <c r="X585" s="97"/>
      <c r="Y585" s="97"/>
      <c r="Z585" s="97"/>
    </row>
    <row r="586" spans="1:26">
      <c r="A586" s="116"/>
      <c r="D586" s="92"/>
      <c r="E586" s="112"/>
      <c r="F586" s="97"/>
      <c r="G586" s="97"/>
      <c r="H586" s="97"/>
      <c r="I586" s="97"/>
      <c r="J586" s="97"/>
      <c r="K586" s="97"/>
      <c r="L586" s="97"/>
      <c r="M586" s="97"/>
      <c r="N586" s="97"/>
      <c r="O586" s="97"/>
      <c r="P586" s="97"/>
      <c r="Q586" s="97"/>
      <c r="R586" s="97"/>
      <c r="S586" s="97"/>
      <c r="T586" s="97"/>
      <c r="U586" s="97"/>
      <c r="V586" s="97"/>
      <c r="W586" s="97"/>
      <c r="X586" s="97"/>
      <c r="Y586" s="97"/>
      <c r="Z586" s="97"/>
    </row>
    <row r="587" spans="1:26">
      <c r="A587" s="116"/>
      <c r="D587" s="92"/>
      <c r="E587" s="112"/>
      <c r="F587" s="97"/>
      <c r="G587" s="97"/>
      <c r="H587" s="97"/>
      <c r="I587" s="97"/>
      <c r="J587" s="97"/>
      <c r="K587" s="97"/>
      <c r="L587" s="97"/>
      <c r="M587" s="97"/>
      <c r="N587" s="97"/>
      <c r="O587" s="97"/>
      <c r="P587" s="97"/>
      <c r="Q587" s="97"/>
      <c r="R587" s="97"/>
      <c r="S587" s="97"/>
      <c r="T587" s="97"/>
      <c r="U587" s="97"/>
      <c r="V587" s="97"/>
      <c r="W587" s="97"/>
      <c r="X587" s="97"/>
      <c r="Y587" s="97"/>
      <c r="Z587" s="97"/>
    </row>
    <row r="588" spans="1:26">
      <c r="A588" s="116"/>
      <c r="D588" s="92"/>
      <c r="E588" s="112"/>
      <c r="F588" s="97"/>
      <c r="G588" s="97"/>
      <c r="H588" s="97"/>
      <c r="I588" s="97"/>
      <c r="J588" s="97"/>
      <c r="K588" s="97"/>
      <c r="L588" s="97"/>
      <c r="M588" s="97"/>
      <c r="N588" s="97"/>
      <c r="O588" s="97"/>
      <c r="P588" s="97"/>
      <c r="Q588" s="97"/>
      <c r="R588" s="97"/>
      <c r="S588" s="97"/>
      <c r="T588" s="97"/>
      <c r="U588" s="97"/>
      <c r="V588" s="97"/>
      <c r="W588" s="97"/>
      <c r="X588" s="97"/>
      <c r="Y588" s="97"/>
      <c r="Z588" s="97"/>
    </row>
    <row r="589" spans="1:26">
      <c r="A589" s="116"/>
      <c r="D589" s="92"/>
      <c r="E589" s="112"/>
      <c r="F589" s="97"/>
      <c r="G589" s="97"/>
      <c r="H589" s="97"/>
      <c r="I589" s="97"/>
      <c r="J589" s="97"/>
      <c r="K589" s="97"/>
      <c r="L589" s="97"/>
      <c r="M589" s="97"/>
      <c r="N589" s="97"/>
      <c r="O589" s="97"/>
      <c r="P589" s="97"/>
      <c r="Q589" s="97"/>
      <c r="R589" s="97"/>
      <c r="S589" s="97"/>
      <c r="T589" s="97"/>
      <c r="U589" s="97"/>
      <c r="V589" s="97"/>
      <c r="W589" s="97"/>
      <c r="X589" s="97"/>
      <c r="Y589" s="97"/>
      <c r="Z589" s="97"/>
    </row>
    <row r="590" spans="1:26">
      <c r="A590" s="116"/>
      <c r="D590" s="92"/>
      <c r="E590" s="112"/>
      <c r="F590" s="97"/>
      <c r="G590" s="97"/>
      <c r="H590" s="97"/>
      <c r="I590" s="97"/>
      <c r="J590" s="97"/>
      <c r="K590" s="97"/>
      <c r="L590" s="97"/>
      <c r="M590" s="97"/>
      <c r="N590" s="97"/>
      <c r="O590" s="97"/>
      <c r="P590" s="97"/>
      <c r="Q590" s="97"/>
      <c r="R590" s="97"/>
      <c r="S590" s="97"/>
      <c r="T590" s="97"/>
      <c r="U590" s="97"/>
      <c r="V590" s="97"/>
      <c r="W590" s="97"/>
      <c r="X590" s="97"/>
      <c r="Y590" s="97"/>
      <c r="Z590" s="97"/>
    </row>
    <row r="591" spans="1:26">
      <c r="A591" s="116"/>
      <c r="D591" s="92"/>
      <c r="E591" s="112"/>
      <c r="F591" s="97"/>
      <c r="G591" s="97"/>
      <c r="H591" s="97"/>
      <c r="I591" s="97"/>
      <c r="J591" s="97"/>
      <c r="K591" s="97"/>
      <c r="L591" s="97"/>
      <c r="M591" s="97"/>
      <c r="N591" s="97"/>
      <c r="O591" s="97"/>
      <c r="P591" s="97"/>
      <c r="Q591" s="97"/>
      <c r="R591" s="97"/>
      <c r="S591" s="97"/>
      <c r="T591" s="97"/>
      <c r="U591" s="97"/>
      <c r="V591" s="97"/>
      <c r="W591" s="97"/>
      <c r="X591" s="97"/>
      <c r="Y591" s="97"/>
      <c r="Z591" s="97"/>
    </row>
    <row r="592" spans="1:26">
      <c r="A592" s="116"/>
      <c r="D592" s="92"/>
      <c r="E592" s="112"/>
      <c r="F592" s="97"/>
      <c r="G592" s="97"/>
      <c r="H592" s="97"/>
      <c r="I592" s="97"/>
      <c r="J592" s="97"/>
      <c r="K592" s="97"/>
      <c r="L592" s="97"/>
      <c r="M592" s="97"/>
      <c r="N592" s="97"/>
      <c r="O592" s="97"/>
      <c r="P592" s="97"/>
      <c r="Q592" s="97"/>
      <c r="R592" s="97"/>
      <c r="S592" s="97"/>
      <c r="T592" s="97"/>
      <c r="U592" s="97"/>
      <c r="V592" s="97"/>
      <c r="W592" s="97"/>
      <c r="X592" s="97"/>
      <c r="Y592" s="97"/>
      <c r="Z592" s="97"/>
    </row>
    <row r="593" spans="1:26">
      <c r="A593" s="116"/>
      <c r="D593" s="92"/>
      <c r="E593" s="112"/>
      <c r="F593" s="97"/>
      <c r="G593" s="97"/>
      <c r="H593" s="97"/>
      <c r="I593" s="97"/>
      <c r="J593" s="97"/>
      <c r="K593" s="97"/>
      <c r="L593" s="97"/>
      <c r="M593" s="97"/>
      <c r="N593" s="97"/>
      <c r="O593" s="97"/>
      <c r="P593" s="97"/>
      <c r="Q593" s="97"/>
      <c r="R593" s="97"/>
      <c r="S593" s="97"/>
      <c r="T593" s="97"/>
      <c r="U593" s="97"/>
      <c r="V593" s="97"/>
      <c r="W593" s="97"/>
      <c r="X593" s="97"/>
      <c r="Y593" s="97"/>
      <c r="Z593" s="97"/>
    </row>
    <row r="594" spans="1:26">
      <c r="A594" s="116"/>
      <c r="D594" s="92"/>
      <c r="E594" s="112"/>
      <c r="F594" s="97"/>
      <c r="G594" s="97"/>
      <c r="H594" s="97"/>
      <c r="I594" s="97"/>
      <c r="J594" s="97"/>
      <c r="K594" s="97"/>
      <c r="L594" s="97"/>
      <c r="M594" s="97"/>
      <c r="N594" s="97"/>
      <c r="O594" s="97"/>
      <c r="P594" s="97"/>
      <c r="Q594" s="97"/>
      <c r="R594" s="97"/>
      <c r="S594" s="97"/>
      <c r="T594" s="97"/>
      <c r="U594" s="97"/>
      <c r="V594" s="97"/>
      <c r="W594" s="97"/>
      <c r="X594" s="97"/>
      <c r="Y594" s="97"/>
      <c r="Z594" s="97"/>
    </row>
    <row r="595" spans="1:26">
      <c r="A595" s="116"/>
      <c r="D595" s="92"/>
      <c r="E595" s="112"/>
      <c r="F595" s="97"/>
      <c r="G595" s="97"/>
      <c r="H595" s="97"/>
      <c r="I595" s="97"/>
      <c r="J595" s="97"/>
      <c r="K595" s="97"/>
      <c r="L595" s="97"/>
      <c r="M595" s="97"/>
      <c r="N595" s="97"/>
      <c r="O595" s="97"/>
      <c r="P595" s="97"/>
      <c r="Q595" s="97"/>
      <c r="R595" s="97"/>
      <c r="S595" s="97"/>
      <c r="T595" s="97"/>
      <c r="U595" s="97"/>
      <c r="V595" s="97"/>
      <c r="W595" s="97"/>
      <c r="X595" s="97"/>
      <c r="Y595" s="97"/>
      <c r="Z595" s="97"/>
    </row>
    <row r="596" spans="1:26">
      <c r="A596" s="116"/>
      <c r="D596" s="92"/>
      <c r="E596" s="112"/>
      <c r="F596" s="97"/>
      <c r="G596" s="97"/>
      <c r="H596" s="97"/>
      <c r="I596" s="97"/>
      <c r="J596" s="97"/>
      <c r="K596" s="97"/>
      <c r="L596" s="97"/>
      <c r="M596" s="97"/>
      <c r="N596" s="97"/>
      <c r="O596" s="97"/>
      <c r="P596" s="97"/>
      <c r="Q596" s="97"/>
      <c r="R596" s="97"/>
      <c r="S596" s="97"/>
      <c r="T596" s="97"/>
      <c r="U596" s="97"/>
      <c r="V596" s="97"/>
      <c r="W596" s="97"/>
      <c r="X596" s="97"/>
      <c r="Y596" s="97"/>
      <c r="Z596" s="97"/>
    </row>
    <row r="597" spans="1:26">
      <c r="A597" s="116"/>
      <c r="D597" s="92"/>
      <c r="E597" s="112"/>
      <c r="F597" s="97"/>
      <c r="G597" s="97"/>
      <c r="H597" s="97"/>
      <c r="I597" s="97"/>
      <c r="J597" s="97"/>
      <c r="K597" s="97"/>
      <c r="L597" s="97"/>
      <c r="M597" s="97"/>
      <c r="N597" s="97"/>
      <c r="O597" s="97"/>
      <c r="P597" s="97"/>
      <c r="Q597" s="97"/>
      <c r="R597" s="97"/>
      <c r="S597" s="97"/>
      <c r="T597" s="97"/>
      <c r="U597" s="97"/>
      <c r="V597" s="97"/>
      <c r="W597" s="97"/>
      <c r="X597" s="97"/>
      <c r="Y597" s="97"/>
      <c r="Z597" s="97"/>
    </row>
    <row r="598" spans="1:26">
      <c r="A598" s="116"/>
      <c r="D598" s="92"/>
      <c r="E598" s="112"/>
      <c r="F598" s="97"/>
      <c r="G598" s="97"/>
      <c r="H598" s="97"/>
      <c r="I598" s="97"/>
      <c r="J598" s="97"/>
      <c r="K598" s="97"/>
      <c r="L598" s="97"/>
      <c r="M598" s="97"/>
      <c r="N598" s="97"/>
      <c r="O598" s="97"/>
      <c r="P598" s="97"/>
      <c r="Q598" s="97"/>
      <c r="R598" s="97"/>
      <c r="S598" s="97"/>
      <c r="T598" s="97"/>
      <c r="U598" s="97"/>
      <c r="V598" s="97"/>
      <c r="W598" s="97"/>
      <c r="X598" s="97"/>
      <c r="Y598" s="97"/>
      <c r="Z598" s="97"/>
    </row>
    <row r="599" spans="1:26">
      <c r="A599" s="116"/>
      <c r="D599" s="92"/>
      <c r="E599" s="112"/>
      <c r="F599" s="97"/>
      <c r="G599" s="97"/>
      <c r="H599" s="97"/>
      <c r="I599" s="97"/>
      <c r="J599" s="97"/>
      <c r="K599" s="97"/>
      <c r="L599" s="97"/>
      <c r="M599" s="97"/>
      <c r="N599" s="97"/>
      <c r="O599" s="97"/>
      <c r="P599" s="97"/>
      <c r="Q599" s="97"/>
      <c r="R599" s="97"/>
      <c r="S599" s="97"/>
      <c r="T599" s="97"/>
      <c r="U599" s="97"/>
      <c r="V599" s="97"/>
      <c r="W599" s="97"/>
      <c r="X599" s="97"/>
      <c r="Y599" s="97"/>
      <c r="Z599" s="97"/>
    </row>
    <row r="600" spans="1:26">
      <c r="A600" s="116"/>
      <c r="D600" s="92"/>
      <c r="E600" s="112"/>
      <c r="F600" s="97"/>
      <c r="G600" s="97"/>
      <c r="H600" s="97"/>
      <c r="I600" s="97"/>
      <c r="J600" s="97"/>
      <c r="K600" s="97"/>
      <c r="L600" s="97"/>
      <c r="M600" s="97"/>
      <c r="N600" s="97"/>
      <c r="O600" s="97"/>
      <c r="P600" s="97"/>
      <c r="Q600" s="97"/>
      <c r="R600" s="97"/>
      <c r="S600" s="97"/>
      <c r="T600" s="97"/>
      <c r="U600" s="97"/>
      <c r="V600" s="97"/>
      <c r="W600" s="97"/>
      <c r="X600" s="97"/>
      <c r="Y600" s="97"/>
      <c r="Z600" s="97"/>
    </row>
    <row r="601" spans="1:26">
      <c r="A601" s="116"/>
      <c r="D601" s="92"/>
      <c r="E601" s="112"/>
      <c r="F601" s="97"/>
      <c r="G601" s="97"/>
      <c r="H601" s="97"/>
      <c r="I601" s="97"/>
      <c r="J601" s="97"/>
      <c r="K601" s="97"/>
      <c r="L601" s="97"/>
      <c r="M601" s="97"/>
      <c r="N601" s="97"/>
      <c r="O601" s="97"/>
      <c r="P601" s="97"/>
      <c r="Q601" s="97"/>
      <c r="R601" s="97"/>
      <c r="S601" s="97"/>
      <c r="T601" s="97"/>
      <c r="U601" s="97"/>
      <c r="V601" s="97"/>
      <c r="W601" s="97"/>
      <c r="X601" s="97"/>
      <c r="Y601" s="97"/>
      <c r="Z601" s="97"/>
    </row>
    <row r="602" spans="1:26">
      <c r="A602" s="116"/>
      <c r="D602" s="92"/>
      <c r="E602" s="112"/>
      <c r="F602" s="97"/>
      <c r="G602" s="97"/>
      <c r="H602" s="97"/>
      <c r="I602" s="97"/>
      <c r="J602" s="97"/>
      <c r="K602" s="97"/>
      <c r="L602" s="97"/>
      <c r="M602" s="97"/>
      <c r="N602" s="97"/>
      <c r="O602" s="97"/>
      <c r="P602" s="97"/>
      <c r="Q602" s="97"/>
      <c r="R602" s="97"/>
      <c r="S602" s="97"/>
      <c r="T602" s="97"/>
      <c r="U602" s="97"/>
      <c r="V602" s="97"/>
      <c r="W602" s="97"/>
      <c r="X602" s="97"/>
      <c r="Y602" s="97"/>
      <c r="Z602" s="97"/>
    </row>
    <row r="603" spans="1:26">
      <c r="A603" s="116"/>
      <c r="D603" s="92"/>
      <c r="E603" s="112"/>
      <c r="F603" s="97"/>
      <c r="G603" s="97"/>
      <c r="H603" s="97"/>
      <c r="I603" s="97"/>
      <c r="J603" s="97"/>
      <c r="K603" s="97"/>
      <c r="L603" s="97"/>
      <c r="M603" s="97"/>
      <c r="N603" s="97"/>
      <c r="O603" s="97"/>
      <c r="P603" s="97"/>
      <c r="Q603" s="97"/>
      <c r="R603" s="97"/>
      <c r="S603" s="97"/>
      <c r="T603" s="97"/>
      <c r="U603" s="97"/>
      <c r="V603" s="97"/>
      <c r="W603" s="97"/>
      <c r="X603" s="97"/>
      <c r="Y603" s="97"/>
      <c r="Z603" s="97"/>
    </row>
    <row r="604" spans="1:26">
      <c r="A604" s="116"/>
      <c r="D604" s="92"/>
      <c r="E604" s="112"/>
      <c r="F604" s="97"/>
      <c r="G604" s="97"/>
      <c r="H604" s="97"/>
      <c r="I604" s="97"/>
      <c r="J604" s="97"/>
      <c r="K604" s="97"/>
      <c r="L604" s="97"/>
      <c r="M604" s="97"/>
      <c r="N604" s="97"/>
      <c r="O604" s="97"/>
      <c r="P604" s="97"/>
      <c r="Q604" s="97"/>
      <c r="R604" s="97"/>
      <c r="S604" s="97"/>
      <c r="T604" s="97"/>
      <c r="U604" s="97"/>
      <c r="V604" s="97"/>
      <c r="W604" s="97"/>
      <c r="X604" s="97"/>
      <c r="Y604" s="97"/>
      <c r="Z604" s="97"/>
    </row>
    <row r="605" spans="1:26">
      <c r="A605" s="116"/>
      <c r="D605" s="92"/>
      <c r="E605" s="112"/>
      <c r="F605" s="97"/>
      <c r="G605" s="97"/>
      <c r="H605" s="97"/>
      <c r="I605" s="97"/>
      <c r="J605" s="97"/>
      <c r="K605" s="97"/>
      <c r="L605" s="97"/>
      <c r="M605" s="97"/>
      <c r="N605" s="97"/>
      <c r="O605" s="97"/>
      <c r="P605" s="97"/>
      <c r="Q605" s="97"/>
      <c r="R605" s="97"/>
      <c r="S605" s="97"/>
      <c r="T605" s="97"/>
      <c r="U605" s="97"/>
      <c r="V605" s="97"/>
      <c r="W605" s="97"/>
      <c r="X605" s="97"/>
      <c r="Y605" s="97"/>
      <c r="Z605" s="97"/>
    </row>
    <row r="606" spans="1:26">
      <c r="A606" s="116"/>
      <c r="D606" s="92"/>
      <c r="E606" s="112"/>
      <c r="F606" s="97"/>
      <c r="G606" s="97"/>
      <c r="H606" s="97"/>
      <c r="I606" s="97"/>
      <c r="J606" s="97"/>
      <c r="K606" s="97"/>
      <c r="L606" s="97"/>
      <c r="M606" s="97"/>
      <c r="N606" s="97"/>
      <c r="O606" s="97"/>
      <c r="P606" s="97"/>
      <c r="Q606" s="97"/>
      <c r="R606" s="97"/>
      <c r="S606" s="97"/>
      <c r="T606" s="97"/>
      <c r="U606" s="97"/>
      <c r="V606" s="97"/>
      <c r="W606" s="97"/>
      <c r="X606" s="97"/>
      <c r="Y606" s="97"/>
      <c r="Z606" s="97"/>
    </row>
    <row r="607" spans="1:26">
      <c r="A607" s="116"/>
      <c r="D607" s="92"/>
      <c r="E607" s="112"/>
      <c r="F607" s="97"/>
      <c r="G607" s="97"/>
      <c r="H607" s="97"/>
      <c r="I607" s="97"/>
      <c r="J607" s="97"/>
      <c r="K607" s="97"/>
      <c r="L607" s="97"/>
      <c r="M607" s="97"/>
      <c r="N607" s="97"/>
      <c r="O607" s="97"/>
      <c r="P607" s="97"/>
      <c r="Q607" s="97"/>
      <c r="R607" s="97"/>
      <c r="S607" s="97"/>
      <c r="T607" s="97"/>
      <c r="U607" s="97"/>
      <c r="V607" s="97"/>
      <c r="W607" s="97"/>
      <c r="X607" s="97"/>
      <c r="Y607" s="97"/>
      <c r="Z607" s="97"/>
    </row>
    <row r="608" spans="1:26">
      <c r="A608" s="116"/>
      <c r="D608" s="92"/>
      <c r="E608" s="112"/>
      <c r="F608" s="97"/>
      <c r="G608" s="97"/>
      <c r="H608" s="97"/>
      <c r="I608" s="97"/>
      <c r="J608" s="97"/>
      <c r="K608" s="97"/>
      <c r="L608" s="97"/>
      <c r="M608" s="97"/>
      <c r="N608" s="97"/>
      <c r="O608" s="97"/>
      <c r="P608" s="97"/>
      <c r="Q608" s="97"/>
      <c r="R608" s="97"/>
      <c r="S608" s="97"/>
      <c r="T608" s="97"/>
      <c r="U608" s="97"/>
      <c r="V608" s="97"/>
      <c r="W608" s="97"/>
      <c r="X608" s="97"/>
      <c r="Y608" s="97"/>
      <c r="Z608" s="97"/>
    </row>
    <row r="609" spans="1:26">
      <c r="A609" s="116"/>
      <c r="D609" s="92"/>
      <c r="E609" s="112"/>
      <c r="F609" s="97"/>
      <c r="G609" s="97"/>
      <c r="H609" s="97"/>
      <c r="I609" s="97"/>
      <c r="J609" s="97"/>
      <c r="K609" s="97"/>
      <c r="L609" s="97"/>
      <c r="M609" s="97"/>
      <c r="N609" s="97"/>
      <c r="O609" s="97"/>
      <c r="P609" s="97"/>
      <c r="Q609" s="97"/>
      <c r="R609" s="97"/>
      <c r="S609" s="97"/>
      <c r="T609" s="97"/>
      <c r="U609" s="97"/>
      <c r="V609" s="97"/>
      <c r="W609" s="97"/>
      <c r="X609" s="97"/>
      <c r="Y609" s="97"/>
      <c r="Z609" s="97"/>
    </row>
    <row r="610" spans="1:26">
      <c r="A610" s="116"/>
      <c r="D610" s="92"/>
      <c r="E610" s="112"/>
      <c r="F610" s="97"/>
      <c r="G610" s="97"/>
      <c r="H610" s="97"/>
      <c r="I610" s="97"/>
      <c r="J610" s="97"/>
      <c r="K610" s="97"/>
      <c r="L610" s="97"/>
      <c r="M610" s="97"/>
      <c r="N610" s="97"/>
      <c r="O610" s="97"/>
      <c r="P610" s="97"/>
      <c r="Q610" s="97"/>
      <c r="R610" s="97"/>
      <c r="S610" s="97"/>
      <c r="T610" s="97"/>
      <c r="U610" s="97"/>
      <c r="V610" s="97"/>
      <c r="W610" s="97"/>
      <c r="X610" s="97"/>
      <c r="Y610" s="97"/>
      <c r="Z610" s="97"/>
    </row>
    <row r="611" spans="1:26">
      <c r="A611" s="116"/>
      <c r="D611" s="92"/>
      <c r="E611" s="112"/>
      <c r="F611" s="97"/>
      <c r="G611" s="97"/>
      <c r="H611" s="97"/>
      <c r="I611" s="97"/>
      <c r="J611" s="97"/>
      <c r="K611" s="97"/>
      <c r="L611" s="97"/>
      <c r="M611" s="97"/>
      <c r="N611" s="97"/>
      <c r="O611" s="97"/>
      <c r="P611" s="97"/>
      <c r="Q611" s="97"/>
      <c r="R611" s="97"/>
      <c r="S611" s="97"/>
      <c r="T611" s="97"/>
      <c r="U611" s="97"/>
      <c r="V611" s="97"/>
      <c r="W611" s="97"/>
      <c r="X611" s="97"/>
      <c r="Y611" s="97"/>
      <c r="Z611" s="97"/>
    </row>
    <row r="612" spans="1:26">
      <c r="A612" s="116"/>
      <c r="D612" s="92"/>
      <c r="E612" s="112"/>
      <c r="F612" s="97"/>
      <c r="G612" s="97"/>
      <c r="H612" s="97"/>
      <c r="I612" s="97"/>
      <c r="J612" s="97"/>
      <c r="K612" s="97"/>
      <c r="L612" s="97"/>
      <c r="M612" s="97"/>
      <c r="N612" s="97"/>
      <c r="O612" s="97"/>
      <c r="P612" s="97"/>
      <c r="Q612" s="97"/>
      <c r="R612" s="97"/>
      <c r="S612" s="97"/>
      <c r="T612" s="97"/>
      <c r="U612" s="97"/>
      <c r="V612" s="97"/>
      <c r="W612" s="97"/>
      <c r="X612" s="97"/>
      <c r="Y612" s="97"/>
      <c r="Z612" s="97"/>
    </row>
    <row r="613" spans="1:26">
      <c r="A613" s="116"/>
      <c r="D613" s="92"/>
      <c r="E613" s="112"/>
      <c r="F613" s="97"/>
      <c r="G613" s="97"/>
      <c r="H613" s="97"/>
      <c r="I613" s="97"/>
      <c r="J613" s="97"/>
      <c r="K613" s="97"/>
      <c r="L613" s="97"/>
      <c r="M613" s="97"/>
      <c r="N613" s="97"/>
      <c r="O613" s="97"/>
      <c r="P613" s="97"/>
      <c r="Q613" s="97"/>
      <c r="R613" s="97"/>
      <c r="S613" s="97"/>
      <c r="T613" s="97"/>
      <c r="U613" s="97"/>
      <c r="V613" s="97"/>
      <c r="W613" s="97"/>
      <c r="X613" s="97"/>
      <c r="Y613" s="97"/>
      <c r="Z613" s="97"/>
    </row>
    <row r="614" spans="1:26">
      <c r="A614" s="116"/>
      <c r="D614" s="92"/>
      <c r="E614" s="112"/>
      <c r="F614" s="97"/>
      <c r="G614" s="97"/>
      <c r="H614" s="97"/>
      <c r="I614" s="97"/>
      <c r="J614" s="97"/>
      <c r="K614" s="97"/>
      <c r="L614" s="97"/>
      <c r="M614" s="97"/>
      <c r="N614" s="97"/>
      <c r="O614" s="97"/>
      <c r="P614" s="97"/>
      <c r="Q614" s="97"/>
      <c r="R614" s="97"/>
      <c r="S614" s="97"/>
      <c r="T614" s="97"/>
      <c r="U614" s="97"/>
      <c r="V614" s="97"/>
      <c r="W614" s="97"/>
      <c r="X614" s="97"/>
      <c r="Y614" s="97"/>
      <c r="Z614" s="97"/>
    </row>
    <row r="615" spans="1:26">
      <c r="A615" s="116"/>
      <c r="D615" s="92"/>
      <c r="E615" s="112"/>
      <c r="F615" s="97"/>
      <c r="G615" s="97"/>
      <c r="H615" s="97"/>
      <c r="I615" s="97"/>
      <c r="J615" s="97"/>
      <c r="K615" s="97"/>
      <c r="L615" s="97"/>
      <c r="M615" s="97"/>
      <c r="N615" s="97"/>
      <c r="O615" s="97"/>
      <c r="P615" s="97"/>
      <c r="Q615" s="97"/>
      <c r="R615" s="97"/>
      <c r="S615" s="97"/>
      <c r="T615" s="97"/>
      <c r="U615" s="97"/>
      <c r="V615" s="97"/>
      <c r="W615" s="97"/>
      <c r="X615" s="97"/>
      <c r="Y615" s="97"/>
      <c r="Z615" s="97"/>
    </row>
    <row r="616" spans="1:26">
      <c r="A616" s="116"/>
      <c r="D616" s="92"/>
      <c r="E616" s="112"/>
      <c r="F616" s="97"/>
      <c r="G616" s="97"/>
      <c r="H616" s="97"/>
      <c r="I616" s="97"/>
      <c r="J616" s="97"/>
      <c r="K616" s="97"/>
      <c r="L616" s="97"/>
      <c r="M616" s="97"/>
      <c r="N616" s="97"/>
      <c r="O616" s="97"/>
      <c r="P616" s="97"/>
      <c r="Q616" s="97"/>
      <c r="R616" s="97"/>
      <c r="S616" s="97"/>
      <c r="T616" s="97"/>
      <c r="U616" s="97"/>
      <c r="V616" s="97"/>
      <c r="W616" s="97"/>
      <c r="X616" s="97"/>
      <c r="Y616" s="97"/>
      <c r="Z616" s="97"/>
    </row>
    <row r="617" spans="1:26">
      <c r="A617" s="116"/>
      <c r="D617" s="92"/>
      <c r="E617" s="112"/>
      <c r="F617" s="97"/>
      <c r="G617" s="97"/>
      <c r="H617" s="97"/>
      <c r="I617" s="97"/>
      <c r="J617" s="97"/>
      <c r="K617" s="97"/>
      <c r="L617" s="97"/>
      <c r="M617" s="97"/>
      <c r="N617" s="97"/>
      <c r="O617" s="97"/>
      <c r="P617" s="97"/>
      <c r="Q617" s="97"/>
      <c r="R617" s="97"/>
      <c r="S617" s="97"/>
      <c r="T617" s="97"/>
      <c r="U617" s="97"/>
      <c r="V617" s="97"/>
      <c r="W617" s="97"/>
      <c r="X617" s="97"/>
      <c r="Y617" s="97"/>
      <c r="Z617" s="97"/>
    </row>
    <row r="618" spans="1:26">
      <c r="A618" s="116"/>
      <c r="D618" s="92"/>
      <c r="E618" s="112"/>
      <c r="F618" s="97"/>
      <c r="G618" s="97"/>
      <c r="H618" s="97"/>
      <c r="I618" s="97"/>
      <c r="J618" s="97"/>
      <c r="K618" s="97"/>
      <c r="L618" s="97"/>
      <c r="M618" s="97"/>
      <c r="N618" s="97"/>
      <c r="O618" s="97"/>
      <c r="P618" s="97"/>
      <c r="Q618" s="97"/>
      <c r="R618" s="97"/>
      <c r="S618" s="97"/>
      <c r="T618" s="97"/>
      <c r="U618" s="97"/>
      <c r="V618" s="97"/>
      <c r="W618" s="97"/>
      <c r="X618" s="97"/>
      <c r="Y618" s="97"/>
      <c r="Z618" s="97"/>
    </row>
    <row r="619" spans="1:26">
      <c r="A619" s="116"/>
      <c r="D619" s="92"/>
      <c r="E619" s="112"/>
      <c r="F619" s="97"/>
      <c r="G619" s="97"/>
      <c r="H619" s="97"/>
      <c r="I619" s="97"/>
      <c r="J619" s="97"/>
      <c r="K619" s="97"/>
      <c r="L619" s="97"/>
      <c r="M619" s="97"/>
      <c r="N619" s="97"/>
      <c r="O619" s="97"/>
      <c r="P619" s="97"/>
      <c r="Q619" s="97"/>
      <c r="R619" s="97"/>
      <c r="S619" s="97"/>
      <c r="T619" s="97"/>
      <c r="U619" s="97"/>
      <c r="V619" s="97"/>
      <c r="W619" s="97"/>
      <c r="X619" s="97"/>
      <c r="Y619" s="97"/>
      <c r="Z619" s="97"/>
    </row>
    <row r="620" spans="1:26">
      <c r="A620" s="116"/>
      <c r="D620" s="92"/>
      <c r="E620" s="112"/>
      <c r="F620" s="97"/>
      <c r="G620" s="97"/>
      <c r="H620" s="97"/>
      <c r="I620" s="97"/>
      <c r="J620" s="97"/>
      <c r="K620" s="97"/>
      <c r="L620" s="97"/>
      <c r="M620" s="97"/>
      <c r="N620" s="97"/>
      <c r="O620" s="97"/>
      <c r="P620" s="97"/>
      <c r="Q620" s="97"/>
      <c r="R620" s="97"/>
      <c r="S620" s="97"/>
      <c r="T620" s="97"/>
      <c r="U620" s="97"/>
      <c r="V620" s="97"/>
      <c r="W620" s="97"/>
      <c r="X620" s="97"/>
      <c r="Y620" s="97"/>
      <c r="Z620" s="97"/>
    </row>
    <row r="621" spans="1:26">
      <c r="A621" s="116"/>
      <c r="D621" s="92"/>
      <c r="E621" s="112"/>
      <c r="F621" s="97"/>
      <c r="G621" s="97"/>
      <c r="H621" s="97"/>
      <c r="I621" s="97"/>
      <c r="J621" s="97"/>
      <c r="K621" s="97"/>
      <c r="L621" s="97"/>
      <c r="M621" s="97"/>
      <c r="N621" s="97"/>
      <c r="O621" s="97"/>
      <c r="P621" s="97"/>
      <c r="Q621" s="97"/>
      <c r="R621" s="97"/>
      <c r="S621" s="97"/>
      <c r="T621" s="97"/>
      <c r="U621" s="97"/>
      <c r="V621" s="97"/>
      <c r="W621" s="97"/>
      <c r="X621" s="97"/>
      <c r="Y621" s="97"/>
      <c r="Z621" s="97"/>
    </row>
    <row r="622" spans="1:26">
      <c r="A622" s="116"/>
      <c r="D622" s="92"/>
      <c r="E622" s="112"/>
      <c r="F622" s="97"/>
      <c r="G622" s="97"/>
      <c r="H622" s="97"/>
      <c r="I622" s="97"/>
      <c r="J622" s="97"/>
      <c r="K622" s="97"/>
      <c r="L622" s="97"/>
      <c r="M622" s="97"/>
      <c r="N622" s="97"/>
      <c r="O622" s="97"/>
      <c r="P622" s="97"/>
      <c r="Q622" s="97"/>
      <c r="R622" s="97"/>
      <c r="S622" s="97"/>
      <c r="T622" s="97"/>
      <c r="U622" s="97"/>
      <c r="V622" s="97"/>
      <c r="W622" s="97"/>
      <c r="X622" s="97"/>
      <c r="Y622" s="97"/>
      <c r="Z622" s="97"/>
    </row>
    <row r="623" spans="1:26">
      <c r="A623" s="116"/>
      <c r="D623" s="92"/>
      <c r="E623" s="112"/>
      <c r="F623" s="97"/>
      <c r="G623" s="97"/>
      <c r="H623" s="97"/>
      <c r="I623" s="97"/>
      <c r="J623" s="97"/>
      <c r="K623" s="97"/>
      <c r="L623" s="97"/>
      <c r="M623" s="97"/>
      <c r="N623" s="97"/>
      <c r="O623" s="97"/>
      <c r="P623" s="97"/>
      <c r="Q623" s="97"/>
      <c r="R623" s="97"/>
      <c r="S623" s="97"/>
      <c r="T623" s="97"/>
      <c r="U623" s="97"/>
      <c r="V623" s="97"/>
      <c r="W623" s="97"/>
      <c r="X623" s="97"/>
      <c r="Y623" s="97"/>
      <c r="Z623" s="97"/>
    </row>
    <row r="624" spans="1:26">
      <c r="A624" s="116"/>
      <c r="D624" s="92"/>
      <c r="E624" s="112"/>
      <c r="F624" s="97"/>
      <c r="G624" s="97"/>
      <c r="H624" s="97"/>
      <c r="I624" s="97"/>
      <c r="J624" s="97"/>
      <c r="K624" s="97"/>
      <c r="L624" s="97"/>
      <c r="M624" s="97"/>
      <c r="N624" s="97"/>
      <c r="O624" s="97"/>
      <c r="P624" s="97"/>
      <c r="Q624" s="97"/>
      <c r="R624" s="97"/>
      <c r="S624" s="97"/>
      <c r="T624" s="97"/>
      <c r="U624" s="97"/>
      <c r="V624" s="97"/>
      <c r="W624" s="97"/>
      <c r="X624" s="97"/>
      <c r="Y624" s="97"/>
      <c r="Z624" s="97"/>
    </row>
    <row r="625" spans="1:26">
      <c r="A625" s="116"/>
      <c r="D625" s="92"/>
      <c r="E625" s="112"/>
      <c r="F625" s="97"/>
      <c r="G625" s="97"/>
      <c r="H625" s="97"/>
      <c r="I625" s="97"/>
      <c r="J625" s="97"/>
      <c r="K625" s="97"/>
      <c r="L625" s="97"/>
      <c r="M625" s="97"/>
      <c r="N625" s="97"/>
      <c r="O625" s="97"/>
      <c r="P625" s="97"/>
      <c r="Q625" s="97"/>
      <c r="R625" s="97"/>
      <c r="S625" s="97"/>
      <c r="T625" s="97"/>
      <c r="U625" s="97"/>
      <c r="V625" s="97"/>
      <c r="W625" s="97"/>
      <c r="X625" s="97"/>
      <c r="Y625" s="97"/>
      <c r="Z625" s="97"/>
    </row>
    <row r="626" spans="1:26">
      <c r="A626" s="116"/>
      <c r="D626" s="92"/>
      <c r="E626" s="112"/>
      <c r="F626" s="97"/>
      <c r="G626" s="97"/>
      <c r="H626" s="97"/>
      <c r="I626" s="97"/>
      <c r="J626" s="97"/>
      <c r="K626" s="97"/>
      <c r="L626" s="97"/>
      <c r="M626" s="97"/>
      <c r="N626" s="97"/>
      <c r="O626" s="97"/>
      <c r="P626" s="97"/>
      <c r="Q626" s="97"/>
      <c r="R626" s="97"/>
      <c r="S626" s="97"/>
      <c r="T626" s="97"/>
      <c r="U626" s="97"/>
      <c r="V626" s="97"/>
      <c r="W626" s="97"/>
      <c r="X626" s="97"/>
      <c r="Y626" s="97"/>
      <c r="Z626" s="97"/>
    </row>
    <row r="627" spans="1:26">
      <c r="A627" s="116"/>
      <c r="D627" s="92"/>
      <c r="E627" s="112"/>
      <c r="F627" s="97"/>
      <c r="G627" s="97"/>
      <c r="H627" s="97"/>
      <c r="I627" s="97"/>
      <c r="J627" s="97"/>
      <c r="K627" s="97"/>
      <c r="L627" s="97"/>
      <c r="M627" s="97"/>
      <c r="N627" s="97"/>
      <c r="O627" s="97"/>
      <c r="P627" s="97"/>
      <c r="Q627" s="97"/>
      <c r="R627" s="97"/>
      <c r="S627" s="97"/>
      <c r="T627" s="97"/>
      <c r="U627" s="97"/>
      <c r="V627" s="97"/>
      <c r="W627" s="97"/>
      <c r="X627" s="97"/>
      <c r="Y627" s="97"/>
      <c r="Z627" s="97"/>
    </row>
    <row r="628" spans="1:26">
      <c r="A628" s="116"/>
      <c r="D628" s="92"/>
      <c r="E628" s="112"/>
      <c r="F628" s="97"/>
      <c r="G628" s="97"/>
      <c r="H628" s="97"/>
      <c r="I628" s="97"/>
      <c r="J628" s="97"/>
      <c r="K628" s="97"/>
      <c r="L628" s="97"/>
      <c r="M628" s="97"/>
      <c r="N628" s="97"/>
      <c r="O628" s="97"/>
      <c r="P628" s="97"/>
      <c r="Q628" s="97"/>
      <c r="R628" s="97"/>
      <c r="S628" s="97"/>
      <c r="T628" s="97"/>
      <c r="U628" s="97"/>
      <c r="V628" s="97"/>
      <c r="W628" s="97"/>
      <c r="X628" s="97"/>
      <c r="Y628" s="97"/>
      <c r="Z628" s="97"/>
    </row>
    <row r="629" spans="1:26">
      <c r="A629" s="116"/>
      <c r="D629" s="92"/>
      <c r="E629" s="112"/>
      <c r="F629" s="97"/>
      <c r="G629" s="97"/>
      <c r="H629" s="97"/>
      <c r="I629" s="97"/>
      <c r="J629" s="97"/>
      <c r="K629" s="97"/>
      <c r="L629" s="97"/>
      <c r="M629" s="97"/>
      <c r="N629" s="97"/>
      <c r="O629" s="97"/>
      <c r="P629" s="97"/>
      <c r="Q629" s="97"/>
      <c r="R629" s="97"/>
      <c r="S629" s="97"/>
      <c r="T629" s="97"/>
      <c r="U629" s="97"/>
      <c r="V629" s="97"/>
      <c r="W629" s="97"/>
      <c r="X629" s="97"/>
      <c r="Y629" s="97"/>
      <c r="Z629" s="97"/>
    </row>
    <row r="630" spans="1:26">
      <c r="A630" s="116"/>
      <c r="D630" s="92"/>
      <c r="E630" s="112"/>
      <c r="F630" s="97"/>
      <c r="G630" s="97"/>
      <c r="H630" s="97"/>
      <c r="I630" s="97"/>
      <c r="J630" s="97"/>
      <c r="K630" s="97"/>
      <c r="L630" s="97"/>
      <c r="M630" s="97"/>
      <c r="N630" s="97"/>
      <c r="O630" s="97"/>
      <c r="P630" s="97"/>
      <c r="Q630" s="97"/>
      <c r="R630" s="97"/>
      <c r="S630" s="97"/>
      <c r="T630" s="97"/>
      <c r="U630" s="97"/>
      <c r="V630" s="97"/>
      <c r="W630" s="97"/>
      <c r="X630" s="97"/>
      <c r="Y630" s="97"/>
      <c r="Z630" s="97"/>
    </row>
    <row r="631" spans="1:26">
      <c r="A631" s="116"/>
      <c r="D631" s="92"/>
      <c r="E631" s="112"/>
      <c r="F631" s="97"/>
      <c r="G631" s="97"/>
      <c r="H631" s="97"/>
      <c r="I631" s="97"/>
      <c r="J631" s="97"/>
      <c r="K631" s="97"/>
      <c r="L631" s="97"/>
      <c r="M631" s="97"/>
      <c r="N631" s="97"/>
      <c r="O631" s="97"/>
      <c r="P631" s="97"/>
      <c r="Q631" s="97"/>
      <c r="R631" s="97"/>
      <c r="S631" s="97"/>
      <c r="T631" s="97"/>
      <c r="U631" s="97"/>
      <c r="V631" s="97"/>
      <c r="W631" s="97"/>
      <c r="X631" s="97"/>
      <c r="Y631" s="97"/>
      <c r="Z631" s="97"/>
    </row>
    <row r="632" spans="1:26">
      <c r="A632" s="116"/>
      <c r="D632" s="92"/>
      <c r="E632" s="112"/>
      <c r="F632" s="97"/>
      <c r="G632" s="97"/>
      <c r="H632" s="97"/>
      <c r="I632" s="97"/>
      <c r="J632" s="97"/>
      <c r="K632" s="97"/>
      <c r="L632" s="97"/>
      <c r="M632" s="97"/>
      <c r="N632" s="97"/>
      <c r="O632" s="97"/>
      <c r="P632" s="97"/>
      <c r="Q632" s="97"/>
      <c r="R632" s="97"/>
      <c r="S632" s="97"/>
      <c r="T632" s="97"/>
      <c r="U632" s="97"/>
      <c r="V632" s="97"/>
      <c r="W632" s="97"/>
      <c r="X632" s="97"/>
      <c r="Y632" s="97"/>
      <c r="Z632" s="97"/>
    </row>
    <row r="633" spans="1:26">
      <c r="A633" s="116"/>
      <c r="D633" s="92"/>
      <c r="E633" s="112"/>
      <c r="F633" s="97"/>
      <c r="G633" s="97"/>
      <c r="H633" s="97"/>
      <c r="I633" s="97"/>
      <c r="J633" s="97"/>
      <c r="K633" s="97"/>
      <c r="L633" s="97"/>
      <c r="M633" s="97"/>
      <c r="N633" s="97"/>
      <c r="O633" s="97"/>
      <c r="P633" s="97"/>
      <c r="Q633" s="97"/>
      <c r="R633" s="97"/>
      <c r="S633" s="97"/>
      <c r="T633" s="97"/>
      <c r="U633" s="97"/>
      <c r="V633" s="97"/>
      <c r="W633" s="97"/>
      <c r="X633" s="97"/>
      <c r="Y633" s="97"/>
      <c r="Z633" s="97"/>
    </row>
    <row r="634" spans="1:26">
      <c r="A634" s="116"/>
      <c r="D634" s="92"/>
      <c r="E634" s="112"/>
      <c r="F634" s="97"/>
      <c r="G634" s="97"/>
      <c r="H634" s="97"/>
      <c r="I634" s="97"/>
      <c r="J634" s="97"/>
      <c r="K634" s="97"/>
      <c r="L634" s="97"/>
      <c r="M634" s="97"/>
      <c r="N634" s="97"/>
      <c r="O634" s="97"/>
      <c r="P634" s="97"/>
      <c r="Q634" s="97"/>
      <c r="R634" s="97"/>
      <c r="S634" s="97"/>
      <c r="T634" s="97"/>
      <c r="U634" s="97"/>
      <c r="V634" s="97"/>
      <c r="W634" s="97"/>
      <c r="X634" s="97"/>
      <c r="Y634" s="97"/>
      <c r="Z634" s="97"/>
    </row>
    <row r="635" spans="1:26">
      <c r="A635" s="116"/>
      <c r="D635" s="92"/>
      <c r="E635" s="112"/>
      <c r="F635" s="97"/>
      <c r="G635" s="97"/>
      <c r="H635" s="97"/>
      <c r="I635" s="97"/>
      <c r="J635" s="97"/>
      <c r="K635" s="97"/>
      <c r="L635" s="97"/>
      <c r="M635" s="97"/>
      <c r="N635" s="97"/>
      <c r="O635" s="97"/>
      <c r="P635" s="97"/>
      <c r="Q635" s="97"/>
      <c r="R635" s="97"/>
      <c r="S635" s="97"/>
      <c r="T635" s="97"/>
      <c r="U635" s="97"/>
      <c r="V635" s="97"/>
      <c r="W635" s="97"/>
      <c r="X635" s="97"/>
      <c r="Y635" s="97"/>
      <c r="Z635" s="97"/>
    </row>
    <row r="636" spans="1:26">
      <c r="A636" s="116"/>
      <c r="D636" s="92"/>
      <c r="E636" s="112"/>
      <c r="F636" s="97"/>
      <c r="G636" s="97"/>
      <c r="H636" s="97"/>
      <c r="I636" s="97"/>
      <c r="J636" s="97"/>
      <c r="K636" s="97"/>
      <c r="L636" s="97"/>
      <c r="M636" s="97"/>
      <c r="N636" s="97"/>
      <c r="O636" s="97"/>
      <c r="P636" s="97"/>
      <c r="Q636" s="97"/>
      <c r="R636" s="97"/>
      <c r="S636" s="97"/>
      <c r="T636" s="97"/>
      <c r="U636" s="97"/>
      <c r="V636" s="97"/>
      <c r="W636" s="97"/>
      <c r="X636" s="97"/>
      <c r="Y636" s="97"/>
      <c r="Z636" s="97"/>
    </row>
    <row r="637" spans="1:26">
      <c r="A637" s="116"/>
      <c r="D637" s="92"/>
      <c r="E637" s="112"/>
      <c r="F637" s="97"/>
      <c r="G637" s="97"/>
      <c r="H637" s="97"/>
      <c r="I637" s="97"/>
      <c r="J637" s="97"/>
      <c r="K637" s="97"/>
      <c r="L637" s="97"/>
      <c r="M637" s="97"/>
      <c r="N637" s="97"/>
      <c r="O637" s="97"/>
      <c r="P637" s="97"/>
      <c r="Q637" s="97"/>
      <c r="R637" s="97"/>
      <c r="S637" s="97"/>
      <c r="T637" s="97"/>
      <c r="U637" s="97"/>
      <c r="V637" s="97"/>
      <c r="W637" s="97"/>
      <c r="X637" s="97"/>
      <c r="Y637" s="97"/>
      <c r="Z637" s="97"/>
    </row>
    <row r="638" spans="1:26">
      <c r="A638" s="116"/>
      <c r="D638" s="92"/>
      <c r="E638" s="112"/>
      <c r="F638" s="97"/>
      <c r="G638" s="97"/>
      <c r="H638" s="97"/>
      <c r="I638" s="97"/>
      <c r="J638" s="97"/>
      <c r="K638" s="97"/>
      <c r="L638" s="97"/>
      <c r="M638" s="97"/>
      <c r="N638" s="97"/>
      <c r="O638" s="97"/>
      <c r="P638" s="97"/>
      <c r="Q638" s="97"/>
      <c r="R638" s="97"/>
      <c r="S638" s="97"/>
      <c r="T638" s="97"/>
      <c r="U638" s="97"/>
      <c r="V638" s="97"/>
      <c r="W638" s="97"/>
      <c r="X638" s="97"/>
      <c r="Y638" s="97"/>
      <c r="Z638" s="97"/>
    </row>
    <row r="639" spans="1:26">
      <c r="A639" s="116"/>
      <c r="D639" s="92"/>
      <c r="E639" s="112"/>
      <c r="F639" s="97"/>
      <c r="G639" s="97"/>
      <c r="H639" s="97"/>
      <c r="I639" s="97"/>
      <c r="J639" s="97"/>
      <c r="K639" s="97"/>
      <c r="L639" s="97"/>
      <c r="M639" s="97"/>
      <c r="N639" s="97"/>
      <c r="O639" s="97"/>
      <c r="P639" s="97"/>
      <c r="Q639" s="97"/>
      <c r="R639" s="97"/>
      <c r="S639" s="97"/>
      <c r="T639" s="97"/>
      <c r="U639" s="97"/>
      <c r="V639" s="97"/>
      <c r="W639" s="97"/>
      <c r="X639" s="97"/>
      <c r="Y639" s="97"/>
      <c r="Z639" s="97"/>
    </row>
    <row r="640" spans="1:26">
      <c r="A640" s="116"/>
      <c r="D640" s="92"/>
      <c r="E640" s="112"/>
      <c r="F640" s="97"/>
      <c r="G640" s="97"/>
      <c r="H640" s="97"/>
      <c r="I640" s="97"/>
      <c r="J640" s="97"/>
      <c r="K640" s="97"/>
      <c r="L640" s="97"/>
      <c r="M640" s="97"/>
      <c r="N640" s="97"/>
      <c r="O640" s="97"/>
      <c r="P640" s="97"/>
      <c r="Q640" s="97"/>
      <c r="R640" s="97"/>
      <c r="S640" s="97"/>
      <c r="T640" s="97"/>
      <c r="U640" s="97"/>
      <c r="V640" s="97"/>
      <c r="W640" s="97"/>
      <c r="X640" s="97"/>
      <c r="Y640" s="97"/>
      <c r="Z640" s="97"/>
    </row>
    <row r="641" spans="1:26">
      <c r="A641" s="116"/>
      <c r="D641" s="92"/>
      <c r="E641" s="112"/>
      <c r="F641" s="97"/>
      <c r="G641" s="97"/>
      <c r="H641" s="97"/>
      <c r="I641" s="97"/>
      <c r="J641" s="97"/>
      <c r="K641" s="97"/>
      <c r="L641" s="97"/>
      <c r="M641" s="97"/>
      <c r="N641" s="97"/>
      <c r="O641" s="97"/>
      <c r="P641" s="97"/>
      <c r="Q641" s="97"/>
      <c r="R641" s="97"/>
      <c r="S641" s="97"/>
      <c r="T641" s="97"/>
      <c r="U641" s="97"/>
      <c r="V641" s="97"/>
      <c r="W641" s="97"/>
      <c r="X641" s="97"/>
      <c r="Y641" s="97"/>
      <c r="Z641" s="97"/>
    </row>
    <row r="642" spans="1:26">
      <c r="A642" s="116"/>
      <c r="D642" s="92"/>
      <c r="E642" s="112"/>
      <c r="F642" s="97"/>
      <c r="G642" s="97"/>
      <c r="H642" s="97"/>
      <c r="I642" s="97"/>
      <c r="J642" s="97"/>
      <c r="K642" s="97"/>
      <c r="L642" s="97"/>
      <c r="M642" s="97"/>
      <c r="N642" s="97"/>
      <c r="O642" s="97"/>
      <c r="P642" s="97"/>
      <c r="Q642" s="97"/>
      <c r="R642" s="97"/>
      <c r="S642" s="97"/>
      <c r="T642" s="97"/>
      <c r="U642" s="97"/>
      <c r="V642" s="97"/>
      <c r="W642" s="97"/>
      <c r="X642" s="97"/>
      <c r="Y642" s="97"/>
      <c r="Z642" s="97"/>
    </row>
    <row r="643" spans="1:26">
      <c r="A643" s="116"/>
      <c r="D643" s="92"/>
      <c r="E643" s="112"/>
      <c r="F643" s="97"/>
      <c r="G643" s="97"/>
      <c r="H643" s="97"/>
      <c r="I643" s="97"/>
      <c r="J643" s="97"/>
      <c r="K643" s="97"/>
      <c r="L643" s="97"/>
      <c r="M643" s="97"/>
      <c r="N643" s="97"/>
      <c r="O643" s="97"/>
      <c r="P643" s="97"/>
      <c r="Q643" s="97"/>
      <c r="R643" s="97"/>
      <c r="S643" s="97"/>
      <c r="T643" s="97"/>
      <c r="U643" s="97"/>
      <c r="V643" s="97"/>
      <c r="W643" s="97"/>
      <c r="X643" s="97"/>
      <c r="Y643" s="97"/>
      <c r="Z643" s="97"/>
    </row>
    <row r="644" spans="1:26">
      <c r="A644" s="116"/>
      <c r="D644" s="92"/>
      <c r="E644" s="112"/>
      <c r="F644" s="97"/>
      <c r="G644" s="97"/>
      <c r="H644" s="97"/>
      <c r="I644" s="97"/>
      <c r="J644" s="97"/>
      <c r="K644" s="97"/>
      <c r="L644" s="97"/>
      <c r="M644" s="97"/>
      <c r="N644" s="97"/>
      <c r="O644" s="97"/>
      <c r="P644" s="97"/>
      <c r="Q644" s="97"/>
      <c r="R644" s="97"/>
      <c r="S644" s="97"/>
      <c r="T644" s="97"/>
      <c r="U644" s="97"/>
      <c r="V644" s="97"/>
      <c r="W644" s="97"/>
      <c r="X644" s="97"/>
      <c r="Y644" s="97"/>
      <c r="Z644" s="97"/>
    </row>
    <row r="645" spans="1:26">
      <c r="A645" s="116"/>
      <c r="D645" s="92"/>
      <c r="E645" s="112"/>
      <c r="F645" s="97"/>
      <c r="G645" s="97"/>
      <c r="H645" s="97"/>
      <c r="I645" s="97"/>
      <c r="J645" s="97"/>
      <c r="K645" s="97"/>
      <c r="L645" s="97"/>
      <c r="M645" s="97"/>
      <c r="N645" s="97"/>
      <c r="O645" s="97"/>
      <c r="P645" s="97"/>
      <c r="Q645" s="97"/>
      <c r="R645" s="97"/>
      <c r="S645" s="97"/>
      <c r="T645" s="97"/>
      <c r="U645" s="97"/>
      <c r="V645" s="97"/>
      <c r="W645" s="97"/>
      <c r="X645" s="97"/>
      <c r="Y645" s="97"/>
      <c r="Z645" s="97"/>
    </row>
    <row r="646" spans="1:26">
      <c r="A646" s="116"/>
      <c r="D646" s="92"/>
      <c r="E646" s="112"/>
      <c r="F646" s="97"/>
      <c r="G646" s="97"/>
      <c r="H646" s="97"/>
      <c r="I646" s="97"/>
      <c r="J646" s="97"/>
      <c r="K646" s="97"/>
      <c r="L646" s="97"/>
      <c r="M646" s="97"/>
      <c r="N646" s="97"/>
      <c r="O646" s="97"/>
      <c r="P646" s="97"/>
      <c r="Q646" s="97"/>
      <c r="R646" s="97"/>
      <c r="S646" s="97"/>
      <c r="T646" s="97"/>
      <c r="U646" s="97"/>
      <c r="V646" s="97"/>
      <c r="W646" s="97"/>
      <c r="X646" s="97"/>
      <c r="Y646" s="97"/>
      <c r="Z646" s="97"/>
    </row>
    <row r="647" spans="1:26">
      <c r="A647" s="116"/>
      <c r="D647" s="92"/>
      <c r="E647" s="112"/>
      <c r="F647" s="97"/>
      <c r="G647" s="97"/>
      <c r="H647" s="97"/>
      <c r="I647" s="97"/>
      <c r="J647" s="97"/>
      <c r="K647" s="97"/>
      <c r="L647" s="97"/>
      <c r="M647" s="97"/>
      <c r="N647" s="97"/>
      <c r="O647" s="97"/>
      <c r="P647" s="97"/>
      <c r="Q647" s="97"/>
      <c r="R647" s="97"/>
      <c r="S647" s="97"/>
      <c r="T647" s="97"/>
      <c r="U647" s="97"/>
      <c r="V647" s="97"/>
      <c r="W647" s="97"/>
      <c r="X647" s="97"/>
      <c r="Y647" s="97"/>
      <c r="Z647" s="97"/>
    </row>
    <row r="648" spans="1:26">
      <c r="A648" s="116"/>
      <c r="D648" s="92"/>
      <c r="E648" s="112"/>
      <c r="F648" s="97"/>
      <c r="G648" s="97"/>
      <c r="H648" s="97"/>
      <c r="I648" s="97"/>
      <c r="J648" s="97"/>
      <c r="K648" s="97"/>
      <c r="L648" s="97"/>
      <c r="M648" s="97"/>
      <c r="N648" s="97"/>
      <c r="O648" s="97"/>
      <c r="P648" s="97"/>
      <c r="Q648" s="97"/>
      <c r="R648" s="97"/>
      <c r="S648" s="97"/>
      <c r="T648" s="97"/>
      <c r="U648" s="97"/>
      <c r="V648" s="97"/>
      <c r="W648" s="97"/>
      <c r="X648" s="97"/>
      <c r="Y648" s="97"/>
      <c r="Z648" s="97"/>
    </row>
    <row r="649" spans="1:26">
      <c r="A649" s="116"/>
      <c r="D649" s="92"/>
      <c r="E649" s="112"/>
      <c r="F649" s="97"/>
      <c r="G649" s="97"/>
      <c r="H649" s="97"/>
      <c r="I649" s="97"/>
      <c r="J649" s="97"/>
      <c r="K649" s="97"/>
      <c r="L649" s="97"/>
      <c r="M649" s="97"/>
      <c r="N649" s="97"/>
      <c r="O649" s="97"/>
      <c r="P649" s="97"/>
      <c r="Q649" s="97"/>
      <c r="R649" s="97"/>
      <c r="S649" s="97"/>
      <c r="T649" s="97"/>
      <c r="U649" s="97"/>
      <c r="V649" s="97"/>
      <c r="W649" s="97"/>
      <c r="X649" s="97"/>
      <c r="Y649" s="97"/>
      <c r="Z649" s="97"/>
    </row>
    <row r="650" spans="1:26">
      <c r="A650" s="116"/>
      <c r="D650" s="92"/>
      <c r="E650" s="112"/>
      <c r="F650" s="97"/>
      <c r="G650" s="97"/>
      <c r="H650" s="97"/>
      <c r="I650" s="97"/>
      <c r="J650" s="97"/>
      <c r="K650" s="97"/>
      <c r="L650" s="97"/>
      <c r="M650" s="97"/>
      <c r="N650" s="97"/>
      <c r="O650" s="97"/>
      <c r="P650" s="97"/>
      <c r="Q650" s="97"/>
      <c r="R650" s="97"/>
      <c r="S650" s="97"/>
      <c r="T650" s="97"/>
      <c r="U650" s="97"/>
      <c r="V650" s="97"/>
      <c r="W650" s="97"/>
      <c r="X650" s="97"/>
      <c r="Y650" s="97"/>
      <c r="Z650" s="97"/>
    </row>
    <row r="651" spans="1:26">
      <c r="A651" s="116"/>
      <c r="D651" s="92"/>
      <c r="E651" s="112"/>
      <c r="F651" s="97"/>
      <c r="G651" s="97"/>
      <c r="H651" s="97"/>
      <c r="I651" s="97"/>
      <c r="J651" s="97"/>
      <c r="K651" s="97"/>
      <c r="L651" s="97"/>
      <c r="M651" s="97"/>
      <c r="N651" s="97"/>
      <c r="O651" s="97"/>
      <c r="P651" s="97"/>
      <c r="Q651" s="97"/>
      <c r="R651" s="97"/>
      <c r="S651" s="97"/>
      <c r="T651" s="97"/>
      <c r="U651" s="97"/>
      <c r="V651" s="97"/>
      <c r="W651" s="97"/>
      <c r="X651" s="97"/>
      <c r="Y651" s="97"/>
      <c r="Z651" s="97"/>
    </row>
    <row r="652" spans="1:26">
      <c r="A652" s="116"/>
      <c r="D652" s="92"/>
      <c r="E652" s="112"/>
      <c r="F652" s="97"/>
      <c r="G652" s="97"/>
      <c r="H652" s="97"/>
      <c r="I652" s="97"/>
      <c r="J652" s="97"/>
      <c r="K652" s="97"/>
      <c r="L652" s="97"/>
      <c r="M652" s="97"/>
      <c r="N652" s="97"/>
      <c r="O652" s="97"/>
      <c r="P652" s="97"/>
      <c r="Q652" s="97"/>
      <c r="R652" s="97"/>
      <c r="S652" s="97"/>
      <c r="T652" s="97"/>
      <c r="U652" s="97"/>
      <c r="V652" s="97"/>
      <c r="W652" s="97"/>
      <c r="X652" s="97"/>
      <c r="Y652" s="97"/>
      <c r="Z652" s="97"/>
    </row>
    <row r="653" spans="1:26">
      <c r="A653" s="116"/>
      <c r="D653" s="92"/>
      <c r="E653" s="112"/>
      <c r="F653" s="97"/>
      <c r="G653" s="97"/>
      <c r="H653" s="97"/>
      <c r="I653" s="97"/>
      <c r="J653" s="97"/>
      <c r="K653" s="97"/>
      <c r="L653" s="97"/>
      <c r="M653" s="97"/>
      <c r="N653" s="97"/>
      <c r="O653" s="97"/>
      <c r="P653" s="97"/>
      <c r="Q653" s="97"/>
      <c r="R653" s="97"/>
      <c r="S653" s="97"/>
      <c r="T653" s="97"/>
      <c r="U653" s="97"/>
      <c r="V653" s="97"/>
      <c r="W653" s="97"/>
      <c r="X653" s="97"/>
      <c r="Y653" s="97"/>
      <c r="Z653" s="97"/>
    </row>
    <row r="654" spans="1:26">
      <c r="A654" s="116"/>
      <c r="D654" s="92"/>
      <c r="E654" s="112"/>
      <c r="F654" s="97"/>
      <c r="G654" s="97"/>
      <c r="H654" s="97"/>
      <c r="I654" s="97"/>
      <c r="J654" s="97"/>
      <c r="K654" s="97"/>
      <c r="L654" s="97"/>
      <c r="M654" s="97"/>
      <c r="N654" s="97"/>
      <c r="O654" s="97"/>
      <c r="P654" s="97"/>
      <c r="Q654" s="97"/>
      <c r="R654" s="97"/>
      <c r="S654" s="97"/>
      <c r="T654" s="97"/>
      <c r="U654" s="97"/>
      <c r="V654" s="97"/>
      <c r="W654" s="97"/>
      <c r="X654" s="97"/>
      <c r="Y654" s="97"/>
      <c r="Z654" s="97"/>
    </row>
    <row r="655" spans="1:26">
      <c r="A655" s="116"/>
      <c r="D655" s="92"/>
      <c r="E655" s="112"/>
      <c r="F655" s="97"/>
      <c r="G655" s="97"/>
      <c r="H655" s="97"/>
      <c r="I655" s="97"/>
      <c r="J655" s="97"/>
      <c r="K655" s="97"/>
      <c r="L655" s="97"/>
      <c r="M655" s="97"/>
      <c r="N655" s="97"/>
      <c r="O655" s="97"/>
      <c r="P655" s="97"/>
      <c r="Q655" s="97"/>
      <c r="R655" s="97"/>
      <c r="S655" s="97"/>
      <c r="T655" s="97"/>
      <c r="U655" s="97"/>
      <c r="V655" s="97"/>
      <c r="W655" s="97"/>
      <c r="X655" s="97"/>
      <c r="Y655" s="97"/>
      <c r="Z655" s="97"/>
    </row>
    <row r="656" spans="1:26">
      <c r="A656" s="116"/>
      <c r="D656" s="92"/>
      <c r="E656" s="112"/>
      <c r="F656" s="97"/>
      <c r="G656" s="97"/>
      <c r="H656" s="97"/>
      <c r="I656" s="97"/>
      <c r="J656" s="97"/>
      <c r="K656" s="97"/>
      <c r="L656" s="97"/>
      <c r="M656" s="97"/>
      <c r="N656" s="97"/>
      <c r="O656" s="97"/>
      <c r="P656" s="97"/>
      <c r="Q656" s="97"/>
      <c r="R656" s="97"/>
      <c r="S656" s="97"/>
      <c r="T656" s="97"/>
      <c r="U656" s="97"/>
      <c r="V656" s="97"/>
      <c r="W656" s="97"/>
      <c r="X656" s="97"/>
      <c r="Y656" s="97"/>
      <c r="Z656" s="97"/>
    </row>
    <row r="657" spans="1:26">
      <c r="A657" s="116"/>
      <c r="D657" s="92"/>
      <c r="E657" s="112"/>
      <c r="F657" s="97"/>
      <c r="G657" s="97"/>
      <c r="H657" s="97"/>
      <c r="I657" s="97"/>
      <c r="J657" s="97"/>
      <c r="K657" s="97"/>
      <c r="L657" s="97"/>
      <c r="M657" s="97"/>
      <c r="N657" s="97"/>
      <c r="O657" s="97"/>
      <c r="P657" s="97"/>
      <c r="Q657" s="97"/>
      <c r="R657" s="97"/>
      <c r="S657" s="97"/>
      <c r="T657" s="97"/>
      <c r="U657" s="97"/>
      <c r="V657" s="97"/>
      <c r="W657" s="97"/>
      <c r="X657" s="97"/>
      <c r="Y657" s="97"/>
      <c r="Z657" s="97"/>
    </row>
    <row r="658" spans="1:26">
      <c r="A658" s="116"/>
      <c r="D658" s="92"/>
      <c r="E658" s="112"/>
      <c r="F658" s="97"/>
      <c r="G658" s="97"/>
      <c r="H658" s="97"/>
      <c r="I658" s="97"/>
      <c r="J658" s="97"/>
      <c r="K658" s="97"/>
      <c r="L658" s="97"/>
      <c r="M658" s="97"/>
      <c r="N658" s="97"/>
      <c r="O658" s="97"/>
      <c r="P658" s="97"/>
      <c r="Q658" s="97"/>
      <c r="R658" s="97"/>
      <c r="S658" s="97"/>
      <c r="T658" s="97"/>
      <c r="U658" s="97"/>
      <c r="V658" s="97"/>
      <c r="W658" s="97"/>
      <c r="X658" s="97"/>
      <c r="Y658" s="97"/>
      <c r="Z658" s="97"/>
    </row>
    <row r="659" spans="1:26">
      <c r="A659" s="116"/>
      <c r="D659" s="92"/>
      <c r="E659" s="112"/>
      <c r="F659" s="97"/>
      <c r="G659" s="97"/>
      <c r="H659" s="97"/>
      <c r="I659" s="97"/>
      <c r="J659" s="97"/>
      <c r="K659" s="97"/>
      <c r="L659" s="97"/>
      <c r="M659" s="97"/>
      <c r="N659" s="97"/>
      <c r="O659" s="97"/>
      <c r="P659" s="97"/>
      <c r="Q659" s="97"/>
      <c r="R659" s="97"/>
      <c r="S659" s="97"/>
      <c r="T659" s="97"/>
      <c r="U659" s="97"/>
      <c r="V659" s="97"/>
      <c r="W659" s="97"/>
      <c r="X659" s="97"/>
      <c r="Y659" s="97"/>
      <c r="Z659" s="97"/>
    </row>
    <row r="660" spans="1:26">
      <c r="A660" s="116"/>
      <c r="D660" s="92"/>
      <c r="E660" s="112"/>
      <c r="F660" s="97"/>
      <c r="G660" s="97"/>
      <c r="H660" s="97"/>
      <c r="I660" s="97"/>
      <c r="J660" s="97"/>
      <c r="K660" s="97"/>
      <c r="L660" s="97"/>
      <c r="M660" s="97"/>
      <c r="N660" s="97"/>
      <c r="O660" s="97"/>
      <c r="P660" s="97"/>
      <c r="Q660" s="97"/>
      <c r="R660" s="97"/>
      <c r="S660" s="97"/>
      <c r="T660" s="97"/>
      <c r="U660" s="97"/>
      <c r="V660" s="97"/>
      <c r="W660" s="97"/>
      <c r="X660" s="97"/>
      <c r="Y660" s="97"/>
      <c r="Z660" s="97"/>
    </row>
    <row r="661" spans="1:26">
      <c r="A661" s="116"/>
      <c r="D661" s="92"/>
      <c r="E661" s="112"/>
      <c r="F661" s="97"/>
      <c r="G661" s="97"/>
      <c r="H661" s="97"/>
      <c r="I661" s="97"/>
      <c r="J661" s="97"/>
      <c r="K661" s="97"/>
      <c r="L661" s="97"/>
      <c r="M661" s="97"/>
      <c r="N661" s="97"/>
      <c r="O661" s="97"/>
      <c r="P661" s="97"/>
      <c r="Q661" s="97"/>
      <c r="R661" s="97"/>
      <c r="S661" s="97"/>
      <c r="T661" s="97"/>
      <c r="U661" s="97"/>
      <c r="V661" s="97"/>
      <c r="W661" s="97"/>
      <c r="X661" s="97"/>
      <c r="Y661" s="97"/>
      <c r="Z661" s="97"/>
    </row>
    <row r="662" spans="1:26">
      <c r="A662" s="116"/>
      <c r="D662" s="92"/>
      <c r="E662" s="112"/>
      <c r="F662" s="97"/>
      <c r="G662" s="97"/>
      <c r="H662" s="97"/>
      <c r="I662" s="97"/>
      <c r="J662" s="97"/>
      <c r="K662" s="97"/>
      <c r="L662" s="97"/>
      <c r="M662" s="97"/>
      <c r="N662" s="97"/>
      <c r="O662" s="97"/>
      <c r="P662" s="97"/>
      <c r="Q662" s="97"/>
      <c r="R662" s="97"/>
      <c r="S662" s="97"/>
      <c r="T662" s="97"/>
      <c r="U662" s="97"/>
      <c r="V662" s="97"/>
      <c r="W662" s="97"/>
      <c r="X662" s="97"/>
      <c r="Y662" s="97"/>
      <c r="Z662" s="97"/>
    </row>
    <row r="663" spans="1:26">
      <c r="A663" s="116"/>
      <c r="D663" s="92"/>
      <c r="E663" s="112"/>
      <c r="F663" s="97"/>
      <c r="G663" s="97"/>
      <c r="H663" s="97"/>
      <c r="I663" s="97"/>
      <c r="J663" s="97"/>
      <c r="K663" s="97"/>
      <c r="L663" s="97"/>
      <c r="M663" s="97"/>
      <c r="N663" s="97"/>
      <c r="O663" s="97"/>
      <c r="P663" s="97"/>
      <c r="Q663" s="97"/>
      <c r="R663" s="97"/>
      <c r="S663" s="97"/>
      <c r="T663" s="97"/>
      <c r="U663" s="97"/>
      <c r="V663" s="97"/>
      <c r="W663" s="97"/>
      <c r="X663" s="97"/>
      <c r="Y663" s="97"/>
      <c r="Z663" s="97"/>
    </row>
    <row r="664" spans="1:26">
      <c r="A664" s="116"/>
      <c r="D664" s="92"/>
      <c r="E664" s="112"/>
      <c r="F664" s="97"/>
      <c r="G664" s="97"/>
      <c r="H664" s="97"/>
      <c r="I664" s="97"/>
      <c r="J664" s="97"/>
      <c r="K664" s="97"/>
      <c r="L664" s="97"/>
      <c r="M664" s="97"/>
      <c r="N664" s="97"/>
      <c r="O664" s="97"/>
      <c r="P664" s="97"/>
      <c r="Q664" s="97"/>
      <c r="R664" s="97"/>
      <c r="S664" s="97"/>
      <c r="T664" s="97"/>
      <c r="U664" s="97"/>
      <c r="V664" s="97"/>
      <c r="W664" s="97"/>
      <c r="X664" s="97"/>
      <c r="Y664" s="97"/>
      <c r="Z664" s="97"/>
    </row>
    <row r="665" spans="1:26">
      <c r="A665" s="116"/>
      <c r="D665" s="92"/>
      <c r="E665" s="112"/>
      <c r="F665" s="97"/>
      <c r="G665" s="97"/>
      <c r="H665" s="97"/>
      <c r="I665" s="97"/>
      <c r="J665" s="97"/>
      <c r="K665" s="97"/>
      <c r="L665" s="97"/>
      <c r="M665" s="97"/>
      <c r="N665" s="97"/>
      <c r="O665" s="97"/>
      <c r="P665" s="97"/>
      <c r="Q665" s="97"/>
      <c r="R665" s="97"/>
      <c r="S665" s="97"/>
      <c r="T665" s="97"/>
      <c r="U665" s="97"/>
      <c r="V665" s="97"/>
      <c r="W665" s="97"/>
      <c r="X665" s="97"/>
      <c r="Y665" s="97"/>
      <c r="Z665" s="97"/>
    </row>
    <row r="666" spans="1:26">
      <c r="A666" s="116"/>
      <c r="D666" s="92"/>
      <c r="E666" s="112"/>
      <c r="F666" s="97"/>
      <c r="G666" s="97"/>
      <c r="H666" s="97"/>
      <c r="I666" s="97"/>
      <c r="J666" s="97"/>
      <c r="K666" s="97"/>
      <c r="L666" s="97"/>
      <c r="M666" s="97"/>
      <c r="N666" s="97"/>
      <c r="O666" s="97"/>
      <c r="P666" s="97"/>
      <c r="Q666" s="97"/>
      <c r="R666" s="97"/>
      <c r="S666" s="97"/>
      <c r="T666" s="97"/>
      <c r="U666" s="97"/>
      <c r="V666" s="97"/>
      <c r="W666" s="97"/>
      <c r="X666" s="97"/>
      <c r="Y666" s="97"/>
      <c r="Z666" s="97"/>
    </row>
    <row r="667" spans="1:26">
      <c r="A667" s="116"/>
      <c r="D667" s="92"/>
      <c r="E667" s="112"/>
      <c r="F667" s="97"/>
      <c r="G667" s="97"/>
      <c r="H667" s="97"/>
      <c r="I667" s="97"/>
      <c r="J667" s="97"/>
      <c r="K667" s="97"/>
      <c r="L667" s="97"/>
      <c r="M667" s="97"/>
      <c r="N667" s="97"/>
      <c r="O667" s="97"/>
      <c r="P667" s="97"/>
      <c r="Q667" s="97"/>
      <c r="R667" s="97"/>
      <c r="S667" s="97"/>
      <c r="T667" s="97"/>
      <c r="U667" s="97"/>
      <c r="V667" s="97"/>
      <c r="W667" s="97"/>
      <c r="X667" s="97"/>
      <c r="Y667" s="97"/>
      <c r="Z667" s="97"/>
    </row>
    <row r="668" spans="1:26">
      <c r="A668" s="116"/>
      <c r="D668" s="92"/>
      <c r="E668" s="112"/>
      <c r="F668" s="97"/>
      <c r="G668" s="97"/>
      <c r="H668" s="97"/>
      <c r="I668" s="97"/>
      <c r="J668" s="97"/>
      <c r="K668" s="97"/>
      <c r="L668" s="97"/>
      <c r="M668" s="97"/>
      <c r="N668" s="97"/>
      <c r="O668" s="97"/>
      <c r="P668" s="97"/>
      <c r="Q668" s="97"/>
      <c r="R668" s="97"/>
      <c r="S668" s="97"/>
      <c r="T668" s="97"/>
      <c r="U668" s="97"/>
      <c r="V668" s="97"/>
      <c r="W668" s="97"/>
      <c r="X668" s="97"/>
      <c r="Y668" s="97"/>
      <c r="Z668" s="97"/>
    </row>
    <row r="669" spans="1:26">
      <c r="A669" s="116"/>
      <c r="D669" s="92"/>
      <c r="E669" s="112"/>
      <c r="F669" s="97"/>
      <c r="G669" s="97"/>
      <c r="H669" s="97"/>
      <c r="I669" s="97"/>
      <c r="J669" s="97"/>
      <c r="K669" s="97"/>
      <c r="L669" s="97"/>
      <c r="M669" s="97"/>
      <c r="N669" s="97"/>
      <c r="O669" s="97"/>
      <c r="P669" s="97"/>
      <c r="Q669" s="97"/>
      <c r="R669" s="97"/>
      <c r="S669" s="97"/>
      <c r="T669" s="97"/>
      <c r="U669" s="97"/>
      <c r="V669" s="97"/>
      <c r="W669" s="97"/>
      <c r="X669" s="97"/>
      <c r="Y669" s="97"/>
      <c r="Z669" s="97"/>
    </row>
    <row r="670" spans="1:26">
      <c r="A670" s="116"/>
      <c r="D670" s="92"/>
      <c r="E670" s="112"/>
      <c r="F670" s="97"/>
      <c r="G670" s="97"/>
      <c r="H670" s="97"/>
      <c r="I670" s="97"/>
      <c r="J670" s="97"/>
      <c r="K670" s="97"/>
      <c r="L670" s="97"/>
      <c r="M670" s="97"/>
      <c r="N670" s="97"/>
      <c r="O670" s="97"/>
      <c r="P670" s="97"/>
      <c r="Q670" s="97"/>
      <c r="R670" s="97"/>
      <c r="S670" s="97"/>
      <c r="T670" s="97"/>
      <c r="U670" s="97"/>
      <c r="V670" s="97"/>
      <c r="W670" s="97"/>
      <c r="X670" s="97"/>
      <c r="Y670" s="97"/>
      <c r="Z670" s="97"/>
    </row>
    <row r="671" spans="1:26">
      <c r="A671" s="116"/>
      <c r="D671" s="92"/>
      <c r="E671" s="112"/>
      <c r="F671" s="97"/>
      <c r="G671" s="97"/>
      <c r="H671" s="97"/>
      <c r="I671" s="97"/>
      <c r="J671" s="97"/>
      <c r="K671" s="97"/>
      <c r="L671" s="97"/>
      <c r="M671" s="97"/>
      <c r="N671" s="97"/>
      <c r="O671" s="97"/>
      <c r="P671" s="97"/>
      <c r="Q671" s="97"/>
      <c r="R671" s="97"/>
      <c r="S671" s="97"/>
      <c r="T671" s="97"/>
      <c r="U671" s="97"/>
      <c r="V671" s="97"/>
      <c r="W671" s="97"/>
      <c r="X671" s="97"/>
      <c r="Y671" s="97"/>
      <c r="Z671" s="97"/>
    </row>
    <row r="672" spans="1:26">
      <c r="A672" s="116"/>
      <c r="D672" s="92"/>
      <c r="E672" s="112"/>
      <c r="F672" s="97"/>
      <c r="G672" s="97"/>
      <c r="H672" s="97"/>
      <c r="I672" s="97"/>
      <c r="J672" s="97"/>
      <c r="K672" s="97"/>
      <c r="L672" s="97"/>
      <c r="M672" s="97"/>
      <c r="N672" s="97"/>
      <c r="O672" s="97"/>
      <c r="P672" s="97"/>
      <c r="Q672" s="97"/>
      <c r="R672" s="97"/>
      <c r="S672" s="97"/>
      <c r="T672" s="97"/>
      <c r="U672" s="97"/>
      <c r="V672" s="97"/>
      <c r="W672" s="97"/>
      <c r="X672" s="97"/>
      <c r="Y672" s="97"/>
      <c r="Z672" s="97"/>
    </row>
    <row r="673" spans="1:26">
      <c r="A673" s="116"/>
      <c r="D673" s="92"/>
      <c r="E673" s="112"/>
      <c r="F673" s="97"/>
      <c r="G673" s="97"/>
      <c r="H673" s="97"/>
      <c r="I673" s="97"/>
      <c r="J673" s="97"/>
      <c r="K673" s="97"/>
      <c r="L673" s="97"/>
      <c r="M673" s="97"/>
      <c r="N673" s="97"/>
      <c r="O673" s="97"/>
      <c r="P673" s="97"/>
      <c r="Q673" s="97"/>
      <c r="R673" s="97"/>
      <c r="S673" s="97"/>
      <c r="T673" s="97"/>
      <c r="U673" s="97"/>
      <c r="V673" s="97"/>
      <c r="W673" s="97"/>
      <c r="X673" s="97"/>
      <c r="Y673" s="97"/>
      <c r="Z673" s="97"/>
    </row>
    <row r="674" spans="1:26">
      <c r="A674" s="116"/>
      <c r="D674" s="92"/>
      <c r="E674" s="112"/>
      <c r="F674" s="97"/>
      <c r="G674" s="97"/>
      <c r="H674" s="97"/>
      <c r="I674" s="97"/>
      <c r="J674" s="97"/>
      <c r="K674" s="97"/>
      <c r="L674" s="97"/>
      <c r="M674" s="97"/>
      <c r="N674" s="97"/>
      <c r="O674" s="97"/>
      <c r="P674" s="97"/>
      <c r="Q674" s="97"/>
      <c r="R674" s="97"/>
      <c r="S674" s="97"/>
      <c r="T674" s="97"/>
      <c r="U674" s="97"/>
      <c r="V674" s="97"/>
      <c r="W674" s="97"/>
      <c r="X674" s="97"/>
      <c r="Y674" s="97"/>
      <c r="Z674" s="97"/>
    </row>
    <row r="675" spans="1:26">
      <c r="A675" s="116"/>
      <c r="D675" s="92"/>
      <c r="E675" s="112"/>
      <c r="F675" s="97"/>
      <c r="G675" s="97"/>
      <c r="H675" s="97"/>
      <c r="I675" s="97"/>
      <c r="J675" s="97"/>
      <c r="K675" s="97"/>
      <c r="L675" s="97"/>
      <c r="M675" s="97"/>
      <c r="N675" s="97"/>
      <c r="O675" s="97"/>
      <c r="P675" s="97"/>
      <c r="Q675" s="97"/>
      <c r="R675" s="97"/>
      <c r="S675" s="97"/>
      <c r="T675" s="97"/>
      <c r="U675" s="97"/>
      <c r="V675" s="97"/>
      <c r="W675" s="97"/>
      <c r="X675" s="97"/>
      <c r="Y675" s="97"/>
      <c r="Z675" s="97"/>
    </row>
    <row r="676" spans="1:26">
      <c r="A676" s="116"/>
      <c r="D676" s="92"/>
      <c r="E676" s="112"/>
      <c r="F676" s="97"/>
      <c r="G676" s="97"/>
      <c r="H676" s="97"/>
      <c r="I676" s="97"/>
      <c r="J676" s="97"/>
      <c r="K676" s="97"/>
      <c r="L676" s="97"/>
      <c r="M676" s="97"/>
      <c r="N676" s="97"/>
      <c r="O676" s="97"/>
      <c r="P676" s="97"/>
      <c r="Q676" s="97"/>
      <c r="R676" s="97"/>
      <c r="S676" s="97"/>
      <c r="T676" s="97"/>
      <c r="U676" s="97"/>
      <c r="V676" s="97"/>
      <c r="W676" s="97"/>
      <c r="X676" s="97"/>
      <c r="Y676" s="97"/>
      <c r="Z676" s="97"/>
    </row>
    <row r="677" spans="1:26">
      <c r="A677" s="116"/>
      <c r="D677" s="92"/>
      <c r="E677" s="112"/>
      <c r="F677" s="97"/>
      <c r="G677" s="97"/>
      <c r="H677" s="97"/>
      <c r="I677" s="97"/>
      <c r="J677" s="97"/>
      <c r="K677" s="97"/>
      <c r="L677" s="97"/>
      <c r="M677" s="97"/>
      <c r="N677" s="97"/>
      <c r="O677" s="97"/>
      <c r="P677" s="97"/>
      <c r="Q677" s="97"/>
      <c r="R677" s="97"/>
      <c r="S677" s="97"/>
      <c r="T677" s="97"/>
      <c r="U677" s="97"/>
      <c r="V677" s="97"/>
      <c r="W677" s="97"/>
      <c r="X677" s="97"/>
      <c r="Y677" s="97"/>
      <c r="Z677" s="97"/>
    </row>
    <row r="678" spans="1:26">
      <c r="A678" s="116"/>
      <c r="D678" s="92"/>
      <c r="E678" s="112"/>
      <c r="F678" s="97"/>
      <c r="G678" s="97"/>
      <c r="H678" s="97"/>
      <c r="I678" s="97"/>
      <c r="J678" s="97"/>
      <c r="K678" s="97"/>
      <c r="L678" s="97"/>
      <c r="M678" s="97"/>
      <c r="N678" s="97"/>
      <c r="O678" s="97"/>
      <c r="P678" s="97"/>
      <c r="Q678" s="97"/>
      <c r="R678" s="97"/>
      <c r="S678" s="97"/>
      <c r="T678" s="97"/>
      <c r="U678" s="97"/>
      <c r="V678" s="97"/>
      <c r="W678" s="97"/>
      <c r="X678" s="97"/>
      <c r="Y678" s="97"/>
      <c r="Z678" s="97"/>
    </row>
    <row r="679" spans="1:26">
      <c r="A679" s="116"/>
      <c r="D679" s="92"/>
      <c r="E679" s="112"/>
      <c r="F679" s="97"/>
      <c r="G679" s="97"/>
      <c r="H679" s="97"/>
      <c r="I679" s="97"/>
      <c r="J679" s="97"/>
      <c r="K679" s="97"/>
      <c r="L679" s="97"/>
      <c r="M679" s="97"/>
      <c r="N679" s="97"/>
      <c r="O679" s="97"/>
      <c r="P679" s="97"/>
      <c r="Q679" s="97"/>
      <c r="R679" s="97"/>
      <c r="S679" s="97"/>
      <c r="T679" s="97"/>
      <c r="U679" s="97"/>
      <c r="V679" s="97"/>
      <c r="W679" s="97"/>
      <c r="X679" s="97"/>
      <c r="Y679" s="97"/>
      <c r="Z679" s="97"/>
    </row>
    <row r="680" spans="1:26">
      <c r="A680" s="116"/>
      <c r="D680" s="92"/>
      <c r="E680" s="112"/>
      <c r="F680" s="97"/>
      <c r="G680" s="97"/>
      <c r="H680" s="97"/>
      <c r="I680" s="97"/>
      <c r="J680" s="97"/>
      <c r="K680" s="97"/>
      <c r="L680" s="97"/>
      <c r="M680" s="97"/>
      <c r="N680" s="97"/>
      <c r="O680" s="97"/>
      <c r="P680" s="97"/>
      <c r="Q680" s="97"/>
      <c r="R680" s="97"/>
      <c r="S680" s="97"/>
      <c r="T680" s="97"/>
      <c r="U680" s="97"/>
      <c r="V680" s="97"/>
      <c r="W680" s="97"/>
      <c r="X680" s="97"/>
      <c r="Y680" s="97"/>
      <c r="Z680" s="97"/>
    </row>
    <row r="681" spans="1:26">
      <c r="A681" s="116"/>
      <c r="D681" s="92"/>
      <c r="E681" s="112"/>
      <c r="F681" s="97"/>
      <c r="G681" s="97"/>
      <c r="H681" s="97"/>
      <c r="I681" s="97"/>
      <c r="J681" s="97"/>
      <c r="K681" s="97"/>
      <c r="L681" s="97"/>
      <c r="M681" s="97"/>
      <c r="N681" s="97"/>
      <c r="O681" s="97"/>
      <c r="P681" s="97"/>
      <c r="Q681" s="97"/>
      <c r="R681" s="97"/>
      <c r="S681" s="97"/>
      <c r="T681" s="97"/>
      <c r="U681" s="97"/>
      <c r="V681" s="97"/>
      <c r="W681" s="97"/>
      <c r="X681" s="97"/>
      <c r="Y681" s="97"/>
      <c r="Z681" s="97"/>
    </row>
    <row r="682" spans="1:26">
      <c r="A682" s="116"/>
      <c r="D682" s="92"/>
      <c r="E682" s="112"/>
      <c r="F682" s="97"/>
      <c r="G682" s="97"/>
      <c r="H682" s="97"/>
      <c r="I682" s="97"/>
      <c r="J682" s="97"/>
      <c r="K682" s="97"/>
      <c r="L682" s="97"/>
      <c r="M682" s="97"/>
      <c r="N682" s="97"/>
      <c r="O682" s="97"/>
      <c r="P682" s="97"/>
      <c r="Q682" s="97"/>
      <c r="R682" s="97"/>
      <c r="S682" s="97"/>
      <c r="T682" s="97"/>
      <c r="U682" s="97"/>
      <c r="V682" s="97"/>
      <c r="W682" s="97"/>
      <c r="X682" s="97"/>
      <c r="Y682" s="97"/>
      <c r="Z682" s="97"/>
    </row>
    <row r="683" spans="1:26">
      <c r="A683" s="116"/>
      <c r="D683" s="92"/>
      <c r="E683" s="112"/>
      <c r="F683" s="97"/>
      <c r="G683" s="97"/>
      <c r="H683" s="97"/>
      <c r="I683" s="97"/>
      <c r="J683" s="97"/>
      <c r="K683" s="97"/>
      <c r="L683" s="97"/>
      <c r="M683" s="97"/>
      <c r="N683" s="97"/>
      <c r="O683" s="97"/>
      <c r="P683" s="97"/>
      <c r="Q683" s="97"/>
      <c r="R683" s="97"/>
      <c r="S683" s="97"/>
      <c r="T683" s="97"/>
      <c r="U683" s="97"/>
      <c r="V683" s="97"/>
      <c r="W683" s="97"/>
      <c r="X683" s="97"/>
      <c r="Y683" s="97"/>
      <c r="Z683" s="97"/>
    </row>
    <row r="684" spans="1:26">
      <c r="A684" s="116"/>
      <c r="D684" s="92"/>
      <c r="E684" s="112"/>
      <c r="F684" s="97"/>
      <c r="G684" s="97"/>
      <c r="H684" s="97"/>
      <c r="I684" s="97"/>
      <c r="J684" s="97"/>
      <c r="K684" s="97"/>
      <c r="L684" s="97"/>
      <c r="M684" s="97"/>
      <c r="N684" s="97"/>
      <c r="O684" s="97"/>
      <c r="P684" s="97"/>
      <c r="Q684" s="97"/>
      <c r="R684" s="97"/>
      <c r="S684" s="97"/>
      <c r="T684" s="97"/>
      <c r="U684" s="97"/>
      <c r="V684" s="97"/>
      <c r="W684" s="97"/>
      <c r="X684" s="97"/>
      <c r="Y684" s="97"/>
      <c r="Z684" s="97"/>
    </row>
    <row r="685" spans="1:26">
      <c r="A685" s="116"/>
      <c r="D685" s="92"/>
      <c r="E685" s="112"/>
      <c r="F685" s="97"/>
      <c r="G685" s="97"/>
      <c r="H685" s="97"/>
      <c r="I685" s="97"/>
      <c r="J685" s="97"/>
      <c r="K685" s="97"/>
      <c r="L685" s="97"/>
      <c r="M685" s="97"/>
      <c r="N685" s="97"/>
      <c r="O685" s="97"/>
      <c r="P685" s="97"/>
      <c r="Q685" s="97"/>
      <c r="R685" s="97"/>
      <c r="S685" s="97"/>
      <c r="T685" s="97"/>
      <c r="U685" s="97"/>
      <c r="V685" s="97"/>
      <c r="W685" s="97"/>
      <c r="X685" s="97"/>
      <c r="Y685" s="97"/>
      <c r="Z685" s="97"/>
    </row>
    <row r="686" spans="1:26">
      <c r="A686" s="116"/>
      <c r="D686" s="92"/>
      <c r="E686" s="112"/>
      <c r="F686" s="97"/>
      <c r="G686" s="97"/>
      <c r="H686" s="97"/>
      <c r="I686" s="97"/>
      <c r="J686" s="97"/>
      <c r="K686" s="97"/>
      <c r="L686" s="97"/>
      <c r="M686" s="97"/>
      <c r="N686" s="97"/>
      <c r="O686" s="97"/>
      <c r="P686" s="97"/>
      <c r="Q686" s="97"/>
      <c r="R686" s="97"/>
      <c r="S686" s="97"/>
      <c r="T686" s="97"/>
      <c r="U686" s="97"/>
      <c r="V686" s="97"/>
      <c r="W686" s="97"/>
      <c r="X686" s="97"/>
      <c r="Y686" s="97"/>
      <c r="Z686" s="97"/>
    </row>
    <row r="687" spans="1:26">
      <c r="A687" s="116"/>
      <c r="D687" s="92"/>
      <c r="E687" s="112"/>
      <c r="F687" s="97"/>
      <c r="G687" s="97"/>
      <c r="H687" s="97"/>
      <c r="I687" s="97"/>
      <c r="J687" s="97"/>
      <c r="K687" s="97"/>
      <c r="L687" s="97"/>
      <c r="M687" s="97"/>
      <c r="N687" s="97"/>
      <c r="O687" s="97"/>
      <c r="P687" s="97"/>
      <c r="Q687" s="97"/>
      <c r="R687" s="97"/>
      <c r="S687" s="97"/>
      <c r="T687" s="97"/>
      <c r="U687" s="97"/>
      <c r="V687" s="97"/>
      <c r="W687" s="97"/>
      <c r="X687" s="97"/>
      <c r="Y687" s="97"/>
      <c r="Z687" s="97"/>
    </row>
    <row r="688" spans="1:26">
      <c r="A688" s="116"/>
      <c r="D688" s="92"/>
      <c r="E688" s="112"/>
      <c r="F688" s="97"/>
      <c r="G688" s="97"/>
      <c r="H688" s="97"/>
      <c r="I688" s="97"/>
      <c r="J688" s="97"/>
      <c r="K688" s="97"/>
      <c r="L688" s="97"/>
      <c r="M688" s="97"/>
      <c r="N688" s="97"/>
      <c r="O688" s="97"/>
      <c r="P688" s="97"/>
      <c r="Q688" s="97"/>
      <c r="R688" s="97"/>
      <c r="S688" s="97"/>
      <c r="T688" s="97"/>
      <c r="U688" s="97"/>
      <c r="V688" s="97"/>
      <c r="W688" s="97"/>
      <c r="X688" s="97"/>
      <c r="Y688" s="97"/>
      <c r="Z688" s="97"/>
    </row>
    <row r="689" spans="1:26">
      <c r="A689" s="116"/>
      <c r="D689" s="92"/>
      <c r="E689" s="112"/>
      <c r="F689" s="97"/>
      <c r="G689" s="97"/>
      <c r="H689" s="97"/>
      <c r="I689" s="97"/>
      <c r="J689" s="97"/>
      <c r="K689" s="97"/>
      <c r="L689" s="97"/>
      <c r="M689" s="97"/>
      <c r="N689" s="97"/>
      <c r="O689" s="97"/>
      <c r="P689" s="97"/>
      <c r="Q689" s="97"/>
      <c r="R689" s="97"/>
      <c r="S689" s="97"/>
      <c r="T689" s="97"/>
      <c r="U689" s="97"/>
      <c r="V689" s="97"/>
      <c r="W689" s="97"/>
      <c r="X689" s="97"/>
      <c r="Y689" s="97"/>
      <c r="Z689" s="97"/>
    </row>
    <row r="690" spans="1:26">
      <c r="A690" s="116"/>
      <c r="D690" s="92"/>
      <c r="E690" s="112"/>
      <c r="F690" s="97"/>
      <c r="G690" s="97"/>
      <c r="H690" s="97"/>
      <c r="I690" s="97"/>
      <c r="J690" s="97"/>
      <c r="K690" s="97"/>
      <c r="L690" s="97"/>
      <c r="M690" s="97"/>
      <c r="N690" s="97"/>
      <c r="O690" s="97"/>
      <c r="P690" s="97"/>
      <c r="Q690" s="97"/>
      <c r="R690" s="97"/>
      <c r="S690" s="97"/>
      <c r="T690" s="97"/>
      <c r="U690" s="97"/>
      <c r="V690" s="97"/>
      <c r="W690" s="97"/>
      <c r="X690" s="97"/>
      <c r="Y690" s="97"/>
      <c r="Z690" s="97"/>
    </row>
    <row r="691" spans="1:26">
      <c r="A691" s="116"/>
      <c r="D691" s="92"/>
      <c r="E691" s="112"/>
      <c r="F691" s="97"/>
      <c r="G691" s="97"/>
      <c r="H691" s="97"/>
      <c r="I691" s="97"/>
      <c r="J691" s="97"/>
      <c r="K691" s="97"/>
      <c r="L691" s="97"/>
      <c r="M691" s="97"/>
      <c r="N691" s="97"/>
      <c r="O691" s="97"/>
      <c r="P691" s="97"/>
      <c r="Q691" s="97"/>
      <c r="R691" s="97"/>
      <c r="S691" s="97"/>
      <c r="T691" s="97"/>
      <c r="U691" s="97"/>
      <c r="V691" s="97"/>
      <c r="W691" s="97"/>
      <c r="X691" s="97"/>
      <c r="Y691" s="97"/>
      <c r="Z691" s="97"/>
    </row>
    <row r="692" spans="1:26">
      <c r="A692" s="116"/>
      <c r="D692" s="92"/>
      <c r="E692" s="112"/>
      <c r="F692" s="97"/>
      <c r="G692" s="97"/>
      <c r="H692" s="97"/>
      <c r="I692" s="97"/>
      <c r="J692" s="97"/>
      <c r="K692" s="97"/>
      <c r="L692" s="97"/>
      <c r="M692" s="97"/>
      <c r="N692" s="97"/>
      <c r="O692" s="97"/>
      <c r="P692" s="97"/>
      <c r="Q692" s="97"/>
      <c r="R692" s="97"/>
      <c r="S692" s="97"/>
      <c r="T692" s="97"/>
      <c r="U692" s="97"/>
      <c r="V692" s="97"/>
      <c r="W692" s="97"/>
      <c r="X692" s="97"/>
      <c r="Y692" s="97"/>
      <c r="Z692" s="97"/>
    </row>
    <row r="693" spans="1:26">
      <c r="A693" s="116"/>
      <c r="D693" s="92"/>
      <c r="E693" s="112"/>
      <c r="F693" s="97"/>
      <c r="G693" s="97"/>
      <c r="H693" s="97"/>
      <c r="I693" s="97"/>
      <c r="J693" s="97"/>
      <c r="K693" s="97"/>
      <c r="L693" s="97"/>
      <c r="M693" s="97"/>
      <c r="N693" s="97"/>
      <c r="O693" s="97"/>
      <c r="P693" s="97"/>
      <c r="Q693" s="97"/>
      <c r="R693" s="97"/>
      <c r="S693" s="97"/>
      <c r="T693" s="97"/>
      <c r="U693" s="97"/>
      <c r="V693" s="97"/>
      <c r="W693" s="97"/>
      <c r="X693" s="97"/>
      <c r="Y693" s="97"/>
      <c r="Z693" s="97"/>
    </row>
    <row r="694" spans="1:26">
      <c r="A694" s="116"/>
      <c r="D694" s="92"/>
      <c r="E694" s="112"/>
      <c r="F694" s="97"/>
      <c r="G694" s="97"/>
      <c r="H694" s="97"/>
      <c r="I694" s="97"/>
      <c r="J694" s="97"/>
      <c r="K694" s="97"/>
      <c r="L694" s="97"/>
      <c r="M694" s="97"/>
      <c r="N694" s="97"/>
      <c r="O694" s="97"/>
      <c r="P694" s="97"/>
      <c r="Q694" s="97"/>
      <c r="R694" s="97"/>
      <c r="S694" s="97"/>
      <c r="T694" s="97"/>
      <c r="U694" s="97"/>
      <c r="V694" s="97"/>
      <c r="W694" s="97"/>
      <c r="X694" s="97"/>
      <c r="Y694" s="97"/>
      <c r="Z694" s="97"/>
    </row>
    <row r="695" spans="1:26">
      <c r="A695" s="116"/>
      <c r="D695" s="92"/>
      <c r="E695" s="112"/>
      <c r="F695" s="97"/>
      <c r="G695" s="97"/>
      <c r="H695" s="97"/>
      <c r="I695" s="97"/>
      <c r="J695" s="97"/>
      <c r="K695" s="97"/>
      <c r="L695" s="97"/>
      <c r="M695" s="97"/>
      <c r="N695" s="97"/>
      <c r="O695" s="97"/>
      <c r="P695" s="97"/>
      <c r="Q695" s="97"/>
      <c r="R695" s="97"/>
      <c r="S695" s="97"/>
      <c r="T695" s="97"/>
      <c r="U695" s="97"/>
      <c r="V695" s="97"/>
      <c r="W695" s="97"/>
      <c r="X695" s="97"/>
      <c r="Y695" s="97"/>
      <c r="Z695" s="97"/>
    </row>
    <row r="696" spans="1:26">
      <c r="A696" s="116"/>
      <c r="D696" s="92"/>
      <c r="E696" s="112"/>
      <c r="F696" s="97"/>
      <c r="G696" s="97"/>
      <c r="H696" s="97"/>
      <c r="I696" s="97"/>
      <c r="J696" s="97"/>
      <c r="K696" s="97"/>
      <c r="L696" s="97"/>
      <c r="M696" s="97"/>
      <c r="N696" s="97"/>
      <c r="O696" s="97"/>
      <c r="P696" s="97"/>
      <c r="Q696" s="97"/>
      <c r="R696" s="97"/>
      <c r="S696" s="97"/>
      <c r="T696" s="97"/>
      <c r="U696" s="97"/>
      <c r="V696" s="97"/>
      <c r="W696" s="97"/>
      <c r="X696" s="97"/>
      <c r="Y696" s="97"/>
      <c r="Z696" s="97"/>
    </row>
    <row r="697" spans="1:26">
      <c r="A697" s="116"/>
      <c r="D697" s="92"/>
      <c r="E697" s="112"/>
      <c r="F697" s="97"/>
      <c r="G697" s="97"/>
      <c r="H697" s="97"/>
      <c r="I697" s="97"/>
      <c r="J697" s="97"/>
      <c r="K697" s="97"/>
      <c r="L697" s="97"/>
      <c r="M697" s="97"/>
      <c r="N697" s="97"/>
      <c r="O697" s="97"/>
      <c r="P697" s="97"/>
      <c r="Q697" s="97"/>
      <c r="R697" s="97"/>
      <c r="S697" s="97"/>
      <c r="T697" s="97"/>
      <c r="U697" s="97"/>
      <c r="V697" s="97"/>
      <c r="W697" s="97"/>
      <c r="X697" s="97"/>
      <c r="Y697" s="97"/>
      <c r="Z697" s="97"/>
    </row>
    <row r="698" spans="1:26">
      <c r="A698" s="116"/>
      <c r="D698" s="92"/>
      <c r="E698" s="112"/>
      <c r="F698" s="97"/>
      <c r="G698" s="97"/>
      <c r="H698" s="97"/>
      <c r="I698" s="97"/>
      <c r="J698" s="97"/>
      <c r="K698" s="97"/>
      <c r="L698" s="97"/>
      <c r="M698" s="97"/>
      <c r="N698" s="97"/>
      <c r="O698" s="97"/>
      <c r="P698" s="97"/>
      <c r="Q698" s="97"/>
      <c r="R698" s="97"/>
      <c r="S698" s="97"/>
      <c r="T698" s="97"/>
      <c r="U698" s="97"/>
      <c r="V698" s="97"/>
      <c r="W698" s="97"/>
      <c r="X698" s="97"/>
      <c r="Y698" s="97"/>
      <c r="Z698" s="97"/>
    </row>
    <row r="699" spans="1:26">
      <c r="A699" s="116"/>
      <c r="D699" s="92"/>
      <c r="E699" s="112"/>
      <c r="F699" s="97"/>
      <c r="G699" s="97"/>
      <c r="H699" s="97"/>
      <c r="I699" s="97"/>
      <c r="J699" s="97"/>
      <c r="K699" s="97"/>
      <c r="L699" s="97"/>
      <c r="M699" s="97"/>
      <c r="N699" s="97"/>
      <c r="O699" s="97"/>
      <c r="P699" s="97"/>
      <c r="Q699" s="97"/>
      <c r="R699" s="97"/>
      <c r="S699" s="97"/>
      <c r="T699" s="97"/>
      <c r="U699" s="97"/>
      <c r="V699" s="97"/>
      <c r="W699" s="97"/>
      <c r="X699" s="97"/>
      <c r="Y699" s="97"/>
      <c r="Z699" s="97"/>
    </row>
    <row r="700" spans="1:26">
      <c r="A700" s="116"/>
      <c r="D700" s="92"/>
      <c r="E700" s="112"/>
      <c r="F700" s="97"/>
      <c r="G700" s="97"/>
      <c r="H700" s="97"/>
      <c r="I700" s="97"/>
      <c r="J700" s="97"/>
      <c r="K700" s="97"/>
      <c r="L700" s="97"/>
      <c r="M700" s="97"/>
      <c r="N700" s="97"/>
      <c r="O700" s="97"/>
      <c r="P700" s="97"/>
      <c r="Q700" s="97"/>
      <c r="R700" s="97"/>
      <c r="S700" s="97"/>
      <c r="T700" s="97"/>
      <c r="U700" s="97"/>
      <c r="V700" s="97"/>
      <c r="W700" s="97"/>
      <c r="X700" s="97"/>
      <c r="Y700" s="97"/>
      <c r="Z700" s="97"/>
    </row>
    <row r="701" spans="1:26">
      <c r="A701" s="116"/>
      <c r="D701" s="92"/>
      <c r="E701" s="112"/>
      <c r="F701" s="97"/>
      <c r="G701" s="97"/>
      <c r="H701" s="97"/>
      <c r="I701" s="97"/>
      <c r="J701" s="97"/>
      <c r="K701" s="97"/>
      <c r="L701" s="97"/>
      <c r="M701" s="97"/>
      <c r="N701" s="97"/>
      <c r="O701" s="97"/>
      <c r="P701" s="97"/>
      <c r="Q701" s="97"/>
      <c r="R701" s="97"/>
      <c r="S701" s="97"/>
      <c r="T701" s="97"/>
      <c r="U701" s="97"/>
      <c r="V701" s="97"/>
      <c r="W701" s="97"/>
      <c r="X701" s="97"/>
      <c r="Y701" s="97"/>
      <c r="Z701" s="97"/>
    </row>
    <row r="702" spans="1:26">
      <c r="A702" s="116"/>
      <c r="D702" s="92"/>
      <c r="E702" s="112"/>
      <c r="F702" s="97"/>
      <c r="G702" s="97"/>
      <c r="H702" s="97"/>
      <c r="I702" s="97"/>
      <c r="J702" s="97"/>
      <c r="K702" s="97"/>
      <c r="L702" s="97"/>
      <c r="M702" s="97"/>
      <c r="N702" s="97"/>
      <c r="O702" s="97"/>
      <c r="P702" s="97"/>
      <c r="Q702" s="97"/>
      <c r="R702" s="97"/>
      <c r="S702" s="97"/>
      <c r="T702" s="97"/>
      <c r="U702" s="97"/>
      <c r="V702" s="97"/>
      <c r="W702" s="97"/>
      <c r="X702" s="97"/>
      <c r="Y702" s="97"/>
      <c r="Z702" s="97"/>
    </row>
    <row r="703" spans="1:26">
      <c r="A703" s="116"/>
      <c r="D703" s="92"/>
      <c r="E703" s="112"/>
      <c r="F703" s="97"/>
      <c r="G703" s="97"/>
      <c r="H703" s="97"/>
      <c r="I703" s="97"/>
      <c r="J703" s="97"/>
      <c r="K703" s="97"/>
      <c r="L703" s="97"/>
      <c r="M703" s="97"/>
      <c r="N703" s="97"/>
      <c r="O703" s="97"/>
      <c r="P703" s="97"/>
      <c r="Q703" s="97"/>
      <c r="R703" s="97"/>
      <c r="S703" s="97"/>
      <c r="T703" s="97"/>
      <c r="U703" s="97"/>
      <c r="V703" s="97"/>
      <c r="W703" s="97"/>
      <c r="X703" s="97"/>
      <c r="Y703" s="97"/>
      <c r="Z703" s="97"/>
    </row>
    <row r="704" spans="1:26">
      <c r="A704" s="116"/>
      <c r="D704" s="92"/>
      <c r="E704" s="112"/>
      <c r="F704" s="97"/>
      <c r="G704" s="97"/>
      <c r="H704" s="97"/>
      <c r="I704" s="97"/>
      <c r="J704" s="97"/>
      <c r="K704" s="97"/>
      <c r="L704" s="97"/>
      <c r="M704" s="97"/>
      <c r="N704" s="97"/>
      <c r="O704" s="97"/>
      <c r="P704" s="97"/>
      <c r="Q704" s="97"/>
      <c r="R704" s="97"/>
      <c r="S704" s="97"/>
      <c r="T704" s="97"/>
      <c r="U704" s="97"/>
      <c r="V704" s="97"/>
      <c r="W704" s="97"/>
      <c r="X704" s="97"/>
      <c r="Y704" s="97"/>
      <c r="Z704" s="97"/>
    </row>
    <row r="705" spans="1:26">
      <c r="A705" s="116"/>
      <c r="D705" s="92"/>
      <c r="E705" s="112"/>
      <c r="F705" s="97"/>
      <c r="G705" s="97"/>
      <c r="H705" s="97"/>
      <c r="I705" s="97"/>
      <c r="J705" s="97"/>
      <c r="K705" s="97"/>
      <c r="L705" s="97"/>
      <c r="M705" s="97"/>
      <c r="N705" s="97"/>
      <c r="O705" s="97"/>
      <c r="P705" s="97"/>
      <c r="Q705" s="97"/>
      <c r="R705" s="97"/>
      <c r="S705" s="97"/>
      <c r="T705" s="97"/>
      <c r="U705" s="97"/>
      <c r="V705" s="97"/>
      <c r="W705" s="97"/>
      <c r="X705" s="97"/>
      <c r="Y705" s="97"/>
      <c r="Z705" s="97"/>
    </row>
    <row r="706" spans="1:26">
      <c r="A706" s="116"/>
      <c r="D706" s="92"/>
      <c r="E706" s="112"/>
      <c r="F706" s="97"/>
      <c r="G706" s="97"/>
      <c r="H706" s="97"/>
      <c r="I706" s="97"/>
      <c r="J706" s="97"/>
      <c r="K706" s="97"/>
      <c r="L706" s="97"/>
      <c r="M706" s="97"/>
      <c r="N706" s="97"/>
      <c r="O706" s="97"/>
      <c r="P706" s="97"/>
      <c r="Q706" s="97"/>
      <c r="R706" s="97"/>
      <c r="S706" s="97"/>
      <c r="T706" s="97"/>
      <c r="U706" s="97"/>
      <c r="V706" s="97"/>
      <c r="W706" s="97"/>
      <c r="X706" s="97"/>
      <c r="Y706" s="97"/>
      <c r="Z706" s="97"/>
    </row>
    <row r="707" spans="1:26">
      <c r="A707" s="116"/>
      <c r="D707" s="92"/>
      <c r="E707" s="112"/>
      <c r="F707" s="97"/>
      <c r="G707" s="97"/>
      <c r="H707" s="97"/>
      <c r="I707" s="97"/>
      <c r="J707" s="97"/>
      <c r="K707" s="97"/>
      <c r="L707" s="97"/>
      <c r="M707" s="97"/>
      <c r="N707" s="97"/>
      <c r="O707" s="97"/>
      <c r="P707" s="97"/>
      <c r="Q707" s="97"/>
      <c r="R707" s="97"/>
      <c r="S707" s="97"/>
      <c r="T707" s="97"/>
      <c r="U707" s="97"/>
      <c r="V707" s="97"/>
      <c r="W707" s="97"/>
      <c r="X707" s="97"/>
      <c r="Y707" s="97"/>
      <c r="Z707" s="97"/>
    </row>
    <row r="708" spans="1:26">
      <c r="A708" s="116"/>
      <c r="D708" s="92"/>
      <c r="E708" s="112"/>
      <c r="F708" s="97"/>
      <c r="G708" s="97"/>
      <c r="H708" s="97"/>
      <c r="I708" s="97"/>
      <c r="J708" s="97"/>
      <c r="K708" s="97"/>
      <c r="L708" s="97"/>
      <c r="M708" s="97"/>
      <c r="N708" s="97"/>
      <c r="O708" s="97"/>
      <c r="P708" s="97"/>
      <c r="Q708" s="97"/>
      <c r="R708" s="97"/>
      <c r="S708" s="97"/>
      <c r="T708" s="97"/>
      <c r="U708" s="97"/>
      <c r="V708" s="97"/>
      <c r="W708" s="97"/>
      <c r="X708" s="97"/>
      <c r="Y708" s="97"/>
      <c r="Z708" s="97"/>
    </row>
    <row r="709" spans="1:26">
      <c r="A709" s="116"/>
      <c r="D709" s="92"/>
      <c r="E709" s="112"/>
      <c r="F709" s="97"/>
      <c r="G709" s="97"/>
      <c r="H709" s="97"/>
      <c r="I709" s="97"/>
      <c r="J709" s="97"/>
      <c r="K709" s="97"/>
      <c r="L709" s="97"/>
      <c r="M709" s="97"/>
      <c r="N709" s="97"/>
      <c r="O709" s="97"/>
      <c r="P709" s="97"/>
      <c r="Q709" s="97"/>
      <c r="R709" s="97"/>
      <c r="S709" s="97"/>
      <c r="T709" s="97"/>
      <c r="U709" s="97"/>
      <c r="V709" s="97"/>
      <c r="W709" s="97"/>
      <c r="X709" s="97"/>
      <c r="Y709" s="97"/>
      <c r="Z709" s="97"/>
    </row>
    <row r="710" spans="1:26">
      <c r="A710" s="116"/>
      <c r="D710" s="92"/>
      <c r="E710" s="112"/>
      <c r="F710" s="97"/>
      <c r="G710" s="97"/>
      <c r="H710" s="97"/>
      <c r="I710" s="97"/>
      <c r="J710" s="97"/>
      <c r="K710" s="97"/>
      <c r="L710" s="97"/>
      <c r="M710" s="97"/>
      <c r="N710" s="97"/>
      <c r="O710" s="97"/>
      <c r="P710" s="97"/>
      <c r="Q710" s="97"/>
      <c r="R710" s="97"/>
      <c r="S710" s="97"/>
      <c r="T710" s="97"/>
      <c r="U710" s="97"/>
      <c r="V710" s="97"/>
      <c r="W710" s="97"/>
      <c r="X710" s="97"/>
      <c r="Y710" s="97"/>
      <c r="Z710" s="97"/>
    </row>
    <row r="711" spans="1:26">
      <c r="A711" s="116"/>
      <c r="D711" s="92"/>
      <c r="E711" s="112"/>
      <c r="F711" s="97"/>
      <c r="G711" s="97"/>
      <c r="H711" s="97"/>
      <c r="I711" s="97"/>
      <c r="J711" s="97"/>
      <c r="K711" s="97"/>
      <c r="L711" s="97"/>
      <c r="M711" s="97"/>
      <c r="N711" s="97"/>
      <c r="O711" s="97"/>
      <c r="P711" s="97"/>
      <c r="Q711" s="97"/>
      <c r="R711" s="97"/>
      <c r="S711" s="97"/>
      <c r="T711" s="97"/>
      <c r="U711" s="97"/>
      <c r="V711" s="97"/>
      <c r="W711" s="97"/>
      <c r="X711" s="97"/>
      <c r="Y711" s="97"/>
      <c r="Z711" s="97"/>
    </row>
    <row r="712" spans="1:26">
      <c r="A712" s="116"/>
      <c r="D712" s="92"/>
      <c r="E712" s="112"/>
      <c r="F712" s="97"/>
      <c r="G712" s="97"/>
      <c r="H712" s="97"/>
      <c r="I712" s="97"/>
      <c r="J712" s="97"/>
      <c r="K712" s="97"/>
      <c r="L712" s="97"/>
      <c r="M712" s="97"/>
      <c r="N712" s="97"/>
      <c r="O712" s="97"/>
      <c r="P712" s="97"/>
      <c r="Q712" s="97"/>
      <c r="R712" s="97"/>
      <c r="S712" s="97"/>
      <c r="T712" s="97"/>
      <c r="U712" s="97"/>
      <c r="V712" s="97"/>
      <c r="W712" s="97"/>
      <c r="X712" s="97"/>
      <c r="Y712" s="97"/>
      <c r="Z712" s="97"/>
    </row>
    <row r="713" spans="1:26">
      <c r="A713" s="116"/>
      <c r="D713" s="92"/>
      <c r="E713" s="112"/>
      <c r="F713" s="97"/>
      <c r="G713" s="97"/>
      <c r="H713" s="97"/>
      <c r="I713" s="97"/>
      <c r="J713" s="97"/>
      <c r="K713" s="97"/>
      <c r="L713" s="97"/>
      <c r="M713" s="97"/>
      <c r="N713" s="97"/>
      <c r="O713" s="97"/>
      <c r="P713" s="97"/>
      <c r="Q713" s="97"/>
      <c r="R713" s="97"/>
      <c r="S713" s="97"/>
      <c r="T713" s="97"/>
      <c r="U713" s="97"/>
      <c r="V713" s="97"/>
      <c r="W713" s="97"/>
      <c r="X713" s="97"/>
      <c r="Y713" s="97"/>
      <c r="Z713" s="97"/>
    </row>
    <row r="714" spans="1:26">
      <c r="A714" s="116"/>
      <c r="D714" s="92"/>
      <c r="E714" s="112"/>
      <c r="F714" s="97"/>
      <c r="G714" s="97"/>
      <c r="H714" s="97"/>
      <c r="I714" s="97"/>
      <c r="J714" s="97"/>
      <c r="K714" s="97"/>
      <c r="L714" s="97"/>
      <c r="M714" s="97"/>
      <c r="N714" s="97"/>
      <c r="O714" s="97"/>
      <c r="P714" s="97"/>
      <c r="Q714" s="97"/>
      <c r="R714" s="97"/>
      <c r="S714" s="97"/>
      <c r="T714" s="97"/>
      <c r="U714" s="97"/>
      <c r="V714" s="97"/>
      <c r="W714" s="97"/>
      <c r="X714" s="97"/>
      <c r="Y714" s="97"/>
      <c r="Z714" s="97"/>
    </row>
    <row r="715" spans="1:26">
      <c r="A715" s="116"/>
      <c r="D715" s="92"/>
      <c r="E715" s="112"/>
      <c r="F715" s="97"/>
      <c r="G715" s="97"/>
      <c r="H715" s="97"/>
      <c r="I715" s="97"/>
      <c r="J715" s="97"/>
      <c r="K715" s="97"/>
      <c r="L715" s="97"/>
      <c r="M715" s="97"/>
      <c r="N715" s="97"/>
      <c r="O715" s="97"/>
      <c r="P715" s="97"/>
      <c r="Q715" s="97"/>
      <c r="R715" s="97"/>
      <c r="S715" s="97"/>
      <c r="T715" s="97"/>
      <c r="U715" s="97"/>
      <c r="V715" s="97"/>
      <c r="W715" s="97"/>
      <c r="X715" s="97"/>
      <c r="Y715" s="97"/>
      <c r="Z715" s="97"/>
    </row>
    <row r="716" spans="1:26">
      <c r="A716" s="116"/>
      <c r="D716" s="92"/>
      <c r="E716" s="112"/>
      <c r="F716" s="97"/>
      <c r="G716" s="97"/>
      <c r="H716" s="97"/>
      <c r="I716" s="97"/>
      <c r="J716" s="97"/>
      <c r="K716" s="97"/>
      <c r="L716" s="97"/>
      <c r="M716" s="97"/>
      <c r="N716" s="97"/>
      <c r="O716" s="97"/>
      <c r="P716" s="97"/>
      <c r="Q716" s="97"/>
      <c r="R716" s="97"/>
      <c r="S716" s="97"/>
      <c r="T716" s="97"/>
      <c r="U716" s="97"/>
      <c r="V716" s="97"/>
      <c r="W716" s="97"/>
      <c r="X716" s="97"/>
      <c r="Y716" s="97"/>
      <c r="Z716" s="97"/>
    </row>
    <row r="717" spans="1:26">
      <c r="A717" s="116"/>
      <c r="D717" s="92"/>
      <c r="E717" s="112"/>
      <c r="F717" s="97"/>
      <c r="G717" s="97"/>
      <c r="H717" s="97"/>
      <c r="I717" s="97"/>
      <c r="J717" s="97"/>
      <c r="K717" s="97"/>
      <c r="L717" s="97"/>
      <c r="M717" s="97"/>
      <c r="N717" s="97"/>
      <c r="O717" s="97"/>
      <c r="P717" s="97"/>
      <c r="Q717" s="97"/>
      <c r="R717" s="97"/>
      <c r="S717" s="97"/>
      <c r="T717" s="97"/>
      <c r="U717" s="97"/>
      <c r="V717" s="97"/>
      <c r="W717" s="97"/>
      <c r="X717" s="97"/>
      <c r="Y717" s="97"/>
      <c r="Z717" s="97"/>
    </row>
    <row r="718" spans="1:26">
      <c r="A718" s="116"/>
      <c r="D718" s="92"/>
      <c r="E718" s="112"/>
      <c r="F718" s="97"/>
      <c r="G718" s="97"/>
      <c r="H718" s="97"/>
      <c r="I718" s="97"/>
      <c r="J718" s="97"/>
      <c r="K718" s="97"/>
      <c r="L718" s="97"/>
      <c r="M718" s="97"/>
      <c r="N718" s="97"/>
      <c r="O718" s="97"/>
      <c r="P718" s="97"/>
      <c r="Q718" s="97"/>
      <c r="R718" s="97"/>
      <c r="S718" s="97"/>
      <c r="T718" s="97"/>
      <c r="U718" s="97"/>
      <c r="V718" s="97"/>
      <c r="W718" s="97"/>
      <c r="X718" s="97"/>
      <c r="Y718" s="97"/>
      <c r="Z718" s="97"/>
    </row>
    <row r="719" spans="1:26">
      <c r="A719" s="116"/>
      <c r="D719" s="92"/>
      <c r="E719" s="112"/>
      <c r="F719" s="97"/>
      <c r="G719" s="97"/>
      <c r="H719" s="97"/>
      <c r="I719" s="97"/>
      <c r="J719" s="97"/>
      <c r="K719" s="97"/>
      <c r="L719" s="97"/>
      <c r="M719" s="97"/>
      <c r="N719" s="97"/>
      <c r="O719" s="97"/>
      <c r="P719" s="97"/>
      <c r="Q719" s="97"/>
      <c r="R719" s="97"/>
      <c r="S719" s="97"/>
      <c r="T719" s="97"/>
      <c r="U719" s="97"/>
      <c r="V719" s="97"/>
      <c r="W719" s="97"/>
      <c r="X719" s="97"/>
      <c r="Y719" s="97"/>
      <c r="Z719" s="97"/>
    </row>
    <row r="720" spans="1:26">
      <c r="A720" s="116"/>
      <c r="D720" s="92"/>
      <c r="E720" s="112"/>
      <c r="F720" s="97"/>
      <c r="G720" s="97"/>
      <c r="H720" s="97"/>
      <c r="I720" s="97"/>
      <c r="J720" s="97"/>
      <c r="K720" s="97"/>
      <c r="L720" s="97"/>
      <c r="M720" s="97"/>
      <c r="N720" s="97"/>
      <c r="O720" s="97"/>
      <c r="P720" s="97"/>
      <c r="Q720" s="97"/>
      <c r="R720" s="97"/>
      <c r="S720" s="97"/>
      <c r="T720" s="97"/>
      <c r="U720" s="97"/>
      <c r="V720" s="97"/>
      <c r="W720" s="97"/>
      <c r="X720" s="97"/>
      <c r="Y720" s="97"/>
      <c r="Z720" s="97"/>
    </row>
    <row r="721" spans="1:26">
      <c r="A721" s="116"/>
      <c r="D721" s="92"/>
      <c r="E721" s="112"/>
      <c r="F721" s="97"/>
      <c r="G721" s="97"/>
      <c r="H721" s="97"/>
      <c r="I721" s="97"/>
      <c r="J721" s="97"/>
      <c r="K721" s="97"/>
      <c r="L721" s="97"/>
      <c r="M721" s="97"/>
      <c r="N721" s="97"/>
      <c r="O721" s="97"/>
      <c r="P721" s="97"/>
      <c r="Q721" s="97"/>
      <c r="R721" s="97"/>
      <c r="S721" s="97"/>
      <c r="T721" s="97"/>
      <c r="U721" s="97"/>
      <c r="V721" s="97"/>
      <c r="W721" s="97"/>
      <c r="X721" s="97"/>
      <c r="Y721" s="97"/>
      <c r="Z721" s="97"/>
    </row>
    <row r="722" spans="1:26">
      <c r="A722" s="116"/>
      <c r="D722" s="92"/>
      <c r="E722" s="112"/>
      <c r="F722" s="97"/>
      <c r="G722" s="97"/>
      <c r="H722" s="97"/>
      <c r="I722" s="97"/>
      <c r="J722" s="97"/>
      <c r="K722" s="97"/>
      <c r="L722" s="97"/>
      <c r="M722" s="97"/>
      <c r="N722" s="97"/>
      <c r="O722" s="97"/>
      <c r="P722" s="97"/>
      <c r="Q722" s="97"/>
      <c r="R722" s="97"/>
      <c r="S722" s="97"/>
      <c r="T722" s="97"/>
      <c r="U722" s="97"/>
      <c r="V722" s="97"/>
      <c r="W722" s="97"/>
      <c r="X722" s="97"/>
      <c r="Y722" s="97"/>
      <c r="Z722" s="97"/>
    </row>
    <row r="723" spans="1:26">
      <c r="A723" s="116"/>
      <c r="D723" s="92"/>
      <c r="E723" s="112"/>
      <c r="F723" s="97"/>
      <c r="G723" s="97"/>
      <c r="H723" s="97"/>
      <c r="I723" s="97"/>
      <c r="J723" s="97"/>
      <c r="K723" s="97"/>
      <c r="L723" s="97"/>
      <c r="M723" s="97"/>
      <c r="N723" s="97"/>
      <c r="O723" s="97"/>
      <c r="P723" s="97"/>
      <c r="Q723" s="97"/>
      <c r="R723" s="97"/>
      <c r="S723" s="97"/>
      <c r="T723" s="97"/>
      <c r="U723" s="97"/>
      <c r="V723" s="97"/>
      <c r="W723" s="97"/>
      <c r="X723" s="97"/>
      <c r="Y723" s="97"/>
      <c r="Z723" s="97"/>
    </row>
    <row r="724" spans="1:26">
      <c r="A724" s="116"/>
      <c r="D724" s="92"/>
      <c r="E724" s="112"/>
      <c r="F724" s="97"/>
      <c r="G724" s="97"/>
      <c r="H724" s="97"/>
      <c r="I724" s="97"/>
      <c r="J724" s="97"/>
      <c r="K724" s="97"/>
      <c r="L724" s="97"/>
      <c r="M724" s="97"/>
      <c r="N724" s="97"/>
      <c r="O724" s="97"/>
      <c r="P724" s="97"/>
      <c r="Q724" s="97"/>
      <c r="R724" s="97"/>
      <c r="S724" s="97"/>
      <c r="T724" s="97"/>
      <c r="U724" s="97"/>
      <c r="V724" s="97"/>
      <c r="W724" s="97"/>
      <c r="X724" s="97"/>
      <c r="Y724" s="97"/>
      <c r="Z724" s="97"/>
    </row>
    <row r="725" spans="1:26">
      <c r="A725" s="116"/>
      <c r="D725" s="92"/>
      <c r="E725" s="112"/>
      <c r="F725" s="97"/>
      <c r="G725" s="97"/>
      <c r="H725" s="97"/>
      <c r="I725" s="97"/>
      <c r="J725" s="97"/>
      <c r="K725" s="97"/>
      <c r="L725" s="97"/>
      <c r="M725" s="97"/>
      <c r="N725" s="97"/>
      <c r="O725" s="97"/>
      <c r="P725" s="97"/>
      <c r="Q725" s="97"/>
      <c r="R725" s="97"/>
      <c r="S725" s="97"/>
      <c r="T725" s="97"/>
      <c r="U725" s="97"/>
      <c r="V725" s="97"/>
      <c r="W725" s="97"/>
      <c r="X725" s="97"/>
      <c r="Y725" s="97"/>
      <c r="Z725" s="97"/>
    </row>
    <row r="726" spans="1:26">
      <c r="A726" s="116"/>
      <c r="D726" s="92"/>
      <c r="E726" s="112"/>
      <c r="F726" s="97"/>
      <c r="G726" s="97"/>
      <c r="H726" s="97"/>
      <c r="I726" s="97"/>
      <c r="J726" s="97"/>
      <c r="K726" s="97"/>
      <c r="L726" s="97"/>
      <c r="M726" s="97"/>
      <c r="N726" s="97"/>
      <c r="O726" s="97"/>
      <c r="P726" s="97"/>
      <c r="Q726" s="97"/>
      <c r="R726" s="97"/>
      <c r="S726" s="97"/>
      <c r="T726" s="97"/>
      <c r="U726" s="97"/>
      <c r="V726" s="97"/>
      <c r="W726" s="97"/>
      <c r="X726" s="97"/>
      <c r="Y726" s="97"/>
      <c r="Z726" s="97"/>
    </row>
    <row r="727" spans="1:26">
      <c r="A727" s="116"/>
      <c r="D727" s="92"/>
      <c r="E727" s="112"/>
      <c r="F727" s="97"/>
      <c r="G727" s="97"/>
      <c r="H727" s="97"/>
      <c r="I727" s="97"/>
      <c r="J727" s="97"/>
      <c r="K727" s="97"/>
      <c r="L727" s="97"/>
      <c r="M727" s="97"/>
      <c r="N727" s="97"/>
      <c r="O727" s="97"/>
      <c r="P727" s="97"/>
      <c r="Q727" s="97"/>
      <c r="R727" s="97"/>
      <c r="S727" s="97"/>
      <c r="T727" s="97"/>
      <c r="U727" s="97"/>
      <c r="V727" s="97"/>
      <c r="W727" s="97"/>
      <c r="X727" s="97"/>
      <c r="Y727" s="97"/>
      <c r="Z727" s="97"/>
    </row>
    <row r="728" spans="1:26">
      <c r="A728" s="116"/>
      <c r="D728" s="92"/>
      <c r="E728" s="112"/>
      <c r="F728" s="97"/>
      <c r="G728" s="97"/>
      <c r="H728" s="97"/>
      <c r="I728" s="97"/>
      <c r="J728" s="97"/>
      <c r="K728" s="97"/>
      <c r="L728" s="97"/>
      <c r="M728" s="97"/>
      <c r="N728" s="97"/>
      <c r="O728" s="97"/>
      <c r="P728" s="97"/>
      <c r="Q728" s="97"/>
      <c r="R728" s="97"/>
      <c r="S728" s="97"/>
      <c r="T728" s="97"/>
      <c r="U728" s="97"/>
      <c r="V728" s="97"/>
      <c r="W728" s="97"/>
      <c r="X728" s="97"/>
      <c r="Y728" s="97"/>
      <c r="Z728" s="97"/>
    </row>
    <row r="729" spans="1:26">
      <c r="A729" s="116"/>
      <c r="D729" s="92"/>
      <c r="E729" s="112"/>
      <c r="F729" s="97"/>
      <c r="G729" s="97"/>
      <c r="H729" s="97"/>
      <c r="I729" s="97"/>
      <c r="J729" s="97"/>
      <c r="K729" s="97"/>
      <c r="L729" s="97"/>
      <c r="M729" s="97"/>
      <c r="N729" s="97"/>
      <c r="O729" s="97"/>
      <c r="P729" s="97"/>
      <c r="Q729" s="97"/>
      <c r="R729" s="97"/>
      <c r="S729" s="97"/>
      <c r="T729" s="97"/>
      <c r="U729" s="97"/>
      <c r="V729" s="97"/>
      <c r="W729" s="97"/>
      <c r="X729" s="97"/>
      <c r="Y729" s="97"/>
      <c r="Z729" s="97"/>
    </row>
    <row r="730" spans="1:26">
      <c r="A730" s="116"/>
      <c r="D730" s="92"/>
      <c r="E730" s="112"/>
      <c r="F730" s="97"/>
      <c r="G730" s="97"/>
      <c r="H730" s="97"/>
      <c r="I730" s="97"/>
      <c r="J730" s="97"/>
      <c r="K730" s="97"/>
      <c r="L730" s="97"/>
      <c r="M730" s="97"/>
      <c r="N730" s="97"/>
      <c r="O730" s="97"/>
      <c r="P730" s="97"/>
      <c r="Q730" s="97"/>
      <c r="R730" s="97"/>
      <c r="S730" s="97"/>
      <c r="T730" s="97"/>
      <c r="U730" s="97"/>
      <c r="V730" s="97"/>
      <c r="W730" s="97"/>
      <c r="X730" s="97"/>
      <c r="Y730" s="97"/>
      <c r="Z730" s="97"/>
    </row>
    <row r="731" spans="1:26">
      <c r="A731" s="116"/>
      <c r="D731" s="92"/>
      <c r="E731" s="112"/>
      <c r="F731" s="97"/>
      <c r="G731" s="97"/>
      <c r="H731" s="97"/>
      <c r="I731" s="97"/>
      <c r="J731" s="97"/>
      <c r="K731" s="97"/>
      <c r="L731" s="97"/>
      <c r="M731" s="97"/>
      <c r="N731" s="97"/>
      <c r="O731" s="97"/>
      <c r="P731" s="97"/>
      <c r="Q731" s="97"/>
      <c r="R731" s="97"/>
      <c r="S731" s="97"/>
      <c r="T731" s="97"/>
      <c r="U731" s="97"/>
      <c r="V731" s="97"/>
      <c r="W731" s="97"/>
      <c r="X731" s="97"/>
      <c r="Y731" s="97"/>
      <c r="Z731" s="97"/>
    </row>
    <row r="732" spans="1:26">
      <c r="A732" s="116"/>
      <c r="D732" s="92"/>
      <c r="E732" s="112"/>
      <c r="F732" s="97"/>
      <c r="G732" s="97"/>
      <c r="H732" s="97"/>
      <c r="I732" s="97"/>
      <c r="J732" s="97"/>
      <c r="K732" s="97"/>
      <c r="L732" s="97"/>
      <c r="M732" s="97"/>
      <c r="N732" s="97"/>
      <c r="O732" s="97"/>
      <c r="P732" s="97"/>
      <c r="Q732" s="97"/>
      <c r="R732" s="97"/>
      <c r="S732" s="97"/>
      <c r="T732" s="97"/>
      <c r="U732" s="97"/>
      <c r="V732" s="97"/>
      <c r="W732" s="97"/>
      <c r="X732" s="97"/>
      <c r="Y732" s="97"/>
      <c r="Z732" s="97"/>
    </row>
    <row r="733" spans="1:26">
      <c r="A733" s="116"/>
      <c r="D733" s="92"/>
      <c r="E733" s="112"/>
      <c r="F733" s="97"/>
      <c r="G733" s="97"/>
      <c r="H733" s="97"/>
      <c r="I733" s="97"/>
      <c r="J733" s="97"/>
      <c r="K733" s="97"/>
      <c r="L733" s="97"/>
      <c r="M733" s="97"/>
      <c r="N733" s="97"/>
      <c r="O733" s="97"/>
      <c r="P733" s="97"/>
      <c r="Q733" s="97"/>
      <c r="R733" s="97"/>
      <c r="S733" s="97"/>
      <c r="T733" s="97"/>
      <c r="U733" s="97"/>
      <c r="V733" s="97"/>
      <c r="W733" s="97"/>
      <c r="X733" s="97"/>
      <c r="Y733" s="97"/>
      <c r="Z733" s="97"/>
    </row>
    <row r="734" spans="1:26">
      <c r="A734" s="116"/>
      <c r="D734" s="92"/>
      <c r="E734" s="112"/>
      <c r="F734" s="97"/>
      <c r="G734" s="97"/>
      <c r="H734" s="97"/>
      <c r="I734" s="97"/>
      <c r="J734" s="97"/>
      <c r="K734" s="97"/>
      <c r="L734" s="97"/>
      <c r="M734" s="97"/>
      <c r="N734" s="97"/>
      <c r="O734" s="97"/>
      <c r="P734" s="97"/>
      <c r="Q734" s="97"/>
      <c r="R734" s="97"/>
      <c r="S734" s="97"/>
      <c r="T734" s="97"/>
      <c r="U734" s="97"/>
      <c r="V734" s="97"/>
      <c r="W734" s="97"/>
      <c r="X734" s="97"/>
      <c r="Y734" s="97"/>
      <c r="Z734" s="97"/>
    </row>
    <row r="735" spans="1:26">
      <c r="A735" s="116"/>
      <c r="D735" s="92"/>
      <c r="E735" s="112"/>
      <c r="F735" s="97"/>
      <c r="G735" s="97"/>
      <c r="H735" s="97"/>
      <c r="I735" s="97"/>
      <c r="J735" s="97"/>
      <c r="K735" s="97"/>
      <c r="L735" s="97"/>
      <c r="M735" s="97"/>
      <c r="N735" s="97"/>
      <c r="O735" s="97"/>
      <c r="P735" s="97"/>
      <c r="Q735" s="97"/>
      <c r="R735" s="97"/>
      <c r="S735" s="97"/>
      <c r="T735" s="97"/>
      <c r="U735" s="97"/>
      <c r="V735" s="97"/>
      <c r="W735" s="97"/>
      <c r="X735" s="97"/>
      <c r="Y735" s="97"/>
      <c r="Z735" s="97"/>
    </row>
    <row r="736" spans="1:26">
      <c r="A736" s="116"/>
      <c r="D736" s="92"/>
      <c r="E736" s="112"/>
      <c r="F736" s="97"/>
      <c r="G736" s="97"/>
      <c r="H736" s="97"/>
      <c r="I736" s="97"/>
      <c r="J736" s="97"/>
      <c r="K736" s="97"/>
      <c r="L736" s="97"/>
      <c r="M736" s="97"/>
      <c r="N736" s="97"/>
      <c r="O736" s="97"/>
      <c r="P736" s="97"/>
      <c r="Q736" s="97"/>
      <c r="R736" s="97"/>
      <c r="S736" s="97"/>
      <c r="T736" s="97"/>
      <c r="U736" s="97"/>
      <c r="V736" s="97"/>
      <c r="W736" s="97"/>
      <c r="X736" s="97"/>
      <c r="Y736" s="97"/>
      <c r="Z736" s="97"/>
    </row>
    <row r="737" spans="1:26">
      <c r="A737" s="116"/>
      <c r="D737" s="92"/>
      <c r="E737" s="112"/>
      <c r="F737" s="97"/>
      <c r="G737" s="97"/>
      <c r="H737" s="97"/>
      <c r="I737" s="97"/>
      <c r="J737" s="97"/>
      <c r="K737" s="97"/>
      <c r="L737" s="97"/>
      <c r="M737" s="97"/>
      <c r="N737" s="97"/>
      <c r="O737" s="97"/>
      <c r="P737" s="97"/>
      <c r="Q737" s="97"/>
      <c r="R737" s="97"/>
      <c r="S737" s="97"/>
      <c r="T737" s="97"/>
      <c r="U737" s="97"/>
      <c r="V737" s="97"/>
      <c r="W737" s="97"/>
      <c r="X737" s="97"/>
      <c r="Y737" s="97"/>
      <c r="Z737" s="97"/>
    </row>
    <row r="738" spans="1:26">
      <c r="A738" s="116"/>
      <c r="D738" s="92"/>
      <c r="E738" s="112"/>
      <c r="F738" s="97"/>
      <c r="G738" s="97"/>
      <c r="H738" s="97"/>
      <c r="I738" s="97"/>
      <c r="J738" s="97"/>
      <c r="K738" s="97"/>
      <c r="L738" s="97"/>
      <c r="M738" s="97"/>
      <c r="N738" s="97"/>
      <c r="O738" s="97"/>
      <c r="P738" s="97"/>
      <c r="Q738" s="97"/>
      <c r="R738" s="97"/>
      <c r="S738" s="97"/>
      <c r="T738" s="97"/>
      <c r="U738" s="97"/>
      <c r="V738" s="97"/>
      <c r="W738" s="97"/>
      <c r="X738" s="97"/>
      <c r="Y738" s="97"/>
      <c r="Z738" s="97"/>
    </row>
    <row r="739" spans="1:26">
      <c r="A739" s="116"/>
      <c r="D739" s="92"/>
      <c r="E739" s="112"/>
      <c r="F739" s="97"/>
      <c r="G739" s="97"/>
      <c r="H739" s="97"/>
      <c r="I739" s="97"/>
      <c r="J739" s="97"/>
      <c r="K739" s="97"/>
      <c r="L739" s="97"/>
      <c r="M739" s="97"/>
      <c r="N739" s="97"/>
      <c r="O739" s="97"/>
      <c r="P739" s="97"/>
      <c r="Q739" s="97"/>
      <c r="R739" s="97"/>
      <c r="S739" s="97"/>
      <c r="T739" s="97"/>
      <c r="U739" s="97"/>
      <c r="V739" s="97"/>
      <c r="W739" s="97"/>
      <c r="X739" s="97"/>
      <c r="Y739" s="97"/>
      <c r="Z739" s="97"/>
    </row>
    <row r="740" spans="1:26">
      <c r="A740" s="116"/>
      <c r="D740" s="92"/>
      <c r="E740" s="112"/>
      <c r="F740" s="97"/>
      <c r="G740" s="97"/>
      <c r="H740" s="97"/>
      <c r="I740" s="97"/>
      <c r="J740" s="97"/>
      <c r="K740" s="97"/>
      <c r="L740" s="97"/>
      <c r="M740" s="97"/>
      <c r="N740" s="97"/>
      <c r="O740" s="97"/>
      <c r="P740" s="97"/>
      <c r="Q740" s="97"/>
      <c r="R740" s="97"/>
      <c r="S740" s="97"/>
      <c r="T740" s="97"/>
      <c r="U740" s="97"/>
      <c r="V740" s="97"/>
      <c r="W740" s="97"/>
      <c r="X740" s="97"/>
      <c r="Y740" s="97"/>
      <c r="Z740" s="97"/>
    </row>
    <row r="741" spans="1:26">
      <c r="A741" s="116"/>
      <c r="D741" s="92"/>
      <c r="E741" s="112"/>
      <c r="F741" s="97"/>
      <c r="G741" s="97"/>
      <c r="H741" s="97"/>
      <c r="I741" s="97"/>
      <c r="J741" s="97"/>
      <c r="K741" s="97"/>
      <c r="L741" s="97"/>
      <c r="M741" s="97"/>
      <c r="N741" s="97"/>
      <c r="O741" s="97"/>
      <c r="P741" s="97"/>
      <c r="Q741" s="97"/>
      <c r="R741" s="97"/>
      <c r="S741" s="97"/>
      <c r="T741" s="97"/>
      <c r="U741" s="97"/>
      <c r="V741" s="97"/>
      <c r="W741" s="97"/>
      <c r="X741" s="97"/>
      <c r="Y741" s="97"/>
      <c r="Z741" s="97"/>
    </row>
    <row r="742" spans="1:26">
      <c r="A742" s="116"/>
      <c r="D742" s="92"/>
      <c r="E742" s="112"/>
      <c r="F742" s="97"/>
      <c r="G742" s="97"/>
      <c r="H742" s="97"/>
      <c r="I742" s="97"/>
      <c r="J742" s="97"/>
      <c r="K742" s="97"/>
      <c r="L742" s="97"/>
      <c r="M742" s="97"/>
      <c r="N742" s="97"/>
      <c r="O742" s="97"/>
      <c r="P742" s="97"/>
      <c r="Q742" s="97"/>
      <c r="R742" s="97"/>
      <c r="S742" s="97"/>
      <c r="T742" s="97"/>
      <c r="U742" s="97"/>
      <c r="V742" s="97"/>
      <c r="W742" s="97"/>
      <c r="X742" s="97"/>
      <c r="Y742" s="97"/>
      <c r="Z742" s="97"/>
    </row>
    <row r="743" spans="1:26">
      <c r="A743" s="116"/>
      <c r="D743" s="92"/>
      <c r="E743" s="112"/>
      <c r="F743" s="97"/>
      <c r="G743" s="97"/>
      <c r="H743" s="97"/>
      <c r="I743" s="97"/>
      <c r="J743" s="97"/>
      <c r="K743" s="97"/>
      <c r="L743" s="97"/>
      <c r="M743" s="97"/>
      <c r="N743" s="97"/>
      <c r="O743" s="97"/>
      <c r="P743" s="97"/>
      <c r="Q743" s="97"/>
      <c r="R743" s="97"/>
      <c r="S743" s="97"/>
      <c r="T743" s="97"/>
      <c r="U743" s="97"/>
      <c r="V743" s="97"/>
      <c r="W743" s="97"/>
      <c r="X743" s="97"/>
      <c r="Y743" s="97"/>
      <c r="Z743" s="97"/>
    </row>
    <row r="744" spans="1:26">
      <c r="A744" s="116"/>
      <c r="D744" s="92"/>
      <c r="E744" s="112"/>
      <c r="F744" s="97"/>
      <c r="G744" s="97"/>
      <c r="H744" s="97"/>
      <c r="I744" s="97"/>
      <c r="J744" s="97"/>
      <c r="K744" s="97"/>
      <c r="L744" s="97"/>
      <c r="M744" s="97"/>
      <c r="N744" s="97"/>
      <c r="O744" s="97"/>
      <c r="P744" s="97"/>
      <c r="Q744" s="97"/>
      <c r="R744" s="97"/>
      <c r="S744" s="97"/>
      <c r="T744" s="97"/>
      <c r="U744" s="97"/>
      <c r="V744" s="97"/>
      <c r="W744" s="97"/>
      <c r="X744" s="97"/>
      <c r="Y744" s="97"/>
      <c r="Z744" s="97"/>
    </row>
    <row r="745" spans="1:26">
      <c r="A745" s="116"/>
      <c r="D745" s="92"/>
      <c r="E745" s="112"/>
      <c r="F745" s="97"/>
      <c r="G745" s="97"/>
      <c r="H745" s="97"/>
      <c r="I745" s="97"/>
      <c r="J745" s="97"/>
      <c r="K745" s="97"/>
      <c r="L745" s="97"/>
      <c r="M745" s="97"/>
      <c r="N745" s="97"/>
      <c r="O745" s="97"/>
      <c r="P745" s="97"/>
      <c r="Q745" s="97"/>
      <c r="R745" s="97"/>
      <c r="S745" s="97"/>
      <c r="T745" s="97"/>
      <c r="U745" s="97"/>
      <c r="V745" s="97"/>
      <c r="W745" s="97"/>
      <c r="X745" s="97"/>
      <c r="Y745" s="97"/>
      <c r="Z745" s="97"/>
    </row>
    <row r="746" spans="1:26">
      <c r="A746" s="116"/>
      <c r="D746" s="92"/>
      <c r="E746" s="112"/>
      <c r="F746" s="97"/>
      <c r="G746" s="97"/>
      <c r="H746" s="97"/>
      <c r="I746" s="97"/>
      <c r="J746" s="97"/>
      <c r="K746" s="97"/>
      <c r="L746" s="97"/>
      <c r="M746" s="97"/>
      <c r="N746" s="97"/>
      <c r="O746" s="97"/>
      <c r="P746" s="97"/>
      <c r="Q746" s="97"/>
      <c r="R746" s="97"/>
      <c r="S746" s="97"/>
      <c r="T746" s="97"/>
      <c r="U746" s="97"/>
      <c r="V746" s="97"/>
      <c r="W746" s="97"/>
      <c r="X746" s="97"/>
      <c r="Y746" s="97"/>
      <c r="Z746" s="97"/>
    </row>
    <row r="747" spans="1:26">
      <c r="A747" s="116"/>
      <c r="D747" s="92"/>
      <c r="E747" s="112"/>
      <c r="F747" s="97"/>
      <c r="G747" s="97"/>
      <c r="H747" s="97"/>
      <c r="I747" s="97"/>
      <c r="J747" s="97"/>
      <c r="K747" s="97"/>
      <c r="L747" s="97"/>
      <c r="M747" s="97"/>
      <c r="N747" s="97"/>
      <c r="O747" s="97"/>
      <c r="P747" s="97"/>
      <c r="Q747" s="97"/>
      <c r="R747" s="97"/>
      <c r="S747" s="97"/>
      <c r="T747" s="97"/>
      <c r="U747" s="97"/>
      <c r="V747" s="97"/>
      <c r="W747" s="97"/>
      <c r="X747" s="97"/>
      <c r="Y747" s="97"/>
      <c r="Z747" s="97"/>
    </row>
    <row r="748" spans="1:26">
      <c r="A748" s="116"/>
      <c r="D748" s="92"/>
      <c r="E748" s="112"/>
      <c r="F748" s="97"/>
      <c r="G748" s="97"/>
      <c r="H748" s="97"/>
      <c r="I748" s="97"/>
      <c r="J748" s="97"/>
      <c r="K748" s="97"/>
      <c r="L748" s="97"/>
      <c r="M748" s="97"/>
      <c r="N748" s="97"/>
      <c r="O748" s="97"/>
      <c r="P748" s="97"/>
      <c r="Q748" s="97"/>
      <c r="R748" s="97"/>
      <c r="S748" s="97"/>
      <c r="T748" s="97"/>
      <c r="U748" s="97"/>
      <c r="V748" s="97"/>
      <c r="W748" s="97"/>
      <c r="X748" s="97"/>
      <c r="Y748" s="97"/>
      <c r="Z748" s="97"/>
    </row>
    <row r="749" spans="1:26">
      <c r="A749" s="116"/>
      <c r="D749" s="92"/>
      <c r="E749" s="112"/>
      <c r="F749" s="97"/>
      <c r="G749" s="97"/>
      <c r="H749" s="97"/>
      <c r="I749" s="97"/>
      <c r="J749" s="97"/>
      <c r="K749" s="97"/>
      <c r="L749" s="97"/>
      <c r="M749" s="97"/>
      <c r="N749" s="97"/>
      <c r="O749" s="97"/>
      <c r="P749" s="97"/>
      <c r="Q749" s="97"/>
      <c r="R749" s="97"/>
      <c r="S749" s="97"/>
      <c r="T749" s="97"/>
      <c r="U749" s="97"/>
      <c r="V749" s="97"/>
      <c r="W749" s="97"/>
      <c r="X749" s="97"/>
      <c r="Y749" s="97"/>
      <c r="Z749" s="97"/>
    </row>
    <row r="750" spans="1:26">
      <c r="A750" s="116"/>
      <c r="D750" s="92"/>
      <c r="E750" s="112"/>
      <c r="F750" s="97"/>
      <c r="G750" s="97"/>
      <c r="H750" s="97"/>
      <c r="I750" s="97"/>
      <c r="J750" s="97"/>
      <c r="K750" s="97"/>
      <c r="L750" s="97"/>
      <c r="M750" s="97"/>
      <c r="N750" s="97"/>
      <c r="O750" s="97"/>
      <c r="P750" s="97"/>
      <c r="Q750" s="97"/>
      <c r="R750" s="97"/>
      <c r="S750" s="97"/>
      <c r="T750" s="97"/>
      <c r="U750" s="97"/>
      <c r="V750" s="97"/>
      <c r="W750" s="97"/>
      <c r="X750" s="97"/>
      <c r="Y750" s="97"/>
      <c r="Z750" s="97"/>
    </row>
    <row r="751" spans="1:26">
      <c r="A751" s="116"/>
      <c r="D751" s="92"/>
      <c r="E751" s="112"/>
      <c r="F751" s="97"/>
      <c r="G751" s="97"/>
      <c r="H751" s="97"/>
      <c r="I751" s="97"/>
      <c r="J751" s="97"/>
      <c r="K751" s="97"/>
      <c r="L751" s="97"/>
      <c r="M751" s="97"/>
      <c r="N751" s="97"/>
      <c r="O751" s="97"/>
      <c r="P751" s="97"/>
      <c r="Q751" s="97"/>
      <c r="R751" s="97"/>
      <c r="S751" s="97"/>
      <c r="T751" s="97"/>
      <c r="U751" s="97"/>
      <c r="V751" s="97"/>
      <c r="W751" s="97"/>
      <c r="X751" s="97"/>
      <c r="Y751" s="97"/>
      <c r="Z751" s="97"/>
    </row>
    <row r="752" spans="1:26">
      <c r="A752" s="116"/>
      <c r="D752" s="92"/>
      <c r="E752" s="112"/>
      <c r="F752" s="97"/>
      <c r="G752" s="97"/>
      <c r="H752" s="97"/>
      <c r="I752" s="97"/>
      <c r="J752" s="97"/>
      <c r="K752" s="97"/>
      <c r="L752" s="97"/>
      <c r="M752" s="97"/>
      <c r="N752" s="97"/>
      <c r="O752" s="97"/>
      <c r="P752" s="97"/>
      <c r="Q752" s="97"/>
      <c r="R752" s="97"/>
      <c r="S752" s="97"/>
      <c r="T752" s="97"/>
      <c r="U752" s="97"/>
      <c r="V752" s="97"/>
      <c r="W752" s="97"/>
      <c r="X752" s="97"/>
      <c r="Y752" s="97"/>
      <c r="Z752" s="97"/>
    </row>
    <row r="753" spans="1:26">
      <c r="A753" s="116"/>
      <c r="D753" s="92"/>
      <c r="E753" s="112"/>
      <c r="F753" s="97"/>
      <c r="G753" s="97"/>
      <c r="H753" s="97"/>
      <c r="I753" s="97"/>
      <c r="J753" s="97"/>
      <c r="K753" s="97"/>
      <c r="L753" s="97"/>
      <c r="M753" s="97"/>
      <c r="N753" s="97"/>
      <c r="O753" s="97"/>
      <c r="P753" s="97"/>
      <c r="Q753" s="97"/>
      <c r="R753" s="97"/>
      <c r="S753" s="97"/>
      <c r="T753" s="97"/>
      <c r="U753" s="97"/>
      <c r="V753" s="97"/>
      <c r="W753" s="97"/>
      <c r="X753" s="97"/>
      <c r="Y753" s="97"/>
      <c r="Z753" s="97"/>
    </row>
    <row r="754" spans="1:26">
      <c r="A754" s="116"/>
      <c r="D754" s="92"/>
      <c r="E754" s="112"/>
      <c r="F754" s="97"/>
      <c r="G754" s="97"/>
      <c r="H754" s="97"/>
      <c r="I754" s="97"/>
      <c r="J754" s="97"/>
      <c r="K754" s="97"/>
      <c r="L754" s="97"/>
      <c r="M754" s="97"/>
      <c r="N754" s="97"/>
      <c r="O754" s="97"/>
      <c r="P754" s="97"/>
      <c r="Q754" s="97"/>
      <c r="R754" s="97"/>
      <c r="S754" s="97"/>
      <c r="T754" s="97"/>
      <c r="U754" s="97"/>
      <c r="V754" s="97"/>
      <c r="W754" s="97"/>
      <c r="X754" s="97"/>
      <c r="Y754" s="97"/>
      <c r="Z754" s="97"/>
    </row>
    <row r="755" spans="1:26">
      <c r="A755" s="116"/>
      <c r="D755" s="92"/>
      <c r="E755" s="112"/>
      <c r="F755" s="97"/>
      <c r="G755" s="97"/>
      <c r="H755" s="97"/>
      <c r="I755" s="97"/>
      <c r="J755" s="97"/>
      <c r="K755" s="97"/>
      <c r="L755" s="97"/>
      <c r="M755" s="97"/>
      <c r="N755" s="97"/>
      <c r="O755" s="97"/>
      <c r="P755" s="97"/>
      <c r="Q755" s="97"/>
      <c r="R755" s="97"/>
      <c r="S755" s="97"/>
      <c r="T755" s="97"/>
      <c r="U755" s="97"/>
      <c r="V755" s="97"/>
      <c r="W755" s="97"/>
      <c r="X755" s="97"/>
      <c r="Y755" s="97"/>
      <c r="Z755" s="97"/>
    </row>
    <row r="756" spans="1:26">
      <c r="A756" s="116"/>
      <c r="D756" s="92"/>
      <c r="E756" s="112"/>
      <c r="F756" s="97"/>
      <c r="G756" s="97"/>
      <c r="H756" s="97"/>
      <c r="I756" s="97"/>
      <c r="J756" s="97"/>
      <c r="K756" s="97"/>
      <c r="L756" s="97"/>
      <c r="M756" s="97"/>
      <c r="N756" s="97"/>
      <c r="O756" s="97"/>
      <c r="P756" s="97"/>
      <c r="Q756" s="97"/>
      <c r="R756" s="97"/>
      <c r="S756" s="97"/>
      <c r="T756" s="97"/>
      <c r="U756" s="97"/>
      <c r="V756" s="97"/>
      <c r="W756" s="97"/>
      <c r="X756" s="97"/>
      <c r="Y756" s="97"/>
      <c r="Z756" s="97"/>
    </row>
    <row r="757" spans="1:26">
      <c r="A757" s="116"/>
      <c r="D757" s="92"/>
      <c r="E757" s="112"/>
      <c r="F757" s="97"/>
      <c r="G757" s="97"/>
      <c r="H757" s="97"/>
      <c r="I757" s="97"/>
      <c r="J757" s="97"/>
      <c r="K757" s="97"/>
      <c r="L757" s="97"/>
      <c r="M757" s="97"/>
      <c r="N757" s="97"/>
      <c r="O757" s="97"/>
      <c r="P757" s="97"/>
      <c r="Q757" s="97"/>
      <c r="R757" s="97"/>
      <c r="S757" s="97"/>
      <c r="T757" s="97"/>
      <c r="U757" s="97"/>
      <c r="V757" s="97"/>
      <c r="W757" s="97"/>
      <c r="X757" s="97"/>
      <c r="Y757" s="97"/>
      <c r="Z757" s="97"/>
    </row>
    <row r="758" spans="1:26">
      <c r="A758" s="116"/>
      <c r="D758" s="92"/>
      <c r="E758" s="112"/>
      <c r="F758" s="97"/>
      <c r="G758" s="97"/>
      <c r="H758" s="97"/>
      <c r="I758" s="97"/>
      <c r="J758" s="97"/>
      <c r="K758" s="97"/>
      <c r="L758" s="97"/>
      <c r="M758" s="97"/>
      <c r="N758" s="97"/>
      <c r="O758" s="97"/>
      <c r="P758" s="97"/>
      <c r="Q758" s="97"/>
      <c r="R758" s="97"/>
      <c r="S758" s="97"/>
      <c r="T758" s="97"/>
      <c r="U758" s="97"/>
      <c r="V758" s="97"/>
      <c r="W758" s="97"/>
      <c r="X758" s="97"/>
      <c r="Y758" s="97"/>
      <c r="Z758" s="97"/>
    </row>
    <row r="759" spans="1:26">
      <c r="A759" s="116"/>
      <c r="D759" s="92"/>
      <c r="E759" s="112"/>
      <c r="F759" s="97"/>
      <c r="G759" s="97"/>
      <c r="H759" s="97"/>
      <c r="I759" s="97"/>
      <c r="J759" s="97"/>
      <c r="K759" s="97"/>
      <c r="L759" s="97"/>
      <c r="M759" s="97"/>
      <c r="N759" s="97"/>
      <c r="O759" s="97"/>
      <c r="P759" s="97"/>
      <c r="Q759" s="97"/>
      <c r="R759" s="97"/>
      <c r="S759" s="97"/>
      <c r="T759" s="97"/>
      <c r="U759" s="97"/>
      <c r="V759" s="97"/>
      <c r="W759" s="97"/>
      <c r="X759" s="97"/>
      <c r="Y759" s="97"/>
      <c r="Z759" s="97"/>
    </row>
    <row r="760" spans="1:26">
      <c r="A760" s="116"/>
      <c r="D760" s="92"/>
      <c r="E760" s="112"/>
      <c r="F760" s="97"/>
      <c r="G760" s="97"/>
      <c r="H760" s="97"/>
      <c r="I760" s="97"/>
      <c r="J760" s="97"/>
      <c r="K760" s="97"/>
      <c r="L760" s="97"/>
      <c r="M760" s="97"/>
      <c r="N760" s="97"/>
      <c r="O760" s="97"/>
      <c r="P760" s="97"/>
      <c r="Q760" s="97"/>
      <c r="R760" s="97"/>
      <c r="S760" s="97"/>
      <c r="T760" s="97"/>
      <c r="U760" s="97"/>
      <c r="V760" s="97"/>
      <c r="W760" s="97"/>
      <c r="X760" s="97"/>
      <c r="Y760" s="97"/>
      <c r="Z760" s="97"/>
    </row>
    <row r="761" spans="1:26">
      <c r="A761" s="116"/>
      <c r="D761" s="92"/>
      <c r="E761" s="112"/>
      <c r="F761" s="97"/>
      <c r="G761" s="97"/>
      <c r="H761" s="97"/>
      <c r="I761" s="97"/>
      <c r="J761" s="97"/>
      <c r="K761" s="97"/>
      <c r="L761" s="97"/>
      <c r="M761" s="97"/>
      <c r="N761" s="97"/>
      <c r="O761" s="97"/>
      <c r="P761" s="97"/>
      <c r="Q761" s="97"/>
      <c r="R761" s="97"/>
      <c r="S761" s="97"/>
      <c r="T761" s="97"/>
      <c r="U761" s="97"/>
      <c r="V761" s="97"/>
      <c r="W761" s="97"/>
      <c r="X761" s="97"/>
      <c r="Y761" s="97"/>
      <c r="Z761" s="97"/>
    </row>
    <row r="762" spans="1:26">
      <c r="A762" s="116"/>
      <c r="D762" s="92"/>
      <c r="E762" s="112"/>
      <c r="F762" s="97"/>
      <c r="G762" s="97"/>
      <c r="H762" s="97"/>
      <c r="I762" s="97"/>
      <c r="J762" s="97"/>
      <c r="K762" s="97"/>
      <c r="L762" s="97"/>
      <c r="M762" s="97"/>
      <c r="N762" s="97"/>
      <c r="O762" s="97"/>
      <c r="P762" s="97"/>
      <c r="Q762" s="97"/>
      <c r="R762" s="97"/>
      <c r="S762" s="97"/>
      <c r="T762" s="97"/>
      <c r="U762" s="97"/>
      <c r="V762" s="97"/>
      <c r="W762" s="97"/>
      <c r="X762" s="97"/>
      <c r="Y762" s="97"/>
      <c r="Z762" s="97"/>
    </row>
    <row r="763" spans="1:26">
      <c r="A763" s="116"/>
      <c r="D763" s="92"/>
      <c r="E763" s="112"/>
      <c r="F763" s="97"/>
      <c r="G763" s="97"/>
      <c r="H763" s="97"/>
      <c r="I763" s="97"/>
      <c r="J763" s="97"/>
      <c r="K763" s="97"/>
      <c r="L763" s="97"/>
      <c r="M763" s="97"/>
      <c r="N763" s="97"/>
      <c r="O763" s="97"/>
      <c r="P763" s="97"/>
      <c r="Q763" s="97"/>
      <c r="R763" s="97"/>
      <c r="S763" s="97"/>
      <c r="T763" s="97"/>
      <c r="U763" s="97"/>
      <c r="V763" s="97"/>
      <c r="W763" s="97"/>
      <c r="X763" s="97"/>
      <c r="Y763" s="97"/>
      <c r="Z763" s="97"/>
    </row>
    <row r="764" spans="1:26">
      <c r="A764" s="116"/>
      <c r="D764" s="92"/>
      <c r="E764" s="112"/>
      <c r="F764" s="97"/>
      <c r="G764" s="97"/>
      <c r="H764" s="97"/>
      <c r="I764" s="97"/>
      <c r="J764" s="97"/>
      <c r="K764" s="97"/>
      <c r="L764" s="97"/>
      <c r="M764" s="97"/>
      <c r="N764" s="97"/>
      <c r="O764" s="97"/>
      <c r="P764" s="97"/>
      <c r="Q764" s="97"/>
      <c r="R764" s="97"/>
      <c r="S764" s="97"/>
      <c r="T764" s="97"/>
      <c r="U764" s="97"/>
      <c r="V764" s="97"/>
      <c r="W764" s="97"/>
      <c r="X764" s="97"/>
      <c r="Y764" s="97"/>
      <c r="Z764" s="97"/>
    </row>
    <row r="765" spans="1:26">
      <c r="A765" s="116"/>
      <c r="D765" s="92"/>
      <c r="E765" s="112"/>
      <c r="F765" s="97"/>
      <c r="G765" s="97"/>
      <c r="H765" s="97"/>
      <c r="I765" s="97"/>
      <c r="J765" s="97"/>
      <c r="K765" s="97"/>
      <c r="L765" s="97"/>
      <c r="M765" s="97"/>
      <c r="N765" s="97"/>
      <c r="O765" s="97"/>
      <c r="P765" s="97"/>
      <c r="Q765" s="97"/>
      <c r="R765" s="97"/>
      <c r="S765" s="97"/>
      <c r="T765" s="97"/>
      <c r="U765" s="97"/>
      <c r="V765" s="97"/>
      <c r="W765" s="97"/>
      <c r="X765" s="97"/>
      <c r="Y765" s="97"/>
      <c r="Z765" s="97"/>
    </row>
    <row r="766" spans="1:26">
      <c r="A766" s="116"/>
      <c r="D766" s="92"/>
      <c r="E766" s="112"/>
      <c r="F766" s="97"/>
      <c r="G766" s="97"/>
      <c r="H766" s="97"/>
      <c r="I766" s="97"/>
      <c r="J766" s="97"/>
      <c r="K766" s="97"/>
      <c r="L766" s="97"/>
      <c r="M766" s="97"/>
      <c r="N766" s="97"/>
      <c r="O766" s="97"/>
      <c r="P766" s="97"/>
      <c r="Q766" s="97"/>
      <c r="R766" s="97"/>
      <c r="S766" s="97"/>
      <c r="T766" s="97"/>
      <c r="U766" s="97"/>
      <c r="V766" s="97"/>
      <c r="W766" s="97"/>
      <c r="X766" s="97"/>
      <c r="Y766" s="97"/>
      <c r="Z766" s="97"/>
    </row>
    <row r="767" spans="1:26">
      <c r="A767" s="116"/>
      <c r="D767" s="92"/>
      <c r="E767" s="112"/>
      <c r="F767" s="97"/>
      <c r="G767" s="97"/>
      <c r="H767" s="97"/>
      <c r="I767" s="97"/>
      <c r="J767" s="97"/>
      <c r="K767" s="97"/>
      <c r="L767" s="97"/>
      <c r="M767" s="97"/>
      <c r="N767" s="97"/>
      <c r="O767" s="97"/>
      <c r="P767" s="97"/>
      <c r="Q767" s="97"/>
      <c r="R767" s="97"/>
      <c r="S767" s="97"/>
      <c r="T767" s="97"/>
      <c r="U767" s="97"/>
      <c r="V767" s="97"/>
      <c r="W767" s="97"/>
      <c r="X767" s="97"/>
      <c r="Y767" s="97"/>
      <c r="Z767" s="97"/>
    </row>
    <row r="768" spans="1:26">
      <c r="A768" s="116"/>
      <c r="D768" s="92"/>
      <c r="E768" s="112"/>
      <c r="F768" s="97"/>
      <c r="G768" s="97"/>
      <c r="H768" s="97"/>
      <c r="I768" s="97"/>
      <c r="J768" s="97"/>
      <c r="K768" s="97"/>
      <c r="L768" s="97"/>
      <c r="M768" s="97"/>
      <c r="N768" s="97"/>
      <c r="O768" s="97"/>
      <c r="P768" s="97"/>
      <c r="Q768" s="97"/>
      <c r="R768" s="97"/>
      <c r="S768" s="97"/>
      <c r="T768" s="97"/>
      <c r="U768" s="97"/>
      <c r="V768" s="97"/>
      <c r="W768" s="97"/>
      <c r="X768" s="97"/>
      <c r="Y768" s="97"/>
      <c r="Z768" s="97"/>
    </row>
    <row r="769" spans="1:26">
      <c r="A769" s="116"/>
      <c r="D769" s="92"/>
      <c r="E769" s="112"/>
      <c r="F769" s="97"/>
      <c r="G769" s="97"/>
      <c r="H769" s="97"/>
      <c r="I769" s="97"/>
      <c r="J769" s="97"/>
      <c r="K769" s="97"/>
      <c r="L769" s="97"/>
      <c r="M769" s="97"/>
      <c r="N769" s="97"/>
      <c r="O769" s="97"/>
      <c r="P769" s="97"/>
      <c r="Q769" s="97"/>
      <c r="R769" s="97"/>
      <c r="S769" s="97"/>
      <c r="T769" s="97"/>
      <c r="U769" s="97"/>
      <c r="V769" s="97"/>
      <c r="W769" s="97"/>
      <c r="X769" s="97"/>
      <c r="Y769" s="97"/>
      <c r="Z769" s="97"/>
    </row>
    <row r="770" spans="1:26">
      <c r="A770" s="116"/>
      <c r="D770" s="92"/>
      <c r="E770" s="112"/>
      <c r="F770" s="97"/>
      <c r="G770" s="97"/>
      <c r="H770" s="97"/>
      <c r="I770" s="97"/>
      <c r="J770" s="97"/>
      <c r="K770" s="97"/>
      <c r="L770" s="97"/>
      <c r="M770" s="97"/>
      <c r="N770" s="97"/>
      <c r="O770" s="97"/>
      <c r="P770" s="97"/>
      <c r="Q770" s="97"/>
      <c r="R770" s="97"/>
      <c r="S770" s="97"/>
      <c r="T770" s="97"/>
      <c r="U770" s="97"/>
      <c r="V770" s="97"/>
      <c r="W770" s="97"/>
      <c r="X770" s="97"/>
      <c r="Y770" s="97"/>
      <c r="Z770" s="97"/>
    </row>
    <row r="771" spans="1:26">
      <c r="A771" s="116"/>
      <c r="D771" s="92"/>
      <c r="E771" s="112"/>
      <c r="F771" s="97"/>
      <c r="G771" s="97"/>
      <c r="H771" s="97"/>
      <c r="I771" s="97"/>
      <c r="J771" s="97"/>
      <c r="K771" s="97"/>
      <c r="L771" s="97"/>
      <c r="M771" s="97"/>
      <c r="N771" s="97"/>
      <c r="O771" s="97"/>
      <c r="P771" s="97"/>
      <c r="Q771" s="97"/>
      <c r="R771" s="97"/>
      <c r="S771" s="97"/>
      <c r="T771" s="97"/>
      <c r="U771" s="97"/>
      <c r="V771" s="97"/>
      <c r="W771" s="97"/>
      <c r="X771" s="97"/>
      <c r="Y771" s="97"/>
      <c r="Z771" s="97"/>
    </row>
    <row r="772" spans="1:26">
      <c r="A772" s="116"/>
      <c r="D772" s="92"/>
      <c r="E772" s="112"/>
      <c r="F772" s="97"/>
      <c r="G772" s="97"/>
      <c r="H772" s="97"/>
      <c r="I772" s="97"/>
      <c r="J772" s="97"/>
      <c r="K772" s="97"/>
      <c r="L772" s="97"/>
      <c r="M772" s="97"/>
      <c r="N772" s="97"/>
      <c r="O772" s="97"/>
      <c r="P772" s="97"/>
      <c r="Q772" s="97"/>
      <c r="R772" s="97"/>
      <c r="S772" s="97"/>
      <c r="T772" s="97"/>
      <c r="U772" s="97"/>
      <c r="V772" s="97"/>
      <c r="W772" s="97"/>
      <c r="X772" s="97"/>
      <c r="Y772" s="97"/>
      <c r="Z772" s="97"/>
    </row>
    <row r="773" spans="1:26">
      <c r="A773" s="116"/>
      <c r="D773" s="92"/>
      <c r="E773" s="112"/>
      <c r="F773" s="97"/>
      <c r="G773" s="97"/>
      <c r="H773" s="97"/>
      <c r="I773" s="97"/>
      <c r="J773" s="97"/>
      <c r="K773" s="97"/>
      <c r="L773" s="97"/>
      <c r="M773" s="97"/>
      <c r="N773" s="97"/>
      <c r="O773" s="97"/>
      <c r="P773" s="97"/>
      <c r="Q773" s="97"/>
      <c r="R773" s="97"/>
      <c r="S773" s="97"/>
      <c r="T773" s="97"/>
      <c r="U773" s="97"/>
      <c r="V773" s="97"/>
      <c r="W773" s="97"/>
      <c r="X773" s="97"/>
      <c r="Y773" s="97"/>
      <c r="Z773" s="97"/>
    </row>
    <row r="774" spans="1:26">
      <c r="A774" s="116"/>
      <c r="D774" s="92"/>
      <c r="E774" s="112"/>
      <c r="F774" s="97"/>
      <c r="G774" s="97"/>
      <c r="H774" s="97"/>
      <c r="I774" s="97"/>
      <c r="J774" s="97"/>
      <c r="K774" s="97"/>
      <c r="L774" s="97"/>
      <c r="M774" s="97"/>
      <c r="N774" s="97"/>
      <c r="O774" s="97"/>
      <c r="P774" s="97"/>
      <c r="Q774" s="97"/>
      <c r="R774" s="97"/>
      <c r="S774" s="97"/>
      <c r="T774" s="97"/>
      <c r="U774" s="97"/>
      <c r="V774" s="97"/>
      <c r="W774" s="97"/>
      <c r="X774" s="97"/>
      <c r="Y774" s="97"/>
      <c r="Z774" s="97"/>
    </row>
    <row r="775" spans="1:26">
      <c r="A775" s="116"/>
      <c r="D775" s="92"/>
      <c r="E775" s="112"/>
      <c r="F775" s="97"/>
      <c r="G775" s="97"/>
      <c r="H775" s="97"/>
      <c r="I775" s="97"/>
      <c r="J775" s="97"/>
      <c r="K775" s="97"/>
      <c r="L775" s="97"/>
      <c r="M775" s="97"/>
      <c r="N775" s="97"/>
      <c r="O775" s="97"/>
      <c r="P775" s="97"/>
      <c r="Q775" s="97"/>
      <c r="R775" s="97"/>
      <c r="S775" s="97"/>
      <c r="T775" s="97"/>
      <c r="U775" s="97"/>
      <c r="V775" s="97"/>
      <c r="W775" s="97"/>
      <c r="X775" s="97"/>
      <c r="Y775" s="97"/>
      <c r="Z775" s="97"/>
    </row>
    <row r="776" spans="1:26">
      <c r="A776" s="116"/>
      <c r="D776" s="92"/>
      <c r="E776" s="112"/>
      <c r="F776" s="97"/>
      <c r="G776" s="97"/>
      <c r="H776" s="97"/>
      <c r="I776" s="97"/>
      <c r="J776" s="97"/>
      <c r="K776" s="97"/>
      <c r="L776" s="97"/>
      <c r="M776" s="97"/>
      <c r="N776" s="97"/>
      <c r="O776" s="97"/>
      <c r="P776" s="97"/>
      <c r="Q776" s="97"/>
      <c r="R776" s="97"/>
      <c r="S776" s="97"/>
      <c r="T776" s="97"/>
      <c r="U776" s="97"/>
      <c r="V776" s="97"/>
      <c r="W776" s="97"/>
      <c r="X776" s="97"/>
      <c r="Y776" s="97"/>
      <c r="Z776" s="97"/>
    </row>
    <row r="777" spans="1:26">
      <c r="A777" s="116"/>
      <c r="D777" s="92"/>
      <c r="E777" s="112"/>
      <c r="F777" s="97"/>
      <c r="G777" s="97"/>
      <c r="H777" s="97"/>
      <c r="I777" s="97"/>
      <c r="J777" s="97"/>
      <c r="K777" s="97"/>
      <c r="L777" s="97"/>
      <c r="M777" s="97"/>
      <c r="N777" s="97"/>
      <c r="O777" s="97"/>
      <c r="P777" s="97"/>
      <c r="Q777" s="97"/>
      <c r="R777" s="97"/>
      <c r="S777" s="97"/>
      <c r="T777" s="97"/>
      <c r="U777" s="97"/>
      <c r="V777" s="97"/>
      <c r="W777" s="97"/>
      <c r="X777" s="97"/>
      <c r="Y777" s="97"/>
      <c r="Z777" s="97"/>
    </row>
    <row r="778" spans="1:26">
      <c r="A778" s="116"/>
      <c r="D778" s="92"/>
      <c r="E778" s="112"/>
      <c r="F778" s="97"/>
      <c r="G778" s="97"/>
      <c r="H778" s="97"/>
      <c r="I778" s="97"/>
      <c r="J778" s="97"/>
      <c r="K778" s="97"/>
      <c r="L778" s="97"/>
      <c r="M778" s="97"/>
      <c r="N778" s="97"/>
      <c r="O778" s="97"/>
      <c r="P778" s="97"/>
      <c r="Q778" s="97"/>
      <c r="R778" s="97"/>
      <c r="S778" s="97"/>
      <c r="T778" s="97"/>
      <c r="U778" s="97"/>
      <c r="V778" s="97"/>
      <c r="W778" s="97"/>
      <c r="X778" s="97"/>
      <c r="Y778" s="97"/>
      <c r="Z778" s="97"/>
    </row>
    <row r="779" spans="1:26">
      <c r="A779" s="116"/>
      <c r="D779" s="92"/>
      <c r="E779" s="112"/>
      <c r="F779" s="97"/>
      <c r="G779" s="97"/>
      <c r="H779" s="97"/>
      <c r="I779" s="97"/>
      <c r="J779" s="97"/>
      <c r="K779" s="97"/>
      <c r="L779" s="97"/>
      <c r="M779" s="97"/>
      <c r="N779" s="97"/>
      <c r="O779" s="97"/>
      <c r="P779" s="97"/>
      <c r="Q779" s="97"/>
      <c r="R779" s="97"/>
      <c r="S779" s="97"/>
      <c r="T779" s="97"/>
      <c r="U779" s="97"/>
      <c r="V779" s="97"/>
      <c r="W779" s="97"/>
      <c r="X779" s="97"/>
      <c r="Y779" s="97"/>
      <c r="Z779" s="97"/>
    </row>
    <row r="780" spans="1:26">
      <c r="A780" s="116"/>
      <c r="D780" s="92"/>
      <c r="E780" s="112"/>
      <c r="F780" s="97"/>
      <c r="G780" s="97"/>
      <c r="H780" s="97"/>
      <c r="I780" s="97"/>
      <c r="J780" s="97"/>
      <c r="K780" s="97"/>
      <c r="L780" s="97"/>
      <c r="M780" s="97"/>
      <c r="N780" s="97"/>
      <c r="O780" s="97"/>
      <c r="P780" s="97"/>
      <c r="Q780" s="97"/>
      <c r="R780" s="97"/>
      <c r="S780" s="97"/>
      <c r="T780" s="97"/>
      <c r="U780" s="97"/>
      <c r="V780" s="97"/>
      <c r="W780" s="97"/>
      <c r="X780" s="97"/>
      <c r="Y780" s="97"/>
      <c r="Z780" s="97"/>
    </row>
    <row r="781" spans="1:26">
      <c r="A781" s="116"/>
      <c r="D781" s="92"/>
      <c r="E781" s="112"/>
      <c r="F781" s="97"/>
      <c r="G781" s="97"/>
      <c r="H781" s="97"/>
      <c r="I781" s="97"/>
      <c r="J781" s="97"/>
      <c r="K781" s="97"/>
      <c r="L781" s="97"/>
      <c r="M781" s="97"/>
      <c r="N781" s="97"/>
      <c r="O781" s="97"/>
      <c r="P781" s="97"/>
      <c r="Q781" s="97"/>
      <c r="R781" s="97"/>
      <c r="S781" s="97"/>
      <c r="T781" s="97"/>
      <c r="U781" s="97"/>
      <c r="V781" s="97"/>
      <c r="W781" s="97"/>
      <c r="X781" s="97"/>
      <c r="Y781" s="97"/>
      <c r="Z781" s="97"/>
    </row>
    <row r="782" spans="1:26">
      <c r="A782" s="116"/>
      <c r="D782" s="92"/>
      <c r="E782" s="112"/>
      <c r="F782" s="97"/>
      <c r="G782" s="97"/>
      <c r="H782" s="97"/>
      <c r="I782" s="97"/>
      <c r="J782" s="97"/>
      <c r="K782" s="97"/>
      <c r="L782" s="97"/>
      <c r="M782" s="97"/>
      <c r="N782" s="97"/>
      <c r="O782" s="97"/>
      <c r="P782" s="97"/>
      <c r="Q782" s="97"/>
      <c r="R782" s="97"/>
      <c r="S782" s="97"/>
      <c r="T782" s="97"/>
      <c r="U782" s="97"/>
      <c r="V782" s="97"/>
      <c r="W782" s="97"/>
      <c r="X782" s="97"/>
      <c r="Y782" s="97"/>
      <c r="Z782" s="97"/>
    </row>
    <row r="783" spans="1:26">
      <c r="A783" s="116"/>
      <c r="D783" s="92"/>
      <c r="E783" s="112"/>
      <c r="F783" s="97"/>
      <c r="G783" s="97"/>
      <c r="H783" s="97"/>
      <c r="I783" s="97"/>
      <c r="J783" s="97"/>
      <c r="K783" s="97"/>
      <c r="L783" s="97"/>
      <c r="M783" s="97"/>
      <c r="N783" s="97"/>
      <c r="O783" s="97"/>
      <c r="P783" s="97"/>
      <c r="Q783" s="97"/>
      <c r="R783" s="97"/>
      <c r="S783" s="97"/>
      <c r="T783" s="97"/>
      <c r="U783" s="97"/>
      <c r="V783" s="97"/>
      <c r="W783" s="97"/>
      <c r="X783" s="97"/>
      <c r="Y783" s="97"/>
      <c r="Z783" s="97"/>
    </row>
    <row r="784" spans="1:26">
      <c r="A784" s="116"/>
      <c r="D784" s="92"/>
      <c r="E784" s="112"/>
      <c r="F784" s="97"/>
      <c r="G784" s="97"/>
      <c r="H784" s="97"/>
      <c r="I784" s="97"/>
      <c r="J784" s="97"/>
      <c r="K784" s="97"/>
      <c r="L784" s="97"/>
      <c r="M784" s="97"/>
      <c r="N784" s="97"/>
      <c r="O784" s="97"/>
      <c r="P784" s="97"/>
      <c r="Q784" s="97"/>
      <c r="R784" s="97"/>
      <c r="S784" s="97"/>
      <c r="T784" s="97"/>
      <c r="U784" s="97"/>
      <c r="V784" s="97"/>
      <c r="W784" s="97"/>
      <c r="X784" s="97"/>
      <c r="Y784" s="97"/>
      <c r="Z784" s="97"/>
    </row>
    <row r="785" spans="1:26">
      <c r="A785" s="116"/>
      <c r="D785" s="92"/>
      <c r="E785" s="112"/>
      <c r="F785" s="97"/>
      <c r="G785" s="97"/>
      <c r="H785" s="97"/>
      <c r="I785" s="97"/>
      <c r="J785" s="97"/>
      <c r="K785" s="97"/>
      <c r="L785" s="97"/>
      <c r="M785" s="97"/>
      <c r="N785" s="97"/>
      <c r="O785" s="97"/>
      <c r="P785" s="97"/>
      <c r="Q785" s="97"/>
      <c r="R785" s="97"/>
      <c r="S785" s="97"/>
      <c r="T785" s="97"/>
      <c r="U785" s="97"/>
      <c r="V785" s="97"/>
      <c r="W785" s="97"/>
      <c r="X785" s="97"/>
      <c r="Y785" s="97"/>
      <c r="Z785" s="97"/>
    </row>
    <row r="786" spans="1:26">
      <c r="A786" s="116"/>
      <c r="D786" s="92"/>
      <c r="E786" s="112"/>
      <c r="F786" s="97"/>
      <c r="G786" s="97"/>
      <c r="H786" s="97"/>
      <c r="I786" s="97"/>
      <c r="J786" s="97"/>
      <c r="K786" s="97"/>
      <c r="L786" s="97"/>
      <c r="M786" s="97"/>
      <c r="N786" s="97"/>
      <c r="O786" s="97"/>
      <c r="P786" s="97"/>
      <c r="Q786" s="97"/>
      <c r="R786" s="97"/>
      <c r="S786" s="97"/>
      <c r="T786" s="97"/>
      <c r="U786" s="97"/>
      <c r="V786" s="97"/>
      <c r="W786" s="97"/>
      <c r="X786" s="97"/>
      <c r="Y786" s="97"/>
      <c r="Z786" s="97"/>
    </row>
    <row r="787" spans="1:26">
      <c r="A787" s="116"/>
      <c r="D787" s="92"/>
      <c r="E787" s="112"/>
      <c r="F787" s="97"/>
      <c r="G787" s="97"/>
      <c r="H787" s="97"/>
      <c r="I787" s="97"/>
      <c r="J787" s="97"/>
      <c r="K787" s="97"/>
      <c r="L787" s="97"/>
      <c r="M787" s="97"/>
      <c r="N787" s="97"/>
      <c r="O787" s="97"/>
      <c r="P787" s="97"/>
      <c r="Q787" s="97"/>
      <c r="R787" s="97"/>
      <c r="S787" s="97"/>
      <c r="T787" s="97"/>
      <c r="U787" s="97"/>
      <c r="V787" s="97"/>
      <c r="W787" s="97"/>
      <c r="X787" s="97"/>
      <c r="Y787" s="97"/>
      <c r="Z787" s="97"/>
    </row>
    <row r="788" spans="1:26">
      <c r="A788" s="116"/>
      <c r="D788" s="92"/>
      <c r="E788" s="112"/>
      <c r="F788" s="97"/>
      <c r="G788" s="97"/>
      <c r="H788" s="97"/>
      <c r="I788" s="97"/>
      <c r="J788" s="97"/>
      <c r="K788" s="97"/>
      <c r="L788" s="97"/>
      <c r="M788" s="97"/>
      <c r="N788" s="97"/>
      <c r="O788" s="97"/>
      <c r="P788" s="97"/>
      <c r="Q788" s="97"/>
      <c r="R788" s="97"/>
      <c r="S788" s="97"/>
      <c r="T788" s="97"/>
      <c r="U788" s="97"/>
      <c r="V788" s="97"/>
      <c r="W788" s="97"/>
      <c r="X788" s="97"/>
      <c r="Y788" s="97"/>
      <c r="Z788" s="97"/>
    </row>
    <row r="789" spans="1:26">
      <c r="A789" s="116"/>
      <c r="D789" s="92"/>
      <c r="E789" s="112"/>
      <c r="F789" s="97"/>
      <c r="G789" s="97"/>
      <c r="H789" s="97"/>
      <c r="I789" s="97"/>
      <c r="J789" s="97"/>
      <c r="K789" s="97"/>
      <c r="L789" s="97"/>
      <c r="M789" s="97"/>
      <c r="N789" s="97"/>
      <c r="O789" s="97"/>
      <c r="P789" s="97"/>
      <c r="Q789" s="97"/>
      <c r="R789" s="97"/>
      <c r="S789" s="97"/>
      <c r="T789" s="97"/>
      <c r="U789" s="97"/>
      <c r="V789" s="97"/>
      <c r="W789" s="97"/>
      <c r="X789" s="97"/>
      <c r="Y789" s="97"/>
      <c r="Z789" s="97"/>
    </row>
    <row r="790" spans="1:26">
      <c r="A790" s="116"/>
      <c r="D790" s="92"/>
      <c r="E790" s="112"/>
      <c r="F790" s="97"/>
      <c r="G790" s="97"/>
      <c r="H790" s="97"/>
      <c r="I790" s="97"/>
      <c r="J790" s="97"/>
      <c r="K790" s="97"/>
      <c r="L790" s="97"/>
      <c r="M790" s="97"/>
      <c r="N790" s="97"/>
      <c r="O790" s="97"/>
      <c r="P790" s="97"/>
      <c r="Q790" s="97"/>
      <c r="R790" s="97"/>
      <c r="S790" s="97"/>
      <c r="T790" s="97"/>
      <c r="U790" s="97"/>
      <c r="V790" s="97"/>
      <c r="W790" s="97"/>
      <c r="X790" s="97"/>
      <c r="Y790" s="97"/>
      <c r="Z790" s="97"/>
    </row>
    <row r="791" spans="1:26">
      <c r="A791" s="116"/>
      <c r="D791" s="92"/>
      <c r="E791" s="112"/>
      <c r="F791" s="97"/>
      <c r="G791" s="97"/>
      <c r="H791" s="97"/>
      <c r="I791" s="97"/>
      <c r="J791" s="97"/>
      <c r="K791" s="97"/>
      <c r="L791" s="97"/>
      <c r="M791" s="97"/>
      <c r="N791" s="97"/>
      <c r="O791" s="97"/>
      <c r="P791" s="97"/>
      <c r="Q791" s="97"/>
      <c r="R791" s="97"/>
      <c r="S791" s="97"/>
      <c r="T791" s="97"/>
      <c r="U791" s="97"/>
      <c r="V791" s="97"/>
      <c r="W791" s="97"/>
      <c r="X791" s="97"/>
      <c r="Y791" s="97"/>
      <c r="Z791" s="97"/>
    </row>
    <row r="792" spans="1:26">
      <c r="A792" s="116"/>
      <c r="D792" s="92"/>
      <c r="E792" s="112"/>
      <c r="F792" s="97"/>
      <c r="G792" s="97"/>
      <c r="H792" s="97"/>
      <c r="I792" s="97"/>
      <c r="J792" s="97"/>
      <c r="K792" s="97"/>
      <c r="L792" s="97"/>
      <c r="M792" s="97"/>
      <c r="N792" s="97"/>
      <c r="O792" s="97"/>
      <c r="P792" s="97"/>
      <c r="Q792" s="97"/>
      <c r="R792" s="97"/>
      <c r="S792" s="97"/>
      <c r="T792" s="97"/>
      <c r="U792" s="97"/>
      <c r="V792" s="97"/>
      <c r="W792" s="97"/>
      <c r="X792" s="97"/>
      <c r="Y792" s="97"/>
      <c r="Z792" s="97"/>
    </row>
    <row r="793" spans="1:26">
      <c r="A793" s="116"/>
      <c r="D793" s="92"/>
      <c r="E793" s="112"/>
      <c r="F793" s="97"/>
      <c r="G793" s="97"/>
      <c r="H793" s="97"/>
      <c r="I793" s="97"/>
      <c r="J793" s="97"/>
      <c r="K793" s="97"/>
      <c r="L793" s="97"/>
      <c r="M793" s="97"/>
      <c r="N793" s="97"/>
      <c r="O793" s="97"/>
      <c r="P793" s="97"/>
      <c r="Q793" s="97"/>
      <c r="R793" s="97"/>
      <c r="S793" s="97"/>
      <c r="T793" s="97"/>
      <c r="U793" s="97"/>
      <c r="V793" s="97"/>
      <c r="W793" s="97"/>
      <c r="X793" s="97"/>
      <c r="Y793" s="97"/>
      <c r="Z793" s="97"/>
    </row>
    <row r="794" spans="1:26">
      <c r="A794" s="116"/>
      <c r="D794" s="92"/>
      <c r="E794" s="112"/>
      <c r="F794" s="97"/>
      <c r="G794" s="97"/>
      <c r="H794" s="97"/>
      <c r="I794" s="97"/>
      <c r="J794" s="97"/>
      <c r="K794" s="97"/>
      <c r="L794" s="97"/>
      <c r="M794" s="97"/>
      <c r="N794" s="97"/>
      <c r="O794" s="97"/>
      <c r="P794" s="97"/>
      <c r="Q794" s="97"/>
      <c r="R794" s="97"/>
      <c r="S794" s="97"/>
      <c r="T794" s="97"/>
      <c r="U794" s="97"/>
      <c r="V794" s="97"/>
      <c r="W794" s="97"/>
      <c r="X794" s="97"/>
      <c r="Y794" s="97"/>
      <c r="Z794" s="97"/>
    </row>
    <row r="795" spans="1:26">
      <c r="A795" s="116"/>
      <c r="D795" s="92"/>
      <c r="E795" s="112"/>
      <c r="F795" s="97"/>
      <c r="G795" s="97"/>
      <c r="H795" s="97"/>
      <c r="I795" s="97"/>
      <c r="J795" s="97"/>
      <c r="K795" s="97"/>
      <c r="L795" s="97"/>
      <c r="M795" s="97"/>
      <c r="N795" s="97"/>
      <c r="O795" s="97"/>
      <c r="P795" s="97"/>
      <c r="Q795" s="97"/>
      <c r="R795" s="97"/>
      <c r="S795" s="97"/>
      <c r="T795" s="97"/>
      <c r="U795" s="97"/>
      <c r="V795" s="97"/>
      <c r="W795" s="97"/>
      <c r="X795" s="97"/>
      <c r="Y795" s="97"/>
      <c r="Z795" s="97"/>
    </row>
    <row r="796" spans="1:26">
      <c r="A796" s="116"/>
      <c r="D796" s="92"/>
      <c r="E796" s="112"/>
      <c r="F796" s="97"/>
      <c r="G796" s="97"/>
      <c r="H796" s="97"/>
      <c r="I796" s="97"/>
      <c r="J796" s="97"/>
      <c r="K796" s="97"/>
      <c r="L796" s="97"/>
      <c r="M796" s="97"/>
      <c r="N796" s="97"/>
      <c r="O796" s="97"/>
      <c r="P796" s="97"/>
      <c r="Q796" s="97"/>
      <c r="R796" s="97"/>
      <c r="S796" s="97"/>
      <c r="T796" s="97"/>
      <c r="U796" s="97"/>
      <c r="V796" s="97"/>
      <c r="W796" s="97"/>
      <c r="X796" s="97"/>
      <c r="Y796" s="97"/>
      <c r="Z796" s="97"/>
    </row>
    <row r="797" spans="1:26">
      <c r="A797" s="116"/>
      <c r="D797" s="92"/>
      <c r="E797" s="112"/>
      <c r="F797" s="97"/>
      <c r="G797" s="97"/>
      <c r="H797" s="97"/>
      <c r="I797" s="97"/>
      <c r="J797" s="97"/>
      <c r="K797" s="97"/>
      <c r="L797" s="97"/>
      <c r="M797" s="97"/>
      <c r="N797" s="97"/>
      <c r="O797" s="97"/>
      <c r="P797" s="97"/>
      <c r="Q797" s="97"/>
      <c r="R797" s="97"/>
      <c r="S797" s="97"/>
      <c r="T797" s="97"/>
      <c r="U797" s="97"/>
      <c r="V797" s="97"/>
      <c r="W797" s="97"/>
      <c r="X797" s="97"/>
      <c r="Y797" s="97"/>
      <c r="Z797" s="97"/>
    </row>
    <row r="798" spans="1:26">
      <c r="A798" s="116"/>
      <c r="D798" s="92"/>
      <c r="E798" s="112"/>
      <c r="F798" s="97"/>
      <c r="G798" s="97"/>
      <c r="H798" s="97"/>
      <c r="I798" s="97"/>
      <c r="J798" s="97"/>
      <c r="K798" s="97"/>
      <c r="L798" s="97"/>
      <c r="M798" s="97"/>
      <c r="N798" s="97"/>
      <c r="O798" s="97"/>
      <c r="P798" s="97"/>
      <c r="Q798" s="97"/>
      <c r="R798" s="97"/>
      <c r="S798" s="97"/>
      <c r="T798" s="97"/>
      <c r="U798" s="97"/>
      <c r="V798" s="97"/>
      <c r="W798" s="97"/>
      <c r="X798" s="97"/>
      <c r="Y798" s="97"/>
      <c r="Z798" s="97"/>
    </row>
    <row r="799" spans="1:26">
      <c r="A799" s="116"/>
      <c r="D799" s="92"/>
      <c r="E799" s="112"/>
      <c r="F799" s="97"/>
      <c r="G799" s="97"/>
      <c r="H799" s="97"/>
      <c r="I799" s="97"/>
      <c r="J799" s="97"/>
      <c r="K799" s="97"/>
      <c r="L799" s="97"/>
      <c r="M799" s="97"/>
      <c r="N799" s="97"/>
      <c r="O799" s="97"/>
      <c r="P799" s="97"/>
      <c r="Q799" s="97"/>
      <c r="R799" s="97"/>
      <c r="S799" s="97"/>
      <c r="T799" s="97"/>
      <c r="U799" s="97"/>
      <c r="V799" s="97"/>
      <c r="W799" s="97"/>
      <c r="X799" s="97"/>
      <c r="Y799" s="97"/>
      <c r="Z799" s="97"/>
    </row>
    <row r="800" spans="1:26">
      <c r="A800" s="116"/>
      <c r="D800" s="92"/>
      <c r="E800" s="112"/>
      <c r="F800" s="97"/>
      <c r="G800" s="97"/>
      <c r="H800" s="97"/>
      <c r="I800" s="97"/>
      <c r="J800" s="97"/>
      <c r="K800" s="97"/>
      <c r="L800" s="97"/>
      <c r="M800" s="97"/>
      <c r="N800" s="97"/>
      <c r="O800" s="97"/>
      <c r="P800" s="97"/>
      <c r="Q800" s="97"/>
      <c r="R800" s="97"/>
      <c r="S800" s="97"/>
      <c r="T800" s="97"/>
      <c r="U800" s="97"/>
      <c r="V800" s="97"/>
      <c r="W800" s="97"/>
      <c r="X800" s="97"/>
      <c r="Y800" s="97"/>
      <c r="Z800" s="97"/>
    </row>
    <row r="801" spans="1:26">
      <c r="A801" s="116"/>
      <c r="D801" s="92"/>
      <c r="E801" s="112"/>
      <c r="F801" s="97"/>
      <c r="G801" s="97"/>
      <c r="H801" s="97"/>
      <c r="I801" s="97"/>
      <c r="J801" s="97"/>
      <c r="K801" s="97"/>
      <c r="L801" s="97"/>
      <c r="M801" s="97"/>
      <c r="N801" s="97"/>
      <c r="O801" s="97"/>
      <c r="P801" s="97"/>
      <c r="Q801" s="97"/>
      <c r="R801" s="97"/>
      <c r="S801" s="97"/>
      <c r="T801" s="97"/>
      <c r="U801" s="97"/>
      <c r="V801" s="97"/>
      <c r="W801" s="97"/>
      <c r="X801" s="97"/>
      <c r="Y801" s="97"/>
      <c r="Z801" s="97"/>
    </row>
    <row r="802" spans="1:26">
      <c r="A802" s="116"/>
      <c r="D802" s="92"/>
      <c r="E802" s="112"/>
      <c r="F802" s="97"/>
      <c r="G802" s="97"/>
      <c r="H802" s="97"/>
      <c r="I802" s="97"/>
      <c r="J802" s="97"/>
      <c r="K802" s="97"/>
      <c r="L802" s="97"/>
      <c r="M802" s="97"/>
      <c r="N802" s="97"/>
      <c r="O802" s="97"/>
      <c r="P802" s="97"/>
      <c r="Q802" s="97"/>
      <c r="R802" s="97"/>
      <c r="S802" s="97"/>
      <c r="T802" s="97"/>
      <c r="U802" s="97"/>
      <c r="V802" s="97"/>
      <c r="W802" s="97"/>
      <c r="X802" s="97"/>
      <c r="Y802" s="97"/>
      <c r="Z802" s="97"/>
    </row>
    <row r="803" spans="1:26">
      <c r="A803" s="116"/>
      <c r="D803" s="92"/>
      <c r="E803" s="112"/>
      <c r="F803" s="97"/>
      <c r="G803" s="97"/>
      <c r="H803" s="97"/>
      <c r="I803" s="97"/>
      <c r="J803" s="97"/>
      <c r="K803" s="97"/>
      <c r="L803" s="97"/>
      <c r="M803" s="97"/>
      <c r="N803" s="97"/>
      <c r="O803" s="97"/>
      <c r="P803" s="97"/>
      <c r="Q803" s="97"/>
      <c r="R803" s="97"/>
      <c r="S803" s="97"/>
      <c r="T803" s="97"/>
      <c r="U803" s="97"/>
      <c r="V803" s="97"/>
      <c r="W803" s="97"/>
      <c r="X803" s="97"/>
      <c r="Y803" s="97"/>
      <c r="Z803" s="97"/>
    </row>
    <row r="804" spans="1:26">
      <c r="A804" s="116"/>
      <c r="D804" s="92"/>
      <c r="E804" s="112"/>
      <c r="F804" s="97"/>
      <c r="G804" s="97"/>
      <c r="H804" s="97"/>
      <c r="I804" s="97"/>
      <c r="J804" s="97"/>
      <c r="K804" s="97"/>
      <c r="L804" s="97"/>
      <c r="M804" s="97"/>
      <c r="N804" s="97"/>
      <c r="O804" s="97"/>
      <c r="P804" s="97"/>
      <c r="Q804" s="97"/>
      <c r="R804" s="97"/>
      <c r="S804" s="97"/>
      <c r="T804" s="97"/>
      <c r="U804" s="97"/>
      <c r="V804" s="97"/>
      <c r="W804" s="97"/>
      <c r="X804" s="97"/>
      <c r="Y804" s="97"/>
      <c r="Z804" s="97"/>
    </row>
    <row r="805" spans="1:26">
      <c r="A805" s="116"/>
      <c r="D805" s="92"/>
      <c r="E805" s="112"/>
      <c r="F805" s="97"/>
      <c r="G805" s="97"/>
      <c r="H805" s="97"/>
      <c r="I805" s="97"/>
      <c r="J805" s="97"/>
      <c r="K805" s="97"/>
      <c r="L805" s="97"/>
      <c r="M805" s="97"/>
      <c r="N805" s="97"/>
      <c r="O805" s="97"/>
      <c r="P805" s="97"/>
      <c r="Q805" s="97"/>
      <c r="R805" s="97"/>
      <c r="S805" s="97"/>
      <c r="T805" s="97"/>
      <c r="U805" s="97"/>
      <c r="V805" s="97"/>
      <c r="W805" s="97"/>
      <c r="X805" s="97"/>
      <c r="Y805" s="97"/>
      <c r="Z805" s="97"/>
    </row>
    <row r="806" spans="1:26">
      <c r="A806" s="116"/>
      <c r="D806" s="92"/>
      <c r="E806" s="112"/>
      <c r="F806" s="97"/>
      <c r="G806" s="97"/>
      <c r="H806" s="97"/>
      <c r="I806" s="97"/>
      <c r="J806" s="97"/>
      <c r="K806" s="97"/>
      <c r="L806" s="97"/>
      <c r="M806" s="97"/>
      <c r="N806" s="97"/>
      <c r="O806" s="97"/>
      <c r="P806" s="97"/>
      <c r="Q806" s="97"/>
      <c r="R806" s="97"/>
      <c r="S806" s="97"/>
      <c r="T806" s="97"/>
      <c r="U806" s="97"/>
      <c r="V806" s="97"/>
      <c r="W806" s="97"/>
      <c r="X806" s="97"/>
      <c r="Y806" s="97"/>
      <c r="Z806" s="97"/>
    </row>
    <row r="807" spans="1:26">
      <c r="A807" s="116"/>
      <c r="D807" s="92"/>
      <c r="E807" s="112"/>
      <c r="F807" s="97"/>
      <c r="G807" s="97"/>
      <c r="H807" s="97"/>
      <c r="I807" s="97"/>
      <c r="J807" s="97"/>
      <c r="K807" s="97"/>
      <c r="L807" s="97"/>
      <c r="M807" s="97"/>
      <c r="N807" s="97"/>
      <c r="O807" s="97"/>
      <c r="P807" s="97"/>
      <c r="Q807" s="97"/>
      <c r="R807" s="97"/>
      <c r="S807" s="97"/>
      <c r="T807" s="97"/>
      <c r="U807" s="97"/>
      <c r="V807" s="97"/>
      <c r="W807" s="97"/>
      <c r="X807" s="97"/>
      <c r="Y807" s="97"/>
      <c r="Z807" s="97"/>
    </row>
    <row r="808" spans="1:26">
      <c r="A808" s="116"/>
      <c r="D808" s="92"/>
      <c r="E808" s="112"/>
      <c r="F808" s="97"/>
      <c r="G808" s="97"/>
      <c r="H808" s="97"/>
      <c r="I808" s="97"/>
      <c r="J808" s="97"/>
      <c r="K808" s="97"/>
      <c r="L808" s="97"/>
      <c r="M808" s="97"/>
      <c r="N808" s="97"/>
      <c r="O808" s="97"/>
      <c r="P808" s="97"/>
      <c r="Q808" s="97"/>
      <c r="R808" s="97"/>
      <c r="S808" s="97"/>
      <c r="T808" s="97"/>
      <c r="U808" s="97"/>
      <c r="V808" s="97"/>
      <c r="W808" s="97"/>
      <c r="X808" s="97"/>
      <c r="Y808" s="97"/>
      <c r="Z808" s="97"/>
    </row>
    <row r="809" spans="1:26">
      <c r="A809" s="116"/>
      <c r="D809" s="92"/>
      <c r="E809" s="112"/>
      <c r="F809" s="97"/>
      <c r="G809" s="97"/>
      <c r="H809" s="97"/>
      <c r="I809" s="97"/>
      <c r="J809" s="97"/>
      <c r="K809" s="97"/>
      <c r="L809" s="97"/>
      <c r="M809" s="97"/>
      <c r="N809" s="97"/>
      <c r="O809" s="97"/>
      <c r="P809" s="97"/>
      <c r="Q809" s="97"/>
      <c r="R809" s="97"/>
      <c r="S809" s="97"/>
      <c r="T809" s="97"/>
      <c r="U809" s="97"/>
      <c r="V809" s="97"/>
      <c r="W809" s="97"/>
      <c r="X809" s="97"/>
      <c r="Y809" s="97"/>
      <c r="Z809" s="97"/>
    </row>
    <row r="810" spans="1:26">
      <c r="A810" s="116"/>
      <c r="D810" s="92"/>
      <c r="E810" s="112"/>
      <c r="F810" s="97"/>
      <c r="G810" s="97"/>
      <c r="H810" s="97"/>
      <c r="I810" s="97"/>
      <c r="J810" s="97"/>
      <c r="K810" s="97"/>
      <c r="L810" s="97"/>
      <c r="M810" s="97"/>
      <c r="N810" s="97"/>
      <c r="O810" s="97"/>
      <c r="P810" s="97"/>
      <c r="Q810" s="97"/>
      <c r="R810" s="97"/>
      <c r="S810" s="97"/>
      <c r="T810" s="97"/>
      <c r="U810" s="97"/>
      <c r="V810" s="97"/>
      <c r="W810" s="97"/>
      <c r="X810" s="97"/>
      <c r="Y810" s="97"/>
      <c r="Z810" s="97"/>
    </row>
    <row r="811" spans="1:26">
      <c r="A811" s="116"/>
      <c r="D811" s="92"/>
      <c r="E811" s="112"/>
      <c r="F811" s="97"/>
      <c r="G811" s="97"/>
      <c r="H811" s="97"/>
      <c r="I811" s="97"/>
      <c r="J811" s="97"/>
      <c r="K811" s="97"/>
      <c r="L811" s="97"/>
      <c r="M811" s="97"/>
      <c r="N811" s="97"/>
      <c r="O811" s="97"/>
      <c r="P811" s="97"/>
      <c r="Q811" s="97"/>
      <c r="R811" s="97"/>
      <c r="S811" s="97"/>
      <c r="T811" s="97"/>
      <c r="U811" s="97"/>
      <c r="V811" s="97"/>
      <c r="W811" s="97"/>
      <c r="X811" s="97"/>
      <c r="Y811" s="97"/>
      <c r="Z811" s="97"/>
    </row>
    <row r="812" spans="1:26">
      <c r="A812" s="116"/>
      <c r="D812" s="92"/>
      <c r="E812" s="112"/>
      <c r="F812" s="97"/>
      <c r="G812" s="97"/>
      <c r="H812" s="97"/>
      <c r="I812" s="97"/>
      <c r="J812" s="97"/>
      <c r="K812" s="97"/>
      <c r="L812" s="97"/>
      <c r="M812" s="97"/>
      <c r="N812" s="97"/>
      <c r="O812" s="97"/>
      <c r="P812" s="97"/>
      <c r="Q812" s="97"/>
      <c r="R812" s="97"/>
      <c r="S812" s="97"/>
      <c r="T812" s="97"/>
      <c r="U812" s="97"/>
      <c r="V812" s="97"/>
      <c r="W812" s="97"/>
      <c r="X812" s="97"/>
      <c r="Y812" s="97"/>
      <c r="Z812" s="97"/>
    </row>
    <row r="813" spans="1:26">
      <c r="A813" s="116"/>
      <c r="D813" s="92"/>
      <c r="E813" s="112"/>
      <c r="F813" s="97"/>
      <c r="G813" s="97"/>
      <c r="H813" s="97"/>
      <c r="I813" s="97"/>
      <c r="J813" s="97"/>
      <c r="K813" s="97"/>
      <c r="L813" s="97"/>
      <c r="M813" s="97"/>
      <c r="N813" s="97"/>
      <c r="O813" s="97"/>
      <c r="P813" s="97"/>
      <c r="Q813" s="97"/>
      <c r="R813" s="97"/>
      <c r="S813" s="97"/>
      <c r="T813" s="97"/>
      <c r="U813" s="97"/>
      <c r="V813" s="97"/>
      <c r="W813" s="97"/>
      <c r="X813" s="97"/>
      <c r="Y813" s="97"/>
      <c r="Z813" s="97"/>
    </row>
    <row r="814" spans="1:26">
      <c r="A814" s="116"/>
      <c r="D814" s="92"/>
      <c r="E814" s="112"/>
      <c r="F814" s="97"/>
      <c r="G814" s="97"/>
      <c r="H814" s="97"/>
      <c r="I814" s="97"/>
      <c r="J814" s="97"/>
      <c r="K814" s="97"/>
      <c r="L814" s="97"/>
      <c r="M814" s="97"/>
      <c r="N814" s="97"/>
      <c r="O814" s="97"/>
      <c r="P814" s="97"/>
      <c r="Q814" s="97"/>
      <c r="R814" s="97"/>
      <c r="S814" s="97"/>
      <c r="T814" s="97"/>
      <c r="U814" s="97"/>
      <c r="V814" s="97"/>
      <c r="W814" s="97"/>
      <c r="X814" s="97"/>
      <c r="Y814" s="97"/>
      <c r="Z814" s="97"/>
    </row>
    <row r="815" spans="1:26">
      <c r="A815" s="116"/>
      <c r="D815" s="92"/>
      <c r="E815" s="112"/>
      <c r="F815" s="97"/>
      <c r="G815" s="97"/>
      <c r="H815" s="97"/>
      <c r="I815" s="97"/>
      <c r="J815" s="97"/>
      <c r="K815" s="97"/>
      <c r="L815" s="97"/>
      <c r="M815" s="97"/>
      <c r="N815" s="97"/>
      <c r="O815" s="97"/>
      <c r="P815" s="97"/>
      <c r="Q815" s="97"/>
      <c r="R815" s="97"/>
      <c r="S815" s="97"/>
      <c r="T815" s="97"/>
      <c r="U815" s="97"/>
      <c r="V815" s="97"/>
      <c r="W815" s="97"/>
      <c r="X815" s="97"/>
      <c r="Y815" s="97"/>
      <c r="Z815" s="97"/>
    </row>
    <row r="816" spans="1:26">
      <c r="A816" s="116"/>
      <c r="D816" s="92"/>
      <c r="E816" s="112"/>
      <c r="F816" s="97"/>
      <c r="G816" s="97"/>
      <c r="H816" s="97"/>
      <c r="I816" s="97"/>
      <c r="J816" s="97"/>
      <c r="K816" s="97"/>
      <c r="L816" s="97"/>
      <c r="M816" s="97"/>
      <c r="N816" s="97"/>
      <c r="O816" s="97"/>
      <c r="P816" s="97"/>
      <c r="Q816" s="97"/>
      <c r="R816" s="97"/>
      <c r="S816" s="97"/>
      <c r="T816" s="97"/>
      <c r="U816" s="97"/>
      <c r="V816" s="97"/>
      <c r="W816" s="97"/>
      <c r="X816" s="97"/>
      <c r="Y816" s="97"/>
      <c r="Z816" s="97"/>
    </row>
    <row r="817" spans="1:26">
      <c r="A817" s="116"/>
      <c r="D817" s="92"/>
      <c r="E817" s="112"/>
      <c r="F817" s="97"/>
      <c r="G817" s="97"/>
      <c r="H817" s="97"/>
      <c r="I817" s="97"/>
      <c r="J817" s="97"/>
      <c r="K817" s="97"/>
      <c r="L817" s="97"/>
      <c r="M817" s="97"/>
      <c r="N817" s="97"/>
      <c r="O817" s="97"/>
      <c r="P817" s="97"/>
      <c r="Q817" s="97"/>
      <c r="R817" s="97"/>
      <c r="S817" s="97"/>
      <c r="T817" s="97"/>
      <c r="U817" s="97"/>
      <c r="V817" s="97"/>
      <c r="W817" s="97"/>
      <c r="X817" s="97"/>
      <c r="Y817" s="97"/>
      <c r="Z817" s="97"/>
    </row>
    <row r="818" spans="1:26">
      <c r="A818" s="116"/>
      <c r="D818" s="92"/>
      <c r="E818" s="112"/>
      <c r="F818" s="97"/>
      <c r="G818" s="97"/>
      <c r="H818" s="97"/>
      <c r="I818" s="97"/>
      <c r="J818" s="97"/>
      <c r="K818" s="97"/>
      <c r="L818" s="97"/>
      <c r="M818" s="97"/>
      <c r="N818" s="97"/>
      <c r="O818" s="97"/>
      <c r="P818" s="97"/>
      <c r="Q818" s="97"/>
      <c r="R818" s="97"/>
      <c r="S818" s="97"/>
      <c r="T818" s="97"/>
      <c r="U818" s="97"/>
      <c r="V818" s="97"/>
      <c r="W818" s="97"/>
      <c r="X818" s="97"/>
      <c r="Y818" s="97"/>
      <c r="Z818" s="97"/>
    </row>
    <row r="819" spans="1:26">
      <c r="A819" s="116"/>
      <c r="D819" s="92"/>
      <c r="E819" s="112"/>
      <c r="F819" s="97"/>
      <c r="G819" s="97"/>
      <c r="H819" s="97"/>
      <c r="I819" s="97"/>
      <c r="J819" s="97"/>
      <c r="K819" s="97"/>
      <c r="L819" s="97"/>
      <c r="M819" s="97"/>
      <c r="N819" s="97"/>
      <c r="O819" s="97"/>
      <c r="P819" s="97"/>
      <c r="Q819" s="97"/>
      <c r="R819" s="97"/>
      <c r="S819" s="97"/>
      <c r="T819" s="97"/>
      <c r="U819" s="97"/>
      <c r="V819" s="97"/>
      <c r="W819" s="97"/>
      <c r="X819" s="97"/>
      <c r="Y819" s="97"/>
      <c r="Z819" s="97"/>
    </row>
    <row r="820" spans="1:26">
      <c r="A820" s="116"/>
      <c r="D820" s="92"/>
      <c r="E820" s="112"/>
      <c r="F820" s="97"/>
      <c r="G820" s="97"/>
      <c r="H820" s="97"/>
      <c r="I820" s="97"/>
      <c r="J820" s="97"/>
      <c r="K820" s="97"/>
      <c r="L820" s="97"/>
      <c r="M820" s="97"/>
      <c r="N820" s="97"/>
      <c r="O820" s="97"/>
      <c r="P820" s="97"/>
      <c r="Q820" s="97"/>
      <c r="R820" s="97"/>
      <c r="S820" s="97"/>
      <c r="T820" s="97"/>
      <c r="U820" s="97"/>
      <c r="V820" s="97"/>
      <c r="W820" s="97"/>
      <c r="X820" s="97"/>
      <c r="Y820" s="97"/>
      <c r="Z820" s="97"/>
    </row>
    <row r="821" spans="1:26">
      <c r="A821" s="116"/>
      <c r="D821" s="92"/>
      <c r="E821" s="112"/>
      <c r="F821" s="97"/>
      <c r="G821" s="97"/>
      <c r="H821" s="97"/>
      <c r="I821" s="97"/>
      <c r="J821" s="97"/>
      <c r="K821" s="97"/>
      <c r="L821" s="97"/>
      <c r="M821" s="97"/>
      <c r="N821" s="97"/>
      <c r="O821" s="97"/>
      <c r="P821" s="97"/>
      <c r="Q821" s="97"/>
      <c r="R821" s="97"/>
      <c r="S821" s="97"/>
      <c r="T821" s="97"/>
      <c r="U821" s="97"/>
      <c r="V821" s="97"/>
      <c r="W821" s="97"/>
      <c r="X821" s="97"/>
      <c r="Y821" s="97"/>
      <c r="Z821" s="97"/>
    </row>
    <row r="822" spans="1:26">
      <c r="A822" s="116"/>
      <c r="D822" s="92"/>
      <c r="E822" s="112"/>
      <c r="F822" s="97"/>
      <c r="G822" s="97"/>
      <c r="H822" s="97"/>
      <c r="I822" s="97"/>
      <c r="J822" s="97"/>
      <c r="K822" s="97"/>
      <c r="L822" s="97"/>
      <c r="M822" s="97"/>
      <c r="N822" s="97"/>
      <c r="O822" s="97"/>
      <c r="P822" s="97"/>
      <c r="Q822" s="97"/>
      <c r="R822" s="97"/>
      <c r="S822" s="97"/>
      <c r="T822" s="97"/>
      <c r="U822" s="97"/>
      <c r="V822" s="97"/>
      <c r="W822" s="97"/>
      <c r="X822" s="97"/>
      <c r="Y822" s="97"/>
      <c r="Z822" s="97"/>
    </row>
    <row r="823" spans="1:26">
      <c r="A823" s="116"/>
      <c r="D823" s="92"/>
      <c r="E823" s="112"/>
      <c r="F823" s="97"/>
      <c r="G823" s="97"/>
      <c r="H823" s="97"/>
      <c r="I823" s="97"/>
      <c r="J823" s="97"/>
      <c r="K823" s="97"/>
      <c r="L823" s="97"/>
      <c r="M823" s="97"/>
      <c r="N823" s="97"/>
      <c r="O823" s="97"/>
      <c r="P823" s="97"/>
      <c r="Q823" s="97"/>
      <c r="R823" s="97"/>
      <c r="S823" s="97"/>
      <c r="T823" s="97"/>
      <c r="U823" s="97"/>
      <c r="V823" s="97"/>
      <c r="W823" s="97"/>
      <c r="X823" s="97"/>
      <c r="Y823" s="97"/>
      <c r="Z823" s="97"/>
    </row>
    <row r="824" spans="1:26">
      <c r="A824" s="116"/>
      <c r="D824" s="92"/>
      <c r="E824" s="112"/>
      <c r="F824" s="97"/>
      <c r="G824" s="97"/>
      <c r="H824" s="97"/>
      <c r="I824" s="97"/>
      <c r="J824" s="97"/>
      <c r="K824" s="97"/>
      <c r="L824" s="97"/>
      <c r="M824" s="97"/>
      <c r="N824" s="97"/>
      <c r="O824" s="97"/>
      <c r="P824" s="97"/>
      <c r="Q824" s="97"/>
      <c r="R824" s="97"/>
      <c r="S824" s="97"/>
      <c r="T824" s="97"/>
      <c r="U824" s="97"/>
      <c r="V824" s="97"/>
      <c r="W824" s="97"/>
      <c r="X824" s="97"/>
      <c r="Y824" s="97"/>
      <c r="Z824" s="97"/>
    </row>
    <row r="825" spans="1:26">
      <c r="A825" s="116"/>
      <c r="D825" s="92"/>
      <c r="E825" s="112"/>
      <c r="F825" s="97"/>
      <c r="G825" s="97"/>
      <c r="H825" s="97"/>
      <c r="I825" s="97"/>
      <c r="J825" s="97"/>
      <c r="K825" s="97"/>
      <c r="L825" s="97"/>
      <c r="M825" s="97"/>
      <c r="N825" s="97"/>
      <c r="O825" s="97"/>
      <c r="P825" s="97"/>
      <c r="Q825" s="97"/>
      <c r="R825" s="97"/>
      <c r="S825" s="97"/>
      <c r="T825" s="97"/>
      <c r="U825" s="97"/>
      <c r="V825" s="97"/>
      <c r="W825" s="97"/>
      <c r="X825" s="97"/>
      <c r="Y825" s="97"/>
      <c r="Z825" s="97"/>
    </row>
    <row r="826" spans="1:26">
      <c r="A826" s="116"/>
      <c r="D826" s="92"/>
      <c r="E826" s="112"/>
      <c r="F826" s="97"/>
      <c r="G826" s="97"/>
      <c r="H826" s="97"/>
      <c r="I826" s="97"/>
      <c r="J826" s="97"/>
      <c r="K826" s="97"/>
      <c r="L826" s="97"/>
      <c r="M826" s="97"/>
      <c r="N826" s="97"/>
      <c r="O826" s="97"/>
      <c r="P826" s="97"/>
      <c r="Q826" s="97"/>
      <c r="R826" s="97"/>
      <c r="S826" s="97"/>
      <c r="T826" s="97"/>
      <c r="U826" s="97"/>
      <c r="V826" s="97"/>
      <c r="W826" s="97"/>
      <c r="X826" s="97"/>
      <c r="Y826" s="97"/>
      <c r="Z826" s="97"/>
    </row>
    <row r="827" spans="1:26">
      <c r="A827" s="116"/>
      <c r="D827" s="92"/>
      <c r="E827" s="112"/>
      <c r="F827" s="97"/>
      <c r="G827" s="97"/>
      <c r="H827" s="97"/>
      <c r="I827" s="97"/>
      <c r="J827" s="97"/>
      <c r="K827" s="97"/>
      <c r="L827" s="97"/>
      <c r="M827" s="97"/>
      <c r="N827" s="97"/>
      <c r="O827" s="97"/>
      <c r="P827" s="97"/>
      <c r="Q827" s="97"/>
      <c r="R827" s="97"/>
      <c r="S827" s="97"/>
      <c r="T827" s="97"/>
      <c r="U827" s="97"/>
      <c r="V827" s="97"/>
      <c r="W827" s="97"/>
      <c r="X827" s="97"/>
      <c r="Y827" s="97"/>
      <c r="Z827" s="97"/>
    </row>
    <row r="828" spans="1:26">
      <c r="A828" s="116"/>
      <c r="D828" s="92"/>
      <c r="E828" s="112"/>
      <c r="F828" s="97"/>
      <c r="G828" s="97"/>
      <c r="H828" s="97"/>
      <c r="I828" s="97"/>
      <c r="J828" s="97"/>
      <c r="K828" s="97"/>
      <c r="L828" s="97"/>
      <c r="M828" s="97"/>
      <c r="N828" s="97"/>
      <c r="O828" s="97"/>
      <c r="P828" s="97"/>
      <c r="Q828" s="97"/>
      <c r="R828" s="97"/>
      <c r="S828" s="97"/>
      <c r="T828" s="97"/>
      <c r="U828" s="97"/>
      <c r="V828" s="97"/>
      <c r="W828" s="97"/>
      <c r="X828" s="97"/>
      <c r="Y828" s="97"/>
      <c r="Z828" s="97"/>
    </row>
    <row r="829" spans="1:26">
      <c r="A829" s="116"/>
      <c r="D829" s="92"/>
      <c r="E829" s="112"/>
      <c r="F829" s="97"/>
      <c r="G829" s="97"/>
      <c r="H829" s="97"/>
      <c r="I829" s="97"/>
      <c r="J829" s="97"/>
      <c r="K829" s="97"/>
      <c r="L829" s="97"/>
      <c r="M829" s="97"/>
      <c r="N829" s="97"/>
      <c r="O829" s="97"/>
      <c r="P829" s="97"/>
      <c r="Q829" s="97"/>
      <c r="R829" s="97"/>
      <c r="S829" s="97"/>
      <c r="T829" s="97"/>
      <c r="U829" s="97"/>
      <c r="V829" s="97"/>
      <c r="W829" s="97"/>
      <c r="X829" s="97"/>
      <c r="Y829" s="97"/>
      <c r="Z829" s="97"/>
    </row>
    <row r="830" spans="1:26">
      <c r="A830" s="116"/>
      <c r="D830" s="92"/>
      <c r="E830" s="112"/>
      <c r="F830" s="97"/>
      <c r="G830" s="97"/>
      <c r="H830" s="97"/>
      <c r="I830" s="97"/>
      <c r="J830" s="97"/>
      <c r="K830" s="97"/>
      <c r="L830" s="97"/>
      <c r="M830" s="97"/>
      <c r="N830" s="97"/>
      <c r="O830" s="97"/>
      <c r="P830" s="97"/>
      <c r="Q830" s="97"/>
      <c r="R830" s="97"/>
      <c r="S830" s="97"/>
      <c r="T830" s="97"/>
      <c r="U830" s="97"/>
      <c r="V830" s="97"/>
      <c r="W830" s="97"/>
      <c r="X830" s="97"/>
      <c r="Y830" s="97"/>
      <c r="Z830" s="97"/>
    </row>
    <row r="831" spans="1:26">
      <c r="A831" s="116"/>
      <c r="D831" s="92"/>
      <c r="E831" s="112"/>
      <c r="F831" s="97"/>
      <c r="G831" s="97"/>
      <c r="H831" s="97"/>
      <c r="I831" s="97"/>
      <c r="J831" s="97"/>
      <c r="K831" s="97"/>
      <c r="L831" s="97"/>
      <c r="M831" s="97"/>
      <c r="N831" s="97"/>
      <c r="O831" s="97"/>
      <c r="P831" s="97"/>
      <c r="Q831" s="97"/>
      <c r="R831" s="97"/>
      <c r="S831" s="97"/>
      <c r="T831" s="97"/>
      <c r="U831" s="97"/>
      <c r="V831" s="97"/>
      <c r="W831" s="97"/>
      <c r="X831" s="97"/>
      <c r="Y831" s="97"/>
      <c r="Z831" s="97"/>
    </row>
    <row r="832" spans="1:26">
      <c r="A832" s="116"/>
      <c r="D832" s="92"/>
      <c r="E832" s="112"/>
      <c r="F832" s="97"/>
      <c r="G832" s="97"/>
      <c r="H832" s="97"/>
      <c r="I832" s="97"/>
      <c r="J832" s="97"/>
      <c r="K832" s="97"/>
      <c r="L832" s="97"/>
      <c r="M832" s="97"/>
      <c r="N832" s="97"/>
      <c r="O832" s="97"/>
      <c r="P832" s="97"/>
      <c r="Q832" s="97"/>
      <c r="R832" s="97"/>
      <c r="S832" s="97"/>
      <c r="T832" s="97"/>
      <c r="U832" s="97"/>
      <c r="V832" s="97"/>
      <c r="W832" s="97"/>
      <c r="X832" s="97"/>
      <c r="Y832" s="97"/>
      <c r="Z832" s="97"/>
    </row>
    <row r="833" spans="1:26">
      <c r="A833" s="116"/>
      <c r="D833" s="92"/>
      <c r="E833" s="112"/>
      <c r="F833" s="97"/>
      <c r="G833" s="97"/>
      <c r="H833" s="97"/>
      <c r="I833" s="97"/>
      <c r="J833" s="97"/>
      <c r="K833" s="97"/>
      <c r="L833" s="97"/>
      <c r="M833" s="97"/>
      <c r="N833" s="97"/>
      <c r="O833" s="97"/>
      <c r="P833" s="97"/>
      <c r="Q833" s="97"/>
      <c r="R833" s="97"/>
      <c r="S833" s="97"/>
      <c r="T833" s="97"/>
      <c r="U833" s="97"/>
      <c r="V833" s="97"/>
      <c r="W833" s="97"/>
      <c r="X833" s="97"/>
      <c r="Y833" s="97"/>
      <c r="Z833" s="97"/>
    </row>
    <row r="834" spans="1:26">
      <c r="A834" s="116"/>
      <c r="D834" s="92"/>
      <c r="E834" s="112"/>
      <c r="F834" s="97"/>
      <c r="G834" s="97"/>
      <c r="H834" s="97"/>
      <c r="I834" s="97"/>
      <c r="J834" s="97"/>
      <c r="K834" s="97"/>
      <c r="L834" s="97"/>
      <c r="M834" s="97"/>
      <c r="N834" s="97"/>
      <c r="O834" s="97"/>
      <c r="P834" s="97"/>
      <c r="Q834" s="97"/>
      <c r="R834" s="97"/>
      <c r="S834" s="97"/>
      <c r="T834" s="97"/>
      <c r="U834" s="97"/>
      <c r="V834" s="97"/>
      <c r="W834" s="97"/>
      <c r="X834" s="97"/>
      <c r="Y834" s="97"/>
      <c r="Z834" s="97"/>
    </row>
    <row r="835" spans="1:26">
      <c r="A835" s="116"/>
      <c r="D835" s="92"/>
      <c r="E835" s="112"/>
      <c r="F835" s="97"/>
      <c r="G835" s="97"/>
      <c r="H835" s="97"/>
      <c r="I835" s="97"/>
      <c r="J835" s="97"/>
      <c r="K835" s="97"/>
      <c r="L835" s="97"/>
      <c r="M835" s="97"/>
      <c r="N835" s="97"/>
      <c r="O835" s="97"/>
      <c r="P835" s="97"/>
      <c r="Q835" s="97"/>
      <c r="R835" s="97"/>
      <c r="S835" s="97"/>
      <c r="T835" s="97"/>
      <c r="U835" s="97"/>
      <c r="V835" s="97"/>
      <c r="W835" s="97"/>
      <c r="X835" s="97"/>
      <c r="Y835" s="97"/>
      <c r="Z835" s="97"/>
    </row>
    <row r="836" spans="1:26">
      <c r="A836" s="116"/>
      <c r="D836" s="92"/>
      <c r="E836" s="112"/>
      <c r="F836" s="97"/>
      <c r="G836" s="97"/>
      <c r="H836" s="97"/>
      <c r="I836" s="97"/>
      <c r="J836" s="97"/>
      <c r="K836" s="97"/>
      <c r="L836" s="97"/>
      <c r="M836" s="97"/>
      <c r="N836" s="97"/>
      <c r="O836" s="97"/>
      <c r="P836" s="97"/>
      <c r="Q836" s="97"/>
      <c r="R836" s="97"/>
      <c r="S836" s="97"/>
      <c r="T836" s="97"/>
      <c r="U836" s="97"/>
      <c r="V836" s="97"/>
      <c r="W836" s="97"/>
      <c r="X836" s="97"/>
      <c r="Y836" s="97"/>
      <c r="Z836" s="97"/>
    </row>
    <row r="837" spans="1:26">
      <c r="A837" s="116"/>
      <c r="D837" s="92"/>
      <c r="E837" s="112"/>
      <c r="F837" s="97"/>
      <c r="G837" s="97"/>
      <c r="H837" s="97"/>
      <c r="I837" s="97"/>
      <c r="J837" s="97"/>
      <c r="K837" s="97"/>
      <c r="L837" s="97"/>
      <c r="M837" s="97"/>
      <c r="N837" s="97"/>
      <c r="O837" s="97"/>
      <c r="P837" s="97"/>
      <c r="Q837" s="97"/>
      <c r="R837" s="97"/>
      <c r="S837" s="97"/>
      <c r="T837" s="97"/>
      <c r="U837" s="97"/>
      <c r="V837" s="97"/>
      <c r="W837" s="97"/>
      <c r="X837" s="97"/>
      <c r="Y837" s="97"/>
      <c r="Z837" s="97"/>
    </row>
    <row r="838" spans="1:26">
      <c r="A838" s="116"/>
      <c r="D838" s="92"/>
      <c r="E838" s="112"/>
      <c r="F838" s="97"/>
      <c r="G838" s="97"/>
      <c r="H838" s="97"/>
      <c r="I838" s="97"/>
      <c r="J838" s="97"/>
      <c r="K838" s="97"/>
      <c r="L838" s="97"/>
      <c r="M838" s="97"/>
      <c r="N838" s="97"/>
      <c r="O838" s="97"/>
      <c r="P838" s="97"/>
      <c r="Q838" s="97"/>
      <c r="R838" s="97"/>
      <c r="S838" s="97"/>
      <c r="T838" s="97"/>
      <c r="U838" s="97"/>
      <c r="V838" s="97"/>
      <c r="W838" s="97"/>
      <c r="X838" s="97"/>
      <c r="Y838" s="97"/>
      <c r="Z838" s="97"/>
    </row>
    <row r="839" spans="1:26">
      <c r="A839" s="116"/>
      <c r="D839" s="92"/>
      <c r="E839" s="112"/>
      <c r="F839" s="97"/>
      <c r="G839" s="97"/>
      <c r="H839" s="97"/>
      <c r="I839" s="97"/>
      <c r="J839" s="97"/>
      <c r="K839" s="97"/>
      <c r="L839" s="97"/>
      <c r="M839" s="97"/>
      <c r="N839" s="97"/>
      <c r="O839" s="97"/>
      <c r="P839" s="97"/>
      <c r="Q839" s="97"/>
      <c r="R839" s="97"/>
      <c r="S839" s="97"/>
      <c r="T839" s="97"/>
      <c r="U839" s="97"/>
      <c r="V839" s="97"/>
      <c r="W839" s="97"/>
      <c r="X839" s="97"/>
      <c r="Y839" s="97"/>
      <c r="Z839" s="97"/>
    </row>
    <row r="840" spans="1:26">
      <c r="A840" s="116"/>
      <c r="D840" s="92"/>
      <c r="E840" s="112"/>
      <c r="F840" s="97"/>
      <c r="G840" s="97"/>
      <c r="H840" s="97"/>
      <c r="I840" s="97"/>
      <c r="J840" s="97"/>
      <c r="K840" s="97"/>
      <c r="L840" s="97"/>
      <c r="M840" s="97"/>
      <c r="N840" s="97"/>
      <c r="O840" s="97"/>
      <c r="P840" s="97"/>
      <c r="Q840" s="97"/>
      <c r="R840" s="97"/>
      <c r="S840" s="97"/>
      <c r="T840" s="97"/>
      <c r="U840" s="97"/>
      <c r="V840" s="97"/>
      <c r="W840" s="97"/>
      <c r="X840" s="97"/>
      <c r="Y840" s="97"/>
      <c r="Z840" s="97"/>
    </row>
    <row r="841" spans="1:26">
      <c r="A841" s="116"/>
      <c r="D841" s="92"/>
      <c r="E841" s="112"/>
      <c r="F841" s="97"/>
      <c r="G841" s="97"/>
      <c r="H841" s="97"/>
      <c r="I841" s="97"/>
      <c r="J841" s="97"/>
      <c r="K841" s="97"/>
      <c r="L841" s="97"/>
      <c r="M841" s="97"/>
      <c r="N841" s="97"/>
      <c r="O841" s="97"/>
      <c r="P841" s="97"/>
      <c r="Q841" s="97"/>
      <c r="R841" s="97"/>
      <c r="S841" s="97"/>
      <c r="T841" s="97"/>
      <c r="U841" s="97"/>
      <c r="V841" s="97"/>
      <c r="W841" s="97"/>
      <c r="X841" s="97"/>
      <c r="Y841" s="97"/>
      <c r="Z841" s="97"/>
    </row>
    <row r="842" spans="1:26">
      <c r="A842" s="116"/>
      <c r="D842" s="92"/>
      <c r="E842" s="112"/>
      <c r="F842" s="97"/>
      <c r="G842" s="97"/>
      <c r="H842" s="97"/>
      <c r="I842" s="97"/>
      <c r="J842" s="97"/>
      <c r="K842" s="97"/>
      <c r="L842" s="97"/>
      <c r="M842" s="97"/>
      <c r="N842" s="97"/>
      <c r="O842" s="97"/>
      <c r="P842" s="97"/>
      <c r="Q842" s="97"/>
      <c r="R842" s="97"/>
      <c r="S842" s="97"/>
      <c r="T842" s="97"/>
      <c r="U842" s="97"/>
      <c r="V842" s="97"/>
      <c r="W842" s="97"/>
      <c r="X842" s="97"/>
      <c r="Y842" s="97"/>
      <c r="Z842" s="97"/>
    </row>
    <row r="843" spans="1:26">
      <c r="A843" s="116"/>
      <c r="D843" s="92"/>
      <c r="E843" s="112"/>
      <c r="F843" s="97"/>
      <c r="G843" s="97"/>
      <c r="H843" s="97"/>
      <c r="I843" s="97"/>
      <c r="J843" s="97"/>
      <c r="K843" s="97"/>
      <c r="L843" s="97"/>
      <c r="M843" s="97"/>
      <c r="N843" s="97"/>
      <c r="O843" s="97"/>
      <c r="P843" s="97"/>
      <c r="Q843" s="97"/>
      <c r="R843" s="97"/>
      <c r="S843" s="97"/>
      <c r="T843" s="97"/>
      <c r="U843" s="97"/>
      <c r="V843" s="97"/>
      <c r="W843" s="97"/>
      <c r="X843" s="97"/>
      <c r="Y843" s="97"/>
      <c r="Z843" s="97"/>
    </row>
    <row r="844" spans="1:26">
      <c r="A844" s="116"/>
      <c r="D844" s="92"/>
      <c r="E844" s="112"/>
      <c r="F844" s="97"/>
      <c r="G844" s="97"/>
      <c r="H844" s="97"/>
      <c r="I844" s="97"/>
      <c r="J844" s="97"/>
      <c r="K844" s="97"/>
      <c r="L844" s="97"/>
      <c r="M844" s="97"/>
      <c r="N844" s="97"/>
      <c r="O844" s="97"/>
      <c r="P844" s="97"/>
      <c r="Q844" s="97"/>
      <c r="R844" s="97"/>
      <c r="S844" s="97"/>
      <c r="T844" s="97"/>
      <c r="U844" s="97"/>
      <c r="V844" s="97"/>
      <c r="W844" s="97"/>
      <c r="X844" s="97"/>
      <c r="Y844" s="97"/>
      <c r="Z844" s="97"/>
    </row>
    <row r="845" spans="1:26">
      <c r="A845" s="116"/>
      <c r="D845" s="92"/>
      <c r="E845" s="112"/>
      <c r="F845" s="97"/>
      <c r="G845" s="97"/>
      <c r="H845" s="97"/>
      <c r="I845" s="97"/>
      <c r="J845" s="97"/>
      <c r="K845" s="97"/>
      <c r="L845" s="97"/>
      <c r="M845" s="97"/>
      <c r="N845" s="97"/>
      <c r="O845" s="97"/>
      <c r="P845" s="97"/>
      <c r="Q845" s="97"/>
      <c r="R845" s="97"/>
      <c r="S845" s="97"/>
      <c r="T845" s="97"/>
      <c r="U845" s="97"/>
      <c r="V845" s="97"/>
      <c r="W845" s="97"/>
      <c r="X845" s="97"/>
      <c r="Y845" s="97"/>
      <c r="Z845" s="97"/>
    </row>
    <row r="846" spans="1:26">
      <c r="A846" s="116"/>
      <c r="D846" s="92"/>
      <c r="E846" s="112"/>
      <c r="F846" s="97"/>
      <c r="G846" s="97"/>
      <c r="H846" s="97"/>
      <c r="I846" s="97"/>
      <c r="J846" s="97"/>
      <c r="K846" s="97"/>
      <c r="L846" s="97"/>
      <c r="M846" s="97"/>
      <c r="N846" s="97"/>
      <c r="O846" s="97"/>
      <c r="P846" s="97"/>
      <c r="Q846" s="97"/>
      <c r="R846" s="97"/>
      <c r="S846" s="97"/>
      <c r="T846" s="97"/>
      <c r="U846" s="97"/>
      <c r="V846" s="97"/>
      <c r="W846" s="97"/>
      <c r="X846" s="97"/>
      <c r="Y846" s="97"/>
      <c r="Z846" s="97"/>
    </row>
    <row r="847" spans="1:26">
      <c r="A847" s="116"/>
      <c r="D847" s="92"/>
      <c r="E847" s="112"/>
      <c r="F847" s="97"/>
      <c r="G847" s="97"/>
      <c r="H847" s="97"/>
      <c r="I847" s="97"/>
      <c r="J847" s="97"/>
      <c r="K847" s="97"/>
      <c r="L847" s="97"/>
      <c r="M847" s="97"/>
      <c r="N847" s="97"/>
      <c r="O847" s="97"/>
      <c r="P847" s="97"/>
      <c r="Q847" s="97"/>
      <c r="R847" s="97"/>
      <c r="S847" s="97"/>
      <c r="T847" s="97"/>
      <c r="U847" s="97"/>
      <c r="V847" s="97"/>
      <c r="W847" s="97"/>
      <c r="X847" s="97"/>
      <c r="Y847" s="97"/>
      <c r="Z847" s="97"/>
    </row>
    <row r="848" spans="1:26">
      <c r="A848" s="116"/>
      <c r="D848" s="92"/>
      <c r="E848" s="112"/>
      <c r="F848" s="97"/>
      <c r="G848" s="97"/>
      <c r="H848" s="97"/>
      <c r="I848" s="97"/>
      <c r="J848" s="97"/>
      <c r="K848" s="97"/>
      <c r="L848" s="97"/>
      <c r="M848" s="97"/>
      <c r="N848" s="97"/>
      <c r="O848" s="97"/>
      <c r="P848" s="97"/>
      <c r="Q848" s="97"/>
      <c r="R848" s="97"/>
      <c r="S848" s="97"/>
      <c r="T848" s="97"/>
      <c r="U848" s="97"/>
      <c r="V848" s="97"/>
      <c r="W848" s="97"/>
      <c r="X848" s="97"/>
      <c r="Y848" s="97"/>
      <c r="Z848" s="97"/>
    </row>
    <row r="849" spans="1:26">
      <c r="A849" s="116"/>
      <c r="D849" s="92"/>
      <c r="E849" s="112"/>
      <c r="F849" s="97"/>
      <c r="G849" s="97"/>
      <c r="H849" s="97"/>
      <c r="I849" s="97"/>
      <c r="J849" s="97"/>
      <c r="K849" s="97"/>
      <c r="L849" s="97"/>
      <c r="M849" s="97"/>
      <c r="N849" s="97"/>
      <c r="O849" s="97"/>
      <c r="P849" s="97"/>
      <c r="Q849" s="97"/>
      <c r="R849" s="97"/>
      <c r="S849" s="97"/>
      <c r="T849" s="97"/>
      <c r="U849" s="97"/>
      <c r="V849" s="97"/>
      <c r="W849" s="97"/>
      <c r="X849" s="97"/>
      <c r="Y849" s="97"/>
      <c r="Z849" s="97"/>
    </row>
    <row r="850" spans="1:26">
      <c r="A850" s="116"/>
      <c r="D850" s="92"/>
      <c r="E850" s="112"/>
      <c r="F850" s="97"/>
      <c r="G850" s="97"/>
      <c r="H850" s="97"/>
      <c r="I850" s="97"/>
      <c r="J850" s="97"/>
      <c r="K850" s="97"/>
      <c r="L850" s="97"/>
      <c r="M850" s="97"/>
      <c r="N850" s="97"/>
      <c r="O850" s="97"/>
      <c r="P850" s="97"/>
      <c r="Q850" s="97"/>
      <c r="R850" s="97"/>
      <c r="S850" s="97"/>
      <c r="T850" s="97"/>
      <c r="U850" s="97"/>
      <c r="V850" s="97"/>
      <c r="W850" s="97"/>
      <c r="X850" s="97"/>
      <c r="Y850" s="97"/>
      <c r="Z850" s="97"/>
    </row>
    <row r="851" spans="1:26">
      <c r="A851" s="116"/>
      <c r="D851" s="92"/>
      <c r="E851" s="112"/>
      <c r="F851" s="97"/>
      <c r="G851" s="97"/>
      <c r="H851" s="97"/>
      <c r="I851" s="97"/>
      <c r="J851" s="97"/>
      <c r="K851" s="97"/>
      <c r="L851" s="97"/>
      <c r="M851" s="97"/>
      <c r="N851" s="97"/>
      <c r="O851" s="97"/>
      <c r="P851" s="97"/>
      <c r="Q851" s="97"/>
      <c r="R851" s="97"/>
      <c r="S851" s="97"/>
      <c r="T851" s="97"/>
      <c r="U851" s="97"/>
      <c r="V851" s="97"/>
      <c r="W851" s="97"/>
      <c r="X851" s="97"/>
      <c r="Y851" s="97"/>
      <c r="Z851" s="97"/>
    </row>
    <row r="852" spans="1:26">
      <c r="A852" s="116"/>
      <c r="D852" s="92"/>
      <c r="E852" s="112"/>
      <c r="F852" s="97"/>
      <c r="G852" s="97"/>
      <c r="H852" s="97"/>
      <c r="I852" s="97"/>
      <c r="J852" s="97"/>
      <c r="K852" s="97"/>
      <c r="L852" s="97"/>
      <c r="M852" s="97"/>
      <c r="N852" s="97"/>
      <c r="O852" s="97"/>
      <c r="P852" s="97"/>
      <c r="Q852" s="97"/>
      <c r="R852" s="97"/>
      <c r="S852" s="97"/>
      <c r="T852" s="97"/>
      <c r="U852" s="97"/>
      <c r="V852" s="97"/>
      <c r="W852" s="97"/>
      <c r="X852" s="97"/>
      <c r="Y852" s="97"/>
      <c r="Z852" s="97"/>
    </row>
    <row r="853" spans="1:26">
      <c r="A853" s="116"/>
      <c r="D853" s="92"/>
      <c r="E853" s="112"/>
      <c r="F853" s="97"/>
      <c r="G853" s="97"/>
      <c r="H853" s="97"/>
      <c r="I853" s="97"/>
      <c r="J853" s="97"/>
      <c r="K853" s="97"/>
      <c r="L853" s="97"/>
      <c r="M853" s="97"/>
      <c r="N853" s="97"/>
      <c r="O853" s="97"/>
      <c r="P853" s="97"/>
      <c r="Q853" s="97"/>
      <c r="R853" s="97"/>
      <c r="S853" s="97"/>
      <c r="T853" s="97"/>
      <c r="U853" s="97"/>
      <c r="V853" s="97"/>
      <c r="W853" s="97"/>
      <c r="X853" s="97"/>
      <c r="Y853" s="97"/>
      <c r="Z853" s="97"/>
    </row>
    <row r="854" spans="1:26">
      <c r="A854" s="116"/>
      <c r="D854" s="92"/>
      <c r="E854" s="112"/>
      <c r="F854" s="97"/>
      <c r="G854" s="97"/>
      <c r="H854" s="97"/>
      <c r="I854" s="97"/>
      <c r="J854" s="97"/>
      <c r="K854" s="97"/>
      <c r="L854" s="97"/>
      <c r="M854" s="97"/>
      <c r="N854" s="97"/>
      <c r="O854" s="97"/>
      <c r="P854" s="97"/>
      <c r="Q854" s="97"/>
      <c r="R854" s="97"/>
      <c r="S854" s="97"/>
      <c r="T854" s="97"/>
      <c r="U854" s="97"/>
      <c r="V854" s="97"/>
      <c r="W854" s="97"/>
      <c r="X854" s="97"/>
      <c r="Y854" s="97"/>
      <c r="Z854" s="97"/>
    </row>
    <row r="855" spans="1:26">
      <c r="A855" s="116"/>
      <c r="D855" s="92"/>
      <c r="E855" s="112"/>
      <c r="F855" s="97"/>
      <c r="G855" s="97"/>
      <c r="H855" s="97"/>
      <c r="I855" s="97"/>
      <c r="J855" s="97"/>
      <c r="K855" s="97"/>
      <c r="L855" s="97"/>
      <c r="M855" s="97"/>
      <c r="N855" s="97"/>
      <c r="O855" s="97"/>
      <c r="P855" s="97"/>
      <c r="Q855" s="97"/>
      <c r="R855" s="97"/>
      <c r="S855" s="97"/>
      <c r="T855" s="97"/>
      <c r="U855" s="97"/>
      <c r="V855" s="97"/>
      <c r="W855" s="97"/>
      <c r="X855" s="97"/>
      <c r="Y855" s="97"/>
      <c r="Z855" s="97"/>
    </row>
    <row r="856" spans="1:26">
      <c r="A856" s="116"/>
      <c r="D856" s="92"/>
      <c r="E856" s="112"/>
      <c r="F856" s="97"/>
      <c r="G856" s="97"/>
      <c r="H856" s="97"/>
      <c r="I856" s="97"/>
      <c r="J856" s="97"/>
      <c r="K856" s="97"/>
      <c r="L856" s="97"/>
      <c r="M856" s="97"/>
      <c r="N856" s="97"/>
      <c r="O856" s="97"/>
      <c r="P856" s="97"/>
      <c r="Q856" s="97"/>
      <c r="R856" s="97"/>
      <c r="S856" s="97"/>
      <c r="T856" s="97"/>
      <c r="U856" s="97"/>
      <c r="V856" s="97"/>
      <c r="W856" s="97"/>
      <c r="X856" s="97"/>
      <c r="Y856" s="97"/>
      <c r="Z856" s="97"/>
    </row>
    <row r="857" spans="1:26">
      <c r="A857" s="116"/>
      <c r="D857" s="92"/>
      <c r="E857" s="112"/>
      <c r="F857" s="97"/>
      <c r="G857" s="97"/>
      <c r="H857" s="97"/>
      <c r="I857" s="97"/>
      <c r="J857" s="97"/>
      <c r="K857" s="97"/>
      <c r="L857" s="97"/>
      <c r="M857" s="97"/>
      <c r="N857" s="97"/>
      <c r="O857" s="97"/>
      <c r="P857" s="97"/>
      <c r="Q857" s="97"/>
      <c r="R857" s="97"/>
      <c r="S857" s="97"/>
      <c r="T857" s="97"/>
      <c r="U857" s="97"/>
      <c r="V857" s="97"/>
      <c r="W857" s="97"/>
      <c r="X857" s="97"/>
      <c r="Y857" s="97"/>
      <c r="Z857" s="97"/>
    </row>
    <row r="858" spans="1:26">
      <c r="A858" s="116"/>
      <c r="D858" s="92"/>
      <c r="E858" s="112"/>
      <c r="F858" s="97"/>
      <c r="G858" s="97"/>
      <c r="H858" s="97"/>
      <c r="I858" s="97"/>
      <c r="J858" s="97"/>
      <c r="K858" s="97"/>
      <c r="L858" s="97"/>
      <c r="M858" s="97"/>
      <c r="N858" s="97"/>
      <c r="O858" s="97"/>
      <c r="P858" s="97"/>
      <c r="Q858" s="97"/>
      <c r="R858" s="97"/>
      <c r="S858" s="97"/>
      <c r="T858" s="97"/>
      <c r="U858" s="97"/>
      <c r="V858" s="97"/>
      <c r="W858" s="97"/>
      <c r="X858" s="97"/>
      <c r="Y858" s="97"/>
      <c r="Z858" s="97"/>
    </row>
    <row r="859" spans="1:26">
      <c r="A859" s="116"/>
      <c r="D859" s="92"/>
      <c r="E859" s="112"/>
      <c r="F859" s="97"/>
      <c r="G859" s="97"/>
      <c r="H859" s="97"/>
      <c r="I859" s="97"/>
      <c r="J859" s="97"/>
      <c r="K859" s="97"/>
      <c r="L859" s="97"/>
      <c r="M859" s="97"/>
      <c r="N859" s="97"/>
      <c r="O859" s="97"/>
      <c r="P859" s="97"/>
      <c r="Q859" s="97"/>
      <c r="R859" s="97"/>
      <c r="S859" s="97"/>
      <c r="T859" s="97"/>
      <c r="U859" s="97"/>
      <c r="V859" s="97"/>
      <c r="W859" s="97"/>
      <c r="X859" s="97"/>
      <c r="Y859" s="97"/>
      <c r="Z859" s="97"/>
    </row>
    <row r="860" spans="1:26">
      <c r="A860" s="116"/>
      <c r="D860" s="92"/>
      <c r="E860" s="112"/>
      <c r="F860" s="97"/>
      <c r="G860" s="97"/>
      <c r="H860" s="97"/>
      <c r="I860" s="97"/>
      <c r="J860" s="97"/>
      <c r="K860" s="97"/>
      <c r="L860" s="97"/>
      <c r="M860" s="97"/>
      <c r="N860" s="97"/>
      <c r="O860" s="97"/>
      <c r="P860" s="97"/>
      <c r="Q860" s="97"/>
      <c r="R860" s="97"/>
      <c r="S860" s="97"/>
      <c r="T860" s="97"/>
      <c r="U860" s="97"/>
      <c r="V860" s="97"/>
      <c r="W860" s="97"/>
      <c r="X860" s="97"/>
      <c r="Y860" s="97"/>
      <c r="Z860" s="97"/>
    </row>
    <row r="861" spans="1:26">
      <c r="A861" s="116"/>
      <c r="D861" s="92"/>
      <c r="E861" s="112"/>
      <c r="F861" s="97"/>
      <c r="G861" s="97"/>
      <c r="H861" s="97"/>
      <c r="I861" s="97"/>
      <c r="J861" s="97"/>
      <c r="K861" s="97"/>
      <c r="L861" s="97"/>
      <c r="M861" s="97"/>
      <c r="N861" s="97"/>
      <c r="O861" s="97"/>
      <c r="P861" s="97"/>
      <c r="Q861" s="97"/>
      <c r="R861" s="97"/>
      <c r="S861" s="97"/>
      <c r="T861" s="97"/>
      <c r="U861" s="97"/>
      <c r="V861" s="97"/>
      <c r="W861" s="97"/>
      <c r="X861" s="97"/>
      <c r="Y861" s="97"/>
      <c r="Z861" s="97"/>
    </row>
    <row r="862" spans="1:26">
      <c r="A862" s="116"/>
      <c r="D862" s="92"/>
      <c r="E862" s="112"/>
      <c r="F862" s="97"/>
      <c r="G862" s="97"/>
      <c r="H862" s="97"/>
      <c r="I862" s="97"/>
      <c r="J862" s="97"/>
      <c r="K862" s="97"/>
      <c r="L862" s="97"/>
      <c r="M862" s="97"/>
      <c r="N862" s="97"/>
      <c r="O862" s="97"/>
      <c r="P862" s="97"/>
      <c r="Q862" s="97"/>
      <c r="R862" s="97"/>
      <c r="S862" s="97"/>
      <c r="T862" s="97"/>
      <c r="U862" s="97"/>
      <c r="V862" s="97"/>
      <c r="W862" s="97"/>
      <c r="X862" s="97"/>
      <c r="Y862" s="97"/>
      <c r="Z862" s="97"/>
    </row>
    <row r="863" spans="1:26">
      <c r="A863" s="116"/>
      <c r="D863" s="92"/>
      <c r="E863" s="112"/>
      <c r="F863" s="97"/>
      <c r="G863" s="97"/>
      <c r="H863" s="97"/>
      <c r="I863" s="97"/>
      <c r="J863" s="97"/>
      <c r="K863" s="97"/>
      <c r="L863" s="97"/>
      <c r="M863" s="97"/>
      <c r="N863" s="97"/>
      <c r="O863" s="97"/>
      <c r="P863" s="97"/>
      <c r="Q863" s="97"/>
      <c r="R863" s="97"/>
      <c r="S863" s="97"/>
      <c r="T863" s="97"/>
      <c r="U863" s="97"/>
      <c r="V863" s="97"/>
      <c r="W863" s="97"/>
      <c r="X863" s="97"/>
      <c r="Y863" s="97"/>
      <c r="Z863" s="97"/>
    </row>
    <row r="864" spans="1:26">
      <c r="A864" s="116"/>
      <c r="D864" s="92"/>
      <c r="E864" s="112"/>
      <c r="F864" s="97"/>
      <c r="G864" s="97"/>
      <c r="H864" s="97"/>
      <c r="I864" s="97"/>
      <c r="J864" s="97"/>
      <c r="K864" s="97"/>
      <c r="L864" s="97"/>
      <c r="M864" s="97"/>
      <c r="N864" s="97"/>
      <c r="O864" s="97"/>
      <c r="P864" s="97"/>
      <c r="Q864" s="97"/>
      <c r="R864" s="97"/>
      <c r="S864" s="97"/>
      <c r="T864" s="97"/>
      <c r="U864" s="97"/>
      <c r="V864" s="97"/>
      <c r="W864" s="97"/>
      <c r="X864" s="97"/>
      <c r="Y864" s="97"/>
      <c r="Z864" s="97"/>
    </row>
    <row r="865" spans="1:26">
      <c r="A865" s="116"/>
      <c r="D865" s="92"/>
      <c r="E865" s="112"/>
      <c r="F865" s="97"/>
      <c r="G865" s="97"/>
      <c r="H865" s="97"/>
      <c r="I865" s="97"/>
      <c r="J865" s="97"/>
      <c r="K865" s="97"/>
      <c r="L865" s="97"/>
      <c r="M865" s="97"/>
      <c r="N865" s="97"/>
      <c r="O865" s="97"/>
      <c r="P865" s="97"/>
      <c r="Q865" s="97"/>
      <c r="R865" s="97"/>
      <c r="S865" s="97"/>
      <c r="T865" s="97"/>
      <c r="U865" s="97"/>
      <c r="V865" s="97"/>
      <c r="W865" s="97"/>
      <c r="X865" s="97"/>
      <c r="Y865" s="97"/>
      <c r="Z865" s="97"/>
    </row>
    <row r="866" spans="1:26">
      <c r="A866" s="116"/>
      <c r="D866" s="92"/>
      <c r="E866" s="112"/>
      <c r="F866" s="97"/>
      <c r="G866" s="97"/>
      <c r="H866" s="97"/>
      <c r="I866" s="97"/>
      <c r="J866" s="97"/>
      <c r="K866" s="97"/>
      <c r="L866" s="97"/>
      <c r="M866" s="97"/>
      <c r="N866" s="97"/>
      <c r="O866" s="97"/>
      <c r="P866" s="97"/>
      <c r="Q866" s="97"/>
      <c r="R866" s="97"/>
      <c r="S866" s="97"/>
      <c r="T866" s="97"/>
      <c r="U866" s="97"/>
      <c r="V866" s="97"/>
      <c r="W866" s="97"/>
      <c r="X866" s="97"/>
      <c r="Y866" s="97"/>
      <c r="Z866" s="97"/>
    </row>
    <row r="867" spans="1:26">
      <c r="A867" s="116"/>
      <c r="D867" s="92"/>
      <c r="E867" s="112"/>
      <c r="F867" s="97"/>
      <c r="G867" s="97"/>
      <c r="H867" s="97"/>
      <c r="I867" s="97"/>
      <c r="J867" s="97"/>
      <c r="K867" s="97"/>
      <c r="L867" s="97"/>
      <c r="M867" s="97"/>
      <c r="N867" s="97"/>
      <c r="O867" s="97"/>
      <c r="P867" s="97"/>
      <c r="Q867" s="97"/>
      <c r="R867" s="97"/>
      <c r="S867" s="97"/>
      <c r="T867" s="97"/>
      <c r="U867" s="97"/>
      <c r="V867" s="97"/>
      <c r="W867" s="97"/>
      <c r="X867" s="97"/>
      <c r="Y867" s="97"/>
      <c r="Z867" s="97"/>
    </row>
    <row r="868" spans="1:26">
      <c r="A868" s="116"/>
      <c r="D868" s="92"/>
      <c r="E868" s="112"/>
      <c r="F868" s="97"/>
      <c r="G868" s="97"/>
      <c r="H868" s="97"/>
      <c r="I868" s="97"/>
      <c r="J868" s="97"/>
      <c r="K868" s="97"/>
      <c r="L868" s="97"/>
      <c r="M868" s="97"/>
      <c r="N868" s="97"/>
      <c r="O868" s="97"/>
      <c r="P868" s="97"/>
      <c r="Q868" s="97"/>
      <c r="R868" s="97"/>
      <c r="S868" s="97"/>
      <c r="T868" s="97"/>
      <c r="U868" s="97"/>
      <c r="V868" s="97"/>
      <c r="W868" s="97"/>
      <c r="X868" s="97"/>
      <c r="Y868" s="97"/>
      <c r="Z868" s="97"/>
    </row>
    <row r="869" spans="1:26">
      <c r="A869" s="116"/>
      <c r="D869" s="92"/>
      <c r="E869" s="112"/>
      <c r="F869" s="97"/>
      <c r="G869" s="97"/>
      <c r="H869" s="97"/>
      <c r="I869" s="97"/>
      <c r="J869" s="97"/>
      <c r="K869" s="97"/>
      <c r="L869" s="97"/>
      <c r="M869" s="97"/>
      <c r="N869" s="97"/>
      <c r="O869" s="97"/>
      <c r="P869" s="97"/>
      <c r="Q869" s="97"/>
      <c r="R869" s="97"/>
      <c r="S869" s="97"/>
      <c r="T869" s="97"/>
      <c r="U869" s="97"/>
      <c r="V869" s="97"/>
      <c r="W869" s="97"/>
      <c r="X869" s="97"/>
      <c r="Y869" s="97"/>
      <c r="Z869" s="97"/>
    </row>
    <row r="870" spans="1:26">
      <c r="A870" s="116"/>
      <c r="D870" s="92"/>
      <c r="E870" s="112"/>
      <c r="F870" s="97"/>
      <c r="G870" s="97"/>
      <c r="H870" s="97"/>
      <c r="I870" s="97"/>
      <c r="J870" s="97"/>
      <c r="K870" s="97"/>
      <c r="L870" s="97"/>
      <c r="M870" s="97"/>
      <c r="N870" s="97"/>
      <c r="O870" s="97"/>
      <c r="P870" s="97"/>
      <c r="Q870" s="97"/>
      <c r="R870" s="97"/>
      <c r="S870" s="97"/>
      <c r="T870" s="97"/>
      <c r="U870" s="97"/>
      <c r="V870" s="97"/>
      <c r="W870" s="97"/>
      <c r="X870" s="97"/>
      <c r="Y870" s="97"/>
      <c r="Z870" s="97"/>
    </row>
    <row r="871" spans="1:26">
      <c r="A871" s="116"/>
      <c r="D871" s="92"/>
      <c r="E871" s="112"/>
      <c r="F871" s="97"/>
      <c r="G871" s="97"/>
      <c r="H871" s="97"/>
      <c r="I871" s="97"/>
      <c r="J871" s="97"/>
      <c r="K871" s="97"/>
      <c r="L871" s="97"/>
      <c r="M871" s="97"/>
      <c r="N871" s="97"/>
      <c r="O871" s="97"/>
      <c r="P871" s="97"/>
      <c r="Q871" s="97"/>
      <c r="R871" s="97"/>
      <c r="S871" s="97"/>
      <c r="T871" s="97"/>
      <c r="U871" s="97"/>
      <c r="V871" s="97"/>
      <c r="W871" s="97"/>
      <c r="X871" s="97"/>
      <c r="Y871" s="97"/>
      <c r="Z871" s="97"/>
    </row>
    <row r="872" spans="1:26">
      <c r="A872" s="116"/>
      <c r="D872" s="92"/>
      <c r="E872" s="112"/>
      <c r="F872" s="97"/>
      <c r="G872" s="97"/>
      <c r="H872" s="97"/>
      <c r="I872" s="97"/>
      <c r="J872" s="97"/>
      <c r="K872" s="97"/>
      <c r="L872" s="97"/>
      <c r="M872" s="97"/>
      <c r="N872" s="97"/>
      <c r="O872" s="97"/>
      <c r="P872" s="97"/>
      <c r="Q872" s="97"/>
      <c r="R872" s="97"/>
      <c r="S872" s="97"/>
      <c r="T872" s="97"/>
      <c r="U872" s="97"/>
      <c r="V872" s="97"/>
      <c r="W872" s="97"/>
      <c r="X872" s="97"/>
      <c r="Y872" s="97"/>
      <c r="Z872" s="97"/>
    </row>
    <row r="873" spans="1:26">
      <c r="A873" s="116"/>
      <c r="D873" s="92"/>
      <c r="E873" s="112"/>
      <c r="F873" s="97"/>
      <c r="G873" s="97"/>
      <c r="H873" s="97"/>
      <c r="I873" s="97"/>
      <c r="J873" s="97"/>
      <c r="K873" s="97"/>
      <c r="L873" s="97"/>
      <c r="M873" s="97"/>
      <c r="N873" s="97"/>
      <c r="O873" s="97"/>
      <c r="P873" s="97"/>
      <c r="Q873" s="97"/>
      <c r="R873" s="97"/>
      <c r="S873" s="97"/>
      <c r="T873" s="97"/>
      <c r="U873" s="97"/>
      <c r="V873" s="97"/>
      <c r="W873" s="97"/>
      <c r="X873" s="97"/>
      <c r="Y873" s="97"/>
      <c r="Z873" s="97"/>
    </row>
    <row r="874" spans="1:26">
      <c r="A874" s="116"/>
      <c r="D874" s="92"/>
      <c r="E874" s="112"/>
      <c r="F874" s="97"/>
      <c r="G874" s="97"/>
      <c r="H874" s="97"/>
      <c r="I874" s="97"/>
      <c r="J874" s="97"/>
      <c r="K874" s="97"/>
      <c r="L874" s="97"/>
      <c r="M874" s="97"/>
      <c r="N874" s="97"/>
      <c r="O874" s="97"/>
      <c r="P874" s="97"/>
      <c r="Q874" s="97"/>
      <c r="R874" s="97"/>
      <c r="S874" s="97"/>
      <c r="T874" s="97"/>
      <c r="U874" s="97"/>
      <c r="V874" s="97"/>
      <c r="W874" s="97"/>
      <c r="X874" s="97"/>
      <c r="Y874" s="97"/>
      <c r="Z874" s="97"/>
    </row>
    <row r="875" spans="1:26">
      <c r="A875" s="116"/>
      <c r="D875" s="92"/>
      <c r="E875" s="112"/>
      <c r="F875" s="97"/>
      <c r="G875" s="97"/>
      <c r="H875" s="97"/>
      <c r="I875" s="97"/>
      <c r="J875" s="97"/>
      <c r="K875" s="97"/>
      <c r="L875" s="97"/>
      <c r="M875" s="97"/>
      <c r="N875" s="97"/>
      <c r="O875" s="97"/>
      <c r="P875" s="97"/>
      <c r="Q875" s="97"/>
      <c r="R875" s="97"/>
      <c r="S875" s="97"/>
      <c r="T875" s="97"/>
      <c r="U875" s="97"/>
      <c r="V875" s="97"/>
      <c r="W875" s="97"/>
      <c r="X875" s="97"/>
      <c r="Y875" s="97"/>
      <c r="Z875" s="97"/>
    </row>
    <row r="876" spans="1:26">
      <c r="A876" s="116"/>
      <c r="D876" s="92"/>
      <c r="E876" s="112"/>
      <c r="F876" s="97"/>
      <c r="G876" s="97"/>
      <c r="H876" s="97"/>
      <c r="I876" s="97"/>
      <c r="J876" s="97"/>
      <c r="K876" s="97"/>
      <c r="L876" s="97"/>
      <c r="M876" s="97"/>
      <c r="N876" s="97"/>
      <c r="O876" s="97"/>
      <c r="P876" s="97"/>
      <c r="Q876" s="97"/>
      <c r="R876" s="97"/>
      <c r="S876" s="97"/>
      <c r="T876" s="97"/>
      <c r="U876" s="97"/>
      <c r="V876" s="97"/>
      <c r="W876" s="97"/>
      <c r="X876" s="97"/>
      <c r="Y876" s="97"/>
      <c r="Z876" s="97"/>
    </row>
    <row r="877" spans="1:26">
      <c r="A877" s="116"/>
      <c r="D877" s="92"/>
      <c r="E877" s="112"/>
      <c r="F877" s="97"/>
      <c r="G877" s="97"/>
      <c r="H877" s="97"/>
      <c r="I877" s="97"/>
      <c r="J877" s="97"/>
      <c r="K877" s="97"/>
      <c r="L877" s="97"/>
      <c r="M877" s="97"/>
      <c r="N877" s="97"/>
      <c r="O877" s="97"/>
      <c r="P877" s="97"/>
      <c r="Q877" s="97"/>
      <c r="R877" s="97"/>
      <c r="S877" s="97"/>
      <c r="T877" s="97"/>
      <c r="U877" s="97"/>
      <c r="V877" s="97"/>
      <c r="W877" s="97"/>
      <c r="X877" s="97"/>
      <c r="Y877" s="97"/>
      <c r="Z877" s="97"/>
    </row>
    <row r="878" spans="1:26">
      <c r="A878" s="116"/>
      <c r="D878" s="92"/>
      <c r="E878" s="112"/>
      <c r="F878" s="97"/>
      <c r="G878" s="97"/>
      <c r="H878" s="97"/>
      <c r="I878" s="97"/>
      <c r="J878" s="97"/>
      <c r="K878" s="97"/>
      <c r="L878" s="97"/>
      <c r="M878" s="97"/>
      <c r="N878" s="97"/>
      <c r="O878" s="97"/>
      <c r="P878" s="97"/>
      <c r="Q878" s="97"/>
      <c r="R878" s="97"/>
      <c r="S878" s="97"/>
      <c r="T878" s="97"/>
      <c r="U878" s="97"/>
      <c r="V878" s="97"/>
      <c r="W878" s="97"/>
      <c r="X878" s="97"/>
      <c r="Y878" s="97"/>
      <c r="Z878" s="97"/>
    </row>
    <row r="879" spans="1:26">
      <c r="A879" s="116"/>
      <c r="D879" s="92"/>
      <c r="E879" s="112"/>
      <c r="F879" s="97"/>
      <c r="G879" s="97"/>
      <c r="H879" s="97"/>
      <c r="I879" s="97"/>
      <c r="J879" s="97"/>
      <c r="K879" s="97"/>
      <c r="L879" s="97"/>
      <c r="M879" s="97"/>
      <c r="N879" s="97"/>
      <c r="O879" s="97"/>
      <c r="P879" s="97"/>
      <c r="Q879" s="97"/>
      <c r="R879" s="97"/>
      <c r="S879" s="97"/>
      <c r="T879" s="97"/>
      <c r="U879" s="97"/>
      <c r="V879" s="97"/>
      <c r="W879" s="97"/>
      <c r="X879" s="97"/>
      <c r="Y879" s="97"/>
      <c r="Z879" s="97"/>
    </row>
    <row r="880" spans="1:26">
      <c r="A880" s="116"/>
      <c r="D880" s="92"/>
      <c r="E880" s="112"/>
      <c r="F880" s="97"/>
      <c r="G880" s="97"/>
      <c r="H880" s="97"/>
      <c r="I880" s="97"/>
      <c r="J880" s="97"/>
      <c r="K880" s="97"/>
      <c r="L880" s="97"/>
      <c r="M880" s="97"/>
      <c r="N880" s="97"/>
      <c r="O880" s="97"/>
      <c r="P880" s="97"/>
      <c r="Q880" s="97"/>
      <c r="R880" s="97"/>
      <c r="S880" s="97"/>
      <c r="T880" s="97"/>
      <c r="U880" s="97"/>
      <c r="V880" s="97"/>
      <c r="W880" s="97"/>
      <c r="X880" s="97"/>
      <c r="Y880" s="97"/>
      <c r="Z880" s="97"/>
    </row>
    <row r="881" spans="1:26">
      <c r="A881" s="116"/>
      <c r="D881" s="92"/>
      <c r="E881" s="112"/>
      <c r="F881" s="97"/>
      <c r="G881" s="97"/>
      <c r="H881" s="97"/>
      <c r="I881" s="97"/>
      <c r="J881" s="97"/>
      <c r="K881" s="97"/>
      <c r="L881" s="97"/>
      <c r="M881" s="97"/>
      <c r="N881" s="97"/>
      <c r="O881" s="97"/>
      <c r="P881" s="97"/>
      <c r="Q881" s="97"/>
      <c r="R881" s="97"/>
      <c r="S881" s="97"/>
      <c r="T881" s="97"/>
      <c r="U881" s="97"/>
      <c r="V881" s="97"/>
      <c r="W881" s="97"/>
      <c r="X881" s="97"/>
      <c r="Y881" s="97"/>
      <c r="Z881" s="97"/>
    </row>
    <row r="882" spans="1:26">
      <c r="A882" s="116"/>
      <c r="D882" s="92"/>
      <c r="E882" s="112"/>
      <c r="F882" s="97"/>
      <c r="G882" s="97"/>
      <c r="H882" s="97"/>
      <c r="I882" s="97"/>
      <c r="J882" s="97"/>
      <c r="K882" s="97"/>
      <c r="L882" s="97"/>
      <c r="M882" s="97"/>
      <c r="N882" s="97"/>
      <c r="O882" s="97"/>
      <c r="P882" s="97"/>
      <c r="Q882" s="97"/>
      <c r="R882" s="97"/>
      <c r="S882" s="97"/>
      <c r="T882" s="97"/>
      <c r="U882" s="97"/>
      <c r="V882" s="97"/>
      <c r="W882" s="97"/>
      <c r="X882" s="97"/>
      <c r="Y882" s="97"/>
      <c r="Z882" s="97"/>
    </row>
    <row r="883" spans="1:26">
      <c r="A883" s="116"/>
      <c r="D883" s="92"/>
      <c r="E883" s="112"/>
      <c r="F883" s="97"/>
      <c r="G883" s="97"/>
      <c r="H883" s="97"/>
      <c r="I883" s="97"/>
      <c r="J883" s="97"/>
      <c r="K883" s="97"/>
      <c r="L883" s="97"/>
      <c r="M883" s="97"/>
      <c r="N883" s="97"/>
      <c r="O883" s="97"/>
      <c r="P883" s="97"/>
      <c r="Q883" s="97"/>
      <c r="R883" s="97"/>
      <c r="S883" s="97"/>
      <c r="T883" s="97"/>
      <c r="U883" s="97"/>
      <c r="V883" s="97"/>
      <c r="W883" s="97"/>
      <c r="X883" s="97"/>
      <c r="Y883" s="97"/>
      <c r="Z883" s="97"/>
    </row>
    <row r="884" spans="1:26">
      <c r="A884" s="116"/>
      <c r="D884" s="92"/>
      <c r="E884" s="112"/>
      <c r="F884" s="97"/>
      <c r="G884" s="97"/>
      <c r="H884" s="97"/>
      <c r="I884" s="97"/>
      <c r="J884" s="97"/>
      <c r="K884" s="97"/>
      <c r="L884" s="97"/>
      <c r="M884" s="97"/>
      <c r="N884" s="97"/>
      <c r="O884" s="97"/>
      <c r="P884" s="97"/>
      <c r="Q884" s="97"/>
      <c r="R884" s="97"/>
      <c r="S884" s="97"/>
      <c r="T884" s="97"/>
      <c r="U884" s="97"/>
      <c r="V884" s="97"/>
      <c r="W884" s="97"/>
      <c r="X884" s="97"/>
      <c r="Y884" s="97"/>
      <c r="Z884" s="97"/>
    </row>
    <row r="885" spans="1:26">
      <c r="A885" s="116"/>
      <c r="D885" s="92"/>
      <c r="E885" s="112"/>
      <c r="F885" s="97"/>
      <c r="G885" s="97"/>
      <c r="H885" s="97"/>
      <c r="I885" s="97"/>
      <c r="J885" s="97"/>
      <c r="K885" s="97"/>
      <c r="L885" s="97"/>
      <c r="M885" s="97"/>
      <c r="N885" s="97"/>
      <c r="O885" s="97"/>
      <c r="P885" s="97"/>
      <c r="Q885" s="97"/>
      <c r="R885" s="97"/>
      <c r="S885" s="97"/>
      <c r="T885" s="97"/>
      <c r="U885" s="97"/>
      <c r="V885" s="97"/>
      <c r="W885" s="97"/>
      <c r="X885" s="97"/>
      <c r="Y885" s="97"/>
      <c r="Z885" s="97"/>
    </row>
    <row r="886" spans="1:26">
      <c r="A886" s="116"/>
      <c r="D886" s="92"/>
      <c r="E886" s="112"/>
      <c r="F886" s="97"/>
      <c r="G886" s="97"/>
      <c r="H886" s="97"/>
      <c r="I886" s="97"/>
      <c r="J886" s="97"/>
      <c r="K886" s="97"/>
      <c r="L886" s="97"/>
      <c r="M886" s="97"/>
      <c r="N886" s="97"/>
      <c r="O886" s="97"/>
      <c r="P886" s="97"/>
      <c r="Q886" s="97"/>
      <c r="R886" s="97"/>
      <c r="S886" s="97"/>
      <c r="T886" s="97"/>
      <c r="U886" s="97"/>
      <c r="V886" s="97"/>
      <c r="W886" s="97"/>
      <c r="X886" s="97"/>
      <c r="Y886" s="97"/>
      <c r="Z886" s="97"/>
    </row>
    <row r="887" spans="1:26">
      <c r="A887" s="116"/>
      <c r="D887" s="92"/>
      <c r="E887" s="112"/>
      <c r="F887" s="97"/>
      <c r="G887" s="97"/>
      <c r="H887" s="97"/>
      <c r="I887" s="97"/>
      <c r="J887" s="97"/>
      <c r="K887" s="97"/>
      <c r="L887" s="97"/>
      <c r="M887" s="97"/>
      <c r="N887" s="97"/>
      <c r="O887" s="97"/>
      <c r="P887" s="97"/>
      <c r="Q887" s="97"/>
      <c r="R887" s="97"/>
      <c r="S887" s="97"/>
      <c r="T887" s="97"/>
      <c r="U887" s="97"/>
      <c r="V887" s="97"/>
      <c r="W887" s="97"/>
      <c r="X887" s="97"/>
      <c r="Y887" s="97"/>
      <c r="Z887" s="97"/>
    </row>
    <row r="888" spans="1:26">
      <c r="A888" s="116"/>
      <c r="D888" s="92"/>
      <c r="E888" s="112"/>
      <c r="F888" s="97"/>
      <c r="G888" s="97"/>
      <c r="H888" s="97"/>
      <c r="I888" s="97"/>
      <c r="J888" s="97"/>
      <c r="K888" s="97"/>
      <c r="L888" s="97"/>
      <c r="M888" s="97"/>
      <c r="N888" s="97"/>
      <c r="O888" s="97"/>
      <c r="P888" s="97"/>
      <c r="Q888" s="97"/>
      <c r="R888" s="97"/>
      <c r="S888" s="97"/>
      <c r="T888" s="97"/>
      <c r="U888" s="97"/>
      <c r="V888" s="97"/>
      <c r="W888" s="97"/>
      <c r="X888" s="97"/>
      <c r="Y888" s="97"/>
      <c r="Z888" s="97"/>
    </row>
    <row r="889" spans="1:26">
      <c r="A889" s="116"/>
      <c r="D889" s="92"/>
      <c r="E889" s="112"/>
      <c r="F889" s="97"/>
      <c r="G889" s="97"/>
      <c r="H889" s="97"/>
      <c r="I889" s="97"/>
      <c r="J889" s="97"/>
      <c r="K889" s="97"/>
      <c r="L889" s="97"/>
      <c r="M889" s="97"/>
      <c r="N889" s="97"/>
      <c r="O889" s="97"/>
      <c r="P889" s="97"/>
      <c r="Q889" s="97"/>
      <c r="R889" s="97"/>
      <c r="S889" s="97"/>
      <c r="T889" s="97"/>
      <c r="U889" s="97"/>
      <c r="V889" s="97"/>
      <c r="W889" s="97"/>
      <c r="X889" s="97"/>
      <c r="Y889" s="97"/>
      <c r="Z889" s="97"/>
    </row>
    <row r="890" spans="1:26">
      <c r="A890" s="116"/>
      <c r="D890" s="92"/>
      <c r="E890" s="112"/>
      <c r="F890" s="97"/>
      <c r="G890" s="97"/>
      <c r="H890" s="97"/>
      <c r="I890" s="97"/>
      <c r="J890" s="97"/>
      <c r="K890" s="97"/>
      <c r="L890" s="97"/>
      <c r="M890" s="97"/>
      <c r="N890" s="97"/>
      <c r="O890" s="97"/>
      <c r="P890" s="97"/>
      <c r="Q890" s="97"/>
      <c r="R890" s="97"/>
      <c r="S890" s="97"/>
      <c r="T890" s="97"/>
      <c r="U890" s="97"/>
      <c r="V890" s="97"/>
      <c r="W890" s="97"/>
      <c r="X890" s="97"/>
      <c r="Y890" s="97"/>
      <c r="Z890" s="97"/>
    </row>
    <row r="891" spans="1:26">
      <c r="A891" s="116"/>
      <c r="D891" s="92"/>
      <c r="E891" s="112"/>
      <c r="F891" s="97"/>
      <c r="G891" s="97"/>
      <c r="H891" s="97"/>
      <c r="I891" s="97"/>
      <c r="J891" s="97"/>
      <c r="K891" s="97"/>
      <c r="L891" s="97"/>
      <c r="M891" s="97"/>
      <c r="N891" s="97"/>
      <c r="O891" s="97"/>
      <c r="P891" s="97"/>
      <c r="Q891" s="97"/>
      <c r="R891" s="97"/>
      <c r="S891" s="97"/>
      <c r="T891" s="97"/>
      <c r="U891" s="97"/>
      <c r="V891" s="97"/>
      <c r="W891" s="97"/>
      <c r="X891" s="97"/>
      <c r="Y891" s="97"/>
      <c r="Z891" s="97"/>
    </row>
    <row r="892" spans="1:26">
      <c r="A892" s="116"/>
      <c r="D892" s="92"/>
      <c r="E892" s="112"/>
      <c r="F892" s="97"/>
      <c r="G892" s="97"/>
      <c r="H892" s="97"/>
      <c r="I892" s="97"/>
      <c r="J892" s="97"/>
      <c r="K892" s="97"/>
      <c r="L892" s="97"/>
      <c r="M892" s="97"/>
      <c r="N892" s="97"/>
      <c r="O892" s="97"/>
      <c r="P892" s="97"/>
      <c r="Q892" s="97"/>
      <c r="R892" s="97"/>
      <c r="S892" s="97"/>
      <c r="T892" s="97"/>
      <c r="U892" s="97"/>
      <c r="V892" s="97"/>
      <c r="W892" s="97"/>
      <c r="X892" s="97"/>
      <c r="Y892" s="97"/>
      <c r="Z892" s="97"/>
    </row>
    <row r="893" spans="1:26">
      <c r="A893" s="116"/>
      <c r="D893" s="92"/>
      <c r="E893" s="112"/>
      <c r="F893" s="97"/>
      <c r="G893" s="97"/>
      <c r="H893" s="97"/>
      <c r="I893" s="97"/>
      <c r="J893" s="97"/>
      <c r="K893" s="97"/>
      <c r="L893" s="97"/>
      <c r="M893" s="97"/>
      <c r="N893" s="97"/>
      <c r="O893" s="97"/>
      <c r="P893" s="97"/>
      <c r="Q893" s="97"/>
      <c r="R893" s="97"/>
      <c r="S893" s="97"/>
      <c r="T893" s="97"/>
      <c r="U893" s="97"/>
      <c r="V893" s="97"/>
      <c r="W893" s="97"/>
      <c r="X893" s="97"/>
      <c r="Y893" s="97"/>
      <c r="Z893" s="97"/>
    </row>
    <row r="894" spans="1:26">
      <c r="A894" s="116"/>
      <c r="D894" s="92"/>
      <c r="E894" s="112"/>
      <c r="F894" s="97"/>
      <c r="G894" s="97"/>
      <c r="H894" s="97"/>
      <c r="I894" s="97"/>
      <c r="J894" s="97"/>
      <c r="K894" s="97"/>
      <c r="L894" s="97"/>
      <c r="M894" s="97"/>
      <c r="N894" s="97"/>
      <c r="O894" s="97"/>
      <c r="P894" s="97"/>
      <c r="Q894" s="97"/>
      <c r="R894" s="97"/>
      <c r="S894" s="97"/>
      <c r="T894" s="97"/>
      <c r="U894" s="97"/>
      <c r="V894" s="97"/>
      <c r="W894" s="97"/>
      <c r="X894" s="97"/>
      <c r="Y894" s="97"/>
      <c r="Z894" s="97"/>
    </row>
    <row r="895" spans="1:26">
      <c r="A895" s="116"/>
      <c r="D895" s="92"/>
      <c r="E895" s="112"/>
      <c r="F895" s="97"/>
      <c r="G895" s="97"/>
      <c r="H895" s="97"/>
      <c r="I895" s="97"/>
      <c r="J895" s="97"/>
      <c r="K895" s="97"/>
      <c r="L895" s="97"/>
      <c r="M895" s="97"/>
      <c r="N895" s="97"/>
      <c r="O895" s="97"/>
      <c r="P895" s="97"/>
      <c r="Q895" s="97"/>
      <c r="R895" s="97"/>
      <c r="S895" s="97"/>
      <c r="T895" s="97"/>
      <c r="U895" s="97"/>
      <c r="V895" s="97"/>
      <c r="W895" s="97"/>
      <c r="X895" s="97"/>
      <c r="Y895" s="97"/>
      <c r="Z895" s="97"/>
    </row>
    <row r="896" spans="1:26">
      <c r="A896" s="116"/>
      <c r="D896" s="92"/>
      <c r="E896" s="112"/>
      <c r="F896" s="97"/>
      <c r="G896" s="97"/>
      <c r="H896" s="97"/>
      <c r="I896" s="97"/>
      <c r="J896" s="97"/>
      <c r="K896" s="97"/>
      <c r="L896" s="97"/>
      <c r="M896" s="97"/>
      <c r="N896" s="97"/>
      <c r="O896" s="97"/>
      <c r="P896" s="97"/>
      <c r="Q896" s="97"/>
      <c r="R896" s="97"/>
      <c r="S896" s="97"/>
      <c r="T896" s="97"/>
      <c r="U896" s="97"/>
      <c r="V896" s="97"/>
      <c r="W896" s="97"/>
      <c r="X896" s="97"/>
      <c r="Y896" s="97"/>
      <c r="Z896" s="97"/>
    </row>
    <row r="897" spans="1:26">
      <c r="A897" s="116"/>
      <c r="D897" s="92"/>
      <c r="E897" s="112"/>
      <c r="F897" s="97"/>
      <c r="G897" s="97"/>
      <c r="H897" s="97"/>
      <c r="I897" s="97"/>
      <c r="J897" s="97"/>
      <c r="K897" s="97"/>
      <c r="L897" s="97"/>
      <c r="M897" s="97"/>
      <c r="N897" s="97"/>
      <c r="O897" s="97"/>
      <c r="P897" s="97"/>
      <c r="Q897" s="97"/>
      <c r="R897" s="97"/>
      <c r="S897" s="97"/>
      <c r="T897" s="97"/>
      <c r="U897" s="97"/>
      <c r="V897" s="97"/>
      <c r="W897" s="97"/>
      <c r="X897" s="97"/>
      <c r="Y897" s="97"/>
      <c r="Z897" s="97"/>
    </row>
    <row r="898" spans="1:26">
      <c r="A898" s="116"/>
      <c r="D898" s="92"/>
      <c r="E898" s="112"/>
      <c r="F898" s="97"/>
      <c r="G898" s="97"/>
      <c r="H898" s="97"/>
      <c r="I898" s="97"/>
      <c r="J898" s="97"/>
      <c r="K898" s="97"/>
      <c r="L898" s="97"/>
      <c r="M898" s="97"/>
      <c r="N898" s="97"/>
      <c r="O898" s="97"/>
      <c r="P898" s="97"/>
      <c r="Q898" s="97"/>
      <c r="R898" s="97"/>
      <c r="S898" s="97"/>
      <c r="T898" s="97"/>
      <c r="U898" s="97"/>
      <c r="V898" s="97"/>
      <c r="W898" s="97"/>
      <c r="X898" s="97"/>
      <c r="Y898" s="97"/>
      <c r="Z898" s="97"/>
    </row>
    <row r="899" spans="1:26">
      <c r="A899" s="116"/>
      <c r="D899" s="92"/>
      <c r="E899" s="112"/>
      <c r="F899" s="97"/>
      <c r="G899" s="97"/>
      <c r="H899" s="97"/>
      <c r="I899" s="97"/>
      <c r="J899" s="97"/>
      <c r="K899" s="97"/>
      <c r="L899" s="97"/>
      <c r="M899" s="97"/>
      <c r="N899" s="97"/>
      <c r="O899" s="97"/>
      <c r="P899" s="97"/>
      <c r="Q899" s="97"/>
      <c r="R899" s="97"/>
      <c r="S899" s="97"/>
      <c r="T899" s="97"/>
      <c r="U899" s="97"/>
      <c r="V899" s="97"/>
      <c r="W899" s="97"/>
      <c r="X899" s="97"/>
      <c r="Y899" s="97"/>
      <c r="Z899" s="97"/>
    </row>
    <row r="900" spans="1:26">
      <c r="A900" s="116"/>
      <c r="D900" s="92"/>
      <c r="E900" s="112"/>
      <c r="F900" s="97"/>
      <c r="G900" s="97"/>
      <c r="H900" s="97"/>
      <c r="I900" s="97"/>
      <c r="J900" s="97"/>
      <c r="K900" s="97"/>
      <c r="L900" s="97"/>
      <c r="M900" s="97"/>
      <c r="N900" s="97"/>
      <c r="O900" s="97"/>
      <c r="P900" s="97"/>
      <c r="Q900" s="97"/>
      <c r="R900" s="97"/>
      <c r="S900" s="97"/>
      <c r="T900" s="97"/>
      <c r="U900" s="97"/>
      <c r="V900" s="97"/>
      <c r="W900" s="97"/>
      <c r="X900" s="97"/>
      <c r="Y900" s="97"/>
      <c r="Z900" s="97"/>
    </row>
    <row r="901" spans="1:26">
      <c r="A901" s="116"/>
      <c r="D901" s="92"/>
      <c r="E901" s="112"/>
      <c r="F901" s="97"/>
      <c r="G901" s="97"/>
      <c r="H901" s="97"/>
      <c r="I901" s="97"/>
      <c r="J901" s="97"/>
      <c r="K901" s="97"/>
      <c r="L901" s="97"/>
      <c r="M901" s="97"/>
      <c r="N901" s="97"/>
      <c r="O901" s="97"/>
      <c r="P901" s="97"/>
      <c r="Q901" s="97"/>
      <c r="R901" s="97"/>
      <c r="S901" s="97"/>
      <c r="T901" s="97"/>
      <c r="U901" s="97"/>
      <c r="V901" s="97"/>
      <c r="W901" s="97"/>
      <c r="X901" s="97"/>
      <c r="Y901" s="97"/>
      <c r="Z901" s="97"/>
    </row>
    <row r="902" spans="1:26">
      <c r="A902" s="116"/>
      <c r="D902" s="92"/>
      <c r="E902" s="112"/>
      <c r="F902" s="97"/>
      <c r="G902" s="97"/>
      <c r="H902" s="97"/>
      <c r="I902" s="97"/>
      <c r="J902" s="97"/>
      <c r="K902" s="97"/>
      <c r="L902" s="97"/>
      <c r="M902" s="97"/>
      <c r="N902" s="97"/>
      <c r="O902" s="97"/>
      <c r="P902" s="97"/>
      <c r="Q902" s="97"/>
      <c r="R902" s="97"/>
      <c r="S902" s="97"/>
      <c r="T902" s="97"/>
      <c r="U902" s="97"/>
      <c r="V902" s="97"/>
      <c r="W902" s="97"/>
      <c r="X902" s="97"/>
      <c r="Y902" s="97"/>
      <c r="Z902" s="97"/>
    </row>
    <row r="903" spans="1:26">
      <c r="A903" s="116"/>
      <c r="D903" s="92"/>
      <c r="E903" s="112"/>
      <c r="F903" s="97"/>
      <c r="G903" s="97"/>
      <c r="H903" s="97"/>
      <c r="I903" s="97"/>
      <c r="J903" s="97"/>
      <c r="K903" s="97"/>
      <c r="L903" s="97"/>
      <c r="M903" s="97"/>
      <c r="N903" s="97"/>
      <c r="O903" s="97"/>
      <c r="P903" s="97"/>
      <c r="Q903" s="97"/>
      <c r="R903" s="97"/>
      <c r="S903" s="97"/>
      <c r="T903" s="97"/>
      <c r="U903" s="97"/>
      <c r="V903" s="97"/>
      <c r="W903" s="97"/>
      <c r="X903" s="97"/>
      <c r="Y903" s="97"/>
      <c r="Z903" s="97"/>
    </row>
    <row r="904" spans="1:26">
      <c r="A904" s="116"/>
      <c r="D904" s="92"/>
      <c r="E904" s="112"/>
      <c r="F904" s="97"/>
      <c r="G904" s="97"/>
      <c r="H904" s="97"/>
      <c r="I904" s="97"/>
      <c r="J904" s="97"/>
      <c r="K904" s="97"/>
      <c r="L904" s="97"/>
      <c r="M904" s="97"/>
      <c r="N904" s="97"/>
      <c r="O904" s="97"/>
      <c r="P904" s="97"/>
      <c r="Q904" s="97"/>
      <c r="R904" s="97"/>
      <c r="S904" s="97"/>
      <c r="T904" s="97"/>
      <c r="U904" s="97"/>
      <c r="V904" s="97"/>
      <c r="W904" s="97"/>
      <c r="X904" s="97"/>
      <c r="Y904" s="97"/>
      <c r="Z904" s="97"/>
    </row>
    <row r="905" spans="1:26">
      <c r="A905" s="116"/>
      <c r="D905" s="92"/>
      <c r="E905" s="112"/>
      <c r="F905" s="97"/>
      <c r="G905" s="97"/>
      <c r="H905" s="97"/>
      <c r="I905" s="97"/>
      <c r="J905" s="97"/>
      <c r="K905" s="97"/>
      <c r="L905" s="97"/>
      <c r="M905" s="97"/>
      <c r="N905" s="97"/>
      <c r="O905" s="97"/>
      <c r="P905" s="97"/>
      <c r="Q905" s="97"/>
      <c r="R905" s="97"/>
      <c r="S905" s="97"/>
      <c r="T905" s="97"/>
      <c r="U905" s="97"/>
      <c r="V905" s="97"/>
      <c r="W905" s="97"/>
      <c r="X905" s="97"/>
      <c r="Y905" s="97"/>
      <c r="Z905" s="97"/>
    </row>
    <row r="906" spans="1:26">
      <c r="A906" s="116"/>
      <c r="D906" s="92"/>
      <c r="E906" s="112"/>
      <c r="F906" s="97"/>
      <c r="G906" s="97"/>
      <c r="H906" s="97"/>
      <c r="I906" s="97"/>
      <c r="J906" s="97"/>
      <c r="K906" s="97"/>
      <c r="L906" s="97"/>
      <c r="M906" s="97"/>
      <c r="N906" s="97"/>
      <c r="O906" s="97"/>
      <c r="P906" s="97"/>
      <c r="Q906" s="97"/>
      <c r="R906" s="97"/>
      <c r="S906" s="97"/>
      <c r="T906" s="97"/>
      <c r="U906" s="97"/>
      <c r="V906" s="97"/>
      <c r="W906" s="97"/>
      <c r="X906" s="97"/>
      <c r="Y906" s="97"/>
      <c r="Z906" s="97"/>
    </row>
    <row r="907" spans="1:26">
      <c r="A907" s="116"/>
      <c r="D907" s="92"/>
      <c r="E907" s="112"/>
      <c r="F907" s="97"/>
      <c r="G907" s="97"/>
      <c r="H907" s="97"/>
      <c r="I907" s="97"/>
      <c r="J907" s="97"/>
      <c r="K907" s="97"/>
      <c r="L907" s="97"/>
      <c r="M907" s="97"/>
      <c r="N907" s="97"/>
      <c r="O907" s="97"/>
      <c r="P907" s="97"/>
      <c r="Q907" s="97"/>
      <c r="R907" s="97"/>
      <c r="S907" s="97"/>
      <c r="T907" s="97"/>
      <c r="U907" s="97"/>
      <c r="V907" s="97"/>
      <c r="W907" s="97"/>
      <c r="X907" s="97"/>
      <c r="Y907" s="97"/>
      <c r="Z907" s="97"/>
    </row>
    <row r="908" spans="1:26">
      <c r="A908" s="116"/>
      <c r="D908" s="92"/>
      <c r="E908" s="112"/>
      <c r="F908" s="97"/>
      <c r="G908" s="97"/>
      <c r="H908" s="97"/>
      <c r="I908" s="97"/>
      <c r="J908" s="97"/>
      <c r="K908" s="97"/>
      <c r="L908" s="97"/>
      <c r="M908" s="97"/>
      <c r="N908" s="97"/>
      <c r="O908" s="97"/>
      <c r="P908" s="97"/>
      <c r="Q908" s="97"/>
      <c r="R908" s="97"/>
      <c r="S908" s="97"/>
      <c r="T908" s="97"/>
      <c r="U908" s="97"/>
      <c r="V908" s="97"/>
      <c r="W908" s="97"/>
      <c r="X908" s="97"/>
      <c r="Y908" s="97"/>
      <c r="Z908" s="97"/>
    </row>
    <row r="909" spans="1:26">
      <c r="A909" s="116"/>
      <c r="D909" s="92"/>
      <c r="E909" s="112"/>
      <c r="F909" s="97"/>
      <c r="G909" s="97"/>
      <c r="H909" s="97"/>
      <c r="I909" s="97"/>
      <c r="J909" s="97"/>
      <c r="K909" s="97"/>
      <c r="L909" s="97"/>
      <c r="M909" s="97"/>
      <c r="N909" s="97"/>
      <c r="O909" s="97"/>
      <c r="P909" s="97"/>
      <c r="Q909" s="97"/>
      <c r="R909" s="97"/>
      <c r="S909" s="97"/>
      <c r="T909" s="97"/>
      <c r="U909" s="97"/>
      <c r="V909" s="97"/>
      <c r="W909" s="97"/>
      <c r="X909" s="97"/>
      <c r="Y909" s="97"/>
      <c r="Z909" s="97"/>
    </row>
    <row r="910" spans="1:26">
      <c r="A910" s="116"/>
      <c r="D910" s="92"/>
      <c r="E910" s="112"/>
      <c r="F910" s="97"/>
      <c r="G910" s="97"/>
      <c r="H910" s="97"/>
      <c r="I910" s="97"/>
      <c r="J910" s="97"/>
      <c r="K910" s="97"/>
      <c r="L910" s="97"/>
      <c r="M910" s="97"/>
      <c r="N910" s="97"/>
      <c r="O910" s="97"/>
      <c r="P910" s="97"/>
      <c r="Q910" s="97"/>
      <c r="R910" s="97"/>
      <c r="S910" s="97"/>
      <c r="T910" s="97"/>
      <c r="U910" s="97"/>
      <c r="V910" s="97"/>
      <c r="W910" s="97"/>
      <c r="X910" s="97"/>
      <c r="Y910" s="97"/>
      <c r="Z910" s="97"/>
    </row>
    <row r="911" spans="1:26">
      <c r="A911" s="116"/>
      <c r="D911" s="92"/>
      <c r="E911" s="112"/>
      <c r="F911" s="97"/>
      <c r="G911" s="97"/>
      <c r="H911" s="97"/>
      <c r="I911" s="97"/>
      <c r="J911" s="97"/>
      <c r="K911" s="97"/>
      <c r="L911" s="97"/>
      <c r="M911" s="97"/>
      <c r="N911" s="97"/>
      <c r="O911" s="97"/>
      <c r="P911" s="97"/>
      <c r="Q911" s="97"/>
      <c r="R911" s="97"/>
      <c r="S911" s="97"/>
      <c r="T911" s="97"/>
      <c r="U911" s="97"/>
      <c r="V911" s="97"/>
      <c r="W911" s="97"/>
      <c r="X911" s="97"/>
      <c r="Y911" s="97"/>
      <c r="Z911" s="97"/>
    </row>
    <row r="912" spans="1:26">
      <c r="A912" s="116"/>
      <c r="D912" s="92"/>
      <c r="E912" s="112"/>
      <c r="F912" s="97"/>
      <c r="G912" s="97"/>
      <c r="H912" s="97"/>
      <c r="I912" s="97"/>
      <c r="J912" s="97"/>
      <c r="K912" s="97"/>
      <c r="L912" s="97"/>
      <c r="M912" s="97"/>
      <c r="N912" s="97"/>
      <c r="O912" s="97"/>
      <c r="P912" s="97"/>
      <c r="Q912" s="97"/>
      <c r="R912" s="97"/>
      <c r="S912" s="97"/>
      <c r="T912" s="97"/>
      <c r="U912" s="97"/>
      <c r="V912" s="97"/>
      <c r="W912" s="97"/>
      <c r="X912" s="97"/>
      <c r="Y912" s="97"/>
      <c r="Z912" s="97"/>
    </row>
    <row r="913" spans="1:26">
      <c r="A913" s="116"/>
      <c r="D913" s="92"/>
      <c r="E913" s="112"/>
      <c r="F913" s="97"/>
      <c r="G913" s="97"/>
      <c r="H913" s="97"/>
      <c r="I913" s="97"/>
      <c r="J913" s="97"/>
      <c r="K913" s="97"/>
      <c r="L913" s="97"/>
      <c r="M913" s="97"/>
      <c r="N913" s="97"/>
      <c r="O913" s="97"/>
      <c r="P913" s="97"/>
      <c r="Q913" s="97"/>
      <c r="R913" s="97"/>
      <c r="S913" s="97"/>
      <c r="T913" s="97"/>
      <c r="U913" s="97"/>
      <c r="V913" s="97"/>
      <c r="W913" s="97"/>
      <c r="X913" s="97"/>
      <c r="Y913" s="97"/>
      <c r="Z913" s="97"/>
    </row>
    <row r="914" spans="1:26">
      <c r="A914" s="116"/>
      <c r="D914" s="92"/>
      <c r="E914" s="112"/>
      <c r="F914" s="97"/>
      <c r="G914" s="97"/>
      <c r="H914" s="97"/>
      <c r="I914" s="97"/>
      <c r="J914" s="97"/>
      <c r="K914" s="97"/>
      <c r="L914" s="97"/>
      <c r="M914" s="97"/>
      <c r="N914" s="97"/>
      <c r="O914" s="97"/>
      <c r="P914" s="97"/>
      <c r="Q914" s="97"/>
      <c r="R914" s="97"/>
      <c r="S914" s="97"/>
      <c r="T914" s="97"/>
      <c r="U914" s="97"/>
      <c r="V914" s="97"/>
      <c r="W914" s="97"/>
      <c r="X914" s="97"/>
      <c r="Y914" s="97"/>
      <c r="Z914" s="97"/>
    </row>
    <row r="915" spans="1:26">
      <c r="A915" s="116"/>
      <c r="D915" s="92"/>
      <c r="E915" s="112"/>
      <c r="F915" s="97"/>
      <c r="G915" s="97"/>
      <c r="H915" s="97"/>
      <c r="I915" s="97"/>
      <c r="J915" s="97"/>
      <c r="K915" s="97"/>
      <c r="L915" s="97"/>
      <c r="M915" s="97"/>
      <c r="N915" s="97"/>
      <c r="O915" s="97"/>
      <c r="P915" s="97"/>
      <c r="Q915" s="97"/>
      <c r="R915" s="97"/>
      <c r="S915" s="97"/>
      <c r="T915" s="97"/>
      <c r="U915" s="97"/>
      <c r="V915" s="97"/>
      <c r="W915" s="97"/>
      <c r="X915" s="97"/>
      <c r="Y915" s="97"/>
      <c r="Z915" s="97"/>
    </row>
    <row r="916" spans="1:26">
      <c r="A916" s="116"/>
      <c r="D916" s="92"/>
      <c r="E916" s="112"/>
      <c r="F916" s="97"/>
      <c r="G916" s="97"/>
      <c r="H916" s="97"/>
      <c r="I916" s="97"/>
      <c r="J916" s="97"/>
      <c r="K916" s="97"/>
      <c r="L916" s="97"/>
      <c r="M916" s="97"/>
      <c r="N916" s="97"/>
      <c r="O916" s="97"/>
      <c r="P916" s="97"/>
      <c r="Q916" s="97"/>
      <c r="R916" s="97"/>
      <c r="S916" s="97"/>
      <c r="T916" s="97"/>
      <c r="U916" s="97"/>
      <c r="V916" s="97"/>
      <c r="W916" s="97"/>
      <c r="X916" s="97"/>
      <c r="Y916" s="97"/>
      <c r="Z916" s="97"/>
    </row>
    <row r="917" spans="1:26">
      <c r="A917" s="116"/>
      <c r="D917" s="92"/>
      <c r="E917" s="112"/>
      <c r="F917" s="97"/>
      <c r="G917" s="97"/>
      <c r="H917" s="97"/>
      <c r="I917" s="97"/>
      <c r="J917" s="97"/>
      <c r="K917" s="97"/>
      <c r="L917" s="97"/>
      <c r="M917" s="97"/>
      <c r="N917" s="97"/>
      <c r="O917" s="97"/>
      <c r="P917" s="97"/>
      <c r="Q917" s="97"/>
      <c r="R917" s="97"/>
      <c r="S917" s="97"/>
      <c r="T917" s="97"/>
      <c r="U917" s="97"/>
      <c r="V917" s="97"/>
      <c r="W917" s="97"/>
      <c r="X917" s="97"/>
      <c r="Y917" s="97"/>
      <c r="Z917" s="97"/>
    </row>
    <row r="918" spans="1:26">
      <c r="A918" s="116"/>
      <c r="D918" s="92"/>
      <c r="E918" s="112"/>
      <c r="F918" s="97"/>
      <c r="G918" s="97"/>
      <c r="H918" s="97"/>
      <c r="I918" s="97"/>
      <c r="J918" s="97"/>
      <c r="K918" s="97"/>
      <c r="L918" s="97"/>
      <c r="M918" s="97"/>
      <c r="N918" s="97"/>
      <c r="O918" s="97"/>
      <c r="P918" s="97"/>
      <c r="Q918" s="97"/>
      <c r="R918" s="97"/>
      <c r="S918" s="97"/>
      <c r="T918" s="97"/>
      <c r="U918" s="97"/>
      <c r="V918" s="97"/>
      <c r="W918" s="97"/>
      <c r="X918" s="97"/>
      <c r="Y918" s="97"/>
      <c r="Z918" s="97"/>
    </row>
    <row r="919" spans="1:26">
      <c r="A919" s="116"/>
      <c r="D919" s="92"/>
      <c r="E919" s="112"/>
      <c r="F919" s="97"/>
      <c r="G919" s="97"/>
      <c r="H919" s="97"/>
      <c r="I919" s="97"/>
      <c r="J919" s="97"/>
      <c r="K919" s="97"/>
      <c r="L919" s="97"/>
      <c r="M919" s="97"/>
      <c r="N919" s="97"/>
      <c r="O919" s="97"/>
      <c r="P919" s="97"/>
      <c r="Q919" s="97"/>
      <c r="R919" s="97"/>
      <c r="S919" s="97"/>
      <c r="T919" s="97"/>
      <c r="U919" s="97"/>
      <c r="V919" s="97"/>
      <c r="W919" s="97"/>
      <c r="X919" s="97"/>
      <c r="Y919" s="97"/>
      <c r="Z919" s="97"/>
    </row>
    <row r="920" spans="1:26">
      <c r="A920" s="116"/>
      <c r="D920" s="92"/>
      <c r="E920" s="112"/>
      <c r="F920" s="97"/>
      <c r="G920" s="97"/>
      <c r="H920" s="97"/>
      <c r="I920" s="97"/>
      <c r="J920" s="97"/>
      <c r="K920" s="97"/>
      <c r="L920" s="97"/>
      <c r="M920" s="97"/>
      <c r="N920" s="97"/>
      <c r="O920" s="97"/>
      <c r="P920" s="97"/>
      <c r="Q920" s="97"/>
      <c r="R920" s="97"/>
      <c r="S920" s="97"/>
      <c r="T920" s="97"/>
      <c r="U920" s="97"/>
      <c r="V920" s="97"/>
      <c r="W920" s="97"/>
      <c r="X920" s="97"/>
      <c r="Y920" s="97"/>
      <c r="Z920" s="97"/>
    </row>
    <row r="921" spans="1:26">
      <c r="A921" s="116"/>
      <c r="D921" s="92"/>
      <c r="E921" s="112"/>
      <c r="F921" s="97"/>
      <c r="G921" s="97"/>
      <c r="H921" s="97"/>
      <c r="I921" s="97"/>
      <c r="J921" s="97"/>
      <c r="K921" s="97"/>
      <c r="L921" s="97"/>
      <c r="M921" s="97"/>
      <c r="N921" s="97"/>
      <c r="O921" s="97"/>
      <c r="P921" s="97"/>
      <c r="Q921" s="97"/>
      <c r="R921" s="97"/>
      <c r="S921" s="97"/>
      <c r="T921" s="97"/>
      <c r="U921" s="97"/>
      <c r="V921" s="97"/>
      <c r="W921" s="97"/>
      <c r="X921" s="97"/>
      <c r="Y921" s="97"/>
      <c r="Z921" s="97"/>
    </row>
    <row r="922" spans="1:26">
      <c r="A922" s="116"/>
      <c r="D922" s="92"/>
      <c r="E922" s="112"/>
      <c r="F922" s="97"/>
      <c r="G922" s="97"/>
      <c r="H922" s="97"/>
      <c r="I922" s="97"/>
      <c r="J922" s="97"/>
      <c r="K922" s="97"/>
      <c r="L922" s="97"/>
      <c r="M922" s="97"/>
      <c r="N922" s="97"/>
      <c r="O922" s="97"/>
      <c r="P922" s="97"/>
      <c r="Q922" s="97"/>
      <c r="R922" s="97"/>
      <c r="S922" s="97"/>
      <c r="T922" s="97"/>
      <c r="U922" s="97"/>
      <c r="V922" s="97"/>
      <c r="W922" s="97"/>
      <c r="X922" s="97"/>
      <c r="Y922" s="97"/>
      <c r="Z922" s="97"/>
    </row>
    <row r="923" spans="1:26">
      <c r="A923" s="116"/>
      <c r="D923" s="92"/>
      <c r="E923" s="112"/>
      <c r="F923" s="97"/>
      <c r="G923" s="97"/>
      <c r="H923" s="97"/>
      <c r="I923" s="97"/>
      <c r="J923" s="97"/>
      <c r="K923" s="97"/>
      <c r="L923" s="97"/>
      <c r="M923" s="97"/>
      <c r="N923" s="97"/>
      <c r="O923" s="97"/>
      <c r="P923" s="97"/>
      <c r="Q923" s="97"/>
      <c r="R923" s="97"/>
      <c r="S923" s="97"/>
      <c r="T923" s="97"/>
      <c r="U923" s="97"/>
      <c r="V923" s="97"/>
      <c r="W923" s="97"/>
      <c r="X923" s="97"/>
      <c r="Y923" s="97"/>
      <c r="Z923" s="97"/>
    </row>
    <row r="924" spans="1:26">
      <c r="A924" s="116"/>
      <c r="D924" s="92"/>
      <c r="E924" s="112"/>
      <c r="F924" s="97"/>
      <c r="G924" s="97"/>
      <c r="H924" s="97"/>
      <c r="I924" s="97"/>
      <c r="J924" s="97"/>
      <c r="K924" s="97"/>
      <c r="L924" s="97"/>
      <c r="M924" s="97"/>
      <c r="N924" s="97"/>
      <c r="O924" s="97"/>
      <c r="P924" s="97"/>
      <c r="Q924" s="97"/>
      <c r="R924" s="97"/>
      <c r="S924" s="97"/>
      <c r="T924" s="97"/>
      <c r="U924" s="97"/>
      <c r="V924" s="97"/>
      <c r="W924" s="97"/>
      <c r="X924" s="97"/>
      <c r="Y924" s="97"/>
      <c r="Z924" s="97"/>
    </row>
    <row r="925" spans="1:26">
      <c r="A925" s="116"/>
      <c r="D925" s="92"/>
      <c r="E925" s="112"/>
      <c r="F925" s="97"/>
      <c r="G925" s="97"/>
      <c r="H925" s="97"/>
      <c r="I925" s="97"/>
      <c r="J925" s="97"/>
      <c r="K925" s="97"/>
      <c r="L925" s="97"/>
      <c r="M925" s="97"/>
      <c r="N925" s="97"/>
      <c r="O925" s="97"/>
      <c r="P925" s="97"/>
      <c r="Q925" s="97"/>
      <c r="R925" s="97"/>
      <c r="S925" s="97"/>
      <c r="T925" s="97"/>
      <c r="U925" s="97"/>
      <c r="V925" s="97"/>
      <c r="W925" s="97"/>
      <c r="X925" s="97"/>
      <c r="Y925" s="97"/>
      <c r="Z925" s="97"/>
    </row>
    <row r="926" spans="1:26">
      <c r="A926" s="116"/>
      <c r="D926" s="92"/>
      <c r="E926" s="112"/>
      <c r="F926" s="97"/>
      <c r="G926" s="97"/>
      <c r="H926" s="97"/>
      <c r="I926" s="97"/>
      <c r="J926" s="97"/>
      <c r="K926" s="97"/>
      <c r="L926" s="97"/>
      <c r="M926" s="97"/>
      <c r="N926" s="97"/>
      <c r="O926" s="97"/>
      <c r="P926" s="97"/>
      <c r="Q926" s="97"/>
      <c r="R926" s="97"/>
      <c r="S926" s="97"/>
      <c r="T926" s="97"/>
      <c r="U926" s="97"/>
      <c r="V926" s="97"/>
      <c r="W926" s="97"/>
      <c r="X926" s="97"/>
      <c r="Y926" s="97"/>
      <c r="Z926" s="97"/>
    </row>
    <row r="927" spans="1:26">
      <c r="A927" s="116"/>
      <c r="D927" s="92"/>
      <c r="E927" s="112"/>
      <c r="F927" s="97"/>
      <c r="G927" s="97"/>
      <c r="H927" s="97"/>
      <c r="I927" s="97"/>
      <c r="J927" s="97"/>
      <c r="K927" s="97"/>
      <c r="L927" s="97"/>
      <c r="M927" s="97"/>
      <c r="N927" s="97"/>
      <c r="O927" s="97"/>
      <c r="P927" s="97"/>
      <c r="Q927" s="97"/>
      <c r="R927" s="97"/>
      <c r="S927" s="97"/>
      <c r="T927" s="97"/>
      <c r="U927" s="97"/>
      <c r="V927" s="97"/>
      <c r="W927" s="97"/>
      <c r="X927" s="97"/>
      <c r="Y927" s="97"/>
      <c r="Z927" s="97"/>
    </row>
    <row r="928" spans="1:26">
      <c r="A928" s="116"/>
      <c r="D928" s="92"/>
      <c r="E928" s="112"/>
      <c r="F928" s="97"/>
      <c r="G928" s="97"/>
      <c r="H928" s="97"/>
      <c r="I928" s="97"/>
      <c r="J928" s="97"/>
      <c r="K928" s="97"/>
      <c r="L928" s="97"/>
      <c r="M928" s="97"/>
      <c r="N928" s="97"/>
      <c r="O928" s="97"/>
      <c r="P928" s="97"/>
      <c r="Q928" s="97"/>
      <c r="R928" s="97"/>
      <c r="S928" s="97"/>
      <c r="T928" s="97"/>
      <c r="U928" s="97"/>
      <c r="V928" s="97"/>
      <c r="W928" s="97"/>
      <c r="X928" s="97"/>
      <c r="Y928" s="97"/>
      <c r="Z928" s="97"/>
    </row>
    <row r="929" spans="1:26">
      <c r="A929" s="116"/>
      <c r="D929" s="92"/>
      <c r="E929" s="112"/>
      <c r="F929" s="97"/>
      <c r="G929" s="97"/>
      <c r="H929" s="97"/>
      <c r="I929" s="97"/>
      <c r="J929" s="97"/>
      <c r="K929" s="97"/>
      <c r="L929" s="97"/>
      <c r="M929" s="97"/>
      <c r="N929" s="97"/>
      <c r="O929" s="97"/>
      <c r="P929" s="97"/>
      <c r="Q929" s="97"/>
      <c r="R929" s="97"/>
      <c r="S929" s="97"/>
      <c r="T929" s="97"/>
      <c r="U929" s="97"/>
      <c r="V929" s="97"/>
      <c r="W929" s="97"/>
      <c r="X929" s="97"/>
      <c r="Y929" s="97"/>
      <c r="Z929" s="97"/>
    </row>
    <row r="930" spans="1:26">
      <c r="A930" s="116"/>
      <c r="D930" s="92"/>
      <c r="E930" s="112"/>
      <c r="F930" s="97"/>
      <c r="G930" s="97"/>
      <c r="H930" s="97"/>
      <c r="I930" s="97"/>
      <c r="J930" s="97"/>
      <c r="K930" s="97"/>
      <c r="L930" s="97"/>
      <c r="M930" s="97"/>
      <c r="N930" s="97"/>
      <c r="O930" s="97"/>
      <c r="P930" s="97"/>
      <c r="Q930" s="97"/>
      <c r="R930" s="97"/>
      <c r="S930" s="97"/>
      <c r="T930" s="97"/>
      <c r="U930" s="97"/>
      <c r="V930" s="97"/>
      <c r="W930" s="97"/>
      <c r="X930" s="97"/>
      <c r="Y930" s="97"/>
      <c r="Z930" s="97"/>
    </row>
    <row r="931" spans="1:26">
      <c r="A931" s="116"/>
      <c r="D931" s="92"/>
      <c r="E931" s="112"/>
      <c r="F931" s="97"/>
      <c r="G931" s="97"/>
      <c r="H931" s="97"/>
      <c r="I931" s="97"/>
      <c r="J931" s="97"/>
      <c r="K931" s="97"/>
      <c r="L931" s="97"/>
      <c r="M931" s="97"/>
      <c r="N931" s="97"/>
      <c r="O931" s="97"/>
      <c r="P931" s="97"/>
      <c r="Q931" s="97"/>
      <c r="R931" s="97"/>
      <c r="S931" s="97"/>
      <c r="T931" s="97"/>
      <c r="U931" s="97"/>
      <c r="V931" s="97"/>
      <c r="W931" s="97"/>
      <c r="X931" s="97"/>
      <c r="Y931" s="97"/>
      <c r="Z931" s="97"/>
    </row>
    <row r="932" spans="1:26">
      <c r="A932" s="116"/>
      <c r="D932" s="92"/>
      <c r="E932" s="112"/>
      <c r="F932" s="97"/>
      <c r="G932" s="97"/>
      <c r="H932" s="97"/>
      <c r="I932" s="97"/>
      <c r="J932" s="97"/>
      <c r="K932" s="97"/>
      <c r="L932" s="97"/>
      <c r="M932" s="97"/>
      <c r="N932" s="97"/>
      <c r="O932" s="97"/>
      <c r="P932" s="97"/>
      <c r="Q932" s="97"/>
      <c r="R932" s="97"/>
      <c r="S932" s="97"/>
      <c r="T932" s="97"/>
      <c r="U932" s="97"/>
      <c r="V932" s="97"/>
      <c r="W932" s="97"/>
      <c r="X932" s="97"/>
      <c r="Y932" s="97"/>
      <c r="Z932" s="97"/>
    </row>
    <row r="933" spans="1:26">
      <c r="A933" s="116"/>
      <c r="D933" s="92"/>
      <c r="E933" s="112"/>
      <c r="F933" s="97"/>
      <c r="G933" s="97"/>
      <c r="H933" s="97"/>
      <c r="I933" s="97"/>
      <c r="J933" s="97"/>
      <c r="K933" s="97"/>
      <c r="L933" s="97"/>
      <c r="M933" s="97"/>
      <c r="N933" s="97"/>
      <c r="O933" s="97"/>
      <c r="P933" s="97"/>
      <c r="Q933" s="97"/>
      <c r="R933" s="97"/>
      <c r="S933" s="97"/>
      <c r="T933" s="97"/>
      <c r="U933" s="97"/>
      <c r="V933" s="97"/>
      <c r="W933" s="97"/>
      <c r="X933" s="97"/>
      <c r="Y933" s="97"/>
      <c r="Z933" s="97"/>
    </row>
    <row r="934" spans="1:26">
      <c r="A934" s="116"/>
      <c r="D934" s="92"/>
      <c r="E934" s="112"/>
      <c r="F934" s="97"/>
      <c r="G934" s="97"/>
      <c r="H934" s="97"/>
      <c r="I934" s="97"/>
      <c r="J934" s="97"/>
      <c r="K934" s="97"/>
      <c r="L934" s="97"/>
      <c r="M934" s="97"/>
      <c r="N934" s="97"/>
      <c r="O934" s="97"/>
      <c r="P934" s="97"/>
      <c r="Q934" s="97"/>
      <c r="R934" s="97"/>
      <c r="S934" s="97"/>
      <c r="T934" s="97"/>
      <c r="U934" s="97"/>
      <c r="V934" s="97"/>
      <c r="W934" s="97"/>
      <c r="X934" s="97"/>
      <c r="Y934" s="97"/>
      <c r="Z934" s="97"/>
    </row>
    <row r="935" spans="1:26">
      <c r="A935" s="116"/>
      <c r="D935" s="92"/>
      <c r="E935" s="112"/>
      <c r="F935" s="97"/>
      <c r="G935" s="97"/>
      <c r="H935" s="97"/>
      <c r="I935" s="97"/>
      <c r="J935" s="97"/>
      <c r="K935" s="97"/>
      <c r="L935" s="97"/>
      <c r="M935" s="97"/>
      <c r="N935" s="97"/>
      <c r="O935" s="97"/>
      <c r="P935" s="97"/>
      <c r="Q935" s="97"/>
      <c r="R935" s="97"/>
      <c r="S935" s="97"/>
      <c r="T935" s="97"/>
      <c r="U935" s="97"/>
      <c r="V935" s="97"/>
      <c r="W935" s="97"/>
      <c r="X935" s="97"/>
      <c r="Y935" s="97"/>
      <c r="Z935" s="97"/>
    </row>
    <row r="936" spans="1:26">
      <c r="A936" s="116"/>
      <c r="D936" s="92"/>
      <c r="E936" s="112"/>
      <c r="F936" s="97"/>
      <c r="G936" s="97"/>
      <c r="H936" s="97"/>
      <c r="I936" s="97"/>
      <c r="J936" s="97"/>
      <c r="K936" s="97"/>
      <c r="L936" s="97"/>
      <c r="M936" s="97"/>
      <c r="N936" s="97"/>
      <c r="O936" s="97"/>
      <c r="P936" s="97"/>
      <c r="Q936" s="97"/>
      <c r="R936" s="97"/>
      <c r="S936" s="97"/>
      <c r="T936" s="97"/>
      <c r="U936" s="97"/>
      <c r="V936" s="97"/>
      <c r="W936" s="97"/>
      <c r="X936" s="97"/>
      <c r="Y936" s="97"/>
      <c r="Z936" s="97"/>
    </row>
    <row r="937" spans="1:26">
      <c r="A937" s="116"/>
      <c r="D937" s="92"/>
      <c r="E937" s="112"/>
      <c r="F937" s="97"/>
      <c r="G937" s="97"/>
      <c r="H937" s="97"/>
      <c r="I937" s="97"/>
      <c r="J937" s="97"/>
      <c r="K937" s="97"/>
      <c r="L937" s="97"/>
      <c r="M937" s="97"/>
      <c r="N937" s="97"/>
      <c r="O937" s="97"/>
      <c r="P937" s="97"/>
      <c r="Q937" s="97"/>
      <c r="R937" s="97"/>
      <c r="S937" s="97"/>
      <c r="T937" s="97"/>
      <c r="U937" s="97"/>
      <c r="V937" s="97"/>
      <c r="W937" s="97"/>
      <c r="X937" s="97"/>
      <c r="Y937" s="97"/>
      <c r="Z937" s="97"/>
    </row>
    <row r="938" spans="1:26">
      <c r="A938" s="116"/>
      <c r="D938" s="92"/>
      <c r="E938" s="112"/>
      <c r="F938" s="97"/>
      <c r="G938" s="97"/>
      <c r="H938" s="97"/>
      <c r="I938" s="97"/>
      <c r="J938" s="97"/>
      <c r="K938" s="97"/>
      <c r="L938" s="97"/>
      <c r="M938" s="97"/>
      <c r="N938" s="97"/>
      <c r="O938" s="97"/>
      <c r="P938" s="97"/>
      <c r="Q938" s="97"/>
      <c r="R938" s="97"/>
      <c r="S938" s="97"/>
      <c r="T938" s="97"/>
      <c r="U938" s="97"/>
      <c r="V938" s="97"/>
      <c r="W938" s="97"/>
      <c r="X938" s="97"/>
      <c r="Y938" s="97"/>
      <c r="Z938" s="97"/>
    </row>
    <row r="939" spans="1:26">
      <c r="A939" s="116"/>
      <c r="D939" s="92"/>
      <c r="E939" s="112"/>
      <c r="F939" s="97"/>
      <c r="G939" s="97"/>
      <c r="H939" s="97"/>
      <c r="I939" s="97"/>
      <c r="J939" s="97"/>
      <c r="K939" s="97"/>
      <c r="L939" s="97"/>
      <c r="M939" s="97"/>
      <c r="N939" s="97"/>
      <c r="O939" s="97"/>
      <c r="P939" s="97"/>
      <c r="Q939" s="97"/>
      <c r="R939" s="97"/>
      <c r="S939" s="97"/>
      <c r="T939" s="97"/>
      <c r="U939" s="97"/>
      <c r="V939" s="97"/>
      <c r="W939" s="97"/>
      <c r="X939" s="97"/>
      <c r="Y939" s="97"/>
      <c r="Z939" s="97"/>
    </row>
    <row r="940" spans="1:26">
      <c r="A940" s="116"/>
      <c r="D940" s="92"/>
      <c r="E940" s="112"/>
      <c r="F940" s="97"/>
      <c r="G940" s="97"/>
      <c r="H940" s="97"/>
      <c r="I940" s="97"/>
      <c r="J940" s="97"/>
      <c r="K940" s="97"/>
      <c r="L940" s="97"/>
      <c r="M940" s="97"/>
      <c r="N940" s="97"/>
      <c r="O940" s="97"/>
      <c r="P940" s="97"/>
      <c r="Q940" s="97"/>
      <c r="R940" s="97"/>
      <c r="S940" s="97"/>
      <c r="T940" s="97"/>
      <c r="U940" s="97"/>
      <c r="V940" s="97"/>
      <c r="W940" s="97"/>
      <c r="X940" s="97"/>
      <c r="Y940" s="97"/>
      <c r="Z940" s="97"/>
    </row>
    <row r="941" spans="1:26">
      <c r="A941" s="116"/>
      <c r="D941" s="92"/>
      <c r="E941" s="112"/>
      <c r="F941" s="97"/>
      <c r="G941" s="97"/>
      <c r="H941" s="97"/>
      <c r="I941" s="97"/>
      <c r="J941" s="97"/>
      <c r="K941" s="97"/>
      <c r="L941" s="97"/>
      <c r="M941" s="97"/>
      <c r="N941" s="97"/>
      <c r="O941" s="97"/>
      <c r="P941" s="97"/>
      <c r="Q941" s="97"/>
      <c r="R941" s="97"/>
      <c r="S941" s="97"/>
      <c r="T941" s="97"/>
      <c r="U941" s="97"/>
      <c r="V941" s="97"/>
      <c r="W941" s="97"/>
      <c r="X941" s="97"/>
      <c r="Y941" s="97"/>
      <c r="Z941" s="97"/>
    </row>
    <row r="942" spans="1:26">
      <c r="A942" s="116"/>
      <c r="D942" s="92"/>
      <c r="E942" s="112"/>
      <c r="F942" s="97"/>
      <c r="G942" s="97"/>
      <c r="H942" s="97"/>
      <c r="I942" s="97"/>
      <c r="J942" s="97"/>
      <c r="K942" s="97"/>
      <c r="L942" s="97"/>
      <c r="M942" s="97"/>
      <c r="N942" s="97"/>
      <c r="O942" s="97"/>
      <c r="P942" s="97"/>
      <c r="Q942" s="97"/>
      <c r="R942" s="97"/>
      <c r="S942" s="97"/>
      <c r="T942" s="97"/>
      <c r="U942" s="97"/>
      <c r="V942" s="97"/>
      <c r="W942" s="97"/>
      <c r="X942" s="97"/>
      <c r="Y942" s="97"/>
      <c r="Z942" s="97"/>
    </row>
    <row r="943" spans="1:26">
      <c r="A943" s="116"/>
      <c r="D943" s="92"/>
      <c r="E943" s="112"/>
      <c r="F943" s="97"/>
      <c r="G943" s="97"/>
      <c r="H943" s="97"/>
      <c r="I943" s="97"/>
      <c r="J943" s="97"/>
      <c r="K943" s="97"/>
      <c r="L943" s="97"/>
      <c r="M943" s="97"/>
      <c r="N943" s="97"/>
      <c r="O943" s="97"/>
      <c r="P943" s="97"/>
      <c r="Q943" s="97"/>
      <c r="R943" s="97"/>
      <c r="S943" s="97"/>
      <c r="T943" s="97"/>
      <c r="U943" s="97"/>
      <c r="V943" s="97"/>
      <c r="W943" s="97"/>
      <c r="X943" s="97"/>
      <c r="Y943" s="97"/>
      <c r="Z943" s="97"/>
    </row>
    <row r="944" spans="1:26">
      <c r="A944" s="116"/>
      <c r="D944" s="92"/>
      <c r="E944" s="112"/>
      <c r="F944" s="97"/>
      <c r="G944" s="97"/>
      <c r="H944" s="97"/>
      <c r="I944" s="97"/>
      <c r="J944" s="97"/>
      <c r="K944" s="97"/>
      <c r="L944" s="97"/>
      <c r="M944" s="97"/>
      <c r="N944" s="97"/>
      <c r="O944" s="97"/>
      <c r="P944" s="97"/>
      <c r="Q944" s="97"/>
      <c r="R944" s="97"/>
      <c r="S944" s="97"/>
      <c r="T944" s="97"/>
      <c r="U944" s="97"/>
      <c r="V944" s="97"/>
      <c r="W944" s="97"/>
      <c r="X944" s="97"/>
      <c r="Y944" s="97"/>
      <c r="Z944" s="97"/>
    </row>
    <row r="945" spans="1:26">
      <c r="A945" s="116"/>
      <c r="D945" s="92"/>
      <c r="E945" s="112"/>
      <c r="F945" s="97"/>
      <c r="G945" s="97"/>
      <c r="H945" s="97"/>
      <c r="I945" s="97"/>
      <c r="J945" s="97"/>
      <c r="K945" s="97"/>
      <c r="L945" s="97"/>
      <c r="M945" s="97"/>
      <c r="N945" s="97"/>
      <c r="O945" s="97"/>
      <c r="P945" s="97"/>
      <c r="Q945" s="97"/>
      <c r="R945" s="97"/>
      <c r="S945" s="97"/>
      <c r="T945" s="97"/>
      <c r="U945" s="97"/>
      <c r="V945" s="97"/>
      <c r="W945" s="97"/>
      <c r="X945" s="97"/>
      <c r="Y945" s="97"/>
      <c r="Z945" s="97"/>
    </row>
    <row r="946" spans="1:26">
      <c r="A946" s="116"/>
      <c r="D946" s="92"/>
      <c r="E946" s="112"/>
      <c r="F946" s="97"/>
      <c r="G946" s="97"/>
      <c r="H946" s="97"/>
      <c r="I946" s="97"/>
      <c r="J946" s="97"/>
      <c r="K946" s="97"/>
      <c r="L946" s="97"/>
      <c r="M946" s="97"/>
      <c r="N946" s="97"/>
      <c r="O946" s="97"/>
      <c r="P946" s="97"/>
      <c r="Q946" s="97"/>
      <c r="R946" s="97"/>
      <c r="S946" s="97"/>
      <c r="T946" s="97"/>
      <c r="U946" s="97"/>
      <c r="V946" s="97"/>
      <c r="W946" s="97"/>
      <c r="X946" s="97"/>
      <c r="Y946" s="97"/>
      <c r="Z946" s="97"/>
    </row>
    <row r="947" spans="1:26">
      <c r="A947" s="116"/>
      <c r="D947" s="92"/>
      <c r="E947" s="112"/>
      <c r="F947" s="97"/>
      <c r="G947" s="97"/>
      <c r="H947" s="97"/>
      <c r="I947" s="97"/>
      <c r="J947" s="97"/>
      <c r="K947" s="97"/>
      <c r="L947" s="97"/>
      <c r="M947" s="97"/>
      <c r="N947" s="97"/>
      <c r="O947" s="97"/>
      <c r="P947" s="97"/>
      <c r="Q947" s="97"/>
      <c r="R947" s="97"/>
      <c r="S947" s="97"/>
      <c r="T947" s="97"/>
      <c r="U947" s="97"/>
      <c r="V947" s="97"/>
      <c r="W947" s="97"/>
      <c r="X947" s="97"/>
      <c r="Y947" s="97"/>
      <c r="Z947" s="97"/>
    </row>
    <row r="948" spans="1:26">
      <c r="A948" s="116"/>
      <c r="D948" s="92"/>
      <c r="E948" s="112"/>
      <c r="F948" s="97"/>
      <c r="G948" s="97"/>
      <c r="H948" s="97"/>
      <c r="I948" s="97"/>
      <c r="J948" s="97"/>
      <c r="K948" s="97"/>
      <c r="L948" s="97"/>
      <c r="M948" s="97"/>
      <c r="N948" s="97"/>
      <c r="O948" s="97"/>
      <c r="P948" s="97"/>
      <c r="Q948" s="97"/>
      <c r="R948" s="97"/>
      <c r="S948" s="97"/>
      <c r="T948" s="97"/>
      <c r="U948" s="97"/>
      <c r="V948" s="97"/>
      <c r="W948" s="97"/>
      <c r="X948" s="97"/>
      <c r="Y948" s="97"/>
      <c r="Z948" s="97"/>
    </row>
    <row r="949" spans="1:26">
      <c r="A949" s="116"/>
      <c r="D949" s="92"/>
      <c r="E949" s="112"/>
      <c r="F949" s="97"/>
      <c r="G949" s="97"/>
      <c r="H949" s="97"/>
      <c r="I949" s="97"/>
      <c r="J949" s="97"/>
      <c r="K949" s="97"/>
      <c r="L949" s="97"/>
      <c r="M949" s="97"/>
      <c r="N949" s="97"/>
      <c r="O949" s="97"/>
      <c r="P949" s="97"/>
      <c r="Q949" s="97"/>
      <c r="R949" s="97"/>
      <c r="S949" s="97"/>
      <c r="T949" s="97"/>
      <c r="U949" s="97"/>
      <c r="V949" s="97"/>
      <c r="W949" s="97"/>
      <c r="X949" s="97"/>
      <c r="Y949" s="97"/>
      <c r="Z949" s="97"/>
    </row>
    <row r="950" spans="1:26">
      <c r="A950" s="116"/>
      <c r="D950" s="92"/>
      <c r="E950" s="112"/>
      <c r="F950" s="97"/>
      <c r="G950" s="97"/>
      <c r="H950" s="97"/>
      <c r="I950" s="97"/>
      <c r="J950" s="97"/>
      <c r="K950" s="97"/>
      <c r="L950" s="97"/>
      <c r="M950" s="97"/>
      <c r="N950" s="97"/>
      <c r="O950" s="97"/>
      <c r="P950" s="97"/>
      <c r="Q950" s="97"/>
      <c r="R950" s="97"/>
      <c r="S950" s="97"/>
      <c r="T950" s="97"/>
      <c r="U950" s="97"/>
      <c r="V950" s="97"/>
      <c r="W950" s="97"/>
      <c r="X950" s="97"/>
      <c r="Y950" s="97"/>
      <c r="Z950" s="97"/>
    </row>
    <row r="951" spans="1:26">
      <c r="A951" s="116"/>
      <c r="D951" s="92"/>
      <c r="E951" s="112"/>
      <c r="F951" s="97"/>
      <c r="G951" s="97"/>
      <c r="H951" s="97"/>
      <c r="I951" s="97"/>
      <c r="J951" s="97"/>
      <c r="K951" s="97"/>
      <c r="L951" s="97"/>
      <c r="M951" s="97"/>
      <c r="N951" s="97"/>
      <c r="O951" s="97"/>
      <c r="P951" s="97"/>
      <c r="Q951" s="97"/>
      <c r="R951" s="97"/>
      <c r="S951" s="97"/>
      <c r="T951" s="97"/>
      <c r="U951" s="97"/>
      <c r="V951" s="97"/>
      <c r="W951" s="97"/>
      <c r="X951" s="97"/>
      <c r="Y951" s="97"/>
      <c r="Z951" s="97"/>
    </row>
    <row r="952" spans="1:26">
      <c r="A952" s="116"/>
      <c r="D952" s="92"/>
      <c r="E952" s="112"/>
      <c r="F952" s="97"/>
      <c r="G952" s="97"/>
      <c r="H952" s="97"/>
      <c r="I952" s="97"/>
      <c r="J952" s="97"/>
      <c r="K952" s="97"/>
      <c r="L952" s="97"/>
      <c r="M952" s="97"/>
      <c r="N952" s="97"/>
      <c r="O952" s="97"/>
      <c r="P952" s="97"/>
      <c r="Q952" s="97"/>
      <c r="R952" s="97"/>
      <c r="S952" s="97"/>
      <c r="T952" s="97"/>
      <c r="U952" s="97"/>
      <c r="V952" s="97"/>
      <c r="W952" s="97"/>
      <c r="X952" s="97"/>
      <c r="Y952" s="97"/>
      <c r="Z952" s="97"/>
    </row>
    <row r="953" spans="1:26">
      <c r="A953" s="116"/>
      <c r="D953" s="92"/>
      <c r="E953" s="112"/>
      <c r="F953" s="97"/>
      <c r="G953" s="97"/>
      <c r="H953" s="97"/>
      <c r="I953" s="97"/>
      <c r="J953" s="97"/>
      <c r="K953" s="97"/>
      <c r="L953" s="97"/>
      <c r="M953" s="97"/>
      <c r="N953" s="97"/>
      <c r="O953" s="97"/>
      <c r="P953" s="97"/>
      <c r="Q953" s="97"/>
      <c r="R953" s="97"/>
      <c r="S953" s="97"/>
      <c r="T953" s="97"/>
      <c r="U953" s="97"/>
      <c r="V953" s="97"/>
      <c r="W953" s="97"/>
      <c r="X953" s="97"/>
      <c r="Y953" s="97"/>
      <c r="Z953" s="97"/>
    </row>
    <row r="954" spans="1:26">
      <c r="A954" s="116"/>
      <c r="D954" s="92"/>
      <c r="E954" s="112"/>
      <c r="F954" s="97"/>
      <c r="G954" s="97"/>
      <c r="H954" s="97"/>
      <c r="I954" s="97"/>
      <c r="J954" s="97"/>
      <c r="K954" s="97"/>
      <c r="L954" s="97"/>
      <c r="M954" s="97"/>
      <c r="N954" s="97"/>
      <c r="O954" s="97"/>
      <c r="P954" s="97"/>
      <c r="Q954" s="97"/>
      <c r="R954" s="97"/>
      <c r="S954" s="97"/>
      <c r="T954" s="97"/>
      <c r="U954" s="97"/>
      <c r="V954" s="97"/>
      <c r="W954" s="97"/>
      <c r="X954" s="97"/>
      <c r="Y954" s="97"/>
      <c r="Z954" s="97"/>
    </row>
    <row r="955" spans="1:26">
      <c r="A955" s="116"/>
      <c r="D955" s="92"/>
      <c r="E955" s="112"/>
      <c r="F955" s="97"/>
      <c r="G955" s="97"/>
      <c r="H955" s="97"/>
      <c r="I955" s="97"/>
      <c r="J955" s="97"/>
      <c r="K955" s="97"/>
      <c r="L955" s="97"/>
      <c r="M955" s="97"/>
      <c r="N955" s="97"/>
      <c r="O955" s="97"/>
      <c r="P955" s="97"/>
      <c r="Q955" s="97"/>
      <c r="R955" s="97"/>
      <c r="S955" s="97"/>
      <c r="T955" s="97"/>
      <c r="U955" s="97"/>
      <c r="V955" s="97"/>
      <c r="W955" s="97"/>
      <c r="X955" s="97"/>
      <c r="Y955" s="97"/>
      <c r="Z955" s="97"/>
    </row>
    <row r="956" spans="1:26">
      <c r="A956" s="116"/>
      <c r="D956" s="92"/>
      <c r="E956" s="112"/>
      <c r="F956" s="97"/>
      <c r="G956" s="97"/>
      <c r="H956" s="97"/>
      <c r="I956" s="97"/>
      <c r="J956" s="97"/>
      <c r="K956" s="97"/>
      <c r="L956" s="97"/>
      <c r="M956" s="97"/>
      <c r="N956" s="97"/>
      <c r="O956" s="97"/>
      <c r="P956" s="97"/>
      <c r="Q956" s="97"/>
      <c r="R956" s="97"/>
      <c r="S956" s="97"/>
      <c r="T956" s="97"/>
      <c r="U956" s="97"/>
      <c r="V956" s="97"/>
      <c r="W956" s="97"/>
      <c r="X956" s="97"/>
      <c r="Y956" s="97"/>
      <c r="Z956" s="97"/>
    </row>
    <row r="957" spans="1:26">
      <c r="A957" s="116"/>
      <c r="D957" s="92"/>
      <c r="E957" s="112"/>
      <c r="F957" s="97"/>
      <c r="G957" s="97"/>
      <c r="H957" s="97"/>
      <c r="I957" s="97"/>
      <c r="J957" s="97"/>
      <c r="K957" s="97"/>
      <c r="L957" s="97"/>
      <c r="M957" s="97"/>
      <c r="N957" s="97"/>
      <c r="O957" s="97"/>
      <c r="P957" s="97"/>
      <c r="Q957" s="97"/>
      <c r="R957" s="97"/>
      <c r="S957" s="97"/>
      <c r="T957" s="97"/>
      <c r="U957" s="97"/>
      <c r="V957" s="97"/>
      <c r="W957" s="97"/>
      <c r="X957" s="97"/>
      <c r="Y957" s="97"/>
      <c r="Z957" s="97"/>
    </row>
    <row r="958" spans="1:26">
      <c r="A958" s="116"/>
      <c r="D958" s="92"/>
      <c r="E958" s="112"/>
      <c r="F958" s="97"/>
      <c r="G958" s="97"/>
      <c r="H958" s="97"/>
      <c r="I958" s="97"/>
      <c r="J958" s="97"/>
      <c r="K958" s="97"/>
      <c r="L958" s="97"/>
      <c r="M958" s="97"/>
      <c r="N958" s="97"/>
      <c r="O958" s="97"/>
      <c r="P958" s="97"/>
      <c r="Q958" s="97"/>
      <c r="R958" s="97"/>
      <c r="S958" s="97"/>
      <c r="T958" s="97"/>
      <c r="U958" s="97"/>
      <c r="V958" s="97"/>
      <c r="W958" s="97"/>
      <c r="X958" s="97"/>
      <c r="Y958" s="97"/>
      <c r="Z958" s="97"/>
    </row>
    <row r="959" spans="1:26">
      <c r="A959" s="116"/>
      <c r="D959" s="92"/>
      <c r="E959" s="112"/>
      <c r="F959" s="97"/>
      <c r="G959" s="97"/>
      <c r="H959" s="97"/>
      <c r="I959" s="97"/>
      <c r="J959" s="97"/>
      <c r="K959" s="97"/>
      <c r="L959" s="97"/>
      <c r="M959" s="97"/>
      <c r="N959" s="97"/>
      <c r="O959" s="97"/>
      <c r="P959" s="97"/>
      <c r="Q959" s="97"/>
      <c r="R959" s="97"/>
      <c r="S959" s="97"/>
      <c r="T959" s="97"/>
      <c r="U959" s="97"/>
      <c r="V959" s="97"/>
      <c r="W959" s="97"/>
      <c r="X959" s="97"/>
      <c r="Y959" s="97"/>
      <c r="Z959" s="97"/>
    </row>
    <row r="960" spans="1:26">
      <c r="A960" s="116"/>
      <c r="D960" s="92"/>
      <c r="E960" s="112"/>
      <c r="F960" s="97"/>
      <c r="G960" s="97"/>
      <c r="H960" s="97"/>
      <c r="I960" s="97"/>
      <c r="J960" s="97"/>
      <c r="K960" s="97"/>
      <c r="L960" s="97"/>
      <c r="M960" s="97"/>
      <c r="N960" s="97"/>
      <c r="O960" s="97"/>
      <c r="P960" s="97"/>
      <c r="Q960" s="97"/>
      <c r="R960" s="97"/>
      <c r="S960" s="97"/>
      <c r="T960" s="97"/>
      <c r="U960" s="97"/>
      <c r="V960" s="97"/>
      <c r="W960" s="97"/>
      <c r="X960" s="97"/>
      <c r="Y960" s="97"/>
      <c r="Z960" s="97"/>
    </row>
    <row r="961" spans="1:26">
      <c r="A961" s="116"/>
      <c r="D961" s="92"/>
      <c r="E961" s="112"/>
      <c r="F961" s="97"/>
      <c r="G961" s="97"/>
      <c r="H961" s="97"/>
      <c r="I961" s="97"/>
      <c r="J961" s="97"/>
      <c r="K961" s="97"/>
      <c r="L961" s="97"/>
      <c r="M961" s="97"/>
      <c r="N961" s="97"/>
      <c r="O961" s="97"/>
      <c r="P961" s="97"/>
      <c r="Q961" s="97"/>
      <c r="R961" s="97"/>
      <c r="S961" s="97"/>
      <c r="T961" s="97"/>
      <c r="U961" s="97"/>
      <c r="V961" s="97"/>
      <c r="W961" s="97"/>
      <c r="X961" s="97"/>
      <c r="Y961" s="97"/>
      <c r="Z961" s="97"/>
    </row>
    <row r="962" spans="1:26">
      <c r="A962" s="116"/>
      <c r="D962" s="92"/>
      <c r="E962" s="112"/>
      <c r="F962" s="97"/>
      <c r="G962" s="97"/>
      <c r="H962" s="97"/>
      <c r="I962" s="97"/>
      <c r="J962" s="97"/>
      <c r="K962" s="97"/>
      <c r="L962" s="97"/>
      <c r="M962" s="97"/>
      <c r="N962" s="97"/>
      <c r="O962" s="97"/>
      <c r="P962" s="97"/>
      <c r="Q962" s="97"/>
      <c r="R962" s="97"/>
      <c r="S962" s="97"/>
      <c r="T962" s="97"/>
      <c r="U962" s="97"/>
      <c r="V962" s="97"/>
      <c r="W962" s="97"/>
      <c r="X962" s="97"/>
      <c r="Y962" s="97"/>
      <c r="Z962" s="97"/>
    </row>
    <row r="963" spans="1:26">
      <c r="A963" s="116"/>
      <c r="D963" s="92"/>
      <c r="E963" s="112"/>
      <c r="F963" s="97"/>
      <c r="G963" s="97"/>
      <c r="H963" s="97"/>
      <c r="I963" s="97"/>
      <c r="J963" s="97"/>
      <c r="K963" s="97"/>
      <c r="L963" s="97"/>
      <c r="M963" s="97"/>
      <c r="N963" s="97"/>
      <c r="O963" s="97"/>
      <c r="P963" s="97"/>
      <c r="Q963" s="97"/>
      <c r="R963" s="97"/>
      <c r="S963" s="97"/>
      <c r="T963" s="97"/>
      <c r="U963" s="97"/>
      <c r="V963" s="97"/>
      <c r="W963" s="97"/>
      <c r="X963" s="97"/>
      <c r="Y963" s="97"/>
      <c r="Z963" s="97"/>
    </row>
    <row r="964" spans="1:26">
      <c r="A964" s="116"/>
      <c r="D964" s="92"/>
      <c r="E964" s="112"/>
      <c r="F964" s="97"/>
      <c r="G964" s="97"/>
      <c r="H964" s="97"/>
      <c r="I964" s="97"/>
      <c r="J964" s="97"/>
      <c r="K964" s="97"/>
      <c r="L964" s="97"/>
      <c r="M964" s="97"/>
      <c r="N964" s="97"/>
      <c r="O964" s="97"/>
      <c r="P964" s="97"/>
      <c r="Q964" s="97"/>
      <c r="R964" s="97"/>
      <c r="S964" s="97"/>
      <c r="T964" s="97"/>
      <c r="U964" s="97"/>
      <c r="V964" s="97"/>
      <c r="W964" s="97"/>
      <c r="X964" s="97"/>
      <c r="Y964" s="97"/>
      <c r="Z964" s="97"/>
    </row>
    <row r="965" spans="1:26">
      <c r="A965" s="116"/>
      <c r="D965" s="92"/>
      <c r="E965" s="112"/>
      <c r="F965" s="97"/>
      <c r="G965" s="97"/>
      <c r="H965" s="97"/>
      <c r="I965" s="97"/>
      <c r="J965" s="97"/>
      <c r="K965" s="97"/>
      <c r="L965" s="97"/>
      <c r="M965" s="97"/>
      <c r="N965" s="97"/>
      <c r="O965" s="97"/>
      <c r="P965" s="97"/>
      <c r="Q965" s="97"/>
      <c r="R965" s="97"/>
      <c r="S965" s="97"/>
      <c r="T965" s="97"/>
      <c r="U965" s="97"/>
      <c r="V965" s="97"/>
      <c r="W965" s="97"/>
      <c r="X965" s="97"/>
      <c r="Y965" s="97"/>
      <c r="Z965" s="97"/>
    </row>
    <row r="966" spans="1:26">
      <c r="A966" s="116"/>
      <c r="D966" s="92"/>
      <c r="E966" s="112"/>
      <c r="F966" s="97"/>
      <c r="G966" s="97"/>
      <c r="H966" s="97"/>
      <c r="I966" s="97"/>
      <c r="J966" s="97"/>
      <c r="K966" s="97"/>
      <c r="L966" s="97"/>
      <c r="M966" s="97"/>
      <c r="N966" s="97"/>
      <c r="O966" s="97"/>
      <c r="P966" s="97"/>
      <c r="Q966" s="97"/>
      <c r="R966" s="97"/>
      <c r="S966" s="97"/>
      <c r="T966" s="97"/>
      <c r="U966" s="97"/>
      <c r="V966" s="97"/>
      <c r="W966" s="97"/>
      <c r="X966" s="97"/>
      <c r="Y966" s="97"/>
      <c r="Z966" s="97"/>
    </row>
    <row r="967" spans="1:26">
      <c r="A967" s="116"/>
      <c r="D967" s="92"/>
      <c r="E967" s="112"/>
      <c r="F967" s="97"/>
      <c r="G967" s="97"/>
      <c r="H967" s="97"/>
      <c r="I967" s="97"/>
      <c r="J967" s="97"/>
      <c r="K967" s="97"/>
      <c r="L967" s="97"/>
      <c r="M967" s="97"/>
      <c r="N967" s="97"/>
      <c r="O967" s="97"/>
      <c r="P967" s="97"/>
      <c r="Q967" s="97"/>
      <c r="R967" s="97"/>
      <c r="S967" s="97"/>
      <c r="T967" s="97"/>
      <c r="U967" s="97"/>
      <c r="V967" s="97"/>
      <c r="W967" s="97"/>
      <c r="X967" s="97"/>
      <c r="Y967" s="97"/>
      <c r="Z967" s="97"/>
    </row>
    <row r="968" spans="1:26">
      <c r="A968" s="116"/>
      <c r="D968" s="92"/>
      <c r="E968" s="112"/>
      <c r="F968" s="97"/>
      <c r="G968" s="97"/>
      <c r="H968" s="97"/>
      <c r="I968" s="97"/>
      <c r="J968" s="97"/>
      <c r="K968" s="97"/>
      <c r="L968" s="97"/>
      <c r="M968" s="97"/>
      <c r="N968" s="97"/>
      <c r="O968" s="97"/>
      <c r="P968" s="97"/>
      <c r="Q968" s="97"/>
      <c r="R968" s="97"/>
      <c r="S968" s="97"/>
      <c r="T968" s="97"/>
      <c r="U968" s="97"/>
      <c r="V968" s="97"/>
      <c r="W968" s="97"/>
      <c r="X968" s="97"/>
      <c r="Y968" s="97"/>
      <c r="Z968" s="97"/>
    </row>
    <row r="969" spans="1:26">
      <c r="A969" s="116"/>
      <c r="D969" s="92"/>
      <c r="E969" s="112"/>
      <c r="F969" s="97"/>
      <c r="G969" s="97"/>
      <c r="H969" s="97"/>
      <c r="I969" s="97"/>
      <c r="J969" s="97"/>
      <c r="K969" s="97"/>
      <c r="L969" s="97"/>
      <c r="M969" s="97"/>
      <c r="N969" s="97"/>
      <c r="O969" s="97"/>
      <c r="P969" s="97"/>
      <c r="Q969" s="97"/>
      <c r="R969" s="97"/>
      <c r="S969" s="97"/>
      <c r="T969" s="97"/>
      <c r="U969" s="97"/>
      <c r="V969" s="97"/>
      <c r="W969" s="97"/>
      <c r="X969" s="97"/>
      <c r="Y969" s="97"/>
      <c r="Z969" s="97"/>
    </row>
    <row r="970" spans="1:26">
      <c r="A970" s="116"/>
      <c r="D970" s="92"/>
      <c r="E970" s="112"/>
      <c r="F970" s="97"/>
      <c r="G970" s="97"/>
      <c r="H970" s="97"/>
      <c r="I970" s="97"/>
      <c r="J970" s="97"/>
      <c r="K970" s="97"/>
      <c r="L970" s="97"/>
      <c r="M970" s="97"/>
      <c r="N970" s="97"/>
      <c r="O970" s="97"/>
      <c r="P970" s="97"/>
      <c r="Q970" s="97"/>
      <c r="R970" s="97"/>
      <c r="S970" s="97"/>
      <c r="T970" s="97"/>
      <c r="U970" s="97"/>
      <c r="V970" s="97"/>
      <c r="W970" s="97"/>
      <c r="X970" s="97"/>
      <c r="Y970" s="97"/>
      <c r="Z970" s="97"/>
    </row>
    <row r="971" spans="1:26">
      <c r="A971" s="116"/>
      <c r="D971" s="92"/>
      <c r="E971" s="112"/>
      <c r="F971" s="97"/>
      <c r="G971" s="97"/>
      <c r="H971" s="97"/>
      <c r="I971" s="97"/>
      <c r="J971" s="97"/>
      <c r="K971" s="97"/>
      <c r="L971" s="97"/>
      <c r="M971" s="97"/>
      <c r="N971" s="97"/>
      <c r="O971" s="97"/>
      <c r="P971" s="97"/>
      <c r="Q971" s="97"/>
      <c r="R971" s="97"/>
      <c r="S971" s="97"/>
      <c r="T971" s="97"/>
      <c r="U971" s="97"/>
      <c r="V971" s="97"/>
      <c r="W971" s="97"/>
      <c r="X971" s="97"/>
      <c r="Y971" s="97"/>
      <c r="Z971" s="97"/>
    </row>
    <row r="972" spans="1:26">
      <c r="A972" s="116"/>
      <c r="D972" s="92"/>
      <c r="E972" s="112"/>
      <c r="F972" s="97"/>
      <c r="G972" s="97"/>
      <c r="H972" s="97"/>
      <c r="I972" s="97"/>
      <c r="J972" s="97"/>
      <c r="K972" s="97"/>
      <c r="L972" s="97"/>
      <c r="M972" s="97"/>
      <c r="N972" s="97"/>
      <c r="O972" s="97"/>
      <c r="P972" s="97"/>
      <c r="Q972" s="97"/>
      <c r="R972" s="97"/>
      <c r="S972" s="97"/>
      <c r="T972" s="97"/>
      <c r="U972" s="97"/>
      <c r="V972" s="97"/>
      <c r="W972" s="97"/>
      <c r="X972" s="97"/>
      <c r="Y972" s="97"/>
      <c r="Z972" s="97"/>
    </row>
    <row r="973" spans="1:26">
      <c r="A973" s="116"/>
      <c r="D973" s="92"/>
      <c r="E973" s="112"/>
      <c r="F973" s="97"/>
      <c r="G973" s="97"/>
      <c r="H973" s="97"/>
      <c r="I973" s="97"/>
      <c r="J973" s="97"/>
      <c r="K973" s="97"/>
      <c r="L973" s="97"/>
      <c r="M973" s="97"/>
      <c r="N973" s="97"/>
      <c r="O973" s="97"/>
      <c r="P973" s="97"/>
      <c r="Q973" s="97"/>
      <c r="R973" s="97"/>
      <c r="S973" s="97"/>
      <c r="T973" s="97"/>
      <c r="U973" s="97"/>
      <c r="V973" s="97"/>
      <c r="W973" s="97"/>
      <c r="X973" s="97"/>
      <c r="Y973" s="97"/>
      <c r="Z973" s="97"/>
    </row>
    <row r="974" spans="1:26">
      <c r="A974" s="116"/>
      <c r="D974" s="92"/>
      <c r="E974" s="112"/>
      <c r="F974" s="97"/>
      <c r="G974" s="97"/>
      <c r="H974" s="97"/>
      <c r="I974" s="97"/>
      <c r="J974" s="97"/>
      <c r="K974" s="97"/>
      <c r="L974" s="97"/>
      <c r="M974" s="97"/>
      <c r="N974" s="97"/>
      <c r="O974" s="97"/>
      <c r="P974" s="97"/>
      <c r="Q974" s="97"/>
      <c r="R974" s="97"/>
      <c r="S974" s="97"/>
      <c r="T974" s="97"/>
      <c r="U974" s="97"/>
      <c r="V974" s="97"/>
      <c r="W974" s="97"/>
      <c r="X974" s="97"/>
      <c r="Y974" s="97"/>
      <c r="Z974" s="97"/>
    </row>
    <row r="975" spans="1:26">
      <c r="A975" s="116"/>
      <c r="D975" s="92"/>
      <c r="E975" s="112"/>
      <c r="F975" s="97"/>
      <c r="G975" s="97"/>
      <c r="H975" s="97"/>
      <c r="I975" s="97"/>
      <c r="J975" s="97"/>
      <c r="K975" s="97"/>
      <c r="L975" s="97"/>
      <c r="M975" s="97"/>
      <c r="N975" s="97"/>
      <c r="O975" s="97"/>
      <c r="P975" s="97"/>
      <c r="Q975" s="97"/>
      <c r="R975" s="97"/>
      <c r="S975" s="97"/>
      <c r="T975" s="97"/>
      <c r="U975" s="97"/>
      <c r="V975" s="97"/>
      <c r="W975" s="97"/>
      <c r="X975" s="97"/>
      <c r="Y975" s="97"/>
      <c r="Z975" s="97"/>
    </row>
    <row r="976" spans="1:26">
      <c r="A976" s="116"/>
      <c r="D976" s="92"/>
      <c r="E976" s="112"/>
      <c r="F976" s="97"/>
      <c r="G976" s="97"/>
      <c r="H976" s="97"/>
      <c r="I976" s="97"/>
      <c r="J976" s="97"/>
      <c r="K976" s="97"/>
      <c r="L976" s="97"/>
      <c r="M976" s="97"/>
      <c r="N976" s="97"/>
      <c r="O976" s="97"/>
      <c r="P976" s="97"/>
      <c r="Q976" s="97"/>
      <c r="R976" s="97"/>
      <c r="S976" s="97"/>
      <c r="T976" s="97"/>
      <c r="U976" s="97"/>
      <c r="V976" s="97"/>
      <c r="W976" s="97"/>
      <c r="X976" s="97"/>
      <c r="Y976" s="97"/>
      <c r="Z976" s="97"/>
    </row>
    <row r="977" spans="1:26">
      <c r="A977" s="116"/>
      <c r="D977" s="92"/>
      <c r="E977" s="112"/>
      <c r="F977" s="97"/>
      <c r="G977" s="97"/>
      <c r="H977" s="97"/>
      <c r="I977" s="97"/>
      <c r="J977" s="97"/>
      <c r="K977" s="97"/>
      <c r="L977" s="97"/>
      <c r="M977" s="97"/>
      <c r="N977" s="97"/>
      <c r="O977" s="97"/>
      <c r="P977" s="97"/>
      <c r="Q977" s="97"/>
      <c r="R977" s="97"/>
      <c r="S977" s="97"/>
      <c r="T977" s="97"/>
      <c r="U977" s="97"/>
      <c r="V977" s="97"/>
      <c r="W977" s="97"/>
      <c r="X977" s="97"/>
      <c r="Y977" s="97"/>
      <c r="Z977" s="97"/>
    </row>
    <row r="978" spans="1:26">
      <c r="A978" s="116"/>
      <c r="D978" s="92"/>
      <c r="E978" s="112"/>
      <c r="F978" s="97"/>
      <c r="G978" s="97"/>
      <c r="H978" s="97"/>
      <c r="I978" s="97"/>
      <c r="J978" s="97"/>
      <c r="K978" s="97"/>
      <c r="L978" s="97"/>
      <c r="M978" s="97"/>
      <c r="N978" s="97"/>
      <c r="O978" s="97"/>
      <c r="P978" s="97"/>
      <c r="Q978" s="97"/>
      <c r="R978" s="97"/>
      <c r="S978" s="97"/>
      <c r="T978" s="97"/>
      <c r="U978" s="97"/>
      <c r="V978" s="97"/>
      <c r="W978" s="97"/>
      <c r="X978" s="97"/>
      <c r="Y978" s="97"/>
      <c r="Z978" s="97"/>
    </row>
    <row r="979" spans="1:26">
      <c r="A979" s="116"/>
      <c r="D979" s="92"/>
      <c r="E979" s="112"/>
      <c r="F979" s="97"/>
      <c r="G979" s="97"/>
      <c r="H979" s="97"/>
      <c r="I979" s="97"/>
      <c r="J979" s="97"/>
      <c r="K979" s="97"/>
      <c r="L979" s="97"/>
      <c r="M979" s="97"/>
      <c r="N979" s="97"/>
      <c r="O979" s="97"/>
      <c r="P979" s="97"/>
      <c r="Q979" s="97"/>
      <c r="R979" s="97"/>
      <c r="S979" s="97"/>
      <c r="T979" s="97"/>
      <c r="U979" s="97"/>
      <c r="V979" s="97"/>
      <c r="W979" s="97"/>
      <c r="X979" s="97"/>
      <c r="Y979" s="97"/>
      <c r="Z979" s="97"/>
    </row>
    <row r="980" spans="1:26">
      <c r="A980" s="116"/>
      <c r="D980" s="92"/>
      <c r="E980" s="112"/>
      <c r="F980" s="97"/>
      <c r="G980" s="97"/>
      <c r="H980" s="97"/>
      <c r="I980" s="97"/>
      <c r="J980" s="97"/>
      <c r="K980" s="97"/>
      <c r="L980" s="97"/>
      <c r="M980" s="97"/>
      <c r="N980" s="97"/>
      <c r="O980" s="97"/>
      <c r="P980" s="97"/>
      <c r="Q980" s="97"/>
      <c r="R980" s="97"/>
      <c r="S980" s="97"/>
      <c r="T980" s="97"/>
      <c r="U980" s="97"/>
      <c r="V980" s="97"/>
      <c r="W980" s="97"/>
      <c r="X980" s="97"/>
      <c r="Y980" s="97"/>
      <c r="Z980" s="97"/>
    </row>
    <row r="981" spans="1:26">
      <c r="A981" s="116"/>
      <c r="D981" s="92"/>
      <c r="E981" s="112"/>
      <c r="F981" s="97"/>
      <c r="G981" s="97"/>
      <c r="H981" s="97"/>
      <c r="I981" s="97"/>
      <c r="J981" s="97"/>
      <c r="K981" s="97"/>
      <c r="L981" s="97"/>
      <c r="M981" s="97"/>
      <c r="N981" s="97"/>
      <c r="O981" s="97"/>
      <c r="P981" s="97"/>
      <c r="Q981" s="97"/>
      <c r="R981" s="97"/>
      <c r="S981" s="97"/>
      <c r="T981" s="97"/>
      <c r="U981" s="97"/>
      <c r="V981" s="97"/>
      <c r="W981" s="97"/>
      <c r="X981" s="97"/>
      <c r="Y981" s="97"/>
      <c r="Z981" s="97"/>
    </row>
    <row r="982" spans="1:26">
      <c r="A982" s="116"/>
      <c r="D982" s="92"/>
      <c r="E982" s="112"/>
      <c r="F982" s="97"/>
      <c r="G982" s="97"/>
      <c r="H982" s="97"/>
      <c r="I982" s="97"/>
      <c r="J982" s="97"/>
      <c r="K982" s="97"/>
      <c r="L982" s="97"/>
      <c r="M982" s="97"/>
      <c r="N982" s="97"/>
      <c r="O982" s="97"/>
      <c r="P982" s="97"/>
      <c r="Q982" s="97"/>
      <c r="R982" s="97"/>
      <c r="S982" s="97"/>
      <c r="T982" s="97"/>
      <c r="U982" s="97"/>
      <c r="V982" s="97"/>
      <c r="W982" s="97"/>
      <c r="X982" s="97"/>
      <c r="Y982" s="97"/>
      <c r="Z982" s="97"/>
    </row>
    <row r="983" spans="1:26">
      <c r="A983" s="116"/>
      <c r="D983" s="92"/>
      <c r="E983" s="112"/>
      <c r="F983" s="97"/>
      <c r="G983" s="97"/>
      <c r="H983" s="97"/>
      <c r="I983" s="97"/>
      <c r="J983" s="97"/>
      <c r="K983" s="97"/>
      <c r="L983" s="97"/>
      <c r="M983" s="97"/>
      <c r="N983" s="97"/>
      <c r="O983" s="97"/>
      <c r="P983" s="97"/>
      <c r="Q983" s="97"/>
      <c r="R983" s="97"/>
      <c r="S983" s="97"/>
      <c r="T983" s="97"/>
      <c r="U983" s="97"/>
      <c r="V983" s="97"/>
      <c r="W983" s="97"/>
      <c r="X983" s="97"/>
      <c r="Y983" s="97"/>
      <c r="Z983" s="97"/>
    </row>
    <row r="984" spans="1:26">
      <c r="A984" s="116"/>
      <c r="D984" s="92"/>
      <c r="E984" s="112"/>
      <c r="F984" s="97"/>
      <c r="G984" s="97"/>
      <c r="H984" s="97"/>
      <c r="I984" s="97"/>
      <c r="J984" s="97"/>
      <c r="K984" s="97"/>
      <c r="L984" s="97"/>
      <c r="M984" s="97"/>
      <c r="N984" s="97"/>
      <c r="O984" s="97"/>
      <c r="P984" s="97"/>
      <c r="Q984" s="97"/>
      <c r="R984" s="97"/>
      <c r="S984" s="97"/>
      <c r="T984" s="97"/>
      <c r="U984" s="97"/>
      <c r="V984" s="97"/>
      <c r="W984" s="97"/>
      <c r="X984" s="97"/>
      <c r="Y984" s="97"/>
      <c r="Z984" s="97"/>
    </row>
    <row r="985" spans="1:26">
      <c r="A985" s="116"/>
      <c r="D985" s="92"/>
      <c r="E985" s="112"/>
      <c r="F985" s="97"/>
      <c r="G985" s="97"/>
      <c r="H985" s="97"/>
      <c r="I985" s="97"/>
      <c r="J985" s="97"/>
      <c r="K985" s="97"/>
      <c r="L985" s="97"/>
      <c r="M985" s="97"/>
      <c r="N985" s="97"/>
      <c r="O985" s="97"/>
      <c r="P985" s="97"/>
      <c r="Q985" s="97"/>
      <c r="R985" s="97"/>
      <c r="S985" s="97"/>
      <c r="T985" s="97"/>
      <c r="U985" s="97"/>
      <c r="V985" s="97"/>
      <c r="W985" s="97"/>
      <c r="X985" s="97"/>
      <c r="Y985" s="97"/>
      <c r="Z985" s="97"/>
    </row>
    <row r="986" spans="1:26">
      <c r="A986" s="116"/>
      <c r="D986" s="92"/>
      <c r="E986" s="112"/>
      <c r="F986" s="97"/>
      <c r="G986" s="97"/>
      <c r="H986" s="97"/>
      <c r="I986" s="97"/>
      <c r="J986" s="97"/>
      <c r="K986" s="97"/>
      <c r="L986" s="97"/>
      <c r="M986" s="97"/>
      <c r="N986" s="97"/>
      <c r="O986" s="97"/>
      <c r="P986" s="97"/>
      <c r="Q986" s="97"/>
      <c r="R986" s="97"/>
      <c r="S986" s="97"/>
      <c r="T986" s="97"/>
      <c r="U986" s="97"/>
      <c r="V986" s="97"/>
      <c r="W986" s="97"/>
      <c r="X986" s="97"/>
      <c r="Y986" s="97"/>
      <c r="Z986" s="97"/>
    </row>
    <row r="987" spans="1:26">
      <c r="A987" s="116"/>
      <c r="D987" s="92"/>
      <c r="E987" s="112"/>
      <c r="F987" s="97"/>
      <c r="G987" s="97"/>
      <c r="H987" s="97"/>
      <c r="I987" s="97"/>
      <c r="J987" s="97"/>
      <c r="K987" s="97"/>
      <c r="L987" s="97"/>
      <c r="M987" s="97"/>
      <c r="N987" s="97"/>
      <c r="O987" s="97"/>
      <c r="P987" s="97"/>
      <c r="Q987" s="97"/>
      <c r="R987" s="97"/>
      <c r="S987" s="97"/>
      <c r="T987" s="97"/>
      <c r="U987" s="97"/>
      <c r="V987" s="97"/>
      <c r="W987" s="97"/>
      <c r="X987" s="97"/>
      <c r="Y987" s="97"/>
      <c r="Z987" s="97"/>
    </row>
    <row r="988" spans="1:26">
      <c r="A988" s="116"/>
      <c r="D988" s="92"/>
      <c r="E988" s="112"/>
      <c r="F988" s="97"/>
      <c r="G988" s="97"/>
      <c r="H988" s="97"/>
      <c r="I988" s="97"/>
      <c r="J988" s="97"/>
      <c r="K988" s="97"/>
      <c r="L988" s="97"/>
      <c r="M988" s="97"/>
      <c r="N988" s="97"/>
      <c r="O988" s="97"/>
      <c r="P988" s="97"/>
      <c r="Q988" s="97"/>
      <c r="R988" s="97"/>
      <c r="S988" s="97"/>
      <c r="T988" s="97"/>
      <c r="U988" s="97"/>
      <c r="V988" s="97"/>
      <c r="W988" s="97"/>
      <c r="X988" s="97"/>
      <c r="Y988" s="97"/>
      <c r="Z988" s="97"/>
    </row>
    <row r="989" spans="1:26">
      <c r="A989" s="116"/>
      <c r="D989" s="92"/>
      <c r="E989" s="112"/>
      <c r="F989" s="97"/>
      <c r="G989" s="97"/>
      <c r="H989" s="97"/>
      <c r="I989" s="97"/>
      <c r="J989" s="97"/>
      <c r="K989" s="97"/>
      <c r="L989" s="97"/>
      <c r="M989" s="97"/>
      <c r="N989" s="97"/>
      <c r="O989" s="97"/>
      <c r="P989" s="97"/>
      <c r="Q989" s="97"/>
      <c r="R989" s="97"/>
      <c r="S989" s="97"/>
      <c r="T989" s="97"/>
      <c r="U989" s="97"/>
      <c r="V989" s="97"/>
      <c r="W989" s="97"/>
      <c r="X989" s="97"/>
      <c r="Y989" s="97"/>
      <c r="Z989" s="97"/>
    </row>
    <row r="990" spans="1:26">
      <c r="A990" s="116"/>
      <c r="D990" s="92"/>
      <c r="E990" s="112"/>
      <c r="F990" s="97"/>
      <c r="G990" s="97"/>
      <c r="H990" s="97"/>
      <c r="I990" s="97"/>
      <c r="J990" s="97"/>
      <c r="K990" s="97"/>
      <c r="L990" s="97"/>
      <c r="M990" s="97"/>
      <c r="N990" s="97"/>
      <c r="O990" s="97"/>
      <c r="P990" s="97"/>
      <c r="Q990" s="97"/>
      <c r="R990" s="97"/>
      <c r="S990" s="97"/>
      <c r="T990" s="97"/>
      <c r="U990" s="97"/>
      <c r="V990" s="97"/>
      <c r="W990" s="97"/>
      <c r="X990" s="97"/>
      <c r="Y990" s="97"/>
      <c r="Z990" s="97"/>
    </row>
    <row r="991" spans="1:26">
      <c r="A991" s="116"/>
      <c r="D991" s="92"/>
      <c r="E991" s="112"/>
      <c r="F991" s="97"/>
      <c r="G991" s="97"/>
      <c r="H991" s="97"/>
      <c r="I991" s="97"/>
      <c r="J991" s="97"/>
      <c r="K991" s="97"/>
      <c r="L991" s="97"/>
      <c r="M991" s="97"/>
      <c r="N991" s="97"/>
      <c r="O991" s="97"/>
      <c r="P991" s="97"/>
      <c r="Q991" s="97"/>
      <c r="R991" s="97"/>
      <c r="S991" s="97"/>
      <c r="T991" s="97"/>
      <c r="U991" s="97"/>
      <c r="V991" s="97"/>
      <c r="W991" s="97"/>
      <c r="X991" s="97"/>
      <c r="Y991" s="97"/>
      <c r="Z991" s="97"/>
    </row>
    <row r="992" spans="1:26">
      <c r="A992" s="116"/>
      <c r="D992" s="92"/>
      <c r="E992" s="112"/>
      <c r="F992" s="97"/>
      <c r="G992" s="97"/>
      <c r="H992" s="97"/>
      <c r="I992" s="97"/>
      <c r="J992" s="97"/>
      <c r="K992" s="97"/>
      <c r="L992" s="97"/>
      <c r="M992" s="97"/>
      <c r="N992" s="97"/>
      <c r="O992" s="97"/>
      <c r="P992" s="97"/>
      <c r="Q992" s="97"/>
      <c r="R992" s="97"/>
      <c r="S992" s="97"/>
      <c r="T992" s="97"/>
      <c r="U992" s="97"/>
      <c r="V992" s="97"/>
      <c r="W992" s="97"/>
      <c r="X992" s="97"/>
      <c r="Y992" s="97"/>
      <c r="Z992" s="97"/>
    </row>
    <row r="993" spans="1:26">
      <c r="A993" s="116"/>
      <c r="D993" s="92"/>
      <c r="E993" s="112"/>
      <c r="F993" s="97"/>
      <c r="G993" s="97"/>
      <c r="H993" s="97"/>
      <c r="I993" s="97"/>
      <c r="J993" s="97"/>
      <c r="K993" s="97"/>
      <c r="L993" s="97"/>
      <c r="M993" s="97"/>
      <c r="N993" s="97"/>
      <c r="O993" s="97"/>
      <c r="P993" s="97"/>
      <c r="Q993" s="97"/>
      <c r="R993" s="97"/>
      <c r="S993" s="97"/>
      <c r="T993" s="97"/>
      <c r="U993" s="97"/>
      <c r="V993" s="97"/>
      <c r="W993" s="97"/>
      <c r="X993" s="97"/>
      <c r="Y993" s="97"/>
      <c r="Z993" s="97"/>
    </row>
    <row r="994" spans="1:26">
      <c r="A994" s="116"/>
      <c r="D994" s="92"/>
      <c r="E994" s="112"/>
      <c r="F994" s="97"/>
      <c r="G994" s="97"/>
      <c r="H994" s="97"/>
      <c r="I994" s="97"/>
      <c r="J994" s="97"/>
      <c r="K994" s="97"/>
      <c r="L994" s="97"/>
      <c r="M994" s="97"/>
      <c r="N994" s="97"/>
      <c r="O994" s="97"/>
      <c r="P994" s="97"/>
      <c r="Q994" s="97"/>
      <c r="R994" s="97"/>
      <c r="S994" s="97"/>
      <c r="T994" s="97"/>
      <c r="U994" s="97"/>
      <c r="V994" s="97"/>
      <c r="W994" s="97"/>
      <c r="X994" s="97"/>
      <c r="Y994" s="97"/>
      <c r="Z994" s="97"/>
    </row>
    <row r="995" spans="1:26">
      <c r="A995" s="116"/>
      <c r="D995" s="92"/>
      <c r="E995" s="112"/>
      <c r="F995" s="97"/>
      <c r="G995" s="97"/>
      <c r="H995" s="97"/>
      <c r="I995" s="97"/>
      <c r="J995" s="97"/>
      <c r="K995" s="97"/>
      <c r="L995" s="97"/>
      <c r="M995" s="97"/>
      <c r="N995" s="97"/>
      <c r="O995" s="97"/>
      <c r="P995" s="97"/>
      <c r="Q995" s="97"/>
      <c r="R995" s="97"/>
      <c r="S995" s="97"/>
      <c r="T995" s="97"/>
      <c r="U995" s="97"/>
      <c r="V995" s="97"/>
      <c r="W995" s="97"/>
      <c r="X995" s="97"/>
      <c r="Y995" s="97"/>
      <c r="Z995" s="97"/>
    </row>
    <row r="996" spans="1:26">
      <c r="A996" s="116"/>
      <c r="D996" s="92"/>
      <c r="E996" s="112"/>
      <c r="F996" s="97"/>
      <c r="G996" s="97"/>
      <c r="H996" s="97"/>
      <c r="I996" s="97"/>
      <c r="J996" s="97"/>
      <c r="K996" s="97"/>
      <c r="L996" s="97"/>
      <c r="M996" s="97"/>
      <c r="N996" s="97"/>
      <c r="O996" s="97"/>
      <c r="P996" s="97"/>
      <c r="Q996" s="97"/>
      <c r="R996" s="97"/>
      <c r="S996" s="97"/>
      <c r="T996" s="97"/>
      <c r="U996" s="97"/>
      <c r="V996" s="97"/>
      <c r="W996" s="97"/>
      <c r="X996" s="97"/>
      <c r="Y996" s="97"/>
      <c r="Z996" s="97"/>
    </row>
    <row r="997" spans="1:26">
      <c r="A997" s="116"/>
      <c r="D997" s="92"/>
      <c r="E997" s="112"/>
      <c r="F997" s="97"/>
      <c r="G997" s="97"/>
      <c r="H997" s="97"/>
      <c r="I997" s="97"/>
      <c r="J997" s="97"/>
      <c r="K997" s="97"/>
      <c r="L997" s="97"/>
      <c r="M997" s="97"/>
      <c r="N997" s="97"/>
      <c r="O997" s="97"/>
      <c r="P997" s="97"/>
      <c r="Q997" s="97"/>
      <c r="R997" s="97"/>
      <c r="S997" s="97"/>
      <c r="T997" s="97"/>
      <c r="U997" s="97"/>
      <c r="V997" s="97"/>
      <c r="W997" s="97"/>
      <c r="X997" s="97"/>
      <c r="Y997" s="97"/>
      <c r="Z997" s="97"/>
    </row>
    <row r="998" spans="1:26">
      <c r="A998" s="116"/>
      <c r="D998" s="92"/>
      <c r="E998" s="112"/>
      <c r="F998" s="97"/>
      <c r="G998" s="97"/>
      <c r="H998" s="97"/>
      <c r="I998" s="97"/>
      <c r="J998" s="97"/>
      <c r="K998" s="97"/>
      <c r="L998" s="97"/>
      <c r="M998" s="97"/>
      <c r="N998" s="97"/>
      <c r="O998" s="97"/>
      <c r="P998" s="97"/>
      <c r="Q998" s="97"/>
      <c r="R998" s="97"/>
      <c r="S998" s="97"/>
      <c r="T998" s="97"/>
      <c r="U998" s="97"/>
      <c r="V998" s="97"/>
      <c r="W998" s="97"/>
      <c r="X998" s="97"/>
      <c r="Y998" s="97"/>
      <c r="Z998" s="97"/>
    </row>
  </sheetData>
  <pageMargins left="0.511811024" right="0.511811024" top="0.78740157499999996" bottom="0.78740157499999996"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5275-4288-4B6F-8228-7A44C0583AA8}">
  <sheetPr>
    <tabColor rgb="FFFF0000"/>
    <outlinePr summaryBelow="0" summaryRight="0"/>
  </sheetPr>
  <dimension ref="A1:U957"/>
  <sheetViews>
    <sheetView workbookViewId="0">
      <selection activeCell="D10" sqref="D10"/>
    </sheetView>
  </sheetViews>
  <sheetFormatPr defaultColWidth="14.42578125" defaultRowHeight="15" customHeight="1"/>
  <cols>
    <col min="1" max="1" width="33.7109375" customWidth="1"/>
    <col min="2" max="2" width="12.5703125" customWidth="1"/>
    <col min="3" max="3" width="4.85546875" customWidth="1"/>
    <col min="4" max="4" width="21.85546875" style="520" customWidth="1"/>
    <col min="5" max="5" width="23.42578125" style="484" bestFit="1" customWidth="1"/>
  </cols>
  <sheetData>
    <row r="1" spans="1:21" ht="28.5" customHeight="1">
      <c r="A1" s="530" t="s">
        <v>25</v>
      </c>
      <c r="B1" s="531" t="s">
        <v>119</v>
      </c>
      <c r="C1" s="129"/>
      <c r="D1" s="517"/>
      <c r="E1" s="129"/>
      <c r="F1" s="129"/>
      <c r="G1" s="129"/>
      <c r="H1" s="129"/>
      <c r="I1" s="129"/>
      <c r="J1" s="129"/>
      <c r="K1" s="129"/>
      <c r="L1" s="129"/>
      <c r="M1" s="129"/>
      <c r="N1" s="129"/>
      <c r="O1" s="129"/>
      <c r="P1" s="129"/>
      <c r="Q1" s="129"/>
      <c r="R1" s="129"/>
      <c r="S1" s="129"/>
      <c r="T1" s="129"/>
      <c r="U1" s="129"/>
    </row>
    <row r="2" spans="1:21" ht="15" customHeight="1">
      <c r="A2" s="527" t="s">
        <v>2447</v>
      </c>
      <c r="B2" s="523">
        <v>4000</v>
      </c>
      <c r="C2" s="130"/>
      <c r="D2" s="518"/>
      <c r="E2" s="96"/>
      <c r="F2" s="97"/>
      <c r="G2" s="97"/>
      <c r="H2" s="97"/>
      <c r="I2" s="97"/>
      <c r="J2" s="97"/>
      <c r="K2" s="97"/>
      <c r="L2" s="97"/>
      <c r="M2" s="97"/>
      <c r="N2" s="97"/>
      <c r="O2" s="97"/>
      <c r="P2" s="97"/>
      <c r="Q2" s="97"/>
      <c r="R2" s="97"/>
      <c r="S2" s="97"/>
      <c r="T2" s="97"/>
      <c r="U2" s="97"/>
    </row>
    <row r="3" spans="1:21" ht="15" customHeight="1">
      <c r="A3" s="527" t="s">
        <v>1478</v>
      </c>
      <c r="B3" s="523">
        <v>3000</v>
      </c>
      <c r="C3" s="524"/>
      <c r="D3" s="525"/>
      <c r="E3" s="528"/>
      <c r="F3" s="524"/>
      <c r="G3" s="524"/>
      <c r="H3" s="524"/>
      <c r="I3" s="524"/>
      <c r="J3" s="524"/>
      <c r="K3" s="524"/>
      <c r="L3" s="524"/>
      <c r="M3" s="524"/>
      <c r="N3" s="524"/>
      <c r="O3" s="524"/>
      <c r="P3" s="524"/>
      <c r="Q3" s="524"/>
      <c r="R3" s="524"/>
      <c r="S3" s="524"/>
      <c r="T3" s="524"/>
      <c r="U3" s="524"/>
    </row>
    <row r="4" spans="1:21">
      <c r="A4" s="522" t="s">
        <v>2448</v>
      </c>
      <c r="B4" s="523">
        <v>3000</v>
      </c>
      <c r="C4" s="97"/>
      <c r="D4" s="519"/>
      <c r="E4" s="96"/>
      <c r="F4" s="97"/>
      <c r="G4" s="97"/>
      <c r="H4" s="97"/>
      <c r="I4" s="97"/>
      <c r="J4" s="97"/>
      <c r="K4" s="97"/>
      <c r="L4" s="97"/>
      <c r="M4" s="97"/>
      <c r="N4" s="97"/>
      <c r="O4" s="97"/>
      <c r="P4" s="97"/>
      <c r="Q4" s="97"/>
      <c r="R4" s="97"/>
      <c r="S4" s="97"/>
      <c r="T4" s="97"/>
      <c r="U4" s="97"/>
    </row>
    <row r="5" spans="1:21" ht="15.75" thickBot="1">
      <c r="A5" s="529"/>
      <c r="B5" s="523"/>
      <c r="C5" s="97"/>
      <c r="D5" s="519"/>
      <c r="E5" s="96"/>
      <c r="F5" s="97"/>
      <c r="G5" s="97"/>
      <c r="H5" s="97"/>
      <c r="I5" s="97"/>
      <c r="J5" s="97"/>
      <c r="K5" s="97"/>
      <c r="L5" s="97"/>
      <c r="M5" s="97"/>
      <c r="N5" s="97"/>
      <c r="O5" s="97"/>
      <c r="P5" s="97"/>
      <c r="Q5" s="97"/>
      <c r="R5" s="97"/>
      <c r="S5" s="97"/>
      <c r="T5" s="97"/>
      <c r="U5" s="97"/>
    </row>
    <row r="6" spans="1:21" ht="15.75" thickBot="1">
      <c r="A6" s="124"/>
      <c r="B6" s="532">
        <f>SUM(B2:B5)</f>
        <v>10000</v>
      </c>
      <c r="C6" s="97"/>
      <c r="D6" s="519"/>
      <c r="E6" s="96"/>
      <c r="F6" s="97"/>
      <c r="G6" s="97"/>
      <c r="H6" s="97"/>
      <c r="I6" s="97"/>
      <c r="J6" s="97"/>
      <c r="K6" s="97"/>
      <c r="L6" s="97"/>
      <c r="M6" s="97"/>
      <c r="N6" s="97"/>
      <c r="O6" s="97"/>
      <c r="P6" s="97"/>
      <c r="Q6" s="97"/>
      <c r="R6" s="97"/>
      <c r="S6" s="97"/>
      <c r="T6" s="97"/>
      <c r="U6" s="97"/>
    </row>
    <row r="7" spans="1:21">
      <c r="A7" s="124"/>
      <c r="B7" s="125"/>
      <c r="C7" s="97"/>
      <c r="D7" s="519"/>
      <c r="E7" s="96"/>
      <c r="F7" s="97"/>
      <c r="G7" s="97"/>
      <c r="H7" s="97"/>
      <c r="I7" s="97"/>
      <c r="J7" s="97"/>
      <c r="K7" s="97"/>
      <c r="L7" s="97"/>
      <c r="M7" s="97"/>
      <c r="N7" s="97"/>
      <c r="O7" s="97"/>
      <c r="P7" s="97"/>
      <c r="Q7" s="97"/>
      <c r="R7" s="97"/>
      <c r="S7" s="97"/>
      <c r="T7" s="97"/>
      <c r="U7" s="97"/>
    </row>
    <row r="8" spans="1:21">
      <c r="A8" s="124"/>
      <c r="B8" s="125"/>
      <c r="C8" s="97"/>
      <c r="D8" s="519"/>
      <c r="E8" s="96"/>
      <c r="F8" s="97"/>
      <c r="G8" s="97"/>
      <c r="H8" s="97"/>
      <c r="I8" s="97"/>
      <c r="J8" s="97"/>
      <c r="K8" s="97"/>
      <c r="L8" s="97"/>
      <c r="M8" s="97"/>
      <c r="N8" s="97"/>
      <c r="O8" s="97"/>
      <c r="P8" s="97"/>
      <c r="Q8" s="97"/>
      <c r="R8" s="97"/>
      <c r="S8" s="97"/>
      <c r="T8" s="97"/>
      <c r="U8" s="97"/>
    </row>
    <row r="9" spans="1:21">
      <c r="A9" s="124"/>
      <c r="B9" s="125"/>
      <c r="C9" s="97"/>
      <c r="D9" s="519"/>
      <c r="E9" s="96"/>
      <c r="F9" s="97"/>
      <c r="G9" s="97"/>
      <c r="H9" s="97"/>
      <c r="I9" s="97"/>
      <c r="J9" s="97"/>
      <c r="K9" s="97"/>
      <c r="L9" s="97"/>
      <c r="M9" s="97"/>
      <c r="N9" s="97"/>
      <c r="O9" s="97"/>
      <c r="P9" s="97"/>
      <c r="Q9" s="97"/>
      <c r="R9" s="97"/>
      <c r="S9" s="97"/>
      <c r="T9" s="97"/>
      <c r="U9" s="97"/>
    </row>
    <row r="10" spans="1:21">
      <c r="A10" s="124"/>
      <c r="B10" s="125"/>
      <c r="C10" s="97"/>
      <c r="D10" s="519"/>
      <c r="E10" s="96"/>
      <c r="F10" s="97"/>
      <c r="G10" s="97"/>
      <c r="H10" s="97"/>
      <c r="I10" s="97"/>
      <c r="J10" s="97"/>
      <c r="K10" s="97"/>
      <c r="L10" s="97"/>
      <c r="M10" s="97"/>
      <c r="N10" s="97"/>
      <c r="O10" s="97"/>
      <c r="P10" s="97"/>
      <c r="Q10" s="97"/>
      <c r="R10" s="97"/>
      <c r="S10" s="97"/>
      <c r="T10" s="97"/>
      <c r="U10" s="97"/>
    </row>
    <row r="11" spans="1:21">
      <c r="A11" s="124"/>
      <c r="B11" s="125"/>
      <c r="C11" s="97"/>
      <c r="D11" s="519"/>
      <c r="E11" s="96"/>
      <c r="F11" s="97"/>
      <c r="G11" s="97"/>
      <c r="H11" s="97"/>
      <c r="I11" s="97"/>
      <c r="J11" s="97"/>
      <c r="K11" s="97"/>
      <c r="L11" s="97"/>
      <c r="M11" s="97"/>
      <c r="N11" s="97"/>
      <c r="O11" s="97"/>
      <c r="P11" s="97"/>
      <c r="Q11" s="97"/>
      <c r="R11" s="97"/>
      <c r="S11" s="97"/>
      <c r="T11" s="97"/>
      <c r="U11" s="97"/>
    </row>
    <row r="12" spans="1:21">
      <c r="A12" s="124"/>
      <c r="B12" s="125"/>
      <c r="C12" s="97"/>
      <c r="D12" s="519"/>
      <c r="E12" s="96"/>
      <c r="F12" s="97"/>
      <c r="G12" s="97"/>
      <c r="H12" s="97"/>
      <c r="I12" s="97"/>
      <c r="J12" s="97"/>
      <c r="K12" s="97"/>
      <c r="L12" s="97"/>
      <c r="M12" s="97"/>
      <c r="N12" s="97"/>
      <c r="O12" s="97"/>
      <c r="P12" s="97"/>
      <c r="Q12" s="97"/>
      <c r="R12" s="97"/>
      <c r="S12" s="97"/>
      <c r="T12" s="97"/>
      <c r="U12" s="97"/>
    </row>
    <row r="13" spans="1:21">
      <c r="A13" s="124"/>
      <c r="B13" s="125"/>
      <c r="C13" s="97"/>
      <c r="D13" s="519"/>
      <c r="E13" s="96"/>
      <c r="F13" s="97"/>
      <c r="G13" s="97"/>
      <c r="H13" s="97"/>
      <c r="I13" s="97"/>
      <c r="J13" s="97"/>
      <c r="K13" s="97"/>
      <c r="L13" s="97"/>
      <c r="M13" s="97"/>
      <c r="N13" s="97"/>
      <c r="O13" s="97"/>
      <c r="P13" s="97"/>
      <c r="Q13" s="97"/>
      <c r="R13" s="97"/>
      <c r="S13" s="97"/>
      <c r="T13" s="97"/>
      <c r="U13" s="97"/>
    </row>
    <row r="14" spans="1:21">
      <c r="A14" s="124"/>
      <c r="B14" s="125"/>
      <c r="C14" s="97"/>
      <c r="D14" s="519"/>
      <c r="E14" s="96"/>
      <c r="F14" s="97"/>
      <c r="G14" s="97"/>
      <c r="H14" s="97"/>
      <c r="I14" s="97"/>
      <c r="J14" s="97"/>
      <c r="K14" s="97"/>
      <c r="L14" s="97"/>
      <c r="M14" s="97"/>
      <c r="N14" s="97"/>
      <c r="O14" s="97"/>
      <c r="P14" s="97"/>
      <c r="Q14" s="97"/>
      <c r="R14" s="97"/>
      <c r="S14" s="97"/>
      <c r="T14" s="97"/>
      <c r="U14" s="97"/>
    </row>
    <row r="15" spans="1:21">
      <c r="A15" s="124"/>
      <c r="B15" s="125"/>
      <c r="C15" s="97"/>
      <c r="D15" s="519"/>
      <c r="E15" s="96"/>
      <c r="F15" s="97"/>
      <c r="G15" s="97"/>
      <c r="H15" s="97"/>
      <c r="I15" s="97"/>
      <c r="J15" s="97"/>
      <c r="K15" s="97"/>
      <c r="L15" s="97"/>
      <c r="M15" s="97"/>
      <c r="N15" s="97"/>
      <c r="O15" s="97"/>
      <c r="P15" s="97"/>
      <c r="Q15" s="97"/>
      <c r="R15" s="97"/>
      <c r="S15" s="97"/>
      <c r="T15" s="97"/>
      <c r="U15" s="97"/>
    </row>
    <row r="16" spans="1:21">
      <c r="A16" s="124"/>
      <c r="B16" s="125"/>
      <c r="C16" s="97"/>
      <c r="D16" s="519"/>
      <c r="E16" s="96"/>
      <c r="F16" s="97"/>
      <c r="G16" s="97"/>
      <c r="H16" s="97"/>
      <c r="I16" s="97"/>
      <c r="J16" s="97"/>
      <c r="K16" s="97"/>
      <c r="L16" s="97"/>
      <c r="M16" s="97"/>
      <c r="N16" s="97"/>
      <c r="O16" s="97"/>
      <c r="P16" s="97"/>
      <c r="Q16" s="97"/>
      <c r="R16" s="97"/>
      <c r="S16" s="97"/>
      <c r="T16" s="97"/>
      <c r="U16" s="97"/>
    </row>
    <row r="17" spans="1:21">
      <c r="A17" s="124"/>
      <c r="B17" s="125"/>
      <c r="C17" s="97"/>
      <c r="D17" s="519"/>
      <c r="E17" s="96"/>
      <c r="F17" s="97"/>
      <c r="G17" s="97"/>
      <c r="H17" s="97"/>
      <c r="I17" s="97"/>
      <c r="J17" s="97"/>
      <c r="K17" s="97"/>
      <c r="L17" s="97"/>
      <c r="M17" s="97"/>
      <c r="N17" s="97"/>
      <c r="O17" s="97"/>
      <c r="P17" s="97"/>
      <c r="Q17" s="97"/>
      <c r="R17" s="97"/>
      <c r="S17" s="97"/>
      <c r="T17" s="97"/>
      <c r="U17" s="97"/>
    </row>
    <row r="18" spans="1:21">
      <c r="A18" s="124"/>
      <c r="B18" s="125"/>
      <c r="C18" s="97"/>
      <c r="D18" s="519"/>
      <c r="E18" s="96"/>
      <c r="F18" s="97"/>
      <c r="G18" s="97"/>
      <c r="H18" s="97"/>
      <c r="I18" s="97"/>
      <c r="J18" s="97"/>
      <c r="K18" s="97"/>
      <c r="L18" s="97"/>
      <c r="M18" s="97"/>
      <c r="N18" s="97"/>
      <c r="O18" s="97"/>
      <c r="P18" s="97"/>
      <c r="Q18" s="97"/>
      <c r="R18" s="97"/>
      <c r="S18" s="97"/>
      <c r="T18" s="97"/>
      <c r="U18" s="97"/>
    </row>
    <row r="19" spans="1:21">
      <c r="A19" s="124"/>
      <c r="B19" s="125"/>
      <c r="C19" s="97"/>
      <c r="D19" s="519"/>
      <c r="E19" s="96"/>
      <c r="F19" s="97"/>
      <c r="G19" s="97"/>
      <c r="H19" s="97"/>
      <c r="I19" s="97"/>
      <c r="J19" s="97"/>
      <c r="K19" s="97"/>
      <c r="L19" s="97"/>
      <c r="M19" s="97"/>
      <c r="N19" s="97"/>
      <c r="O19" s="97"/>
      <c r="P19" s="97"/>
      <c r="Q19" s="97"/>
      <c r="R19" s="97"/>
      <c r="S19" s="97"/>
      <c r="T19" s="97"/>
      <c r="U19" s="97"/>
    </row>
    <row r="20" spans="1:21">
      <c r="A20" s="124"/>
      <c r="B20" s="125"/>
      <c r="C20" s="97"/>
      <c r="D20" s="519"/>
      <c r="E20" s="96"/>
      <c r="F20" s="97"/>
      <c r="G20" s="97"/>
      <c r="H20" s="97"/>
      <c r="I20" s="97"/>
      <c r="J20" s="97"/>
      <c r="K20" s="97"/>
      <c r="L20" s="97"/>
      <c r="M20" s="97"/>
      <c r="N20" s="97"/>
      <c r="O20" s="97"/>
      <c r="P20" s="97"/>
      <c r="Q20" s="97"/>
      <c r="R20" s="97"/>
      <c r="S20" s="97"/>
      <c r="T20" s="97"/>
      <c r="U20" s="97"/>
    </row>
    <row r="21" spans="1:21">
      <c r="A21" s="124"/>
      <c r="B21" s="125"/>
      <c r="C21" s="97"/>
      <c r="D21" s="519"/>
      <c r="E21" s="96"/>
      <c r="F21" s="97"/>
      <c r="G21" s="97"/>
      <c r="H21" s="97"/>
      <c r="I21" s="97"/>
      <c r="J21" s="97"/>
      <c r="K21" s="97"/>
      <c r="L21" s="97"/>
      <c r="M21" s="97"/>
      <c r="N21" s="97"/>
      <c r="O21" s="97"/>
      <c r="P21" s="97"/>
      <c r="Q21" s="97"/>
      <c r="R21" s="97"/>
      <c r="S21" s="97"/>
      <c r="T21" s="97"/>
      <c r="U21" s="97"/>
    </row>
    <row r="22" spans="1:21">
      <c r="A22" s="124"/>
      <c r="B22" s="125"/>
      <c r="C22" s="97"/>
      <c r="D22" s="519"/>
      <c r="E22" s="96"/>
      <c r="F22" s="97"/>
      <c r="G22" s="97"/>
      <c r="H22" s="97"/>
      <c r="I22" s="97"/>
      <c r="J22" s="97"/>
      <c r="K22" s="97"/>
      <c r="L22" s="97"/>
      <c r="M22" s="97"/>
      <c r="N22" s="97"/>
      <c r="O22" s="97"/>
      <c r="P22" s="97"/>
      <c r="Q22" s="97"/>
      <c r="R22" s="97"/>
      <c r="S22" s="97"/>
      <c r="T22" s="97"/>
      <c r="U22" s="97"/>
    </row>
    <row r="23" spans="1:21">
      <c r="A23" s="124"/>
      <c r="B23" s="125"/>
      <c r="C23" s="97"/>
      <c r="D23" s="519"/>
      <c r="E23" s="96"/>
      <c r="F23" s="97"/>
      <c r="G23" s="97"/>
      <c r="H23" s="97"/>
      <c r="I23" s="97"/>
      <c r="J23" s="97"/>
      <c r="K23" s="97"/>
      <c r="L23" s="97"/>
      <c r="M23" s="97"/>
      <c r="N23" s="97"/>
      <c r="O23" s="97"/>
      <c r="P23" s="97"/>
      <c r="Q23" s="97"/>
      <c r="R23" s="97"/>
      <c r="S23" s="97"/>
      <c r="T23" s="97"/>
      <c r="U23" s="97"/>
    </row>
    <row r="24" spans="1:21">
      <c r="A24" s="124"/>
      <c r="B24" s="125"/>
      <c r="C24" s="97"/>
      <c r="D24" s="519"/>
      <c r="E24" s="96"/>
      <c r="F24" s="97"/>
      <c r="G24" s="97"/>
      <c r="H24" s="97"/>
      <c r="I24" s="97"/>
      <c r="J24" s="97"/>
      <c r="K24" s="97"/>
      <c r="L24" s="97"/>
      <c r="M24" s="97"/>
      <c r="N24" s="97"/>
      <c r="O24" s="97"/>
      <c r="P24" s="97"/>
      <c r="Q24" s="97"/>
      <c r="R24" s="97"/>
      <c r="S24" s="97"/>
      <c r="T24" s="97"/>
      <c r="U24" s="97"/>
    </row>
    <row r="25" spans="1:21">
      <c r="A25" s="124"/>
      <c r="B25" s="125"/>
      <c r="C25" s="97"/>
      <c r="D25" s="519"/>
      <c r="E25" s="96"/>
      <c r="F25" s="97"/>
      <c r="G25" s="97"/>
      <c r="H25" s="97"/>
      <c r="I25" s="97"/>
      <c r="J25" s="97"/>
      <c r="K25" s="97"/>
      <c r="L25" s="97"/>
      <c r="M25" s="97"/>
      <c r="N25" s="97"/>
      <c r="O25" s="97"/>
      <c r="P25" s="97"/>
      <c r="Q25" s="97"/>
      <c r="R25" s="97"/>
      <c r="S25" s="97"/>
      <c r="T25" s="97"/>
      <c r="U25" s="97"/>
    </row>
    <row r="26" spans="1:21">
      <c r="A26" s="124"/>
      <c r="B26" s="125"/>
      <c r="C26" s="97"/>
      <c r="D26" s="519"/>
      <c r="E26" s="96"/>
      <c r="F26" s="97"/>
      <c r="G26" s="97"/>
      <c r="H26" s="97"/>
      <c r="I26" s="97"/>
      <c r="J26" s="97"/>
      <c r="K26" s="97"/>
      <c r="L26" s="97"/>
      <c r="M26" s="97"/>
      <c r="N26" s="97"/>
      <c r="O26" s="97"/>
      <c r="P26" s="97"/>
      <c r="Q26" s="97"/>
      <c r="R26" s="97"/>
      <c r="S26" s="97"/>
      <c r="T26" s="97"/>
      <c r="U26" s="97"/>
    </row>
    <row r="27" spans="1:21">
      <c r="A27" s="124"/>
      <c r="B27" s="125"/>
      <c r="C27" s="97"/>
      <c r="D27" s="519"/>
      <c r="E27" s="96"/>
      <c r="F27" s="97"/>
      <c r="G27" s="97"/>
      <c r="H27" s="97"/>
      <c r="I27" s="97"/>
      <c r="J27" s="97"/>
      <c r="K27" s="97"/>
      <c r="L27" s="97"/>
      <c r="M27" s="97"/>
      <c r="N27" s="97"/>
      <c r="O27" s="97"/>
      <c r="P27" s="97"/>
      <c r="Q27" s="97"/>
      <c r="R27" s="97"/>
      <c r="S27" s="97"/>
      <c r="T27" s="97"/>
      <c r="U27" s="97"/>
    </row>
    <row r="28" spans="1:21">
      <c r="A28" s="124"/>
      <c r="B28" s="125"/>
      <c r="C28" s="97"/>
      <c r="D28" s="519"/>
      <c r="E28" s="96"/>
      <c r="F28" s="97"/>
      <c r="G28" s="97"/>
      <c r="H28" s="97"/>
      <c r="I28" s="97"/>
      <c r="J28" s="97"/>
      <c r="K28" s="97"/>
      <c r="L28" s="97"/>
      <c r="M28" s="97"/>
      <c r="N28" s="97"/>
      <c r="O28" s="97"/>
      <c r="P28" s="97"/>
      <c r="Q28" s="97"/>
      <c r="R28" s="97"/>
      <c r="S28" s="97"/>
      <c r="T28" s="97"/>
      <c r="U28" s="97"/>
    </row>
    <row r="29" spans="1:21">
      <c r="A29" s="124"/>
      <c r="B29" s="125"/>
      <c r="C29" s="97"/>
      <c r="D29" s="519"/>
      <c r="E29" s="96"/>
      <c r="F29" s="97"/>
      <c r="G29" s="97"/>
      <c r="H29" s="97"/>
      <c r="I29" s="97"/>
      <c r="J29" s="97"/>
      <c r="K29" s="97"/>
      <c r="L29" s="97"/>
      <c r="M29" s="97"/>
      <c r="N29" s="97"/>
      <c r="O29" s="97"/>
      <c r="P29" s="97"/>
      <c r="Q29" s="97"/>
      <c r="R29" s="97"/>
      <c r="S29" s="97"/>
      <c r="T29" s="97"/>
      <c r="U29" s="97"/>
    </row>
    <row r="30" spans="1:21">
      <c r="A30" s="124"/>
      <c r="B30" s="125"/>
      <c r="C30" s="97"/>
      <c r="D30" s="519"/>
      <c r="E30" s="96"/>
      <c r="F30" s="97"/>
      <c r="G30" s="97"/>
      <c r="H30" s="97"/>
      <c r="I30" s="97"/>
      <c r="J30" s="97"/>
      <c r="K30" s="97"/>
      <c r="L30" s="97"/>
      <c r="M30" s="97"/>
      <c r="N30" s="97"/>
      <c r="O30" s="97"/>
      <c r="P30" s="97"/>
      <c r="Q30" s="97"/>
      <c r="R30" s="97"/>
      <c r="S30" s="97"/>
      <c r="T30" s="97"/>
      <c r="U30" s="97"/>
    </row>
    <row r="31" spans="1:21">
      <c r="A31" s="124"/>
      <c r="B31" s="125"/>
      <c r="C31" s="97"/>
      <c r="D31" s="519"/>
      <c r="E31" s="96"/>
      <c r="F31" s="97"/>
      <c r="G31" s="97"/>
      <c r="H31" s="97"/>
      <c r="I31" s="97"/>
      <c r="J31" s="97"/>
      <c r="K31" s="97"/>
      <c r="L31" s="97"/>
      <c r="M31" s="97"/>
      <c r="N31" s="97"/>
      <c r="O31" s="97"/>
      <c r="P31" s="97"/>
      <c r="Q31" s="97"/>
      <c r="R31" s="97"/>
      <c r="S31" s="97"/>
      <c r="T31" s="97"/>
      <c r="U31" s="97"/>
    </row>
    <row r="32" spans="1:21">
      <c r="A32" s="124"/>
      <c r="B32" s="125"/>
      <c r="C32" s="97"/>
      <c r="D32" s="519"/>
      <c r="E32" s="96"/>
      <c r="F32" s="97"/>
      <c r="G32" s="97"/>
      <c r="H32" s="97"/>
      <c r="I32" s="97"/>
      <c r="J32" s="97"/>
      <c r="K32" s="97"/>
      <c r="L32" s="97"/>
      <c r="M32" s="97"/>
      <c r="N32" s="97"/>
      <c r="O32" s="97"/>
      <c r="P32" s="97"/>
      <c r="Q32" s="97"/>
      <c r="R32" s="97"/>
      <c r="S32" s="97"/>
      <c r="T32" s="97"/>
      <c r="U32" s="97"/>
    </row>
    <row r="33" spans="1:21">
      <c r="A33" s="124"/>
      <c r="B33" s="125"/>
      <c r="C33" s="97"/>
      <c r="D33" s="519"/>
      <c r="E33" s="96"/>
      <c r="F33" s="97"/>
      <c r="G33" s="97"/>
      <c r="H33" s="97"/>
      <c r="I33" s="97"/>
      <c r="J33" s="97"/>
      <c r="K33" s="97"/>
      <c r="L33" s="97"/>
      <c r="M33" s="97"/>
      <c r="N33" s="97"/>
      <c r="O33" s="97"/>
      <c r="P33" s="97"/>
      <c r="Q33" s="97"/>
      <c r="R33" s="97"/>
      <c r="S33" s="97"/>
      <c r="T33" s="97"/>
      <c r="U33" s="97"/>
    </row>
    <row r="34" spans="1:21">
      <c r="A34" s="124"/>
      <c r="B34" s="125"/>
      <c r="C34" s="97"/>
      <c r="D34" s="519"/>
      <c r="E34" s="96"/>
      <c r="F34" s="97"/>
      <c r="G34" s="97"/>
      <c r="H34" s="97"/>
      <c r="I34" s="97"/>
      <c r="J34" s="97"/>
      <c r="K34" s="97"/>
      <c r="L34" s="97"/>
      <c r="M34" s="97"/>
      <c r="N34" s="97"/>
      <c r="O34" s="97"/>
      <c r="P34" s="97"/>
      <c r="Q34" s="97"/>
      <c r="R34" s="97"/>
      <c r="S34" s="97"/>
      <c r="T34" s="97"/>
      <c r="U34" s="97"/>
    </row>
    <row r="35" spans="1:21">
      <c r="A35" s="124"/>
      <c r="B35" s="125"/>
      <c r="C35" s="97"/>
      <c r="D35" s="519"/>
      <c r="E35" s="96"/>
      <c r="F35" s="97"/>
      <c r="G35" s="97"/>
      <c r="H35" s="97"/>
      <c r="I35" s="97"/>
      <c r="J35" s="97"/>
      <c r="K35" s="97"/>
      <c r="L35" s="97"/>
      <c r="M35" s="97"/>
      <c r="N35" s="97"/>
      <c r="O35" s="97"/>
      <c r="P35" s="97"/>
      <c r="Q35" s="97"/>
      <c r="R35" s="97"/>
      <c r="S35" s="97"/>
      <c r="T35" s="97"/>
      <c r="U35" s="97"/>
    </row>
    <row r="36" spans="1:21">
      <c r="A36" s="124"/>
      <c r="B36" s="125"/>
      <c r="C36" s="97"/>
      <c r="D36" s="519"/>
      <c r="E36" s="96"/>
      <c r="F36" s="97"/>
      <c r="G36" s="97"/>
      <c r="H36" s="97"/>
      <c r="I36" s="97"/>
      <c r="J36" s="97"/>
      <c r="K36" s="97"/>
      <c r="L36" s="97"/>
      <c r="M36" s="97"/>
      <c r="N36" s="97"/>
      <c r="O36" s="97"/>
      <c r="P36" s="97"/>
      <c r="Q36" s="97"/>
      <c r="R36" s="97"/>
      <c r="S36" s="97"/>
      <c r="T36" s="97"/>
      <c r="U36" s="97"/>
    </row>
    <row r="37" spans="1:21">
      <c r="A37" s="124"/>
      <c r="B37" s="125"/>
      <c r="C37" s="97"/>
      <c r="D37" s="519"/>
      <c r="E37" s="96"/>
      <c r="F37" s="97"/>
      <c r="G37" s="97"/>
      <c r="H37" s="97"/>
      <c r="I37" s="97"/>
      <c r="J37" s="97"/>
      <c r="K37" s="97"/>
      <c r="L37" s="97"/>
      <c r="M37" s="97"/>
      <c r="N37" s="97"/>
      <c r="O37" s="97"/>
      <c r="P37" s="97"/>
      <c r="Q37" s="97"/>
      <c r="R37" s="97"/>
      <c r="S37" s="97"/>
      <c r="T37" s="97"/>
      <c r="U37" s="97"/>
    </row>
    <row r="38" spans="1:21">
      <c r="A38" s="124"/>
      <c r="B38" s="125"/>
      <c r="C38" s="97"/>
      <c r="D38" s="519"/>
      <c r="E38" s="96"/>
      <c r="F38" s="97"/>
      <c r="G38" s="97"/>
      <c r="H38" s="97"/>
      <c r="I38" s="97"/>
      <c r="J38" s="97"/>
      <c r="K38" s="97"/>
      <c r="L38" s="97"/>
      <c r="M38" s="97"/>
      <c r="N38" s="97"/>
      <c r="O38" s="97"/>
      <c r="P38" s="97"/>
      <c r="Q38" s="97"/>
      <c r="R38" s="97"/>
      <c r="S38" s="97"/>
      <c r="T38" s="97"/>
      <c r="U38" s="97"/>
    </row>
    <row r="39" spans="1:21">
      <c r="A39" s="124"/>
      <c r="B39" s="125"/>
      <c r="C39" s="97"/>
      <c r="D39" s="519"/>
      <c r="E39" s="96"/>
      <c r="F39" s="97"/>
      <c r="G39" s="97"/>
      <c r="H39" s="97"/>
      <c r="I39" s="97"/>
      <c r="J39" s="97"/>
      <c r="K39" s="97"/>
      <c r="L39" s="97"/>
      <c r="M39" s="97"/>
      <c r="N39" s="97"/>
      <c r="O39" s="97"/>
      <c r="P39" s="97"/>
      <c r="Q39" s="97"/>
      <c r="R39" s="97"/>
      <c r="S39" s="97"/>
      <c r="T39" s="97"/>
      <c r="U39" s="97"/>
    </row>
    <row r="40" spans="1:21">
      <c r="A40" s="124"/>
      <c r="B40" s="125"/>
      <c r="C40" s="97"/>
      <c r="D40" s="519"/>
      <c r="E40" s="96"/>
      <c r="F40" s="97"/>
      <c r="G40" s="97"/>
      <c r="H40" s="97"/>
      <c r="I40" s="97"/>
      <c r="J40" s="97"/>
      <c r="K40" s="97"/>
      <c r="L40" s="97"/>
      <c r="M40" s="97"/>
      <c r="N40" s="97"/>
      <c r="O40" s="97"/>
      <c r="P40" s="97"/>
      <c r="Q40" s="97"/>
      <c r="R40" s="97"/>
      <c r="S40" s="97"/>
      <c r="T40" s="97"/>
      <c r="U40" s="97"/>
    </row>
    <row r="41" spans="1:21">
      <c r="A41" s="124"/>
      <c r="B41" s="125"/>
      <c r="C41" s="97"/>
      <c r="D41" s="519"/>
      <c r="E41" s="96"/>
      <c r="F41" s="97"/>
      <c r="G41" s="97"/>
      <c r="H41" s="97"/>
      <c r="I41" s="97"/>
      <c r="J41" s="97"/>
      <c r="K41" s="97"/>
      <c r="L41" s="97"/>
      <c r="M41" s="97"/>
      <c r="N41" s="97"/>
      <c r="O41" s="97"/>
      <c r="P41" s="97"/>
      <c r="Q41" s="97"/>
      <c r="R41" s="97"/>
      <c r="S41" s="97"/>
      <c r="T41" s="97"/>
      <c r="U41" s="97"/>
    </row>
    <row r="42" spans="1:21">
      <c r="A42" s="124"/>
      <c r="B42" s="125"/>
      <c r="C42" s="97"/>
      <c r="D42" s="519"/>
      <c r="E42" s="96"/>
      <c r="F42" s="97"/>
      <c r="G42" s="97"/>
      <c r="H42" s="97"/>
      <c r="I42" s="97"/>
      <c r="J42" s="97"/>
      <c r="K42" s="97"/>
      <c r="L42" s="97"/>
      <c r="M42" s="97"/>
      <c r="N42" s="97"/>
      <c r="O42" s="97"/>
      <c r="P42" s="97"/>
      <c r="Q42" s="97"/>
      <c r="R42" s="97"/>
      <c r="S42" s="97"/>
      <c r="T42" s="97"/>
      <c r="U42" s="97"/>
    </row>
    <row r="43" spans="1:21">
      <c r="A43" s="124"/>
      <c r="B43" s="125"/>
      <c r="C43" s="97"/>
      <c r="D43" s="519"/>
      <c r="E43" s="96"/>
      <c r="F43" s="97"/>
      <c r="G43" s="97"/>
      <c r="H43" s="97"/>
      <c r="I43" s="97"/>
      <c r="J43" s="97"/>
      <c r="K43" s="97"/>
      <c r="L43" s="97"/>
      <c r="M43" s="97"/>
      <c r="N43" s="97"/>
      <c r="O43" s="97"/>
      <c r="P43" s="97"/>
      <c r="Q43" s="97"/>
      <c r="R43" s="97"/>
      <c r="S43" s="97"/>
      <c r="T43" s="97"/>
      <c r="U43" s="97"/>
    </row>
    <row r="44" spans="1:21">
      <c r="A44" s="124"/>
      <c r="B44" s="125"/>
      <c r="C44" s="97"/>
      <c r="D44" s="519"/>
      <c r="E44" s="96"/>
      <c r="F44" s="97"/>
      <c r="G44" s="97"/>
      <c r="H44" s="97"/>
      <c r="I44" s="97"/>
      <c r="J44" s="97"/>
      <c r="K44" s="97"/>
      <c r="L44" s="97"/>
      <c r="M44" s="97"/>
      <c r="N44" s="97"/>
      <c r="O44" s="97"/>
      <c r="P44" s="97"/>
      <c r="Q44" s="97"/>
      <c r="R44" s="97"/>
      <c r="S44" s="97"/>
      <c r="T44" s="97"/>
      <c r="U44" s="97"/>
    </row>
    <row r="45" spans="1:21">
      <c r="A45" s="124"/>
      <c r="B45" s="125"/>
      <c r="C45" s="97"/>
      <c r="D45" s="519"/>
      <c r="E45" s="96"/>
      <c r="F45" s="97"/>
      <c r="G45" s="97"/>
      <c r="H45" s="97"/>
      <c r="I45" s="97"/>
      <c r="J45" s="97"/>
      <c r="K45" s="97"/>
      <c r="L45" s="97"/>
      <c r="M45" s="97"/>
      <c r="N45" s="97"/>
      <c r="O45" s="97"/>
      <c r="P45" s="97"/>
      <c r="Q45" s="97"/>
      <c r="R45" s="97"/>
      <c r="S45" s="97"/>
      <c r="T45" s="97"/>
      <c r="U45" s="97"/>
    </row>
    <row r="46" spans="1:21">
      <c r="A46" s="124"/>
      <c r="B46" s="125"/>
      <c r="C46" s="97"/>
      <c r="D46" s="519"/>
      <c r="E46" s="96"/>
      <c r="F46" s="97"/>
      <c r="G46" s="97"/>
      <c r="H46" s="97"/>
      <c r="I46" s="97"/>
      <c r="J46" s="97"/>
      <c r="K46" s="97"/>
      <c r="L46" s="97"/>
      <c r="M46" s="97"/>
      <c r="N46" s="97"/>
      <c r="O46" s="97"/>
      <c r="P46" s="97"/>
      <c r="Q46" s="97"/>
      <c r="R46" s="97"/>
      <c r="S46" s="97"/>
      <c r="T46" s="97"/>
      <c r="U46" s="97"/>
    </row>
    <row r="47" spans="1:21">
      <c r="A47" s="124"/>
      <c r="B47" s="125"/>
      <c r="C47" s="97"/>
      <c r="D47" s="519"/>
      <c r="E47" s="96"/>
      <c r="F47" s="97"/>
      <c r="G47" s="97"/>
      <c r="H47" s="97"/>
      <c r="I47" s="97"/>
      <c r="J47" s="97"/>
      <c r="K47" s="97"/>
      <c r="L47" s="97"/>
      <c r="M47" s="97"/>
      <c r="N47" s="97"/>
      <c r="O47" s="97"/>
      <c r="P47" s="97"/>
      <c r="Q47" s="97"/>
      <c r="R47" s="97"/>
      <c r="S47" s="97"/>
      <c r="T47" s="97"/>
      <c r="U47" s="97"/>
    </row>
    <row r="48" spans="1:21">
      <c r="A48" s="124"/>
      <c r="B48" s="125"/>
      <c r="C48" s="97"/>
      <c r="D48" s="519"/>
      <c r="E48" s="96"/>
      <c r="F48" s="97"/>
      <c r="G48" s="97"/>
      <c r="H48" s="97"/>
      <c r="I48" s="97"/>
      <c r="J48" s="97"/>
      <c r="K48" s="97"/>
      <c r="L48" s="97"/>
      <c r="M48" s="97"/>
      <c r="N48" s="97"/>
      <c r="O48" s="97"/>
      <c r="P48" s="97"/>
      <c r="Q48" s="97"/>
      <c r="R48" s="97"/>
      <c r="S48" s="97"/>
      <c r="T48" s="97"/>
      <c r="U48" s="97"/>
    </row>
    <row r="49" spans="1:21">
      <c r="A49" s="124"/>
      <c r="B49" s="125"/>
      <c r="C49" s="97"/>
      <c r="D49" s="519"/>
      <c r="E49" s="96"/>
      <c r="F49" s="97"/>
      <c r="G49" s="97"/>
      <c r="H49" s="97"/>
      <c r="I49" s="97"/>
      <c r="J49" s="97"/>
      <c r="K49" s="97"/>
      <c r="L49" s="97"/>
      <c r="M49" s="97"/>
      <c r="N49" s="97"/>
      <c r="O49" s="97"/>
      <c r="P49" s="97"/>
      <c r="Q49" s="97"/>
      <c r="R49" s="97"/>
      <c r="S49" s="97"/>
      <c r="T49" s="97"/>
      <c r="U49" s="97"/>
    </row>
    <row r="50" spans="1:21">
      <c r="A50" s="124"/>
      <c r="B50" s="125"/>
      <c r="C50" s="97"/>
      <c r="D50" s="519"/>
      <c r="E50" s="96"/>
      <c r="F50" s="97"/>
      <c r="G50" s="97"/>
      <c r="H50" s="97"/>
      <c r="I50" s="97"/>
      <c r="J50" s="97"/>
      <c r="K50" s="97"/>
      <c r="L50" s="97"/>
      <c r="M50" s="97"/>
      <c r="N50" s="97"/>
      <c r="O50" s="97"/>
      <c r="P50" s="97"/>
      <c r="Q50" s="97"/>
      <c r="R50" s="97"/>
      <c r="S50" s="97"/>
      <c r="T50" s="97"/>
      <c r="U50" s="97"/>
    </row>
    <row r="51" spans="1:21">
      <c r="A51" s="124"/>
      <c r="B51" s="125"/>
      <c r="C51" s="97"/>
      <c r="D51" s="519"/>
      <c r="E51" s="96"/>
      <c r="F51" s="97"/>
      <c r="G51" s="97"/>
      <c r="H51" s="97"/>
      <c r="I51" s="97"/>
      <c r="J51" s="97"/>
      <c r="K51" s="97"/>
      <c r="L51" s="97"/>
      <c r="M51" s="97"/>
      <c r="N51" s="97"/>
      <c r="O51" s="97"/>
      <c r="P51" s="97"/>
      <c r="Q51" s="97"/>
      <c r="R51" s="97"/>
      <c r="S51" s="97"/>
      <c r="T51" s="97"/>
      <c r="U51" s="97"/>
    </row>
    <row r="52" spans="1:21">
      <c r="A52" s="124"/>
      <c r="B52" s="125"/>
      <c r="C52" s="97"/>
      <c r="D52" s="519"/>
      <c r="E52" s="96"/>
      <c r="F52" s="97"/>
      <c r="G52" s="97"/>
      <c r="H52" s="97"/>
      <c r="I52" s="97"/>
      <c r="J52" s="97"/>
      <c r="K52" s="97"/>
      <c r="L52" s="97"/>
      <c r="M52" s="97"/>
      <c r="N52" s="97"/>
      <c r="O52" s="97"/>
      <c r="P52" s="97"/>
      <c r="Q52" s="97"/>
      <c r="R52" s="97"/>
      <c r="S52" s="97"/>
      <c r="T52" s="97"/>
      <c r="U52" s="97"/>
    </row>
    <row r="53" spans="1:21">
      <c r="A53" s="124"/>
      <c r="B53" s="125"/>
      <c r="C53" s="97"/>
      <c r="D53" s="519"/>
      <c r="E53" s="96"/>
      <c r="F53" s="97"/>
      <c r="G53" s="97"/>
      <c r="H53" s="97"/>
      <c r="I53" s="97"/>
      <c r="J53" s="97"/>
      <c r="K53" s="97"/>
      <c r="L53" s="97"/>
      <c r="M53" s="97"/>
      <c r="N53" s="97"/>
      <c r="O53" s="97"/>
      <c r="P53" s="97"/>
      <c r="Q53" s="97"/>
      <c r="R53" s="97"/>
      <c r="S53" s="97"/>
      <c r="T53" s="97"/>
      <c r="U53" s="97"/>
    </row>
    <row r="54" spans="1:21">
      <c r="A54" s="124"/>
      <c r="B54" s="125"/>
      <c r="C54" s="97"/>
      <c r="D54" s="519"/>
      <c r="E54" s="96"/>
      <c r="F54" s="97"/>
      <c r="G54" s="97"/>
      <c r="H54" s="97"/>
      <c r="I54" s="97"/>
      <c r="J54" s="97"/>
      <c r="K54" s="97"/>
      <c r="L54" s="97"/>
      <c r="M54" s="97"/>
      <c r="N54" s="97"/>
      <c r="O54" s="97"/>
      <c r="P54" s="97"/>
      <c r="Q54" s="97"/>
      <c r="R54" s="97"/>
      <c r="S54" s="97"/>
      <c r="T54" s="97"/>
      <c r="U54" s="97"/>
    </row>
    <row r="55" spans="1:21">
      <c r="A55" s="124"/>
      <c r="B55" s="125"/>
      <c r="C55" s="97"/>
      <c r="D55" s="519"/>
      <c r="E55" s="96"/>
      <c r="F55" s="97"/>
      <c r="G55" s="97"/>
      <c r="H55" s="97"/>
      <c r="I55" s="97"/>
      <c r="J55" s="97"/>
      <c r="K55" s="97"/>
      <c r="L55" s="97"/>
      <c r="M55" s="97"/>
      <c r="N55" s="97"/>
      <c r="O55" s="97"/>
      <c r="P55" s="97"/>
      <c r="Q55" s="97"/>
      <c r="R55" s="97"/>
      <c r="S55" s="97"/>
      <c r="T55" s="97"/>
      <c r="U55" s="97"/>
    </row>
    <row r="56" spans="1:21">
      <c r="A56" s="124"/>
      <c r="B56" s="125"/>
      <c r="C56" s="97"/>
      <c r="D56" s="519"/>
      <c r="E56" s="96"/>
      <c r="F56" s="97"/>
      <c r="G56" s="97"/>
      <c r="H56" s="97"/>
      <c r="I56" s="97"/>
      <c r="J56" s="97"/>
      <c r="K56" s="97"/>
      <c r="L56" s="97"/>
      <c r="M56" s="97"/>
      <c r="N56" s="97"/>
      <c r="O56" s="97"/>
      <c r="P56" s="97"/>
      <c r="Q56" s="97"/>
      <c r="R56" s="97"/>
      <c r="S56" s="97"/>
      <c r="T56" s="97"/>
      <c r="U56" s="97"/>
    </row>
    <row r="57" spans="1:21">
      <c r="A57" s="124"/>
      <c r="B57" s="125"/>
      <c r="C57" s="97"/>
      <c r="D57" s="519"/>
      <c r="E57" s="96"/>
      <c r="F57" s="97"/>
      <c r="G57" s="97"/>
      <c r="H57" s="97"/>
      <c r="I57" s="97"/>
      <c r="J57" s="97"/>
      <c r="K57" s="97"/>
      <c r="L57" s="97"/>
      <c r="M57" s="97"/>
      <c r="N57" s="97"/>
      <c r="O57" s="97"/>
      <c r="P57" s="97"/>
      <c r="Q57" s="97"/>
      <c r="R57" s="97"/>
      <c r="S57" s="97"/>
      <c r="T57" s="97"/>
      <c r="U57" s="97"/>
    </row>
    <row r="58" spans="1:21">
      <c r="A58" s="124"/>
      <c r="B58" s="125"/>
      <c r="C58" s="97"/>
      <c r="D58" s="519"/>
      <c r="E58" s="96"/>
      <c r="F58" s="97"/>
      <c r="G58" s="97"/>
      <c r="H58" s="97"/>
      <c r="I58" s="97"/>
      <c r="J58" s="97"/>
      <c r="K58" s="97"/>
      <c r="L58" s="97"/>
      <c r="M58" s="97"/>
      <c r="N58" s="97"/>
      <c r="O58" s="97"/>
      <c r="P58" s="97"/>
      <c r="Q58" s="97"/>
      <c r="R58" s="97"/>
      <c r="S58" s="97"/>
      <c r="T58" s="97"/>
      <c r="U58" s="97"/>
    </row>
    <row r="59" spans="1:21">
      <c r="A59" s="124"/>
      <c r="B59" s="125"/>
      <c r="C59" s="97"/>
      <c r="D59" s="519"/>
      <c r="E59" s="96"/>
      <c r="F59" s="97"/>
      <c r="G59" s="97"/>
      <c r="H59" s="97"/>
      <c r="I59" s="97"/>
      <c r="J59" s="97"/>
      <c r="K59" s="97"/>
      <c r="L59" s="97"/>
      <c r="M59" s="97"/>
      <c r="N59" s="97"/>
      <c r="O59" s="97"/>
      <c r="P59" s="97"/>
      <c r="Q59" s="97"/>
      <c r="R59" s="97"/>
      <c r="S59" s="97"/>
      <c r="T59" s="97"/>
      <c r="U59" s="97"/>
    </row>
    <row r="60" spans="1:21">
      <c r="A60" s="124"/>
      <c r="B60" s="125"/>
      <c r="C60" s="97"/>
      <c r="D60" s="519"/>
      <c r="E60" s="96"/>
      <c r="F60" s="97"/>
      <c r="G60" s="97"/>
      <c r="H60" s="97"/>
      <c r="I60" s="97"/>
      <c r="J60" s="97"/>
      <c r="K60" s="97"/>
      <c r="L60" s="97"/>
      <c r="M60" s="97"/>
      <c r="N60" s="97"/>
      <c r="O60" s="97"/>
      <c r="P60" s="97"/>
      <c r="Q60" s="97"/>
      <c r="R60" s="97"/>
      <c r="S60" s="97"/>
      <c r="T60" s="97"/>
      <c r="U60" s="97"/>
    </row>
    <row r="61" spans="1:21">
      <c r="A61" s="124"/>
      <c r="B61" s="125"/>
      <c r="C61" s="97"/>
      <c r="D61" s="519"/>
      <c r="E61" s="96"/>
      <c r="F61" s="97"/>
      <c r="G61" s="97"/>
      <c r="H61" s="97"/>
      <c r="I61" s="97"/>
      <c r="J61" s="97"/>
      <c r="K61" s="97"/>
      <c r="L61" s="97"/>
      <c r="M61" s="97"/>
      <c r="N61" s="97"/>
      <c r="O61" s="97"/>
      <c r="P61" s="97"/>
      <c r="Q61" s="97"/>
      <c r="R61" s="97"/>
      <c r="S61" s="97"/>
      <c r="T61" s="97"/>
      <c r="U61" s="97"/>
    </row>
    <row r="62" spans="1:21">
      <c r="A62" s="124"/>
      <c r="B62" s="125"/>
      <c r="C62" s="97"/>
      <c r="D62" s="519"/>
      <c r="E62" s="96"/>
      <c r="F62" s="97"/>
      <c r="G62" s="97"/>
      <c r="H62" s="97"/>
      <c r="I62" s="97"/>
      <c r="J62" s="97"/>
      <c r="K62" s="97"/>
      <c r="L62" s="97"/>
      <c r="M62" s="97"/>
      <c r="N62" s="97"/>
      <c r="O62" s="97"/>
      <c r="P62" s="97"/>
      <c r="Q62" s="97"/>
      <c r="R62" s="97"/>
      <c r="S62" s="97"/>
      <c r="T62" s="97"/>
      <c r="U62" s="97"/>
    </row>
    <row r="63" spans="1:21">
      <c r="A63" s="124"/>
      <c r="B63" s="125"/>
      <c r="C63" s="97"/>
      <c r="D63" s="519"/>
      <c r="E63" s="96"/>
      <c r="F63" s="97"/>
      <c r="G63" s="97"/>
      <c r="H63" s="97"/>
      <c r="I63" s="97"/>
      <c r="J63" s="97"/>
      <c r="K63" s="97"/>
      <c r="L63" s="97"/>
      <c r="M63" s="97"/>
      <c r="N63" s="97"/>
      <c r="O63" s="97"/>
      <c r="P63" s="97"/>
      <c r="Q63" s="97"/>
      <c r="R63" s="97"/>
      <c r="S63" s="97"/>
      <c r="T63" s="97"/>
      <c r="U63" s="97"/>
    </row>
    <row r="64" spans="1:21">
      <c r="A64" s="124"/>
      <c r="B64" s="125"/>
      <c r="C64" s="97"/>
      <c r="D64" s="519"/>
      <c r="E64" s="96"/>
      <c r="F64" s="97"/>
      <c r="G64" s="97"/>
      <c r="H64" s="97"/>
      <c r="I64" s="97"/>
      <c r="J64" s="97"/>
      <c r="K64" s="97"/>
      <c r="L64" s="97"/>
      <c r="M64" s="97"/>
      <c r="N64" s="97"/>
      <c r="O64" s="97"/>
      <c r="P64" s="97"/>
      <c r="Q64" s="97"/>
      <c r="R64" s="97"/>
      <c r="S64" s="97"/>
      <c r="T64" s="97"/>
      <c r="U64" s="97"/>
    </row>
    <row r="65" spans="1:21">
      <c r="A65" s="124"/>
      <c r="B65" s="125"/>
      <c r="C65" s="97"/>
      <c r="D65" s="519"/>
      <c r="E65" s="96"/>
      <c r="F65" s="97"/>
      <c r="G65" s="97"/>
      <c r="H65" s="97"/>
      <c r="I65" s="97"/>
      <c r="J65" s="97"/>
      <c r="K65" s="97"/>
      <c r="L65" s="97"/>
      <c r="M65" s="97"/>
      <c r="N65" s="97"/>
      <c r="O65" s="97"/>
      <c r="P65" s="97"/>
      <c r="Q65" s="97"/>
      <c r="R65" s="97"/>
      <c r="S65" s="97"/>
      <c r="T65" s="97"/>
      <c r="U65" s="97"/>
    </row>
    <row r="66" spans="1:21">
      <c r="A66" s="124"/>
      <c r="B66" s="125"/>
      <c r="C66" s="97"/>
      <c r="D66" s="519"/>
      <c r="E66" s="96"/>
      <c r="F66" s="97"/>
      <c r="G66" s="97"/>
      <c r="H66" s="97"/>
      <c r="I66" s="97"/>
      <c r="J66" s="97"/>
      <c r="K66" s="97"/>
      <c r="L66" s="97"/>
      <c r="M66" s="97"/>
      <c r="N66" s="97"/>
      <c r="O66" s="97"/>
      <c r="P66" s="97"/>
      <c r="Q66" s="97"/>
      <c r="R66" s="97"/>
      <c r="S66" s="97"/>
      <c r="T66" s="97"/>
      <c r="U66" s="97"/>
    </row>
    <row r="67" spans="1:21">
      <c r="A67" s="124"/>
      <c r="B67" s="125"/>
      <c r="C67" s="97"/>
      <c r="D67" s="519"/>
      <c r="E67" s="96"/>
      <c r="F67" s="97"/>
      <c r="G67" s="97"/>
      <c r="H67" s="97"/>
      <c r="I67" s="97"/>
      <c r="J67" s="97"/>
      <c r="K67" s="97"/>
      <c r="L67" s="97"/>
      <c r="M67" s="97"/>
      <c r="N67" s="97"/>
      <c r="O67" s="97"/>
      <c r="P67" s="97"/>
      <c r="Q67" s="97"/>
      <c r="R67" s="97"/>
      <c r="S67" s="97"/>
      <c r="T67" s="97"/>
      <c r="U67" s="97"/>
    </row>
    <row r="68" spans="1:21">
      <c r="A68" s="124"/>
      <c r="B68" s="125"/>
      <c r="C68" s="97"/>
      <c r="D68" s="519"/>
      <c r="E68" s="96"/>
      <c r="F68" s="97"/>
      <c r="G68" s="97"/>
      <c r="H68" s="97"/>
      <c r="I68" s="97"/>
      <c r="J68" s="97"/>
      <c r="K68" s="97"/>
      <c r="L68" s="97"/>
      <c r="M68" s="97"/>
      <c r="N68" s="97"/>
      <c r="O68" s="97"/>
      <c r="P68" s="97"/>
      <c r="Q68" s="97"/>
      <c r="R68" s="97"/>
      <c r="S68" s="97"/>
      <c r="T68" s="97"/>
      <c r="U68" s="97"/>
    </row>
    <row r="69" spans="1:21">
      <c r="A69" s="124"/>
      <c r="B69" s="125"/>
      <c r="C69" s="97"/>
      <c r="D69" s="519"/>
      <c r="E69" s="96"/>
      <c r="F69" s="97"/>
      <c r="G69" s="97"/>
      <c r="H69" s="97"/>
      <c r="I69" s="97"/>
      <c r="J69" s="97"/>
      <c r="K69" s="97"/>
      <c r="L69" s="97"/>
      <c r="M69" s="97"/>
      <c r="N69" s="97"/>
      <c r="O69" s="97"/>
      <c r="P69" s="97"/>
      <c r="Q69" s="97"/>
      <c r="R69" s="97"/>
      <c r="S69" s="97"/>
      <c r="T69" s="97"/>
      <c r="U69" s="97"/>
    </row>
    <row r="70" spans="1:21">
      <c r="A70" s="124"/>
      <c r="B70" s="125"/>
      <c r="C70" s="97"/>
      <c r="D70" s="519"/>
      <c r="E70" s="96"/>
      <c r="F70" s="97"/>
      <c r="G70" s="97"/>
      <c r="H70" s="97"/>
      <c r="I70" s="97"/>
      <c r="J70" s="97"/>
      <c r="K70" s="97"/>
      <c r="L70" s="97"/>
      <c r="M70" s="97"/>
      <c r="N70" s="97"/>
      <c r="O70" s="97"/>
      <c r="P70" s="97"/>
      <c r="Q70" s="97"/>
      <c r="R70" s="97"/>
      <c r="S70" s="97"/>
      <c r="T70" s="97"/>
      <c r="U70" s="97"/>
    </row>
    <row r="71" spans="1:21">
      <c r="A71" s="124"/>
      <c r="B71" s="125"/>
      <c r="C71" s="97"/>
      <c r="D71" s="519"/>
      <c r="E71" s="96"/>
      <c r="F71" s="97"/>
      <c r="G71" s="97"/>
      <c r="H71" s="97"/>
      <c r="I71" s="97"/>
      <c r="J71" s="97"/>
      <c r="K71" s="97"/>
      <c r="L71" s="97"/>
      <c r="M71" s="97"/>
      <c r="N71" s="97"/>
      <c r="O71" s="97"/>
      <c r="P71" s="97"/>
      <c r="Q71" s="97"/>
      <c r="R71" s="97"/>
      <c r="S71" s="97"/>
      <c r="T71" s="97"/>
      <c r="U71" s="97"/>
    </row>
    <row r="72" spans="1:21">
      <c r="A72" s="124"/>
      <c r="B72" s="125"/>
      <c r="C72" s="97"/>
      <c r="D72" s="519"/>
      <c r="E72" s="96"/>
      <c r="F72" s="97"/>
      <c r="G72" s="97"/>
      <c r="H72" s="97"/>
      <c r="I72" s="97"/>
      <c r="J72" s="97"/>
      <c r="K72" s="97"/>
      <c r="L72" s="97"/>
      <c r="M72" s="97"/>
      <c r="N72" s="97"/>
      <c r="O72" s="97"/>
      <c r="P72" s="97"/>
      <c r="Q72" s="97"/>
      <c r="R72" s="97"/>
      <c r="S72" s="97"/>
      <c r="T72" s="97"/>
      <c r="U72" s="97"/>
    </row>
    <row r="73" spans="1:21">
      <c r="A73" s="124"/>
      <c r="B73" s="125"/>
      <c r="C73" s="97"/>
      <c r="D73" s="519"/>
      <c r="E73" s="96"/>
      <c r="F73" s="97"/>
      <c r="G73" s="97"/>
      <c r="H73" s="97"/>
      <c r="I73" s="97"/>
      <c r="J73" s="97"/>
      <c r="K73" s="97"/>
      <c r="L73" s="97"/>
      <c r="M73" s="97"/>
      <c r="N73" s="97"/>
      <c r="O73" s="97"/>
      <c r="P73" s="97"/>
      <c r="Q73" s="97"/>
      <c r="R73" s="97"/>
      <c r="S73" s="97"/>
      <c r="T73" s="97"/>
      <c r="U73" s="97"/>
    </row>
    <row r="74" spans="1:21">
      <c r="A74" s="124"/>
      <c r="B74" s="125"/>
      <c r="C74" s="97"/>
      <c r="D74" s="519"/>
      <c r="E74" s="96"/>
      <c r="F74" s="97"/>
      <c r="G74" s="97"/>
      <c r="H74" s="97"/>
      <c r="I74" s="97"/>
      <c r="J74" s="97"/>
      <c r="K74" s="97"/>
      <c r="L74" s="97"/>
      <c r="M74" s="97"/>
      <c r="N74" s="97"/>
      <c r="O74" s="97"/>
      <c r="P74" s="97"/>
      <c r="Q74" s="97"/>
      <c r="R74" s="97"/>
      <c r="S74" s="97"/>
      <c r="T74" s="97"/>
      <c r="U74" s="97"/>
    </row>
    <row r="75" spans="1:21">
      <c r="A75" s="124"/>
      <c r="B75" s="125"/>
      <c r="C75" s="97"/>
      <c r="D75" s="519"/>
      <c r="E75" s="96"/>
      <c r="F75" s="97"/>
      <c r="G75" s="97"/>
      <c r="H75" s="97"/>
      <c r="I75" s="97"/>
      <c r="J75" s="97"/>
      <c r="K75" s="97"/>
      <c r="L75" s="97"/>
      <c r="M75" s="97"/>
      <c r="N75" s="97"/>
      <c r="O75" s="97"/>
      <c r="P75" s="97"/>
      <c r="Q75" s="97"/>
      <c r="R75" s="97"/>
      <c r="S75" s="97"/>
      <c r="T75" s="97"/>
      <c r="U75" s="97"/>
    </row>
    <row r="76" spans="1:21">
      <c r="A76" s="124"/>
      <c r="B76" s="125"/>
      <c r="C76" s="97"/>
      <c r="D76" s="519"/>
      <c r="E76" s="96"/>
      <c r="F76" s="97"/>
      <c r="G76" s="97"/>
      <c r="H76" s="97"/>
      <c r="I76" s="97"/>
      <c r="J76" s="97"/>
      <c r="K76" s="97"/>
      <c r="L76" s="97"/>
      <c r="M76" s="97"/>
      <c r="N76" s="97"/>
      <c r="O76" s="97"/>
      <c r="P76" s="97"/>
      <c r="Q76" s="97"/>
      <c r="R76" s="97"/>
      <c r="S76" s="97"/>
      <c r="T76" s="97"/>
      <c r="U76" s="97"/>
    </row>
    <row r="77" spans="1:21">
      <c r="A77" s="124"/>
      <c r="B77" s="125"/>
      <c r="C77" s="97"/>
      <c r="D77" s="519"/>
      <c r="E77" s="96"/>
      <c r="F77" s="97"/>
      <c r="G77" s="97"/>
      <c r="H77" s="97"/>
      <c r="I77" s="97"/>
      <c r="J77" s="97"/>
      <c r="K77" s="97"/>
      <c r="L77" s="97"/>
      <c r="M77" s="97"/>
      <c r="N77" s="97"/>
      <c r="O77" s="97"/>
      <c r="P77" s="97"/>
      <c r="Q77" s="97"/>
      <c r="R77" s="97"/>
      <c r="S77" s="97"/>
      <c r="T77" s="97"/>
      <c r="U77" s="97"/>
    </row>
    <row r="78" spans="1:21">
      <c r="A78" s="124"/>
      <c r="B78" s="125"/>
      <c r="C78" s="97"/>
      <c r="D78" s="519"/>
      <c r="E78" s="96"/>
      <c r="F78" s="97"/>
      <c r="G78" s="97"/>
      <c r="H78" s="97"/>
      <c r="I78" s="97"/>
      <c r="J78" s="97"/>
      <c r="K78" s="97"/>
      <c r="L78" s="97"/>
      <c r="M78" s="97"/>
      <c r="N78" s="97"/>
      <c r="O78" s="97"/>
      <c r="P78" s="97"/>
      <c r="Q78" s="97"/>
      <c r="R78" s="97"/>
      <c r="S78" s="97"/>
      <c r="T78" s="97"/>
      <c r="U78" s="97"/>
    </row>
    <row r="79" spans="1:21">
      <c r="A79" s="124"/>
      <c r="B79" s="125"/>
      <c r="C79" s="97"/>
      <c r="D79" s="519"/>
      <c r="E79" s="96"/>
      <c r="F79" s="97"/>
      <c r="G79" s="97"/>
      <c r="H79" s="97"/>
      <c r="I79" s="97"/>
      <c r="J79" s="97"/>
      <c r="K79" s="97"/>
      <c r="L79" s="97"/>
      <c r="M79" s="97"/>
      <c r="N79" s="97"/>
      <c r="O79" s="97"/>
      <c r="P79" s="97"/>
      <c r="Q79" s="97"/>
      <c r="R79" s="97"/>
      <c r="S79" s="97"/>
      <c r="T79" s="97"/>
      <c r="U79" s="97"/>
    </row>
    <row r="80" spans="1:21">
      <c r="A80" s="124"/>
      <c r="B80" s="125"/>
      <c r="C80" s="97"/>
      <c r="D80" s="519"/>
      <c r="E80" s="96"/>
      <c r="F80" s="97"/>
      <c r="G80" s="97"/>
      <c r="H80" s="97"/>
      <c r="I80" s="97"/>
      <c r="J80" s="97"/>
      <c r="K80" s="97"/>
      <c r="L80" s="97"/>
      <c r="M80" s="97"/>
      <c r="N80" s="97"/>
      <c r="O80" s="97"/>
      <c r="P80" s="97"/>
      <c r="Q80" s="97"/>
      <c r="R80" s="97"/>
      <c r="S80" s="97"/>
      <c r="T80" s="97"/>
      <c r="U80" s="97"/>
    </row>
    <row r="81" spans="1:21">
      <c r="A81" s="124"/>
      <c r="B81" s="125"/>
      <c r="C81" s="97"/>
      <c r="D81" s="519"/>
      <c r="E81" s="96"/>
      <c r="F81" s="97"/>
      <c r="G81" s="97"/>
      <c r="H81" s="97"/>
      <c r="I81" s="97"/>
      <c r="J81" s="97"/>
      <c r="K81" s="97"/>
      <c r="L81" s="97"/>
      <c r="M81" s="97"/>
      <c r="N81" s="97"/>
      <c r="O81" s="97"/>
      <c r="P81" s="97"/>
      <c r="Q81" s="97"/>
      <c r="R81" s="97"/>
      <c r="S81" s="97"/>
      <c r="T81" s="97"/>
      <c r="U81" s="97"/>
    </row>
    <row r="82" spans="1:21">
      <c r="A82" s="124"/>
      <c r="B82" s="125"/>
      <c r="C82" s="97"/>
      <c r="D82" s="519"/>
      <c r="E82" s="96"/>
      <c r="F82" s="97"/>
      <c r="G82" s="97"/>
      <c r="H82" s="97"/>
      <c r="I82" s="97"/>
      <c r="J82" s="97"/>
      <c r="K82" s="97"/>
      <c r="L82" s="97"/>
      <c r="M82" s="97"/>
      <c r="N82" s="97"/>
      <c r="O82" s="97"/>
      <c r="P82" s="97"/>
      <c r="Q82" s="97"/>
      <c r="R82" s="97"/>
      <c r="S82" s="97"/>
      <c r="T82" s="97"/>
      <c r="U82" s="97"/>
    </row>
    <row r="83" spans="1:21">
      <c r="A83" s="124"/>
      <c r="B83" s="125"/>
      <c r="C83" s="97"/>
      <c r="D83" s="519"/>
      <c r="E83" s="96"/>
      <c r="F83" s="97"/>
      <c r="G83" s="97"/>
      <c r="H83" s="97"/>
      <c r="I83" s="97"/>
      <c r="J83" s="97"/>
      <c r="K83" s="97"/>
      <c r="L83" s="97"/>
      <c r="M83" s="97"/>
      <c r="N83" s="97"/>
      <c r="O83" s="97"/>
      <c r="P83" s="97"/>
      <c r="Q83" s="97"/>
      <c r="R83" s="97"/>
      <c r="S83" s="97"/>
      <c r="T83" s="97"/>
      <c r="U83" s="97"/>
    </row>
    <row r="84" spans="1:21">
      <c r="A84" s="124"/>
      <c r="B84" s="125"/>
      <c r="C84" s="97"/>
      <c r="D84" s="519"/>
      <c r="E84" s="96"/>
      <c r="F84" s="97"/>
      <c r="G84" s="97"/>
      <c r="H84" s="97"/>
      <c r="I84" s="97"/>
      <c r="J84" s="97"/>
      <c r="K84" s="97"/>
      <c r="L84" s="97"/>
      <c r="M84" s="97"/>
      <c r="N84" s="97"/>
      <c r="O84" s="97"/>
      <c r="P84" s="97"/>
      <c r="Q84" s="97"/>
      <c r="R84" s="97"/>
      <c r="S84" s="97"/>
      <c r="T84" s="97"/>
      <c r="U84" s="97"/>
    </row>
    <row r="85" spans="1:21">
      <c r="A85" s="124"/>
      <c r="B85" s="125"/>
      <c r="C85" s="97"/>
      <c r="D85" s="519"/>
      <c r="E85" s="96"/>
      <c r="F85" s="97"/>
      <c r="G85" s="97"/>
      <c r="H85" s="97"/>
      <c r="I85" s="97"/>
      <c r="J85" s="97"/>
      <c r="K85" s="97"/>
      <c r="L85" s="97"/>
      <c r="M85" s="97"/>
      <c r="N85" s="97"/>
      <c r="O85" s="97"/>
      <c r="P85" s="97"/>
      <c r="Q85" s="97"/>
      <c r="R85" s="97"/>
      <c r="S85" s="97"/>
      <c r="T85" s="97"/>
      <c r="U85" s="97"/>
    </row>
    <row r="86" spans="1:21">
      <c r="A86" s="124"/>
      <c r="B86" s="125"/>
      <c r="C86" s="97"/>
      <c r="D86" s="519"/>
      <c r="E86" s="96"/>
      <c r="F86" s="97"/>
      <c r="G86" s="97"/>
      <c r="H86" s="97"/>
      <c r="I86" s="97"/>
      <c r="J86" s="97"/>
      <c r="K86" s="97"/>
      <c r="L86" s="97"/>
      <c r="M86" s="97"/>
      <c r="N86" s="97"/>
      <c r="O86" s="97"/>
      <c r="P86" s="97"/>
      <c r="Q86" s="97"/>
      <c r="R86" s="97"/>
      <c r="S86" s="97"/>
      <c r="T86" s="97"/>
      <c r="U86" s="97"/>
    </row>
    <row r="87" spans="1:21">
      <c r="A87" s="124"/>
      <c r="B87" s="125"/>
      <c r="C87" s="97"/>
      <c r="D87" s="519"/>
      <c r="E87" s="96"/>
      <c r="F87" s="97"/>
      <c r="G87" s="97"/>
      <c r="H87" s="97"/>
      <c r="I87" s="97"/>
      <c r="J87" s="97"/>
      <c r="K87" s="97"/>
      <c r="L87" s="97"/>
      <c r="M87" s="97"/>
      <c r="N87" s="97"/>
      <c r="O87" s="97"/>
      <c r="P87" s="97"/>
      <c r="Q87" s="97"/>
      <c r="R87" s="97"/>
      <c r="S87" s="97"/>
      <c r="T87" s="97"/>
      <c r="U87" s="97"/>
    </row>
    <row r="88" spans="1:21">
      <c r="A88" s="124"/>
      <c r="B88" s="125"/>
      <c r="C88" s="97"/>
      <c r="D88" s="519"/>
      <c r="E88" s="96"/>
      <c r="F88" s="97"/>
      <c r="G88" s="97"/>
      <c r="H88" s="97"/>
      <c r="I88" s="97"/>
      <c r="J88" s="97"/>
      <c r="K88" s="97"/>
      <c r="L88" s="97"/>
      <c r="M88" s="97"/>
      <c r="N88" s="97"/>
      <c r="O88" s="97"/>
      <c r="P88" s="97"/>
      <c r="Q88" s="97"/>
      <c r="R88" s="97"/>
      <c r="S88" s="97"/>
      <c r="T88" s="97"/>
      <c r="U88" s="97"/>
    </row>
    <row r="89" spans="1:21">
      <c r="A89" s="124"/>
      <c r="B89" s="125"/>
      <c r="C89" s="97"/>
      <c r="D89" s="519"/>
      <c r="E89" s="96"/>
      <c r="F89" s="97"/>
      <c r="G89" s="97"/>
      <c r="H89" s="97"/>
      <c r="I89" s="97"/>
      <c r="J89" s="97"/>
      <c r="K89" s="97"/>
      <c r="L89" s="97"/>
      <c r="M89" s="97"/>
      <c r="N89" s="97"/>
      <c r="O89" s="97"/>
      <c r="P89" s="97"/>
      <c r="Q89" s="97"/>
      <c r="R89" s="97"/>
      <c r="S89" s="97"/>
      <c r="T89" s="97"/>
      <c r="U89" s="97"/>
    </row>
    <row r="90" spans="1:21">
      <c r="A90" s="124"/>
      <c r="B90" s="125"/>
      <c r="C90" s="97"/>
      <c r="D90" s="519"/>
      <c r="E90" s="96"/>
      <c r="F90" s="97"/>
      <c r="G90" s="97"/>
      <c r="H90" s="97"/>
      <c r="I90" s="97"/>
      <c r="J90" s="97"/>
      <c r="K90" s="97"/>
      <c r="L90" s="97"/>
      <c r="M90" s="97"/>
      <c r="N90" s="97"/>
      <c r="O90" s="97"/>
      <c r="P90" s="97"/>
      <c r="Q90" s="97"/>
      <c r="R90" s="97"/>
      <c r="S90" s="97"/>
      <c r="T90" s="97"/>
      <c r="U90" s="97"/>
    </row>
    <row r="91" spans="1:21">
      <c r="A91" s="124"/>
      <c r="B91" s="125"/>
      <c r="C91" s="97"/>
      <c r="D91" s="519"/>
      <c r="E91" s="96"/>
      <c r="F91" s="97"/>
      <c r="G91" s="97"/>
      <c r="H91" s="97"/>
      <c r="I91" s="97"/>
      <c r="J91" s="97"/>
      <c r="K91" s="97"/>
      <c r="L91" s="97"/>
      <c r="M91" s="97"/>
      <c r="N91" s="97"/>
      <c r="O91" s="97"/>
      <c r="P91" s="97"/>
      <c r="Q91" s="97"/>
      <c r="R91" s="97"/>
      <c r="S91" s="97"/>
      <c r="T91" s="97"/>
      <c r="U91" s="97"/>
    </row>
    <row r="92" spans="1:21">
      <c r="A92" s="124"/>
      <c r="B92" s="125"/>
      <c r="C92" s="97"/>
      <c r="D92" s="519"/>
      <c r="E92" s="96"/>
      <c r="F92" s="97"/>
      <c r="G92" s="97"/>
      <c r="H92" s="97"/>
      <c r="I92" s="97"/>
      <c r="J92" s="97"/>
      <c r="K92" s="97"/>
      <c r="L92" s="97"/>
      <c r="M92" s="97"/>
      <c r="N92" s="97"/>
      <c r="O92" s="97"/>
      <c r="P92" s="97"/>
      <c r="Q92" s="97"/>
      <c r="R92" s="97"/>
      <c r="S92" s="97"/>
      <c r="T92" s="97"/>
      <c r="U92" s="97"/>
    </row>
    <row r="93" spans="1:21">
      <c r="A93" s="124"/>
      <c r="B93" s="125"/>
      <c r="C93" s="97"/>
      <c r="D93" s="519"/>
      <c r="E93" s="96"/>
      <c r="F93" s="97"/>
      <c r="G93" s="97"/>
      <c r="H93" s="97"/>
      <c r="I93" s="97"/>
      <c r="J93" s="97"/>
      <c r="K93" s="97"/>
      <c r="L93" s="97"/>
      <c r="M93" s="97"/>
      <c r="N93" s="97"/>
      <c r="O93" s="97"/>
      <c r="P93" s="97"/>
      <c r="Q93" s="97"/>
      <c r="R93" s="97"/>
      <c r="S93" s="97"/>
      <c r="T93" s="97"/>
      <c r="U93" s="97"/>
    </row>
    <row r="94" spans="1:21">
      <c r="A94" s="124"/>
      <c r="B94" s="125"/>
      <c r="C94" s="97"/>
      <c r="D94" s="519"/>
      <c r="E94" s="96"/>
      <c r="F94" s="97"/>
      <c r="G94" s="97"/>
      <c r="H94" s="97"/>
      <c r="I94" s="97"/>
      <c r="J94" s="97"/>
      <c r="K94" s="97"/>
      <c r="L94" s="97"/>
      <c r="M94" s="97"/>
      <c r="N94" s="97"/>
      <c r="O94" s="97"/>
      <c r="P94" s="97"/>
      <c r="Q94" s="97"/>
      <c r="R94" s="97"/>
      <c r="S94" s="97"/>
      <c r="T94" s="97"/>
      <c r="U94" s="97"/>
    </row>
    <row r="95" spans="1:21">
      <c r="A95" s="124"/>
      <c r="B95" s="125"/>
      <c r="C95" s="97"/>
      <c r="D95" s="519"/>
      <c r="E95" s="96"/>
      <c r="F95" s="97"/>
      <c r="G95" s="97"/>
      <c r="H95" s="97"/>
      <c r="I95" s="97"/>
      <c r="J95" s="97"/>
      <c r="K95" s="97"/>
      <c r="L95" s="97"/>
      <c r="M95" s="97"/>
      <c r="N95" s="97"/>
      <c r="O95" s="97"/>
      <c r="P95" s="97"/>
      <c r="Q95" s="97"/>
      <c r="R95" s="97"/>
      <c r="S95" s="97"/>
      <c r="T95" s="97"/>
      <c r="U95" s="97"/>
    </row>
    <row r="96" spans="1:21">
      <c r="A96" s="124"/>
      <c r="B96" s="125"/>
      <c r="C96" s="97"/>
      <c r="D96" s="519"/>
      <c r="E96" s="96"/>
      <c r="F96" s="97"/>
      <c r="G96" s="97"/>
      <c r="H96" s="97"/>
      <c r="I96" s="97"/>
      <c r="J96" s="97"/>
      <c r="K96" s="97"/>
      <c r="L96" s="97"/>
      <c r="M96" s="97"/>
      <c r="N96" s="97"/>
      <c r="O96" s="97"/>
      <c r="P96" s="97"/>
      <c r="Q96" s="97"/>
      <c r="R96" s="97"/>
      <c r="S96" s="97"/>
      <c r="T96" s="97"/>
      <c r="U96" s="97"/>
    </row>
    <row r="97" spans="1:21">
      <c r="A97" s="124"/>
      <c r="B97" s="125"/>
      <c r="C97" s="97"/>
      <c r="D97" s="519"/>
      <c r="E97" s="96"/>
      <c r="F97" s="97"/>
      <c r="G97" s="97"/>
      <c r="H97" s="97"/>
      <c r="I97" s="97"/>
      <c r="J97" s="97"/>
      <c r="K97" s="97"/>
      <c r="L97" s="97"/>
      <c r="M97" s="97"/>
      <c r="N97" s="97"/>
      <c r="O97" s="97"/>
      <c r="P97" s="97"/>
      <c r="Q97" s="97"/>
      <c r="R97" s="97"/>
      <c r="S97" s="97"/>
      <c r="T97" s="97"/>
      <c r="U97" s="97"/>
    </row>
    <row r="98" spans="1:21">
      <c r="A98" s="124"/>
      <c r="B98" s="125"/>
      <c r="C98" s="97"/>
      <c r="D98" s="519"/>
      <c r="E98" s="96"/>
      <c r="F98" s="97"/>
      <c r="G98" s="97"/>
      <c r="H98" s="97"/>
      <c r="I98" s="97"/>
      <c r="J98" s="97"/>
      <c r="K98" s="97"/>
      <c r="L98" s="97"/>
      <c r="M98" s="97"/>
      <c r="N98" s="97"/>
      <c r="O98" s="97"/>
      <c r="P98" s="97"/>
      <c r="Q98" s="97"/>
      <c r="R98" s="97"/>
      <c r="S98" s="97"/>
      <c r="T98" s="97"/>
      <c r="U98" s="97"/>
    </row>
    <row r="99" spans="1:21">
      <c r="A99" s="124"/>
      <c r="B99" s="125"/>
      <c r="C99" s="97"/>
      <c r="D99" s="519"/>
      <c r="E99" s="96"/>
      <c r="F99" s="97"/>
      <c r="G99" s="97"/>
      <c r="H99" s="97"/>
      <c r="I99" s="97"/>
      <c r="J99" s="97"/>
      <c r="K99" s="97"/>
      <c r="L99" s="97"/>
      <c r="M99" s="97"/>
      <c r="N99" s="97"/>
      <c r="O99" s="97"/>
      <c r="P99" s="97"/>
      <c r="Q99" s="97"/>
      <c r="R99" s="97"/>
      <c r="S99" s="97"/>
      <c r="T99" s="97"/>
      <c r="U99" s="97"/>
    </row>
    <row r="100" spans="1:21">
      <c r="A100" s="124"/>
      <c r="B100" s="125"/>
      <c r="C100" s="97"/>
      <c r="D100" s="519"/>
      <c r="E100" s="96"/>
      <c r="F100" s="97"/>
      <c r="G100" s="97"/>
      <c r="H100" s="97"/>
      <c r="I100" s="97"/>
      <c r="J100" s="97"/>
      <c r="K100" s="97"/>
      <c r="L100" s="97"/>
      <c r="M100" s="97"/>
      <c r="N100" s="97"/>
      <c r="O100" s="97"/>
      <c r="P100" s="97"/>
      <c r="Q100" s="97"/>
      <c r="R100" s="97"/>
      <c r="S100" s="97"/>
      <c r="T100" s="97"/>
      <c r="U100" s="97"/>
    </row>
    <row r="101" spans="1:21">
      <c r="A101" s="124"/>
      <c r="B101" s="125"/>
      <c r="C101" s="97"/>
      <c r="D101" s="519"/>
      <c r="E101" s="96"/>
      <c r="F101" s="97"/>
      <c r="G101" s="97"/>
      <c r="H101" s="97"/>
      <c r="I101" s="97"/>
      <c r="J101" s="97"/>
      <c r="K101" s="97"/>
      <c r="L101" s="97"/>
      <c r="M101" s="97"/>
      <c r="N101" s="97"/>
      <c r="O101" s="97"/>
      <c r="P101" s="97"/>
      <c r="Q101" s="97"/>
      <c r="R101" s="97"/>
      <c r="S101" s="97"/>
      <c r="T101" s="97"/>
      <c r="U101" s="97"/>
    </row>
    <row r="102" spans="1:21">
      <c r="A102" s="124"/>
      <c r="B102" s="125"/>
      <c r="C102" s="97"/>
      <c r="D102" s="519"/>
      <c r="E102" s="96"/>
      <c r="F102" s="97"/>
      <c r="G102" s="97"/>
      <c r="H102" s="97"/>
      <c r="I102" s="97"/>
      <c r="J102" s="97"/>
      <c r="K102" s="97"/>
      <c r="L102" s="97"/>
      <c r="M102" s="97"/>
      <c r="N102" s="97"/>
      <c r="O102" s="97"/>
      <c r="P102" s="97"/>
      <c r="Q102" s="97"/>
      <c r="R102" s="97"/>
      <c r="S102" s="97"/>
      <c r="T102" s="97"/>
      <c r="U102" s="97"/>
    </row>
    <row r="103" spans="1:21">
      <c r="A103" s="124"/>
      <c r="B103" s="125"/>
      <c r="C103" s="97"/>
      <c r="D103" s="519"/>
      <c r="E103" s="96"/>
      <c r="F103" s="97"/>
      <c r="G103" s="97"/>
      <c r="H103" s="97"/>
      <c r="I103" s="97"/>
      <c r="J103" s="97"/>
      <c r="K103" s="97"/>
      <c r="L103" s="97"/>
      <c r="M103" s="97"/>
      <c r="N103" s="97"/>
      <c r="O103" s="97"/>
      <c r="P103" s="97"/>
      <c r="Q103" s="97"/>
      <c r="R103" s="97"/>
      <c r="S103" s="97"/>
      <c r="T103" s="97"/>
      <c r="U103" s="97"/>
    </row>
    <row r="104" spans="1:21">
      <c r="A104" s="124"/>
      <c r="B104" s="125"/>
      <c r="C104" s="97"/>
      <c r="D104" s="519"/>
      <c r="E104" s="96"/>
      <c r="F104" s="97"/>
      <c r="G104" s="97"/>
      <c r="H104" s="97"/>
      <c r="I104" s="97"/>
      <c r="J104" s="97"/>
      <c r="K104" s="97"/>
      <c r="L104" s="97"/>
      <c r="M104" s="97"/>
      <c r="N104" s="97"/>
      <c r="O104" s="97"/>
      <c r="P104" s="97"/>
      <c r="Q104" s="97"/>
      <c r="R104" s="97"/>
      <c r="S104" s="97"/>
      <c r="T104" s="97"/>
      <c r="U104" s="97"/>
    </row>
    <row r="105" spans="1:21">
      <c r="A105" s="124"/>
      <c r="B105" s="125"/>
      <c r="C105" s="97"/>
      <c r="D105" s="519"/>
      <c r="E105" s="96"/>
      <c r="F105" s="97"/>
      <c r="G105" s="97"/>
      <c r="H105" s="97"/>
      <c r="I105" s="97"/>
      <c r="J105" s="97"/>
      <c r="K105" s="97"/>
      <c r="L105" s="97"/>
      <c r="M105" s="97"/>
      <c r="N105" s="97"/>
      <c r="O105" s="97"/>
      <c r="P105" s="97"/>
      <c r="Q105" s="97"/>
      <c r="R105" s="97"/>
      <c r="S105" s="97"/>
      <c r="T105" s="97"/>
      <c r="U105" s="97"/>
    </row>
    <row r="106" spans="1:21">
      <c r="A106" s="124"/>
      <c r="B106" s="125"/>
      <c r="C106" s="97"/>
      <c r="D106" s="519"/>
      <c r="E106" s="96"/>
      <c r="F106" s="97"/>
      <c r="G106" s="97"/>
      <c r="H106" s="97"/>
      <c r="I106" s="97"/>
      <c r="J106" s="97"/>
      <c r="K106" s="97"/>
      <c r="L106" s="97"/>
      <c r="M106" s="97"/>
      <c r="N106" s="97"/>
      <c r="O106" s="97"/>
      <c r="P106" s="97"/>
      <c r="Q106" s="97"/>
      <c r="R106" s="97"/>
      <c r="S106" s="97"/>
      <c r="T106" s="97"/>
      <c r="U106" s="97"/>
    </row>
    <row r="107" spans="1:21">
      <c r="A107" s="124"/>
      <c r="B107" s="125"/>
      <c r="C107" s="97"/>
      <c r="D107" s="519"/>
      <c r="E107" s="96"/>
      <c r="F107" s="97"/>
      <c r="G107" s="97"/>
      <c r="H107" s="97"/>
      <c r="I107" s="97"/>
      <c r="J107" s="97"/>
      <c r="K107" s="97"/>
      <c r="L107" s="97"/>
      <c r="M107" s="97"/>
      <c r="N107" s="97"/>
      <c r="O107" s="97"/>
      <c r="P107" s="97"/>
      <c r="Q107" s="97"/>
      <c r="R107" s="97"/>
      <c r="S107" s="97"/>
      <c r="T107" s="97"/>
      <c r="U107" s="97"/>
    </row>
    <row r="108" spans="1:21">
      <c r="A108" s="124"/>
      <c r="B108" s="125"/>
      <c r="C108" s="97"/>
      <c r="D108" s="519"/>
      <c r="E108" s="96"/>
      <c r="F108" s="97"/>
      <c r="G108" s="97"/>
      <c r="H108" s="97"/>
      <c r="I108" s="97"/>
      <c r="J108" s="97"/>
      <c r="K108" s="97"/>
      <c r="L108" s="97"/>
      <c r="M108" s="97"/>
      <c r="N108" s="97"/>
      <c r="O108" s="97"/>
      <c r="P108" s="97"/>
      <c r="Q108" s="97"/>
      <c r="R108" s="97"/>
      <c r="S108" s="97"/>
      <c r="T108" s="97"/>
      <c r="U108" s="97"/>
    </row>
    <row r="109" spans="1:21">
      <c r="A109" s="124"/>
      <c r="B109" s="125"/>
      <c r="C109" s="97"/>
      <c r="D109" s="519"/>
      <c r="E109" s="96"/>
      <c r="F109" s="97"/>
      <c r="G109" s="97"/>
      <c r="H109" s="97"/>
      <c r="I109" s="97"/>
      <c r="J109" s="97"/>
      <c r="K109" s="97"/>
      <c r="L109" s="97"/>
      <c r="M109" s="97"/>
      <c r="N109" s="97"/>
      <c r="O109" s="97"/>
      <c r="P109" s="97"/>
      <c r="Q109" s="97"/>
      <c r="R109" s="97"/>
      <c r="S109" s="97"/>
      <c r="T109" s="97"/>
      <c r="U109" s="97"/>
    </row>
    <row r="110" spans="1:21">
      <c r="A110" s="124"/>
      <c r="B110" s="125"/>
      <c r="C110" s="97"/>
      <c r="D110" s="519"/>
      <c r="E110" s="96"/>
      <c r="F110" s="97"/>
      <c r="G110" s="97"/>
      <c r="H110" s="97"/>
      <c r="I110" s="97"/>
      <c r="J110" s="97"/>
      <c r="K110" s="97"/>
      <c r="L110" s="97"/>
      <c r="M110" s="97"/>
      <c r="N110" s="97"/>
      <c r="O110" s="97"/>
      <c r="P110" s="97"/>
      <c r="Q110" s="97"/>
      <c r="R110" s="97"/>
      <c r="S110" s="97"/>
      <c r="T110" s="97"/>
      <c r="U110" s="97"/>
    </row>
    <row r="111" spans="1:21">
      <c r="A111" s="124"/>
      <c r="B111" s="125"/>
      <c r="C111" s="97"/>
      <c r="D111" s="519"/>
      <c r="E111" s="96"/>
      <c r="F111" s="97"/>
      <c r="G111" s="97"/>
      <c r="H111" s="97"/>
      <c r="I111" s="97"/>
      <c r="J111" s="97"/>
      <c r="K111" s="97"/>
      <c r="L111" s="97"/>
      <c r="M111" s="97"/>
      <c r="N111" s="97"/>
      <c r="O111" s="97"/>
      <c r="P111" s="97"/>
      <c r="Q111" s="97"/>
      <c r="R111" s="97"/>
      <c r="S111" s="97"/>
      <c r="T111" s="97"/>
      <c r="U111" s="97"/>
    </row>
    <row r="112" spans="1:21">
      <c r="A112" s="124"/>
      <c r="B112" s="125"/>
      <c r="C112" s="97"/>
      <c r="D112" s="519"/>
      <c r="E112" s="96"/>
      <c r="F112" s="97"/>
      <c r="G112" s="97"/>
      <c r="H112" s="97"/>
      <c r="I112" s="97"/>
      <c r="J112" s="97"/>
      <c r="K112" s="97"/>
      <c r="L112" s="97"/>
      <c r="M112" s="97"/>
      <c r="N112" s="97"/>
      <c r="O112" s="97"/>
      <c r="P112" s="97"/>
      <c r="Q112" s="97"/>
      <c r="R112" s="97"/>
      <c r="S112" s="97"/>
      <c r="T112" s="97"/>
      <c r="U112" s="97"/>
    </row>
    <row r="113" spans="1:21">
      <c r="A113" s="124"/>
      <c r="B113" s="125"/>
      <c r="C113" s="97"/>
      <c r="D113" s="519"/>
      <c r="E113" s="96"/>
      <c r="F113" s="97"/>
      <c r="G113" s="97"/>
      <c r="H113" s="97"/>
      <c r="I113" s="97"/>
      <c r="J113" s="97"/>
      <c r="K113" s="97"/>
      <c r="L113" s="97"/>
      <c r="M113" s="97"/>
      <c r="N113" s="97"/>
      <c r="O113" s="97"/>
      <c r="P113" s="97"/>
      <c r="Q113" s="97"/>
      <c r="R113" s="97"/>
      <c r="S113" s="97"/>
      <c r="T113" s="97"/>
      <c r="U113" s="97"/>
    </row>
    <row r="114" spans="1:21">
      <c r="A114" s="124"/>
      <c r="B114" s="125"/>
      <c r="C114" s="97"/>
      <c r="D114" s="519"/>
      <c r="E114" s="96"/>
      <c r="F114" s="97"/>
      <c r="G114" s="97"/>
      <c r="H114" s="97"/>
      <c r="I114" s="97"/>
      <c r="J114" s="97"/>
      <c r="K114" s="97"/>
      <c r="L114" s="97"/>
      <c r="M114" s="97"/>
      <c r="N114" s="97"/>
      <c r="O114" s="97"/>
      <c r="P114" s="97"/>
      <c r="Q114" s="97"/>
      <c r="R114" s="97"/>
      <c r="S114" s="97"/>
      <c r="T114" s="97"/>
      <c r="U114" s="97"/>
    </row>
    <row r="115" spans="1:21">
      <c r="A115" s="124"/>
      <c r="B115" s="125"/>
      <c r="C115" s="97"/>
      <c r="D115" s="519"/>
      <c r="E115" s="96"/>
      <c r="F115" s="97"/>
      <c r="G115" s="97"/>
      <c r="H115" s="97"/>
      <c r="I115" s="97"/>
      <c r="J115" s="97"/>
      <c r="K115" s="97"/>
      <c r="L115" s="97"/>
      <c r="M115" s="97"/>
      <c r="N115" s="97"/>
      <c r="O115" s="97"/>
      <c r="P115" s="97"/>
      <c r="Q115" s="97"/>
      <c r="R115" s="97"/>
      <c r="S115" s="97"/>
      <c r="T115" s="97"/>
      <c r="U115" s="97"/>
    </row>
    <row r="116" spans="1:21">
      <c r="A116" s="124"/>
      <c r="B116" s="125"/>
      <c r="C116" s="97"/>
      <c r="D116" s="519"/>
      <c r="E116" s="96"/>
      <c r="F116" s="97"/>
      <c r="G116" s="97"/>
      <c r="H116" s="97"/>
      <c r="I116" s="97"/>
      <c r="J116" s="97"/>
      <c r="K116" s="97"/>
      <c r="L116" s="97"/>
      <c r="M116" s="97"/>
      <c r="N116" s="97"/>
      <c r="O116" s="97"/>
      <c r="P116" s="97"/>
      <c r="Q116" s="97"/>
      <c r="R116" s="97"/>
      <c r="S116" s="97"/>
      <c r="T116" s="97"/>
      <c r="U116" s="97"/>
    </row>
    <row r="117" spans="1:21">
      <c r="A117" s="124"/>
      <c r="B117" s="125"/>
      <c r="C117" s="97"/>
      <c r="D117" s="519"/>
      <c r="E117" s="96"/>
      <c r="F117" s="97"/>
      <c r="G117" s="97"/>
      <c r="H117" s="97"/>
      <c r="I117" s="97"/>
      <c r="J117" s="97"/>
      <c r="K117" s="97"/>
      <c r="L117" s="97"/>
      <c r="M117" s="97"/>
      <c r="N117" s="97"/>
      <c r="O117" s="97"/>
      <c r="P117" s="97"/>
      <c r="Q117" s="97"/>
      <c r="R117" s="97"/>
      <c r="S117" s="97"/>
      <c r="T117" s="97"/>
      <c r="U117" s="97"/>
    </row>
    <row r="118" spans="1:21">
      <c r="A118" s="124"/>
      <c r="B118" s="125"/>
      <c r="C118" s="97"/>
      <c r="D118" s="519"/>
      <c r="E118" s="96"/>
      <c r="F118" s="97"/>
      <c r="G118" s="97"/>
      <c r="H118" s="97"/>
      <c r="I118" s="97"/>
      <c r="J118" s="97"/>
      <c r="K118" s="97"/>
      <c r="L118" s="97"/>
      <c r="M118" s="97"/>
      <c r="N118" s="97"/>
      <c r="O118" s="97"/>
      <c r="P118" s="97"/>
      <c r="Q118" s="97"/>
      <c r="R118" s="97"/>
      <c r="S118" s="97"/>
      <c r="T118" s="97"/>
      <c r="U118" s="97"/>
    </row>
    <row r="119" spans="1:21">
      <c r="A119" s="124"/>
      <c r="B119" s="125"/>
      <c r="C119" s="97"/>
      <c r="D119" s="519"/>
      <c r="E119" s="96"/>
      <c r="F119" s="97"/>
      <c r="G119" s="97"/>
      <c r="H119" s="97"/>
      <c r="I119" s="97"/>
      <c r="J119" s="97"/>
      <c r="K119" s="97"/>
      <c r="L119" s="97"/>
      <c r="M119" s="97"/>
      <c r="N119" s="97"/>
      <c r="O119" s="97"/>
      <c r="P119" s="97"/>
      <c r="Q119" s="97"/>
      <c r="R119" s="97"/>
      <c r="S119" s="97"/>
      <c r="T119" s="97"/>
      <c r="U119" s="97"/>
    </row>
    <row r="120" spans="1:21">
      <c r="A120" s="124"/>
      <c r="B120" s="125"/>
      <c r="C120" s="97"/>
      <c r="D120" s="519"/>
      <c r="E120" s="96"/>
      <c r="F120" s="97"/>
      <c r="G120" s="97"/>
      <c r="H120" s="97"/>
      <c r="I120" s="97"/>
      <c r="J120" s="97"/>
      <c r="K120" s="97"/>
      <c r="L120" s="97"/>
      <c r="M120" s="97"/>
      <c r="N120" s="97"/>
      <c r="O120" s="97"/>
      <c r="P120" s="97"/>
      <c r="Q120" s="97"/>
      <c r="R120" s="97"/>
      <c r="S120" s="97"/>
      <c r="T120" s="97"/>
      <c r="U120" s="97"/>
    </row>
    <row r="121" spans="1:21">
      <c r="A121" s="124"/>
      <c r="B121" s="125"/>
      <c r="C121" s="97"/>
      <c r="D121" s="519"/>
      <c r="E121" s="96"/>
      <c r="F121" s="97"/>
      <c r="G121" s="97"/>
      <c r="H121" s="97"/>
      <c r="I121" s="97"/>
      <c r="J121" s="97"/>
      <c r="K121" s="97"/>
      <c r="L121" s="97"/>
      <c r="M121" s="97"/>
      <c r="N121" s="97"/>
      <c r="O121" s="97"/>
      <c r="P121" s="97"/>
      <c r="Q121" s="97"/>
      <c r="R121" s="97"/>
      <c r="S121" s="97"/>
      <c r="T121" s="97"/>
      <c r="U121" s="97"/>
    </row>
    <row r="122" spans="1:21">
      <c r="A122" s="124"/>
      <c r="B122" s="125"/>
      <c r="C122" s="97"/>
      <c r="D122" s="519"/>
      <c r="E122" s="96"/>
      <c r="F122" s="97"/>
      <c r="G122" s="97"/>
      <c r="H122" s="97"/>
      <c r="I122" s="97"/>
      <c r="J122" s="97"/>
      <c r="K122" s="97"/>
      <c r="L122" s="97"/>
      <c r="M122" s="97"/>
      <c r="N122" s="97"/>
      <c r="O122" s="97"/>
      <c r="P122" s="97"/>
      <c r="Q122" s="97"/>
      <c r="R122" s="97"/>
      <c r="S122" s="97"/>
      <c r="T122" s="97"/>
      <c r="U122" s="97"/>
    </row>
    <row r="123" spans="1:21">
      <c r="A123" s="124"/>
      <c r="B123" s="125"/>
      <c r="C123" s="97"/>
      <c r="D123" s="519"/>
      <c r="E123" s="96"/>
      <c r="F123" s="97"/>
      <c r="G123" s="97"/>
      <c r="H123" s="97"/>
      <c r="I123" s="97"/>
      <c r="J123" s="97"/>
      <c r="K123" s="97"/>
      <c r="L123" s="97"/>
      <c r="M123" s="97"/>
      <c r="N123" s="97"/>
      <c r="O123" s="97"/>
      <c r="P123" s="97"/>
      <c r="Q123" s="97"/>
      <c r="R123" s="97"/>
      <c r="S123" s="97"/>
      <c r="T123" s="97"/>
      <c r="U123" s="97"/>
    </row>
    <row r="124" spans="1:21">
      <c r="A124" s="124"/>
      <c r="B124" s="125"/>
      <c r="C124" s="97"/>
      <c r="D124" s="519"/>
      <c r="E124" s="96"/>
      <c r="F124" s="97"/>
      <c r="G124" s="97"/>
      <c r="H124" s="97"/>
      <c r="I124" s="97"/>
      <c r="J124" s="97"/>
      <c r="K124" s="97"/>
      <c r="L124" s="97"/>
      <c r="M124" s="97"/>
      <c r="N124" s="97"/>
      <c r="O124" s="97"/>
      <c r="P124" s="97"/>
      <c r="Q124" s="97"/>
      <c r="R124" s="97"/>
      <c r="S124" s="97"/>
      <c r="T124" s="97"/>
      <c r="U124" s="97"/>
    </row>
    <row r="125" spans="1:21">
      <c r="A125" s="124"/>
      <c r="B125" s="125"/>
      <c r="C125" s="97"/>
      <c r="D125" s="519"/>
      <c r="E125" s="96"/>
      <c r="F125" s="97"/>
      <c r="G125" s="97"/>
      <c r="H125" s="97"/>
      <c r="I125" s="97"/>
      <c r="J125" s="97"/>
      <c r="K125" s="97"/>
      <c r="L125" s="97"/>
      <c r="M125" s="97"/>
      <c r="N125" s="97"/>
      <c r="O125" s="97"/>
      <c r="P125" s="97"/>
      <c r="Q125" s="97"/>
      <c r="R125" s="97"/>
      <c r="S125" s="97"/>
      <c r="T125" s="97"/>
      <c r="U125" s="97"/>
    </row>
    <row r="126" spans="1:21">
      <c r="A126" s="124"/>
      <c r="B126" s="125"/>
      <c r="C126" s="97"/>
      <c r="D126" s="519"/>
      <c r="E126" s="96"/>
      <c r="F126" s="97"/>
      <c r="G126" s="97"/>
      <c r="H126" s="97"/>
      <c r="I126" s="97"/>
      <c r="J126" s="97"/>
      <c r="K126" s="97"/>
      <c r="L126" s="97"/>
      <c r="M126" s="97"/>
      <c r="N126" s="97"/>
      <c r="O126" s="97"/>
      <c r="P126" s="97"/>
      <c r="Q126" s="97"/>
      <c r="R126" s="97"/>
      <c r="S126" s="97"/>
      <c r="T126" s="97"/>
      <c r="U126" s="97"/>
    </row>
    <row r="127" spans="1:21">
      <c r="A127" s="124"/>
      <c r="B127" s="125"/>
      <c r="C127" s="97"/>
      <c r="D127" s="519"/>
      <c r="E127" s="96"/>
      <c r="F127" s="97"/>
      <c r="G127" s="97"/>
      <c r="H127" s="97"/>
      <c r="I127" s="97"/>
      <c r="J127" s="97"/>
      <c r="K127" s="97"/>
      <c r="L127" s="97"/>
      <c r="M127" s="97"/>
      <c r="N127" s="97"/>
      <c r="O127" s="97"/>
      <c r="P127" s="97"/>
      <c r="Q127" s="97"/>
      <c r="R127" s="97"/>
      <c r="S127" s="97"/>
      <c r="T127" s="97"/>
      <c r="U127" s="97"/>
    </row>
    <row r="128" spans="1:21">
      <c r="A128" s="124"/>
      <c r="B128" s="125"/>
      <c r="C128" s="97"/>
      <c r="D128" s="519"/>
      <c r="E128" s="96"/>
      <c r="F128" s="97"/>
      <c r="G128" s="97"/>
      <c r="H128" s="97"/>
      <c r="I128" s="97"/>
      <c r="J128" s="97"/>
      <c r="K128" s="97"/>
      <c r="L128" s="97"/>
      <c r="M128" s="97"/>
      <c r="N128" s="97"/>
      <c r="O128" s="97"/>
      <c r="P128" s="97"/>
      <c r="Q128" s="97"/>
      <c r="R128" s="97"/>
      <c r="S128" s="97"/>
      <c r="T128" s="97"/>
      <c r="U128" s="97"/>
    </row>
    <row r="129" spans="1:21">
      <c r="A129" s="124"/>
      <c r="B129" s="125"/>
      <c r="C129" s="97"/>
      <c r="D129" s="519"/>
      <c r="E129" s="96"/>
      <c r="F129" s="97"/>
      <c r="G129" s="97"/>
      <c r="H129" s="97"/>
      <c r="I129" s="97"/>
      <c r="J129" s="97"/>
      <c r="K129" s="97"/>
      <c r="L129" s="97"/>
      <c r="M129" s="97"/>
      <c r="N129" s="97"/>
      <c r="O129" s="97"/>
      <c r="P129" s="97"/>
      <c r="Q129" s="97"/>
      <c r="R129" s="97"/>
      <c r="S129" s="97"/>
      <c r="T129" s="97"/>
      <c r="U129" s="97"/>
    </row>
    <row r="130" spans="1:21">
      <c r="A130" s="124"/>
      <c r="B130" s="125"/>
      <c r="C130" s="97"/>
      <c r="D130" s="519"/>
      <c r="E130" s="96"/>
      <c r="F130" s="97"/>
      <c r="G130" s="97"/>
      <c r="H130" s="97"/>
      <c r="I130" s="97"/>
      <c r="J130" s="97"/>
      <c r="K130" s="97"/>
      <c r="L130" s="97"/>
      <c r="M130" s="97"/>
      <c r="N130" s="97"/>
      <c r="O130" s="97"/>
      <c r="P130" s="97"/>
      <c r="Q130" s="97"/>
      <c r="R130" s="97"/>
      <c r="S130" s="97"/>
      <c r="T130" s="97"/>
      <c r="U130" s="97"/>
    </row>
    <row r="131" spans="1:21">
      <c r="A131" s="124"/>
      <c r="B131" s="125"/>
      <c r="C131" s="97"/>
      <c r="D131" s="519"/>
      <c r="E131" s="96"/>
      <c r="F131" s="97"/>
      <c r="G131" s="97"/>
      <c r="H131" s="97"/>
      <c r="I131" s="97"/>
      <c r="J131" s="97"/>
      <c r="K131" s="97"/>
      <c r="L131" s="97"/>
      <c r="M131" s="97"/>
      <c r="N131" s="97"/>
      <c r="O131" s="97"/>
      <c r="P131" s="97"/>
      <c r="Q131" s="97"/>
      <c r="R131" s="97"/>
      <c r="S131" s="97"/>
      <c r="T131" s="97"/>
      <c r="U131" s="97"/>
    </row>
    <row r="132" spans="1:21">
      <c r="A132" s="124"/>
      <c r="B132" s="125"/>
      <c r="C132" s="97"/>
      <c r="D132" s="519"/>
      <c r="E132" s="96"/>
      <c r="F132" s="97"/>
      <c r="G132" s="97"/>
      <c r="H132" s="97"/>
      <c r="I132" s="97"/>
      <c r="J132" s="97"/>
      <c r="K132" s="97"/>
      <c r="L132" s="97"/>
      <c r="M132" s="97"/>
      <c r="N132" s="97"/>
      <c r="O132" s="97"/>
      <c r="P132" s="97"/>
      <c r="Q132" s="97"/>
      <c r="R132" s="97"/>
      <c r="S132" s="97"/>
      <c r="T132" s="97"/>
      <c r="U132" s="97"/>
    </row>
    <row r="133" spans="1:21">
      <c r="A133" s="124"/>
      <c r="B133" s="125"/>
      <c r="C133" s="97"/>
      <c r="D133" s="519"/>
      <c r="E133" s="96"/>
      <c r="F133" s="97"/>
      <c r="G133" s="97"/>
      <c r="H133" s="97"/>
      <c r="I133" s="97"/>
      <c r="J133" s="97"/>
      <c r="K133" s="97"/>
      <c r="L133" s="97"/>
      <c r="M133" s="97"/>
      <c r="N133" s="97"/>
      <c r="O133" s="97"/>
      <c r="P133" s="97"/>
      <c r="Q133" s="97"/>
      <c r="R133" s="97"/>
      <c r="S133" s="97"/>
      <c r="T133" s="97"/>
      <c r="U133" s="97"/>
    </row>
    <row r="134" spans="1:21">
      <c r="A134" s="124"/>
      <c r="B134" s="125"/>
      <c r="C134" s="97"/>
      <c r="D134" s="519"/>
      <c r="E134" s="96"/>
      <c r="F134" s="97"/>
      <c r="G134" s="97"/>
      <c r="H134" s="97"/>
      <c r="I134" s="97"/>
      <c r="J134" s="97"/>
      <c r="K134" s="97"/>
      <c r="L134" s="97"/>
      <c r="M134" s="97"/>
      <c r="N134" s="97"/>
      <c r="O134" s="97"/>
      <c r="P134" s="97"/>
      <c r="Q134" s="97"/>
      <c r="R134" s="97"/>
      <c r="S134" s="97"/>
      <c r="T134" s="97"/>
      <c r="U134" s="97"/>
    </row>
    <row r="135" spans="1:21">
      <c r="A135" s="124"/>
      <c r="B135" s="125"/>
      <c r="C135" s="97"/>
      <c r="D135" s="519"/>
      <c r="E135" s="96"/>
      <c r="F135" s="97"/>
      <c r="G135" s="97"/>
      <c r="H135" s="97"/>
      <c r="I135" s="97"/>
      <c r="J135" s="97"/>
      <c r="K135" s="97"/>
      <c r="L135" s="97"/>
      <c r="M135" s="97"/>
      <c r="N135" s="97"/>
      <c r="O135" s="97"/>
      <c r="P135" s="97"/>
      <c r="Q135" s="97"/>
      <c r="R135" s="97"/>
      <c r="S135" s="97"/>
      <c r="T135" s="97"/>
      <c r="U135" s="97"/>
    </row>
    <row r="136" spans="1:21">
      <c r="A136" s="124"/>
      <c r="B136" s="125"/>
      <c r="C136" s="97"/>
      <c r="D136" s="519"/>
      <c r="E136" s="96"/>
      <c r="F136" s="97"/>
      <c r="G136" s="97"/>
      <c r="H136" s="97"/>
      <c r="I136" s="97"/>
      <c r="J136" s="97"/>
      <c r="K136" s="97"/>
      <c r="L136" s="97"/>
      <c r="M136" s="97"/>
      <c r="N136" s="97"/>
      <c r="O136" s="97"/>
      <c r="P136" s="97"/>
      <c r="Q136" s="97"/>
      <c r="R136" s="97"/>
      <c r="S136" s="97"/>
      <c r="T136" s="97"/>
      <c r="U136" s="97"/>
    </row>
    <row r="137" spans="1:21">
      <c r="A137" s="124"/>
      <c r="B137" s="125"/>
      <c r="C137" s="97"/>
      <c r="D137" s="519"/>
      <c r="E137" s="96"/>
      <c r="F137" s="97"/>
      <c r="G137" s="97"/>
      <c r="H137" s="97"/>
      <c r="I137" s="97"/>
      <c r="J137" s="97"/>
      <c r="K137" s="97"/>
      <c r="L137" s="97"/>
      <c r="M137" s="97"/>
      <c r="N137" s="97"/>
      <c r="O137" s="97"/>
      <c r="P137" s="97"/>
      <c r="Q137" s="97"/>
      <c r="R137" s="97"/>
      <c r="S137" s="97"/>
      <c r="T137" s="97"/>
      <c r="U137" s="97"/>
    </row>
    <row r="138" spans="1:21">
      <c r="A138" s="124"/>
      <c r="B138" s="125"/>
      <c r="C138" s="97"/>
      <c r="D138" s="519"/>
      <c r="E138" s="96"/>
      <c r="F138" s="97"/>
      <c r="G138" s="97"/>
      <c r="H138" s="97"/>
      <c r="I138" s="97"/>
      <c r="J138" s="97"/>
      <c r="K138" s="97"/>
      <c r="L138" s="97"/>
      <c r="M138" s="97"/>
      <c r="N138" s="97"/>
      <c r="O138" s="97"/>
      <c r="P138" s="97"/>
      <c r="Q138" s="97"/>
      <c r="R138" s="97"/>
      <c r="S138" s="97"/>
      <c r="T138" s="97"/>
      <c r="U138" s="97"/>
    </row>
    <row r="139" spans="1:21">
      <c r="A139" s="124"/>
      <c r="B139" s="125"/>
      <c r="C139" s="97"/>
      <c r="D139" s="519"/>
      <c r="E139" s="96"/>
      <c r="F139" s="97"/>
      <c r="G139" s="97"/>
      <c r="H139" s="97"/>
      <c r="I139" s="97"/>
      <c r="J139" s="97"/>
      <c r="K139" s="97"/>
      <c r="L139" s="97"/>
      <c r="M139" s="97"/>
      <c r="N139" s="97"/>
      <c r="O139" s="97"/>
      <c r="P139" s="97"/>
      <c r="Q139" s="97"/>
      <c r="R139" s="97"/>
      <c r="S139" s="97"/>
      <c r="T139" s="97"/>
      <c r="U139" s="97"/>
    </row>
    <row r="140" spans="1:21">
      <c r="A140" s="124"/>
      <c r="B140" s="125"/>
      <c r="C140" s="97"/>
      <c r="D140" s="519"/>
      <c r="E140" s="96"/>
      <c r="F140" s="97"/>
      <c r="G140" s="97"/>
      <c r="H140" s="97"/>
      <c r="I140" s="97"/>
      <c r="J140" s="97"/>
      <c r="K140" s="97"/>
      <c r="L140" s="97"/>
      <c r="M140" s="97"/>
      <c r="N140" s="97"/>
      <c r="O140" s="97"/>
      <c r="P140" s="97"/>
      <c r="Q140" s="97"/>
      <c r="R140" s="97"/>
      <c r="S140" s="97"/>
      <c r="T140" s="97"/>
      <c r="U140" s="97"/>
    </row>
    <row r="141" spans="1:21">
      <c r="A141" s="124"/>
      <c r="B141" s="125"/>
      <c r="C141" s="97"/>
      <c r="D141" s="519"/>
      <c r="E141" s="96"/>
      <c r="F141" s="97"/>
      <c r="G141" s="97"/>
      <c r="H141" s="97"/>
      <c r="I141" s="97"/>
      <c r="J141" s="97"/>
      <c r="K141" s="97"/>
      <c r="L141" s="97"/>
      <c r="M141" s="97"/>
      <c r="N141" s="97"/>
      <c r="O141" s="97"/>
      <c r="P141" s="97"/>
      <c r="Q141" s="97"/>
      <c r="R141" s="97"/>
      <c r="S141" s="97"/>
      <c r="T141" s="97"/>
      <c r="U141" s="97"/>
    </row>
    <row r="142" spans="1:21">
      <c r="A142" s="124"/>
      <c r="B142" s="125"/>
      <c r="C142" s="97"/>
      <c r="D142" s="519"/>
      <c r="E142" s="96"/>
      <c r="F142" s="97"/>
      <c r="G142" s="97"/>
      <c r="H142" s="97"/>
      <c r="I142" s="97"/>
      <c r="J142" s="97"/>
      <c r="K142" s="97"/>
      <c r="L142" s="97"/>
      <c r="M142" s="97"/>
      <c r="N142" s="97"/>
      <c r="O142" s="97"/>
      <c r="P142" s="97"/>
      <c r="Q142" s="97"/>
      <c r="R142" s="97"/>
      <c r="S142" s="97"/>
      <c r="T142" s="97"/>
      <c r="U142" s="97"/>
    </row>
    <row r="143" spans="1:21">
      <c r="A143" s="124"/>
      <c r="B143" s="125"/>
      <c r="C143" s="97"/>
      <c r="D143" s="519"/>
      <c r="E143" s="96"/>
      <c r="F143" s="97"/>
      <c r="G143" s="97"/>
      <c r="H143" s="97"/>
      <c r="I143" s="97"/>
      <c r="J143" s="97"/>
      <c r="K143" s="97"/>
      <c r="L143" s="97"/>
      <c r="M143" s="97"/>
      <c r="N143" s="97"/>
      <c r="O143" s="97"/>
      <c r="P143" s="97"/>
      <c r="Q143" s="97"/>
      <c r="R143" s="97"/>
      <c r="S143" s="97"/>
      <c r="T143" s="97"/>
      <c r="U143" s="97"/>
    </row>
    <row r="144" spans="1:21">
      <c r="A144" s="124"/>
      <c r="B144" s="125"/>
      <c r="C144" s="97"/>
      <c r="D144" s="519"/>
      <c r="E144" s="96"/>
      <c r="F144" s="97"/>
      <c r="G144" s="97"/>
      <c r="H144" s="97"/>
      <c r="I144" s="97"/>
      <c r="J144" s="97"/>
      <c r="K144" s="97"/>
      <c r="L144" s="97"/>
      <c r="M144" s="97"/>
      <c r="N144" s="97"/>
      <c r="O144" s="97"/>
      <c r="P144" s="97"/>
      <c r="Q144" s="97"/>
      <c r="R144" s="97"/>
      <c r="S144" s="97"/>
      <c r="T144" s="97"/>
      <c r="U144" s="97"/>
    </row>
    <row r="145" spans="1:21">
      <c r="A145" s="124"/>
      <c r="B145" s="125"/>
      <c r="C145" s="97"/>
      <c r="D145" s="519"/>
      <c r="E145" s="96"/>
      <c r="F145" s="97"/>
      <c r="G145" s="97"/>
      <c r="H145" s="97"/>
      <c r="I145" s="97"/>
      <c r="J145" s="97"/>
      <c r="K145" s="97"/>
      <c r="L145" s="97"/>
      <c r="M145" s="97"/>
      <c r="N145" s="97"/>
      <c r="O145" s="97"/>
      <c r="P145" s="97"/>
      <c r="Q145" s="97"/>
      <c r="R145" s="97"/>
      <c r="S145" s="97"/>
      <c r="T145" s="97"/>
      <c r="U145" s="97"/>
    </row>
    <row r="146" spans="1:21">
      <c r="A146" s="124"/>
      <c r="B146" s="125"/>
      <c r="C146" s="97"/>
      <c r="D146" s="519"/>
      <c r="E146" s="96"/>
      <c r="F146" s="97"/>
      <c r="G146" s="97"/>
      <c r="H146" s="97"/>
      <c r="I146" s="97"/>
      <c r="J146" s="97"/>
      <c r="K146" s="97"/>
      <c r="L146" s="97"/>
      <c r="M146" s="97"/>
      <c r="N146" s="97"/>
      <c r="O146" s="97"/>
      <c r="P146" s="97"/>
      <c r="Q146" s="97"/>
      <c r="R146" s="97"/>
      <c r="S146" s="97"/>
      <c r="T146" s="97"/>
      <c r="U146" s="97"/>
    </row>
    <row r="147" spans="1:21">
      <c r="A147" s="124"/>
      <c r="B147" s="125"/>
      <c r="C147" s="97"/>
      <c r="D147" s="519"/>
      <c r="E147" s="96"/>
      <c r="F147" s="97"/>
      <c r="G147" s="97"/>
      <c r="H147" s="97"/>
      <c r="I147" s="97"/>
      <c r="J147" s="97"/>
      <c r="K147" s="97"/>
      <c r="L147" s="97"/>
      <c r="M147" s="97"/>
      <c r="N147" s="97"/>
      <c r="O147" s="97"/>
      <c r="P147" s="97"/>
      <c r="Q147" s="97"/>
      <c r="R147" s="97"/>
      <c r="S147" s="97"/>
      <c r="T147" s="97"/>
      <c r="U147" s="97"/>
    </row>
    <row r="148" spans="1:21">
      <c r="A148" s="124"/>
      <c r="B148" s="125"/>
      <c r="C148" s="97"/>
      <c r="D148" s="519"/>
      <c r="E148" s="96"/>
      <c r="F148" s="97"/>
      <c r="G148" s="97"/>
      <c r="H148" s="97"/>
      <c r="I148" s="97"/>
      <c r="J148" s="97"/>
      <c r="K148" s="97"/>
      <c r="L148" s="97"/>
      <c r="M148" s="97"/>
      <c r="N148" s="97"/>
      <c r="O148" s="97"/>
      <c r="P148" s="97"/>
      <c r="Q148" s="97"/>
      <c r="R148" s="97"/>
      <c r="S148" s="97"/>
      <c r="T148" s="97"/>
      <c r="U148" s="97"/>
    </row>
    <row r="149" spans="1:21">
      <c r="A149" s="124"/>
      <c r="B149" s="125"/>
      <c r="C149" s="97"/>
      <c r="D149" s="519"/>
      <c r="E149" s="96"/>
      <c r="F149" s="97"/>
      <c r="G149" s="97"/>
      <c r="H149" s="97"/>
      <c r="I149" s="97"/>
      <c r="J149" s="97"/>
      <c r="K149" s="97"/>
      <c r="L149" s="97"/>
      <c r="M149" s="97"/>
      <c r="N149" s="97"/>
      <c r="O149" s="97"/>
      <c r="P149" s="97"/>
      <c r="Q149" s="97"/>
      <c r="R149" s="97"/>
      <c r="S149" s="97"/>
      <c r="T149" s="97"/>
      <c r="U149" s="97"/>
    </row>
    <row r="150" spans="1:21">
      <c r="A150" s="124"/>
      <c r="B150" s="125"/>
      <c r="C150" s="97"/>
      <c r="D150" s="519"/>
      <c r="E150" s="96"/>
      <c r="F150" s="97"/>
      <c r="G150" s="97"/>
      <c r="H150" s="97"/>
      <c r="I150" s="97"/>
      <c r="J150" s="97"/>
      <c r="K150" s="97"/>
      <c r="L150" s="97"/>
      <c r="M150" s="97"/>
      <c r="N150" s="97"/>
      <c r="O150" s="97"/>
      <c r="P150" s="97"/>
      <c r="Q150" s="97"/>
      <c r="R150" s="97"/>
      <c r="S150" s="97"/>
      <c r="T150" s="97"/>
      <c r="U150" s="97"/>
    </row>
    <row r="151" spans="1:21">
      <c r="A151" s="124"/>
      <c r="B151" s="125"/>
      <c r="C151" s="97"/>
      <c r="D151" s="519"/>
      <c r="E151" s="96"/>
      <c r="F151" s="97"/>
      <c r="G151" s="97"/>
      <c r="H151" s="97"/>
      <c r="I151" s="97"/>
      <c r="J151" s="97"/>
      <c r="K151" s="97"/>
      <c r="L151" s="97"/>
      <c r="M151" s="97"/>
      <c r="N151" s="97"/>
      <c r="O151" s="97"/>
      <c r="P151" s="97"/>
      <c r="Q151" s="97"/>
      <c r="R151" s="97"/>
      <c r="S151" s="97"/>
      <c r="T151" s="97"/>
      <c r="U151" s="97"/>
    </row>
    <row r="152" spans="1:21">
      <c r="A152" s="124"/>
      <c r="B152" s="125"/>
      <c r="C152" s="97"/>
      <c r="D152" s="519"/>
      <c r="E152" s="96"/>
      <c r="F152" s="97"/>
      <c r="G152" s="97"/>
      <c r="H152" s="97"/>
      <c r="I152" s="97"/>
      <c r="J152" s="97"/>
      <c r="K152" s="97"/>
      <c r="L152" s="97"/>
      <c r="M152" s="97"/>
      <c r="N152" s="97"/>
      <c r="O152" s="97"/>
      <c r="P152" s="97"/>
      <c r="Q152" s="97"/>
      <c r="R152" s="97"/>
      <c r="S152" s="97"/>
      <c r="T152" s="97"/>
      <c r="U152" s="97"/>
    </row>
    <row r="153" spans="1:21">
      <c r="A153" s="124"/>
      <c r="B153" s="125"/>
      <c r="C153" s="97"/>
      <c r="D153" s="519"/>
      <c r="E153" s="96"/>
      <c r="F153" s="97"/>
      <c r="G153" s="97"/>
      <c r="H153" s="97"/>
      <c r="I153" s="97"/>
      <c r="J153" s="97"/>
      <c r="K153" s="97"/>
      <c r="L153" s="97"/>
      <c r="M153" s="97"/>
      <c r="N153" s="97"/>
      <c r="O153" s="97"/>
      <c r="P153" s="97"/>
      <c r="Q153" s="97"/>
      <c r="R153" s="97"/>
      <c r="S153" s="97"/>
      <c r="T153" s="97"/>
      <c r="U153" s="97"/>
    </row>
    <row r="154" spans="1:21">
      <c r="A154" s="124"/>
      <c r="B154" s="125"/>
      <c r="C154" s="97"/>
      <c r="D154" s="519"/>
      <c r="E154" s="96"/>
      <c r="F154" s="97"/>
      <c r="G154" s="97"/>
      <c r="H154" s="97"/>
      <c r="I154" s="97"/>
      <c r="J154" s="97"/>
      <c r="K154" s="97"/>
      <c r="L154" s="97"/>
      <c r="M154" s="97"/>
      <c r="N154" s="97"/>
      <c r="O154" s="97"/>
      <c r="P154" s="97"/>
      <c r="Q154" s="97"/>
      <c r="R154" s="97"/>
      <c r="S154" s="97"/>
      <c r="T154" s="97"/>
      <c r="U154" s="97"/>
    </row>
    <row r="155" spans="1:21">
      <c r="A155" s="124"/>
      <c r="B155" s="125"/>
      <c r="C155" s="97"/>
      <c r="D155" s="519"/>
      <c r="E155" s="96"/>
      <c r="F155" s="97"/>
      <c r="G155" s="97"/>
      <c r="H155" s="97"/>
      <c r="I155" s="97"/>
      <c r="J155" s="97"/>
      <c r="K155" s="97"/>
      <c r="L155" s="97"/>
      <c r="M155" s="97"/>
      <c r="N155" s="97"/>
      <c r="O155" s="97"/>
      <c r="P155" s="97"/>
      <c r="Q155" s="97"/>
      <c r="R155" s="97"/>
      <c r="S155" s="97"/>
      <c r="T155" s="97"/>
      <c r="U155" s="97"/>
    </row>
    <row r="156" spans="1:21">
      <c r="A156" s="124"/>
      <c r="B156" s="125"/>
      <c r="C156" s="97"/>
      <c r="D156" s="519"/>
      <c r="E156" s="96"/>
      <c r="F156" s="97"/>
      <c r="G156" s="97"/>
      <c r="H156" s="97"/>
      <c r="I156" s="97"/>
      <c r="J156" s="97"/>
      <c r="K156" s="97"/>
      <c r="L156" s="97"/>
      <c r="M156" s="97"/>
      <c r="N156" s="97"/>
      <c r="O156" s="97"/>
      <c r="P156" s="97"/>
      <c r="Q156" s="97"/>
      <c r="R156" s="97"/>
      <c r="S156" s="97"/>
      <c r="T156" s="97"/>
      <c r="U156" s="97"/>
    </row>
    <row r="157" spans="1:21">
      <c r="A157" s="124"/>
      <c r="B157" s="125"/>
      <c r="C157" s="97"/>
      <c r="D157" s="519"/>
      <c r="E157" s="96"/>
      <c r="F157" s="97"/>
      <c r="G157" s="97"/>
      <c r="H157" s="97"/>
      <c r="I157" s="97"/>
      <c r="J157" s="97"/>
      <c r="K157" s="97"/>
      <c r="L157" s="97"/>
      <c r="M157" s="97"/>
      <c r="N157" s="97"/>
      <c r="O157" s="97"/>
      <c r="P157" s="97"/>
      <c r="Q157" s="97"/>
      <c r="R157" s="97"/>
      <c r="S157" s="97"/>
      <c r="T157" s="97"/>
      <c r="U157" s="97"/>
    </row>
    <row r="158" spans="1:21">
      <c r="A158" s="124"/>
      <c r="B158" s="125"/>
      <c r="C158" s="97"/>
      <c r="D158" s="519"/>
      <c r="E158" s="96"/>
      <c r="F158" s="97"/>
      <c r="G158" s="97"/>
      <c r="H158" s="97"/>
      <c r="I158" s="97"/>
      <c r="J158" s="97"/>
      <c r="K158" s="97"/>
      <c r="L158" s="97"/>
      <c r="M158" s="97"/>
      <c r="N158" s="97"/>
      <c r="O158" s="97"/>
      <c r="P158" s="97"/>
      <c r="Q158" s="97"/>
      <c r="R158" s="97"/>
      <c r="S158" s="97"/>
      <c r="T158" s="97"/>
      <c r="U158" s="97"/>
    </row>
    <row r="159" spans="1:21">
      <c r="A159" s="124"/>
      <c r="B159" s="125"/>
      <c r="C159" s="97"/>
      <c r="D159" s="519"/>
      <c r="E159" s="96"/>
      <c r="F159" s="97"/>
      <c r="G159" s="97"/>
      <c r="H159" s="97"/>
      <c r="I159" s="97"/>
      <c r="J159" s="97"/>
      <c r="K159" s="97"/>
      <c r="L159" s="97"/>
      <c r="M159" s="97"/>
      <c r="N159" s="97"/>
      <c r="O159" s="97"/>
      <c r="P159" s="97"/>
      <c r="Q159" s="97"/>
      <c r="R159" s="97"/>
      <c r="S159" s="97"/>
      <c r="T159" s="97"/>
      <c r="U159" s="97"/>
    </row>
    <row r="160" spans="1:21">
      <c r="A160" s="124"/>
      <c r="B160" s="125"/>
      <c r="C160" s="97"/>
      <c r="D160" s="519"/>
      <c r="E160" s="96"/>
      <c r="F160" s="97"/>
      <c r="G160" s="97"/>
      <c r="H160" s="97"/>
      <c r="I160" s="97"/>
      <c r="J160" s="97"/>
      <c r="K160" s="97"/>
      <c r="L160" s="97"/>
      <c r="M160" s="97"/>
      <c r="N160" s="97"/>
      <c r="O160" s="97"/>
      <c r="P160" s="97"/>
      <c r="Q160" s="97"/>
      <c r="R160" s="97"/>
      <c r="S160" s="97"/>
      <c r="T160" s="97"/>
      <c r="U160" s="97"/>
    </row>
    <row r="161" spans="1:21">
      <c r="A161" s="124"/>
      <c r="B161" s="125"/>
      <c r="C161" s="97"/>
      <c r="D161" s="519"/>
      <c r="E161" s="96"/>
      <c r="F161" s="97"/>
      <c r="G161" s="97"/>
      <c r="H161" s="97"/>
      <c r="I161" s="97"/>
      <c r="J161" s="97"/>
      <c r="K161" s="97"/>
      <c r="L161" s="97"/>
      <c r="M161" s="97"/>
      <c r="N161" s="97"/>
      <c r="O161" s="97"/>
      <c r="P161" s="97"/>
      <c r="Q161" s="97"/>
      <c r="R161" s="97"/>
      <c r="S161" s="97"/>
      <c r="T161" s="97"/>
      <c r="U161" s="97"/>
    </row>
    <row r="162" spans="1:21">
      <c r="A162" s="124"/>
      <c r="B162" s="125"/>
      <c r="C162" s="97"/>
      <c r="D162" s="519"/>
      <c r="E162" s="96"/>
      <c r="F162" s="97"/>
      <c r="G162" s="97"/>
      <c r="H162" s="97"/>
      <c r="I162" s="97"/>
      <c r="J162" s="97"/>
      <c r="K162" s="97"/>
      <c r="L162" s="97"/>
      <c r="M162" s="97"/>
      <c r="N162" s="97"/>
      <c r="O162" s="97"/>
      <c r="P162" s="97"/>
      <c r="Q162" s="97"/>
      <c r="R162" s="97"/>
      <c r="S162" s="97"/>
      <c r="T162" s="97"/>
      <c r="U162" s="97"/>
    </row>
    <row r="163" spans="1:21">
      <c r="A163" s="124"/>
      <c r="B163" s="125"/>
      <c r="C163" s="97"/>
      <c r="D163" s="519"/>
      <c r="E163" s="96"/>
      <c r="F163" s="97"/>
      <c r="G163" s="97"/>
      <c r="H163" s="97"/>
      <c r="I163" s="97"/>
      <c r="J163" s="97"/>
      <c r="K163" s="97"/>
      <c r="L163" s="97"/>
      <c r="M163" s="97"/>
      <c r="N163" s="97"/>
      <c r="O163" s="97"/>
      <c r="P163" s="97"/>
      <c r="Q163" s="97"/>
      <c r="R163" s="97"/>
      <c r="S163" s="97"/>
      <c r="T163" s="97"/>
      <c r="U163" s="97"/>
    </row>
    <row r="164" spans="1:21">
      <c r="A164" s="124"/>
      <c r="B164" s="125"/>
      <c r="C164" s="97"/>
      <c r="D164" s="519"/>
      <c r="E164" s="96"/>
      <c r="F164" s="97"/>
      <c r="G164" s="97"/>
      <c r="H164" s="97"/>
      <c r="I164" s="97"/>
      <c r="J164" s="97"/>
      <c r="K164" s="97"/>
      <c r="L164" s="97"/>
      <c r="M164" s="97"/>
      <c r="N164" s="97"/>
      <c r="O164" s="97"/>
      <c r="P164" s="97"/>
      <c r="Q164" s="97"/>
      <c r="R164" s="97"/>
      <c r="S164" s="97"/>
      <c r="T164" s="97"/>
      <c r="U164" s="97"/>
    </row>
    <row r="165" spans="1:21">
      <c r="A165" s="124"/>
      <c r="B165" s="125"/>
      <c r="C165" s="97"/>
      <c r="D165" s="519"/>
      <c r="E165" s="96"/>
      <c r="F165" s="97"/>
      <c r="G165" s="97"/>
      <c r="H165" s="97"/>
      <c r="I165" s="97"/>
      <c r="J165" s="97"/>
      <c r="K165" s="97"/>
      <c r="L165" s="97"/>
      <c r="M165" s="97"/>
      <c r="N165" s="97"/>
      <c r="O165" s="97"/>
      <c r="P165" s="97"/>
      <c r="Q165" s="97"/>
      <c r="R165" s="97"/>
      <c r="S165" s="97"/>
      <c r="T165" s="97"/>
      <c r="U165" s="97"/>
    </row>
    <row r="166" spans="1:21">
      <c r="A166" s="124"/>
      <c r="B166" s="125"/>
      <c r="C166" s="97"/>
      <c r="D166" s="519"/>
      <c r="E166" s="96"/>
      <c r="F166" s="97"/>
      <c r="G166" s="97"/>
      <c r="H166" s="97"/>
      <c r="I166" s="97"/>
      <c r="J166" s="97"/>
      <c r="K166" s="97"/>
      <c r="L166" s="97"/>
      <c r="M166" s="97"/>
      <c r="N166" s="97"/>
      <c r="O166" s="97"/>
      <c r="P166" s="97"/>
      <c r="Q166" s="97"/>
      <c r="R166" s="97"/>
      <c r="S166" s="97"/>
      <c r="T166" s="97"/>
      <c r="U166" s="97"/>
    </row>
    <row r="167" spans="1:21">
      <c r="A167" s="124"/>
      <c r="B167" s="125"/>
      <c r="C167" s="97"/>
      <c r="D167" s="519"/>
      <c r="E167" s="96"/>
      <c r="F167" s="97"/>
      <c r="G167" s="97"/>
      <c r="H167" s="97"/>
      <c r="I167" s="97"/>
      <c r="J167" s="97"/>
      <c r="K167" s="97"/>
      <c r="L167" s="97"/>
      <c r="M167" s="97"/>
      <c r="N167" s="97"/>
      <c r="O167" s="97"/>
      <c r="P167" s="97"/>
      <c r="Q167" s="97"/>
      <c r="R167" s="97"/>
      <c r="S167" s="97"/>
      <c r="T167" s="97"/>
      <c r="U167" s="97"/>
    </row>
    <row r="168" spans="1:21">
      <c r="A168" s="124"/>
      <c r="B168" s="125"/>
      <c r="C168" s="97"/>
      <c r="D168" s="519"/>
      <c r="E168" s="96"/>
      <c r="F168" s="97"/>
      <c r="G168" s="97"/>
      <c r="H168" s="97"/>
      <c r="I168" s="97"/>
      <c r="J168" s="97"/>
      <c r="K168" s="97"/>
      <c r="L168" s="97"/>
      <c r="M168" s="97"/>
      <c r="N168" s="97"/>
      <c r="O168" s="97"/>
      <c r="P168" s="97"/>
      <c r="Q168" s="97"/>
      <c r="R168" s="97"/>
      <c r="S168" s="97"/>
      <c r="T168" s="97"/>
      <c r="U168" s="97"/>
    </row>
    <row r="169" spans="1:21">
      <c r="A169" s="124"/>
      <c r="B169" s="125"/>
      <c r="C169" s="97"/>
      <c r="D169" s="519"/>
      <c r="E169" s="96"/>
      <c r="F169" s="97"/>
      <c r="G169" s="97"/>
      <c r="H169" s="97"/>
      <c r="I169" s="97"/>
      <c r="J169" s="97"/>
      <c r="K169" s="97"/>
      <c r="L169" s="97"/>
      <c r="M169" s="97"/>
      <c r="N169" s="97"/>
      <c r="O169" s="97"/>
      <c r="P169" s="97"/>
      <c r="Q169" s="97"/>
      <c r="R169" s="97"/>
      <c r="S169" s="97"/>
      <c r="T169" s="97"/>
      <c r="U169" s="97"/>
    </row>
    <row r="170" spans="1:21">
      <c r="A170" s="124"/>
      <c r="B170" s="125"/>
      <c r="C170" s="97"/>
      <c r="D170" s="519"/>
      <c r="E170" s="96"/>
      <c r="F170" s="97"/>
      <c r="G170" s="97"/>
      <c r="H170" s="97"/>
      <c r="I170" s="97"/>
      <c r="J170" s="97"/>
      <c r="K170" s="97"/>
      <c r="L170" s="97"/>
      <c r="M170" s="97"/>
      <c r="N170" s="97"/>
      <c r="O170" s="97"/>
      <c r="P170" s="97"/>
      <c r="Q170" s="97"/>
      <c r="R170" s="97"/>
      <c r="S170" s="97"/>
      <c r="T170" s="97"/>
      <c r="U170" s="97"/>
    </row>
    <row r="171" spans="1:21">
      <c r="A171" s="124"/>
      <c r="B171" s="125"/>
      <c r="C171" s="97"/>
      <c r="D171" s="519"/>
      <c r="E171" s="96"/>
      <c r="F171" s="97"/>
      <c r="G171" s="97"/>
      <c r="H171" s="97"/>
      <c r="I171" s="97"/>
      <c r="J171" s="97"/>
      <c r="K171" s="97"/>
      <c r="L171" s="97"/>
      <c r="M171" s="97"/>
      <c r="N171" s="97"/>
      <c r="O171" s="97"/>
      <c r="P171" s="97"/>
      <c r="Q171" s="97"/>
      <c r="R171" s="97"/>
      <c r="S171" s="97"/>
      <c r="T171" s="97"/>
      <c r="U171" s="97"/>
    </row>
    <row r="172" spans="1:21">
      <c r="A172" s="124"/>
      <c r="B172" s="125"/>
      <c r="C172" s="97"/>
      <c r="D172" s="519"/>
      <c r="E172" s="96"/>
      <c r="F172" s="97"/>
      <c r="G172" s="97"/>
      <c r="H172" s="97"/>
      <c r="I172" s="97"/>
      <c r="J172" s="97"/>
      <c r="K172" s="97"/>
      <c r="L172" s="97"/>
      <c r="M172" s="97"/>
      <c r="N172" s="97"/>
      <c r="O172" s="97"/>
      <c r="P172" s="97"/>
      <c r="Q172" s="97"/>
      <c r="R172" s="97"/>
      <c r="S172" s="97"/>
      <c r="T172" s="97"/>
      <c r="U172" s="97"/>
    </row>
    <row r="173" spans="1:21">
      <c r="A173" s="124"/>
      <c r="B173" s="125"/>
      <c r="C173" s="97"/>
      <c r="D173" s="519"/>
      <c r="E173" s="96"/>
      <c r="F173" s="97"/>
      <c r="G173" s="97"/>
      <c r="H173" s="97"/>
      <c r="I173" s="97"/>
      <c r="J173" s="97"/>
      <c r="K173" s="97"/>
      <c r="L173" s="97"/>
      <c r="M173" s="97"/>
      <c r="N173" s="97"/>
      <c r="O173" s="97"/>
      <c r="P173" s="97"/>
      <c r="Q173" s="97"/>
      <c r="R173" s="97"/>
      <c r="S173" s="97"/>
      <c r="T173" s="97"/>
      <c r="U173" s="97"/>
    </row>
    <row r="174" spans="1:21">
      <c r="A174" s="124"/>
      <c r="B174" s="125"/>
      <c r="C174" s="97"/>
      <c r="D174" s="519"/>
      <c r="E174" s="96"/>
      <c r="F174" s="97"/>
      <c r="G174" s="97"/>
      <c r="H174" s="97"/>
      <c r="I174" s="97"/>
      <c r="J174" s="97"/>
      <c r="K174" s="97"/>
      <c r="L174" s="97"/>
      <c r="M174" s="97"/>
      <c r="N174" s="97"/>
      <c r="O174" s="97"/>
      <c r="P174" s="97"/>
      <c r="Q174" s="97"/>
      <c r="R174" s="97"/>
      <c r="S174" s="97"/>
      <c r="T174" s="97"/>
      <c r="U174" s="97"/>
    </row>
    <row r="175" spans="1:21">
      <c r="A175" s="124"/>
      <c r="B175" s="125"/>
      <c r="C175" s="97"/>
      <c r="D175" s="519"/>
      <c r="E175" s="96"/>
      <c r="F175" s="97"/>
      <c r="G175" s="97"/>
      <c r="H175" s="97"/>
      <c r="I175" s="97"/>
      <c r="J175" s="97"/>
      <c r="K175" s="97"/>
      <c r="L175" s="97"/>
      <c r="M175" s="97"/>
      <c r="N175" s="97"/>
      <c r="O175" s="97"/>
      <c r="P175" s="97"/>
      <c r="Q175" s="97"/>
      <c r="R175" s="97"/>
      <c r="S175" s="97"/>
      <c r="T175" s="97"/>
      <c r="U175" s="97"/>
    </row>
    <row r="176" spans="1:21">
      <c r="A176" s="124"/>
      <c r="B176" s="125"/>
      <c r="C176" s="97"/>
      <c r="D176" s="519"/>
      <c r="E176" s="96"/>
      <c r="F176" s="97"/>
      <c r="G176" s="97"/>
      <c r="H176" s="97"/>
      <c r="I176" s="97"/>
      <c r="J176" s="97"/>
      <c r="K176" s="97"/>
      <c r="L176" s="97"/>
      <c r="M176" s="97"/>
      <c r="N176" s="97"/>
      <c r="O176" s="97"/>
      <c r="P176" s="97"/>
      <c r="Q176" s="97"/>
      <c r="R176" s="97"/>
      <c r="S176" s="97"/>
      <c r="T176" s="97"/>
      <c r="U176" s="97"/>
    </row>
    <row r="177" spans="1:21">
      <c r="A177" s="124"/>
      <c r="B177" s="125"/>
      <c r="C177" s="97"/>
      <c r="D177" s="519"/>
      <c r="E177" s="96"/>
      <c r="F177" s="97"/>
      <c r="G177" s="97"/>
      <c r="H177" s="97"/>
      <c r="I177" s="97"/>
      <c r="J177" s="97"/>
      <c r="K177" s="97"/>
      <c r="L177" s="97"/>
      <c r="M177" s="97"/>
      <c r="N177" s="97"/>
      <c r="O177" s="97"/>
      <c r="P177" s="97"/>
      <c r="Q177" s="97"/>
      <c r="R177" s="97"/>
      <c r="S177" s="97"/>
      <c r="T177" s="97"/>
      <c r="U177" s="97"/>
    </row>
    <row r="178" spans="1:21">
      <c r="A178" s="124"/>
      <c r="B178" s="125"/>
      <c r="C178" s="97"/>
      <c r="D178" s="519"/>
      <c r="E178" s="96"/>
      <c r="F178" s="97"/>
      <c r="G178" s="97"/>
      <c r="H178" s="97"/>
      <c r="I178" s="97"/>
      <c r="J178" s="97"/>
      <c r="K178" s="97"/>
      <c r="L178" s="97"/>
      <c r="M178" s="97"/>
      <c r="N178" s="97"/>
      <c r="O178" s="97"/>
      <c r="P178" s="97"/>
      <c r="Q178" s="97"/>
      <c r="R178" s="97"/>
      <c r="S178" s="97"/>
      <c r="T178" s="97"/>
      <c r="U178" s="97"/>
    </row>
    <row r="179" spans="1:21">
      <c r="A179" s="124"/>
      <c r="B179" s="125"/>
      <c r="C179" s="97"/>
      <c r="D179" s="519"/>
      <c r="E179" s="96"/>
      <c r="F179" s="97"/>
      <c r="G179" s="97"/>
      <c r="H179" s="97"/>
      <c r="I179" s="97"/>
      <c r="J179" s="97"/>
      <c r="K179" s="97"/>
      <c r="L179" s="97"/>
      <c r="M179" s="97"/>
      <c r="N179" s="97"/>
      <c r="O179" s="97"/>
      <c r="P179" s="97"/>
      <c r="Q179" s="97"/>
      <c r="R179" s="97"/>
      <c r="S179" s="97"/>
      <c r="T179" s="97"/>
      <c r="U179" s="97"/>
    </row>
    <row r="180" spans="1:21">
      <c r="A180" s="124"/>
      <c r="B180" s="125"/>
      <c r="C180" s="97"/>
      <c r="D180" s="519"/>
      <c r="E180" s="96"/>
      <c r="F180" s="97"/>
      <c r="G180" s="97"/>
      <c r="H180" s="97"/>
      <c r="I180" s="97"/>
      <c r="J180" s="97"/>
      <c r="K180" s="97"/>
      <c r="L180" s="97"/>
      <c r="M180" s="97"/>
      <c r="N180" s="97"/>
      <c r="O180" s="97"/>
      <c r="P180" s="97"/>
      <c r="Q180" s="97"/>
      <c r="R180" s="97"/>
      <c r="S180" s="97"/>
      <c r="T180" s="97"/>
      <c r="U180" s="97"/>
    </row>
    <row r="181" spans="1:21">
      <c r="A181" s="124"/>
      <c r="B181" s="125"/>
      <c r="C181" s="97"/>
      <c r="D181" s="519"/>
      <c r="E181" s="96"/>
      <c r="F181" s="97"/>
      <c r="G181" s="97"/>
      <c r="H181" s="97"/>
      <c r="I181" s="97"/>
      <c r="J181" s="97"/>
      <c r="K181" s="97"/>
      <c r="L181" s="97"/>
      <c r="M181" s="97"/>
      <c r="N181" s="97"/>
      <c r="O181" s="97"/>
      <c r="P181" s="97"/>
      <c r="Q181" s="97"/>
      <c r="R181" s="97"/>
      <c r="S181" s="97"/>
      <c r="T181" s="97"/>
      <c r="U181" s="97"/>
    </row>
    <row r="182" spans="1:21">
      <c r="A182" s="124"/>
      <c r="B182" s="125"/>
      <c r="C182" s="97"/>
      <c r="D182" s="519"/>
      <c r="E182" s="96"/>
      <c r="F182" s="97"/>
      <c r="G182" s="97"/>
      <c r="H182" s="97"/>
      <c r="I182" s="97"/>
      <c r="J182" s="97"/>
      <c r="K182" s="97"/>
      <c r="L182" s="97"/>
      <c r="M182" s="97"/>
      <c r="N182" s="97"/>
      <c r="O182" s="97"/>
      <c r="P182" s="97"/>
      <c r="Q182" s="97"/>
      <c r="R182" s="97"/>
      <c r="S182" s="97"/>
      <c r="T182" s="97"/>
      <c r="U182" s="97"/>
    </row>
    <row r="183" spans="1:21">
      <c r="A183" s="124"/>
      <c r="B183" s="125"/>
      <c r="C183" s="97"/>
      <c r="D183" s="519"/>
      <c r="E183" s="96"/>
      <c r="F183" s="97"/>
      <c r="G183" s="97"/>
      <c r="H183" s="97"/>
      <c r="I183" s="97"/>
      <c r="J183" s="97"/>
      <c r="K183" s="97"/>
      <c r="L183" s="97"/>
      <c r="M183" s="97"/>
      <c r="N183" s="97"/>
      <c r="O183" s="97"/>
      <c r="P183" s="97"/>
      <c r="Q183" s="97"/>
      <c r="R183" s="97"/>
      <c r="S183" s="97"/>
      <c r="T183" s="97"/>
      <c r="U183" s="97"/>
    </row>
    <row r="184" spans="1:21">
      <c r="A184" s="126"/>
      <c r="B184" s="127"/>
      <c r="C184" s="97"/>
      <c r="D184" s="519"/>
      <c r="E184" s="96"/>
      <c r="F184" s="97"/>
      <c r="G184" s="97"/>
      <c r="H184" s="97"/>
      <c r="I184" s="97"/>
      <c r="J184" s="97"/>
      <c r="K184" s="97"/>
      <c r="L184" s="97"/>
      <c r="M184" s="97"/>
      <c r="N184" s="97"/>
      <c r="O184" s="97"/>
      <c r="P184" s="97"/>
      <c r="Q184" s="97"/>
      <c r="R184" s="97"/>
      <c r="S184" s="97"/>
      <c r="T184" s="97"/>
      <c r="U184" s="97"/>
    </row>
    <row r="185" spans="1:21">
      <c r="A185" s="126"/>
      <c r="B185" s="127"/>
      <c r="C185" s="97"/>
      <c r="D185" s="519"/>
      <c r="E185" s="96"/>
      <c r="F185" s="97"/>
      <c r="G185" s="97"/>
      <c r="H185" s="97"/>
      <c r="I185" s="97"/>
      <c r="J185" s="97"/>
      <c r="K185" s="97"/>
      <c r="L185" s="97"/>
      <c r="M185" s="97"/>
      <c r="N185" s="97"/>
      <c r="O185" s="97"/>
      <c r="P185" s="97"/>
      <c r="Q185" s="97"/>
      <c r="R185" s="97"/>
      <c r="S185" s="97"/>
      <c r="T185" s="97"/>
      <c r="U185" s="97"/>
    </row>
    <row r="186" spans="1:21">
      <c r="A186" s="126"/>
      <c r="B186" s="127"/>
      <c r="C186" s="97"/>
      <c r="D186" s="519"/>
      <c r="E186" s="96"/>
      <c r="F186" s="97"/>
      <c r="G186" s="97"/>
      <c r="H186" s="97"/>
      <c r="I186" s="97"/>
      <c r="J186" s="97"/>
      <c r="K186" s="97"/>
      <c r="L186" s="97"/>
      <c r="M186" s="97"/>
      <c r="N186" s="97"/>
      <c r="O186" s="97"/>
      <c r="P186" s="97"/>
      <c r="Q186" s="97"/>
      <c r="R186" s="97"/>
      <c r="S186" s="97"/>
      <c r="T186" s="97"/>
      <c r="U186" s="97"/>
    </row>
    <row r="187" spans="1:21">
      <c r="A187" s="126"/>
      <c r="B187" s="127"/>
      <c r="C187" s="97"/>
      <c r="D187" s="519"/>
      <c r="E187" s="96"/>
      <c r="F187" s="97"/>
      <c r="G187" s="97"/>
      <c r="H187" s="97"/>
      <c r="I187" s="97"/>
      <c r="J187" s="97"/>
      <c r="K187" s="97"/>
      <c r="L187" s="97"/>
      <c r="M187" s="97"/>
      <c r="N187" s="97"/>
      <c r="O187" s="97"/>
      <c r="P187" s="97"/>
      <c r="Q187" s="97"/>
      <c r="R187" s="97"/>
      <c r="S187" s="97"/>
      <c r="T187" s="97"/>
      <c r="U187" s="97"/>
    </row>
    <row r="188" spans="1:21">
      <c r="A188" s="126"/>
      <c r="B188" s="127"/>
      <c r="C188" s="97"/>
      <c r="D188" s="519"/>
      <c r="E188" s="96"/>
      <c r="F188" s="97"/>
      <c r="G188" s="97"/>
      <c r="H188" s="97"/>
      <c r="I188" s="97"/>
      <c r="J188" s="97"/>
      <c r="K188" s="97"/>
      <c r="L188" s="97"/>
      <c r="M188" s="97"/>
      <c r="N188" s="97"/>
      <c r="O188" s="97"/>
      <c r="P188" s="97"/>
      <c r="Q188" s="97"/>
      <c r="R188" s="97"/>
      <c r="S188" s="97"/>
      <c r="T188" s="97"/>
      <c r="U188" s="97"/>
    </row>
    <row r="189" spans="1:21">
      <c r="A189" s="126"/>
      <c r="B189" s="127"/>
      <c r="C189" s="97"/>
      <c r="D189" s="519"/>
      <c r="E189" s="96"/>
      <c r="F189" s="97"/>
      <c r="G189" s="97"/>
      <c r="H189" s="97"/>
      <c r="I189" s="97"/>
      <c r="J189" s="97"/>
      <c r="K189" s="97"/>
      <c r="L189" s="97"/>
      <c r="M189" s="97"/>
      <c r="N189" s="97"/>
      <c r="O189" s="97"/>
      <c r="P189" s="97"/>
      <c r="Q189" s="97"/>
      <c r="R189" s="97"/>
      <c r="S189" s="97"/>
      <c r="T189" s="97"/>
      <c r="U189" s="97"/>
    </row>
    <row r="190" spans="1:21">
      <c r="A190" s="126"/>
      <c r="B190" s="127"/>
      <c r="C190" s="97"/>
      <c r="D190" s="519"/>
      <c r="E190" s="96"/>
      <c r="F190" s="97"/>
      <c r="G190" s="97"/>
      <c r="H190" s="97"/>
      <c r="I190" s="97"/>
      <c r="J190" s="97"/>
      <c r="K190" s="97"/>
      <c r="L190" s="97"/>
      <c r="M190" s="97"/>
      <c r="N190" s="97"/>
      <c r="O190" s="97"/>
      <c r="P190" s="97"/>
      <c r="Q190" s="97"/>
      <c r="R190" s="97"/>
      <c r="S190" s="97"/>
      <c r="T190" s="97"/>
      <c r="U190" s="97"/>
    </row>
    <row r="191" spans="1:21">
      <c r="A191" s="126"/>
      <c r="B191" s="127"/>
      <c r="C191" s="97"/>
      <c r="D191" s="519"/>
      <c r="E191" s="96"/>
      <c r="F191" s="97"/>
      <c r="G191" s="97"/>
      <c r="H191" s="97"/>
      <c r="I191" s="97"/>
      <c r="J191" s="97"/>
      <c r="K191" s="97"/>
      <c r="L191" s="97"/>
      <c r="M191" s="97"/>
      <c r="N191" s="97"/>
      <c r="O191" s="97"/>
      <c r="P191" s="97"/>
      <c r="Q191" s="97"/>
      <c r="R191" s="97"/>
      <c r="S191" s="97"/>
      <c r="T191" s="97"/>
      <c r="U191" s="97"/>
    </row>
    <row r="192" spans="1:21">
      <c r="A192" s="126"/>
      <c r="B192" s="127"/>
      <c r="C192" s="97"/>
      <c r="D192" s="519"/>
      <c r="E192" s="96"/>
      <c r="F192" s="97"/>
      <c r="G192" s="97"/>
      <c r="H192" s="97"/>
      <c r="I192" s="97"/>
      <c r="J192" s="97"/>
      <c r="K192" s="97"/>
      <c r="L192" s="97"/>
      <c r="M192" s="97"/>
      <c r="N192" s="97"/>
      <c r="O192" s="97"/>
      <c r="P192" s="97"/>
      <c r="Q192" s="97"/>
      <c r="R192" s="97"/>
      <c r="S192" s="97"/>
      <c r="T192" s="97"/>
      <c r="U192" s="97"/>
    </row>
    <row r="193" spans="1:21">
      <c r="A193" s="126"/>
      <c r="B193" s="127"/>
      <c r="C193" s="97"/>
      <c r="D193" s="519"/>
      <c r="E193" s="96"/>
      <c r="F193" s="97"/>
      <c r="G193" s="97"/>
      <c r="H193" s="97"/>
      <c r="I193" s="97"/>
      <c r="J193" s="97"/>
      <c r="K193" s="97"/>
      <c r="L193" s="97"/>
      <c r="M193" s="97"/>
      <c r="N193" s="97"/>
      <c r="O193" s="97"/>
      <c r="P193" s="97"/>
      <c r="Q193" s="97"/>
      <c r="R193" s="97"/>
      <c r="S193" s="97"/>
      <c r="T193" s="97"/>
      <c r="U193" s="97"/>
    </row>
    <row r="194" spans="1:21">
      <c r="A194" s="126"/>
      <c r="B194" s="127"/>
      <c r="C194" s="97"/>
      <c r="D194" s="519"/>
      <c r="E194" s="96"/>
      <c r="F194" s="97"/>
      <c r="G194" s="97"/>
      <c r="H194" s="97"/>
      <c r="I194" s="97"/>
      <c r="J194" s="97"/>
      <c r="K194" s="97"/>
      <c r="L194" s="97"/>
      <c r="M194" s="97"/>
      <c r="N194" s="97"/>
      <c r="O194" s="97"/>
      <c r="P194" s="97"/>
      <c r="Q194" s="97"/>
      <c r="R194" s="97"/>
      <c r="S194" s="97"/>
      <c r="T194" s="97"/>
      <c r="U194" s="97"/>
    </row>
    <row r="195" spans="1:21">
      <c r="A195" s="126"/>
      <c r="B195" s="127"/>
      <c r="C195" s="97"/>
      <c r="D195" s="519"/>
      <c r="E195" s="96"/>
      <c r="F195" s="97"/>
      <c r="G195" s="97"/>
      <c r="H195" s="97"/>
      <c r="I195" s="97"/>
      <c r="J195" s="97"/>
      <c r="K195" s="97"/>
      <c r="L195" s="97"/>
      <c r="M195" s="97"/>
      <c r="N195" s="97"/>
      <c r="O195" s="97"/>
      <c r="P195" s="97"/>
      <c r="Q195" s="97"/>
      <c r="R195" s="97"/>
      <c r="S195" s="97"/>
      <c r="T195" s="97"/>
      <c r="U195" s="97"/>
    </row>
    <row r="196" spans="1:21">
      <c r="A196" s="126"/>
      <c r="B196" s="127"/>
      <c r="C196" s="97"/>
      <c r="D196" s="519"/>
      <c r="E196" s="96"/>
      <c r="F196" s="97"/>
      <c r="G196" s="97"/>
      <c r="H196" s="97"/>
      <c r="I196" s="97"/>
      <c r="J196" s="97"/>
      <c r="K196" s="97"/>
      <c r="L196" s="97"/>
      <c r="M196" s="97"/>
      <c r="N196" s="97"/>
      <c r="O196" s="97"/>
      <c r="P196" s="97"/>
      <c r="Q196" s="97"/>
      <c r="R196" s="97"/>
      <c r="S196" s="97"/>
      <c r="T196" s="97"/>
      <c r="U196" s="97"/>
    </row>
    <row r="197" spans="1:21">
      <c r="A197" s="126"/>
      <c r="B197" s="127"/>
      <c r="C197" s="97"/>
      <c r="D197" s="519"/>
      <c r="E197" s="96"/>
      <c r="F197" s="97"/>
      <c r="G197" s="97"/>
      <c r="H197" s="97"/>
      <c r="I197" s="97"/>
      <c r="J197" s="97"/>
      <c r="K197" s="97"/>
      <c r="L197" s="97"/>
      <c r="M197" s="97"/>
      <c r="N197" s="97"/>
      <c r="O197" s="97"/>
      <c r="P197" s="97"/>
      <c r="Q197" s="97"/>
      <c r="R197" s="97"/>
      <c r="S197" s="97"/>
      <c r="T197" s="97"/>
      <c r="U197" s="97"/>
    </row>
    <row r="198" spans="1:21">
      <c r="A198" s="126"/>
      <c r="B198" s="127"/>
      <c r="C198" s="97"/>
      <c r="D198" s="519"/>
      <c r="E198" s="96"/>
      <c r="F198" s="97"/>
      <c r="G198" s="97"/>
      <c r="H198" s="97"/>
      <c r="I198" s="97"/>
      <c r="J198" s="97"/>
      <c r="K198" s="97"/>
      <c r="L198" s="97"/>
      <c r="M198" s="97"/>
      <c r="N198" s="97"/>
      <c r="O198" s="97"/>
      <c r="P198" s="97"/>
      <c r="Q198" s="97"/>
      <c r="R198" s="97"/>
      <c r="S198" s="97"/>
      <c r="T198" s="97"/>
      <c r="U198" s="97"/>
    </row>
    <row r="199" spans="1:21">
      <c r="A199" s="126"/>
      <c r="B199" s="127"/>
      <c r="C199" s="97"/>
      <c r="D199" s="519"/>
      <c r="E199" s="96"/>
      <c r="F199" s="97"/>
      <c r="G199" s="97"/>
      <c r="H199" s="97"/>
      <c r="I199" s="97"/>
      <c r="J199" s="97"/>
      <c r="K199" s="97"/>
      <c r="L199" s="97"/>
      <c r="M199" s="97"/>
      <c r="N199" s="97"/>
      <c r="O199" s="97"/>
      <c r="P199" s="97"/>
      <c r="Q199" s="97"/>
      <c r="R199" s="97"/>
      <c r="S199" s="97"/>
      <c r="T199" s="97"/>
      <c r="U199" s="97"/>
    </row>
    <row r="200" spans="1:21">
      <c r="A200" s="126"/>
      <c r="B200" s="127"/>
      <c r="C200" s="97"/>
      <c r="D200" s="519"/>
      <c r="E200" s="96"/>
      <c r="F200" s="97"/>
      <c r="G200" s="97"/>
      <c r="H200" s="97"/>
      <c r="I200" s="97"/>
      <c r="J200" s="97"/>
      <c r="K200" s="97"/>
      <c r="L200" s="97"/>
      <c r="M200" s="97"/>
      <c r="N200" s="97"/>
      <c r="O200" s="97"/>
      <c r="P200" s="97"/>
      <c r="Q200" s="97"/>
      <c r="R200" s="97"/>
      <c r="S200" s="97"/>
      <c r="T200" s="97"/>
      <c r="U200" s="97"/>
    </row>
    <row r="201" spans="1:21">
      <c r="A201" s="126"/>
      <c r="B201" s="127"/>
      <c r="C201" s="97"/>
      <c r="D201" s="519"/>
      <c r="E201" s="96"/>
      <c r="F201" s="97"/>
      <c r="G201" s="97"/>
      <c r="H201" s="97"/>
      <c r="I201" s="97"/>
      <c r="J201" s="97"/>
      <c r="K201" s="97"/>
      <c r="L201" s="97"/>
      <c r="M201" s="97"/>
      <c r="N201" s="97"/>
      <c r="O201" s="97"/>
      <c r="P201" s="97"/>
      <c r="Q201" s="97"/>
      <c r="R201" s="97"/>
      <c r="S201" s="97"/>
      <c r="T201" s="97"/>
      <c r="U201" s="97"/>
    </row>
    <row r="202" spans="1:21">
      <c r="A202" s="126"/>
      <c r="B202" s="127"/>
      <c r="C202" s="97"/>
      <c r="D202" s="519"/>
      <c r="E202" s="96"/>
      <c r="F202" s="97"/>
      <c r="G202" s="97"/>
      <c r="H202" s="97"/>
      <c r="I202" s="97"/>
      <c r="J202" s="97"/>
      <c r="K202" s="97"/>
      <c r="L202" s="97"/>
      <c r="M202" s="97"/>
      <c r="N202" s="97"/>
      <c r="O202" s="97"/>
      <c r="P202" s="97"/>
      <c r="Q202" s="97"/>
      <c r="R202" s="97"/>
      <c r="S202" s="97"/>
      <c r="T202" s="97"/>
      <c r="U202" s="97"/>
    </row>
    <row r="203" spans="1:21">
      <c r="A203" s="126"/>
      <c r="B203" s="127"/>
      <c r="C203" s="97"/>
      <c r="D203" s="519"/>
      <c r="E203" s="96"/>
      <c r="F203" s="97"/>
      <c r="G203" s="97"/>
      <c r="H203" s="97"/>
      <c r="I203" s="97"/>
      <c r="J203" s="97"/>
      <c r="K203" s="97"/>
      <c r="L203" s="97"/>
      <c r="M203" s="97"/>
      <c r="N203" s="97"/>
      <c r="O203" s="97"/>
      <c r="P203" s="97"/>
      <c r="Q203" s="97"/>
      <c r="R203" s="97"/>
      <c r="S203" s="97"/>
      <c r="T203" s="97"/>
      <c r="U203" s="97"/>
    </row>
    <row r="204" spans="1:21">
      <c r="A204" s="126"/>
      <c r="B204" s="127"/>
      <c r="C204" s="97"/>
      <c r="D204" s="519"/>
      <c r="E204" s="96"/>
      <c r="F204" s="97"/>
      <c r="G204" s="97"/>
      <c r="H204" s="97"/>
      <c r="I204" s="97"/>
      <c r="J204" s="97"/>
      <c r="K204" s="97"/>
      <c r="L204" s="97"/>
      <c r="M204" s="97"/>
      <c r="N204" s="97"/>
      <c r="O204" s="97"/>
      <c r="P204" s="97"/>
      <c r="Q204" s="97"/>
      <c r="R204" s="97"/>
      <c r="S204" s="97"/>
      <c r="T204" s="97"/>
      <c r="U204" s="97"/>
    </row>
    <row r="205" spans="1:21">
      <c r="A205" s="126"/>
      <c r="B205" s="127"/>
      <c r="C205" s="97"/>
      <c r="D205" s="519"/>
      <c r="E205" s="96"/>
      <c r="F205" s="97"/>
      <c r="G205" s="97"/>
      <c r="H205" s="97"/>
      <c r="I205" s="97"/>
      <c r="J205" s="97"/>
      <c r="K205" s="97"/>
      <c r="L205" s="97"/>
      <c r="M205" s="97"/>
      <c r="N205" s="97"/>
      <c r="O205" s="97"/>
      <c r="P205" s="97"/>
      <c r="Q205" s="97"/>
      <c r="R205" s="97"/>
      <c r="S205" s="97"/>
      <c r="T205" s="97"/>
      <c r="U205" s="97"/>
    </row>
    <row r="206" spans="1:21">
      <c r="A206" s="126"/>
      <c r="B206" s="127"/>
      <c r="C206" s="97"/>
      <c r="D206" s="519"/>
      <c r="E206" s="96"/>
      <c r="F206" s="97"/>
      <c r="G206" s="97"/>
      <c r="H206" s="97"/>
      <c r="I206" s="97"/>
      <c r="J206" s="97"/>
      <c r="K206" s="97"/>
      <c r="L206" s="97"/>
      <c r="M206" s="97"/>
      <c r="N206" s="97"/>
      <c r="O206" s="97"/>
      <c r="P206" s="97"/>
      <c r="Q206" s="97"/>
      <c r="R206" s="97"/>
      <c r="S206" s="97"/>
      <c r="T206" s="97"/>
      <c r="U206" s="97"/>
    </row>
    <row r="207" spans="1:21">
      <c r="A207" s="126"/>
      <c r="B207" s="127"/>
      <c r="C207" s="97"/>
      <c r="D207" s="519"/>
      <c r="E207" s="96"/>
      <c r="F207" s="97"/>
      <c r="G207" s="97"/>
      <c r="H207" s="97"/>
      <c r="I207" s="97"/>
      <c r="J207" s="97"/>
      <c r="K207" s="97"/>
      <c r="L207" s="97"/>
      <c r="M207" s="97"/>
      <c r="N207" s="97"/>
      <c r="O207" s="97"/>
      <c r="P207" s="97"/>
      <c r="Q207" s="97"/>
      <c r="R207" s="97"/>
      <c r="S207" s="97"/>
      <c r="T207" s="97"/>
      <c r="U207" s="97"/>
    </row>
    <row r="208" spans="1:21">
      <c r="A208" s="126"/>
      <c r="B208" s="127"/>
      <c r="C208" s="97"/>
      <c r="D208" s="519"/>
      <c r="E208" s="96"/>
      <c r="F208" s="97"/>
      <c r="G208" s="97"/>
      <c r="H208" s="97"/>
      <c r="I208" s="97"/>
      <c r="J208" s="97"/>
      <c r="K208" s="97"/>
      <c r="L208" s="97"/>
      <c r="M208" s="97"/>
      <c r="N208" s="97"/>
      <c r="O208" s="97"/>
      <c r="P208" s="97"/>
      <c r="Q208" s="97"/>
      <c r="R208" s="97"/>
      <c r="S208" s="97"/>
      <c r="T208" s="97"/>
      <c r="U208" s="97"/>
    </row>
    <row r="209" spans="1:21">
      <c r="A209" s="126"/>
      <c r="B209" s="127"/>
      <c r="C209" s="97"/>
      <c r="D209" s="519"/>
      <c r="E209" s="96"/>
      <c r="F209" s="97"/>
      <c r="G209" s="97"/>
      <c r="H209" s="97"/>
      <c r="I209" s="97"/>
      <c r="J209" s="97"/>
      <c r="K209" s="97"/>
      <c r="L209" s="97"/>
      <c r="M209" s="97"/>
      <c r="N209" s="97"/>
      <c r="O209" s="97"/>
      <c r="P209" s="97"/>
      <c r="Q209" s="97"/>
      <c r="R209" s="97"/>
      <c r="S209" s="97"/>
      <c r="T209" s="97"/>
      <c r="U209" s="97"/>
    </row>
    <row r="210" spans="1:21">
      <c r="A210" s="126"/>
      <c r="B210" s="127"/>
      <c r="C210" s="97"/>
      <c r="D210" s="519"/>
      <c r="E210" s="96"/>
      <c r="F210" s="97"/>
      <c r="G210" s="97"/>
      <c r="H210" s="97"/>
      <c r="I210" s="97"/>
      <c r="J210" s="97"/>
      <c r="K210" s="97"/>
      <c r="L210" s="97"/>
      <c r="M210" s="97"/>
      <c r="N210" s="97"/>
      <c r="O210" s="97"/>
      <c r="P210" s="97"/>
      <c r="Q210" s="97"/>
      <c r="R210" s="97"/>
      <c r="S210" s="97"/>
      <c r="T210" s="97"/>
      <c r="U210" s="97"/>
    </row>
    <row r="211" spans="1:21">
      <c r="A211" s="126"/>
      <c r="B211" s="127"/>
      <c r="C211" s="97"/>
      <c r="D211" s="519"/>
      <c r="E211" s="96"/>
      <c r="F211" s="97"/>
      <c r="G211" s="97"/>
      <c r="H211" s="97"/>
      <c r="I211" s="97"/>
      <c r="J211" s="97"/>
      <c r="K211" s="97"/>
      <c r="L211" s="97"/>
      <c r="M211" s="97"/>
      <c r="N211" s="97"/>
      <c r="O211" s="97"/>
      <c r="P211" s="97"/>
      <c r="Q211" s="97"/>
      <c r="R211" s="97"/>
      <c r="S211" s="97"/>
      <c r="T211" s="97"/>
      <c r="U211" s="97"/>
    </row>
    <row r="212" spans="1:21">
      <c r="A212" s="126"/>
      <c r="B212" s="127"/>
      <c r="C212" s="97"/>
      <c r="D212" s="519"/>
      <c r="E212" s="96"/>
      <c r="F212" s="97"/>
      <c r="G212" s="97"/>
      <c r="H212" s="97"/>
      <c r="I212" s="97"/>
      <c r="J212" s="97"/>
      <c r="K212" s="97"/>
      <c r="L212" s="97"/>
      <c r="M212" s="97"/>
      <c r="N212" s="97"/>
      <c r="O212" s="97"/>
      <c r="P212" s="97"/>
      <c r="Q212" s="97"/>
      <c r="R212" s="97"/>
      <c r="S212" s="97"/>
      <c r="T212" s="97"/>
      <c r="U212" s="97"/>
    </row>
    <row r="213" spans="1:21">
      <c r="A213" s="126"/>
      <c r="B213" s="127"/>
      <c r="C213" s="97"/>
      <c r="D213" s="519"/>
      <c r="E213" s="96"/>
      <c r="F213" s="97"/>
      <c r="G213" s="97"/>
      <c r="H213" s="97"/>
      <c r="I213" s="97"/>
      <c r="J213" s="97"/>
      <c r="K213" s="97"/>
      <c r="L213" s="97"/>
      <c r="M213" s="97"/>
      <c r="N213" s="97"/>
      <c r="O213" s="97"/>
      <c r="P213" s="97"/>
      <c r="Q213" s="97"/>
      <c r="R213" s="97"/>
      <c r="S213" s="97"/>
      <c r="T213" s="97"/>
      <c r="U213" s="97"/>
    </row>
    <row r="214" spans="1:21">
      <c r="A214" s="126"/>
      <c r="B214" s="127"/>
      <c r="C214" s="97"/>
      <c r="D214" s="519"/>
      <c r="E214" s="96"/>
      <c r="F214" s="97"/>
      <c r="G214" s="97"/>
      <c r="H214" s="97"/>
      <c r="I214" s="97"/>
      <c r="J214" s="97"/>
      <c r="K214" s="97"/>
      <c r="L214" s="97"/>
      <c r="M214" s="97"/>
      <c r="N214" s="97"/>
      <c r="O214" s="97"/>
      <c r="P214" s="97"/>
      <c r="Q214" s="97"/>
      <c r="R214" s="97"/>
      <c r="S214" s="97"/>
      <c r="T214" s="97"/>
      <c r="U214" s="97"/>
    </row>
    <row r="215" spans="1:21">
      <c r="A215" s="126"/>
      <c r="B215" s="127"/>
      <c r="C215" s="97"/>
      <c r="D215" s="519"/>
      <c r="E215" s="96"/>
      <c r="F215" s="97"/>
      <c r="G215" s="97"/>
      <c r="H215" s="97"/>
      <c r="I215" s="97"/>
      <c r="J215" s="97"/>
      <c r="K215" s="97"/>
      <c r="L215" s="97"/>
      <c r="M215" s="97"/>
      <c r="N215" s="97"/>
      <c r="O215" s="97"/>
      <c r="P215" s="97"/>
      <c r="Q215" s="97"/>
      <c r="R215" s="97"/>
      <c r="S215" s="97"/>
      <c r="T215" s="97"/>
      <c r="U215" s="97"/>
    </row>
    <row r="216" spans="1:21">
      <c r="A216" s="126"/>
      <c r="B216" s="127"/>
      <c r="C216" s="97"/>
      <c r="D216" s="519"/>
      <c r="E216" s="96"/>
      <c r="F216" s="97"/>
      <c r="G216" s="97"/>
      <c r="H216" s="97"/>
      <c r="I216" s="97"/>
      <c r="J216" s="97"/>
      <c r="K216" s="97"/>
      <c r="L216" s="97"/>
      <c r="M216" s="97"/>
      <c r="N216" s="97"/>
      <c r="O216" s="97"/>
      <c r="P216" s="97"/>
      <c r="Q216" s="97"/>
      <c r="R216" s="97"/>
      <c r="S216" s="97"/>
      <c r="T216" s="97"/>
      <c r="U216" s="97"/>
    </row>
    <row r="217" spans="1:21">
      <c r="A217" s="126"/>
      <c r="B217" s="127"/>
      <c r="C217" s="97"/>
      <c r="D217" s="519"/>
      <c r="E217" s="96"/>
      <c r="F217" s="97"/>
      <c r="G217" s="97"/>
      <c r="H217" s="97"/>
      <c r="I217" s="97"/>
      <c r="J217" s="97"/>
      <c r="K217" s="97"/>
      <c r="L217" s="97"/>
      <c r="M217" s="97"/>
      <c r="N217" s="97"/>
      <c r="O217" s="97"/>
      <c r="P217" s="97"/>
      <c r="Q217" s="97"/>
      <c r="R217" s="97"/>
      <c r="S217" s="97"/>
      <c r="T217" s="97"/>
      <c r="U217" s="97"/>
    </row>
    <row r="218" spans="1:21">
      <c r="A218" s="126"/>
      <c r="B218" s="127"/>
      <c r="C218" s="97"/>
      <c r="D218" s="519"/>
      <c r="E218" s="96"/>
      <c r="F218" s="97"/>
      <c r="G218" s="97"/>
      <c r="H218" s="97"/>
      <c r="I218" s="97"/>
      <c r="J218" s="97"/>
      <c r="K218" s="97"/>
      <c r="L218" s="97"/>
      <c r="M218" s="97"/>
      <c r="N218" s="97"/>
      <c r="O218" s="97"/>
      <c r="P218" s="97"/>
      <c r="Q218" s="97"/>
      <c r="R218" s="97"/>
      <c r="S218" s="97"/>
      <c r="T218" s="97"/>
      <c r="U218" s="97"/>
    </row>
    <row r="219" spans="1:21">
      <c r="A219" s="126"/>
      <c r="B219" s="127"/>
      <c r="C219" s="97"/>
      <c r="D219" s="519"/>
      <c r="E219" s="96"/>
      <c r="F219" s="97"/>
      <c r="G219" s="97"/>
      <c r="H219" s="97"/>
      <c r="I219" s="97"/>
      <c r="J219" s="97"/>
      <c r="K219" s="97"/>
      <c r="L219" s="97"/>
      <c r="M219" s="97"/>
      <c r="N219" s="97"/>
      <c r="O219" s="97"/>
      <c r="P219" s="97"/>
      <c r="Q219" s="97"/>
      <c r="R219" s="97"/>
      <c r="S219" s="97"/>
      <c r="T219" s="97"/>
      <c r="U219" s="97"/>
    </row>
    <row r="220" spans="1:21">
      <c r="A220" s="126"/>
      <c r="B220" s="127"/>
      <c r="C220" s="97"/>
      <c r="D220" s="519"/>
      <c r="E220" s="96"/>
      <c r="F220" s="97"/>
      <c r="G220" s="97"/>
      <c r="H220" s="97"/>
      <c r="I220" s="97"/>
      <c r="J220" s="97"/>
      <c r="K220" s="97"/>
      <c r="L220" s="97"/>
      <c r="M220" s="97"/>
      <c r="N220" s="97"/>
      <c r="O220" s="97"/>
      <c r="P220" s="97"/>
      <c r="Q220" s="97"/>
      <c r="R220" s="97"/>
      <c r="S220" s="97"/>
      <c r="T220" s="97"/>
      <c r="U220" s="97"/>
    </row>
    <row r="221" spans="1:21">
      <c r="A221" s="126"/>
      <c r="B221" s="127"/>
      <c r="C221" s="97"/>
      <c r="D221" s="519"/>
      <c r="E221" s="96"/>
      <c r="F221" s="97"/>
      <c r="G221" s="97"/>
      <c r="H221" s="97"/>
      <c r="I221" s="97"/>
      <c r="J221" s="97"/>
      <c r="K221" s="97"/>
      <c r="L221" s="97"/>
      <c r="M221" s="97"/>
      <c r="N221" s="97"/>
      <c r="O221" s="97"/>
      <c r="P221" s="97"/>
      <c r="Q221" s="97"/>
      <c r="R221" s="97"/>
      <c r="S221" s="97"/>
      <c r="T221" s="97"/>
      <c r="U221" s="97"/>
    </row>
    <row r="222" spans="1:21">
      <c r="A222" s="126"/>
      <c r="B222" s="127"/>
      <c r="C222" s="97"/>
      <c r="D222" s="519"/>
      <c r="E222" s="96"/>
      <c r="F222" s="97"/>
      <c r="G222" s="97"/>
      <c r="H222" s="97"/>
      <c r="I222" s="97"/>
      <c r="J222" s="97"/>
      <c r="K222" s="97"/>
      <c r="L222" s="97"/>
      <c r="M222" s="97"/>
      <c r="N222" s="97"/>
      <c r="O222" s="97"/>
      <c r="P222" s="97"/>
      <c r="Q222" s="97"/>
      <c r="R222" s="97"/>
      <c r="S222" s="97"/>
      <c r="T222" s="97"/>
      <c r="U222" s="97"/>
    </row>
    <row r="223" spans="1:21">
      <c r="A223" s="126"/>
      <c r="B223" s="127"/>
      <c r="C223" s="97"/>
      <c r="D223" s="519"/>
      <c r="E223" s="96"/>
      <c r="F223" s="97"/>
      <c r="G223" s="97"/>
      <c r="H223" s="97"/>
      <c r="I223" s="97"/>
      <c r="J223" s="97"/>
      <c r="K223" s="97"/>
      <c r="L223" s="97"/>
      <c r="M223" s="97"/>
      <c r="N223" s="97"/>
      <c r="O223" s="97"/>
      <c r="P223" s="97"/>
      <c r="Q223" s="97"/>
      <c r="R223" s="97"/>
      <c r="S223" s="97"/>
      <c r="T223" s="97"/>
      <c r="U223" s="97"/>
    </row>
    <row r="224" spans="1:21">
      <c r="A224" s="126"/>
      <c r="B224" s="127"/>
      <c r="C224" s="97"/>
      <c r="D224" s="519"/>
      <c r="E224" s="96"/>
      <c r="F224" s="97"/>
      <c r="G224" s="97"/>
      <c r="H224" s="97"/>
      <c r="I224" s="97"/>
      <c r="J224" s="97"/>
      <c r="K224" s="97"/>
      <c r="L224" s="97"/>
      <c r="M224" s="97"/>
      <c r="N224" s="97"/>
      <c r="O224" s="97"/>
      <c r="P224" s="97"/>
      <c r="Q224" s="97"/>
      <c r="R224" s="97"/>
      <c r="S224" s="97"/>
      <c r="T224" s="97"/>
      <c r="U224" s="97"/>
    </row>
    <row r="225" spans="1:21">
      <c r="A225" s="126"/>
      <c r="B225" s="127"/>
      <c r="C225" s="97"/>
      <c r="D225" s="519"/>
      <c r="E225" s="96"/>
      <c r="F225" s="97"/>
      <c r="G225" s="97"/>
      <c r="H225" s="97"/>
      <c r="I225" s="97"/>
      <c r="J225" s="97"/>
      <c r="K225" s="97"/>
      <c r="L225" s="97"/>
      <c r="M225" s="97"/>
      <c r="N225" s="97"/>
      <c r="O225" s="97"/>
      <c r="P225" s="97"/>
      <c r="Q225" s="97"/>
      <c r="R225" s="97"/>
      <c r="S225" s="97"/>
      <c r="T225" s="97"/>
      <c r="U225" s="97"/>
    </row>
    <row r="226" spans="1:21">
      <c r="A226" s="126"/>
      <c r="B226" s="127"/>
      <c r="C226" s="97"/>
      <c r="D226" s="519"/>
      <c r="E226" s="96"/>
      <c r="F226" s="97"/>
      <c r="G226" s="97"/>
      <c r="H226" s="97"/>
      <c r="I226" s="97"/>
      <c r="J226" s="97"/>
      <c r="K226" s="97"/>
      <c r="L226" s="97"/>
      <c r="M226" s="97"/>
      <c r="N226" s="97"/>
      <c r="O226" s="97"/>
      <c r="P226" s="97"/>
      <c r="Q226" s="97"/>
      <c r="R226" s="97"/>
      <c r="S226" s="97"/>
      <c r="T226" s="97"/>
      <c r="U226" s="97"/>
    </row>
    <row r="227" spans="1:21">
      <c r="A227" s="126"/>
      <c r="B227" s="127"/>
      <c r="C227" s="97"/>
      <c r="D227" s="519"/>
      <c r="E227" s="96"/>
      <c r="F227" s="97"/>
      <c r="G227" s="97"/>
      <c r="H227" s="97"/>
      <c r="I227" s="97"/>
      <c r="J227" s="97"/>
      <c r="K227" s="97"/>
      <c r="L227" s="97"/>
      <c r="M227" s="97"/>
      <c r="N227" s="97"/>
      <c r="O227" s="97"/>
      <c r="P227" s="97"/>
      <c r="Q227" s="97"/>
      <c r="R227" s="97"/>
      <c r="S227" s="97"/>
      <c r="T227" s="97"/>
      <c r="U227" s="97"/>
    </row>
    <row r="228" spans="1:21">
      <c r="A228" s="126"/>
      <c r="B228" s="127"/>
      <c r="C228" s="97"/>
      <c r="D228" s="519"/>
      <c r="E228" s="96"/>
      <c r="F228" s="97"/>
      <c r="G228" s="97"/>
      <c r="H228" s="97"/>
      <c r="I228" s="97"/>
      <c r="J228" s="97"/>
      <c r="K228" s="97"/>
      <c r="L228" s="97"/>
      <c r="M228" s="97"/>
      <c r="N228" s="97"/>
      <c r="O228" s="97"/>
      <c r="P228" s="97"/>
      <c r="Q228" s="97"/>
      <c r="R228" s="97"/>
      <c r="S228" s="97"/>
      <c r="T228" s="97"/>
      <c r="U228" s="97"/>
    </row>
    <row r="229" spans="1:21">
      <c r="A229" s="126"/>
      <c r="B229" s="127"/>
      <c r="C229" s="97"/>
      <c r="D229" s="519"/>
      <c r="E229" s="96"/>
      <c r="F229" s="97"/>
      <c r="G229" s="97"/>
      <c r="H229" s="97"/>
      <c r="I229" s="97"/>
      <c r="J229" s="97"/>
      <c r="K229" s="97"/>
      <c r="L229" s="97"/>
      <c r="M229" s="97"/>
      <c r="N229" s="97"/>
      <c r="O229" s="97"/>
      <c r="P229" s="97"/>
      <c r="Q229" s="97"/>
      <c r="R229" s="97"/>
      <c r="S229" s="97"/>
      <c r="T229" s="97"/>
      <c r="U229" s="97"/>
    </row>
    <row r="230" spans="1:21">
      <c r="A230" s="126"/>
      <c r="B230" s="127"/>
      <c r="C230" s="97"/>
      <c r="D230" s="519"/>
      <c r="E230" s="96"/>
      <c r="F230" s="97"/>
      <c r="G230" s="97"/>
      <c r="H230" s="97"/>
      <c r="I230" s="97"/>
      <c r="J230" s="97"/>
      <c r="K230" s="97"/>
      <c r="L230" s="97"/>
      <c r="M230" s="97"/>
      <c r="N230" s="97"/>
      <c r="O230" s="97"/>
      <c r="P230" s="97"/>
      <c r="Q230" s="97"/>
      <c r="R230" s="97"/>
      <c r="S230" s="97"/>
      <c r="T230" s="97"/>
      <c r="U230" s="97"/>
    </row>
    <row r="231" spans="1:21">
      <c r="A231" s="126"/>
      <c r="B231" s="127"/>
      <c r="C231" s="97"/>
      <c r="D231" s="519"/>
      <c r="E231" s="96"/>
      <c r="F231" s="97"/>
      <c r="G231" s="97"/>
      <c r="H231" s="97"/>
      <c r="I231" s="97"/>
      <c r="J231" s="97"/>
      <c r="K231" s="97"/>
      <c r="L231" s="97"/>
      <c r="M231" s="97"/>
      <c r="N231" s="97"/>
      <c r="O231" s="97"/>
      <c r="P231" s="97"/>
      <c r="Q231" s="97"/>
      <c r="R231" s="97"/>
      <c r="S231" s="97"/>
      <c r="T231" s="97"/>
      <c r="U231" s="97"/>
    </row>
    <row r="232" spans="1:21">
      <c r="A232" s="126"/>
      <c r="B232" s="127"/>
      <c r="C232" s="97"/>
      <c r="D232" s="519"/>
      <c r="E232" s="96"/>
      <c r="F232" s="97"/>
      <c r="G232" s="97"/>
      <c r="H232" s="97"/>
      <c r="I232" s="97"/>
      <c r="J232" s="97"/>
      <c r="K232" s="97"/>
      <c r="L232" s="97"/>
      <c r="M232" s="97"/>
      <c r="N232" s="97"/>
      <c r="O232" s="97"/>
      <c r="P232" s="97"/>
      <c r="Q232" s="97"/>
      <c r="R232" s="97"/>
      <c r="S232" s="97"/>
      <c r="T232" s="97"/>
      <c r="U232" s="97"/>
    </row>
    <row r="233" spans="1:21">
      <c r="A233" s="126"/>
      <c r="B233" s="127"/>
      <c r="C233" s="97"/>
      <c r="D233" s="519"/>
      <c r="E233" s="96"/>
      <c r="F233" s="97"/>
      <c r="G233" s="97"/>
      <c r="H233" s="97"/>
      <c r="I233" s="97"/>
      <c r="J233" s="97"/>
      <c r="K233" s="97"/>
      <c r="L233" s="97"/>
      <c r="M233" s="97"/>
      <c r="N233" s="97"/>
      <c r="O233" s="97"/>
      <c r="P233" s="97"/>
      <c r="Q233" s="97"/>
      <c r="R233" s="97"/>
      <c r="S233" s="97"/>
      <c r="T233" s="97"/>
      <c r="U233" s="97"/>
    </row>
    <row r="234" spans="1:21">
      <c r="A234" s="126"/>
      <c r="B234" s="127"/>
      <c r="C234" s="97"/>
      <c r="D234" s="519"/>
      <c r="E234" s="96"/>
      <c r="F234" s="97"/>
      <c r="G234" s="97"/>
      <c r="H234" s="97"/>
      <c r="I234" s="97"/>
      <c r="J234" s="97"/>
      <c r="K234" s="97"/>
      <c r="L234" s="97"/>
      <c r="M234" s="97"/>
      <c r="N234" s="97"/>
      <c r="O234" s="97"/>
      <c r="P234" s="97"/>
      <c r="Q234" s="97"/>
      <c r="R234" s="97"/>
      <c r="S234" s="97"/>
      <c r="T234" s="97"/>
      <c r="U234" s="97"/>
    </row>
    <row r="235" spans="1:21">
      <c r="A235" s="126"/>
      <c r="B235" s="127"/>
      <c r="C235" s="97"/>
      <c r="D235" s="519"/>
      <c r="E235" s="96"/>
      <c r="F235" s="97"/>
      <c r="G235" s="97"/>
      <c r="H235" s="97"/>
      <c r="I235" s="97"/>
      <c r="J235" s="97"/>
      <c r="K235" s="97"/>
      <c r="L235" s="97"/>
      <c r="M235" s="97"/>
      <c r="N235" s="97"/>
      <c r="O235" s="97"/>
      <c r="P235" s="97"/>
      <c r="Q235" s="97"/>
      <c r="R235" s="97"/>
      <c r="S235" s="97"/>
      <c r="T235" s="97"/>
      <c r="U235" s="97"/>
    </row>
    <row r="236" spans="1:21">
      <c r="A236" s="126"/>
      <c r="B236" s="127"/>
      <c r="C236" s="97"/>
      <c r="D236" s="519"/>
      <c r="E236" s="96"/>
      <c r="F236" s="97"/>
      <c r="G236" s="97"/>
      <c r="H236" s="97"/>
      <c r="I236" s="97"/>
      <c r="J236" s="97"/>
      <c r="K236" s="97"/>
      <c r="L236" s="97"/>
      <c r="M236" s="97"/>
      <c r="N236" s="97"/>
      <c r="O236" s="97"/>
      <c r="P236" s="97"/>
      <c r="Q236" s="97"/>
      <c r="R236" s="97"/>
      <c r="S236" s="97"/>
      <c r="T236" s="97"/>
      <c r="U236" s="97"/>
    </row>
    <row r="237" spans="1:21">
      <c r="A237" s="126"/>
      <c r="B237" s="127"/>
      <c r="C237" s="97"/>
      <c r="D237" s="519"/>
      <c r="E237" s="96"/>
      <c r="F237" s="97"/>
      <c r="G237" s="97"/>
      <c r="H237" s="97"/>
      <c r="I237" s="97"/>
      <c r="J237" s="97"/>
      <c r="K237" s="97"/>
      <c r="L237" s="97"/>
      <c r="M237" s="97"/>
      <c r="N237" s="97"/>
      <c r="O237" s="97"/>
      <c r="P237" s="97"/>
      <c r="Q237" s="97"/>
      <c r="R237" s="97"/>
      <c r="S237" s="97"/>
      <c r="T237" s="97"/>
      <c r="U237" s="97"/>
    </row>
    <row r="238" spans="1:21">
      <c r="A238" s="126"/>
      <c r="B238" s="127"/>
      <c r="C238" s="97"/>
      <c r="D238" s="519"/>
      <c r="E238" s="96"/>
      <c r="F238" s="97"/>
      <c r="G238" s="97"/>
      <c r="H238" s="97"/>
      <c r="I238" s="97"/>
      <c r="J238" s="97"/>
      <c r="K238" s="97"/>
      <c r="L238" s="97"/>
      <c r="M238" s="97"/>
      <c r="N238" s="97"/>
      <c r="O238" s="97"/>
      <c r="P238" s="97"/>
      <c r="Q238" s="97"/>
      <c r="R238" s="97"/>
      <c r="S238" s="97"/>
      <c r="T238" s="97"/>
      <c r="U238" s="97"/>
    </row>
    <row r="239" spans="1:21">
      <c r="A239" s="126"/>
      <c r="B239" s="127"/>
      <c r="C239" s="97"/>
      <c r="D239" s="519"/>
      <c r="E239" s="96"/>
      <c r="F239" s="97"/>
      <c r="G239" s="97"/>
      <c r="H239" s="97"/>
      <c r="I239" s="97"/>
      <c r="J239" s="97"/>
      <c r="K239" s="97"/>
      <c r="L239" s="97"/>
      <c r="M239" s="97"/>
      <c r="N239" s="97"/>
      <c r="O239" s="97"/>
      <c r="P239" s="97"/>
      <c r="Q239" s="97"/>
      <c r="R239" s="97"/>
      <c r="S239" s="97"/>
      <c r="T239" s="97"/>
      <c r="U239" s="97"/>
    </row>
    <row r="240" spans="1:21">
      <c r="A240" s="126"/>
      <c r="B240" s="127"/>
      <c r="C240" s="97"/>
      <c r="D240" s="519"/>
      <c r="E240" s="96"/>
      <c r="F240" s="97"/>
      <c r="G240" s="97"/>
      <c r="H240" s="97"/>
      <c r="I240" s="97"/>
      <c r="J240" s="97"/>
      <c r="K240" s="97"/>
      <c r="L240" s="97"/>
      <c r="M240" s="97"/>
      <c r="N240" s="97"/>
      <c r="O240" s="97"/>
      <c r="P240" s="97"/>
      <c r="Q240" s="97"/>
      <c r="R240" s="97"/>
      <c r="S240" s="97"/>
      <c r="T240" s="97"/>
      <c r="U240" s="97"/>
    </row>
    <row r="241" spans="1:21">
      <c r="A241" s="126"/>
      <c r="B241" s="127"/>
      <c r="C241" s="97"/>
      <c r="D241" s="519"/>
      <c r="E241" s="96"/>
      <c r="F241" s="97"/>
      <c r="G241" s="97"/>
      <c r="H241" s="97"/>
      <c r="I241" s="97"/>
      <c r="J241" s="97"/>
      <c r="K241" s="97"/>
      <c r="L241" s="97"/>
      <c r="M241" s="97"/>
      <c r="N241" s="97"/>
      <c r="O241" s="97"/>
      <c r="P241" s="97"/>
      <c r="Q241" s="97"/>
      <c r="R241" s="97"/>
      <c r="S241" s="97"/>
      <c r="T241" s="97"/>
      <c r="U241" s="97"/>
    </row>
    <row r="242" spans="1:21">
      <c r="A242" s="126"/>
      <c r="B242" s="127"/>
      <c r="C242" s="97"/>
      <c r="D242" s="519"/>
      <c r="E242" s="96"/>
      <c r="F242" s="97"/>
      <c r="G242" s="97"/>
      <c r="H242" s="97"/>
      <c r="I242" s="97"/>
      <c r="J242" s="97"/>
      <c r="K242" s="97"/>
      <c r="L242" s="97"/>
      <c r="M242" s="97"/>
      <c r="N242" s="97"/>
      <c r="O242" s="97"/>
      <c r="P242" s="97"/>
      <c r="Q242" s="97"/>
      <c r="R242" s="97"/>
      <c r="S242" s="97"/>
      <c r="T242" s="97"/>
      <c r="U242" s="97"/>
    </row>
    <row r="243" spans="1:21">
      <c r="A243" s="126"/>
      <c r="B243" s="127"/>
      <c r="C243" s="97"/>
      <c r="D243" s="519"/>
      <c r="E243" s="96"/>
      <c r="F243" s="97"/>
      <c r="G243" s="97"/>
      <c r="H243" s="97"/>
      <c r="I243" s="97"/>
      <c r="J243" s="97"/>
      <c r="K243" s="97"/>
      <c r="L243" s="97"/>
      <c r="M243" s="97"/>
      <c r="N243" s="97"/>
      <c r="O243" s="97"/>
      <c r="P243" s="97"/>
      <c r="Q243" s="97"/>
      <c r="R243" s="97"/>
      <c r="S243" s="97"/>
      <c r="T243" s="97"/>
      <c r="U243" s="97"/>
    </row>
    <row r="244" spans="1:21">
      <c r="A244" s="126"/>
      <c r="B244" s="127"/>
      <c r="C244" s="97"/>
      <c r="D244" s="519"/>
      <c r="E244" s="96"/>
      <c r="F244" s="97"/>
      <c r="G244" s="97"/>
      <c r="H244" s="97"/>
      <c r="I244" s="97"/>
      <c r="J244" s="97"/>
      <c r="K244" s="97"/>
      <c r="L244" s="97"/>
      <c r="M244" s="97"/>
      <c r="N244" s="97"/>
      <c r="O244" s="97"/>
      <c r="P244" s="97"/>
      <c r="Q244" s="97"/>
      <c r="R244" s="97"/>
      <c r="S244" s="97"/>
      <c r="T244" s="97"/>
      <c r="U244" s="97"/>
    </row>
    <row r="245" spans="1:21">
      <c r="A245" s="126"/>
      <c r="B245" s="127"/>
      <c r="C245" s="97"/>
      <c r="D245" s="519"/>
      <c r="E245" s="96"/>
      <c r="F245" s="97"/>
      <c r="G245" s="97"/>
      <c r="H245" s="97"/>
      <c r="I245" s="97"/>
      <c r="J245" s="97"/>
      <c r="K245" s="97"/>
      <c r="L245" s="97"/>
      <c r="M245" s="97"/>
      <c r="N245" s="97"/>
      <c r="O245" s="97"/>
      <c r="P245" s="97"/>
      <c r="Q245" s="97"/>
      <c r="R245" s="97"/>
      <c r="S245" s="97"/>
      <c r="T245" s="97"/>
      <c r="U245" s="97"/>
    </row>
    <row r="246" spans="1:21">
      <c r="A246" s="126"/>
      <c r="B246" s="127"/>
      <c r="C246" s="97"/>
      <c r="D246" s="519"/>
      <c r="E246" s="96"/>
      <c r="F246" s="97"/>
      <c r="G246" s="97"/>
      <c r="H246" s="97"/>
      <c r="I246" s="97"/>
      <c r="J246" s="97"/>
      <c r="K246" s="97"/>
      <c r="L246" s="97"/>
      <c r="M246" s="97"/>
      <c r="N246" s="97"/>
      <c r="O246" s="97"/>
      <c r="P246" s="97"/>
      <c r="Q246" s="97"/>
      <c r="R246" s="97"/>
      <c r="S246" s="97"/>
      <c r="T246" s="97"/>
      <c r="U246" s="97"/>
    </row>
    <row r="247" spans="1:21">
      <c r="A247" s="126"/>
      <c r="B247" s="127"/>
      <c r="C247" s="97"/>
      <c r="D247" s="519"/>
      <c r="E247" s="96"/>
      <c r="F247" s="97"/>
      <c r="G247" s="97"/>
      <c r="H247" s="97"/>
      <c r="I247" s="97"/>
      <c r="J247" s="97"/>
      <c r="K247" s="97"/>
      <c r="L247" s="97"/>
      <c r="M247" s="97"/>
      <c r="N247" s="97"/>
      <c r="O247" s="97"/>
      <c r="P247" s="97"/>
      <c r="Q247" s="97"/>
      <c r="R247" s="97"/>
      <c r="S247" s="97"/>
      <c r="T247" s="97"/>
      <c r="U247" s="97"/>
    </row>
    <row r="248" spans="1:21">
      <c r="A248" s="126"/>
      <c r="B248" s="127"/>
      <c r="C248" s="97"/>
      <c r="D248" s="519"/>
      <c r="E248" s="96"/>
      <c r="F248" s="97"/>
      <c r="G248" s="97"/>
      <c r="H248" s="97"/>
      <c r="I248" s="97"/>
      <c r="J248" s="97"/>
      <c r="K248" s="97"/>
      <c r="L248" s="97"/>
      <c r="M248" s="97"/>
      <c r="N248" s="97"/>
      <c r="O248" s="97"/>
      <c r="P248" s="97"/>
      <c r="Q248" s="97"/>
      <c r="R248" s="97"/>
      <c r="S248" s="97"/>
      <c r="T248" s="97"/>
      <c r="U248" s="97"/>
    </row>
    <row r="249" spans="1:21">
      <c r="A249" s="126"/>
      <c r="B249" s="127"/>
      <c r="C249" s="97"/>
      <c r="D249" s="519"/>
      <c r="E249" s="96"/>
      <c r="F249" s="97"/>
      <c r="G249" s="97"/>
      <c r="H249" s="97"/>
      <c r="I249" s="97"/>
      <c r="J249" s="97"/>
      <c r="K249" s="97"/>
      <c r="L249" s="97"/>
      <c r="M249" s="97"/>
      <c r="N249" s="97"/>
      <c r="O249" s="97"/>
      <c r="P249" s="97"/>
      <c r="Q249" s="97"/>
      <c r="R249" s="97"/>
      <c r="S249" s="97"/>
      <c r="T249" s="97"/>
      <c r="U249" s="97"/>
    </row>
    <row r="250" spans="1:21">
      <c r="A250" s="126"/>
      <c r="B250" s="127"/>
      <c r="C250" s="97"/>
      <c r="D250" s="519"/>
      <c r="E250" s="96"/>
      <c r="F250" s="97"/>
      <c r="G250" s="97"/>
      <c r="H250" s="97"/>
      <c r="I250" s="97"/>
      <c r="J250" s="97"/>
      <c r="K250" s="97"/>
      <c r="L250" s="97"/>
      <c r="M250" s="97"/>
      <c r="N250" s="97"/>
      <c r="O250" s="97"/>
      <c r="P250" s="97"/>
      <c r="Q250" s="97"/>
      <c r="R250" s="97"/>
      <c r="S250" s="97"/>
      <c r="T250" s="97"/>
      <c r="U250" s="97"/>
    </row>
    <row r="251" spans="1:21">
      <c r="A251" s="126"/>
      <c r="B251" s="127"/>
      <c r="C251" s="97"/>
      <c r="D251" s="519"/>
      <c r="E251" s="96"/>
      <c r="F251" s="97"/>
      <c r="G251" s="97"/>
      <c r="H251" s="97"/>
      <c r="I251" s="97"/>
      <c r="J251" s="97"/>
      <c r="K251" s="97"/>
      <c r="L251" s="97"/>
      <c r="M251" s="97"/>
      <c r="N251" s="97"/>
      <c r="O251" s="97"/>
      <c r="P251" s="97"/>
      <c r="Q251" s="97"/>
      <c r="R251" s="97"/>
      <c r="S251" s="97"/>
      <c r="T251" s="97"/>
      <c r="U251" s="97"/>
    </row>
    <row r="252" spans="1:21">
      <c r="A252" s="126"/>
      <c r="B252" s="127"/>
      <c r="C252" s="97"/>
      <c r="D252" s="519"/>
      <c r="E252" s="96"/>
      <c r="F252" s="97"/>
      <c r="G252" s="97"/>
      <c r="H252" s="97"/>
      <c r="I252" s="97"/>
      <c r="J252" s="97"/>
      <c r="K252" s="97"/>
      <c r="L252" s="97"/>
      <c r="M252" s="97"/>
      <c r="N252" s="97"/>
      <c r="O252" s="97"/>
      <c r="P252" s="97"/>
      <c r="Q252" s="97"/>
      <c r="R252" s="97"/>
      <c r="S252" s="97"/>
      <c r="T252" s="97"/>
      <c r="U252" s="97"/>
    </row>
    <row r="253" spans="1:21">
      <c r="A253" s="126"/>
      <c r="B253" s="127"/>
      <c r="C253" s="97"/>
      <c r="D253" s="519"/>
      <c r="E253" s="96"/>
      <c r="F253" s="97"/>
      <c r="G253" s="97"/>
      <c r="H253" s="97"/>
      <c r="I253" s="97"/>
      <c r="J253" s="97"/>
      <c r="K253" s="97"/>
      <c r="L253" s="97"/>
      <c r="M253" s="97"/>
      <c r="N253" s="97"/>
      <c r="O253" s="97"/>
      <c r="P253" s="97"/>
      <c r="Q253" s="97"/>
      <c r="R253" s="97"/>
      <c r="S253" s="97"/>
      <c r="T253" s="97"/>
      <c r="U253" s="97"/>
    </row>
    <row r="254" spans="1:21">
      <c r="A254" s="126"/>
      <c r="B254" s="127"/>
      <c r="C254" s="97"/>
      <c r="D254" s="519"/>
      <c r="E254" s="96"/>
      <c r="F254" s="97"/>
      <c r="G254" s="97"/>
      <c r="H254" s="97"/>
      <c r="I254" s="97"/>
      <c r="J254" s="97"/>
      <c r="K254" s="97"/>
      <c r="L254" s="97"/>
      <c r="M254" s="97"/>
      <c r="N254" s="97"/>
      <c r="O254" s="97"/>
      <c r="P254" s="97"/>
      <c r="Q254" s="97"/>
      <c r="R254" s="97"/>
      <c r="S254" s="97"/>
      <c r="T254" s="97"/>
      <c r="U254" s="97"/>
    </row>
    <row r="255" spans="1:21">
      <c r="A255" s="126"/>
      <c r="B255" s="127"/>
      <c r="C255" s="97"/>
      <c r="D255" s="519"/>
      <c r="E255" s="96"/>
      <c r="F255" s="97"/>
      <c r="G255" s="97"/>
      <c r="H255" s="97"/>
      <c r="I255" s="97"/>
      <c r="J255" s="97"/>
      <c r="K255" s="97"/>
      <c r="L255" s="97"/>
      <c r="M255" s="97"/>
      <c r="N255" s="97"/>
      <c r="O255" s="97"/>
      <c r="P255" s="97"/>
      <c r="Q255" s="97"/>
      <c r="R255" s="97"/>
      <c r="S255" s="97"/>
      <c r="T255" s="97"/>
      <c r="U255" s="97"/>
    </row>
    <row r="256" spans="1:21">
      <c r="A256" s="126"/>
      <c r="B256" s="127"/>
      <c r="C256" s="97"/>
      <c r="D256" s="519"/>
      <c r="E256" s="96"/>
      <c r="F256" s="97"/>
      <c r="G256" s="97"/>
      <c r="H256" s="97"/>
      <c r="I256" s="97"/>
      <c r="J256" s="97"/>
      <c r="K256" s="97"/>
      <c r="L256" s="97"/>
      <c r="M256" s="97"/>
      <c r="N256" s="97"/>
      <c r="O256" s="97"/>
      <c r="P256" s="97"/>
      <c r="Q256" s="97"/>
      <c r="R256" s="97"/>
      <c r="S256" s="97"/>
      <c r="T256" s="97"/>
      <c r="U256" s="97"/>
    </row>
    <row r="257" spans="1:21">
      <c r="A257" s="126"/>
      <c r="B257" s="127"/>
      <c r="C257" s="97"/>
      <c r="D257" s="519"/>
      <c r="E257" s="96"/>
      <c r="F257" s="97"/>
      <c r="G257" s="97"/>
      <c r="H257" s="97"/>
      <c r="I257" s="97"/>
      <c r="J257" s="97"/>
      <c r="K257" s="97"/>
      <c r="L257" s="97"/>
      <c r="M257" s="97"/>
      <c r="N257" s="97"/>
      <c r="O257" s="97"/>
      <c r="P257" s="97"/>
      <c r="Q257" s="97"/>
      <c r="R257" s="97"/>
      <c r="S257" s="97"/>
      <c r="T257" s="97"/>
      <c r="U257" s="97"/>
    </row>
    <row r="258" spans="1:21">
      <c r="A258" s="126"/>
      <c r="B258" s="127"/>
      <c r="C258" s="97"/>
      <c r="D258" s="519"/>
      <c r="E258" s="96"/>
      <c r="F258" s="97"/>
      <c r="G258" s="97"/>
      <c r="H258" s="97"/>
      <c r="I258" s="97"/>
      <c r="J258" s="97"/>
      <c r="K258" s="97"/>
      <c r="L258" s="97"/>
      <c r="M258" s="97"/>
      <c r="N258" s="97"/>
      <c r="O258" s="97"/>
      <c r="P258" s="97"/>
      <c r="Q258" s="97"/>
      <c r="R258" s="97"/>
      <c r="S258" s="97"/>
      <c r="T258" s="97"/>
      <c r="U258" s="97"/>
    </row>
    <row r="259" spans="1:21">
      <c r="A259" s="126"/>
      <c r="B259" s="127"/>
      <c r="C259" s="97"/>
      <c r="D259" s="519"/>
      <c r="E259" s="96"/>
      <c r="F259" s="97"/>
      <c r="G259" s="97"/>
      <c r="H259" s="97"/>
      <c r="I259" s="97"/>
      <c r="J259" s="97"/>
      <c r="K259" s="97"/>
      <c r="L259" s="97"/>
      <c r="M259" s="97"/>
      <c r="N259" s="97"/>
      <c r="O259" s="97"/>
      <c r="P259" s="97"/>
      <c r="Q259" s="97"/>
      <c r="R259" s="97"/>
      <c r="S259" s="97"/>
      <c r="T259" s="97"/>
      <c r="U259" s="97"/>
    </row>
    <row r="260" spans="1:21">
      <c r="A260" s="126"/>
      <c r="B260" s="127"/>
      <c r="C260" s="97"/>
      <c r="D260" s="519"/>
      <c r="E260" s="96"/>
      <c r="F260" s="97"/>
      <c r="G260" s="97"/>
      <c r="H260" s="97"/>
      <c r="I260" s="97"/>
      <c r="J260" s="97"/>
      <c r="K260" s="97"/>
      <c r="L260" s="97"/>
      <c r="M260" s="97"/>
      <c r="N260" s="97"/>
      <c r="O260" s="97"/>
      <c r="P260" s="97"/>
      <c r="Q260" s="97"/>
      <c r="R260" s="97"/>
      <c r="S260" s="97"/>
      <c r="T260" s="97"/>
      <c r="U260" s="97"/>
    </row>
    <row r="261" spans="1:21">
      <c r="A261" s="126"/>
      <c r="B261" s="127"/>
      <c r="C261" s="97"/>
      <c r="D261" s="519"/>
      <c r="E261" s="96"/>
      <c r="F261" s="97"/>
      <c r="G261" s="97"/>
      <c r="H261" s="97"/>
      <c r="I261" s="97"/>
      <c r="J261" s="97"/>
      <c r="K261" s="97"/>
      <c r="L261" s="97"/>
      <c r="M261" s="97"/>
      <c r="N261" s="97"/>
      <c r="O261" s="97"/>
      <c r="P261" s="97"/>
      <c r="Q261" s="97"/>
      <c r="R261" s="97"/>
      <c r="S261" s="97"/>
      <c r="T261" s="97"/>
      <c r="U261" s="97"/>
    </row>
    <row r="262" spans="1:21">
      <c r="A262" s="126"/>
      <c r="B262" s="127"/>
      <c r="C262" s="97"/>
      <c r="D262" s="519"/>
      <c r="E262" s="96"/>
      <c r="F262" s="97"/>
      <c r="G262" s="97"/>
      <c r="H262" s="97"/>
      <c r="I262" s="97"/>
      <c r="J262" s="97"/>
      <c r="K262" s="97"/>
      <c r="L262" s="97"/>
      <c r="M262" s="97"/>
      <c r="N262" s="97"/>
      <c r="O262" s="97"/>
      <c r="P262" s="97"/>
      <c r="Q262" s="97"/>
      <c r="R262" s="97"/>
      <c r="S262" s="97"/>
      <c r="T262" s="97"/>
      <c r="U262" s="97"/>
    </row>
    <row r="263" spans="1:21">
      <c r="A263" s="126"/>
      <c r="B263" s="127"/>
      <c r="C263" s="97"/>
      <c r="D263" s="519"/>
      <c r="E263" s="96"/>
      <c r="F263" s="97"/>
      <c r="G263" s="97"/>
      <c r="H263" s="97"/>
      <c r="I263" s="97"/>
      <c r="J263" s="97"/>
      <c r="K263" s="97"/>
      <c r="L263" s="97"/>
      <c r="M263" s="97"/>
      <c r="N263" s="97"/>
      <c r="O263" s="97"/>
      <c r="P263" s="97"/>
      <c r="Q263" s="97"/>
      <c r="R263" s="97"/>
      <c r="S263" s="97"/>
      <c r="T263" s="97"/>
      <c r="U263" s="97"/>
    </row>
    <row r="264" spans="1:21">
      <c r="A264" s="126"/>
      <c r="B264" s="127"/>
      <c r="C264" s="97"/>
      <c r="D264" s="519"/>
      <c r="E264" s="96"/>
      <c r="F264" s="97"/>
      <c r="G264" s="97"/>
      <c r="H264" s="97"/>
      <c r="I264" s="97"/>
      <c r="J264" s="97"/>
      <c r="K264" s="97"/>
      <c r="L264" s="97"/>
      <c r="M264" s="97"/>
      <c r="N264" s="97"/>
      <c r="O264" s="97"/>
      <c r="P264" s="97"/>
      <c r="Q264" s="97"/>
      <c r="R264" s="97"/>
      <c r="S264" s="97"/>
      <c r="T264" s="97"/>
      <c r="U264" s="97"/>
    </row>
    <row r="265" spans="1:21">
      <c r="A265" s="126"/>
      <c r="B265" s="127"/>
      <c r="C265" s="97"/>
      <c r="D265" s="519"/>
      <c r="E265" s="96"/>
      <c r="F265" s="97"/>
      <c r="G265" s="97"/>
      <c r="H265" s="97"/>
      <c r="I265" s="97"/>
      <c r="J265" s="97"/>
      <c r="K265" s="97"/>
      <c r="L265" s="97"/>
      <c r="M265" s="97"/>
      <c r="N265" s="97"/>
      <c r="O265" s="97"/>
      <c r="P265" s="97"/>
      <c r="Q265" s="97"/>
      <c r="R265" s="97"/>
      <c r="S265" s="97"/>
      <c r="T265" s="97"/>
      <c r="U265" s="97"/>
    </row>
    <row r="266" spans="1:21">
      <c r="A266" s="126"/>
      <c r="B266" s="127"/>
      <c r="C266" s="97"/>
      <c r="D266" s="519"/>
      <c r="E266" s="96"/>
      <c r="F266" s="97"/>
      <c r="G266" s="97"/>
      <c r="H266" s="97"/>
      <c r="I266" s="97"/>
      <c r="J266" s="97"/>
      <c r="K266" s="97"/>
      <c r="L266" s="97"/>
      <c r="M266" s="97"/>
      <c r="N266" s="97"/>
      <c r="O266" s="97"/>
      <c r="P266" s="97"/>
      <c r="Q266" s="97"/>
      <c r="R266" s="97"/>
      <c r="S266" s="97"/>
      <c r="T266" s="97"/>
      <c r="U266" s="97"/>
    </row>
    <row r="267" spans="1:21">
      <c r="A267" s="126"/>
      <c r="B267" s="127"/>
      <c r="C267" s="97"/>
      <c r="D267" s="519"/>
      <c r="E267" s="96"/>
      <c r="F267" s="97"/>
      <c r="G267" s="97"/>
      <c r="H267" s="97"/>
      <c r="I267" s="97"/>
      <c r="J267" s="97"/>
      <c r="K267" s="97"/>
      <c r="L267" s="97"/>
      <c r="M267" s="97"/>
      <c r="N267" s="97"/>
      <c r="O267" s="97"/>
      <c r="P267" s="97"/>
      <c r="Q267" s="97"/>
      <c r="R267" s="97"/>
      <c r="S267" s="97"/>
      <c r="T267" s="97"/>
      <c r="U267" s="97"/>
    </row>
    <row r="268" spans="1:21">
      <c r="A268" s="126"/>
      <c r="B268" s="127"/>
      <c r="C268" s="97"/>
      <c r="D268" s="519"/>
      <c r="E268" s="96"/>
      <c r="F268" s="97"/>
      <c r="G268" s="97"/>
      <c r="H268" s="97"/>
      <c r="I268" s="97"/>
      <c r="J268" s="97"/>
      <c r="K268" s="97"/>
      <c r="L268" s="97"/>
      <c r="M268" s="97"/>
      <c r="N268" s="97"/>
      <c r="O268" s="97"/>
      <c r="P268" s="97"/>
      <c r="Q268" s="97"/>
      <c r="R268" s="97"/>
      <c r="S268" s="97"/>
      <c r="T268" s="97"/>
      <c r="U268" s="97"/>
    </row>
    <row r="269" spans="1:21">
      <c r="A269" s="126"/>
      <c r="B269" s="127"/>
      <c r="C269" s="97"/>
      <c r="D269" s="519"/>
      <c r="E269" s="96"/>
      <c r="F269" s="97"/>
      <c r="G269" s="97"/>
      <c r="H269" s="97"/>
      <c r="I269" s="97"/>
      <c r="J269" s="97"/>
      <c r="K269" s="97"/>
      <c r="L269" s="97"/>
      <c r="M269" s="97"/>
      <c r="N269" s="97"/>
      <c r="O269" s="97"/>
      <c r="P269" s="97"/>
      <c r="Q269" s="97"/>
      <c r="R269" s="97"/>
      <c r="S269" s="97"/>
      <c r="T269" s="97"/>
      <c r="U269" s="97"/>
    </row>
    <row r="270" spans="1:21">
      <c r="A270" s="126"/>
      <c r="B270" s="127"/>
      <c r="C270" s="97"/>
      <c r="D270" s="519"/>
      <c r="E270" s="96"/>
      <c r="F270" s="97"/>
      <c r="G270" s="97"/>
      <c r="H270" s="97"/>
      <c r="I270" s="97"/>
      <c r="J270" s="97"/>
      <c r="K270" s="97"/>
      <c r="L270" s="97"/>
      <c r="M270" s="97"/>
      <c r="N270" s="97"/>
      <c r="O270" s="97"/>
      <c r="P270" s="97"/>
      <c r="Q270" s="97"/>
      <c r="R270" s="97"/>
      <c r="S270" s="97"/>
      <c r="T270" s="97"/>
      <c r="U270" s="97"/>
    </row>
    <row r="271" spans="1:21">
      <c r="A271" s="126"/>
      <c r="B271" s="127"/>
      <c r="C271" s="97"/>
      <c r="D271" s="519"/>
      <c r="E271" s="96"/>
      <c r="F271" s="97"/>
      <c r="G271" s="97"/>
      <c r="H271" s="97"/>
      <c r="I271" s="97"/>
      <c r="J271" s="97"/>
      <c r="K271" s="97"/>
      <c r="L271" s="97"/>
      <c r="M271" s="97"/>
      <c r="N271" s="97"/>
      <c r="O271" s="97"/>
      <c r="P271" s="97"/>
      <c r="Q271" s="97"/>
      <c r="R271" s="97"/>
      <c r="S271" s="97"/>
      <c r="T271" s="97"/>
      <c r="U271" s="97"/>
    </row>
    <row r="272" spans="1:21">
      <c r="A272" s="126"/>
      <c r="B272" s="127"/>
      <c r="C272" s="97"/>
      <c r="D272" s="519"/>
      <c r="E272" s="96"/>
      <c r="F272" s="97"/>
      <c r="G272" s="97"/>
      <c r="H272" s="97"/>
      <c r="I272" s="97"/>
      <c r="J272" s="97"/>
      <c r="K272" s="97"/>
      <c r="L272" s="97"/>
      <c r="M272" s="97"/>
      <c r="N272" s="97"/>
      <c r="O272" s="97"/>
      <c r="P272" s="97"/>
      <c r="Q272" s="97"/>
      <c r="R272" s="97"/>
      <c r="S272" s="97"/>
      <c r="T272" s="97"/>
      <c r="U272" s="97"/>
    </row>
    <row r="273" spans="1:21">
      <c r="A273" s="126"/>
      <c r="B273" s="127"/>
      <c r="C273" s="97"/>
      <c r="D273" s="519"/>
      <c r="E273" s="96"/>
      <c r="F273" s="97"/>
      <c r="G273" s="97"/>
      <c r="H273" s="97"/>
      <c r="I273" s="97"/>
      <c r="J273" s="97"/>
      <c r="K273" s="97"/>
      <c r="L273" s="97"/>
      <c r="M273" s="97"/>
      <c r="N273" s="97"/>
      <c r="O273" s="97"/>
      <c r="P273" s="97"/>
      <c r="Q273" s="97"/>
      <c r="R273" s="97"/>
      <c r="S273" s="97"/>
      <c r="T273" s="97"/>
      <c r="U273" s="97"/>
    </row>
    <row r="274" spans="1:21">
      <c r="A274" s="126"/>
      <c r="B274" s="127"/>
      <c r="C274" s="97"/>
      <c r="D274" s="519"/>
      <c r="E274" s="96"/>
      <c r="F274" s="97"/>
      <c r="G274" s="97"/>
      <c r="H274" s="97"/>
      <c r="I274" s="97"/>
      <c r="J274" s="97"/>
      <c r="K274" s="97"/>
      <c r="L274" s="97"/>
      <c r="M274" s="97"/>
      <c r="N274" s="97"/>
      <c r="O274" s="97"/>
      <c r="P274" s="97"/>
      <c r="Q274" s="97"/>
      <c r="R274" s="97"/>
      <c r="S274" s="97"/>
      <c r="T274" s="97"/>
      <c r="U274" s="97"/>
    </row>
    <row r="275" spans="1:21">
      <c r="A275" s="126"/>
      <c r="B275" s="127"/>
      <c r="C275" s="97"/>
      <c r="D275" s="519"/>
      <c r="E275" s="96"/>
      <c r="F275" s="97"/>
      <c r="G275" s="97"/>
      <c r="H275" s="97"/>
      <c r="I275" s="97"/>
      <c r="J275" s="97"/>
      <c r="K275" s="97"/>
      <c r="L275" s="97"/>
      <c r="M275" s="97"/>
      <c r="N275" s="97"/>
      <c r="O275" s="97"/>
      <c r="P275" s="97"/>
      <c r="Q275" s="97"/>
      <c r="R275" s="97"/>
      <c r="S275" s="97"/>
      <c r="T275" s="97"/>
      <c r="U275" s="97"/>
    </row>
    <row r="276" spans="1:21">
      <c r="A276" s="126"/>
      <c r="B276" s="127"/>
      <c r="C276" s="97"/>
      <c r="D276" s="519"/>
      <c r="E276" s="96"/>
      <c r="F276" s="97"/>
      <c r="G276" s="97"/>
      <c r="H276" s="97"/>
      <c r="I276" s="97"/>
      <c r="J276" s="97"/>
      <c r="K276" s="97"/>
      <c r="L276" s="97"/>
      <c r="M276" s="97"/>
      <c r="N276" s="97"/>
      <c r="O276" s="97"/>
      <c r="P276" s="97"/>
      <c r="Q276" s="97"/>
      <c r="R276" s="97"/>
      <c r="S276" s="97"/>
      <c r="T276" s="97"/>
      <c r="U276" s="97"/>
    </row>
    <row r="277" spans="1:21">
      <c r="A277" s="126"/>
      <c r="B277" s="127"/>
      <c r="C277" s="97"/>
      <c r="D277" s="519"/>
      <c r="E277" s="96"/>
      <c r="F277" s="97"/>
      <c r="G277" s="97"/>
      <c r="H277" s="97"/>
      <c r="I277" s="97"/>
      <c r="J277" s="97"/>
      <c r="K277" s="97"/>
      <c r="L277" s="97"/>
      <c r="M277" s="97"/>
      <c r="N277" s="97"/>
      <c r="O277" s="97"/>
      <c r="P277" s="97"/>
      <c r="Q277" s="97"/>
      <c r="R277" s="97"/>
      <c r="S277" s="97"/>
      <c r="T277" s="97"/>
      <c r="U277" s="97"/>
    </row>
    <row r="278" spans="1:21">
      <c r="A278" s="126"/>
      <c r="B278" s="127"/>
      <c r="C278" s="97"/>
      <c r="D278" s="519"/>
      <c r="E278" s="96"/>
      <c r="F278" s="97"/>
      <c r="G278" s="97"/>
      <c r="H278" s="97"/>
      <c r="I278" s="97"/>
      <c r="J278" s="97"/>
      <c r="K278" s="97"/>
      <c r="L278" s="97"/>
      <c r="M278" s="97"/>
      <c r="N278" s="97"/>
      <c r="O278" s="97"/>
      <c r="P278" s="97"/>
      <c r="Q278" s="97"/>
      <c r="R278" s="97"/>
      <c r="S278" s="97"/>
      <c r="T278" s="97"/>
      <c r="U278" s="97"/>
    </row>
    <row r="279" spans="1:21">
      <c r="A279" s="126"/>
      <c r="B279" s="127"/>
      <c r="C279" s="97"/>
      <c r="D279" s="519"/>
      <c r="E279" s="96"/>
      <c r="F279" s="97"/>
      <c r="G279" s="97"/>
      <c r="H279" s="97"/>
      <c r="I279" s="97"/>
      <c r="J279" s="97"/>
      <c r="K279" s="97"/>
      <c r="L279" s="97"/>
      <c r="M279" s="97"/>
      <c r="N279" s="97"/>
      <c r="O279" s="97"/>
      <c r="P279" s="97"/>
      <c r="Q279" s="97"/>
      <c r="R279" s="97"/>
      <c r="S279" s="97"/>
      <c r="T279" s="97"/>
      <c r="U279" s="97"/>
    </row>
    <row r="280" spans="1:21">
      <c r="A280" s="126"/>
      <c r="B280" s="127"/>
      <c r="C280" s="97"/>
      <c r="D280" s="519"/>
      <c r="E280" s="96"/>
      <c r="F280" s="97"/>
      <c r="G280" s="97"/>
      <c r="H280" s="97"/>
      <c r="I280" s="97"/>
      <c r="J280" s="97"/>
      <c r="K280" s="97"/>
      <c r="L280" s="97"/>
      <c r="M280" s="97"/>
      <c r="N280" s="97"/>
      <c r="O280" s="97"/>
      <c r="P280" s="97"/>
      <c r="Q280" s="97"/>
      <c r="R280" s="97"/>
      <c r="S280" s="97"/>
      <c r="T280" s="97"/>
      <c r="U280" s="97"/>
    </row>
    <row r="281" spans="1:21">
      <c r="A281" s="126"/>
      <c r="B281" s="127"/>
      <c r="C281" s="97"/>
      <c r="D281" s="519"/>
      <c r="E281" s="96"/>
      <c r="F281" s="97"/>
      <c r="G281" s="97"/>
      <c r="H281" s="97"/>
      <c r="I281" s="97"/>
      <c r="J281" s="97"/>
      <c r="K281" s="97"/>
      <c r="L281" s="97"/>
      <c r="M281" s="97"/>
      <c r="N281" s="97"/>
      <c r="O281" s="97"/>
      <c r="P281" s="97"/>
      <c r="Q281" s="97"/>
      <c r="R281" s="97"/>
      <c r="S281" s="97"/>
      <c r="T281" s="97"/>
      <c r="U281" s="97"/>
    </row>
    <row r="282" spans="1:21">
      <c r="A282" s="126"/>
      <c r="B282" s="127"/>
      <c r="C282" s="97"/>
      <c r="D282" s="519"/>
      <c r="E282" s="96"/>
      <c r="F282" s="97"/>
      <c r="G282" s="97"/>
      <c r="H282" s="97"/>
      <c r="I282" s="97"/>
      <c r="J282" s="97"/>
      <c r="K282" s="97"/>
      <c r="L282" s="97"/>
      <c r="M282" s="97"/>
      <c r="N282" s="97"/>
      <c r="O282" s="97"/>
      <c r="P282" s="97"/>
      <c r="Q282" s="97"/>
      <c r="R282" s="97"/>
      <c r="S282" s="97"/>
      <c r="T282" s="97"/>
      <c r="U282" s="97"/>
    </row>
    <row r="283" spans="1:21">
      <c r="A283" s="126"/>
      <c r="B283" s="127"/>
      <c r="C283" s="97"/>
      <c r="D283" s="519"/>
      <c r="E283" s="96"/>
      <c r="F283" s="97"/>
      <c r="G283" s="97"/>
      <c r="H283" s="97"/>
      <c r="I283" s="97"/>
      <c r="J283" s="97"/>
      <c r="K283" s="97"/>
      <c r="L283" s="97"/>
      <c r="M283" s="97"/>
      <c r="N283" s="97"/>
      <c r="O283" s="97"/>
      <c r="P283" s="97"/>
      <c r="Q283" s="97"/>
      <c r="R283" s="97"/>
      <c r="S283" s="97"/>
      <c r="T283" s="97"/>
      <c r="U283" s="97"/>
    </row>
    <row r="284" spans="1:21">
      <c r="A284" s="126"/>
      <c r="B284" s="127"/>
      <c r="C284" s="97"/>
      <c r="D284" s="519"/>
      <c r="E284" s="96"/>
      <c r="F284" s="97"/>
      <c r="G284" s="97"/>
      <c r="H284" s="97"/>
      <c r="I284" s="97"/>
      <c r="J284" s="97"/>
      <c r="K284" s="97"/>
      <c r="L284" s="97"/>
      <c r="M284" s="97"/>
      <c r="N284" s="97"/>
      <c r="O284" s="97"/>
      <c r="P284" s="97"/>
      <c r="Q284" s="97"/>
      <c r="R284" s="97"/>
      <c r="S284" s="97"/>
      <c r="T284" s="97"/>
      <c r="U284" s="97"/>
    </row>
    <row r="285" spans="1:21">
      <c r="A285" s="126"/>
      <c r="B285" s="127"/>
      <c r="C285" s="97"/>
      <c r="D285" s="519"/>
      <c r="E285" s="96"/>
      <c r="F285" s="97"/>
      <c r="G285" s="97"/>
      <c r="H285" s="97"/>
      <c r="I285" s="97"/>
      <c r="J285" s="97"/>
      <c r="K285" s="97"/>
      <c r="L285" s="97"/>
      <c r="M285" s="97"/>
      <c r="N285" s="97"/>
      <c r="O285" s="97"/>
      <c r="P285" s="97"/>
      <c r="Q285" s="97"/>
      <c r="R285" s="97"/>
      <c r="S285" s="97"/>
      <c r="T285" s="97"/>
      <c r="U285" s="97"/>
    </row>
    <row r="286" spans="1:21">
      <c r="A286" s="126"/>
      <c r="B286" s="127"/>
      <c r="C286" s="97"/>
      <c r="D286" s="519"/>
      <c r="E286" s="96"/>
      <c r="F286" s="97"/>
      <c r="G286" s="97"/>
      <c r="H286" s="97"/>
      <c r="I286" s="97"/>
      <c r="J286" s="97"/>
      <c r="K286" s="97"/>
      <c r="L286" s="97"/>
      <c r="M286" s="97"/>
      <c r="N286" s="97"/>
      <c r="O286" s="97"/>
      <c r="P286" s="97"/>
      <c r="Q286" s="97"/>
      <c r="R286" s="97"/>
      <c r="S286" s="97"/>
      <c r="T286" s="97"/>
      <c r="U286" s="97"/>
    </row>
    <row r="287" spans="1:21">
      <c r="A287" s="126"/>
      <c r="B287" s="127"/>
      <c r="C287" s="97"/>
      <c r="D287" s="519"/>
      <c r="E287" s="96"/>
      <c r="F287" s="97"/>
      <c r="G287" s="97"/>
      <c r="H287" s="97"/>
      <c r="I287" s="97"/>
      <c r="J287" s="97"/>
      <c r="K287" s="97"/>
      <c r="L287" s="97"/>
      <c r="M287" s="97"/>
      <c r="N287" s="97"/>
      <c r="O287" s="97"/>
      <c r="P287" s="97"/>
      <c r="Q287" s="97"/>
      <c r="R287" s="97"/>
      <c r="S287" s="97"/>
      <c r="T287" s="97"/>
      <c r="U287" s="97"/>
    </row>
    <row r="288" spans="1:21">
      <c r="A288" s="126"/>
      <c r="B288" s="127"/>
      <c r="C288" s="97"/>
      <c r="D288" s="519"/>
      <c r="E288" s="96"/>
      <c r="F288" s="97"/>
      <c r="G288" s="97"/>
      <c r="H288" s="97"/>
      <c r="I288" s="97"/>
      <c r="J288" s="97"/>
      <c r="K288" s="97"/>
      <c r="L288" s="97"/>
      <c r="M288" s="97"/>
      <c r="N288" s="97"/>
      <c r="O288" s="97"/>
      <c r="P288" s="97"/>
      <c r="Q288" s="97"/>
      <c r="R288" s="97"/>
      <c r="S288" s="97"/>
      <c r="T288" s="97"/>
      <c r="U288" s="97"/>
    </row>
    <row r="289" spans="1:21">
      <c r="A289" s="126"/>
      <c r="B289" s="127"/>
      <c r="C289" s="97"/>
      <c r="D289" s="519"/>
      <c r="E289" s="96"/>
      <c r="F289" s="97"/>
      <c r="G289" s="97"/>
      <c r="H289" s="97"/>
      <c r="I289" s="97"/>
      <c r="J289" s="97"/>
      <c r="K289" s="97"/>
      <c r="L289" s="97"/>
      <c r="M289" s="97"/>
      <c r="N289" s="97"/>
      <c r="O289" s="97"/>
      <c r="P289" s="97"/>
      <c r="Q289" s="97"/>
      <c r="R289" s="97"/>
      <c r="S289" s="97"/>
      <c r="T289" s="97"/>
      <c r="U289" s="97"/>
    </row>
    <row r="290" spans="1:21">
      <c r="A290" s="126"/>
      <c r="B290" s="127"/>
      <c r="C290" s="97"/>
      <c r="D290" s="519"/>
      <c r="E290" s="96"/>
      <c r="F290" s="97"/>
      <c r="G290" s="97"/>
      <c r="H290" s="97"/>
      <c r="I290" s="97"/>
      <c r="J290" s="97"/>
      <c r="K290" s="97"/>
      <c r="L290" s="97"/>
      <c r="M290" s="97"/>
      <c r="N290" s="97"/>
      <c r="O290" s="97"/>
      <c r="P290" s="97"/>
      <c r="Q290" s="97"/>
      <c r="R290" s="97"/>
      <c r="S290" s="97"/>
      <c r="T290" s="97"/>
      <c r="U290" s="97"/>
    </row>
    <row r="291" spans="1:21">
      <c r="A291" s="126"/>
      <c r="B291" s="127"/>
      <c r="C291" s="97"/>
      <c r="D291" s="519"/>
      <c r="E291" s="96"/>
      <c r="F291" s="97"/>
      <c r="G291" s="97"/>
      <c r="H291" s="97"/>
      <c r="I291" s="97"/>
      <c r="J291" s="97"/>
      <c r="K291" s="97"/>
      <c r="L291" s="97"/>
      <c r="M291" s="97"/>
      <c r="N291" s="97"/>
      <c r="O291" s="97"/>
      <c r="P291" s="97"/>
      <c r="Q291" s="97"/>
      <c r="R291" s="97"/>
      <c r="S291" s="97"/>
      <c r="T291" s="97"/>
      <c r="U291" s="97"/>
    </row>
    <row r="292" spans="1:21">
      <c r="A292" s="126"/>
      <c r="B292" s="127"/>
      <c r="C292" s="97"/>
      <c r="D292" s="519"/>
      <c r="E292" s="96"/>
      <c r="F292" s="97"/>
      <c r="G292" s="97"/>
      <c r="H292" s="97"/>
      <c r="I292" s="97"/>
      <c r="J292" s="97"/>
      <c r="K292" s="97"/>
      <c r="L292" s="97"/>
      <c r="M292" s="97"/>
      <c r="N292" s="97"/>
      <c r="O292" s="97"/>
      <c r="P292" s="97"/>
      <c r="Q292" s="97"/>
      <c r="R292" s="97"/>
      <c r="S292" s="97"/>
      <c r="T292" s="97"/>
      <c r="U292" s="97"/>
    </row>
    <row r="293" spans="1:21">
      <c r="A293" s="126"/>
      <c r="B293" s="127"/>
      <c r="C293" s="97"/>
      <c r="D293" s="519"/>
      <c r="E293" s="96"/>
      <c r="F293" s="97"/>
      <c r="G293" s="97"/>
      <c r="H293" s="97"/>
      <c r="I293" s="97"/>
      <c r="J293" s="97"/>
      <c r="K293" s="97"/>
      <c r="L293" s="97"/>
      <c r="M293" s="97"/>
      <c r="N293" s="97"/>
      <c r="O293" s="97"/>
      <c r="P293" s="97"/>
      <c r="Q293" s="97"/>
      <c r="R293" s="97"/>
      <c r="S293" s="97"/>
      <c r="T293" s="97"/>
      <c r="U293" s="97"/>
    </row>
    <row r="294" spans="1:21">
      <c r="A294" s="126"/>
      <c r="B294" s="127"/>
      <c r="C294" s="97"/>
      <c r="D294" s="519"/>
      <c r="E294" s="96"/>
      <c r="F294" s="97"/>
      <c r="G294" s="97"/>
      <c r="H294" s="97"/>
      <c r="I294" s="97"/>
      <c r="J294" s="97"/>
      <c r="K294" s="97"/>
      <c r="L294" s="97"/>
      <c r="M294" s="97"/>
      <c r="N294" s="97"/>
      <c r="O294" s="97"/>
      <c r="P294" s="97"/>
      <c r="Q294" s="97"/>
      <c r="R294" s="97"/>
      <c r="S294" s="97"/>
      <c r="T294" s="97"/>
      <c r="U294" s="97"/>
    </row>
    <row r="295" spans="1:21">
      <c r="A295" s="126"/>
      <c r="B295" s="127"/>
      <c r="C295" s="97"/>
      <c r="D295" s="519"/>
      <c r="E295" s="96"/>
      <c r="F295" s="97"/>
      <c r="G295" s="97"/>
      <c r="H295" s="97"/>
      <c r="I295" s="97"/>
      <c r="J295" s="97"/>
      <c r="K295" s="97"/>
      <c r="L295" s="97"/>
      <c r="M295" s="97"/>
      <c r="N295" s="97"/>
      <c r="O295" s="97"/>
      <c r="P295" s="97"/>
      <c r="Q295" s="97"/>
      <c r="R295" s="97"/>
      <c r="S295" s="97"/>
      <c r="T295" s="97"/>
      <c r="U295" s="97"/>
    </row>
    <row r="296" spans="1:21">
      <c r="A296" s="126"/>
      <c r="B296" s="127"/>
      <c r="C296" s="97"/>
      <c r="D296" s="519"/>
      <c r="E296" s="96"/>
      <c r="F296" s="97"/>
      <c r="G296" s="97"/>
      <c r="H296" s="97"/>
      <c r="I296" s="97"/>
      <c r="J296" s="97"/>
      <c r="K296" s="97"/>
      <c r="L296" s="97"/>
      <c r="M296" s="97"/>
      <c r="N296" s="97"/>
      <c r="O296" s="97"/>
      <c r="P296" s="97"/>
      <c r="Q296" s="97"/>
      <c r="R296" s="97"/>
      <c r="S296" s="97"/>
      <c r="T296" s="97"/>
      <c r="U296" s="97"/>
    </row>
    <row r="297" spans="1:21">
      <c r="A297" s="126"/>
      <c r="B297" s="127"/>
      <c r="C297" s="97"/>
      <c r="D297" s="519"/>
      <c r="E297" s="96"/>
      <c r="F297" s="97"/>
      <c r="G297" s="97"/>
      <c r="H297" s="97"/>
      <c r="I297" s="97"/>
      <c r="J297" s="97"/>
      <c r="K297" s="97"/>
      <c r="L297" s="97"/>
      <c r="M297" s="97"/>
      <c r="N297" s="97"/>
      <c r="O297" s="97"/>
      <c r="P297" s="97"/>
      <c r="Q297" s="97"/>
      <c r="R297" s="97"/>
      <c r="S297" s="97"/>
      <c r="T297" s="97"/>
      <c r="U297" s="97"/>
    </row>
    <row r="298" spans="1:21">
      <c r="A298" s="126"/>
      <c r="B298" s="127"/>
      <c r="C298" s="97"/>
      <c r="D298" s="519"/>
      <c r="E298" s="96"/>
      <c r="F298" s="97"/>
      <c r="G298" s="97"/>
      <c r="H298" s="97"/>
      <c r="I298" s="97"/>
      <c r="J298" s="97"/>
      <c r="K298" s="97"/>
      <c r="L298" s="97"/>
      <c r="M298" s="97"/>
      <c r="N298" s="97"/>
      <c r="O298" s="97"/>
      <c r="P298" s="97"/>
      <c r="Q298" s="97"/>
      <c r="R298" s="97"/>
      <c r="S298" s="97"/>
      <c r="T298" s="97"/>
      <c r="U298" s="97"/>
    </row>
    <row r="299" spans="1:21">
      <c r="A299" s="126"/>
      <c r="B299" s="127"/>
      <c r="C299" s="97"/>
      <c r="D299" s="519"/>
      <c r="E299" s="96"/>
      <c r="F299" s="97"/>
      <c r="G299" s="97"/>
      <c r="H299" s="97"/>
      <c r="I299" s="97"/>
      <c r="J299" s="97"/>
      <c r="K299" s="97"/>
      <c r="L299" s="97"/>
      <c r="M299" s="97"/>
      <c r="N299" s="97"/>
      <c r="O299" s="97"/>
      <c r="P299" s="97"/>
      <c r="Q299" s="97"/>
      <c r="R299" s="97"/>
      <c r="S299" s="97"/>
      <c r="T299" s="97"/>
      <c r="U299" s="97"/>
    </row>
    <row r="300" spans="1:21">
      <c r="A300" s="126"/>
      <c r="B300" s="127"/>
      <c r="C300" s="97"/>
      <c r="D300" s="519"/>
      <c r="E300" s="96"/>
      <c r="F300" s="97"/>
      <c r="G300" s="97"/>
      <c r="H300" s="97"/>
      <c r="I300" s="97"/>
      <c r="J300" s="97"/>
      <c r="K300" s="97"/>
      <c r="L300" s="97"/>
      <c r="M300" s="97"/>
      <c r="N300" s="97"/>
      <c r="O300" s="97"/>
      <c r="P300" s="97"/>
      <c r="Q300" s="97"/>
      <c r="R300" s="97"/>
      <c r="S300" s="97"/>
      <c r="T300" s="97"/>
      <c r="U300" s="97"/>
    </row>
    <row r="301" spans="1:21">
      <c r="A301" s="126"/>
      <c r="B301" s="127"/>
      <c r="C301" s="97"/>
      <c r="D301" s="519"/>
      <c r="E301" s="96"/>
      <c r="F301" s="97"/>
      <c r="G301" s="97"/>
      <c r="H301" s="97"/>
      <c r="I301" s="97"/>
      <c r="J301" s="97"/>
      <c r="K301" s="97"/>
      <c r="L301" s="97"/>
      <c r="M301" s="97"/>
      <c r="N301" s="97"/>
      <c r="O301" s="97"/>
      <c r="P301" s="97"/>
      <c r="Q301" s="97"/>
      <c r="R301" s="97"/>
      <c r="S301" s="97"/>
      <c r="T301" s="97"/>
      <c r="U301" s="97"/>
    </row>
    <row r="302" spans="1:21">
      <c r="A302" s="126"/>
      <c r="B302" s="127"/>
      <c r="C302" s="97"/>
      <c r="D302" s="519"/>
      <c r="E302" s="96"/>
      <c r="F302" s="97"/>
      <c r="G302" s="97"/>
      <c r="H302" s="97"/>
      <c r="I302" s="97"/>
      <c r="J302" s="97"/>
      <c r="K302" s="97"/>
      <c r="L302" s="97"/>
      <c r="M302" s="97"/>
      <c r="N302" s="97"/>
      <c r="O302" s="97"/>
      <c r="P302" s="97"/>
      <c r="Q302" s="97"/>
      <c r="R302" s="97"/>
      <c r="S302" s="97"/>
      <c r="T302" s="97"/>
      <c r="U302" s="97"/>
    </row>
    <row r="303" spans="1:21">
      <c r="A303" s="126"/>
      <c r="B303" s="127"/>
      <c r="C303" s="97"/>
      <c r="D303" s="519"/>
      <c r="E303" s="96"/>
      <c r="F303" s="97"/>
      <c r="G303" s="97"/>
      <c r="H303" s="97"/>
      <c r="I303" s="97"/>
      <c r="J303" s="97"/>
      <c r="K303" s="97"/>
      <c r="L303" s="97"/>
      <c r="M303" s="97"/>
      <c r="N303" s="97"/>
      <c r="O303" s="97"/>
      <c r="P303" s="97"/>
      <c r="Q303" s="97"/>
      <c r="R303" s="97"/>
      <c r="S303" s="97"/>
      <c r="T303" s="97"/>
      <c r="U303" s="97"/>
    </row>
    <row r="304" spans="1:21">
      <c r="A304" s="126"/>
      <c r="B304" s="127"/>
      <c r="C304" s="97"/>
      <c r="D304" s="519"/>
      <c r="E304" s="96"/>
      <c r="F304" s="97"/>
      <c r="G304" s="97"/>
      <c r="H304" s="97"/>
      <c r="I304" s="97"/>
      <c r="J304" s="97"/>
      <c r="K304" s="97"/>
      <c r="L304" s="97"/>
      <c r="M304" s="97"/>
      <c r="N304" s="97"/>
      <c r="O304" s="97"/>
      <c r="P304" s="97"/>
      <c r="Q304" s="97"/>
      <c r="R304" s="97"/>
      <c r="S304" s="97"/>
      <c r="T304" s="97"/>
      <c r="U304" s="97"/>
    </row>
    <row r="305" spans="1:21">
      <c r="A305" s="126"/>
      <c r="B305" s="127"/>
      <c r="C305" s="97"/>
      <c r="D305" s="519"/>
      <c r="E305" s="96"/>
      <c r="F305" s="97"/>
      <c r="G305" s="97"/>
      <c r="H305" s="97"/>
      <c r="I305" s="97"/>
      <c r="J305" s="97"/>
      <c r="K305" s="97"/>
      <c r="L305" s="97"/>
      <c r="M305" s="97"/>
      <c r="N305" s="97"/>
      <c r="O305" s="97"/>
      <c r="P305" s="97"/>
      <c r="Q305" s="97"/>
      <c r="R305" s="97"/>
      <c r="S305" s="97"/>
      <c r="T305" s="97"/>
      <c r="U305" s="97"/>
    </row>
    <row r="306" spans="1:21">
      <c r="A306" s="126"/>
      <c r="B306" s="127"/>
      <c r="C306" s="97"/>
      <c r="D306" s="519"/>
      <c r="E306" s="96"/>
      <c r="F306" s="97"/>
      <c r="G306" s="97"/>
      <c r="H306" s="97"/>
      <c r="I306" s="97"/>
      <c r="J306" s="97"/>
      <c r="K306" s="97"/>
      <c r="L306" s="97"/>
      <c r="M306" s="97"/>
      <c r="N306" s="97"/>
      <c r="O306" s="97"/>
      <c r="P306" s="97"/>
      <c r="Q306" s="97"/>
      <c r="R306" s="97"/>
      <c r="S306" s="97"/>
      <c r="T306" s="97"/>
      <c r="U306" s="97"/>
    </row>
    <row r="307" spans="1:21">
      <c r="A307" s="126"/>
      <c r="B307" s="127"/>
      <c r="C307" s="97"/>
      <c r="D307" s="519"/>
      <c r="E307" s="96"/>
      <c r="F307" s="97"/>
      <c r="G307" s="97"/>
      <c r="H307" s="97"/>
      <c r="I307" s="97"/>
      <c r="J307" s="97"/>
      <c r="K307" s="97"/>
      <c r="L307" s="97"/>
      <c r="M307" s="97"/>
      <c r="N307" s="97"/>
      <c r="O307" s="97"/>
      <c r="P307" s="97"/>
      <c r="Q307" s="97"/>
      <c r="R307" s="97"/>
      <c r="S307" s="97"/>
      <c r="T307" s="97"/>
      <c r="U307" s="97"/>
    </row>
    <row r="308" spans="1:21">
      <c r="A308" s="126"/>
      <c r="B308" s="127"/>
      <c r="C308" s="97"/>
      <c r="D308" s="519"/>
      <c r="E308" s="96"/>
      <c r="F308" s="97"/>
      <c r="G308" s="97"/>
      <c r="H308" s="97"/>
      <c r="I308" s="97"/>
      <c r="J308" s="97"/>
      <c r="K308" s="97"/>
      <c r="L308" s="97"/>
      <c r="M308" s="97"/>
      <c r="N308" s="97"/>
      <c r="O308" s="97"/>
      <c r="P308" s="97"/>
      <c r="Q308" s="97"/>
      <c r="R308" s="97"/>
      <c r="S308" s="97"/>
      <c r="T308" s="97"/>
      <c r="U308" s="97"/>
    </row>
    <row r="309" spans="1:21">
      <c r="A309" s="126"/>
      <c r="B309" s="127"/>
      <c r="C309" s="97"/>
      <c r="D309" s="519"/>
      <c r="E309" s="96"/>
      <c r="F309" s="97"/>
      <c r="G309" s="97"/>
      <c r="H309" s="97"/>
      <c r="I309" s="97"/>
      <c r="J309" s="97"/>
      <c r="K309" s="97"/>
      <c r="L309" s="97"/>
      <c r="M309" s="97"/>
      <c r="N309" s="97"/>
      <c r="O309" s="97"/>
      <c r="P309" s="97"/>
      <c r="Q309" s="97"/>
      <c r="R309" s="97"/>
      <c r="S309" s="97"/>
      <c r="T309" s="97"/>
      <c r="U309" s="97"/>
    </row>
    <row r="310" spans="1:21">
      <c r="A310" s="126"/>
      <c r="B310" s="127"/>
      <c r="C310" s="97"/>
      <c r="D310" s="519"/>
      <c r="E310" s="96"/>
      <c r="F310" s="97"/>
      <c r="G310" s="97"/>
      <c r="H310" s="97"/>
      <c r="I310" s="97"/>
      <c r="J310" s="97"/>
      <c r="K310" s="97"/>
      <c r="L310" s="97"/>
      <c r="M310" s="97"/>
      <c r="N310" s="97"/>
      <c r="O310" s="97"/>
      <c r="P310" s="97"/>
      <c r="Q310" s="97"/>
      <c r="R310" s="97"/>
      <c r="S310" s="97"/>
      <c r="T310" s="97"/>
      <c r="U310" s="97"/>
    </row>
    <row r="311" spans="1:21">
      <c r="A311" s="126"/>
      <c r="B311" s="127"/>
      <c r="C311" s="97"/>
      <c r="D311" s="519"/>
      <c r="E311" s="96"/>
      <c r="F311" s="97"/>
      <c r="G311" s="97"/>
      <c r="H311" s="97"/>
      <c r="I311" s="97"/>
      <c r="J311" s="97"/>
      <c r="K311" s="97"/>
      <c r="L311" s="97"/>
      <c r="M311" s="97"/>
      <c r="N311" s="97"/>
      <c r="O311" s="97"/>
      <c r="P311" s="97"/>
      <c r="Q311" s="97"/>
      <c r="R311" s="97"/>
      <c r="S311" s="97"/>
      <c r="T311" s="97"/>
      <c r="U311" s="97"/>
    </row>
    <row r="312" spans="1:21">
      <c r="A312" s="126"/>
      <c r="B312" s="127"/>
      <c r="C312" s="97"/>
      <c r="D312" s="519"/>
      <c r="E312" s="96"/>
      <c r="F312" s="97"/>
      <c r="G312" s="97"/>
      <c r="H312" s="97"/>
      <c r="I312" s="97"/>
      <c r="J312" s="97"/>
      <c r="K312" s="97"/>
      <c r="L312" s="97"/>
      <c r="M312" s="97"/>
      <c r="N312" s="97"/>
      <c r="O312" s="97"/>
      <c r="P312" s="97"/>
      <c r="Q312" s="97"/>
      <c r="R312" s="97"/>
      <c r="S312" s="97"/>
      <c r="T312" s="97"/>
      <c r="U312" s="97"/>
    </row>
    <row r="313" spans="1:21">
      <c r="A313" s="126"/>
      <c r="B313" s="127"/>
      <c r="C313" s="97"/>
      <c r="D313" s="519"/>
      <c r="E313" s="96"/>
      <c r="F313" s="97"/>
      <c r="G313" s="97"/>
      <c r="H313" s="97"/>
      <c r="I313" s="97"/>
      <c r="J313" s="97"/>
      <c r="K313" s="97"/>
      <c r="L313" s="97"/>
      <c r="M313" s="97"/>
      <c r="N313" s="97"/>
      <c r="O313" s="97"/>
      <c r="P313" s="97"/>
      <c r="Q313" s="97"/>
      <c r="R313" s="97"/>
      <c r="S313" s="97"/>
      <c r="T313" s="97"/>
      <c r="U313" s="97"/>
    </row>
    <row r="314" spans="1:21">
      <c r="A314" s="126"/>
      <c r="B314" s="127"/>
      <c r="C314" s="97"/>
      <c r="D314" s="519"/>
      <c r="E314" s="96"/>
      <c r="F314" s="97"/>
      <c r="G314" s="97"/>
      <c r="H314" s="97"/>
      <c r="I314" s="97"/>
      <c r="J314" s="97"/>
      <c r="K314" s="97"/>
      <c r="L314" s="97"/>
      <c r="M314" s="97"/>
      <c r="N314" s="97"/>
      <c r="O314" s="97"/>
      <c r="P314" s="97"/>
      <c r="Q314" s="97"/>
      <c r="R314" s="97"/>
      <c r="S314" s="97"/>
      <c r="T314" s="97"/>
      <c r="U314" s="97"/>
    </row>
    <row r="315" spans="1:21">
      <c r="A315" s="126"/>
      <c r="B315" s="127"/>
      <c r="C315" s="97"/>
      <c r="D315" s="519"/>
      <c r="E315" s="96"/>
      <c r="F315" s="97"/>
      <c r="G315" s="97"/>
      <c r="H315" s="97"/>
      <c r="I315" s="97"/>
      <c r="J315" s="97"/>
      <c r="K315" s="97"/>
      <c r="L315" s="97"/>
      <c r="M315" s="97"/>
      <c r="N315" s="97"/>
      <c r="O315" s="97"/>
      <c r="P315" s="97"/>
      <c r="Q315" s="97"/>
      <c r="R315" s="97"/>
      <c r="S315" s="97"/>
      <c r="T315" s="97"/>
      <c r="U315" s="97"/>
    </row>
    <row r="316" spans="1:21">
      <c r="A316" s="126"/>
      <c r="B316" s="127"/>
      <c r="C316" s="97"/>
      <c r="D316" s="519"/>
      <c r="E316" s="96"/>
      <c r="F316" s="97"/>
      <c r="G316" s="97"/>
      <c r="H316" s="97"/>
      <c r="I316" s="97"/>
      <c r="J316" s="97"/>
      <c r="K316" s="97"/>
      <c r="L316" s="97"/>
      <c r="M316" s="97"/>
      <c r="N316" s="97"/>
      <c r="O316" s="97"/>
      <c r="P316" s="97"/>
      <c r="Q316" s="97"/>
      <c r="R316" s="97"/>
      <c r="S316" s="97"/>
      <c r="T316" s="97"/>
      <c r="U316" s="97"/>
    </row>
    <row r="317" spans="1:21">
      <c r="A317" s="126"/>
      <c r="B317" s="127"/>
      <c r="C317" s="97"/>
      <c r="D317" s="519"/>
      <c r="E317" s="96"/>
      <c r="F317" s="97"/>
      <c r="G317" s="97"/>
      <c r="H317" s="97"/>
      <c r="I317" s="97"/>
      <c r="J317" s="97"/>
      <c r="K317" s="97"/>
      <c r="L317" s="97"/>
      <c r="M317" s="97"/>
      <c r="N317" s="97"/>
      <c r="O317" s="97"/>
      <c r="P317" s="97"/>
      <c r="Q317" s="97"/>
      <c r="R317" s="97"/>
      <c r="S317" s="97"/>
      <c r="T317" s="97"/>
      <c r="U317" s="97"/>
    </row>
    <row r="318" spans="1:21">
      <c r="A318" s="126"/>
      <c r="B318" s="127"/>
      <c r="C318" s="97"/>
      <c r="D318" s="519"/>
      <c r="E318" s="96"/>
      <c r="F318" s="97"/>
      <c r="G318" s="97"/>
      <c r="H318" s="97"/>
      <c r="I318" s="97"/>
      <c r="J318" s="97"/>
      <c r="K318" s="97"/>
      <c r="L318" s="97"/>
      <c r="M318" s="97"/>
      <c r="N318" s="97"/>
      <c r="O318" s="97"/>
      <c r="P318" s="97"/>
      <c r="Q318" s="97"/>
      <c r="R318" s="97"/>
      <c r="S318" s="97"/>
      <c r="T318" s="97"/>
      <c r="U318" s="97"/>
    </row>
    <row r="319" spans="1:21">
      <c r="A319" s="126"/>
      <c r="B319" s="127"/>
      <c r="C319" s="97"/>
      <c r="D319" s="519"/>
      <c r="E319" s="96"/>
      <c r="F319" s="97"/>
      <c r="G319" s="97"/>
      <c r="H319" s="97"/>
      <c r="I319" s="97"/>
      <c r="J319" s="97"/>
      <c r="K319" s="97"/>
      <c r="L319" s="97"/>
      <c r="M319" s="97"/>
      <c r="N319" s="97"/>
      <c r="O319" s="97"/>
      <c r="P319" s="97"/>
      <c r="Q319" s="97"/>
      <c r="R319" s="97"/>
      <c r="S319" s="97"/>
      <c r="T319" s="97"/>
      <c r="U319" s="97"/>
    </row>
    <row r="320" spans="1:21">
      <c r="A320" s="126"/>
      <c r="B320" s="127"/>
      <c r="C320" s="97"/>
      <c r="D320" s="519"/>
      <c r="E320" s="96"/>
      <c r="F320" s="97"/>
      <c r="G320" s="97"/>
      <c r="H320" s="97"/>
      <c r="I320" s="97"/>
      <c r="J320" s="97"/>
      <c r="K320" s="97"/>
      <c r="L320" s="97"/>
      <c r="M320" s="97"/>
      <c r="N320" s="97"/>
      <c r="O320" s="97"/>
      <c r="P320" s="97"/>
      <c r="Q320" s="97"/>
      <c r="R320" s="97"/>
      <c r="S320" s="97"/>
      <c r="T320" s="97"/>
      <c r="U320" s="97"/>
    </row>
    <row r="321" spans="1:21">
      <c r="A321" s="126"/>
      <c r="B321" s="127"/>
      <c r="C321" s="97"/>
      <c r="D321" s="519"/>
      <c r="E321" s="96"/>
      <c r="F321" s="97"/>
      <c r="G321" s="97"/>
      <c r="H321" s="97"/>
      <c r="I321" s="97"/>
      <c r="J321" s="97"/>
      <c r="K321" s="97"/>
      <c r="L321" s="97"/>
      <c r="M321" s="97"/>
      <c r="N321" s="97"/>
      <c r="O321" s="97"/>
      <c r="P321" s="97"/>
      <c r="Q321" s="97"/>
      <c r="R321" s="97"/>
      <c r="S321" s="97"/>
      <c r="T321" s="97"/>
      <c r="U321" s="97"/>
    </row>
    <row r="322" spans="1:21">
      <c r="A322" s="126"/>
      <c r="B322" s="127"/>
      <c r="C322" s="97"/>
      <c r="D322" s="519"/>
      <c r="E322" s="96"/>
      <c r="F322" s="97"/>
      <c r="G322" s="97"/>
      <c r="H322" s="97"/>
      <c r="I322" s="97"/>
      <c r="J322" s="97"/>
      <c r="K322" s="97"/>
      <c r="L322" s="97"/>
      <c r="M322" s="97"/>
      <c r="N322" s="97"/>
      <c r="O322" s="97"/>
      <c r="P322" s="97"/>
      <c r="Q322" s="97"/>
      <c r="R322" s="97"/>
      <c r="S322" s="97"/>
      <c r="T322" s="97"/>
      <c r="U322" s="97"/>
    </row>
    <row r="323" spans="1:21">
      <c r="A323" s="126"/>
      <c r="B323" s="127"/>
      <c r="C323" s="97"/>
      <c r="D323" s="519"/>
      <c r="E323" s="96"/>
      <c r="F323" s="97"/>
      <c r="G323" s="97"/>
      <c r="H323" s="97"/>
      <c r="I323" s="97"/>
      <c r="J323" s="97"/>
      <c r="K323" s="97"/>
      <c r="L323" s="97"/>
      <c r="M323" s="97"/>
      <c r="N323" s="97"/>
      <c r="O323" s="97"/>
      <c r="P323" s="97"/>
      <c r="Q323" s="97"/>
      <c r="R323" s="97"/>
      <c r="S323" s="97"/>
      <c r="T323" s="97"/>
      <c r="U323" s="97"/>
    </row>
    <row r="324" spans="1:21">
      <c r="A324" s="126"/>
      <c r="B324" s="127"/>
      <c r="C324" s="97"/>
      <c r="D324" s="519"/>
      <c r="E324" s="96"/>
      <c r="F324" s="97"/>
      <c r="G324" s="97"/>
      <c r="H324" s="97"/>
      <c r="I324" s="97"/>
      <c r="J324" s="97"/>
      <c r="K324" s="97"/>
      <c r="L324" s="97"/>
      <c r="M324" s="97"/>
      <c r="N324" s="97"/>
      <c r="O324" s="97"/>
      <c r="P324" s="97"/>
      <c r="Q324" s="97"/>
      <c r="R324" s="97"/>
      <c r="S324" s="97"/>
      <c r="T324" s="97"/>
      <c r="U324" s="97"/>
    </row>
    <row r="325" spans="1:21">
      <c r="A325" s="126"/>
      <c r="B325" s="127"/>
      <c r="C325" s="97"/>
      <c r="D325" s="519"/>
      <c r="E325" s="96"/>
      <c r="F325" s="97"/>
      <c r="G325" s="97"/>
      <c r="H325" s="97"/>
      <c r="I325" s="97"/>
      <c r="J325" s="97"/>
      <c r="K325" s="97"/>
      <c r="L325" s="97"/>
      <c r="M325" s="97"/>
      <c r="N325" s="97"/>
      <c r="O325" s="97"/>
      <c r="P325" s="97"/>
      <c r="Q325" s="97"/>
      <c r="R325" s="97"/>
      <c r="S325" s="97"/>
      <c r="T325" s="97"/>
      <c r="U325" s="97"/>
    </row>
    <row r="326" spans="1:21">
      <c r="A326" s="126"/>
      <c r="B326" s="127"/>
      <c r="C326" s="97"/>
      <c r="D326" s="519"/>
      <c r="E326" s="96"/>
      <c r="F326" s="97"/>
      <c r="G326" s="97"/>
      <c r="H326" s="97"/>
      <c r="I326" s="97"/>
      <c r="J326" s="97"/>
      <c r="K326" s="97"/>
      <c r="L326" s="97"/>
      <c r="M326" s="97"/>
      <c r="N326" s="97"/>
      <c r="O326" s="97"/>
      <c r="P326" s="97"/>
      <c r="Q326" s="97"/>
      <c r="R326" s="97"/>
      <c r="S326" s="97"/>
      <c r="T326" s="97"/>
      <c r="U326" s="97"/>
    </row>
    <row r="327" spans="1:21">
      <c r="A327" s="126"/>
      <c r="B327" s="127"/>
      <c r="C327" s="97"/>
      <c r="D327" s="519"/>
      <c r="E327" s="96"/>
      <c r="F327" s="97"/>
      <c r="G327" s="97"/>
      <c r="H327" s="97"/>
      <c r="I327" s="97"/>
      <c r="J327" s="97"/>
      <c r="K327" s="97"/>
      <c r="L327" s="97"/>
      <c r="M327" s="97"/>
      <c r="N327" s="97"/>
      <c r="O327" s="97"/>
      <c r="P327" s="97"/>
      <c r="Q327" s="97"/>
      <c r="R327" s="97"/>
      <c r="S327" s="97"/>
      <c r="T327" s="97"/>
      <c r="U327" s="97"/>
    </row>
    <row r="328" spans="1:21">
      <c r="A328" s="126"/>
      <c r="B328" s="127"/>
      <c r="C328" s="97"/>
      <c r="D328" s="519"/>
      <c r="E328" s="96"/>
      <c r="F328" s="97"/>
      <c r="G328" s="97"/>
      <c r="H328" s="97"/>
      <c r="I328" s="97"/>
      <c r="J328" s="97"/>
      <c r="K328" s="97"/>
      <c r="L328" s="97"/>
      <c r="M328" s="97"/>
      <c r="N328" s="97"/>
      <c r="O328" s="97"/>
      <c r="P328" s="97"/>
      <c r="Q328" s="97"/>
      <c r="R328" s="97"/>
      <c r="S328" s="97"/>
      <c r="T328" s="97"/>
      <c r="U328" s="97"/>
    </row>
    <row r="329" spans="1:21">
      <c r="A329" s="126"/>
      <c r="B329" s="127"/>
      <c r="C329" s="97"/>
      <c r="D329" s="519"/>
      <c r="E329" s="96"/>
      <c r="F329" s="97"/>
      <c r="G329" s="97"/>
      <c r="H329" s="97"/>
      <c r="I329" s="97"/>
      <c r="J329" s="97"/>
      <c r="K329" s="97"/>
      <c r="L329" s="97"/>
      <c r="M329" s="97"/>
      <c r="N329" s="97"/>
      <c r="O329" s="97"/>
      <c r="P329" s="97"/>
      <c r="Q329" s="97"/>
      <c r="R329" s="97"/>
      <c r="S329" s="97"/>
      <c r="T329" s="97"/>
      <c r="U329" s="97"/>
    </row>
    <row r="330" spans="1:21">
      <c r="A330" s="126"/>
      <c r="B330" s="127"/>
      <c r="C330" s="97"/>
      <c r="D330" s="519"/>
      <c r="E330" s="96"/>
      <c r="F330" s="97"/>
      <c r="G330" s="97"/>
      <c r="H330" s="97"/>
      <c r="I330" s="97"/>
      <c r="J330" s="97"/>
      <c r="K330" s="97"/>
      <c r="L330" s="97"/>
      <c r="M330" s="97"/>
      <c r="N330" s="97"/>
      <c r="O330" s="97"/>
      <c r="P330" s="97"/>
      <c r="Q330" s="97"/>
      <c r="R330" s="97"/>
      <c r="S330" s="97"/>
      <c r="T330" s="97"/>
      <c r="U330" s="97"/>
    </row>
    <row r="331" spans="1:21">
      <c r="A331" s="126"/>
      <c r="B331" s="127"/>
      <c r="C331" s="97"/>
      <c r="D331" s="519"/>
      <c r="E331" s="96"/>
      <c r="F331" s="97"/>
      <c r="G331" s="97"/>
      <c r="H331" s="97"/>
      <c r="I331" s="97"/>
      <c r="J331" s="97"/>
      <c r="K331" s="97"/>
      <c r="L331" s="97"/>
      <c r="M331" s="97"/>
      <c r="N331" s="97"/>
      <c r="O331" s="97"/>
      <c r="P331" s="97"/>
      <c r="Q331" s="97"/>
      <c r="R331" s="97"/>
      <c r="S331" s="97"/>
      <c r="T331" s="97"/>
      <c r="U331" s="97"/>
    </row>
    <row r="332" spans="1:21">
      <c r="A332" s="126"/>
      <c r="B332" s="127"/>
      <c r="C332" s="97"/>
      <c r="D332" s="519"/>
      <c r="E332" s="96"/>
      <c r="F332" s="97"/>
      <c r="G332" s="97"/>
      <c r="H332" s="97"/>
      <c r="I332" s="97"/>
      <c r="J332" s="97"/>
      <c r="K332" s="97"/>
      <c r="L332" s="97"/>
      <c r="M332" s="97"/>
      <c r="N332" s="97"/>
      <c r="O332" s="97"/>
      <c r="P332" s="97"/>
      <c r="Q332" s="97"/>
      <c r="R332" s="97"/>
      <c r="S332" s="97"/>
      <c r="T332" s="97"/>
      <c r="U332" s="97"/>
    </row>
    <row r="333" spans="1:21">
      <c r="A333" s="126"/>
      <c r="B333" s="127"/>
      <c r="C333" s="97"/>
      <c r="D333" s="519"/>
      <c r="E333" s="96"/>
      <c r="F333" s="97"/>
      <c r="G333" s="97"/>
      <c r="H333" s="97"/>
      <c r="I333" s="97"/>
      <c r="J333" s="97"/>
      <c r="K333" s="97"/>
      <c r="L333" s="97"/>
      <c r="M333" s="97"/>
      <c r="N333" s="97"/>
      <c r="O333" s="97"/>
      <c r="P333" s="97"/>
      <c r="Q333" s="97"/>
      <c r="R333" s="97"/>
      <c r="S333" s="97"/>
      <c r="T333" s="97"/>
      <c r="U333" s="97"/>
    </row>
    <row r="334" spans="1:21">
      <c r="A334" s="126"/>
      <c r="B334" s="127"/>
      <c r="C334" s="97"/>
      <c r="D334" s="519"/>
      <c r="E334" s="96"/>
      <c r="F334" s="97"/>
      <c r="G334" s="97"/>
      <c r="H334" s="97"/>
      <c r="I334" s="97"/>
      <c r="J334" s="97"/>
      <c r="K334" s="97"/>
      <c r="L334" s="97"/>
      <c r="M334" s="97"/>
      <c r="N334" s="97"/>
      <c r="O334" s="97"/>
      <c r="P334" s="97"/>
      <c r="Q334" s="97"/>
      <c r="R334" s="97"/>
      <c r="S334" s="97"/>
      <c r="T334" s="97"/>
      <c r="U334" s="97"/>
    </row>
    <row r="335" spans="1:21">
      <c r="A335" s="126"/>
      <c r="B335" s="127"/>
      <c r="C335" s="97"/>
      <c r="D335" s="519"/>
      <c r="E335" s="96"/>
      <c r="F335" s="97"/>
      <c r="G335" s="97"/>
      <c r="H335" s="97"/>
      <c r="I335" s="97"/>
      <c r="J335" s="97"/>
      <c r="K335" s="97"/>
      <c r="L335" s="97"/>
      <c r="M335" s="97"/>
      <c r="N335" s="97"/>
      <c r="O335" s="97"/>
      <c r="P335" s="97"/>
      <c r="Q335" s="97"/>
      <c r="R335" s="97"/>
      <c r="S335" s="97"/>
      <c r="T335" s="97"/>
      <c r="U335" s="97"/>
    </row>
    <row r="336" spans="1:21">
      <c r="A336" s="126"/>
      <c r="B336" s="127"/>
      <c r="C336" s="97"/>
      <c r="D336" s="519"/>
      <c r="E336" s="96"/>
      <c r="F336" s="97"/>
      <c r="G336" s="97"/>
      <c r="H336" s="97"/>
      <c r="I336" s="97"/>
      <c r="J336" s="97"/>
      <c r="K336" s="97"/>
      <c r="L336" s="97"/>
      <c r="M336" s="97"/>
      <c r="N336" s="97"/>
      <c r="O336" s="97"/>
      <c r="P336" s="97"/>
      <c r="Q336" s="97"/>
      <c r="R336" s="97"/>
      <c r="S336" s="97"/>
      <c r="T336" s="97"/>
      <c r="U336" s="97"/>
    </row>
    <row r="337" spans="1:21">
      <c r="A337" s="126"/>
      <c r="B337" s="127"/>
      <c r="C337" s="97"/>
      <c r="D337" s="519"/>
      <c r="E337" s="96"/>
      <c r="F337" s="97"/>
      <c r="G337" s="97"/>
      <c r="H337" s="97"/>
      <c r="I337" s="97"/>
      <c r="J337" s="97"/>
      <c r="K337" s="97"/>
      <c r="L337" s="97"/>
      <c r="M337" s="97"/>
      <c r="N337" s="97"/>
      <c r="O337" s="97"/>
      <c r="P337" s="97"/>
      <c r="Q337" s="97"/>
      <c r="R337" s="97"/>
      <c r="S337" s="97"/>
      <c r="T337" s="97"/>
      <c r="U337" s="97"/>
    </row>
    <row r="338" spans="1:21">
      <c r="A338" s="126"/>
      <c r="B338" s="127"/>
      <c r="C338" s="97"/>
      <c r="D338" s="519"/>
      <c r="E338" s="96"/>
      <c r="F338" s="97"/>
      <c r="G338" s="97"/>
      <c r="H338" s="97"/>
      <c r="I338" s="97"/>
      <c r="J338" s="97"/>
      <c r="K338" s="97"/>
      <c r="L338" s="97"/>
      <c r="M338" s="97"/>
      <c r="N338" s="97"/>
      <c r="O338" s="97"/>
      <c r="P338" s="97"/>
      <c r="Q338" s="97"/>
      <c r="R338" s="97"/>
      <c r="S338" s="97"/>
      <c r="T338" s="97"/>
      <c r="U338" s="97"/>
    </row>
    <row r="339" spans="1:21">
      <c r="A339" s="126"/>
      <c r="B339" s="127"/>
      <c r="C339" s="97"/>
      <c r="D339" s="519"/>
      <c r="E339" s="96"/>
      <c r="F339" s="97"/>
      <c r="G339" s="97"/>
      <c r="H339" s="97"/>
      <c r="I339" s="97"/>
      <c r="J339" s="97"/>
      <c r="K339" s="97"/>
      <c r="L339" s="97"/>
      <c r="M339" s="97"/>
      <c r="N339" s="97"/>
      <c r="O339" s="97"/>
      <c r="P339" s="97"/>
      <c r="Q339" s="97"/>
      <c r="R339" s="97"/>
      <c r="S339" s="97"/>
      <c r="T339" s="97"/>
      <c r="U339" s="97"/>
    </row>
    <row r="340" spans="1:21">
      <c r="A340" s="126"/>
      <c r="B340" s="127"/>
      <c r="C340" s="97"/>
      <c r="D340" s="519"/>
      <c r="E340" s="96"/>
      <c r="F340" s="97"/>
      <c r="G340" s="97"/>
      <c r="H340" s="97"/>
      <c r="I340" s="97"/>
      <c r="J340" s="97"/>
      <c r="K340" s="97"/>
      <c r="L340" s="97"/>
      <c r="M340" s="97"/>
      <c r="N340" s="97"/>
      <c r="O340" s="97"/>
      <c r="P340" s="97"/>
      <c r="Q340" s="97"/>
      <c r="R340" s="97"/>
      <c r="S340" s="97"/>
      <c r="T340" s="97"/>
      <c r="U340" s="97"/>
    </row>
    <row r="341" spans="1:21">
      <c r="A341" s="126"/>
      <c r="B341" s="127"/>
      <c r="C341" s="97"/>
      <c r="D341" s="519"/>
      <c r="E341" s="96"/>
      <c r="F341" s="97"/>
      <c r="G341" s="97"/>
      <c r="H341" s="97"/>
      <c r="I341" s="97"/>
      <c r="J341" s="97"/>
      <c r="K341" s="97"/>
      <c r="L341" s="97"/>
      <c r="M341" s="97"/>
      <c r="N341" s="97"/>
      <c r="O341" s="97"/>
      <c r="P341" s="97"/>
      <c r="Q341" s="97"/>
      <c r="R341" s="97"/>
      <c r="S341" s="97"/>
      <c r="T341" s="97"/>
      <c r="U341" s="97"/>
    </row>
    <row r="342" spans="1:21">
      <c r="A342" s="126"/>
      <c r="B342" s="127"/>
      <c r="C342" s="97"/>
      <c r="D342" s="519"/>
      <c r="E342" s="96"/>
      <c r="F342" s="97"/>
      <c r="G342" s="97"/>
      <c r="H342" s="97"/>
      <c r="I342" s="97"/>
      <c r="J342" s="97"/>
      <c r="K342" s="97"/>
      <c r="L342" s="97"/>
      <c r="M342" s="97"/>
      <c r="N342" s="97"/>
      <c r="O342" s="97"/>
      <c r="P342" s="97"/>
      <c r="Q342" s="97"/>
      <c r="R342" s="97"/>
      <c r="S342" s="97"/>
      <c r="T342" s="97"/>
      <c r="U342" s="97"/>
    </row>
    <row r="343" spans="1:21">
      <c r="A343" s="126"/>
      <c r="B343" s="127"/>
      <c r="C343" s="97"/>
      <c r="D343" s="519"/>
      <c r="E343" s="96"/>
      <c r="F343" s="97"/>
      <c r="G343" s="97"/>
      <c r="H343" s="97"/>
      <c r="I343" s="97"/>
      <c r="J343" s="97"/>
      <c r="K343" s="97"/>
      <c r="L343" s="97"/>
      <c r="M343" s="97"/>
      <c r="N343" s="97"/>
      <c r="O343" s="97"/>
      <c r="P343" s="97"/>
      <c r="Q343" s="97"/>
      <c r="R343" s="97"/>
      <c r="S343" s="97"/>
      <c r="T343" s="97"/>
      <c r="U343" s="97"/>
    </row>
    <row r="344" spans="1:21">
      <c r="A344" s="126"/>
      <c r="B344" s="127"/>
      <c r="C344" s="97"/>
      <c r="D344" s="519"/>
      <c r="E344" s="96"/>
      <c r="F344" s="97"/>
      <c r="G344" s="97"/>
      <c r="H344" s="97"/>
      <c r="I344" s="97"/>
      <c r="J344" s="97"/>
      <c r="K344" s="97"/>
      <c r="L344" s="97"/>
      <c r="M344" s="97"/>
      <c r="N344" s="97"/>
      <c r="O344" s="97"/>
      <c r="P344" s="97"/>
      <c r="Q344" s="97"/>
      <c r="R344" s="97"/>
      <c r="S344" s="97"/>
      <c r="T344" s="97"/>
      <c r="U344" s="97"/>
    </row>
    <row r="345" spans="1:21">
      <c r="A345" s="126"/>
      <c r="B345" s="127"/>
      <c r="C345" s="97"/>
      <c r="D345" s="519"/>
      <c r="E345" s="96"/>
      <c r="F345" s="97"/>
      <c r="G345" s="97"/>
      <c r="H345" s="97"/>
      <c r="I345" s="97"/>
      <c r="J345" s="97"/>
      <c r="K345" s="97"/>
      <c r="L345" s="97"/>
      <c r="M345" s="97"/>
      <c r="N345" s="97"/>
      <c r="O345" s="97"/>
      <c r="P345" s="97"/>
      <c r="Q345" s="97"/>
      <c r="R345" s="97"/>
      <c r="S345" s="97"/>
      <c r="T345" s="97"/>
      <c r="U345" s="97"/>
    </row>
    <row r="346" spans="1:21">
      <c r="A346" s="126"/>
      <c r="B346" s="127"/>
      <c r="C346" s="97"/>
      <c r="D346" s="519"/>
      <c r="E346" s="96"/>
      <c r="F346" s="97"/>
      <c r="G346" s="97"/>
      <c r="H346" s="97"/>
      <c r="I346" s="97"/>
      <c r="J346" s="97"/>
      <c r="K346" s="97"/>
      <c r="L346" s="97"/>
      <c r="M346" s="97"/>
      <c r="N346" s="97"/>
      <c r="O346" s="97"/>
      <c r="P346" s="97"/>
      <c r="Q346" s="97"/>
      <c r="R346" s="97"/>
      <c r="S346" s="97"/>
      <c r="T346" s="97"/>
      <c r="U346" s="97"/>
    </row>
    <row r="347" spans="1:21">
      <c r="A347" s="126"/>
      <c r="B347" s="127"/>
      <c r="C347" s="97"/>
      <c r="D347" s="519"/>
      <c r="E347" s="96"/>
      <c r="F347" s="97"/>
      <c r="G347" s="97"/>
      <c r="H347" s="97"/>
      <c r="I347" s="97"/>
      <c r="J347" s="97"/>
      <c r="K347" s="97"/>
      <c r="L347" s="97"/>
      <c r="M347" s="97"/>
      <c r="N347" s="97"/>
      <c r="O347" s="97"/>
      <c r="P347" s="97"/>
      <c r="Q347" s="97"/>
      <c r="R347" s="97"/>
      <c r="S347" s="97"/>
      <c r="T347" s="97"/>
      <c r="U347" s="97"/>
    </row>
    <row r="348" spans="1:21">
      <c r="A348" s="126"/>
      <c r="B348" s="127"/>
      <c r="C348" s="97"/>
      <c r="D348" s="519"/>
      <c r="E348" s="96"/>
      <c r="F348" s="97"/>
      <c r="G348" s="97"/>
      <c r="H348" s="97"/>
      <c r="I348" s="97"/>
      <c r="J348" s="97"/>
      <c r="K348" s="97"/>
      <c r="L348" s="97"/>
      <c r="M348" s="97"/>
      <c r="N348" s="97"/>
      <c r="O348" s="97"/>
      <c r="P348" s="97"/>
      <c r="Q348" s="97"/>
      <c r="R348" s="97"/>
      <c r="S348" s="97"/>
      <c r="T348" s="97"/>
      <c r="U348" s="97"/>
    </row>
    <row r="349" spans="1:21">
      <c r="A349" s="126"/>
      <c r="B349" s="127"/>
      <c r="C349" s="97"/>
      <c r="D349" s="519"/>
      <c r="E349" s="96"/>
      <c r="F349" s="97"/>
      <c r="G349" s="97"/>
      <c r="H349" s="97"/>
      <c r="I349" s="97"/>
      <c r="J349" s="97"/>
      <c r="K349" s="97"/>
      <c r="L349" s="97"/>
      <c r="M349" s="97"/>
      <c r="N349" s="97"/>
      <c r="O349" s="97"/>
      <c r="P349" s="97"/>
      <c r="Q349" s="97"/>
      <c r="R349" s="97"/>
      <c r="S349" s="97"/>
      <c r="T349" s="97"/>
      <c r="U349" s="97"/>
    </row>
    <row r="350" spans="1:21">
      <c r="A350" s="126"/>
      <c r="B350" s="127"/>
      <c r="C350" s="97"/>
      <c r="D350" s="519"/>
      <c r="E350" s="96"/>
      <c r="F350" s="97"/>
      <c r="G350" s="97"/>
      <c r="H350" s="97"/>
      <c r="I350" s="97"/>
      <c r="J350" s="97"/>
      <c r="K350" s="97"/>
      <c r="L350" s="97"/>
      <c r="M350" s="97"/>
      <c r="N350" s="97"/>
      <c r="O350" s="97"/>
      <c r="P350" s="97"/>
      <c r="Q350" s="97"/>
      <c r="R350" s="97"/>
      <c r="S350" s="97"/>
      <c r="T350" s="97"/>
      <c r="U350" s="97"/>
    </row>
    <row r="351" spans="1:21">
      <c r="A351" s="126"/>
      <c r="B351" s="127"/>
      <c r="C351" s="97"/>
      <c r="D351" s="519"/>
      <c r="E351" s="96"/>
      <c r="F351" s="97"/>
      <c r="G351" s="97"/>
      <c r="H351" s="97"/>
      <c r="I351" s="97"/>
      <c r="J351" s="97"/>
      <c r="K351" s="97"/>
      <c r="L351" s="97"/>
      <c r="M351" s="97"/>
      <c r="N351" s="97"/>
      <c r="O351" s="97"/>
      <c r="P351" s="97"/>
      <c r="Q351" s="97"/>
      <c r="R351" s="97"/>
      <c r="S351" s="97"/>
      <c r="T351" s="97"/>
      <c r="U351" s="97"/>
    </row>
    <row r="352" spans="1:21">
      <c r="A352" s="126"/>
      <c r="B352" s="127"/>
      <c r="C352" s="97"/>
      <c r="D352" s="519"/>
      <c r="E352" s="96"/>
      <c r="F352" s="97"/>
      <c r="G352" s="97"/>
      <c r="H352" s="97"/>
      <c r="I352" s="97"/>
      <c r="J352" s="97"/>
      <c r="K352" s="97"/>
      <c r="L352" s="97"/>
      <c r="M352" s="97"/>
      <c r="N352" s="97"/>
      <c r="O352" s="97"/>
      <c r="P352" s="97"/>
      <c r="Q352" s="97"/>
      <c r="R352" s="97"/>
      <c r="S352" s="97"/>
      <c r="T352" s="97"/>
      <c r="U352" s="97"/>
    </row>
    <row r="353" spans="1:21">
      <c r="A353" s="126"/>
      <c r="B353" s="127"/>
      <c r="C353" s="97"/>
      <c r="D353" s="519"/>
      <c r="E353" s="96"/>
      <c r="F353" s="97"/>
      <c r="G353" s="97"/>
      <c r="H353" s="97"/>
      <c r="I353" s="97"/>
      <c r="J353" s="97"/>
      <c r="K353" s="97"/>
      <c r="L353" s="97"/>
      <c r="M353" s="97"/>
      <c r="N353" s="97"/>
      <c r="O353" s="97"/>
      <c r="P353" s="97"/>
      <c r="Q353" s="97"/>
      <c r="R353" s="97"/>
      <c r="S353" s="97"/>
      <c r="T353" s="97"/>
      <c r="U353" s="97"/>
    </row>
    <row r="354" spans="1:21">
      <c r="A354" s="126"/>
      <c r="B354" s="127"/>
      <c r="C354" s="97"/>
      <c r="D354" s="519"/>
      <c r="E354" s="96"/>
      <c r="F354" s="97"/>
      <c r="G354" s="97"/>
      <c r="H354" s="97"/>
      <c r="I354" s="97"/>
      <c r="J354" s="97"/>
      <c r="K354" s="97"/>
      <c r="L354" s="97"/>
      <c r="M354" s="97"/>
      <c r="N354" s="97"/>
      <c r="O354" s="97"/>
      <c r="P354" s="97"/>
      <c r="Q354" s="97"/>
      <c r="R354" s="97"/>
      <c r="S354" s="97"/>
      <c r="T354" s="97"/>
      <c r="U354" s="97"/>
    </row>
    <row r="355" spans="1:21">
      <c r="A355" s="126"/>
      <c r="B355" s="127"/>
      <c r="C355" s="97"/>
      <c r="D355" s="519"/>
      <c r="E355" s="96"/>
      <c r="F355" s="97"/>
      <c r="G355" s="97"/>
      <c r="H355" s="97"/>
      <c r="I355" s="97"/>
      <c r="J355" s="97"/>
      <c r="K355" s="97"/>
      <c r="L355" s="97"/>
      <c r="M355" s="97"/>
      <c r="N355" s="97"/>
      <c r="O355" s="97"/>
      <c r="P355" s="97"/>
      <c r="Q355" s="97"/>
      <c r="R355" s="97"/>
      <c r="S355" s="97"/>
      <c r="T355" s="97"/>
      <c r="U355" s="97"/>
    </row>
    <row r="356" spans="1:21">
      <c r="A356" s="126"/>
      <c r="B356" s="127"/>
      <c r="C356" s="97"/>
      <c r="D356" s="519"/>
      <c r="E356" s="96"/>
      <c r="F356" s="97"/>
      <c r="G356" s="97"/>
      <c r="H356" s="97"/>
      <c r="I356" s="97"/>
      <c r="J356" s="97"/>
      <c r="K356" s="97"/>
      <c r="L356" s="97"/>
      <c r="M356" s="97"/>
      <c r="N356" s="97"/>
      <c r="O356" s="97"/>
      <c r="P356" s="97"/>
      <c r="Q356" s="97"/>
      <c r="R356" s="97"/>
      <c r="S356" s="97"/>
      <c r="T356" s="97"/>
      <c r="U356" s="97"/>
    </row>
    <row r="357" spans="1:21">
      <c r="A357" s="126"/>
      <c r="B357" s="127"/>
      <c r="C357" s="97"/>
      <c r="D357" s="519"/>
      <c r="E357" s="96"/>
      <c r="F357" s="97"/>
      <c r="G357" s="97"/>
      <c r="H357" s="97"/>
      <c r="I357" s="97"/>
      <c r="J357" s="97"/>
      <c r="K357" s="97"/>
      <c r="L357" s="97"/>
      <c r="M357" s="97"/>
      <c r="N357" s="97"/>
      <c r="O357" s="97"/>
      <c r="P357" s="97"/>
      <c r="Q357" s="97"/>
      <c r="R357" s="97"/>
      <c r="S357" s="97"/>
      <c r="T357" s="97"/>
      <c r="U357" s="97"/>
    </row>
    <row r="358" spans="1:21">
      <c r="A358" s="126"/>
      <c r="B358" s="127"/>
      <c r="C358" s="97"/>
      <c r="D358" s="519"/>
      <c r="E358" s="96"/>
      <c r="F358" s="97"/>
      <c r="G358" s="97"/>
      <c r="H358" s="97"/>
      <c r="I358" s="97"/>
      <c r="J358" s="97"/>
      <c r="K358" s="97"/>
      <c r="L358" s="97"/>
      <c r="M358" s="97"/>
      <c r="N358" s="97"/>
      <c r="O358" s="97"/>
      <c r="P358" s="97"/>
      <c r="Q358" s="97"/>
      <c r="R358" s="97"/>
      <c r="S358" s="97"/>
      <c r="T358" s="97"/>
      <c r="U358" s="97"/>
    </row>
    <row r="359" spans="1:21">
      <c r="A359" s="126"/>
      <c r="B359" s="127"/>
      <c r="C359" s="97"/>
      <c r="D359" s="519"/>
      <c r="E359" s="96"/>
      <c r="F359" s="97"/>
      <c r="G359" s="97"/>
      <c r="H359" s="97"/>
      <c r="I359" s="97"/>
      <c r="J359" s="97"/>
      <c r="K359" s="97"/>
      <c r="L359" s="97"/>
      <c r="M359" s="97"/>
      <c r="N359" s="97"/>
      <c r="O359" s="97"/>
      <c r="P359" s="97"/>
      <c r="Q359" s="97"/>
      <c r="R359" s="97"/>
      <c r="S359" s="97"/>
      <c r="T359" s="97"/>
      <c r="U359" s="97"/>
    </row>
    <row r="360" spans="1:21">
      <c r="A360" s="126"/>
      <c r="B360" s="127"/>
      <c r="C360" s="97"/>
      <c r="D360" s="519"/>
      <c r="E360" s="96"/>
      <c r="F360" s="97"/>
      <c r="G360" s="97"/>
      <c r="H360" s="97"/>
      <c r="I360" s="97"/>
      <c r="J360" s="97"/>
      <c r="K360" s="97"/>
      <c r="L360" s="97"/>
      <c r="M360" s="97"/>
      <c r="N360" s="97"/>
      <c r="O360" s="97"/>
      <c r="P360" s="97"/>
      <c r="Q360" s="97"/>
      <c r="R360" s="97"/>
      <c r="S360" s="97"/>
      <c r="T360" s="97"/>
      <c r="U360" s="97"/>
    </row>
    <row r="361" spans="1:21">
      <c r="A361" s="126"/>
      <c r="B361" s="127"/>
      <c r="C361" s="97"/>
      <c r="D361" s="519"/>
      <c r="E361" s="96"/>
      <c r="F361" s="97"/>
      <c r="G361" s="97"/>
      <c r="H361" s="97"/>
      <c r="I361" s="97"/>
      <c r="J361" s="97"/>
      <c r="K361" s="97"/>
      <c r="L361" s="97"/>
      <c r="M361" s="97"/>
      <c r="N361" s="97"/>
      <c r="O361" s="97"/>
      <c r="P361" s="97"/>
      <c r="Q361" s="97"/>
      <c r="R361" s="97"/>
      <c r="S361" s="97"/>
      <c r="T361" s="97"/>
      <c r="U361" s="97"/>
    </row>
    <row r="362" spans="1:21">
      <c r="A362" s="126"/>
      <c r="B362" s="127"/>
      <c r="C362" s="97"/>
      <c r="D362" s="519"/>
      <c r="E362" s="96"/>
      <c r="F362" s="97"/>
      <c r="G362" s="97"/>
      <c r="H362" s="97"/>
      <c r="I362" s="97"/>
      <c r="J362" s="97"/>
      <c r="K362" s="97"/>
      <c r="L362" s="97"/>
      <c r="M362" s="97"/>
      <c r="N362" s="97"/>
      <c r="O362" s="97"/>
      <c r="P362" s="97"/>
      <c r="Q362" s="97"/>
      <c r="R362" s="97"/>
      <c r="S362" s="97"/>
      <c r="T362" s="97"/>
      <c r="U362" s="97"/>
    </row>
    <row r="363" spans="1:21">
      <c r="A363" s="126"/>
      <c r="B363" s="127"/>
      <c r="C363" s="97"/>
      <c r="D363" s="519"/>
      <c r="E363" s="96"/>
      <c r="F363" s="97"/>
      <c r="G363" s="97"/>
      <c r="H363" s="97"/>
      <c r="I363" s="97"/>
      <c r="J363" s="97"/>
      <c r="K363" s="97"/>
      <c r="L363" s="97"/>
      <c r="M363" s="97"/>
      <c r="N363" s="97"/>
      <c r="O363" s="97"/>
      <c r="P363" s="97"/>
      <c r="Q363" s="97"/>
      <c r="R363" s="97"/>
      <c r="S363" s="97"/>
      <c r="T363" s="97"/>
      <c r="U363" s="97"/>
    </row>
    <row r="364" spans="1:21">
      <c r="A364" s="126"/>
      <c r="B364" s="127"/>
      <c r="C364" s="97"/>
      <c r="D364" s="519"/>
      <c r="E364" s="96"/>
      <c r="F364" s="97"/>
      <c r="G364" s="97"/>
      <c r="H364" s="97"/>
      <c r="I364" s="97"/>
      <c r="J364" s="97"/>
      <c r="K364" s="97"/>
      <c r="L364" s="97"/>
      <c r="M364" s="97"/>
      <c r="N364" s="97"/>
      <c r="O364" s="97"/>
      <c r="P364" s="97"/>
      <c r="Q364" s="97"/>
      <c r="R364" s="97"/>
      <c r="S364" s="97"/>
      <c r="T364" s="97"/>
      <c r="U364" s="97"/>
    </row>
    <row r="365" spans="1:21">
      <c r="A365" s="126"/>
      <c r="B365" s="127"/>
      <c r="C365" s="97"/>
      <c r="D365" s="519"/>
      <c r="E365" s="96"/>
      <c r="F365" s="97"/>
      <c r="G365" s="97"/>
      <c r="H365" s="97"/>
      <c r="I365" s="97"/>
      <c r="J365" s="97"/>
      <c r="K365" s="97"/>
      <c r="L365" s="97"/>
      <c r="M365" s="97"/>
      <c r="N365" s="97"/>
      <c r="O365" s="97"/>
      <c r="P365" s="97"/>
      <c r="Q365" s="97"/>
      <c r="R365" s="97"/>
      <c r="S365" s="97"/>
      <c r="T365" s="97"/>
      <c r="U365" s="97"/>
    </row>
    <row r="366" spans="1:21">
      <c r="A366" s="126"/>
      <c r="B366" s="127"/>
      <c r="C366" s="97"/>
      <c r="D366" s="519"/>
      <c r="E366" s="96"/>
      <c r="F366" s="97"/>
      <c r="G366" s="97"/>
      <c r="H366" s="97"/>
      <c r="I366" s="97"/>
      <c r="J366" s="97"/>
      <c r="K366" s="97"/>
      <c r="L366" s="97"/>
      <c r="M366" s="97"/>
      <c r="N366" s="97"/>
      <c r="O366" s="97"/>
      <c r="P366" s="97"/>
      <c r="Q366" s="97"/>
      <c r="R366" s="97"/>
      <c r="S366" s="97"/>
      <c r="T366" s="97"/>
      <c r="U366" s="97"/>
    </row>
    <row r="367" spans="1:21">
      <c r="A367" s="126"/>
      <c r="B367" s="127"/>
      <c r="C367" s="97"/>
      <c r="D367" s="519"/>
      <c r="E367" s="96"/>
      <c r="F367" s="97"/>
      <c r="G367" s="97"/>
      <c r="H367" s="97"/>
      <c r="I367" s="97"/>
      <c r="J367" s="97"/>
      <c r="K367" s="97"/>
      <c r="L367" s="97"/>
      <c r="M367" s="97"/>
      <c r="N367" s="97"/>
      <c r="O367" s="97"/>
      <c r="P367" s="97"/>
      <c r="Q367" s="97"/>
      <c r="R367" s="97"/>
      <c r="S367" s="97"/>
      <c r="T367" s="97"/>
      <c r="U367" s="97"/>
    </row>
    <row r="368" spans="1:21">
      <c r="A368" s="126"/>
      <c r="B368" s="127"/>
      <c r="C368" s="97"/>
      <c r="D368" s="519"/>
      <c r="E368" s="96"/>
      <c r="F368" s="97"/>
      <c r="G368" s="97"/>
      <c r="H368" s="97"/>
      <c r="I368" s="97"/>
      <c r="J368" s="97"/>
      <c r="K368" s="97"/>
      <c r="L368" s="97"/>
      <c r="M368" s="97"/>
      <c r="N368" s="97"/>
      <c r="O368" s="97"/>
      <c r="P368" s="97"/>
      <c r="Q368" s="97"/>
      <c r="R368" s="97"/>
      <c r="S368" s="97"/>
      <c r="T368" s="97"/>
      <c r="U368" s="97"/>
    </row>
    <row r="369" spans="1:21">
      <c r="A369" s="126"/>
      <c r="B369" s="127"/>
      <c r="C369" s="97"/>
      <c r="D369" s="519"/>
      <c r="E369" s="96"/>
      <c r="F369" s="97"/>
      <c r="G369" s="97"/>
      <c r="H369" s="97"/>
      <c r="I369" s="97"/>
      <c r="J369" s="97"/>
      <c r="K369" s="97"/>
      <c r="L369" s="97"/>
      <c r="M369" s="97"/>
      <c r="N369" s="97"/>
      <c r="O369" s="97"/>
      <c r="P369" s="97"/>
      <c r="Q369" s="97"/>
      <c r="R369" s="97"/>
      <c r="S369" s="97"/>
      <c r="T369" s="97"/>
      <c r="U369" s="97"/>
    </row>
    <row r="370" spans="1:21">
      <c r="A370" s="126"/>
      <c r="B370" s="127"/>
      <c r="C370" s="97"/>
      <c r="D370" s="519"/>
      <c r="E370" s="96"/>
      <c r="F370" s="97"/>
      <c r="G370" s="97"/>
      <c r="H370" s="97"/>
      <c r="I370" s="97"/>
      <c r="J370" s="97"/>
      <c r="K370" s="97"/>
      <c r="L370" s="97"/>
      <c r="M370" s="97"/>
      <c r="N370" s="97"/>
      <c r="O370" s="97"/>
      <c r="P370" s="97"/>
      <c r="Q370" s="97"/>
      <c r="R370" s="97"/>
      <c r="S370" s="97"/>
      <c r="T370" s="97"/>
      <c r="U370" s="97"/>
    </row>
    <row r="371" spans="1:21">
      <c r="A371" s="126"/>
      <c r="B371" s="127"/>
      <c r="C371" s="97"/>
      <c r="D371" s="519"/>
      <c r="E371" s="96"/>
      <c r="F371" s="97"/>
      <c r="G371" s="97"/>
      <c r="H371" s="97"/>
      <c r="I371" s="97"/>
      <c r="J371" s="97"/>
      <c r="K371" s="97"/>
      <c r="L371" s="97"/>
      <c r="M371" s="97"/>
      <c r="N371" s="97"/>
      <c r="O371" s="97"/>
      <c r="P371" s="97"/>
      <c r="Q371" s="97"/>
      <c r="R371" s="97"/>
      <c r="S371" s="97"/>
      <c r="T371" s="97"/>
      <c r="U371" s="97"/>
    </row>
    <row r="372" spans="1:21">
      <c r="A372" s="126"/>
      <c r="B372" s="127"/>
      <c r="C372" s="97"/>
      <c r="D372" s="519"/>
      <c r="E372" s="96"/>
      <c r="F372" s="97"/>
      <c r="G372" s="97"/>
      <c r="H372" s="97"/>
      <c r="I372" s="97"/>
      <c r="J372" s="97"/>
      <c r="K372" s="97"/>
      <c r="L372" s="97"/>
      <c r="M372" s="97"/>
      <c r="N372" s="97"/>
      <c r="O372" s="97"/>
      <c r="P372" s="97"/>
      <c r="Q372" s="97"/>
      <c r="R372" s="97"/>
      <c r="S372" s="97"/>
      <c r="T372" s="97"/>
      <c r="U372" s="97"/>
    </row>
    <row r="373" spans="1:21">
      <c r="A373" s="126"/>
      <c r="B373" s="127"/>
      <c r="C373" s="97"/>
      <c r="D373" s="519"/>
      <c r="E373" s="96"/>
      <c r="F373" s="97"/>
      <c r="G373" s="97"/>
      <c r="H373" s="97"/>
      <c r="I373" s="97"/>
      <c r="J373" s="97"/>
      <c r="K373" s="97"/>
      <c r="L373" s="97"/>
      <c r="M373" s="97"/>
      <c r="N373" s="97"/>
      <c r="O373" s="97"/>
      <c r="P373" s="97"/>
      <c r="Q373" s="97"/>
      <c r="R373" s="97"/>
      <c r="S373" s="97"/>
      <c r="T373" s="97"/>
      <c r="U373" s="97"/>
    </row>
    <row r="374" spans="1:21">
      <c r="A374" s="126"/>
      <c r="B374" s="127"/>
      <c r="C374" s="97"/>
      <c r="D374" s="519"/>
      <c r="E374" s="96"/>
      <c r="F374" s="97"/>
      <c r="G374" s="97"/>
      <c r="H374" s="97"/>
      <c r="I374" s="97"/>
      <c r="J374" s="97"/>
      <c r="K374" s="97"/>
      <c r="L374" s="97"/>
      <c r="M374" s="97"/>
      <c r="N374" s="97"/>
      <c r="O374" s="97"/>
      <c r="P374" s="97"/>
      <c r="Q374" s="97"/>
      <c r="R374" s="97"/>
      <c r="S374" s="97"/>
      <c r="T374" s="97"/>
      <c r="U374" s="97"/>
    </row>
    <row r="375" spans="1:21">
      <c r="A375" s="126"/>
      <c r="B375" s="127"/>
      <c r="C375" s="97"/>
      <c r="D375" s="519"/>
      <c r="E375" s="96"/>
      <c r="F375" s="97"/>
      <c r="G375" s="97"/>
      <c r="H375" s="97"/>
      <c r="I375" s="97"/>
      <c r="J375" s="97"/>
      <c r="K375" s="97"/>
      <c r="L375" s="97"/>
      <c r="M375" s="97"/>
      <c r="N375" s="97"/>
      <c r="O375" s="97"/>
      <c r="P375" s="97"/>
      <c r="Q375" s="97"/>
      <c r="R375" s="97"/>
      <c r="S375" s="97"/>
      <c r="T375" s="97"/>
      <c r="U375" s="97"/>
    </row>
    <row r="376" spans="1:21">
      <c r="A376" s="126"/>
      <c r="B376" s="127"/>
      <c r="C376" s="97"/>
      <c r="D376" s="519"/>
      <c r="E376" s="96"/>
      <c r="F376" s="97"/>
      <c r="G376" s="97"/>
      <c r="H376" s="97"/>
      <c r="I376" s="97"/>
      <c r="J376" s="97"/>
      <c r="K376" s="97"/>
      <c r="L376" s="97"/>
      <c r="M376" s="97"/>
      <c r="N376" s="97"/>
      <c r="O376" s="97"/>
      <c r="P376" s="97"/>
      <c r="Q376" s="97"/>
      <c r="R376" s="97"/>
      <c r="S376" s="97"/>
      <c r="T376" s="97"/>
      <c r="U376" s="97"/>
    </row>
    <row r="377" spans="1:21">
      <c r="A377" s="126"/>
      <c r="B377" s="127"/>
      <c r="C377" s="97"/>
      <c r="D377" s="519"/>
      <c r="E377" s="96"/>
      <c r="F377" s="97"/>
      <c r="G377" s="97"/>
      <c r="H377" s="97"/>
      <c r="I377" s="97"/>
      <c r="J377" s="97"/>
      <c r="K377" s="97"/>
      <c r="L377" s="97"/>
      <c r="M377" s="97"/>
      <c r="N377" s="97"/>
      <c r="O377" s="97"/>
      <c r="P377" s="97"/>
      <c r="Q377" s="97"/>
      <c r="R377" s="97"/>
      <c r="S377" s="97"/>
      <c r="T377" s="97"/>
      <c r="U377" s="97"/>
    </row>
    <row r="378" spans="1:21">
      <c r="A378" s="126"/>
      <c r="B378" s="127"/>
      <c r="C378" s="97"/>
      <c r="D378" s="519"/>
      <c r="E378" s="96"/>
      <c r="F378" s="97"/>
      <c r="G378" s="97"/>
      <c r="H378" s="97"/>
      <c r="I378" s="97"/>
      <c r="J378" s="97"/>
      <c r="K378" s="97"/>
      <c r="L378" s="97"/>
      <c r="M378" s="97"/>
      <c r="N378" s="97"/>
      <c r="O378" s="97"/>
      <c r="P378" s="97"/>
      <c r="Q378" s="97"/>
      <c r="R378" s="97"/>
      <c r="S378" s="97"/>
      <c r="T378" s="97"/>
      <c r="U378" s="97"/>
    </row>
    <row r="379" spans="1:21">
      <c r="A379" s="126"/>
      <c r="B379" s="127"/>
      <c r="C379" s="97"/>
      <c r="D379" s="519"/>
      <c r="E379" s="96"/>
      <c r="F379" s="97"/>
      <c r="G379" s="97"/>
      <c r="H379" s="97"/>
      <c r="I379" s="97"/>
      <c r="J379" s="97"/>
      <c r="K379" s="97"/>
      <c r="L379" s="97"/>
      <c r="M379" s="97"/>
      <c r="N379" s="97"/>
      <c r="O379" s="97"/>
      <c r="P379" s="97"/>
      <c r="Q379" s="97"/>
      <c r="R379" s="97"/>
      <c r="S379" s="97"/>
      <c r="T379" s="97"/>
      <c r="U379" s="97"/>
    </row>
    <row r="380" spans="1:21">
      <c r="A380" s="126"/>
      <c r="B380" s="127"/>
      <c r="C380" s="97"/>
      <c r="D380" s="519"/>
      <c r="E380" s="96"/>
      <c r="F380" s="97"/>
      <c r="G380" s="97"/>
      <c r="H380" s="97"/>
      <c r="I380" s="97"/>
      <c r="J380" s="97"/>
      <c r="K380" s="97"/>
      <c r="L380" s="97"/>
      <c r="M380" s="97"/>
      <c r="N380" s="97"/>
      <c r="O380" s="97"/>
      <c r="P380" s="97"/>
      <c r="Q380" s="97"/>
      <c r="R380" s="97"/>
      <c r="S380" s="97"/>
      <c r="T380" s="97"/>
      <c r="U380" s="97"/>
    </row>
    <row r="381" spans="1:21">
      <c r="A381" s="126"/>
      <c r="B381" s="127"/>
      <c r="C381" s="97"/>
      <c r="D381" s="519"/>
      <c r="E381" s="96"/>
      <c r="F381" s="97"/>
      <c r="G381" s="97"/>
      <c r="H381" s="97"/>
      <c r="I381" s="97"/>
      <c r="J381" s="97"/>
      <c r="K381" s="97"/>
      <c r="L381" s="97"/>
      <c r="M381" s="97"/>
      <c r="N381" s="97"/>
      <c r="O381" s="97"/>
      <c r="P381" s="97"/>
      <c r="Q381" s="97"/>
      <c r="R381" s="97"/>
      <c r="S381" s="97"/>
      <c r="T381" s="97"/>
      <c r="U381" s="97"/>
    </row>
    <row r="382" spans="1:21">
      <c r="A382" s="126"/>
      <c r="B382" s="127"/>
      <c r="C382" s="97"/>
      <c r="D382" s="519"/>
      <c r="E382" s="96"/>
      <c r="F382" s="97"/>
      <c r="G382" s="97"/>
      <c r="H382" s="97"/>
      <c r="I382" s="97"/>
      <c r="J382" s="97"/>
      <c r="K382" s="97"/>
      <c r="L382" s="97"/>
      <c r="M382" s="97"/>
      <c r="N382" s="97"/>
      <c r="O382" s="97"/>
      <c r="P382" s="97"/>
      <c r="Q382" s="97"/>
      <c r="R382" s="97"/>
      <c r="S382" s="97"/>
      <c r="T382" s="97"/>
      <c r="U382" s="97"/>
    </row>
    <row r="383" spans="1:21">
      <c r="A383" s="126"/>
      <c r="B383" s="127"/>
      <c r="C383" s="97"/>
      <c r="D383" s="519"/>
      <c r="E383" s="96"/>
      <c r="F383" s="97"/>
      <c r="G383" s="97"/>
      <c r="H383" s="97"/>
      <c r="I383" s="97"/>
      <c r="J383" s="97"/>
      <c r="K383" s="97"/>
      <c r="L383" s="97"/>
      <c r="M383" s="97"/>
      <c r="N383" s="97"/>
      <c r="O383" s="97"/>
      <c r="P383" s="97"/>
      <c r="Q383" s="97"/>
      <c r="R383" s="97"/>
      <c r="S383" s="97"/>
      <c r="T383" s="97"/>
      <c r="U383" s="97"/>
    </row>
    <row r="384" spans="1:21">
      <c r="A384" s="126"/>
      <c r="B384" s="127"/>
      <c r="C384" s="97"/>
      <c r="D384" s="519"/>
      <c r="E384" s="96"/>
      <c r="F384" s="97"/>
      <c r="G384" s="97"/>
      <c r="H384" s="97"/>
      <c r="I384" s="97"/>
      <c r="J384" s="97"/>
      <c r="K384" s="97"/>
      <c r="L384" s="97"/>
      <c r="M384" s="97"/>
      <c r="N384" s="97"/>
      <c r="O384" s="97"/>
      <c r="P384" s="97"/>
      <c r="Q384" s="97"/>
      <c r="R384" s="97"/>
      <c r="S384" s="97"/>
      <c r="T384" s="97"/>
      <c r="U384" s="97"/>
    </row>
    <row r="385" spans="1:21">
      <c r="A385" s="126"/>
      <c r="B385" s="127"/>
      <c r="C385" s="97"/>
      <c r="D385" s="519"/>
      <c r="E385" s="96"/>
      <c r="F385" s="97"/>
      <c r="G385" s="97"/>
      <c r="H385" s="97"/>
      <c r="I385" s="97"/>
      <c r="J385" s="97"/>
      <c r="K385" s="97"/>
      <c r="L385" s="97"/>
      <c r="M385" s="97"/>
      <c r="N385" s="97"/>
      <c r="O385" s="97"/>
      <c r="P385" s="97"/>
      <c r="Q385" s="97"/>
      <c r="R385" s="97"/>
      <c r="S385" s="97"/>
      <c r="T385" s="97"/>
      <c r="U385" s="97"/>
    </row>
    <row r="386" spans="1:21">
      <c r="A386" s="126"/>
      <c r="B386" s="127"/>
      <c r="C386" s="97"/>
      <c r="D386" s="519"/>
      <c r="E386" s="96"/>
      <c r="F386" s="97"/>
      <c r="G386" s="97"/>
      <c r="H386" s="97"/>
      <c r="I386" s="97"/>
      <c r="J386" s="97"/>
      <c r="K386" s="97"/>
      <c r="L386" s="97"/>
      <c r="M386" s="97"/>
      <c r="N386" s="97"/>
      <c r="O386" s="97"/>
      <c r="P386" s="97"/>
      <c r="Q386" s="97"/>
      <c r="R386" s="97"/>
      <c r="S386" s="97"/>
      <c r="T386" s="97"/>
      <c r="U386" s="97"/>
    </row>
    <row r="387" spans="1:21">
      <c r="A387" s="126"/>
      <c r="B387" s="127"/>
      <c r="C387" s="97"/>
      <c r="D387" s="519"/>
      <c r="E387" s="96"/>
      <c r="F387" s="97"/>
      <c r="G387" s="97"/>
      <c r="H387" s="97"/>
      <c r="I387" s="97"/>
      <c r="J387" s="97"/>
      <c r="K387" s="97"/>
      <c r="L387" s="97"/>
      <c r="M387" s="97"/>
      <c r="N387" s="97"/>
      <c r="O387" s="97"/>
      <c r="P387" s="97"/>
      <c r="Q387" s="97"/>
      <c r="R387" s="97"/>
      <c r="S387" s="97"/>
      <c r="T387" s="97"/>
      <c r="U387" s="97"/>
    </row>
    <row r="388" spans="1:21">
      <c r="A388" s="126"/>
      <c r="B388" s="127"/>
      <c r="C388" s="97"/>
      <c r="D388" s="519"/>
      <c r="E388" s="96"/>
      <c r="F388" s="97"/>
      <c r="G388" s="97"/>
      <c r="H388" s="97"/>
      <c r="I388" s="97"/>
      <c r="J388" s="97"/>
      <c r="K388" s="97"/>
      <c r="L388" s="97"/>
      <c r="M388" s="97"/>
      <c r="N388" s="97"/>
      <c r="O388" s="97"/>
      <c r="P388" s="97"/>
      <c r="Q388" s="97"/>
      <c r="R388" s="97"/>
      <c r="S388" s="97"/>
      <c r="T388" s="97"/>
      <c r="U388" s="97"/>
    </row>
    <row r="389" spans="1:21">
      <c r="A389" s="126"/>
      <c r="B389" s="127"/>
      <c r="C389" s="97"/>
      <c r="D389" s="519"/>
      <c r="E389" s="96"/>
      <c r="F389" s="97"/>
      <c r="G389" s="97"/>
      <c r="H389" s="97"/>
      <c r="I389" s="97"/>
      <c r="J389" s="97"/>
      <c r="K389" s="97"/>
      <c r="L389" s="97"/>
      <c r="M389" s="97"/>
      <c r="N389" s="97"/>
      <c r="O389" s="97"/>
      <c r="P389" s="97"/>
      <c r="Q389" s="97"/>
      <c r="R389" s="97"/>
      <c r="S389" s="97"/>
      <c r="T389" s="97"/>
      <c r="U389" s="97"/>
    </row>
    <row r="390" spans="1:21">
      <c r="A390" s="126"/>
      <c r="B390" s="127"/>
      <c r="C390" s="97"/>
      <c r="D390" s="519"/>
      <c r="E390" s="96"/>
      <c r="F390" s="97"/>
      <c r="G390" s="97"/>
      <c r="H390" s="97"/>
      <c r="I390" s="97"/>
      <c r="J390" s="97"/>
      <c r="K390" s="97"/>
      <c r="L390" s="97"/>
      <c r="M390" s="97"/>
      <c r="N390" s="97"/>
      <c r="O390" s="97"/>
      <c r="P390" s="97"/>
      <c r="Q390" s="97"/>
      <c r="R390" s="97"/>
      <c r="S390" s="97"/>
      <c r="T390" s="97"/>
      <c r="U390" s="97"/>
    </row>
    <row r="391" spans="1:21">
      <c r="A391" s="126"/>
      <c r="B391" s="127"/>
      <c r="C391" s="97"/>
      <c r="D391" s="519"/>
      <c r="E391" s="96"/>
      <c r="F391" s="97"/>
      <c r="G391" s="97"/>
      <c r="H391" s="97"/>
      <c r="I391" s="97"/>
      <c r="J391" s="97"/>
      <c r="K391" s="97"/>
      <c r="L391" s="97"/>
      <c r="M391" s="97"/>
      <c r="N391" s="97"/>
      <c r="O391" s="97"/>
      <c r="P391" s="97"/>
      <c r="Q391" s="97"/>
      <c r="R391" s="97"/>
      <c r="S391" s="97"/>
      <c r="T391" s="97"/>
      <c r="U391" s="97"/>
    </row>
    <row r="392" spans="1:21">
      <c r="A392" s="126"/>
      <c r="B392" s="127"/>
      <c r="C392" s="97"/>
      <c r="D392" s="519"/>
      <c r="E392" s="96"/>
      <c r="F392" s="97"/>
      <c r="G392" s="97"/>
      <c r="H392" s="97"/>
      <c r="I392" s="97"/>
      <c r="J392" s="97"/>
      <c r="K392" s="97"/>
      <c r="L392" s="97"/>
      <c r="M392" s="97"/>
      <c r="N392" s="97"/>
      <c r="O392" s="97"/>
      <c r="P392" s="97"/>
      <c r="Q392" s="97"/>
      <c r="R392" s="97"/>
      <c r="S392" s="97"/>
      <c r="T392" s="97"/>
      <c r="U392" s="97"/>
    </row>
    <row r="393" spans="1:21">
      <c r="A393" s="126"/>
      <c r="B393" s="127"/>
      <c r="C393" s="97"/>
      <c r="D393" s="519"/>
      <c r="E393" s="96"/>
      <c r="F393" s="97"/>
      <c r="G393" s="97"/>
      <c r="H393" s="97"/>
      <c r="I393" s="97"/>
      <c r="J393" s="97"/>
      <c r="K393" s="97"/>
      <c r="L393" s="97"/>
      <c r="M393" s="97"/>
      <c r="N393" s="97"/>
      <c r="O393" s="97"/>
      <c r="P393" s="97"/>
      <c r="Q393" s="97"/>
      <c r="R393" s="97"/>
      <c r="S393" s="97"/>
      <c r="T393" s="97"/>
      <c r="U393" s="97"/>
    </row>
    <row r="394" spans="1:21">
      <c r="A394" s="126"/>
      <c r="B394" s="127"/>
      <c r="C394" s="97"/>
      <c r="D394" s="519"/>
      <c r="E394" s="96"/>
      <c r="F394" s="97"/>
      <c r="G394" s="97"/>
      <c r="H394" s="97"/>
      <c r="I394" s="97"/>
      <c r="J394" s="97"/>
      <c r="K394" s="97"/>
      <c r="L394" s="97"/>
      <c r="M394" s="97"/>
      <c r="N394" s="97"/>
      <c r="O394" s="97"/>
      <c r="P394" s="97"/>
      <c r="Q394" s="97"/>
      <c r="R394" s="97"/>
      <c r="S394" s="97"/>
      <c r="T394" s="97"/>
      <c r="U394" s="97"/>
    </row>
    <row r="395" spans="1:21">
      <c r="A395" s="126"/>
      <c r="B395" s="127"/>
      <c r="C395" s="97"/>
      <c r="D395" s="519"/>
      <c r="E395" s="96"/>
      <c r="F395" s="97"/>
      <c r="G395" s="97"/>
      <c r="H395" s="97"/>
      <c r="I395" s="97"/>
      <c r="J395" s="97"/>
      <c r="K395" s="97"/>
      <c r="L395" s="97"/>
      <c r="M395" s="97"/>
      <c r="N395" s="97"/>
      <c r="O395" s="97"/>
      <c r="P395" s="97"/>
      <c r="Q395" s="97"/>
      <c r="R395" s="97"/>
      <c r="S395" s="97"/>
      <c r="T395" s="97"/>
      <c r="U395" s="97"/>
    </row>
    <row r="396" spans="1:21">
      <c r="A396" s="126"/>
      <c r="B396" s="127"/>
      <c r="C396" s="97"/>
      <c r="D396" s="519"/>
      <c r="E396" s="96"/>
      <c r="F396" s="97"/>
      <c r="G396" s="97"/>
      <c r="H396" s="97"/>
      <c r="I396" s="97"/>
      <c r="J396" s="97"/>
      <c r="K396" s="97"/>
      <c r="L396" s="97"/>
      <c r="M396" s="97"/>
      <c r="N396" s="97"/>
      <c r="O396" s="97"/>
      <c r="P396" s="97"/>
      <c r="Q396" s="97"/>
      <c r="R396" s="97"/>
      <c r="S396" s="97"/>
      <c r="T396" s="97"/>
      <c r="U396" s="97"/>
    </row>
    <row r="397" spans="1:21">
      <c r="A397" s="126"/>
      <c r="B397" s="127"/>
      <c r="C397" s="97"/>
      <c r="D397" s="519"/>
      <c r="E397" s="96"/>
      <c r="F397" s="97"/>
      <c r="G397" s="97"/>
      <c r="H397" s="97"/>
      <c r="I397" s="97"/>
      <c r="J397" s="97"/>
      <c r="K397" s="97"/>
      <c r="L397" s="97"/>
      <c r="M397" s="97"/>
      <c r="N397" s="97"/>
      <c r="O397" s="97"/>
      <c r="P397" s="97"/>
      <c r="Q397" s="97"/>
      <c r="R397" s="97"/>
      <c r="S397" s="97"/>
      <c r="T397" s="97"/>
      <c r="U397" s="97"/>
    </row>
    <row r="398" spans="1:21">
      <c r="A398" s="126"/>
      <c r="B398" s="127"/>
      <c r="C398" s="97"/>
      <c r="D398" s="519"/>
      <c r="E398" s="96"/>
      <c r="F398" s="97"/>
      <c r="G398" s="97"/>
      <c r="H398" s="97"/>
      <c r="I398" s="97"/>
      <c r="J398" s="97"/>
      <c r="K398" s="97"/>
      <c r="L398" s="97"/>
      <c r="M398" s="97"/>
      <c r="N398" s="97"/>
      <c r="O398" s="97"/>
      <c r="P398" s="97"/>
      <c r="Q398" s="97"/>
      <c r="R398" s="97"/>
      <c r="S398" s="97"/>
      <c r="T398" s="97"/>
      <c r="U398" s="97"/>
    </row>
    <row r="399" spans="1:21">
      <c r="A399" s="126"/>
      <c r="B399" s="127"/>
      <c r="C399" s="97"/>
      <c r="D399" s="519"/>
      <c r="E399" s="96"/>
      <c r="F399" s="97"/>
      <c r="G399" s="97"/>
      <c r="H399" s="97"/>
      <c r="I399" s="97"/>
      <c r="J399" s="97"/>
      <c r="K399" s="97"/>
      <c r="L399" s="97"/>
      <c r="M399" s="97"/>
      <c r="N399" s="97"/>
      <c r="O399" s="97"/>
      <c r="P399" s="97"/>
      <c r="Q399" s="97"/>
      <c r="R399" s="97"/>
      <c r="S399" s="97"/>
      <c r="T399" s="97"/>
      <c r="U399" s="97"/>
    </row>
    <row r="400" spans="1:21">
      <c r="A400" s="126"/>
      <c r="B400" s="127"/>
      <c r="C400" s="97"/>
      <c r="D400" s="519"/>
      <c r="E400" s="96"/>
      <c r="F400" s="97"/>
      <c r="G400" s="97"/>
      <c r="H400" s="97"/>
      <c r="I400" s="97"/>
      <c r="J400" s="97"/>
      <c r="K400" s="97"/>
      <c r="L400" s="97"/>
      <c r="M400" s="97"/>
      <c r="N400" s="97"/>
      <c r="O400" s="97"/>
      <c r="P400" s="97"/>
      <c r="Q400" s="97"/>
      <c r="R400" s="97"/>
      <c r="S400" s="97"/>
      <c r="T400" s="97"/>
      <c r="U400" s="97"/>
    </row>
    <row r="401" spans="1:21">
      <c r="A401" s="126"/>
      <c r="B401" s="127"/>
      <c r="C401" s="97"/>
      <c r="D401" s="519"/>
      <c r="E401" s="96"/>
      <c r="F401" s="97"/>
      <c r="G401" s="97"/>
      <c r="H401" s="97"/>
      <c r="I401" s="97"/>
      <c r="J401" s="97"/>
      <c r="K401" s="97"/>
      <c r="L401" s="97"/>
      <c r="M401" s="97"/>
      <c r="N401" s="97"/>
      <c r="O401" s="97"/>
      <c r="P401" s="97"/>
      <c r="Q401" s="97"/>
      <c r="R401" s="97"/>
      <c r="S401" s="97"/>
      <c r="T401" s="97"/>
      <c r="U401" s="97"/>
    </row>
    <row r="402" spans="1:21">
      <c r="A402" s="126"/>
      <c r="B402" s="127"/>
      <c r="C402" s="97"/>
      <c r="D402" s="519"/>
      <c r="E402" s="96"/>
      <c r="F402" s="97"/>
      <c r="G402" s="97"/>
      <c r="H402" s="97"/>
      <c r="I402" s="97"/>
      <c r="J402" s="97"/>
      <c r="K402" s="97"/>
      <c r="L402" s="97"/>
      <c r="M402" s="97"/>
      <c r="N402" s="97"/>
      <c r="O402" s="97"/>
      <c r="P402" s="97"/>
      <c r="Q402" s="97"/>
      <c r="R402" s="97"/>
      <c r="S402" s="97"/>
      <c r="T402" s="97"/>
      <c r="U402" s="97"/>
    </row>
    <row r="403" spans="1:21">
      <c r="A403" s="126"/>
      <c r="B403" s="127"/>
      <c r="C403" s="97"/>
      <c r="D403" s="519"/>
      <c r="E403" s="96"/>
      <c r="F403" s="97"/>
      <c r="G403" s="97"/>
      <c r="H403" s="97"/>
      <c r="I403" s="97"/>
      <c r="J403" s="97"/>
      <c r="K403" s="97"/>
      <c r="L403" s="97"/>
      <c r="M403" s="97"/>
      <c r="N403" s="97"/>
      <c r="O403" s="97"/>
      <c r="P403" s="97"/>
      <c r="Q403" s="97"/>
      <c r="R403" s="97"/>
      <c r="S403" s="97"/>
      <c r="T403" s="97"/>
      <c r="U403" s="97"/>
    </row>
    <row r="404" spans="1:21">
      <c r="A404" s="126"/>
      <c r="B404" s="127"/>
      <c r="C404" s="97"/>
      <c r="D404" s="519"/>
      <c r="E404" s="96"/>
      <c r="F404" s="97"/>
      <c r="G404" s="97"/>
      <c r="H404" s="97"/>
      <c r="I404" s="97"/>
      <c r="J404" s="97"/>
      <c r="K404" s="97"/>
      <c r="L404" s="97"/>
      <c r="M404" s="97"/>
      <c r="N404" s="97"/>
      <c r="O404" s="97"/>
      <c r="P404" s="97"/>
      <c r="Q404" s="97"/>
      <c r="R404" s="97"/>
      <c r="S404" s="97"/>
      <c r="T404" s="97"/>
      <c r="U404" s="97"/>
    </row>
    <row r="405" spans="1:21">
      <c r="A405" s="126"/>
      <c r="B405" s="127"/>
      <c r="C405" s="97"/>
      <c r="D405" s="519"/>
      <c r="E405" s="96"/>
      <c r="F405" s="97"/>
      <c r="G405" s="97"/>
      <c r="H405" s="97"/>
      <c r="I405" s="97"/>
      <c r="J405" s="97"/>
      <c r="K405" s="97"/>
      <c r="L405" s="97"/>
      <c r="M405" s="97"/>
      <c r="N405" s="97"/>
      <c r="O405" s="97"/>
      <c r="P405" s="97"/>
      <c r="Q405" s="97"/>
      <c r="R405" s="97"/>
      <c r="S405" s="97"/>
      <c r="T405" s="97"/>
      <c r="U405" s="97"/>
    </row>
    <row r="406" spans="1:21">
      <c r="A406" s="126"/>
      <c r="B406" s="127"/>
      <c r="C406" s="97"/>
      <c r="D406" s="519"/>
      <c r="E406" s="96"/>
      <c r="F406" s="97"/>
      <c r="G406" s="97"/>
      <c r="H406" s="97"/>
      <c r="I406" s="97"/>
      <c r="J406" s="97"/>
      <c r="K406" s="97"/>
      <c r="L406" s="97"/>
      <c r="M406" s="97"/>
      <c r="N406" s="97"/>
      <c r="O406" s="97"/>
      <c r="P406" s="97"/>
      <c r="Q406" s="97"/>
      <c r="R406" s="97"/>
      <c r="S406" s="97"/>
      <c r="T406" s="97"/>
      <c r="U406" s="97"/>
    </row>
    <row r="407" spans="1:21">
      <c r="A407" s="126"/>
      <c r="B407" s="127"/>
      <c r="C407" s="97"/>
      <c r="D407" s="519"/>
      <c r="E407" s="96"/>
      <c r="F407" s="97"/>
      <c r="G407" s="97"/>
      <c r="H407" s="97"/>
      <c r="I407" s="97"/>
      <c r="J407" s="97"/>
      <c r="K407" s="97"/>
      <c r="L407" s="97"/>
      <c r="M407" s="97"/>
      <c r="N407" s="97"/>
      <c r="O407" s="97"/>
      <c r="P407" s="97"/>
      <c r="Q407" s="97"/>
      <c r="R407" s="97"/>
      <c r="S407" s="97"/>
      <c r="T407" s="97"/>
      <c r="U407" s="97"/>
    </row>
    <row r="408" spans="1:21">
      <c r="A408" s="126"/>
      <c r="B408" s="127"/>
      <c r="C408" s="97"/>
      <c r="D408" s="519"/>
      <c r="E408" s="96"/>
      <c r="F408" s="97"/>
      <c r="G408" s="97"/>
      <c r="H408" s="97"/>
      <c r="I408" s="97"/>
      <c r="J408" s="97"/>
      <c r="K408" s="97"/>
      <c r="L408" s="97"/>
      <c r="M408" s="97"/>
      <c r="N408" s="97"/>
      <c r="O408" s="97"/>
      <c r="P408" s="97"/>
      <c r="Q408" s="97"/>
      <c r="R408" s="97"/>
      <c r="S408" s="97"/>
      <c r="T408" s="97"/>
      <c r="U408" s="97"/>
    </row>
    <row r="409" spans="1:21">
      <c r="A409" s="126"/>
      <c r="B409" s="127"/>
      <c r="C409" s="97"/>
      <c r="D409" s="519"/>
      <c r="E409" s="96"/>
      <c r="F409" s="97"/>
      <c r="G409" s="97"/>
      <c r="H409" s="97"/>
      <c r="I409" s="97"/>
      <c r="J409" s="97"/>
      <c r="K409" s="97"/>
      <c r="L409" s="97"/>
      <c r="M409" s="97"/>
      <c r="N409" s="97"/>
      <c r="O409" s="97"/>
      <c r="P409" s="97"/>
      <c r="Q409" s="97"/>
      <c r="R409" s="97"/>
      <c r="S409" s="97"/>
      <c r="T409" s="97"/>
      <c r="U409" s="97"/>
    </row>
    <row r="410" spans="1:21">
      <c r="A410" s="126"/>
      <c r="B410" s="127"/>
      <c r="C410" s="97"/>
      <c r="D410" s="519"/>
      <c r="E410" s="96"/>
      <c r="F410" s="97"/>
      <c r="G410" s="97"/>
      <c r="H410" s="97"/>
      <c r="I410" s="97"/>
      <c r="J410" s="97"/>
      <c r="K410" s="97"/>
      <c r="L410" s="97"/>
      <c r="M410" s="97"/>
      <c r="N410" s="97"/>
      <c r="O410" s="97"/>
      <c r="P410" s="97"/>
      <c r="Q410" s="97"/>
      <c r="R410" s="97"/>
      <c r="S410" s="97"/>
      <c r="T410" s="97"/>
      <c r="U410" s="97"/>
    </row>
    <row r="411" spans="1:21">
      <c r="A411" s="126"/>
      <c r="B411" s="127"/>
      <c r="C411" s="97"/>
      <c r="D411" s="519"/>
      <c r="E411" s="96"/>
      <c r="F411" s="97"/>
      <c r="G411" s="97"/>
      <c r="H411" s="97"/>
      <c r="I411" s="97"/>
      <c r="J411" s="97"/>
      <c r="K411" s="97"/>
      <c r="L411" s="97"/>
      <c r="M411" s="97"/>
      <c r="N411" s="97"/>
      <c r="O411" s="97"/>
      <c r="P411" s="97"/>
      <c r="Q411" s="97"/>
      <c r="R411" s="97"/>
      <c r="S411" s="97"/>
      <c r="T411" s="97"/>
      <c r="U411" s="97"/>
    </row>
    <row r="412" spans="1:21">
      <c r="A412" s="126"/>
      <c r="B412" s="127"/>
      <c r="C412" s="97"/>
      <c r="D412" s="519"/>
      <c r="E412" s="96"/>
      <c r="F412" s="97"/>
      <c r="G412" s="97"/>
      <c r="H412" s="97"/>
      <c r="I412" s="97"/>
      <c r="J412" s="97"/>
      <c r="K412" s="97"/>
      <c r="L412" s="97"/>
      <c r="M412" s="97"/>
      <c r="N412" s="97"/>
      <c r="O412" s="97"/>
      <c r="P412" s="97"/>
      <c r="Q412" s="97"/>
      <c r="R412" s="97"/>
      <c r="S412" s="97"/>
      <c r="T412" s="97"/>
      <c r="U412" s="97"/>
    </row>
    <row r="413" spans="1:21">
      <c r="A413" s="126"/>
      <c r="B413" s="127"/>
      <c r="C413" s="97"/>
      <c r="D413" s="519"/>
      <c r="E413" s="96"/>
      <c r="F413" s="97"/>
      <c r="G413" s="97"/>
      <c r="H413" s="97"/>
      <c r="I413" s="97"/>
      <c r="J413" s="97"/>
      <c r="K413" s="97"/>
      <c r="L413" s="97"/>
      <c r="M413" s="97"/>
      <c r="N413" s="97"/>
      <c r="O413" s="97"/>
      <c r="P413" s="97"/>
      <c r="Q413" s="97"/>
      <c r="R413" s="97"/>
      <c r="S413" s="97"/>
      <c r="T413" s="97"/>
      <c r="U413" s="97"/>
    </row>
    <row r="414" spans="1:21">
      <c r="A414" s="126"/>
      <c r="B414" s="127"/>
      <c r="C414" s="97"/>
      <c r="D414" s="519"/>
      <c r="E414" s="96"/>
      <c r="F414" s="97"/>
      <c r="G414" s="97"/>
      <c r="H414" s="97"/>
      <c r="I414" s="97"/>
      <c r="J414" s="97"/>
      <c r="K414" s="97"/>
      <c r="L414" s="97"/>
      <c r="M414" s="97"/>
      <c r="N414" s="97"/>
      <c r="O414" s="97"/>
      <c r="P414" s="97"/>
      <c r="Q414" s="97"/>
      <c r="R414" s="97"/>
      <c r="S414" s="97"/>
      <c r="T414" s="97"/>
      <c r="U414" s="97"/>
    </row>
    <row r="415" spans="1:21">
      <c r="A415" s="126"/>
      <c r="B415" s="127"/>
      <c r="C415" s="97"/>
      <c r="D415" s="519"/>
      <c r="E415" s="96"/>
      <c r="F415" s="97"/>
      <c r="G415" s="97"/>
      <c r="H415" s="97"/>
      <c r="I415" s="97"/>
      <c r="J415" s="97"/>
      <c r="K415" s="97"/>
      <c r="L415" s="97"/>
      <c r="M415" s="97"/>
      <c r="N415" s="97"/>
      <c r="O415" s="97"/>
      <c r="P415" s="97"/>
      <c r="Q415" s="97"/>
      <c r="R415" s="97"/>
      <c r="S415" s="97"/>
      <c r="T415" s="97"/>
      <c r="U415" s="97"/>
    </row>
    <row r="416" spans="1:21">
      <c r="A416" s="126"/>
      <c r="B416" s="127"/>
      <c r="C416" s="97"/>
      <c r="D416" s="519"/>
      <c r="E416" s="96"/>
      <c r="F416" s="97"/>
      <c r="G416" s="97"/>
      <c r="H416" s="97"/>
      <c r="I416" s="97"/>
      <c r="J416" s="97"/>
      <c r="K416" s="97"/>
      <c r="L416" s="97"/>
      <c r="M416" s="97"/>
      <c r="N416" s="97"/>
      <c r="O416" s="97"/>
      <c r="P416" s="97"/>
      <c r="Q416" s="97"/>
      <c r="R416" s="97"/>
      <c r="S416" s="97"/>
      <c r="T416" s="97"/>
      <c r="U416" s="97"/>
    </row>
    <row r="417" spans="1:21">
      <c r="A417" s="126"/>
      <c r="B417" s="127"/>
      <c r="C417" s="97"/>
      <c r="D417" s="519"/>
      <c r="E417" s="96"/>
      <c r="F417" s="97"/>
      <c r="G417" s="97"/>
      <c r="H417" s="97"/>
      <c r="I417" s="97"/>
      <c r="J417" s="97"/>
      <c r="K417" s="97"/>
      <c r="L417" s="97"/>
      <c r="M417" s="97"/>
      <c r="N417" s="97"/>
      <c r="O417" s="97"/>
      <c r="P417" s="97"/>
      <c r="Q417" s="97"/>
      <c r="R417" s="97"/>
      <c r="S417" s="97"/>
      <c r="T417" s="97"/>
      <c r="U417" s="97"/>
    </row>
    <row r="418" spans="1:21">
      <c r="A418" s="126"/>
      <c r="B418" s="127"/>
      <c r="C418" s="97"/>
      <c r="D418" s="519"/>
      <c r="E418" s="96"/>
      <c r="F418" s="97"/>
      <c r="G418" s="97"/>
      <c r="H418" s="97"/>
      <c r="I418" s="97"/>
      <c r="J418" s="97"/>
      <c r="K418" s="97"/>
      <c r="L418" s="97"/>
      <c r="M418" s="97"/>
      <c r="N418" s="97"/>
      <c r="O418" s="97"/>
      <c r="P418" s="97"/>
      <c r="Q418" s="97"/>
      <c r="R418" s="97"/>
      <c r="S418" s="97"/>
      <c r="T418" s="97"/>
      <c r="U418" s="97"/>
    </row>
    <row r="419" spans="1:21">
      <c r="A419" s="126"/>
      <c r="B419" s="127"/>
      <c r="C419" s="97"/>
      <c r="D419" s="519"/>
      <c r="E419" s="96"/>
      <c r="F419" s="97"/>
      <c r="G419" s="97"/>
      <c r="H419" s="97"/>
      <c r="I419" s="97"/>
      <c r="J419" s="97"/>
      <c r="K419" s="97"/>
      <c r="L419" s="97"/>
      <c r="M419" s="97"/>
      <c r="N419" s="97"/>
      <c r="O419" s="97"/>
      <c r="P419" s="97"/>
      <c r="Q419" s="97"/>
      <c r="R419" s="97"/>
      <c r="S419" s="97"/>
      <c r="T419" s="97"/>
      <c r="U419" s="97"/>
    </row>
    <row r="420" spans="1:21">
      <c r="A420" s="126"/>
      <c r="B420" s="127"/>
      <c r="C420" s="97"/>
      <c r="D420" s="519"/>
      <c r="E420" s="96"/>
      <c r="F420" s="97"/>
      <c r="G420" s="97"/>
      <c r="H420" s="97"/>
      <c r="I420" s="97"/>
      <c r="J420" s="97"/>
      <c r="K420" s="97"/>
      <c r="L420" s="97"/>
      <c r="M420" s="97"/>
      <c r="N420" s="97"/>
      <c r="O420" s="97"/>
      <c r="P420" s="97"/>
      <c r="Q420" s="97"/>
      <c r="R420" s="97"/>
      <c r="S420" s="97"/>
      <c r="T420" s="97"/>
      <c r="U420" s="97"/>
    </row>
    <row r="421" spans="1:21">
      <c r="A421" s="126"/>
      <c r="B421" s="127"/>
      <c r="C421" s="97"/>
      <c r="D421" s="519"/>
      <c r="E421" s="96"/>
      <c r="F421" s="97"/>
      <c r="G421" s="97"/>
      <c r="H421" s="97"/>
      <c r="I421" s="97"/>
      <c r="J421" s="97"/>
      <c r="K421" s="97"/>
      <c r="L421" s="97"/>
      <c r="M421" s="97"/>
      <c r="N421" s="97"/>
      <c r="O421" s="97"/>
      <c r="P421" s="97"/>
      <c r="Q421" s="97"/>
      <c r="R421" s="97"/>
      <c r="S421" s="97"/>
      <c r="T421" s="97"/>
      <c r="U421" s="97"/>
    </row>
    <row r="422" spans="1:21">
      <c r="A422" s="126"/>
      <c r="B422" s="127"/>
      <c r="C422" s="97"/>
      <c r="D422" s="519"/>
      <c r="E422" s="96"/>
      <c r="F422" s="97"/>
      <c r="G422" s="97"/>
      <c r="H422" s="97"/>
      <c r="I422" s="97"/>
      <c r="J422" s="97"/>
      <c r="K422" s="97"/>
      <c r="L422" s="97"/>
      <c r="M422" s="97"/>
      <c r="N422" s="97"/>
      <c r="O422" s="97"/>
      <c r="P422" s="97"/>
      <c r="Q422" s="97"/>
      <c r="R422" s="97"/>
      <c r="S422" s="97"/>
      <c r="T422" s="97"/>
      <c r="U422" s="97"/>
    </row>
    <row r="423" spans="1:21">
      <c r="A423" s="126"/>
      <c r="B423" s="127"/>
      <c r="C423" s="97"/>
      <c r="D423" s="519"/>
      <c r="E423" s="96"/>
      <c r="F423" s="97"/>
      <c r="G423" s="97"/>
      <c r="H423" s="97"/>
      <c r="I423" s="97"/>
      <c r="J423" s="97"/>
      <c r="K423" s="97"/>
      <c r="L423" s="97"/>
      <c r="M423" s="97"/>
      <c r="N423" s="97"/>
      <c r="O423" s="97"/>
      <c r="P423" s="97"/>
      <c r="Q423" s="97"/>
      <c r="R423" s="97"/>
      <c r="S423" s="97"/>
      <c r="T423" s="97"/>
      <c r="U423" s="97"/>
    </row>
    <row r="424" spans="1:21">
      <c r="A424" s="126"/>
      <c r="B424" s="127"/>
      <c r="C424" s="97"/>
      <c r="D424" s="519"/>
      <c r="E424" s="96"/>
      <c r="F424" s="97"/>
      <c r="G424" s="97"/>
      <c r="H424" s="97"/>
      <c r="I424" s="97"/>
      <c r="J424" s="97"/>
      <c r="K424" s="97"/>
      <c r="L424" s="97"/>
      <c r="M424" s="97"/>
      <c r="N424" s="97"/>
      <c r="O424" s="97"/>
      <c r="P424" s="97"/>
      <c r="Q424" s="97"/>
      <c r="R424" s="97"/>
      <c r="S424" s="97"/>
      <c r="T424" s="97"/>
      <c r="U424" s="97"/>
    </row>
    <row r="425" spans="1:21">
      <c r="A425" s="126"/>
      <c r="B425" s="127"/>
      <c r="C425" s="97"/>
      <c r="D425" s="519"/>
      <c r="E425" s="96"/>
      <c r="F425" s="97"/>
      <c r="G425" s="97"/>
      <c r="H425" s="97"/>
      <c r="I425" s="97"/>
      <c r="J425" s="97"/>
      <c r="K425" s="97"/>
      <c r="L425" s="97"/>
      <c r="M425" s="97"/>
      <c r="N425" s="97"/>
      <c r="O425" s="97"/>
      <c r="P425" s="97"/>
      <c r="Q425" s="97"/>
      <c r="R425" s="97"/>
      <c r="S425" s="97"/>
      <c r="T425" s="97"/>
      <c r="U425" s="97"/>
    </row>
    <row r="426" spans="1:21">
      <c r="A426" s="126"/>
      <c r="B426" s="127"/>
      <c r="C426" s="97"/>
      <c r="D426" s="519"/>
      <c r="E426" s="96"/>
      <c r="F426" s="97"/>
      <c r="G426" s="97"/>
      <c r="H426" s="97"/>
      <c r="I426" s="97"/>
      <c r="J426" s="97"/>
      <c r="K426" s="97"/>
      <c r="L426" s="97"/>
      <c r="M426" s="97"/>
      <c r="N426" s="97"/>
      <c r="O426" s="97"/>
      <c r="P426" s="97"/>
      <c r="Q426" s="97"/>
      <c r="R426" s="97"/>
      <c r="S426" s="97"/>
      <c r="T426" s="97"/>
      <c r="U426" s="97"/>
    </row>
    <row r="427" spans="1:21">
      <c r="A427" s="126"/>
      <c r="B427" s="127"/>
      <c r="C427" s="97"/>
      <c r="D427" s="519"/>
      <c r="E427" s="96"/>
      <c r="F427" s="97"/>
      <c r="G427" s="97"/>
      <c r="H427" s="97"/>
      <c r="I427" s="97"/>
      <c r="J427" s="97"/>
      <c r="K427" s="97"/>
      <c r="L427" s="97"/>
      <c r="M427" s="97"/>
      <c r="N427" s="97"/>
      <c r="O427" s="97"/>
      <c r="P427" s="97"/>
      <c r="Q427" s="97"/>
      <c r="R427" s="97"/>
      <c r="S427" s="97"/>
      <c r="T427" s="97"/>
      <c r="U427" s="97"/>
    </row>
    <row r="428" spans="1:21">
      <c r="A428" s="126"/>
      <c r="B428" s="127"/>
      <c r="C428" s="97"/>
      <c r="D428" s="519"/>
      <c r="E428" s="96"/>
      <c r="F428" s="97"/>
      <c r="G428" s="97"/>
      <c r="H428" s="97"/>
      <c r="I428" s="97"/>
      <c r="J428" s="97"/>
      <c r="K428" s="97"/>
      <c r="L428" s="97"/>
      <c r="M428" s="97"/>
      <c r="N428" s="97"/>
      <c r="O428" s="97"/>
      <c r="P428" s="97"/>
      <c r="Q428" s="97"/>
      <c r="R428" s="97"/>
      <c r="S428" s="97"/>
      <c r="T428" s="97"/>
      <c r="U428" s="97"/>
    </row>
    <row r="429" spans="1:21">
      <c r="A429" s="126"/>
      <c r="B429" s="127"/>
      <c r="C429" s="97"/>
      <c r="D429" s="519"/>
      <c r="E429" s="96"/>
      <c r="F429" s="97"/>
      <c r="G429" s="97"/>
      <c r="H429" s="97"/>
      <c r="I429" s="97"/>
      <c r="J429" s="97"/>
      <c r="K429" s="97"/>
      <c r="L429" s="97"/>
      <c r="M429" s="97"/>
      <c r="N429" s="97"/>
      <c r="O429" s="97"/>
      <c r="P429" s="97"/>
      <c r="Q429" s="97"/>
      <c r="R429" s="97"/>
      <c r="S429" s="97"/>
      <c r="T429" s="97"/>
      <c r="U429" s="97"/>
    </row>
    <row r="430" spans="1:21">
      <c r="A430" s="126"/>
      <c r="B430" s="127"/>
      <c r="C430" s="97"/>
      <c r="D430" s="519"/>
      <c r="E430" s="96"/>
      <c r="F430" s="97"/>
      <c r="G430" s="97"/>
      <c r="H430" s="97"/>
      <c r="I430" s="97"/>
      <c r="J430" s="97"/>
      <c r="K430" s="97"/>
      <c r="L430" s="97"/>
      <c r="M430" s="97"/>
      <c r="N430" s="97"/>
      <c r="O430" s="97"/>
      <c r="P430" s="97"/>
      <c r="Q430" s="97"/>
      <c r="R430" s="97"/>
      <c r="S430" s="97"/>
      <c r="T430" s="97"/>
      <c r="U430" s="97"/>
    </row>
    <row r="431" spans="1:21">
      <c r="A431" s="126"/>
      <c r="B431" s="127"/>
      <c r="C431" s="97"/>
      <c r="D431" s="519"/>
      <c r="E431" s="96"/>
      <c r="F431" s="97"/>
      <c r="G431" s="97"/>
      <c r="H431" s="97"/>
      <c r="I431" s="97"/>
      <c r="J431" s="97"/>
      <c r="K431" s="97"/>
      <c r="L431" s="97"/>
      <c r="M431" s="97"/>
      <c r="N431" s="97"/>
      <c r="O431" s="97"/>
      <c r="P431" s="97"/>
      <c r="Q431" s="97"/>
      <c r="R431" s="97"/>
      <c r="S431" s="97"/>
      <c r="T431" s="97"/>
      <c r="U431" s="97"/>
    </row>
    <row r="432" spans="1:21">
      <c r="A432" s="126"/>
      <c r="B432" s="127"/>
      <c r="C432" s="97"/>
      <c r="D432" s="519"/>
      <c r="E432" s="96"/>
      <c r="F432" s="97"/>
      <c r="G432" s="97"/>
      <c r="H432" s="97"/>
      <c r="I432" s="97"/>
      <c r="J432" s="97"/>
      <c r="K432" s="97"/>
      <c r="L432" s="97"/>
      <c r="M432" s="97"/>
      <c r="N432" s="97"/>
      <c r="O432" s="97"/>
      <c r="P432" s="97"/>
      <c r="Q432" s="97"/>
      <c r="R432" s="97"/>
      <c r="S432" s="97"/>
      <c r="T432" s="97"/>
      <c r="U432" s="97"/>
    </row>
    <row r="433" spans="1:21">
      <c r="A433" s="126"/>
      <c r="B433" s="127"/>
      <c r="C433" s="97"/>
      <c r="D433" s="519"/>
      <c r="E433" s="96"/>
      <c r="F433" s="97"/>
      <c r="G433" s="97"/>
      <c r="H433" s="97"/>
      <c r="I433" s="97"/>
      <c r="J433" s="97"/>
      <c r="K433" s="97"/>
      <c r="L433" s="97"/>
      <c r="M433" s="97"/>
      <c r="N433" s="97"/>
      <c r="O433" s="97"/>
      <c r="P433" s="97"/>
      <c r="Q433" s="97"/>
      <c r="R433" s="97"/>
      <c r="S433" s="97"/>
      <c r="T433" s="97"/>
      <c r="U433" s="97"/>
    </row>
    <row r="434" spans="1:21">
      <c r="A434" s="126"/>
      <c r="B434" s="127"/>
      <c r="C434" s="97"/>
      <c r="D434" s="519"/>
      <c r="E434" s="96"/>
      <c r="F434" s="97"/>
      <c r="G434" s="97"/>
      <c r="H434" s="97"/>
      <c r="I434" s="97"/>
      <c r="J434" s="97"/>
      <c r="K434" s="97"/>
      <c r="L434" s="97"/>
      <c r="M434" s="97"/>
      <c r="N434" s="97"/>
      <c r="O434" s="97"/>
      <c r="P434" s="97"/>
      <c r="Q434" s="97"/>
      <c r="R434" s="97"/>
      <c r="S434" s="97"/>
      <c r="T434" s="97"/>
      <c r="U434" s="97"/>
    </row>
    <row r="435" spans="1:21">
      <c r="A435" s="126"/>
      <c r="B435" s="127"/>
      <c r="C435" s="97"/>
      <c r="D435" s="519"/>
      <c r="E435" s="96"/>
      <c r="F435" s="97"/>
      <c r="G435" s="97"/>
      <c r="H435" s="97"/>
      <c r="I435" s="97"/>
      <c r="J435" s="97"/>
      <c r="K435" s="97"/>
      <c r="L435" s="97"/>
      <c r="M435" s="97"/>
      <c r="N435" s="97"/>
      <c r="O435" s="97"/>
      <c r="P435" s="97"/>
      <c r="Q435" s="97"/>
      <c r="R435" s="97"/>
      <c r="S435" s="97"/>
      <c r="T435" s="97"/>
      <c r="U435" s="97"/>
    </row>
    <row r="436" spans="1:21">
      <c r="A436" s="126"/>
      <c r="B436" s="127"/>
      <c r="C436" s="97"/>
      <c r="D436" s="519"/>
      <c r="E436" s="96"/>
      <c r="F436" s="97"/>
      <c r="G436" s="97"/>
      <c r="H436" s="97"/>
      <c r="I436" s="97"/>
      <c r="J436" s="97"/>
      <c r="K436" s="97"/>
      <c r="L436" s="97"/>
      <c r="M436" s="97"/>
      <c r="N436" s="97"/>
      <c r="O436" s="97"/>
      <c r="P436" s="97"/>
      <c r="Q436" s="97"/>
      <c r="R436" s="97"/>
      <c r="S436" s="97"/>
      <c r="T436" s="97"/>
      <c r="U436" s="97"/>
    </row>
    <row r="437" spans="1:21">
      <c r="A437" s="126"/>
      <c r="B437" s="127"/>
      <c r="C437" s="97"/>
      <c r="D437" s="519"/>
      <c r="E437" s="96"/>
      <c r="F437" s="97"/>
      <c r="G437" s="97"/>
      <c r="H437" s="97"/>
      <c r="I437" s="97"/>
      <c r="J437" s="97"/>
      <c r="K437" s="97"/>
      <c r="L437" s="97"/>
      <c r="M437" s="97"/>
      <c r="N437" s="97"/>
      <c r="O437" s="97"/>
      <c r="P437" s="97"/>
      <c r="Q437" s="97"/>
      <c r="R437" s="97"/>
      <c r="S437" s="97"/>
      <c r="T437" s="97"/>
      <c r="U437" s="97"/>
    </row>
    <row r="438" spans="1:21">
      <c r="A438" s="126"/>
      <c r="B438" s="127"/>
      <c r="C438" s="97"/>
      <c r="D438" s="519"/>
      <c r="E438" s="96"/>
      <c r="F438" s="97"/>
      <c r="G438" s="97"/>
      <c r="H438" s="97"/>
      <c r="I438" s="97"/>
      <c r="J438" s="97"/>
      <c r="K438" s="97"/>
      <c r="L438" s="97"/>
      <c r="M438" s="97"/>
      <c r="N438" s="97"/>
      <c r="O438" s="97"/>
      <c r="P438" s="97"/>
      <c r="Q438" s="97"/>
      <c r="R438" s="97"/>
      <c r="S438" s="97"/>
      <c r="T438" s="97"/>
      <c r="U438" s="97"/>
    </row>
    <row r="439" spans="1:21">
      <c r="A439" s="126"/>
      <c r="B439" s="127"/>
      <c r="C439" s="97"/>
      <c r="D439" s="519"/>
      <c r="E439" s="96"/>
      <c r="F439" s="97"/>
      <c r="G439" s="97"/>
      <c r="H439" s="97"/>
      <c r="I439" s="97"/>
      <c r="J439" s="97"/>
      <c r="K439" s="97"/>
      <c r="L439" s="97"/>
      <c r="M439" s="97"/>
      <c r="N439" s="97"/>
      <c r="O439" s="97"/>
      <c r="P439" s="97"/>
      <c r="Q439" s="97"/>
      <c r="R439" s="97"/>
      <c r="S439" s="97"/>
      <c r="T439" s="97"/>
      <c r="U439" s="97"/>
    </row>
    <row r="440" spans="1:21">
      <c r="A440" s="126"/>
      <c r="B440" s="127"/>
      <c r="C440" s="97"/>
      <c r="D440" s="519"/>
      <c r="E440" s="96"/>
      <c r="F440" s="97"/>
      <c r="G440" s="97"/>
      <c r="H440" s="97"/>
      <c r="I440" s="97"/>
      <c r="J440" s="97"/>
      <c r="K440" s="97"/>
      <c r="L440" s="97"/>
      <c r="M440" s="97"/>
      <c r="N440" s="97"/>
      <c r="O440" s="97"/>
      <c r="P440" s="97"/>
      <c r="Q440" s="97"/>
      <c r="R440" s="97"/>
      <c r="S440" s="97"/>
      <c r="T440" s="97"/>
      <c r="U440" s="97"/>
    </row>
    <row r="441" spans="1:21">
      <c r="A441" s="126"/>
      <c r="B441" s="127"/>
      <c r="C441" s="97"/>
      <c r="D441" s="519"/>
      <c r="E441" s="96"/>
      <c r="F441" s="97"/>
      <c r="G441" s="97"/>
      <c r="H441" s="97"/>
      <c r="I441" s="97"/>
      <c r="J441" s="97"/>
      <c r="K441" s="97"/>
      <c r="L441" s="97"/>
      <c r="M441" s="97"/>
      <c r="N441" s="97"/>
      <c r="O441" s="97"/>
      <c r="P441" s="97"/>
      <c r="Q441" s="97"/>
      <c r="R441" s="97"/>
      <c r="S441" s="97"/>
      <c r="T441" s="97"/>
      <c r="U441" s="97"/>
    </row>
    <row r="442" spans="1:21">
      <c r="A442" s="126"/>
      <c r="B442" s="127"/>
      <c r="C442" s="97"/>
      <c r="D442" s="519"/>
      <c r="E442" s="96"/>
      <c r="F442" s="97"/>
      <c r="G442" s="97"/>
      <c r="H442" s="97"/>
      <c r="I442" s="97"/>
      <c r="J442" s="97"/>
      <c r="K442" s="97"/>
      <c r="L442" s="97"/>
      <c r="M442" s="97"/>
      <c r="N442" s="97"/>
      <c r="O442" s="97"/>
      <c r="P442" s="97"/>
      <c r="Q442" s="97"/>
      <c r="R442" s="97"/>
      <c r="S442" s="97"/>
      <c r="T442" s="97"/>
      <c r="U442" s="97"/>
    </row>
    <row r="443" spans="1:21">
      <c r="A443" s="126"/>
      <c r="B443" s="127"/>
      <c r="C443" s="97"/>
      <c r="D443" s="519"/>
      <c r="E443" s="96"/>
      <c r="F443" s="97"/>
      <c r="G443" s="97"/>
      <c r="H443" s="97"/>
      <c r="I443" s="97"/>
      <c r="J443" s="97"/>
      <c r="K443" s="97"/>
      <c r="L443" s="97"/>
      <c r="M443" s="97"/>
      <c r="N443" s="97"/>
      <c r="O443" s="97"/>
      <c r="P443" s="97"/>
      <c r="Q443" s="97"/>
      <c r="R443" s="97"/>
      <c r="S443" s="97"/>
      <c r="T443" s="97"/>
      <c r="U443" s="97"/>
    </row>
    <row r="444" spans="1:21">
      <c r="A444" s="126"/>
      <c r="B444" s="127"/>
      <c r="C444" s="97"/>
      <c r="D444" s="519"/>
      <c r="E444" s="96"/>
      <c r="F444" s="97"/>
      <c r="G444" s="97"/>
      <c r="H444" s="97"/>
      <c r="I444" s="97"/>
      <c r="J444" s="97"/>
      <c r="K444" s="97"/>
      <c r="L444" s="97"/>
      <c r="M444" s="97"/>
      <c r="N444" s="97"/>
      <c r="O444" s="97"/>
      <c r="P444" s="97"/>
      <c r="Q444" s="97"/>
      <c r="R444" s="97"/>
      <c r="S444" s="97"/>
      <c r="T444" s="97"/>
      <c r="U444" s="97"/>
    </row>
    <row r="445" spans="1:21">
      <c r="A445" s="126"/>
      <c r="B445" s="127"/>
      <c r="C445" s="97"/>
      <c r="D445" s="519"/>
      <c r="E445" s="96"/>
      <c r="F445" s="97"/>
      <c r="G445" s="97"/>
      <c r="H445" s="97"/>
      <c r="I445" s="97"/>
      <c r="J445" s="97"/>
      <c r="K445" s="97"/>
      <c r="L445" s="97"/>
      <c r="M445" s="97"/>
      <c r="N445" s="97"/>
      <c r="O445" s="97"/>
      <c r="P445" s="97"/>
      <c r="Q445" s="97"/>
      <c r="R445" s="97"/>
      <c r="S445" s="97"/>
      <c r="T445" s="97"/>
      <c r="U445" s="97"/>
    </row>
    <row r="446" spans="1:21">
      <c r="A446" s="126"/>
      <c r="B446" s="127"/>
      <c r="C446" s="97"/>
      <c r="D446" s="519"/>
      <c r="E446" s="96"/>
      <c r="F446" s="97"/>
      <c r="G446" s="97"/>
      <c r="H446" s="97"/>
      <c r="I446" s="97"/>
      <c r="J446" s="97"/>
      <c r="K446" s="97"/>
      <c r="L446" s="97"/>
      <c r="M446" s="97"/>
      <c r="N446" s="97"/>
      <c r="O446" s="97"/>
      <c r="P446" s="97"/>
      <c r="Q446" s="97"/>
      <c r="R446" s="97"/>
      <c r="S446" s="97"/>
      <c r="T446" s="97"/>
      <c r="U446" s="97"/>
    </row>
    <row r="447" spans="1:21">
      <c r="A447" s="126"/>
      <c r="B447" s="127"/>
      <c r="C447" s="97"/>
      <c r="D447" s="519"/>
      <c r="E447" s="96"/>
      <c r="F447" s="97"/>
      <c r="G447" s="97"/>
      <c r="H447" s="97"/>
      <c r="I447" s="97"/>
      <c r="J447" s="97"/>
      <c r="K447" s="97"/>
      <c r="L447" s="97"/>
      <c r="M447" s="97"/>
      <c r="N447" s="97"/>
      <c r="O447" s="97"/>
      <c r="P447" s="97"/>
      <c r="Q447" s="97"/>
      <c r="R447" s="97"/>
      <c r="S447" s="97"/>
      <c r="T447" s="97"/>
      <c r="U447" s="97"/>
    </row>
    <row r="448" spans="1:21">
      <c r="A448" s="126"/>
      <c r="B448" s="127"/>
      <c r="C448" s="97"/>
      <c r="D448" s="519"/>
      <c r="E448" s="96"/>
      <c r="F448" s="97"/>
      <c r="G448" s="97"/>
      <c r="H448" s="97"/>
      <c r="I448" s="97"/>
      <c r="J448" s="97"/>
      <c r="K448" s="97"/>
      <c r="L448" s="97"/>
      <c r="M448" s="97"/>
      <c r="N448" s="97"/>
      <c r="O448" s="97"/>
      <c r="P448" s="97"/>
      <c r="Q448" s="97"/>
      <c r="R448" s="97"/>
      <c r="S448" s="97"/>
      <c r="T448" s="97"/>
      <c r="U448" s="97"/>
    </row>
    <row r="449" spans="1:21">
      <c r="A449" s="126"/>
      <c r="B449" s="127"/>
      <c r="C449" s="97"/>
      <c r="D449" s="519"/>
      <c r="E449" s="96"/>
      <c r="F449" s="97"/>
      <c r="G449" s="97"/>
      <c r="H449" s="97"/>
      <c r="I449" s="97"/>
      <c r="J449" s="97"/>
      <c r="K449" s="97"/>
      <c r="L449" s="97"/>
      <c r="M449" s="97"/>
      <c r="N449" s="97"/>
      <c r="O449" s="97"/>
      <c r="P449" s="97"/>
      <c r="Q449" s="97"/>
      <c r="R449" s="97"/>
      <c r="S449" s="97"/>
      <c r="T449" s="97"/>
      <c r="U449" s="97"/>
    </row>
    <row r="450" spans="1:21">
      <c r="A450" s="126"/>
      <c r="B450" s="127"/>
      <c r="C450" s="97"/>
      <c r="D450" s="519"/>
      <c r="E450" s="96"/>
      <c r="F450" s="97"/>
      <c r="G450" s="97"/>
      <c r="H450" s="97"/>
      <c r="I450" s="97"/>
      <c r="J450" s="97"/>
      <c r="K450" s="97"/>
      <c r="L450" s="97"/>
      <c r="M450" s="97"/>
      <c r="N450" s="97"/>
      <c r="O450" s="97"/>
      <c r="P450" s="97"/>
      <c r="Q450" s="97"/>
      <c r="R450" s="97"/>
      <c r="S450" s="97"/>
      <c r="T450" s="97"/>
      <c r="U450" s="97"/>
    </row>
    <row r="451" spans="1:21">
      <c r="A451" s="126"/>
      <c r="B451" s="127"/>
      <c r="C451" s="97"/>
      <c r="D451" s="519"/>
      <c r="E451" s="96"/>
      <c r="F451" s="97"/>
      <c r="G451" s="97"/>
      <c r="H451" s="97"/>
      <c r="I451" s="97"/>
      <c r="J451" s="97"/>
      <c r="K451" s="97"/>
      <c r="L451" s="97"/>
      <c r="M451" s="97"/>
      <c r="N451" s="97"/>
      <c r="O451" s="97"/>
      <c r="P451" s="97"/>
      <c r="Q451" s="97"/>
      <c r="R451" s="97"/>
      <c r="S451" s="97"/>
      <c r="T451" s="97"/>
      <c r="U451" s="97"/>
    </row>
    <row r="452" spans="1:21">
      <c r="A452" s="126"/>
      <c r="B452" s="127"/>
      <c r="C452" s="97"/>
      <c r="D452" s="519"/>
      <c r="E452" s="96"/>
      <c r="F452" s="97"/>
      <c r="G452" s="97"/>
      <c r="H452" s="97"/>
      <c r="I452" s="97"/>
      <c r="J452" s="97"/>
      <c r="K452" s="97"/>
      <c r="L452" s="97"/>
      <c r="M452" s="97"/>
      <c r="N452" s="97"/>
      <c r="O452" s="97"/>
      <c r="P452" s="97"/>
      <c r="Q452" s="97"/>
      <c r="R452" s="97"/>
      <c r="S452" s="97"/>
      <c r="T452" s="97"/>
      <c r="U452" s="97"/>
    </row>
    <row r="453" spans="1:21">
      <c r="A453" s="126"/>
      <c r="B453" s="127"/>
      <c r="C453" s="97"/>
      <c r="D453" s="519"/>
      <c r="E453" s="96"/>
      <c r="F453" s="97"/>
      <c r="G453" s="97"/>
      <c r="H453" s="97"/>
      <c r="I453" s="97"/>
      <c r="J453" s="97"/>
      <c r="K453" s="97"/>
      <c r="L453" s="97"/>
      <c r="M453" s="97"/>
      <c r="N453" s="97"/>
      <c r="O453" s="97"/>
      <c r="P453" s="97"/>
      <c r="Q453" s="97"/>
      <c r="R453" s="97"/>
      <c r="S453" s="97"/>
      <c r="T453" s="97"/>
      <c r="U453" s="97"/>
    </row>
    <row r="454" spans="1:21">
      <c r="A454" s="126"/>
      <c r="B454" s="127"/>
      <c r="C454" s="97"/>
      <c r="D454" s="519"/>
      <c r="E454" s="96"/>
      <c r="F454" s="97"/>
      <c r="G454" s="97"/>
      <c r="H454" s="97"/>
      <c r="I454" s="97"/>
      <c r="J454" s="97"/>
      <c r="K454" s="97"/>
      <c r="L454" s="97"/>
      <c r="M454" s="97"/>
      <c r="N454" s="97"/>
      <c r="O454" s="97"/>
      <c r="P454" s="97"/>
      <c r="Q454" s="97"/>
      <c r="R454" s="97"/>
      <c r="S454" s="97"/>
      <c r="T454" s="97"/>
      <c r="U454" s="97"/>
    </row>
    <row r="455" spans="1:21">
      <c r="A455" s="126"/>
      <c r="B455" s="127"/>
      <c r="C455" s="97"/>
      <c r="D455" s="519"/>
      <c r="E455" s="96"/>
      <c r="F455" s="97"/>
      <c r="G455" s="97"/>
      <c r="H455" s="97"/>
      <c r="I455" s="97"/>
      <c r="J455" s="97"/>
      <c r="K455" s="97"/>
      <c r="L455" s="97"/>
      <c r="M455" s="97"/>
      <c r="N455" s="97"/>
      <c r="O455" s="97"/>
      <c r="P455" s="97"/>
      <c r="Q455" s="97"/>
      <c r="R455" s="97"/>
      <c r="S455" s="97"/>
      <c r="T455" s="97"/>
      <c r="U455" s="97"/>
    </row>
    <row r="456" spans="1:21">
      <c r="A456" s="126"/>
      <c r="B456" s="127"/>
      <c r="C456" s="97"/>
      <c r="D456" s="519"/>
      <c r="E456" s="96"/>
      <c r="F456" s="97"/>
      <c r="G456" s="97"/>
      <c r="H456" s="97"/>
      <c r="I456" s="97"/>
      <c r="J456" s="97"/>
      <c r="K456" s="97"/>
      <c r="L456" s="97"/>
      <c r="M456" s="97"/>
      <c r="N456" s="97"/>
      <c r="O456" s="97"/>
      <c r="P456" s="97"/>
      <c r="Q456" s="97"/>
      <c r="R456" s="97"/>
      <c r="S456" s="97"/>
      <c r="T456" s="97"/>
      <c r="U456" s="97"/>
    </row>
    <row r="457" spans="1:21">
      <c r="A457" s="126"/>
      <c r="B457" s="127"/>
      <c r="C457" s="97"/>
      <c r="D457" s="519"/>
      <c r="E457" s="96"/>
      <c r="F457" s="97"/>
      <c r="G457" s="97"/>
      <c r="H457" s="97"/>
      <c r="I457" s="97"/>
      <c r="J457" s="97"/>
      <c r="K457" s="97"/>
      <c r="L457" s="97"/>
      <c r="M457" s="97"/>
      <c r="N457" s="97"/>
      <c r="O457" s="97"/>
      <c r="P457" s="97"/>
      <c r="Q457" s="97"/>
      <c r="R457" s="97"/>
      <c r="S457" s="97"/>
      <c r="T457" s="97"/>
      <c r="U457" s="97"/>
    </row>
    <row r="458" spans="1:21">
      <c r="A458" s="126"/>
      <c r="B458" s="127"/>
      <c r="C458" s="97"/>
      <c r="D458" s="519"/>
      <c r="E458" s="96"/>
      <c r="F458" s="97"/>
      <c r="G458" s="97"/>
      <c r="H458" s="97"/>
      <c r="I458" s="97"/>
      <c r="J458" s="97"/>
      <c r="K458" s="97"/>
      <c r="L458" s="97"/>
      <c r="M458" s="97"/>
      <c r="N458" s="97"/>
      <c r="O458" s="97"/>
      <c r="P458" s="97"/>
      <c r="Q458" s="97"/>
      <c r="R458" s="97"/>
      <c r="S458" s="97"/>
      <c r="T458" s="97"/>
      <c r="U458" s="97"/>
    </row>
    <row r="459" spans="1:21">
      <c r="A459" s="126"/>
      <c r="B459" s="127"/>
      <c r="C459" s="97"/>
      <c r="D459" s="519"/>
      <c r="E459" s="96"/>
      <c r="F459" s="97"/>
      <c r="G459" s="97"/>
      <c r="H459" s="97"/>
      <c r="I459" s="97"/>
      <c r="J459" s="97"/>
      <c r="K459" s="97"/>
      <c r="L459" s="97"/>
      <c r="M459" s="97"/>
      <c r="N459" s="97"/>
      <c r="O459" s="97"/>
      <c r="P459" s="97"/>
      <c r="Q459" s="97"/>
      <c r="R459" s="97"/>
      <c r="S459" s="97"/>
      <c r="T459" s="97"/>
      <c r="U459" s="97"/>
    </row>
    <row r="460" spans="1:21">
      <c r="A460" s="126"/>
      <c r="B460" s="127"/>
      <c r="C460" s="97"/>
      <c r="D460" s="519"/>
      <c r="E460" s="96"/>
      <c r="F460" s="97"/>
      <c r="G460" s="97"/>
      <c r="H460" s="97"/>
      <c r="I460" s="97"/>
      <c r="J460" s="97"/>
      <c r="K460" s="97"/>
      <c r="L460" s="97"/>
      <c r="M460" s="97"/>
      <c r="N460" s="97"/>
      <c r="O460" s="97"/>
      <c r="P460" s="97"/>
      <c r="Q460" s="97"/>
      <c r="R460" s="97"/>
      <c r="S460" s="97"/>
      <c r="T460" s="97"/>
      <c r="U460" s="97"/>
    </row>
    <row r="461" spans="1:21">
      <c r="A461" s="126"/>
      <c r="B461" s="127"/>
      <c r="C461" s="97"/>
      <c r="D461" s="519"/>
      <c r="E461" s="96"/>
      <c r="F461" s="97"/>
      <c r="G461" s="97"/>
      <c r="H461" s="97"/>
      <c r="I461" s="97"/>
      <c r="J461" s="97"/>
      <c r="K461" s="97"/>
      <c r="L461" s="97"/>
      <c r="M461" s="97"/>
      <c r="N461" s="97"/>
      <c r="O461" s="97"/>
      <c r="P461" s="97"/>
      <c r="Q461" s="97"/>
      <c r="R461" s="97"/>
      <c r="S461" s="97"/>
      <c r="T461" s="97"/>
      <c r="U461" s="97"/>
    </row>
    <row r="462" spans="1:21">
      <c r="A462" s="126"/>
      <c r="B462" s="127"/>
      <c r="C462" s="97"/>
      <c r="D462" s="519"/>
      <c r="E462" s="96"/>
      <c r="F462" s="97"/>
      <c r="G462" s="97"/>
      <c r="H462" s="97"/>
      <c r="I462" s="97"/>
      <c r="J462" s="97"/>
      <c r="K462" s="97"/>
      <c r="L462" s="97"/>
      <c r="M462" s="97"/>
      <c r="N462" s="97"/>
      <c r="O462" s="97"/>
      <c r="P462" s="97"/>
      <c r="Q462" s="97"/>
      <c r="R462" s="97"/>
      <c r="S462" s="97"/>
      <c r="T462" s="97"/>
      <c r="U462" s="97"/>
    </row>
    <row r="463" spans="1:21">
      <c r="A463" s="126"/>
      <c r="B463" s="127"/>
      <c r="C463" s="97"/>
      <c r="D463" s="519"/>
      <c r="E463" s="96"/>
      <c r="F463" s="97"/>
      <c r="G463" s="97"/>
      <c r="H463" s="97"/>
      <c r="I463" s="97"/>
      <c r="J463" s="97"/>
      <c r="K463" s="97"/>
      <c r="L463" s="97"/>
      <c r="M463" s="97"/>
      <c r="N463" s="97"/>
      <c r="O463" s="97"/>
      <c r="P463" s="97"/>
      <c r="Q463" s="97"/>
      <c r="R463" s="97"/>
      <c r="S463" s="97"/>
      <c r="T463" s="97"/>
      <c r="U463" s="97"/>
    </row>
    <row r="464" spans="1:21">
      <c r="A464" s="126"/>
      <c r="B464" s="127"/>
      <c r="C464" s="97"/>
      <c r="D464" s="519"/>
      <c r="E464" s="96"/>
      <c r="F464" s="97"/>
      <c r="G464" s="97"/>
      <c r="H464" s="97"/>
      <c r="I464" s="97"/>
      <c r="J464" s="97"/>
      <c r="K464" s="97"/>
      <c r="L464" s="97"/>
      <c r="M464" s="97"/>
      <c r="N464" s="97"/>
      <c r="O464" s="97"/>
      <c r="P464" s="97"/>
      <c r="Q464" s="97"/>
      <c r="R464" s="97"/>
      <c r="S464" s="97"/>
      <c r="T464" s="97"/>
      <c r="U464" s="97"/>
    </row>
    <row r="465" spans="1:21">
      <c r="A465" s="126"/>
      <c r="B465" s="127"/>
      <c r="C465" s="97"/>
      <c r="D465" s="519"/>
      <c r="E465" s="96"/>
      <c r="F465" s="97"/>
      <c r="G465" s="97"/>
      <c r="H465" s="97"/>
      <c r="I465" s="97"/>
      <c r="J465" s="97"/>
      <c r="K465" s="97"/>
      <c r="L465" s="97"/>
      <c r="M465" s="97"/>
      <c r="N465" s="97"/>
      <c r="O465" s="97"/>
      <c r="P465" s="97"/>
      <c r="Q465" s="97"/>
      <c r="R465" s="97"/>
      <c r="S465" s="97"/>
      <c r="T465" s="97"/>
      <c r="U465" s="97"/>
    </row>
    <row r="466" spans="1:21">
      <c r="A466" s="126"/>
      <c r="B466" s="127"/>
      <c r="C466" s="97"/>
      <c r="D466" s="519"/>
      <c r="E466" s="96"/>
      <c r="F466" s="97"/>
      <c r="G466" s="97"/>
      <c r="H466" s="97"/>
      <c r="I466" s="97"/>
      <c r="J466" s="97"/>
      <c r="K466" s="97"/>
      <c r="L466" s="97"/>
      <c r="M466" s="97"/>
      <c r="N466" s="97"/>
      <c r="O466" s="97"/>
      <c r="P466" s="97"/>
      <c r="Q466" s="97"/>
      <c r="R466" s="97"/>
      <c r="S466" s="97"/>
      <c r="T466" s="97"/>
      <c r="U466" s="97"/>
    </row>
    <row r="467" spans="1:21">
      <c r="A467" s="126"/>
      <c r="B467" s="127"/>
      <c r="C467" s="97"/>
      <c r="D467" s="519"/>
      <c r="E467" s="96"/>
      <c r="F467" s="97"/>
      <c r="G467" s="97"/>
      <c r="H467" s="97"/>
      <c r="I467" s="97"/>
      <c r="J467" s="97"/>
      <c r="K467" s="97"/>
      <c r="L467" s="97"/>
      <c r="M467" s="97"/>
      <c r="N467" s="97"/>
      <c r="O467" s="97"/>
      <c r="P467" s="97"/>
      <c r="Q467" s="97"/>
      <c r="R467" s="97"/>
      <c r="S467" s="97"/>
      <c r="T467" s="97"/>
      <c r="U467" s="97"/>
    </row>
    <row r="468" spans="1:21">
      <c r="A468" s="126"/>
      <c r="B468" s="127"/>
      <c r="C468" s="97"/>
      <c r="D468" s="519"/>
      <c r="E468" s="96"/>
      <c r="F468" s="97"/>
      <c r="G468" s="97"/>
      <c r="H468" s="97"/>
      <c r="I468" s="97"/>
      <c r="J468" s="97"/>
      <c r="K468" s="97"/>
      <c r="L468" s="97"/>
      <c r="M468" s="97"/>
      <c r="N468" s="97"/>
      <c r="O468" s="97"/>
      <c r="P468" s="97"/>
      <c r="Q468" s="97"/>
      <c r="R468" s="97"/>
      <c r="S468" s="97"/>
      <c r="T468" s="97"/>
      <c r="U468" s="97"/>
    </row>
    <row r="469" spans="1:21">
      <c r="A469" s="126"/>
      <c r="B469" s="127"/>
      <c r="C469" s="97"/>
      <c r="D469" s="519"/>
      <c r="E469" s="96"/>
      <c r="F469" s="97"/>
      <c r="G469" s="97"/>
      <c r="H469" s="97"/>
      <c r="I469" s="97"/>
      <c r="J469" s="97"/>
      <c r="K469" s="97"/>
      <c r="L469" s="97"/>
      <c r="M469" s="97"/>
      <c r="N469" s="97"/>
      <c r="O469" s="97"/>
      <c r="P469" s="97"/>
      <c r="Q469" s="97"/>
      <c r="R469" s="97"/>
      <c r="S469" s="97"/>
      <c r="T469" s="97"/>
      <c r="U469" s="97"/>
    </row>
    <row r="470" spans="1:21">
      <c r="A470" s="126"/>
      <c r="B470" s="127"/>
      <c r="C470" s="97"/>
      <c r="D470" s="519"/>
      <c r="E470" s="96"/>
      <c r="F470" s="97"/>
      <c r="G470" s="97"/>
      <c r="H470" s="97"/>
      <c r="I470" s="97"/>
      <c r="J470" s="97"/>
      <c r="K470" s="97"/>
      <c r="L470" s="97"/>
      <c r="M470" s="97"/>
      <c r="N470" s="97"/>
      <c r="O470" s="97"/>
      <c r="P470" s="97"/>
      <c r="Q470" s="97"/>
      <c r="R470" s="97"/>
      <c r="S470" s="97"/>
      <c r="T470" s="97"/>
      <c r="U470" s="97"/>
    </row>
    <row r="471" spans="1:21">
      <c r="A471" s="126"/>
      <c r="B471" s="127"/>
      <c r="C471" s="97"/>
      <c r="D471" s="519"/>
      <c r="E471" s="96"/>
      <c r="F471" s="97"/>
      <c r="G471" s="97"/>
      <c r="H471" s="97"/>
      <c r="I471" s="97"/>
      <c r="J471" s="97"/>
      <c r="K471" s="97"/>
      <c r="L471" s="97"/>
      <c r="M471" s="97"/>
      <c r="N471" s="97"/>
      <c r="O471" s="97"/>
      <c r="P471" s="97"/>
      <c r="Q471" s="97"/>
      <c r="R471" s="97"/>
      <c r="S471" s="97"/>
      <c r="T471" s="97"/>
      <c r="U471" s="97"/>
    </row>
    <row r="472" spans="1:21">
      <c r="A472" s="126"/>
      <c r="B472" s="127"/>
      <c r="C472" s="97"/>
      <c r="D472" s="519"/>
      <c r="E472" s="96"/>
      <c r="F472" s="97"/>
      <c r="G472" s="97"/>
      <c r="H472" s="97"/>
      <c r="I472" s="97"/>
      <c r="J472" s="97"/>
      <c r="K472" s="97"/>
      <c r="L472" s="97"/>
      <c r="M472" s="97"/>
      <c r="N472" s="97"/>
      <c r="O472" s="97"/>
      <c r="P472" s="97"/>
      <c r="Q472" s="97"/>
      <c r="R472" s="97"/>
      <c r="S472" s="97"/>
      <c r="T472" s="97"/>
      <c r="U472" s="97"/>
    </row>
    <row r="473" spans="1:21">
      <c r="A473" s="126"/>
      <c r="B473" s="127"/>
      <c r="C473" s="97"/>
      <c r="D473" s="519"/>
      <c r="E473" s="96"/>
      <c r="F473" s="97"/>
      <c r="G473" s="97"/>
      <c r="H473" s="97"/>
      <c r="I473" s="97"/>
      <c r="J473" s="97"/>
      <c r="K473" s="97"/>
      <c r="L473" s="97"/>
      <c r="M473" s="97"/>
      <c r="N473" s="97"/>
      <c r="O473" s="97"/>
      <c r="P473" s="97"/>
      <c r="Q473" s="97"/>
      <c r="R473" s="97"/>
      <c r="S473" s="97"/>
      <c r="T473" s="97"/>
      <c r="U473" s="97"/>
    </row>
    <row r="474" spans="1:21">
      <c r="A474" s="126"/>
      <c r="B474" s="127"/>
      <c r="C474" s="97"/>
      <c r="D474" s="519"/>
      <c r="E474" s="96"/>
      <c r="F474" s="97"/>
      <c r="G474" s="97"/>
      <c r="H474" s="97"/>
      <c r="I474" s="97"/>
      <c r="J474" s="97"/>
      <c r="K474" s="97"/>
      <c r="L474" s="97"/>
      <c r="M474" s="97"/>
      <c r="N474" s="97"/>
      <c r="O474" s="97"/>
      <c r="P474" s="97"/>
      <c r="Q474" s="97"/>
      <c r="R474" s="97"/>
      <c r="S474" s="97"/>
      <c r="T474" s="97"/>
      <c r="U474" s="97"/>
    </row>
    <row r="475" spans="1:21">
      <c r="A475" s="126"/>
      <c r="B475" s="127"/>
      <c r="C475" s="97"/>
      <c r="D475" s="519"/>
      <c r="E475" s="96"/>
      <c r="F475" s="97"/>
      <c r="G475" s="97"/>
      <c r="H475" s="97"/>
      <c r="I475" s="97"/>
      <c r="J475" s="97"/>
      <c r="K475" s="97"/>
      <c r="L475" s="97"/>
      <c r="M475" s="97"/>
      <c r="N475" s="97"/>
      <c r="O475" s="97"/>
      <c r="P475" s="97"/>
      <c r="Q475" s="97"/>
      <c r="R475" s="97"/>
      <c r="S475" s="97"/>
      <c r="T475" s="97"/>
      <c r="U475" s="97"/>
    </row>
    <row r="476" spans="1:21">
      <c r="A476" s="126"/>
      <c r="B476" s="127"/>
      <c r="C476" s="97"/>
      <c r="D476" s="519"/>
      <c r="E476" s="96"/>
      <c r="F476" s="97"/>
      <c r="G476" s="97"/>
      <c r="H476" s="97"/>
      <c r="I476" s="97"/>
      <c r="J476" s="97"/>
      <c r="K476" s="97"/>
      <c r="L476" s="97"/>
      <c r="M476" s="97"/>
      <c r="N476" s="97"/>
      <c r="O476" s="97"/>
      <c r="P476" s="97"/>
      <c r="Q476" s="97"/>
      <c r="R476" s="97"/>
      <c r="S476" s="97"/>
      <c r="T476" s="97"/>
      <c r="U476" s="97"/>
    </row>
    <row r="477" spans="1:21">
      <c r="A477" s="126"/>
      <c r="B477" s="127"/>
      <c r="C477" s="97"/>
      <c r="D477" s="519"/>
      <c r="E477" s="96"/>
      <c r="F477" s="97"/>
      <c r="G477" s="97"/>
      <c r="H477" s="97"/>
      <c r="I477" s="97"/>
      <c r="J477" s="97"/>
      <c r="K477" s="97"/>
      <c r="L477" s="97"/>
      <c r="M477" s="97"/>
      <c r="N477" s="97"/>
      <c r="O477" s="97"/>
      <c r="P477" s="97"/>
      <c r="Q477" s="97"/>
      <c r="R477" s="97"/>
      <c r="S477" s="97"/>
      <c r="T477" s="97"/>
      <c r="U477" s="97"/>
    </row>
    <row r="478" spans="1:21">
      <c r="A478" s="126"/>
      <c r="B478" s="127"/>
      <c r="C478" s="97"/>
      <c r="D478" s="519"/>
      <c r="E478" s="96"/>
      <c r="F478" s="97"/>
      <c r="G478" s="97"/>
      <c r="H478" s="97"/>
      <c r="I478" s="97"/>
      <c r="J478" s="97"/>
      <c r="K478" s="97"/>
      <c r="L478" s="97"/>
      <c r="M478" s="97"/>
      <c r="N478" s="97"/>
      <c r="O478" s="97"/>
      <c r="P478" s="97"/>
      <c r="Q478" s="97"/>
      <c r="R478" s="97"/>
      <c r="S478" s="97"/>
      <c r="T478" s="97"/>
      <c r="U478" s="97"/>
    </row>
    <row r="479" spans="1:21">
      <c r="A479" s="126"/>
      <c r="B479" s="127"/>
      <c r="C479" s="97"/>
      <c r="D479" s="519"/>
      <c r="E479" s="96"/>
      <c r="F479" s="97"/>
      <c r="G479" s="97"/>
      <c r="H479" s="97"/>
      <c r="I479" s="97"/>
      <c r="J479" s="97"/>
      <c r="K479" s="97"/>
      <c r="L479" s="97"/>
      <c r="M479" s="97"/>
      <c r="N479" s="97"/>
      <c r="O479" s="97"/>
      <c r="P479" s="97"/>
      <c r="Q479" s="97"/>
      <c r="R479" s="97"/>
      <c r="S479" s="97"/>
      <c r="T479" s="97"/>
      <c r="U479" s="97"/>
    </row>
    <row r="480" spans="1:21">
      <c r="A480" s="126"/>
      <c r="B480" s="127"/>
      <c r="C480" s="97"/>
      <c r="D480" s="519"/>
      <c r="E480" s="96"/>
      <c r="F480" s="97"/>
      <c r="G480" s="97"/>
      <c r="H480" s="97"/>
      <c r="I480" s="97"/>
      <c r="J480" s="97"/>
      <c r="K480" s="97"/>
      <c r="L480" s="97"/>
      <c r="M480" s="97"/>
      <c r="N480" s="97"/>
      <c r="O480" s="97"/>
      <c r="P480" s="97"/>
      <c r="Q480" s="97"/>
      <c r="R480" s="97"/>
      <c r="S480" s="97"/>
      <c r="T480" s="97"/>
      <c r="U480" s="97"/>
    </row>
    <row r="481" spans="1:21">
      <c r="A481" s="126"/>
      <c r="B481" s="127"/>
      <c r="C481" s="97"/>
      <c r="D481" s="519"/>
      <c r="E481" s="96"/>
      <c r="F481" s="97"/>
      <c r="G481" s="97"/>
      <c r="H481" s="97"/>
      <c r="I481" s="97"/>
      <c r="J481" s="97"/>
      <c r="K481" s="97"/>
      <c r="L481" s="97"/>
      <c r="M481" s="97"/>
      <c r="N481" s="97"/>
      <c r="O481" s="97"/>
      <c r="P481" s="97"/>
      <c r="Q481" s="97"/>
      <c r="R481" s="97"/>
      <c r="S481" s="97"/>
      <c r="T481" s="97"/>
      <c r="U481" s="97"/>
    </row>
    <row r="482" spans="1:21">
      <c r="A482" s="126"/>
      <c r="B482" s="127"/>
      <c r="C482" s="97"/>
      <c r="D482" s="519"/>
      <c r="E482" s="96"/>
      <c r="F482" s="97"/>
      <c r="G482" s="97"/>
      <c r="H482" s="97"/>
      <c r="I482" s="97"/>
      <c r="J482" s="97"/>
      <c r="K482" s="97"/>
      <c r="L482" s="97"/>
      <c r="M482" s="97"/>
      <c r="N482" s="97"/>
      <c r="O482" s="97"/>
      <c r="P482" s="97"/>
      <c r="Q482" s="97"/>
      <c r="R482" s="97"/>
      <c r="S482" s="97"/>
      <c r="T482" s="97"/>
      <c r="U482" s="97"/>
    </row>
    <row r="483" spans="1:21">
      <c r="A483" s="126"/>
      <c r="B483" s="127"/>
      <c r="C483" s="97"/>
      <c r="D483" s="519"/>
      <c r="E483" s="96"/>
      <c r="F483" s="97"/>
      <c r="G483" s="97"/>
      <c r="H483" s="97"/>
      <c r="I483" s="97"/>
      <c r="J483" s="97"/>
      <c r="K483" s="97"/>
      <c r="L483" s="97"/>
      <c r="M483" s="97"/>
      <c r="N483" s="97"/>
      <c r="O483" s="97"/>
      <c r="P483" s="97"/>
      <c r="Q483" s="97"/>
      <c r="R483" s="97"/>
      <c r="S483" s="97"/>
      <c r="T483" s="97"/>
      <c r="U483" s="97"/>
    </row>
    <row r="484" spans="1:21">
      <c r="A484" s="126"/>
      <c r="B484" s="127"/>
      <c r="C484" s="97"/>
      <c r="D484" s="519"/>
      <c r="E484" s="96"/>
      <c r="F484" s="97"/>
      <c r="G484" s="97"/>
      <c r="H484" s="97"/>
      <c r="I484" s="97"/>
      <c r="J484" s="97"/>
      <c r="K484" s="97"/>
      <c r="L484" s="97"/>
      <c r="M484" s="97"/>
      <c r="N484" s="97"/>
      <c r="O484" s="97"/>
      <c r="P484" s="97"/>
      <c r="Q484" s="97"/>
      <c r="R484" s="97"/>
      <c r="S484" s="97"/>
      <c r="T484" s="97"/>
      <c r="U484" s="97"/>
    </row>
    <row r="485" spans="1:21">
      <c r="A485" s="126"/>
      <c r="B485" s="127"/>
      <c r="C485" s="97"/>
      <c r="D485" s="519"/>
      <c r="E485" s="96"/>
      <c r="F485" s="97"/>
      <c r="G485" s="97"/>
      <c r="H485" s="97"/>
      <c r="I485" s="97"/>
      <c r="J485" s="97"/>
      <c r="K485" s="97"/>
      <c r="L485" s="97"/>
      <c r="M485" s="97"/>
      <c r="N485" s="97"/>
      <c r="O485" s="97"/>
      <c r="P485" s="97"/>
      <c r="Q485" s="97"/>
      <c r="R485" s="97"/>
      <c r="S485" s="97"/>
      <c r="T485" s="97"/>
      <c r="U485" s="97"/>
    </row>
    <row r="486" spans="1:21">
      <c r="A486" s="126"/>
      <c r="B486" s="127"/>
      <c r="C486" s="97"/>
      <c r="D486" s="519"/>
      <c r="E486" s="96"/>
      <c r="F486" s="97"/>
      <c r="G486" s="97"/>
      <c r="H486" s="97"/>
      <c r="I486" s="97"/>
      <c r="J486" s="97"/>
      <c r="K486" s="97"/>
      <c r="L486" s="97"/>
      <c r="M486" s="97"/>
      <c r="N486" s="97"/>
      <c r="O486" s="97"/>
      <c r="P486" s="97"/>
      <c r="Q486" s="97"/>
      <c r="R486" s="97"/>
      <c r="S486" s="97"/>
      <c r="T486" s="97"/>
      <c r="U486" s="97"/>
    </row>
    <row r="487" spans="1:21">
      <c r="A487" s="126"/>
      <c r="B487" s="127"/>
      <c r="C487" s="97"/>
      <c r="D487" s="519"/>
      <c r="E487" s="96"/>
      <c r="F487" s="97"/>
      <c r="G487" s="97"/>
      <c r="H487" s="97"/>
      <c r="I487" s="97"/>
      <c r="J487" s="97"/>
      <c r="K487" s="97"/>
      <c r="L487" s="97"/>
      <c r="M487" s="97"/>
      <c r="N487" s="97"/>
      <c r="O487" s="97"/>
      <c r="P487" s="97"/>
      <c r="Q487" s="97"/>
      <c r="R487" s="97"/>
      <c r="S487" s="97"/>
      <c r="T487" s="97"/>
      <c r="U487" s="97"/>
    </row>
    <row r="488" spans="1:21">
      <c r="A488" s="126"/>
      <c r="B488" s="127"/>
      <c r="C488" s="97"/>
      <c r="D488" s="519"/>
      <c r="E488" s="96"/>
      <c r="F488" s="97"/>
      <c r="G488" s="97"/>
      <c r="H488" s="97"/>
      <c r="I488" s="97"/>
      <c r="J488" s="97"/>
      <c r="K488" s="97"/>
      <c r="L488" s="97"/>
      <c r="M488" s="97"/>
      <c r="N488" s="97"/>
      <c r="O488" s="97"/>
      <c r="P488" s="97"/>
      <c r="Q488" s="97"/>
      <c r="R488" s="97"/>
      <c r="S488" s="97"/>
      <c r="T488" s="97"/>
      <c r="U488" s="97"/>
    </row>
    <row r="489" spans="1:21">
      <c r="A489" s="126"/>
      <c r="B489" s="127"/>
      <c r="C489" s="97"/>
      <c r="D489" s="519"/>
      <c r="E489" s="96"/>
      <c r="F489" s="97"/>
      <c r="G489" s="97"/>
      <c r="H489" s="97"/>
      <c r="I489" s="97"/>
      <c r="J489" s="97"/>
      <c r="K489" s="97"/>
      <c r="L489" s="97"/>
      <c r="M489" s="97"/>
      <c r="N489" s="97"/>
      <c r="O489" s="97"/>
      <c r="P489" s="97"/>
      <c r="Q489" s="97"/>
      <c r="R489" s="97"/>
      <c r="S489" s="97"/>
      <c r="T489" s="97"/>
      <c r="U489" s="97"/>
    </row>
    <row r="490" spans="1:21">
      <c r="A490" s="126"/>
      <c r="B490" s="127"/>
      <c r="C490" s="97"/>
      <c r="D490" s="519"/>
      <c r="E490" s="96"/>
      <c r="F490" s="97"/>
      <c r="G490" s="97"/>
      <c r="H490" s="97"/>
      <c r="I490" s="97"/>
      <c r="J490" s="97"/>
      <c r="K490" s="97"/>
      <c r="L490" s="97"/>
      <c r="M490" s="97"/>
      <c r="N490" s="97"/>
      <c r="O490" s="97"/>
      <c r="P490" s="97"/>
      <c r="Q490" s="97"/>
      <c r="R490" s="97"/>
      <c r="S490" s="97"/>
      <c r="T490" s="97"/>
      <c r="U490" s="97"/>
    </row>
    <row r="491" spans="1:21">
      <c r="A491" s="126"/>
      <c r="B491" s="127"/>
      <c r="C491" s="97"/>
      <c r="D491" s="519"/>
      <c r="E491" s="96"/>
      <c r="F491" s="97"/>
      <c r="G491" s="97"/>
      <c r="H491" s="97"/>
      <c r="I491" s="97"/>
      <c r="J491" s="97"/>
      <c r="K491" s="97"/>
      <c r="L491" s="97"/>
      <c r="M491" s="97"/>
      <c r="N491" s="97"/>
      <c r="O491" s="97"/>
      <c r="P491" s="97"/>
      <c r="Q491" s="97"/>
      <c r="R491" s="97"/>
      <c r="S491" s="97"/>
      <c r="T491" s="97"/>
      <c r="U491" s="97"/>
    </row>
    <row r="492" spans="1:21">
      <c r="A492" s="126"/>
      <c r="B492" s="127"/>
      <c r="C492" s="97"/>
      <c r="D492" s="519"/>
      <c r="E492" s="96"/>
      <c r="F492" s="97"/>
      <c r="G492" s="97"/>
      <c r="H492" s="97"/>
      <c r="I492" s="97"/>
      <c r="J492" s="97"/>
      <c r="K492" s="97"/>
      <c r="L492" s="97"/>
      <c r="M492" s="97"/>
      <c r="N492" s="97"/>
      <c r="O492" s="97"/>
      <c r="P492" s="97"/>
      <c r="Q492" s="97"/>
      <c r="R492" s="97"/>
      <c r="S492" s="97"/>
      <c r="T492" s="97"/>
      <c r="U492" s="97"/>
    </row>
    <row r="493" spans="1:21">
      <c r="A493" s="126"/>
      <c r="B493" s="127"/>
      <c r="C493" s="97"/>
      <c r="D493" s="519"/>
      <c r="E493" s="96"/>
      <c r="F493" s="97"/>
      <c r="G493" s="97"/>
      <c r="H493" s="97"/>
      <c r="I493" s="97"/>
      <c r="J493" s="97"/>
      <c r="K493" s="97"/>
      <c r="L493" s="97"/>
      <c r="M493" s="97"/>
      <c r="N493" s="97"/>
      <c r="O493" s="97"/>
      <c r="P493" s="97"/>
      <c r="Q493" s="97"/>
      <c r="R493" s="97"/>
      <c r="S493" s="97"/>
      <c r="T493" s="97"/>
      <c r="U493" s="97"/>
    </row>
    <row r="494" spans="1:21">
      <c r="A494" s="126"/>
      <c r="B494" s="127"/>
      <c r="C494" s="97"/>
      <c r="D494" s="519"/>
      <c r="E494" s="96"/>
      <c r="F494" s="97"/>
      <c r="G494" s="97"/>
      <c r="H494" s="97"/>
      <c r="I494" s="97"/>
      <c r="J494" s="97"/>
      <c r="K494" s="97"/>
      <c r="L494" s="97"/>
      <c r="M494" s="97"/>
      <c r="N494" s="97"/>
      <c r="O494" s="97"/>
      <c r="P494" s="97"/>
      <c r="Q494" s="97"/>
      <c r="R494" s="97"/>
      <c r="S494" s="97"/>
      <c r="T494" s="97"/>
      <c r="U494" s="97"/>
    </row>
    <row r="495" spans="1:21">
      <c r="A495" s="126"/>
      <c r="B495" s="127"/>
      <c r="C495" s="97"/>
      <c r="D495" s="519"/>
      <c r="E495" s="96"/>
      <c r="F495" s="97"/>
      <c r="G495" s="97"/>
      <c r="H495" s="97"/>
      <c r="I495" s="97"/>
      <c r="J495" s="97"/>
      <c r="K495" s="97"/>
      <c r="L495" s="97"/>
      <c r="M495" s="97"/>
      <c r="N495" s="97"/>
      <c r="O495" s="97"/>
      <c r="P495" s="97"/>
      <c r="Q495" s="97"/>
      <c r="R495" s="97"/>
      <c r="S495" s="97"/>
      <c r="T495" s="97"/>
      <c r="U495" s="97"/>
    </row>
    <row r="496" spans="1:21">
      <c r="A496" s="126"/>
      <c r="B496" s="127"/>
      <c r="C496" s="97"/>
      <c r="D496" s="519"/>
      <c r="E496" s="96"/>
      <c r="F496" s="97"/>
      <c r="G496" s="97"/>
      <c r="H496" s="97"/>
      <c r="I496" s="97"/>
      <c r="J496" s="97"/>
      <c r="K496" s="97"/>
      <c r="L496" s="97"/>
      <c r="M496" s="97"/>
      <c r="N496" s="97"/>
      <c r="O496" s="97"/>
      <c r="P496" s="97"/>
      <c r="Q496" s="97"/>
      <c r="R496" s="97"/>
      <c r="S496" s="97"/>
      <c r="T496" s="97"/>
      <c r="U496" s="97"/>
    </row>
    <row r="497" spans="1:21">
      <c r="A497" s="126"/>
      <c r="B497" s="127"/>
      <c r="C497" s="97"/>
      <c r="D497" s="519"/>
      <c r="E497" s="96"/>
      <c r="F497" s="97"/>
      <c r="G497" s="97"/>
      <c r="H497" s="97"/>
      <c r="I497" s="97"/>
      <c r="J497" s="97"/>
      <c r="K497" s="97"/>
      <c r="L497" s="97"/>
      <c r="M497" s="97"/>
      <c r="N497" s="97"/>
      <c r="O497" s="97"/>
      <c r="P497" s="97"/>
      <c r="Q497" s="97"/>
      <c r="R497" s="97"/>
      <c r="S497" s="97"/>
      <c r="T497" s="97"/>
      <c r="U497" s="97"/>
    </row>
    <row r="498" spans="1:21">
      <c r="A498" s="126"/>
      <c r="B498" s="127"/>
      <c r="C498" s="97"/>
      <c r="D498" s="519"/>
      <c r="E498" s="96"/>
      <c r="F498" s="97"/>
      <c r="G498" s="97"/>
      <c r="H498" s="97"/>
      <c r="I498" s="97"/>
      <c r="J498" s="97"/>
      <c r="K498" s="97"/>
      <c r="L498" s="97"/>
      <c r="M498" s="97"/>
      <c r="N498" s="97"/>
      <c r="O498" s="97"/>
      <c r="P498" s="97"/>
      <c r="Q498" s="97"/>
      <c r="R498" s="97"/>
      <c r="S498" s="97"/>
      <c r="T498" s="97"/>
      <c r="U498" s="97"/>
    </row>
    <row r="499" spans="1:21">
      <c r="A499" s="126"/>
      <c r="B499" s="127"/>
      <c r="C499" s="97"/>
      <c r="D499" s="519"/>
      <c r="E499" s="96"/>
      <c r="F499" s="97"/>
      <c r="G499" s="97"/>
      <c r="H499" s="97"/>
      <c r="I499" s="97"/>
      <c r="J499" s="97"/>
      <c r="K499" s="97"/>
      <c r="L499" s="97"/>
      <c r="M499" s="97"/>
      <c r="N499" s="97"/>
      <c r="O499" s="97"/>
      <c r="P499" s="97"/>
      <c r="Q499" s="97"/>
      <c r="R499" s="97"/>
      <c r="S499" s="97"/>
      <c r="T499" s="97"/>
      <c r="U499" s="97"/>
    </row>
    <row r="500" spans="1:21">
      <c r="A500" s="126"/>
      <c r="B500" s="127"/>
      <c r="C500" s="97"/>
      <c r="D500" s="519"/>
      <c r="E500" s="96"/>
      <c r="F500" s="97"/>
      <c r="G500" s="97"/>
      <c r="H500" s="97"/>
      <c r="I500" s="97"/>
      <c r="J500" s="97"/>
      <c r="K500" s="97"/>
      <c r="L500" s="97"/>
      <c r="M500" s="97"/>
      <c r="N500" s="97"/>
      <c r="O500" s="97"/>
      <c r="P500" s="97"/>
      <c r="Q500" s="97"/>
      <c r="R500" s="97"/>
      <c r="S500" s="97"/>
      <c r="T500" s="97"/>
      <c r="U500" s="97"/>
    </row>
    <row r="501" spans="1:21">
      <c r="A501" s="126"/>
      <c r="B501" s="127"/>
      <c r="C501" s="97"/>
      <c r="D501" s="519"/>
      <c r="E501" s="96"/>
      <c r="F501" s="97"/>
      <c r="G501" s="97"/>
      <c r="H501" s="97"/>
      <c r="I501" s="97"/>
      <c r="J501" s="97"/>
      <c r="K501" s="97"/>
      <c r="L501" s="97"/>
      <c r="M501" s="97"/>
      <c r="N501" s="97"/>
      <c r="O501" s="97"/>
      <c r="P501" s="97"/>
      <c r="Q501" s="97"/>
      <c r="R501" s="97"/>
      <c r="S501" s="97"/>
      <c r="T501" s="97"/>
      <c r="U501" s="97"/>
    </row>
    <row r="502" spans="1:21">
      <c r="A502" s="126"/>
      <c r="B502" s="127"/>
      <c r="C502" s="97"/>
      <c r="D502" s="519"/>
      <c r="E502" s="96"/>
      <c r="F502" s="97"/>
      <c r="G502" s="97"/>
      <c r="H502" s="97"/>
      <c r="I502" s="97"/>
      <c r="J502" s="97"/>
      <c r="K502" s="97"/>
      <c r="L502" s="97"/>
      <c r="M502" s="97"/>
      <c r="N502" s="97"/>
      <c r="O502" s="97"/>
      <c r="P502" s="97"/>
      <c r="Q502" s="97"/>
      <c r="R502" s="97"/>
      <c r="S502" s="97"/>
      <c r="T502" s="97"/>
      <c r="U502" s="97"/>
    </row>
    <row r="503" spans="1:21">
      <c r="A503" s="126"/>
      <c r="B503" s="127"/>
      <c r="C503" s="97"/>
      <c r="D503" s="519"/>
      <c r="E503" s="96"/>
      <c r="F503" s="97"/>
      <c r="G503" s="97"/>
      <c r="H503" s="97"/>
      <c r="I503" s="97"/>
      <c r="J503" s="97"/>
      <c r="K503" s="97"/>
      <c r="L503" s="97"/>
      <c r="M503" s="97"/>
      <c r="N503" s="97"/>
      <c r="O503" s="97"/>
      <c r="P503" s="97"/>
      <c r="Q503" s="97"/>
      <c r="R503" s="97"/>
      <c r="S503" s="97"/>
      <c r="T503" s="97"/>
      <c r="U503" s="97"/>
    </row>
    <row r="504" spans="1:21">
      <c r="A504" s="126"/>
      <c r="B504" s="127"/>
      <c r="C504" s="97"/>
      <c r="D504" s="519"/>
      <c r="E504" s="96"/>
      <c r="F504" s="97"/>
      <c r="G504" s="97"/>
      <c r="H504" s="97"/>
      <c r="I504" s="97"/>
      <c r="J504" s="97"/>
      <c r="K504" s="97"/>
      <c r="L504" s="97"/>
      <c r="M504" s="97"/>
      <c r="N504" s="97"/>
      <c r="O504" s="97"/>
      <c r="P504" s="97"/>
      <c r="Q504" s="97"/>
      <c r="R504" s="97"/>
      <c r="S504" s="97"/>
      <c r="T504" s="97"/>
      <c r="U504" s="97"/>
    </row>
    <row r="505" spans="1:21">
      <c r="A505" s="126"/>
      <c r="B505" s="127"/>
      <c r="C505" s="97"/>
      <c r="D505" s="519"/>
      <c r="E505" s="96"/>
      <c r="F505" s="97"/>
      <c r="G505" s="97"/>
      <c r="H505" s="97"/>
      <c r="I505" s="97"/>
      <c r="J505" s="97"/>
      <c r="K505" s="97"/>
      <c r="L505" s="97"/>
      <c r="M505" s="97"/>
      <c r="N505" s="97"/>
      <c r="O505" s="97"/>
      <c r="P505" s="97"/>
      <c r="Q505" s="97"/>
      <c r="R505" s="97"/>
      <c r="S505" s="97"/>
      <c r="T505" s="97"/>
      <c r="U505" s="97"/>
    </row>
    <row r="506" spans="1:21">
      <c r="A506" s="126"/>
      <c r="B506" s="127"/>
      <c r="C506" s="97"/>
      <c r="D506" s="519"/>
      <c r="E506" s="96"/>
      <c r="F506" s="97"/>
      <c r="G506" s="97"/>
      <c r="H506" s="97"/>
      <c r="I506" s="97"/>
      <c r="J506" s="97"/>
      <c r="K506" s="97"/>
      <c r="L506" s="97"/>
      <c r="M506" s="97"/>
      <c r="N506" s="97"/>
      <c r="O506" s="97"/>
      <c r="P506" s="97"/>
      <c r="Q506" s="97"/>
      <c r="R506" s="97"/>
      <c r="S506" s="97"/>
      <c r="T506" s="97"/>
      <c r="U506" s="97"/>
    </row>
    <row r="507" spans="1:21">
      <c r="A507" s="126"/>
      <c r="B507" s="127"/>
      <c r="C507" s="97"/>
      <c r="D507" s="519"/>
      <c r="E507" s="96"/>
      <c r="F507" s="97"/>
      <c r="G507" s="97"/>
      <c r="H507" s="97"/>
      <c r="I507" s="97"/>
      <c r="J507" s="97"/>
      <c r="K507" s="97"/>
      <c r="L507" s="97"/>
      <c r="M507" s="97"/>
      <c r="N507" s="97"/>
      <c r="O507" s="97"/>
      <c r="P507" s="97"/>
      <c r="Q507" s="97"/>
      <c r="R507" s="97"/>
      <c r="S507" s="97"/>
      <c r="T507" s="97"/>
      <c r="U507" s="97"/>
    </row>
    <row r="508" spans="1:21">
      <c r="A508" s="126"/>
      <c r="B508" s="127"/>
      <c r="C508" s="97"/>
      <c r="D508" s="519"/>
      <c r="E508" s="96"/>
      <c r="F508" s="97"/>
      <c r="G508" s="97"/>
      <c r="H508" s="97"/>
      <c r="I508" s="97"/>
      <c r="J508" s="97"/>
      <c r="K508" s="97"/>
      <c r="L508" s="97"/>
      <c r="M508" s="97"/>
      <c r="N508" s="97"/>
      <c r="O508" s="97"/>
      <c r="P508" s="97"/>
      <c r="Q508" s="97"/>
      <c r="R508" s="97"/>
      <c r="S508" s="97"/>
      <c r="T508" s="97"/>
      <c r="U508" s="97"/>
    </row>
    <row r="509" spans="1:21">
      <c r="A509" s="126"/>
      <c r="B509" s="127"/>
      <c r="C509" s="97"/>
      <c r="D509" s="519"/>
      <c r="E509" s="96"/>
      <c r="F509" s="97"/>
      <c r="G509" s="97"/>
      <c r="H509" s="97"/>
      <c r="I509" s="97"/>
      <c r="J509" s="97"/>
      <c r="K509" s="97"/>
      <c r="L509" s="97"/>
      <c r="M509" s="97"/>
      <c r="N509" s="97"/>
      <c r="O509" s="97"/>
      <c r="P509" s="97"/>
      <c r="Q509" s="97"/>
      <c r="R509" s="97"/>
      <c r="S509" s="97"/>
      <c r="T509" s="97"/>
      <c r="U509" s="97"/>
    </row>
    <row r="510" spans="1:21">
      <c r="A510" s="126"/>
      <c r="B510" s="127"/>
      <c r="C510" s="97"/>
      <c r="D510" s="519"/>
      <c r="E510" s="96"/>
      <c r="F510" s="97"/>
      <c r="G510" s="97"/>
      <c r="H510" s="97"/>
      <c r="I510" s="97"/>
      <c r="J510" s="97"/>
      <c r="K510" s="97"/>
      <c r="L510" s="97"/>
      <c r="M510" s="97"/>
      <c r="N510" s="97"/>
      <c r="O510" s="97"/>
      <c r="P510" s="97"/>
      <c r="Q510" s="97"/>
      <c r="R510" s="97"/>
      <c r="S510" s="97"/>
      <c r="T510" s="97"/>
      <c r="U510" s="97"/>
    </row>
    <row r="511" spans="1:21">
      <c r="A511" s="126"/>
      <c r="B511" s="127"/>
      <c r="C511" s="97"/>
      <c r="D511" s="519"/>
      <c r="E511" s="96"/>
      <c r="F511" s="97"/>
      <c r="G511" s="97"/>
      <c r="H511" s="97"/>
      <c r="I511" s="97"/>
      <c r="J511" s="97"/>
      <c r="K511" s="97"/>
      <c r="L511" s="97"/>
      <c r="M511" s="97"/>
      <c r="N511" s="97"/>
      <c r="O511" s="97"/>
      <c r="P511" s="97"/>
      <c r="Q511" s="97"/>
      <c r="R511" s="97"/>
      <c r="S511" s="97"/>
      <c r="T511" s="97"/>
      <c r="U511" s="97"/>
    </row>
    <row r="512" spans="1:21">
      <c r="A512" s="126"/>
      <c r="B512" s="127"/>
      <c r="C512" s="97"/>
      <c r="D512" s="519"/>
      <c r="E512" s="96"/>
      <c r="F512" s="97"/>
      <c r="G512" s="97"/>
      <c r="H512" s="97"/>
      <c r="I512" s="97"/>
      <c r="J512" s="97"/>
      <c r="K512" s="97"/>
      <c r="L512" s="97"/>
      <c r="M512" s="97"/>
      <c r="N512" s="97"/>
      <c r="O512" s="97"/>
      <c r="P512" s="97"/>
      <c r="Q512" s="97"/>
      <c r="R512" s="97"/>
      <c r="S512" s="97"/>
      <c r="T512" s="97"/>
      <c r="U512" s="97"/>
    </row>
    <row r="513" spans="1:21">
      <c r="A513" s="126"/>
      <c r="B513" s="127"/>
      <c r="C513" s="97"/>
      <c r="D513" s="519"/>
      <c r="E513" s="96"/>
      <c r="F513" s="97"/>
      <c r="G513" s="97"/>
      <c r="H513" s="97"/>
      <c r="I513" s="97"/>
      <c r="J513" s="97"/>
      <c r="K513" s="97"/>
      <c r="L513" s="97"/>
      <c r="M513" s="97"/>
      <c r="N513" s="97"/>
      <c r="O513" s="97"/>
      <c r="P513" s="97"/>
      <c r="Q513" s="97"/>
      <c r="R513" s="97"/>
      <c r="S513" s="97"/>
      <c r="T513" s="97"/>
      <c r="U513" s="97"/>
    </row>
    <row r="514" spans="1:21">
      <c r="A514" s="126"/>
      <c r="B514" s="127"/>
      <c r="C514" s="97"/>
      <c r="D514" s="519"/>
      <c r="E514" s="96"/>
      <c r="F514" s="97"/>
      <c r="G514" s="97"/>
      <c r="H514" s="97"/>
      <c r="I514" s="97"/>
      <c r="J514" s="97"/>
      <c r="K514" s="97"/>
      <c r="L514" s="97"/>
      <c r="M514" s="97"/>
      <c r="N514" s="97"/>
      <c r="O514" s="97"/>
      <c r="P514" s="97"/>
      <c r="Q514" s="97"/>
      <c r="R514" s="97"/>
      <c r="S514" s="97"/>
      <c r="T514" s="97"/>
      <c r="U514" s="97"/>
    </row>
    <row r="515" spans="1:21">
      <c r="A515" s="126"/>
      <c r="B515" s="127"/>
      <c r="C515" s="97"/>
      <c r="D515" s="519"/>
      <c r="E515" s="96"/>
      <c r="F515" s="97"/>
      <c r="G515" s="97"/>
      <c r="H515" s="97"/>
      <c r="I515" s="97"/>
      <c r="J515" s="97"/>
      <c r="K515" s="97"/>
      <c r="L515" s="97"/>
      <c r="M515" s="97"/>
      <c r="N515" s="97"/>
      <c r="O515" s="97"/>
      <c r="P515" s="97"/>
      <c r="Q515" s="97"/>
      <c r="R515" s="97"/>
      <c r="S515" s="97"/>
      <c r="T515" s="97"/>
      <c r="U515" s="97"/>
    </row>
    <row r="516" spans="1:21">
      <c r="A516" s="126"/>
      <c r="B516" s="127"/>
      <c r="C516" s="97"/>
      <c r="D516" s="519"/>
      <c r="E516" s="96"/>
      <c r="F516" s="97"/>
      <c r="G516" s="97"/>
      <c r="H516" s="97"/>
      <c r="I516" s="97"/>
      <c r="J516" s="97"/>
      <c r="K516" s="97"/>
      <c r="L516" s="97"/>
      <c r="M516" s="97"/>
      <c r="N516" s="97"/>
      <c r="O516" s="97"/>
      <c r="P516" s="97"/>
      <c r="Q516" s="97"/>
      <c r="R516" s="97"/>
      <c r="S516" s="97"/>
      <c r="T516" s="97"/>
      <c r="U516" s="97"/>
    </row>
    <row r="517" spans="1:21">
      <c r="A517" s="126"/>
      <c r="B517" s="127"/>
      <c r="C517" s="97"/>
      <c r="D517" s="519"/>
      <c r="E517" s="96"/>
      <c r="F517" s="97"/>
      <c r="G517" s="97"/>
      <c r="H517" s="97"/>
      <c r="I517" s="97"/>
      <c r="J517" s="97"/>
      <c r="K517" s="97"/>
      <c r="L517" s="97"/>
      <c r="M517" s="97"/>
      <c r="N517" s="97"/>
      <c r="O517" s="97"/>
      <c r="P517" s="97"/>
      <c r="Q517" s="97"/>
      <c r="R517" s="97"/>
      <c r="S517" s="97"/>
      <c r="T517" s="97"/>
      <c r="U517" s="97"/>
    </row>
    <row r="518" spans="1:21">
      <c r="A518" s="126"/>
      <c r="B518" s="127"/>
      <c r="C518" s="97"/>
      <c r="D518" s="519"/>
      <c r="E518" s="96"/>
      <c r="F518" s="97"/>
      <c r="G518" s="97"/>
      <c r="H518" s="97"/>
      <c r="I518" s="97"/>
      <c r="J518" s="97"/>
      <c r="K518" s="97"/>
      <c r="L518" s="97"/>
      <c r="M518" s="97"/>
      <c r="N518" s="97"/>
      <c r="O518" s="97"/>
      <c r="P518" s="97"/>
      <c r="Q518" s="97"/>
      <c r="R518" s="97"/>
      <c r="S518" s="97"/>
      <c r="T518" s="97"/>
      <c r="U518" s="97"/>
    </row>
    <row r="519" spans="1:21">
      <c r="A519" s="126"/>
      <c r="B519" s="127"/>
      <c r="C519" s="97"/>
      <c r="D519" s="519"/>
      <c r="E519" s="96"/>
      <c r="F519" s="97"/>
      <c r="G519" s="97"/>
      <c r="H519" s="97"/>
      <c r="I519" s="97"/>
      <c r="J519" s="97"/>
      <c r="K519" s="97"/>
      <c r="L519" s="97"/>
      <c r="M519" s="97"/>
      <c r="N519" s="97"/>
      <c r="O519" s="97"/>
      <c r="P519" s="97"/>
      <c r="Q519" s="97"/>
      <c r="R519" s="97"/>
      <c r="S519" s="97"/>
      <c r="T519" s="97"/>
      <c r="U519" s="97"/>
    </row>
    <row r="520" spans="1:21">
      <c r="A520" s="126"/>
      <c r="B520" s="127"/>
      <c r="C520" s="97"/>
      <c r="D520" s="519"/>
      <c r="E520" s="96"/>
      <c r="F520" s="97"/>
      <c r="G520" s="97"/>
      <c r="H520" s="97"/>
      <c r="I520" s="97"/>
      <c r="J520" s="97"/>
      <c r="K520" s="97"/>
      <c r="L520" s="97"/>
      <c r="M520" s="97"/>
      <c r="N520" s="97"/>
      <c r="O520" s="97"/>
      <c r="P520" s="97"/>
      <c r="Q520" s="97"/>
      <c r="R520" s="97"/>
      <c r="S520" s="97"/>
      <c r="T520" s="97"/>
      <c r="U520" s="97"/>
    </row>
    <row r="521" spans="1:21">
      <c r="A521" s="126"/>
      <c r="B521" s="127"/>
      <c r="C521" s="97"/>
      <c r="D521" s="519"/>
      <c r="E521" s="96"/>
      <c r="F521" s="97"/>
      <c r="G521" s="97"/>
      <c r="H521" s="97"/>
      <c r="I521" s="97"/>
      <c r="J521" s="97"/>
      <c r="K521" s="97"/>
      <c r="L521" s="97"/>
      <c r="M521" s="97"/>
      <c r="N521" s="97"/>
      <c r="O521" s="97"/>
      <c r="P521" s="97"/>
      <c r="Q521" s="97"/>
      <c r="R521" s="97"/>
      <c r="S521" s="97"/>
      <c r="T521" s="97"/>
      <c r="U521" s="97"/>
    </row>
    <row r="522" spans="1:21">
      <c r="A522" s="126"/>
      <c r="B522" s="127"/>
      <c r="C522" s="97"/>
      <c r="D522" s="519"/>
      <c r="E522" s="96"/>
      <c r="F522" s="97"/>
      <c r="G522" s="97"/>
      <c r="H522" s="97"/>
      <c r="I522" s="97"/>
      <c r="J522" s="97"/>
      <c r="K522" s="97"/>
      <c r="L522" s="97"/>
      <c r="M522" s="97"/>
      <c r="N522" s="97"/>
      <c r="O522" s="97"/>
      <c r="P522" s="97"/>
      <c r="Q522" s="97"/>
      <c r="R522" s="97"/>
      <c r="S522" s="97"/>
      <c r="T522" s="97"/>
      <c r="U522" s="97"/>
    </row>
    <row r="523" spans="1:21">
      <c r="A523" s="126"/>
      <c r="B523" s="127"/>
      <c r="C523" s="97"/>
      <c r="D523" s="519"/>
      <c r="E523" s="96"/>
      <c r="F523" s="97"/>
      <c r="G523" s="97"/>
      <c r="H523" s="97"/>
      <c r="I523" s="97"/>
      <c r="J523" s="97"/>
      <c r="K523" s="97"/>
      <c r="L523" s="97"/>
      <c r="M523" s="97"/>
      <c r="N523" s="97"/>
      <c r="O523" s="97"/>
      <c r="P523" s="97"/>
      <c r="Q523" s="97"/>
      <c r="R523" s="97"/>
      <c r="S523" s="97"/>
      <c r="T523" s="97"/>
      <c r="U523" s="97"/>
    </row>
    <row r="524" spans="1:21">
      <c r="A524" s="126"/>
      <c r="B524" s="127"/>
      <c r="C524" s="97"/>
      <c r="D524" s="519"/>
      <c r="E524" s="96"/>
      <c r="F524" s="97"/>
      <c r="G524" s="97"/>
      <c r="H524" s="97"/>
      <c r="I524" s="97"/>
      <c r="J524" s="97"/>
      <c r="K524" s="97"/>
      <c r="L524" s="97"/>
      <c r="M524" s="97"/>
      <c r="N524" s="97"/>
      <c r="O524" s="97"/>
      <c r="P524" s="97"/>
      <c r="Q524" s="97"/>
      <c r="R524" s="97"/>
      <c r="S524" s="97"/>
      <c r="T524" s="97"/>
      <c r="U524" s="97"/>
    </row>
    <row r="525" spans="1:21">
      <c r="A525" s="126"/>
      <c r="B525" s="127"/>
      <c r="C525" s="97"/>
      <c r="D525" s="519"/>
      <c r="E525" s="96"/>
      <c r="F525" s="97"/>
      <c r="G525" s="97"/>
      <c r="H525" s="97"/>
      <c r="I525" s="97"/>
      <c r="J525" s="97"/>
      <c r="K525" s="97"/>
      <c r="L525" s="97"/>
      <c r="M525" s="97"/>
      <c r="N525" s="97"/>
      <c r="O525" s="97"/>
      <c r="P525" s="97"/>
      <c r="Q525" s="97"/>
      <c r="R525" s="97"/>
      <c r="S525" s="97"/>
      <c r="T525" s="97"/>
      <c r="U525" s="97"/>
    </row>
    <row r="526" spans="1:21">
      <c r="A526" s="126"/>
      <c r="B526" s="127"/>
      <c r="C526" s="97"/>
      <c r="D526" s="519"/>
      <c r="E526" s="96"/>
      <c r="F526" s="97"/>
      <c r="G526" s="97"/>
      <c r="H526" s="97"/>
      <c r="I526" s="97"/>
      <c r="J526" s="97"/>
      <c r="K526" s="97"/>
      <c r="L526" s="97"/>
      <c r="M526" s="97"/>
      <c r="N526" s="97"/>
      <c r="O526" s="97"/>
      <c r="P526" s="97"/>
      <c r="Q526" s="97"/>
      <c r="R526" s="97"/>
      <c r="S526" s="97"/>
      <c r="T526" s="97"/>
      <c r="U526" s="97"/>
    </row>
    <row r="527" spans="1:21">
      <c r="A527" s="126"/>
      <c r="B527" s="127"/>
      <c r="C527" s="97"/>
      <c r="D527" s="519"/>
      <c r="E527" s="96"/>
      <c r="F527" s="97"/>
      <c r="G527" s="97"/>
      <c r="H527" s="97"/>
      <c r="I527" s="97"/>
      <c r="J527" s="97"/>
      <c r="K527" s="97"/>
      <c r="L527" s="97"/>
      <c r="M527" s="97"/>
      <c r="N527" s="97"/>
      <c r="O527" s="97"/>
      <c r="P527" s="97"/>
      <c r="Q527" s="97"/>
      <c r="R527" s="97"/>
      <c r="S527" s="97"/>
      <c r="T527" s="97"/>
      <c r="U527" s="97"/>
    </row>
    <row r="528" spans="1:21">
      <c r="A528" s="126"/>
      <c r="B528" s="127"/>
      <c r="C528" s="97"/>
      <c r="D528" s="519"/>
      <c r="E528" s="96"/>
      <c r="F528" s="97"/>
      <c r="G528" s="97"/>
      <c r="H528" s="97"/>
      <c r="I528" s="97"/>
      <c r="J528" s="97"/>
      <c r="K528" s="97"/>
      <c r="L528" s="97"/>
      <c r="M528" s="97"/>
      <c r="N528" s="97"/>
      <c r="O528" s="97"/>
      <c r="P528" s="97"/>
      <c r="Q528" s="97"/>
      <c r="R528" s="97"/>
      <c r="S528" s="97"/>
      <c r="T528" s="97"/>
      <c r="U528" s="97"/>
    </row>
    <row r="529" spans="1:21">
      <c r="A529" s="126"/>
      <c r="B529" s="127"/>
      <c r="C529" s="97"/>
      <c r="D529" s="519"/>
      <c r="E529" s="96"/>
      <c r="F529" s="97"/>
      <c r="G529" s="97"/>
      <c r="H529" s="97"/>
      <c r="I529" s="97"/>
      <c r="J529" s="97"/>
      <c r="K529" s="97"/>
      <c r="L529" s="97"/>
      <c r="M529" s="97"/>
      <c r="N529" s="97"/>
      <c r="O529" s="97"/>
      <c r="P529" s="97"/>
      <c r="Q529" s="97"/>
      <c r="R529" s="97"/>
      <c r="S529" s="97"/>
      <c r="T529" s="97"/>
      <c r="U529" s="97"/>
    </row>
    <row r="530" spans="1:21">
      <c r="A530" s="126"/>
      <c r="B530" s="127"/>
      <c r="C530" s="97"/>
      <c r="D530" s="519"/>
      <c r="E530" s="96"/>
      <c r="F530" s="97"/>
      <c r="G530" s="97"/>
      <c r="H530" s="97"/>
      <c r="I530" s="97"/>
      <c r="J530" s="97"/>
      <c r="K530" s="97"/>
      <c r="L530" s="97"/>
      <c r="M530" s="97"/>
      <c r="N530" s="97"/>
      <c r="O530" s="97"/>
      <c r="P530" s="97"/>
      <c r="Q530" s="97"/>
      <c r="R530" s="97"/>
      <c r="S530" s="97"/>
      <c r="T530" s="97"/>
      <c r="U530" s="97"/>
    </row>
    <row r="531" spans="1:21">
      <c r="A531" s="126"/>
      <c r="B531" s="127"/>
      <c r="C531" s="97"/>
      <c r="D531" s="519"/>
      <c r="E531" s="96"/>
      <c r="F531" s="97"/>
      <c r="G531" s="97"/>
      <c r="H531" s="97"/>
      <c r="I531" s="97"/>
      <c r="J531" s="97"/>
      <c r="K531" s="97"/>
      <c r="L531" s="97"/>
      <c r="M531" s="97"/>
      <c r="N531" s="97"/>
      <c r="O531" s="97"/>
      <c r="P531" s="97"/>
      <c r="Q531" s="97"/>
      <c r="R531" s="97"/>
      <c r="S531" s="97"/>
      <c r="T531" s="97"/>
      <c r="U531" s="97"/>
    </row>
    <row r="532" spans="1:21">
      <c r="A532" s="126"/>
      <c r="B532" s="127"/>
      <c r="C532" s="97"/>
      <c r="D532" s="519"/>
      <c r="E532" s="96"/>
      <c r="F532" s="97"/>
      <c r="G532" s="97"/>
      <c r="H532" s="97"/>
      <c r="I532" s="97"/>
      <c r="J532" s="97"/>
      <c r="K532" s="97"/>
      <c r="L532" s="97"/>
      <c r="M532" s="97"/>
      <c r="N532" s="97"/>
      <c r="O532" s="97"/>
      <c r="P532" s="97"/>
      <c r="Q532" s="97"/>
      <c r="R532" s="97"/>
      <c r="S532" s="97"/>
      <c r="T532" s="97"/>
      <c r="U532" s="97"/>
    </row>
    <row r="533" spans="1:21">
      <c r="A533" s="126"/>
      <c r="B533" s="127"/>
      <c r="C533" s="97"/>
      <c r="D533" s="519"/>
      <c r="E533" s="96"/>
      <c r="F533" s="97"/>
      <c r="G533" s="97"/>
      <c r="H533" s="97"/>
      <c r="I533" s="97"/>
      <c r="J533" s="97"/>
      <c r="K533" s="97"/>
      <c r="L533" s="97"/>
      <c r="M533" s="97"/>
      <c r="N533" s="97"/>
      <c r="O533" s="97"/>
      <c r="P533" s="97"/>
      <c r="Q533" s="97"/>
      <c r="R533" s="97"/>
      <c r="S533" s="97"/>
      <c r="T533" s="97"/>
      <c r="U533" s="97"/>
    </row>
    <row r="534" spans="1:21">
      <c r="A534" s="126"/>
      <c r="B534" s="127"/>
      <c r="C534" s="97"/>
      <c r="D534" s="519"/>
      <c r="E534" s="96"/>
      <c r="F534" s="97"/>
      <c r="G534" s="97"/>
      <c r="H534" s="97"/>
      <c r="I534" s="97"/>
      <c r="J534" s="97"/>
      <c r="K534" s="97"/>
      <c r="L534" s="97"/>
      <c r="M534" s="97"/>
      <c r="N534" s="97"/>
      <c r="O534" s="97"/>
      <c r="P534" s="97"/>
      <c r="Q534" s="97"/>
      <c r="R534" s="97"/>
      <c r="S534" s="97"/>
      <c r="T534" s="97"/>
      <c r="U534" s="97"/>
    </row>
    <row r="535" spans="1:21">
      <c r="A535" s="126"/>
      <c r="B535" s="127"/>
      <c r="C535" s="97"/>
      <c r="D535" s="519"/>
      <c r="E535" s="96"/>
      <c r="F535" s="97"/>
      <c r="G535" s="97"/>
      <c r="H535" s="97"/>
      <c r="I535" s="97"/>
      <c r="J535" s="97"/>
      <c r="K535" s="97"/>
      <c r="L535" s="97"/>
      <c r="M535" s="97"/>
      <c r="N535" s="97"/>
      <c r="O535" s="97"/>
      <c r="P535" s="97"/>
      <c r="Q535" s="97"/>
      <c r="R535" s="97"/>
      <c r="S535" s="97"/>
      <c r="T535" s="97"/>
      <c r="U535" s="97"/>
    </row>
    <row r="536" spans="1:21">
      <c r="A536" s="126"/>
      <c r="B536" s="127"/>
      <c r="C536" s="97"/>
      <c r="D536" s="519"/>
      <c r="E536" s="96"/>
      <c r="F536" s="97"/>
      <c r="G536" s="97"/>
      <c r="H536" s="97"/>
      <c r="I536" s="97"/>
      <c r="J536" s="97"/>
      <c r="K536" s="97"/>
      <c r="L536" s="97"/>
      <c r="M536" s="97"/>
      <c r="N536" s="97"/>
      <c r="O536" s="97"/>
      <c r="P536" s="97"/>
      <c r="Q536" s="97"/>
      <c r="R536" s="97"/>
      <c r="S536" s="97"/>
      <c r="T536" s="97"/>
      <c r="U536" s="97"/>
    </row>
    <row r="537" spans="1:21">
      <c r="A537" s="126"/>
      <c r="B537" s="127"/>
      <c r="C537" s="97"/>
      <c r="D537" s="519"/>
      <c r="E537" s="96"/>
      <c r="F537" s="97"/>
      <c r="G537" s="97"/>
      <c r="H537" s="97"/>
      <c r="I537" s="97"/>
      <c r="J537" s="97"/>
      <c r="K537" s="97"/>
      <c r="L537" s="97"/>
      <c r="M537" s="97"/>
      <c r="N537" s="97"/>
      <c r="O537" s="97"/>
      <c r="P537" s="97"/>
      <c r="Q537" s="97"/>
      <c r="R537" s="97"/>
      <c r="S537" s="97"/>
      <c r="T537" s="97"/>
      <c r="U537" s="97"/>
    </row>
    <row r="538" spans="1:21">
      <c r="A538" s="126"/>
      <c r="B538" s="127"/>
      <c r="C538" s="97"/>
      <c r="D538" s="519"/>
      <c r="E538" s="96"/>
      <c r="F538" s="97"/>
      <c r="G538" s="97"/>
      <c r="H538" s="97"/>
      <c r="I538" s="97"/>
      <c r="J538" s="97"/>
      <c r="K538" s="97"/>
      <c r="L538" s="97"/>
      <c r="M538" s="97"/>
      <c r="N538" s="97"/>
      <c r="O538" s="97"/>
      <c r="P538" s="97"/>
      <c r="Q538" s="97"/>
      <c r="R538" s="97"/>
      <c r="S538" s="97"/>
      <c r="T538" s="97"/>
      <c r="U538" s="97"/>
    </row>
    <row r="539" spans="1:21">
      <c r="A539" s="126"/>
      <c r="B539" s="127"/>
      <c r="C539" s="97"/>
      <c r="D539" s="519"/>
      <c r="E539" s="96"/>
      <c r="F539" s="97"/>
      <c r="G539" s="97"/>
      <c r="H539" s="97"/>
      <c r="I539" s="97"/>
      <c r="J539" s="97"/>
      <c r="K539" s="97"/>
      <c r="L539" s="97"/>
      <c r="M539" s="97"/>
      <c r="N539" s="97"/>
      <c r="O539" s="97"/>
      <c r="P539" s="97"/>
      <c r="Q539" s="97"/>
      <c r="R539" s="97"/>
      <c r="S539" s="97"/>
      <c r="T539" s="97"/>
      <c r="U539" s="97"/>
    </row>
    <row r="540" spans="1:21">
      <c r="A540" s="126"/>
      <c r="B540" s="127"/>
      <c r="C540" s="97"/>
      <c r="D540" s="519"/>
      <c r="E540" s="96"/>
      <c r="F540" s="97"/>
      <c r="G540" s="97"/>
      <c r="H540" s="97"/>
      <c r="I540" s="97"/>
      <c r="J540" s="97"/>
      <c r="K540" s="97"/>
      <c r="L540" s="97"/>
      <c r="M540" s="97"/>
      <c r="N540" s="97"/>
      <c r="O540" s="97"/>
      <c r="P540" s="97"/>
      <c r="Q540" s="97"/>
      <c r="R540" s="97"/>
      <c r="S540" s="97"/>
      <c r="T540" s="97"/>
      <c r="U540" s="97"/>
    </row>
    <row r="541" spans="1:21">
      <c r="A541" s="126"/>
      <c r="B541" s="127"/>
      <c r="C541" s="97"/>
      <c r="D541" s="519"/>
      <c r="E541" s="96"/>
      <c r="F541" s="97"/>
      <c r="G541" s="97"/>
      <c r="H541" s="97"/>
      <c r="I541" s="97"/>
      <c r="J541" s="97"/>
      <c r="K541" s="97"/>
      <c r="L541" s="97"/>
      <c r="M541" s="97"/>
      <c r="N541" s="97"/>
      <c r="O541" s="97"/>
      <c r="P541" s="97"/>
      <c r="Q541" s="97"/>
      <c r="R541" s="97"/>
      <c r="S541" s="97"/>
      <c r="T541" s="97"/>
      <c r="U541" s="97"/>
    </row>
    <row r="542" spans="1:21">
      <c r="A542" s="126"/>
      <c r="B542" s="127"/>
      <c r="C542" s="97"/>
      <c r="D542" s="519"/>
      <c r="E542" s="96"/>
      <c r="F542" s="97"/>
      <c r="G542" s="97"/>
      <c r="H542" s="97"/>
      <c r="I542" s="97"/>
      <c r="J542" s="97"/>
      <c r="K542" s="97"/>
      <c r="L542" s="97"/>
      <c r="M542" s="97"/>
      <c r="N542" s="97"/>
      <c r="O542" s="97"/>
      <c r="P542" s="97"/>
      <c r="Q542" s="97"/>
      <c r="R542" s="97"/>
      <c r="S542" s="97"/>
      <c r="T542" s="97"/>
      <c r="U542" s="97"/>
    </row>
    <row r="543" spans="1:21">
      <c r="A543" s="126"/>
      <c r="B543" s="127"/>
      <c r="C543" s="97"/>
      <c r="D543" s="519"/>
      <c r="E543" s="96"/>
      <c r="F543" s="97"/>
      <c r="G543" s="97"/>
      <c r="H543" s="97"/>
      <c r="I543" s="97"/>
      <c r="J543" s="97"/>
      <c r="K543" s="97"/>
      <c r="L543" s="97"/>
      <c r="M543" s="97"/>
      <c r="N543" s="97"/>
      <c r="O543" s="97"/>
      <c r="P543" s="97"/>
      <c r="Q543" s="97"/>
      <c r="R543" s="97"/>
      <c r="S543" s="97"/>
      <c r="T543" s="97"/>
      <c r="U543" s="97"/>
    </row>
    <row r="544" spans="1:21">
      <c r="A544" s="126"/>
      <c r="B544" s="127"/>
      <c r="C544" s="97"/>
      <c r="D544" s="519"/>
      <c r="E544" s="96"/>
      <c r="F544" s="97"/>
      <c r="G544" s="97"/>
      <c r="H544" s="97"/>
      <c r="I544" s="97"/>
      <c r="J544" s="97"/>
      <c r="K544" s="97"/>
      <c r="L544" s="97"/>
      <c r="M544" s="97"/>
      <c r="N544" s="97"/>
      <c r="O544" s="97"/>
      <c r="P544" s="97"/>
      <c r="Q544" s="97"/>
      <c r="R544" s="97"/>
      <c r="S544" s="97"/>
      <c r="T544" s="97"/>
      <c r="U544" s="97"/>
    </row>
    <row r="545" spans="1:21">
      <c r="A545" s="126"/>
      <c r="B545" s="127"/>
      <c r="C545" s="97"/>
      <c r="D545" s="519"/>
      <c r="E545" s="96"/>
      <c r="F545" s="97"/>
      <c r="G545" s="97"/>
      <c r="H545" s="97"/>
      <c r="I545" s="97"/>
      <c r="J545" s="97"/>
      <c r="K545" s="97"/>
      <c r="L545" s="97"/>
      <c r="M545" s="97"/>
      <c r="N545" s="97"/>
      <c r="O545" s="97"/>
      <c r="P545" s="97"/>
      <c r="Q545" s="97"/>
      <c r="R545" s="97"/>
      <c r="S545" s="97"/>
      <c r="T545" s="97"/>
      <c r="U545" s="97"/>
    </row>
    <row r="546" spans="1:21">
      <c r="A546" s="126"/>
      <c r="B546" s="127"/>
      <c r="C546" s="97"/>
      <c r="D546" s="519"/>
      <c r="E546" s="96"/>
      <c r="F546" s="97"/>
      <c r="G546" s="97"/>
      <c r="H546" s="97"/>
      <c r="I546" s="97"/>
      <c r="J546" s="97"/>
      <c r="K546" s="97"/>
      <c r="L546" s="97"/>
      <c r="M546" s="97"/>
      <c r="N546" s="97"/>
      <c r="O546" s="97"/>
      <c r="P546" s="97"/>
      <c r="Q546" s="97"/>
      <c r="R546" s="97"/>
      <c r="S546" s="97"/>
      <c r="T546" s="97"/>
      <c r="U546" s="97"/>
    </row>
    <row r="547" spans="1:21">
      <c r="A547" s="126"/>
      <c r="B547" s="127"/>
      <c r="C547" s="97"/>
      <c r="D547" s="519"/>
      <c r="E547" s="96"/>
      <c r="F547" s="97"/>
      <c r="G547" s="97"/>
      <c r="H547" s="97"/>
      <c r="I547" s="97"/>
      <c r="J547" s="97"/>
      <c r="K547" s="97"/>
      <c r="L547" s="97"/>
      <c r="M547" s="97"/>
      <c r="N547" s="97"/>
      <c r="O547" s="97"/>
      <c r="P547" s="97"/>
      <c r="Q547" s="97"/>
      <c r="R547" s="97"/>
      <c r="S547" s="97"/>
      <c r="T547" s="97"/>
      <c r="U547" s="97"/>
    </row>
    <row r="548" spans="1:21">
      <c r="A548" s="126"/>
      <c r="B548" s="127"/>
      <c r="C548" s="97"/>
      <c r="D548" s="519"/>
      <c r="E548" s="96"/>
      <c r="F548" s="97"/>
      <c r="G548" s="97"/>
      <c r="H548" s="97"/>
      <c r="I548" s="97"/>
      <c r="J548" s="97"/>
      <c r="K548" s="97"/>
      <c r="L548" s="97"/>
      <c r="M548" s="97"/>
      <c r="N548" s="97"/>
      <c r="O548" s="97"/>
      <c r="P548" s="97"/>
      <c r="Q548" s="97"/>
      <c r="R548" s="97"/>
      <c r="S548" s="97"/>
      <c r="T548" s="97"/>
      <c r="U548" s="97"/>
    </row>
    <row r="549" spans="1:21">
      <c r="A549" s="126"/>
      <c r="B549" s="127"/>
      <c r="C549" s="97"/>
      <c r="D549" s="519"/>
      <c r="E549" s="96"/>
      <c r="F549" s="97"/>
      <c r="G549" s="97"/>
      <c r="H549" s="97"/>
      <c r="I549" s="97"/>
      <c r="J549" s="97"/>
      <c r="K549" s="97"/>
      <c r="L549" s="97"/>
      <c r="M549" s="97"/>
      <c r="N549" s="97"/>
      <c r="O549" s="97"/>
      <c r="P549" s="97"/>
      <c r="Q549" s="97"/>
      <c r="R549" s="97"/>
      <c r="S549" s="97"/>
      <c r="T549" s="97"/>
      <c r="U549" s="97"/>
    </row>
    <row r="550" spans="1:21">
      <c r="A550" s="126"/>
      <c r="B550" s="127"/>
      <c r="C550" s="97"/>
      <c r="D550" s="519"/>
      <c r="E550" s="96"/>
      <c r="F550" s="97"/>
      <c r="G550" s="97"/>
      <c r="H550" s="97"/>
      <c r="I550" s="97"/>
      <c r="J550" s="97"/>
      <c r="K550" s="97"/>
      <c r="L550" s="97"/>
      <c r="M550" s="97"/>
      <c r="N550" s="97"/>
      <c r="O550" s="97"/>
      <c r="P550" s="97"/>
      <c r="Q550" s="97"/>
      <c r="R550" s="97"/>
      <c r="S550" s="97"/>
      <c r="T550" s="97"/>
      <c r="U550" s="97"/>
    </row>
    <row r="551" spans="1:21">
      <c r="A551" s="126"/>
      <c r="B551" s="127"/>
      <c r="C551" s="97"/>
      <c r="D551" s="519"/>
      <c r="E551" s="96"/>
      <c r="F551" s="97"/>
      <c r="G551" s="97"/>
      <c r="H551" s="97"/>
      <c r="I551" s="97"/>
      <c r="J551" s="97"/>
      <c r="K551" s="97"/>
      <c r="L551" s="97"/>
      <c r="M551" s="97"/>
      <c r="N551" s="97"/>
      <c r="O551" s="97"/>
      <c r="P551" s="97"/>
      <c r="Q551" s="97"/>
      <c r="R551" s="97"/>
      <c r="S551" s="97"/>
      <c r="T551" s="97"/>
      <c r="U551" s="97"/>
    </row>
    <row r="552" spans="1:21">
      <c r="A552" s="126"/>
      <c r="B552" s="127"/>
      <c r="C552" s="97"/>
      <c r="D552" s="519"/>
      <c r="E552" s="96"/>
      <c r="F552" s="97"/>
      <c r="G552" s="97"/>
      <c r="H552" s="97"/>
      <c r="I552" s="97"/>
      <c r="J552" s="97"/>
      <c r="K552" s="97"/>
      <c r="L552" s="97"/>
      <c r="M552" s="97"/>
      <c r="N552" s="97"/>
      <c r="O552" s="97"/>
      <c r="P552" s="97"/>
      <c r="Q552" s="97"/>
      <c r="R552" s="97"/>
      <c r="S552" s="97"/>
      <c r="T552" s="97"/>
      <c r="U552" s="97"/>
    </row>
    <row r="553" spans="1:21">
      <c r="A553" s="126"/>
      <c r="B553" s="127"/>
      <c r="C553" s="97"/>
      <c r="D553" s="519"/>
      <c r="E553" s="96"/>
      <c r="F553" s="97"/>
      <c r="G553" s="97"/>
      <c r="H553" s="97"/>
      <c r="I553" s="97"/>
      <c r="J553" s="97"/>
      <c r="K553" s="97"/>
      <c r="L553" s="97"/>
      <c r="M553" s="97"/>
      <c r="N553" s="97"/>
      <c r="O553" s="97"/>
      <c r="P553" s="97"/>
      <c r="Q553" s="97"/>
      <c r="R553" s="97"/>
      <c r="S553" s="97"/>
      <c r="T553" s="97"/>
      <c r="U553" s="97"/>
    </row>
    <row r="554" spans="1:21">
      <c r="A554" s="126"/>
      <c r="B554" s="127"/>
      <c r="C554" s="97"/>
      <c r="D554" s="519"/>
      <c r="E554" s="96"/>
      <c r="F554" s="97"/>
      <c r="G554" s="97"/>
      <c r="H554" s="97"/>
      <c r="I554" s="97"/>
      <c r="J554" s="97"/>
      <c r="K554" s="97"/>
      <c r="L554" s="97"/>
      <c r="M554" s="97"/>
      <c r="N554" s="97"/>
      <c r="O554" s="97"/>
      <c r="P554" s="97"/>
      <c r="Q554" s="97"/>
      <c r="R554" s="97"/>
      <c r="S554" s="97"/>
      <c r="T554" s="97"/>
      <c r="U554" s="97"/>
    </row>
    <row r="555" spans="1:21">
      <c r="A555" s="126"/>
      <c r="B555" s="127"/>
      <c r="C555" s="97"/>
      <c r="D555" s="519"/>
      <c r="E555" s="96"/>
      <c r="F555" s="97"/>
      <c r="G555" s="97"/>
      <c r="H555" s="97"/>
      <c r="I555" s="97"/>
      <c r="J555" s="97"/>
      <c r="K555" s="97"/>
      <c r="L555" s="97"/>
      <c r="M555" s="97"/>
      <c r="N555" s="97"/>
      <c r="O555" s="97"/>
      <c r="P555" s="97"/>
      <c r="Q555" s="97"/>
      <c r="R555" s="97"/>
      <c r="S555" s="97"/>
      <c r="T555" s="97"/>
      <c r="U555" s="97"/>
    </row>
    <row r="556" spans="1:21">
      <c r="A556" s="126"/>
      <c r="B556" s="127"/>
      <c r="C556" s="97"/>
      <c r="D556" s="519"/>
      <c r="E556" s="96"/>
      <c r="F556" s="97"/>
      <c r="G556" s="97"/>
      <c r="H556" s="97"/>
      <c r="I556" s="97"/>
      <c r="J556" s="97"/>
      <c r="K556" s="97"/>
      <c r="L556" s="97"/>
      <c r="M556" s="97"/>
      <c r="N556" s="97"/>
      <c r="O556" s="97"/>
      <c r="P556" s="97"/>
      <c r="Q556" s="97"/>
      <c r="R556" s="97"/>
      <c r="S556" s="97"/>
      <c r="T556" s="97"/>
      <c r="U556" s="97"/>
    </row>
    <row r="557" spans="1:21">
      <c r="A557" s="126"/>
      <c r="B557" s="127"/>
      <c r="C557" s="97"/>
      <c r="D557" s="519"/>
      <c r="E557" s="96"/>
      <c r="F557" s="97"/>
      <c r="G557" s="97"/>
      <c r="H557" s="97"/>
      <c r="I557" s="97"/>
      <c r="J557" s="97"/>
      <c r="K557" s="97"/>
      <c r="L557" s="97"/>
      <c r="M557" s="97"/>
      <c r="N557" s="97"/>
      <c r="O557" s="97"/>
      <c r="P557" s="97"/>
      <c r="Q557" s="97"/>
      <c r="R557" s="97"/>
      <c r="S557" s="97"/>
      <c r="T557" s="97"/>
      <c r="U557" s="97"/>
    </row>
    <row r="558" spans="1:21">
      <c r="A558" s="126"/>
      <c r="B558" s="127"/>
      <c r="C558" s="97"/>
      <c r="D558" s="519"/>
      <c r="E558" s="96"/>
      <c r="F558" s="97"/>
      <c r="G558" s="97"/>
      <c r="H558" s="97"/>
      <c r="I558" s="97"/>
      <c r="J558" s="97"/>
      <c r="K558" s="97"/>
      <c r="L558" s="97"/>
      <c r="M558" s="97"/>
      <c r="N558" s="97"/>
      <c r="O558" s="97"/>
      <c r="P558" s="97"/>
      <c r="Q558" s="97"/>
      <c r="R558" s="97"/>
      <c r="S558" s="97"/>
      <c r="T558" s="97"/>
      <c r="U558" s="97"/>
    </row>
    <row r="559" spans="1:21">
      <c r="A559" s="126"/>
      <c r="B559" s="127"/>
      <c r="C559" s="97"/>
      <c r="D559" s="519"/>
      <c r="E559" s="96"/>
      <c r="F559" s="97"/>
      <c r="G559" s="97"/>
      <c r="H559" s="97"/>
      <c r="I559" s="97"/>
      <c r="J559" s="97"/>
      <c r="K559" s="97"/>
      <c r="L559" s="97"/>
      <c r="M559" s="97"/>
      <c r="N559" s="97"/>
      <c r="O559" s="97"/>
      <c r="P559" s="97"/>
      <c r="Q559" s="97"/>
      <c r="R559" s="97"/>
      <c r="S559" s="97"/>
      <c r="T559" s="97"/>
      <c r="U559" s="97"/>
    </row>
    <row r="560" spans="1:21">
      <c r="A560" s="126"/>
      <c r="B560" s="127"/>
      <c r="C560" s="97"/>
      <c r="D560" s="519"/>
      <c r="E560" s="96"/>
      <c r="F560" s="97"/>
      <c r="G560" s="97"/>
      <c r="H560" s="97"/>
      <c r="I560" s="97"/>
      <c r="J560" s="97"/>
      <c r="K560" s="97"/>
      <c r="L560" s="97"/>
      <c r="M560" s="97"/>
      <c r="N560" s="97"/>
      <c r="O560" s="97"/>
      <c r="P560" s="97"/>
      <c r="Q560" s="97"/>
      <c r="R560" s="97"/>
      <c r="S560" s="97"/>
      <c r="T560" s="97"/>
      <c r="U560" s="97"/>
    </row>
    <row r="561" spans="1:21">
      <c r="A561" s="126"/>
      <c r="B561" s="127"/>
      <c r="C561" s="97"/>
      <c r="D561" s="519"/>
      <c r="E561" s="96"/>
      <c r="F561" s="97"/>
      <c r="G561" s="97"/>
      <c r="H561" s="97"/>
      <c r="I561" s="97"/>
      <c r="J561" s="97"/>
      <c r="K561" s="97"/>
      <c r="L561" s="97"/>
      <c r="M561" s="97"/>
      <c r="N561" s="97"/>
      <c r="O561" s="97"/>
      <c r="P561" s="97"/>
      <c r="Q561" s="97"/>
      <c r="R561" s="97"/>
      <c r="S561" s="97"/>
      <c r="T561" s="97"/>
      <c r="U561" s="97"/>
    </row>
    <row r="562" spans="1:21">
      <c r="A562" s="126"/>
      <c r="B562" s="127"/>
      <c r="C562" s="97"/>
      <c r="D562" s="519"/>
      <c r="E562" s="96"/>
      <c r="F562" s="97"/>
      <c r="G562" s="97"/>
      <c r="H562" s="97"/>
      <c r="I562" s="97"/>
      <c r="J562" s="97"/>
      <c r="K562" s="97"/>
      <c r="L562" s="97"/>
      <c r="M562" s="97"/>
      <c r="N562" s="97"/>
      <c r="O562" s="97"/>
      <c r="P562" s="97"/>
      <c r="Q562" s="97"/>
      <c r="R562" s="97"/>
      <c r="S562" s="97"/>
      <c r="T562" s="97"/>
      <c r="U562" s="97"/>
    </row>
    <row r="563" spans="1:21">
      <c r="A563" s="126"/>
      <c r="B563" s="127"/>
      <c r="C563" s="97"/>
      <c r="D563" s="519"/>
      <c r="E563" s="96"/>
      <c r="F563" s="97"/>
      <c r="G563" s="97"/>
      <c r="H563" s="97"/>
      <c r="I563" s="97"/>
      <c r="J563" s="97"/>
      <c r="K563" s="97"/>
      <c r="L563" s="97"/>
      <c r="M563" s="97"/>
      <c r="N563" s="97"/>
      <c r="O563" s="97"/>
      <c r="P563" s="97"/>
      <c r="Q563" s="97"/>
      <c r="R563" s="97"/>
      <c r="S563" s="97"/>
      <c r="T563" s="97"/>
      <c r="U563" s="97"/>
    </row>
    <row r="564" spans="1:21">
      <c r="A564" s="126"/>
      <c r="B564" s="127"/>
      <c r="C564" s="97"/>
      <c r="D564" s="519"/>
      <c r="E564" s="96"/>
      <c r="F564" s="97"/>
      <c r="G564" s="97"/>
      <c r="H564" s="97"/>
      <c r="I564" s="97"/>
      <c r="J564" s="97"/>
      <c r="K564" s="97"/>
      <c r="L564" s="97"/>
      <c r="M564" s="97"/>
      <c r="N564" s="97"/>
      <c r="O564" s="97"/>
      <c r="P564" s="97"/>
      <c r="Q564" s="97"/>
      <c r="R564" s="97"/>
      <c r="S564" s="97"/>
      <c r="T564" s="97"/>
      <c r="U564" s="97"/>
    </row>
    <row r="565" spans="1:21">
      <c r="A565" s="126"/>
      <c r="B565" s="127"/>
      <c r="C565" s="97"/>
      <c r="D565" s="519"/>
      <c r="E565" s="96"/>
      <c r="F565" s="97"/>
      <c r="G565" s="97"/>
      <c r="H565" s="97"/>
      <c r="I565" s="97"/>
      <c r="J565" s="97"/>
      <c r="K565" s="97"/>
      <c r="L565" s="97"/>
      <c r="M565" s="97"/>
      <c r="N565" s="97"/>
      <c r="O565" s="97"/>
      <c r="P565" s="97"/>
      <c r="Q565" s="97"/>
      <c r="R565" s="97"/>
      <c r="S565" s="97"/>
      <c r="T565" s="97"/>
      <c r="U565" s="97"/>
    </row>
    <row r="566" spans="1:21">
      <c r="A566" s="126"/>
      <c r="B566" s="127"/>
      <c r="C566" s="97"/>
      <c r="D566" s="519"/>
      <c r="E566" s="96"/>
      <c r="F566" s="97"/>
      <c r="G566" s="97"/>
      <c r="H566" s="97"/>
      <c r="I566" s="97"/>
      <c r="J566" s="97"/>
      <c r="K566" s="97"/>
      <c r="L566" s="97"/>
      <c r="M566" s="97"/>
      <c r="N566" s="97"/>
      <c r="O566" s="97"/>
      <c r="P566" s="97"/>
      <c r="Q566" s="97"/>
      <c r="R566" s="97"/>
      <c r="S566" s="97"/>
      <c r="T566" s="97"/>
      <c r="U566" s="97"/>
    </row>
    <row r="567" spans="1:21">
      <c r="A567" s="126"/>
      <c r="B567" s="127"/>
      <c r="C567" s="97"/>
      <c r="D567" s="519"/>
      <c r="E567" s="96"/>
      <c r="F567" s="97"/>
      <c r="G567" s="97"/>
      <c r="H567" s="97"/>
      <c r="I567" s="97"/>
      <c r="J567" s="97"/>
      <c r="K567" s="97"/>
      <c r="L567" s="97"/>
      <c r="M567" s="97"/>
      <c r="N567" s="97"/>
      <c r="O567" s="97"/>
      <c r="P567" s="97"/>
      <c r="Q567" s="97"/>
      <c r="R567" s="97"/>
      <c r="S567" s="97"/>
      <c r="T567" s="97"/>
      <c r="U567" s="97"/>
    </row>
    <row r="568" spans="1:21">
      <c r="A568" s="126"/>
      <c r="B568" s="127"/>
      <c r="C568" s="97"/>
      <c r="D568" s="519"/>
      <c r="E568" s="96"/>
      <c r="F568" s="97"/>
      <c r="G568" s="97"/>
      <c r="H568" s="97"/>
      <c r="I568" s="97"/>
      <c r="J568" s="97"/>
      <c r="K568" s="97"/>
      <c r="L568" s="97"/>
      <c r="M568" s="97"/>
      <c r="N568" s="97"/>
      <c r="O568" s="97"/>
      <c r="P568" s="97"/>
      <c r="Q568" s="97"/>
      <c r="R568" s="97"/>
      <c r="S568" s="97"/>
      <c r="T568" s="97"/>
      <c r="U568" s="97"/>
    </row>
    <row r="569" spans="1:21">
      <c r="A569" s="126"/>
      <c r="B569" s="127"/>
      <c r="C569" s="97"/>
      <c r="D569" s="519"/>
      <c r="E569" s="96"/>
      <c r="F569" s="97"/>
      <c r="G569" s="97"/>
      <c r="H569" s="97"/>
      <c r="I569" s="97"/>
      <c r="J569" s="97"/>
      <c r="K569" s="97"/>
      <c r="L569" s="97"/>
      <c r="M569" s="97"/>
      <c r="N569" s="97"/>
      <c r="O569" s="97"/>
      <c r="P569" s="97"/>
      <c r="Q569" s="97"/>
      <c r="R569" s="97"/>
      <c r="S569" s="97"/>
      <c r="T569" s="97"/>
      <c r="U569" s="97"/>
    </row>
    <row r="570" spans="1:21">
      <c r="A570" s="126"/>
      <c r="B570" s="127"/>
      <c r="C570" s="97"/>
      <c r="D570" s="519"/>
      <c r="E570" s="96"/>
      <c r="F570" s="97"/>
      <c r="G570" s="97"/>
      <c r="H570" s="97"/>
      <c r="I570" s="97"/>
      <c r="J570" s="97"/>
      <c r="K570" s="97"/>
      <c r="L570" s="97"/>
      <c r="M570" s="97"/>
      <c r="N570" s="97"/>
      <c r="O570" s="97"/>
      <c r="P570" s="97"/>
      <c r="Q570" s="97"/>
      <c r="R570" s="97"/>
      <c r="S570" s="97"/>
      <c r="T570" s="97"/>
      <c r="U570" s="97"/>
    </row>
    <row r="571" spans="1:21">
      <c r="A571" s="126"/>
      <c r="B571" s="127"/>
      <c r="C571" s="97"/>
      <c r="D571" s="519"/>
      <c r="E571" s="96"/>
      <c r="F571" s="97"/>
      <c r="G571" s="97"/>
      <c r="H571" s="97"/>
      <c r="I571" s="97"/>
      <c r="J571" s="97"/>
      <c r="K571" s="97"/>
      <c r="L571" s="97"/>
      <c r="M571" s="97"/>
      <c r="N571" s="97"/>
      <c r="O571" s="97"/>
      <c r="P571" s="97"/>
      <c r="Q571" s="97"/>
      <c r="R571" s="97"/>
      <c r="S571" s="97"/>
      <c r="T571" s="97"/>
      <c r="U571" s="97"/>
    </row>
    <row r="572" spans="1:21">
      <c r="A572" s="126"/>
      <c r="B572" s="127"/>
      <c r="C572" s="97"/>
      <c r="D572" s="519"/>
      <c r="E572" s="96"/>
      <c r="F572" s="97"/>
      <c r="G572" s="97"/>
      <c r="H572" s="97"/>
      <c r="I572" s="97"/>
      <c r="J572" s="97"/>
      <c r="K572" s="97"/>
      <c r="L572" s="97"/>
      <c r="M572" s="97"/>
      <c r="N572" s="97"/>
      <c r="O572" s="97"/>
      <c r="P572" s="97"/>
      <c r="Q572" s="97"/>
      <c r="R572" s="97"/>
      <c r="S572" s="97"/>
      <c r="T572" s="97"/>
      <c r="U572" s="97"/>
    </row>
    <row r="573" spans="1:21">
      <c r="A573" s="126"/>
      <c r="B573" s="127"/>
      <c r="C573" s="97"/>
      <c r="D573" s="519"/>
      <c r="E573" s="96"/>
      <c r="F573" s="97"/>
      <c r="G573" s="97"/>
      <c r="H573" s="97"/>
      <c r="I573" s="97"/>
      <c r="J573" s="97"/>
      <c r="K573" s="97"/>
      <c r="L573" s="97"/>
      <c r="M573" s="97"/>
      <c r="N573" s="97"/>
      <c r="O573" s="97"/>
      <c r="P573" s="97"/>
      <c r="Q573" s="97"/>
      <c r="R573" s="97"/>
      <c r="S573" s="97"/>
      <c r="T573" s="97"/>
      <c r="U573" s="97"/>
    </row>
    <row r="574" spans="1:21">
      <c r="A574" s="126"/>
      <c r="B574" s="127"/>
      <c r="C574" s="97"/>
      <c r="D574" s="519"/>
      <c r="E574" s="96"/>
      <c r="F574" s="97"/>
      <c r="G574" s="97"/>
      <c r="H574" s="97"/>
      <c r="I574" s="97"/>
      <c r="J574" s="97"/>
      <c r="K574" s="97"/>
      <c r="L574" s="97"/>
      <c r="M574" s="97"/>
      <c r="N574" s="97"/>
      <c r="O574" s="97"/>
      <c r="P574" s="97"/>
      <c r="Q574" s="97"/>
      <c r="R574" s="97"/>
      <c r="S574" s="97"/>
      <c r="T574" s="97"/>
      <c r="U574" s="97"/>
    </row>
    <row r="575" spans="1:21">
      <c r="A575" s="126"/>
      <c r="B575" s="127"/>
      <c r="C575" s="97"/>
      <c r="D575" s="519"/>
      <c r="E575" s="96"/>
      <c r="F575" s="97"/>
      <c r="G575" s="97"/>
      <c r="H575" s="97"/>
      <c r="I575" s="97"/>
      <c r="J575" s="97"/>
      <c r="K575" s="97"/>
      <c r="L575" s="97"/>
      <c r="M575" s="97"/>
      <c r="N575" s="97"/>
      <c r="O575" s="97"/>
      <c r="P575" s="97"/>
      <c r="Q575" s="97"/>
      <c r="R575" s="97"/>
      <c r="S575" s="97"/>
      <c r="T575" s="97"/>
      <c r="U575" s="97"/>
    </row>
    <row r="576" spans="1:21">
      <c r="A576" s="126"/>
      <c r="B576" s="127"/>
      <c r="C576" s="97"/>
      <c r="D576" s="519"/>
      <c r="E576" s="96"/>
      <c r="F576" s="97"/>
      <c r="G576" s="97"/>
      <c r="H576" s="97"/>
      <c r="I576" s="97"/>
      <c r="J576" s="97"/>
      <c r="K576" s="97"/>
      <c r="L576" s="97"/>
      <c r="M576" s="97"/>
      <c r="N576" s="97"/>
      <c r="O576" s="97"/>
      <c r="P576" s="97"/>
      <c r="Q576" s="97"/>
      <c r="R576" s="97"/>
      <c r="S576" s="97"/>
      <c r="T576" s="97"/>
      <c r="U576" s="97"/>
    </row>
    <row r="577" spans="1:21">
      <c r="A577" s="126"/>
      <c r="B577" s="127"/>
      <c r="C577" s="97"/>
      <c r="D577" s="519"/>
      <c r="E577" s="96"/>
      <c r="F577" s="97"/>
      <c r="G577" s="97"/>
      <c r="H577" s="97"/>
      <c r="I577" s="97"/>
      <c r="J577" s="97"/>
      <c r="K577" s="97"/>
      <c r="L577" s="97"/>
      <c r="M577" s="97"/>
      <c r="N577" s="97"/>
      <c r="O577" s="97"/>
      <c r="P577" s="97"/>
      <c r="Q577" s="97"/>
      <c r="R577" s="97"/>
      <c r="S577" s="97"/>
      <c r="T577" s="97"/>
      <c r="U577" s="97"/>
    </row>
    <row r="578" spans="1:21">
      <c r="A578" s="126"/>
      <c r="B578" s="127"/>
      <c r="C578" s="97"/>
      <c r="D578" s="519"/>
      <c r="E578" s="96"/>
      <c r="F578" s="97"/>
      <c r="G578" s="97"/>
      <c r="H578" s="97"/>
      <c r="I578" s="97"/>
      <c r="J578" s="97"/>
      <c r="K578" s="97"/>
      <c r="L578" s="97"/>
      <c r="M578" s="97"/>
      <c r="N578" s="97"/>
      <c r="O578" s="97"/>
      <c r="P578" s="97"/>
      <c r="Q578" s="97"/>
      <c r="R578" s="97"/>
      <c r="S578" s="97"/>
      <c r="T578" s="97"/>
      <c r="U578" s="97"/>
    </row>
    <row r="579" spans="1:21">
      <c r="A579" s="126"/>
      <c r="B579" s="127"/>
      <c r="C579" s="97"/>
      <c r="D579" s="519"/>
      <c r="E579" s="96"/>
      <c r="F579" s="97"/>
      <c r="G579" s="97"/>
      <c r="H579" s="97"/>
      <c r="I579" s="97"/>
      <c r="J579" s="97"/>
      <c r="K579" s="97"/>
      <c r="L579" s="97"/>
      <c r="M579" s="97"/>
      <c r="N579" s="97"/>
      <c r="O579" s="97"/>
      <c r="P579" s="97"/>
      <c r="Q579" s="97"/>
      <c r="R579" s="97"/>
      <c r="S579" s="97"/>
      <c r="T579" s="97"/>
      <c r="U579" s="97"/>
    </row>
    <row r="580" spans="1:21">
      <c r="A580" s="126"/>
      <c r="B580" s="127"/>
      <c r="C580" s="97"/>
      <c r="D580" s="519"/>
      <c r="E580" s="96"/>
      <c r="F580" s="97"/>
      <c r="G580" s="97"/>
      <c r="H580" s="97"/>
      <c r="I580" s="97"/>
      <c r="J580" s="97"/>
      <c r="K580" s="97"/>
      <c r="L580" s="97"/>
      <c r="M580" s="97"/>
      <c r="N580" s="97"/>
      <c r="O580" s="97"/>
      <c r="P580" s="97"/>
      <c r="Q580" s="97"/>
      <c r="R580" s="97"/>
      <c r="S580" s="97"/>
      <c r="T580" s="97"/>
      <c r="U580" s="97"/>
    </row>
    <row r="581" spans="1:21">
      <c r="A581" s="126"/>
      <c r="B581" s="127"/>
      <c r="C581" s="97"/>
      <c r="D581" s="519"/>
      <c r="E581" s="96"/>
      <c r="F581" s="97"/>
      <c r="G581" s="97"/>
      <c r="H581" s="97"/>
      <c r="I581" s="97"/>
      <c r="J581" s="97"/>
      <c r="K581" s="97"/>
      <c r="L581" s="97"/>
      <c r="M581" s="97"/>
      <c r="N581" s="97"/>
      <c r="O581" s="97"/>
      <c r="P581" s="97"/>
      <c r="Q581" s="97"/>
      <c r="R581" s="97"/>
      <c r="S581" s="97"/>
      <c r="T581" s="97"/>
      <c r="U581" s="97"/>
    </row>
    <row r="582" spans="1:21">
      <c r="A582" s="126"/>
      <c r="B582" s="127"/>
      <c r="C582" s="97"/>
      <c r="D582" s="519"/>
      <c r="E582" s="96"/>
      <c r="F582" s="97"/>
      <c r="G582" s="97"/>
      <c r="H582" s="97"/>
      <c r="I582" s="97"/>
      <c r="J582" s="97"/>
      <c r="K582" s="97"/>
      <c r="L582" s="97"/>
      <c r="M582" s="97"/>
      <c r="N582" s="97"/>
      <c r="O582" s="97"/>
      <c r="P582" s="97"/>
      <c r="Q582" s="97"/>
      <c r="R582" s="97"/>
      <c r="S582" s="97"/>
      <c r="T582" s="97"/>
      <c r="U582" s="97"/>
    </row>
    <row r="583" spans="1:21">
      <c r="A583" s="126"/>
      <c r="B583" s="127"/>
      <c r="C583" s="97"/>
      <c r="D583" s="519"/>
      <c r="E583" s="96"/>
      <c r="F583" s="97"/>
      <c r="G583" s="97"/>
      <c r="H583" s="97"/>
      <c r="I583" s="97"/>
      <c r="J583" s="97"/>
      <c r="K583" s="97"/>
      <c r="L583" s="97"/>
      <c r="M583" s="97"/>
      <c r="N583" s="97"/>
      <c r="O583" s="97"/>
      <c r="P583" s="97"/>
      <c r="Q583" s="97"/>
      <c r="R583" s="97"/>
      <c r="S583" s="97"/>
      <c r="T583" s="97"/>
      <c r="U583" s="97"/>
    </row>
    <row r="584" spans="1:21">
      <c r="A584" s="126"/>
      <c r="B584" s="127"/>
      <c r="C584" s="97"/>
      <c r="D584" s="519"/>
      <c r="E584" s="96"/>
      <c r="F584" s="97"/>
      <c r="G584" s="97"/>
      <c r="H584" s="97"/>
      <c r="I584" s="97"/>
      <c r="J584" s="97"/>
      <c r="K584" s="97"/>
      <c r="L584" s="97"/>
      <c r="M584" s="97"/>
      <c r="N584" s="97"/>
      <c r="O584" s="97"/>
      <c r="P584" s="97"/>
      <c r="Q584" s="97"/>
      <c r="R584" s="97"/>
      <c r="S584" s="97"/>
      <c r="T584" s="97"/>
      <c r="U584" s="97"/>
    </row>
    <row r="585" spans="1:21">
      <c r="A585" s="126"/>
      <c r="B585" s="127"/>
      <c r="C585" s="97"/>
      <c r="D585" s="519"/>
      <c r="E585" s="96"/>
      <c r="F585" s="97"/>
      <c r="G585" s="97"/>
      <c r="H585" s="97"/>
      <c r="I585" s="97"/>
      <c r="J585" s="97"/>
      <c r="K585" s="97"/>
      <c r="L585" s="97"/>
      <c r="M585" s="97"/>
      <c r="N585" s="97"/>
      <c r="O585" s="97"/>
      <c r="P585" s="97"/>
      <c r="Q585" s="97"/>
      <c r="R585" s="97"/>
      <c r="S585" s="97"/>
      <c r="T585" s="97"/>
      <c r="U585" s="97"/>
    </row>
    <row r="586" spans="1:21">
      <c r="A586" s="126"/>
      <c r="B586" s="127"/>
      <c r="C586" s="97"/>
      <c r="D586" s="519"/>
      <c r="E586" s="96"/>
      <c r="F586" s="97"/>
      <c r="G586" s="97"/>
      <c r="H586" s="97"/>
      <c r="I586" s="97"/>
      <c r="J586" s="97"/>
      <c r="K586" s="97"/>
      <c r="L586" s="97"/>
      <c r="M586" s="97"/>
      <c r="N586" s="97"/>
      <c r="O586" s="97"/>
      <c r="P586" s="97"/>
      <c r="Q586" s="97"/>
      <c r="R586" s="97"/>
      <c r="S586" s="97"/>
      <c r="T586" s="97"/>
      <c r="U586" s="97"/>
    </row>
    <row r="587" spans="1:21">
      <c r="A587" s="126"/>
      <c r="B587" s="127"/>
      <c r="C587" s="97"/>
      <c r="D587" s="519"/>
      <c r="E587" s="96"/>
      <c r="F587" s="97"/>
      <c r="G587" s="97"/>
      <c r="H587" s="97"/>
      <c r="I587" s="97"/>
      <c r="J587" s="97"/>
      <c r="K587" s="97"/>
      <c r="L587" s="97"/>
      <c r="M587" s="97"/>
      <c r="N587" s="97"/>
      <c r="O587" s="97"/>
      <c r="P587" s="97"/>
      <c r="Q587" s="97"/>
      <c r="R587" s="97"/>
      <c r="S587" s="97"/>
      <c r="T587" s="97"/>
      <c r="U587" s="97"/>
    </row>
    <row r="588" spans="1:21">
      <c r="A588" s="126"/>
      <c r="B588" s="127"/>
      <c r="C588" s="97"/>
      <c r="D588" s="519"/>
      <c r="E588" s="96"/>
      <c r="F588" s="97"/>
      <c r="G588" s="97"/>
      <c r="H588" s="97"/>
      <c r="I588" s="97"/>
      <c r="J588" s="97"/>
      <c r="K588" s="97"/>
      <c r="L588" s="97"/>
      <c r="M588" s="97"/>
      <c r="N588" s="97"/>
      <c r="O588" s="97"/>
      <c r="P588" s="97"/>
      <c r="Q588" s="97"/>
      <c r="R588" s="97"/>
      <c r="S588" s="97"/>
      <c r="T588" s="97"/>
      <c r="U588" s="97"/>
    </row>
    <row r="589" spans="1:21">
      <c r="A589" s="126"/>
      <c r="B589" s="127"/>
      <c r="C589" s="97"/>
      <c r="D589" s="519"/>
      <c r="E589" s="96"/>
      <c r="F589" s="97"/>
      <c r="G589" s="97"/>
      <c r="H589" s="97"/>
      <c r="I589" s="97"/>
      <c r="J589" s="97"/>
      <c r="K589" s="97"/>
      <c r="L589" s="97"/>
      <c r="M589" s="97"/>
      <c r="N589" s="97"/>
      <c r="O589" s="97"/>
      <c r="P589" s="97"/>
      <c r="Q589" s="97"/>
      <c r="R589" s="97"/>
      <c r="S589" s="97"/>
      <c r="T589" s="97"/>
      <c r="U589" s="97"/>
    </row>
    <row r="590" spans="1:21">
      <c r="A590" s="126"/>
      <c r="B590" s="127"/>
      <c r="C590" s="97"/>
      <c r="D590" s="519"/>
      <c r="E590" s="96"/>
      <c r="F590" s="97"/>
      <c r="G590" s="97"/>
      <c r="H590" s="97"/>
      <c r="I590" s="97"/>
      <c r="J590" s="97"/>
      <c r="K590" s="97"/>
      <c r="L590" s="97"/>
      <c r="M590" s="97"/>
      <c r="N590" s="97"/>
      <c r="O590" s="97"/>
      <c r="P590" s="97"/>
      <c r="Q590" s="97"/>
      <c r="R590" s="97"/>
      <c r="S590" s="97"/>
      <c r="T590" s="97"/>
      <c r="U590" s="97"/>
    </row>
    <row r="591" spans="1:21">
      <c r="A591" s="126"/>
      <c r="B591" s="127"/>
      <c r="C591" s="97"/>
      <c r="D591" s="519"/>
      <c r="E591" s="96"/>
      <c r="F591" s="97"/>
      <c r="G591" s="97"/>
      <c r="H591" s="97"/>
      <c r="I591" s="97"/>
      <c r="J591" s="97"/>
      <c r="K591" s="97"/>
      <c r="L591" s="97"/>
      <c r="M591" s="97"/>
      <c r="N591" s="97"/>
      <c r="O591" s="97"/>
      <c r="P591" s="97"/>
      <c r="Q591" s="97"/>
      <c r="R591" s="97"/>
      <c r="S591" s="97"/>
      <c r="T591" s="97"/>
      <c r="U591" s="97"/>
    </row>
    <row r="592" spans="1:21">
      <c r="A592" s="126"/>
      <c r="B592" s="127"/>
      <c r="C592" s="97"/>
      <c r="D592" s="519"/>
      <c r="E592" s="96"/>
      <c r="F592" s="97"/>
      <c r="G592" s="97"/>
      <c r="H592" s="97"/>
      <c r="I592" s="97"/>
      <c r="J592" s="97"/>
      <c r="K592" s="97"/>
      <c r="L592" s="97"/>
      <c r="M592" s="97"/>
      <c r="N592" s="97"/>
      <c r="O592" s="97"/>
      <c r="P592" s="97"/>
      <c r="Q592" s="97"/>
      <c r="R592" s="97"/>
      <c r="S592" s="97"/>
      <c r="T592" s="97"/>
      <c r="U592" s="97"/>
    </row>
    <row r="593" spans="1:21">
      <c r="A593" s="126"/>
      <c r="B593" s="127"/>
      <c r="C593" s="97"/>
      <c r="D593" s="519"/>
      <c r="E593" s="96"/>
      <c r="F593" s="97"/>
      <c r="G593" s="97"/>
      <c r="H593" s="97"/>
      <c r="I593" s="97"/>
      <c r="J593" s="97"/>
      <c r="K593" s="97"/>
      <c r="L593" s="97"/>
      <c r="M593" s="97"/>
      <c r="N593" s="97"/>
      <c r="O593" s="97"/>
      <c r="P593" s="97"/>
      <c r="Q593" s="97"/>
      <c r="R593" s="97"/>
      <c r="S593" s="97"/>
      <c r="T593" s="97"/>
      <c r="U593" s="97"/>
    </row>
    <row r="594" spans="1:21">
      <c r="A594" s="126"/>
      <c r="B594" s="127"/>
      <c r="C594" s="97"/>
      <c r="D594" s="519"/>
      <c r="E594" s="96"/>
      <c r="F594" s="97"/>
      <c r="G594" s="97"/>
      <c r="H594" s="97"/>
      <c r="I594" s="97"/>
      <c r="J594" s="97"/>
      <c r="K594" s="97"/>
      <c r="L594" s="97"/>
      <c r="M594" s="97"/>
      <c r="N594" s="97"/>
      <c r="O594" s="97"/>
      <c r="P594" s="97"/>
      <c r="Q594" s="97"/>
      <c r="R594" s="97"/>
      <c r="S594" s="97"/>
      <c r="T594" s="97"/>
      <c r="U594" s="97"/>
    </row>
    <row r="595" spans="1:21">
      <c r="A595" s="126"/>
      <c r="B595" s="127"/>
      <c r="C595" s="97"/>
      <c r="D595" s="519"/>
      <c r="E595" s="96"/>
      <c r="F595" s="97"/>
      <c r="G595" s="97"/>
      <c r="H595" s="97"/>
      <c r="I595" s="97"/>
      <c r="J595" s="97"/>
      <c r="K595" s="97"/>
      <c r="L595" s="97"/>
      <c r="M595" s="97"/>
      <c r="N595" s="97"/>
      <c r="O595" s="97"/>
      <c r="P595" s="97"/>
      <c r="Q595" s="97"/>
      <c r="R595" s="97"/>
      <c r="S595" s="97"/>
      <c r="T595" s="97"/>
      <c r="U595" s="97"/>
    </row>
    <row r="596" spans="1:21">
      <c r="A596" s="126"/>
      <c r="B596" s="127"/>
      <c r="C596" s="97"/>
      <c r="D596" s="519"/>
      <c r="E596" s="96"/>
      <c r="F596" s="97"/>
      <c r="G596" s="97"/>
      <c r="H596" s="97"/>
      <c r="I596" s="97"/>
      <c r="J596" s="97"/>
      <c r="K596" s="97"/>
      <c r="L596" s="97"/>
      <c r="M596" s="97"/>
      <c r="N596" s="97"/>
      <c r="O596" s="97"/>
      <c r="P596" s="97"/>
      <c r="Q596" s="97"/>
      <c r="R596" s="97"/>
      <c r="S596" s="97"/>
      <c r="T596" s="97"/>
      <c r="U596" s="97"/>
    </row>
    <row r="597" spans="1:21">
      <c r="A597" s="126"/>
      <c r="B597" s="127"/>
      <c r="C597" s="97"/>
      <c r="D597" s="519"/>
      <c r="E597" s="96"/>
      <c r="F597" s="97"/>
      <c r="G597" s="97"/>
      <c r="H597" s="97"/>
      <c r="I597" s="97"/>
      <c r="J597" s="97"/>
      <c r="K597" s="97"/>
      <c r="L597" s="97"/>
      <c r="M597" s="97"/>
      <c r="N597" s="97"/>
      <c r="O597" s="97"/>
      <c r="P597" s="97"/>
      <c r="Q597" s="97"/>
      <c r="R597" s="97"/>
      <c r="S597" s="97"/>
      <c r="T597" s="97"/>
      <c r="U597" s="97"/>
    </row>
    <row r="598" spans="1:21">
      <c r="A598" s="126"/>
      <c r="B598" s="127"/>
      <c r="C598" s="97"/>
      <c r="D598" s="519"/>
      <c r="E598" s="96"/>
      <c r="F598" s="97"/>
      <c r="G598" s="97"/>
      <c r="H598" s="97"/>
      <c r="I598" s="97"/>
      <c r="J598" s="97"/>
      <c r="K598" s="97"/>
      <c r="L598" s="97"/>
      <c r="M598" s="97"/>
      <c r="N598" s="97"/>
      <c r="O598" s="97"/>
      <c r="P598" s="97"/>
      <c r="Q598" s="97"/>
      <c r="R598" s="97"/>
      <c r="S598" s="97"/>
      <c r="T598" s="97"/>
      <c r="U598" s="97"/>
    </row>
    <row r="599" spans="1:21">
      <c r="A599" s="126"/>
      <c r="B599" s="127"/>
      <c r="C599" s="97"/>
      <c r="D599" s="519"/>
      <c r="E599" s="96"/>
      <c r="F599" s="97"/>
      <c r="G599" s="97"/>
      <c r="H599" s="97"/>
      <c r="I599" s="97"/>
      <c r="J599" s="97"/>
      <c r="K599" s="97"/>
      <c r="L599" s="97"/>
      <c r="M599" s="97"/>
      <c r="N599" s="97"/>
      <c r="O599" s="97"/>
      <c r="P599" s="97"/>
      <c r="Q599" s="97"/>
      <c r="R599" s="97"/>
      <c r="S599" s="97"/>
      <c r="T599" s="97"/>
      <c r="U599" s="97"/>
    </row>
    <row r="600" spans="1:21">
      <c r="A600" s="126"/>
      <c r="B600" s="127"/>
      <c r="C600" s="97"/>
      <c r="D600" s="519"/>
      <c r="E600" s="96"/>
      <c r="F600" s="97"/>
      <c r="G600" s="97"/>
      <c r="H600" s="97"/>
      <c r="I600" s="97"/>
      <c r="J600" s="97"/>
      <c r="K600" s="97"/>
      <c r="L600" s="97"/>
      <c r="M600" s="97"/>
      <c r="N600" s="97"/>
      <c r="O600" s="97"/>
      <c r="P600" s="97"/>
      <c r="Q600" s="97"/>
      <c r="R600" s="97"/>
      <c r="S600" s="97"/>
      <c r="T600" s="97"/>
      <c r="U600" s="97"/>
    </row>
    <row r="601" spans="1:21">
      <c r="A601" s="126"/>
      <c r="B601" s="127"/>
      <c r="C601" s="97"/>
      <c r="D601" s="519"/>
      <c r="E601" s="96"/>
      <c r="F601" s="97"/>
      <c r="G601" s="97"/>
      <c r="H601" s="97"/>
      <c r="I601" s="97"/>
      <c r="J601" s="97"/>
      <c r="K601" s="97"/>
      <c r="L601" s="97"/>
      <c r="M601" s="97"/>
      <c r="N601" s="97"/>
      <c r="O601" s="97"/>
      <c r="P601" s="97"/>
      <c r="Q601" s="97"/>
      <c r="R601" s="97"/>
      <c r="S601" s="97"/>
      <c r="T601" s="97"/>
      <c r="U601" s="97"/>
    </row>
    <row r="602" spans="1:21">
      <c r="A602" s="126"/>
      <c r="B602" s="127"/>
      <c r="C602" s="97"/>
      <c r="D602" s="519"/>
      <c r="E602" s="96"/>
      <c r="F602" s="97"/>
      <c r="G602" s="97"/>
      <c r="H602" s="97"/>
      <c r="I602" s="97"/>
      <c r="J602" s="97"/>
      <c r="K602" s="97"/>
      <c r="L602" s="97"/>
      <c r="M602" s="97"/>
      <c r="N602" s="97"/>
      <c r="O602" s="97"/>
      <c r="P602" s="97"/>
      <c r="Q602" s="97"/>
      <c r="R602" s="97"/>
      <c r="S602" s="97"/>
      <c r="T602" s="97"/>
      <c r="U602" s="97"/>
    </row>
    <row r="603" spans="1:21">
      <c r="A603" s="126"/>
      <c r="B603" s="127"/>
      <c r="C603" s="97"/>
      <c r="D603" s="519"/>
      <c r="E603" s="96"/>
      <c r="F603" s="97"/>
      <c r="G603" s="97"/>
      <c r="H603" s="97"/>
      <c r="I603" s="97"/>
      <c r="J603" s="97"/>
      <c r="K603" s="97"/>
      <c r="L603" s="97"/>
      <c r="M603" s="97"/>
      <c r="N603" s="97"/>
      <c r="O603" s="97"/>
      <c r="P603" s="97"/>
      <c r="Q603" s="97"/>
      <c r="R603" s="97"/>
      <c r="S603" s="97"/>
      <c r="T603" s="97"/>
      <c r="U603" s="97"/>
    </row>
    <row r="604" spans="1:21">
      <c r="A604" s="126"/>
      <c r="B604" s="127"/>
      <c r="C604" s="97"/>
      <c r="D604" s="519"/>
      <c r="E604" s="96"/>
      <c r="F604" s="97"/>
      <c r="G604" s="97"/>
      <c r="H604" s="97"/>
      <c r="I604" s="97"/>
      <c r="J604" s="97"/>
      <c r="K604" s="97"/>
      <c r="L604" s="97"/>
      <c r="M604" s="97"/>
      <c r="N604" s="97"/>
      <c r="O604" s="97"/>
      <c r="P604" s="97"/>
      <c r="Q604" s="97"/>
      <c r="R604" s="97"/>
      <c r="S604" s="97"/>
      <c r="T604" s="97"/>
      <c r="U604" s="97"/>
    </row>
    <row r="605" spans="1:21">
      <c r="A605" s="126"/>
      <c r="B605" s="127"/>
      <c r="C605" s="97"/>
      <c r="D605" s="519"/>
      <c r="E605" s="96"/>
      <c r="F605" s="97"/>
      <c r="G605" s="97"/>
      <c r="H605" s="97"/>
      <c r="I605" s="97"/>
      <c r="J605" s="97"/>
      <c r="K605" s="97"/>
      <c r="L605" s="97"/>
      <c r="M605" s="97"/>
      <c r="N605" s="97"/>
      <c r="O605" s="97"/>
      <c r="P605" s="97"/>
      <c r="Q605" s="97"/>
      <c r="R605" s="97"/>
      <c r="S605" s="97"/>
      <c r="T605" s="97"/>
      <c r="U605" s="97"/>
    </row>
    <row r="606" spans="1:21">
      <c r="A606" s="126"/>
      <c r="B606" s="127"/>
      <c r="C606" s="97"/>
      <c r="D606" s="519"/>
      <c r="E606" s="96"/>
      <c r="F606" s="97"/>
      <c r="G606" s="97"/>
      <c r="H606" s="97"/>
      <c r="I606" s="97"/>
      <c r="J606" s="97"/>
      <c r="K606" s="97"/>
      <c r="L606" s="97"/>
      <c r="M606" s="97"/>
      <c r="N606" s="97"/>
      <c r="O606" s="97"/>
      <c r="P606" s="97"/>
      <c r="Q606" s="97"/>
      <c r="R606" s="97"/>
      <c r="S606" s="97"/>
      <c r="T606" s="97"/>
      <c r="U606" s="97"/>
    </row>
    <row r="607" spans="1:21">
      <c r="A607" s="126"/>
      <c r="B607" s="127"/>
      <c r="C607" s="97"/>
      <c r="D607" s="519"/>
      <c r="E607" s="96"/>
      <c r="F607" s="97"/>
      <c r="G607" s="97"/>
      <c r="H607" s="97"/>
      <c r="I607" s="97"/>
      <c r="J607" s="97"/>
      <c r="K607" s="97"/>
      <c r="L607" s="97"/>
      <c r="M607" s="97"/>
      <c r="N607" s="97"/>
      <c r="O607" s="97"/>
      <c r="P607" s="97"/>
      <c r="Q607" s="97"/>
      <c r="R607" s="97"/>
      <c r="S607" s="97"/>
      <c r="T607" s="97"/>
      <c r="U607" s="97"/>
    </row>
    <row r="608" spans="1:21">
      <c r="A608" s="126"/>
      <c r="B608" s="127"/>
      <c r="C608" s="97"/>
      <c r="D608" s="519"/>
      <c r="E608" s="96"/>
      <c r="F608" s="97"/>
      <c r="G608" s="97"/>
      <c r="H608" s="97"/>
      <c r="I608" s="97"/>
      <c r="J608" s="97"/>
      <c r="K608" s="97"/>
      <c r="L608" s="97"/>
      <c r="M608" s="97"/>
      <c r="N608" s="97"/>
      <c r="O608" s="97"/>
      <c r="P608" s="97"/>
      <c r="Q608" s="97"/>
      <c r="R608" s="97"/>
      <c r="S608" s="97"/>
      <c r="T608" s="97"/>
      <c r="U608" s="97"/>
    </row>
    <row r="609" spans="1:21">
      <c r="A609" s="126"/>
      <c r="B609" s="127"/>
      <c r="C609" s="97"/>
      <c r="D609" s="519"/>
      <c r="E609" s="96"/>
      <c r="F609" s="97"/>
      <c r="G609" s="97"/>
      <c r="H609" s="97"/>
      <c r="I609" s="97"/>
      <c r="J609" s="97"/>
      <c r="K609" s="97"/>
      <c r="L609" s="97"/>
      <c r="M609" s="97"/>
      <c r="N609" s="97"/>
      <c r="O609" s="97"/>
      <c r="P609" s="97"/>
      <c r="Q609" s="97"/>
      <c r="R609" s="97"/>
      <c r="S609" s="97"/>
      <c r="T609" s="97"/>
      <c r="U609" s="97"/>
    </row>
    <row r="610" spans="1:21">
      <c r="A610" s="126"/>
      <c r="B610" s="127"/>
      <c r="C610" s="97"/>
      <c r="D610" s="519"/>
      <c r="E610" s="96"/>
      <c r="F610" s="97"/>
      <c r="G610" s="97"/>
      <c r="H610" s="97"/>
      <c r="I610" s="97"/>
      <c r="J610" s="97"/>
      <c r="K610" s="97"/>
      <c r="L610" s="97"/>
      <c r="M610" s="97"/>
      <c r="N610" s="97"/>
      <c r="O610" s="97"/>
      <c r="P610" s="97"/>
      <c r="Q610" s="97"/>
      <c r="R610" s="97"/>
      <c r="S610" s="97"/>
      <c r="T610" s="97"/>
      <c r="U610" s="97"/>
    </row>
    <row r="611" spans="1:21">
      <c r="A611" s="126"/>
      <c r="B611" s="127"/>
      <c r="C611" s="97"/>
      <c r="D611" s="519"/>
      <c r="E611" s="96"/>
      <c r="F611" s="97"/>
      <c r="G611" s="97"/>
      <c r="H611" s="97"/>
      <c r="I611" s="97"/>
      <c r="J611" s="97"/>
      <c r="K611" s="97"/>
      <c r="L611" s="97"/>
      <c r="M611" s="97"/>
      <c r="N611" s="97"/>
      <c r="O611" s="97"/>
      <c r="P611" s="97"/>
      <c r="Q611" s="97"/>
      <c r="R611" s="97"/>
      <c r="S611" s="97"/>
      <c r="T611" s="97"/>
      <c r="U611" s="97"/>
    </row>
    <row r="612" spans="1:21">
      <c r="A612" s="126"/>
      <c r="B612" s="127"/>
      <c r="C612" s="97"/>
      <c r="D612" s="519"/>
      <c r="E612" s="96"/>
      <c r="F612" s="97"/>
      <c r="G612" s="97"/>
      <c r="H612" s="97"/>
      <c r="I612" s="97"/>
      <c r="J612" s="97"/>
      <c r="K612" s="97"/>
      <c r="L612" s="97"/>
      <c r="M612" s="97"/>
      <c r="N612" s="97"/>
      <c r="O612" s="97"/>
      <c r="P612" s="97"/>
      <c r="Q612" s="97"/>
      <c r="R612" s="97"/>
      <c r="S612" s="97"/>
      <c r="T612" s="97"/>
      <c r="U612" s="97"/>
    </row>
    <row r="613" spans="1:21">
      <c r="A613" s="126"/>
      <c r="B613" s="127"/>
      <c r="C613" s="97"/>
      <c r="D613" s="519"/>
      <c r="E613" s="96"/>
      <c r="F613" s="97"/>
      <c r="G613" s="97"/>
      <c r="H613" s="97"/>
      <c r="I613" s="97"/>
      <c r="J613" s="97"/>
      <c r="K613" s="97"/>
      <c r="L613" s="97"/>
      <c r="M613" s="97"/>
      <c r="N613" s="97"/>
      <c r="O613" s="97"/>
      <c r="P613" s="97"/>
      <c r="Q613" s="97"/>
      <c r="R613" s="97"/>
      <c r="S613" s="97"/>
      <c r="T613" s="97"/>
      <c r="U613" s="97"/>
    </row>
    <row r="614" spans="1:21">
      <c r="A614" s="126"/>
      <c r="B614" s="127"/>
      <c r="C614" s="97"/>
      <c r="D614" s="519"/>
      <c r="E614" s="96"/>
      <c r="F614" s="97"/>
      <c r="G614" s="97"/>
      <c r="H614" s="97"/>
      <c r="I614" s="97"/>
      <c r="J614" s="97"/>
      <c r="K614" s="97"/>
      <c r="L614" s="97"/>
      <c r="M614" s="97"/>
      <c r="N614" s="97"/>
      <c r="O614" s="97"/>
      <c r="P614" s="97"/>
      <c r="Q614" s="97"/>
      <c r="R614" s="97"/>
      <c r="S614" s="97"/>
      <c r="T614" s="97"/>
      <c r="U614" s="97"/>
    </row>
    <row r="615" spans="1:21">
      <c r="A615" s="126"/>
      <c r="B615" s="127"/>
      <c r="C615" s="97"/>
      <c r="D615" s="519"/>
      <c r="E615" s="96"/>
      <c r="F615" s="97"/>
      <c r="G615" s="97"/>
      <c r="H615" s="97"/>
      <c r="I615" s="97"/>
      <c r="J615" s="97"/>
      <c r="K615" s="97"/>
      <c r="L615" s="97"/>
      <c r="M615" s="97"/>
      <c r="N615" s="97"/>
      <c r="O615" s="97"/>
      <c r="P615" s="97"/>
      <c r="Q615" s="97"/>
      <c r="R615" s="97"/>
      <c r="S615" s="97"/>
      <c r="T615" s="97"/>
      <c r="U615" s="97"/>
    </row>
    <row r="616" spans="1:21">
      <c r="A616" s="126"/>
      <c r="B616" s="127"/>
      <c r="C616" s="97"/>
      <c r="D616" s="519"/>
      <c r="E616" s="96"/>
      <c r="F616" s="97"/>
      <c r="G616" s="97"/>
      <c r="H616" s="97"/>
      <c r="I616" s="97"/>
      <c r="J616" s="97"/>
      <c r="K616" s="97"/>
      <c r="L616" s="97"/>
      <c r="M616" s="97"/>
      <c r="N616" s="97"/>
      <c r="O616" s="97"/>
      <c r="P616" s="97"/>
      <c r="Q616" s="97"/>
      <c r="R616" s="97"/>
      <c r="S616" s="97"/>
      <c r="T616" s="97"/>
      <c r="U616" s="97"/>
    </row>
    <row r="617" spans="1:21">
      <c r="A617" s="126"/>
      <c r="B617" s="127"/>
      <c r="C617" s="97"/>
      <c r="D617" s="519"/>
      <c r="E617" s="96"/>
      <c r="F617" s="97"/>
      <c r="G617" s="97"/>
      <c r="H617" s="97"/>
      <c r="I617" s="97"/>
      <c r="J617" s="97"/>
      <c r="K617" s="97"/>
      <c r="L617" s="97"/>
      <c r="M617" s="97"/>
      <c r="N617" s="97"/>
      <c r="O617" s="97"/>
      <c r="P617" s="97"/>
      <c r="Q617" s="97"/>
      <c r="R617" s="97"/>
      <c r="S617" s="97"/>
      <c r="T617" s="97"/>
      <c r="U617" s="97"/>
    </row>
    <row r="618" spans="1:21">
      <c r="A618" s="126"/>
      <c r="B618" s="127"/>
      <c r="C618" s="97"/>
      <c r="D618" s="519"/>
      <c r="E618" s="96"/>
      <c r="F618" s="97"/>
      <c r="G618" s="97"/>
      <c r="H618" s="97"/>
      <c r="I618" s="97"/>
      <c r="J618" s="97"/>
      <c r="K618" s="97"/>
      <c r="L618" s="97"/>
      <c r="M618" s="97"/>
      <c r="N618" s="97"/>
      <c r="O618" s="97"/>
      <c r="P618" s="97"/>
      <c r="Q618" s="97"/>
      <c r="R618" s="97"/>
      <c r="S618" s="97"/>
      <c r="T618" s="97"/>
      <c r="U618" s="97"/>
    </row>
    <row r="619" spans="1:21">
      <c r="A619" s="126"/>
      <c r="B619" s="127"/>
      <c r="C619" s="97"/>
      <c r="D619" s="519"/>
      <c r="E619" s="96"/>
      <c r="F619" s="97"/>
      <c r="G619" s="97"/>
      <c r="H619" s="97"/>
      <c r="I619" s="97"/>
      <c r="J619" s="97"/>
      <c r="K619" s="97"/>
      <c r="L619" s="97"/>
      <c r="M619" s="97"/>
      <c r="N619" s="97"/>
      <c r="O619" s="97"/>
      <c r="P619" s="97"/>
      <c r="Q619" s="97"/>
      <c r="R619" s="97"/>
      <c r="S619" s="97"/>
      <c r="T619" s="97"/>
      <c r="U619" s="97"/>
    </row>
    <row r="620" spans="1:21">
      <c r="A620" s="126"/>
      <c r="B620" s="127"/>
      <c r="C620" s="97"/>
      <c r="D620" s="519"/>
      <c r="E620" s="96"/>
      <c r="F620" s="97"/>
      <c r="G620" s="97"/>
      <c r="H620" s="97"/>
      <c r="I620" s="97"/>
      <c r="J620" s="97"/>
      <c r="K620" s="97"/>
      <c r="L620" s="97"/>
      <c r="M620" s="97"/>
      <c r="N620" s="97"/>
      <c r="O620" s="97"/>
      <c r="P620" s="97"/>
      <c r="Q620" s="97"/>
      <c r="R620" s="97"/>
      <c r="S620" s="97"/>
      <c r="T620" s="97"/>
      <c r="U620" s="97"/>
    </row>
    <row r="621" spans="1:21">
      <c r="A621" s="126"/>
      <c r="B621" s="127"/>
      <c r="C621" s="97"/>
      <c r="D621" s="519"/>
      <c r="E621" s="96"/>
      <c r="F621" s="97"/>
      <c r="G621" s="97"/>
      <c r="H621" s="97"/>
      <c r="I621" s="97"/>
      <c r="J621" s="97"/>
      <c r="K621" s="97"/>
      <c r="L621" s="97"/>
      <c r="M621" s="97"/>
      <c r="N621" s="97"/>
      <c r="O621" s="97"/>
      <c r="P621" s="97"/>
      <c r="Q621" s="97"/>
      <c r="R621" s="97"/>
      <c r="S621" s="97"/>
      <c r="T621" s="97"/>
      <c r="U621" s="97"/>
    </row>
    <row r="622" spans="1:21">
      <c r="A622" s="126"/>
      <c r="B622" s="127"/>
      <c r="C622" s="97"/>
      <c r="D622" s="519"/>
      <c r="E622" s="96"/>
      <c r="F622" s="97"/>
      <c r="G622" s="97"/>
      <c r="H622" s="97"/>
      <c r="I622" s="97"/>
      <c r="J622" s="97"/>
      <c r="K622" s="97"/>
      <c r="L622" s="97"/>
      <c r="M622" s="97"/>
      <c r="N622" s="97"/>
      <c r="O622" s="97"/>
      <c r="P622" s="97"/>
      <c r="Q622" s="97"/>
      <c r="R622" s="97"/>
      <c r="S622" s="97"/>
      <c r="T622" s="97"/>
      <c r="U622" s="97"/>
    </row>
    <row r="623" spans="1:21">
      <c r="A623" s="126"/>
      <c r="B623" s="127"/>
      <c r="C623" s="97"/>
      <c r="D623" s="519"/>
      <c r="E623" s="96"/>
      <c r="F623" s="97"/>
      <c r="G623" s="97"/>
      <c r="H623" s="97"/>
      <c r="I623" s="97"/>
      <c r="J623" s="97"/>
      <c r="K623" s="97"/>
      <c r="L623" s="97"/>
      <c r="M623" s="97"/>
      <c r="N623" s="97"/>
      <c r="O623" s="97"/>
      <c r="P623" s="97"/>
      <c r="Q623" s="97"/>
      <c r="R623" s="97"/>
      <c r="S623" s="97"/>
      <c r="T623" s="97"/>
      <c r="U623" s="97"/>
    </row>
    <row r="624" spans="1:21">
      <c r="A624" s="126"/>
      <c r="B624" s="127"/>
      <c r="C624" s="97"/>
      <c r="D624" s="519"/>
      <c r="E624" s="96"/>
      <c r="F624" s="97"/>
      <c r="G624" s="97"/>
      <c r="H624" s="97"/>
      <c r="I624" s="97"/>
      <c r="J624" s="97"/>
      <c r="K624" s="97"/>
      <c r="L624" s="97"/>
      <c r="M624" s="97"/>
      <c r="N624" s="97"/>
      <c r="O624" s="97"/>
      <c r="P624" s="97"/>
      <c r="Q624" s="97"/>
      <c r="R624" s="97"/>
      <c r="S624" s="97"/>
      <c r="T624" s="97"/>
      <c r="U624" s="97"/>
    </row>
    <row r="625" spans="1:21">
      <c r="A625" s="126"/>
      <c r="B625" s="127"/>
      <c r="C625" s="97"/>
      <c r="D625" s="519"/>
      <c r="E625" s="96"/>
      <c r="F625" s="97"/>
      <c r="G625" s="97"/>
      <c r="H625" s="97"/>
      <c r="I625" s="97"/>
      <c r="J625" s="97"/>
      <c r="K625" s="97"/>
      <c r="L625" s="97"/>
      <c r="M625" s="97"/>
      <c r="N625" s="97"/>
      <c r="O625" s="97"/>
      <c r="P625" s="97"/>
      <c r="Q625" s="97"/>
      <c r="R625" s="97"/>
      <c r="S625" s="97"/>
      <c r="T625" s="97"/>
      <c r="U625" s="97"/>
    </row>
    <row r="626" spans="1:21">
      <c r="A626" s="126"/>
      <c r="B626" s="127"/>
      <c r="C626" s="97"/>
      <c r="D626" s="519"/>
      <c r="E626" s="96"/>
      <c r="F626" s="97"/>
      <c r="G626" s="97"/>
      <c r="H626" s="97"/>
      <c r="I626" s="97"/>
      <c r="J626" s="97"/>
      <c r="K626" s="97"/>
      <c r="L626" s="97"/>
      <c r="M626" s="97"/>
      <c r="N626" s="97"/>
      <c r="O626" s="97"/>
      <c r="P626" s="97"/>
      <c r="Q626" s="97"/>
      <c r="R626" s="97"/>
      <c r="S626" s="97"/>
      <c r="T626" s="97"/>
      <c r="U626" s="97"/>
    </row>
    <row r="627" spans="1:21">
      <c r="A627" s="126"/>
      <c r="B627" s="127"/>
      <c r="C627" s="97"/>
      <c r="D627" s="519"/>
      <c r="E627" s="96"/>
      <c r="F627" s="97"/>
      <c r="G627" s="97"/>
      <c r="H627" s="97"/>
      <c r="I627" s="97"/>
      <c r="J627" s="97"/>
      <c r="K627" s="97"/>
      <c r="L627" s="97"/>
      <c r="M627" s="97"/>
      <c r="N627" s="97"/>
      <c r="O627" s="97"/>
      <c r="P627" s="97"/>
      <c r="Q627" s="97"/>
      <c r="R627" s="97"/>
      <c r="S627" s="97"/>
      <c r="T627" s="97"/>
      <c r="U627" s="97"/>
    </row>
    <row r="628" spans="1:21">
      <c r="A628" s="126"/>
      <c r="B628" s="127"/>
      <c r="C628" s="97"/>
      <c r="D628" s="519"/>
      <c r="E628" s="96"/>
      <c r="F628" s="97"/>
      <c r="G628" s="97"/>
      <c r="H628" s="97"/>
      <c r="I628" s="97"/>
      <c r="J628" s="97"/>
      <c r="K628" s="97"/>
      <c r="L628" s="97"/>
      <c r="M628" s="97"/>
      <c r="N628" s="97"/>
      <c r="O628" s="97"/>
      <c r="P628" s="97"/>
      <c r="Q628" s="97"/>
      <c r="R628" s="97"/>
      <c r="S628" s="97"/>
      <c r="T628" s="97"/>
      <c r="U628" s="97"/>
    </row>
    <row r="629" spans="1:21">
      <c r="A629" s="126"/>
      <c r="B629" s="127"/>
      <c r="C629" s="97"/>
      <c r="D629" s="519"/>
      <c r="E629" s="96"/>
      <c r="F629" s="97"/>
      <c r="G629" s="97"/>
      <c r="H629" s="97"/>
      <c r="I629" s="97"/>
      <c r="J629" s="97"/>
      <c r="K629" s="97"/>
      <c r="L629" s="97"/>
      <c r="M629" s="97"/>
      <c r="N629" s="97"/>
      <c r="O629" s="97"/>
      <c r="P629" s="97"/>
      <c r="Q629" s="97"/>
      <c r="R629" s="97"/>
      <c r="S629" s="97"/>
      <c r="T629" s="97"/>
      <c r="U629" s="97"/>
    </row>
    <row r="630" spans="1:21">
      <c r="A630" s="126"/>
      <c r="B630" s="127"/>
      <c r="C630" s="97"/>
      <c r="D630" s="519"/>
      <c r="E630" s="96"/>
      <c r="F630" s="97"/>
      <c r="G630" s="97"/>
      <c r="H630" s="97"/>
      <c r="I630" s="97"/>
      <c r="J630" s="97"/>
      <c r="K630" s="97"/>
      <c r="L630" s="97"/>
      <c r="M630" s="97"/>
      <c r="N630" s="97"/>
      <c r="O630" s="97"/>
      <c r="P630" s="97"/>
      <c r="Q630" s="97"/>
      <c r="R630" s="97"/>
      <c r="S630" s="97"/>
      <c r="T630" s="97"/>
      <c r="U630" s="97"/>
    </row>
    <row r="631" spans="1:21">
      <c r="A631" s="126"/>
      <c r="B631" s="127"/>
      <c r="C631" s="97"/>
      <c r="D631" s="519"/>
      <c r="E631" s="96"/>
      <c r="F631" s="97"/>
      <c r="G631" s="97"/>
      <c r="H631" s="97"/>
      <c r="I631" s="97"/>
      <c r="J631" s="97"/>
      <c r="K631" s="97"/>
      <c r="L631" s="97"/>
      <c r="M631" s="97"/>
      <c r="N631" s="97"/>
      <c r="O631" s="97"/>
      <c r="P631" s="97"/>
      <c r="Q631" s="97"/>
      <c r="R631" s="97"/>
      <c r="S631" s="97"/>
      <c r="T631" s="97"/>
      <c r="U631" s="97"/>
    </row>
    <row r="632" spans="1:21">
      <c r="A632" s="126"/>
      <c r="B632" s="127"/>
      <c r="C632" s="97"/>
      <c r="D632" s="519"/>
      <c r="E632" s="96"/>
      <c r="F632" s="97"/>
      <c r="G632" s="97"/>
      <c r="H632" s="97"/>
      <c r="I632" s="97"/>
      <c r="J632" s="97"/>
      <c r="K632" s="97"/>
      <c r="L632" s="97"/>
      <c r="M632" s="97"/>
      <c r="N632" s="97"/>
      <c r="O632" s="97"/>
      <c r="P632" s="97"/>
      <c r="Q632" s="97"/>
      <c r="R632" s="97"/>
      <c r="S632" s="97"/>
      <c r="T632" s="97"/>
      <c r="U632" s="97"/>
    </row>
    <row r="633" spans="1:21">
      <c r="A633" s="126"/>
      <c r="B633" s="127"/>
      <c r="C633" s="97"/>
      <c r="D633" s="519"/>
      <c r="E633" s="96"/>
      <c r="F633" s="97"/>
      <c r="G633" s="97"/>
      <c r="H633" s="97"/>
      <c r="I633" s="97"/>
      <c r="J633" s="97"/>
      <c r="K633" s="97"/>
      <c r="L633" s="97"/>
      <c r="M633" s="97"/>
      <c r="N633" s="97"/>
      <c r="O633" s="97"/>
      <c r="P633" s="97"/>
      <c r="Q633" s="97"/>
      <c r="R633" s="97"/>
      <c r="S633" s="97"/>
      <c r="T633" s="97"/>
      <c r="U633" s="97"/>
    </row>
    <row r="634" spans="1:21">
      <c r="A634" s="126"/>
      <c r="B634" s="127"/>
      <c r="C634" s="97"/>
      <c r="D634" s="519"/>
      <c r="E634" s="96"/>
      <c r="F634" s="97"/>
      <c r="G634" s="97"/>
      <c r="H634" s="97"/>
      <c r="I634" s="97"/>
      <c r="J634" s="97"/>
      <c r="K634" s="97"/>
      <c r="L634" s="97"/>
      <c r="M634" s="97"/>
      <c r="N634" s="97"/>
      <c r="O634" s="97"/>
      <c r="P634" s="97"/>
      <c r="Q634" s="97"/>
      <c r="R634" s="97"/>
      <c r="S634" s="97"/>
      <c r="T634" s="97"/>
      <c r="U634" s="97"/>
    </row>
    <row r="635" spans="1:21">
      <c r="A635" s="126"/>
      <c r="B635" s="127"/>
      <c r="C635" s="97"/>
      <c r="D635" s="519"/>
      <c r="E635" s="96"/>
      <c r="F635" s="97"/>
      <c r="G635" s="97"/>
      <c r="H635" s="97"/>
      <c r="I635" s="97"/>
      <c r="J635" s="97"/>
      <c r="K635" s="97"/>
      <c r="L635" s="97"/>
      <c r="M635" s="97"/>
      <c r="N635" s="97"/>
      <c r="O635" s="97"/>
      <c r="P635" s="97"/>
      <c r="Q635" s="97"/>
      <c r="R635" s="97"/>
      <c r="S635" s="97"/>
      <c r="T635" s="97"/>
      <c r="U635" s="97"/>
    </row>
    <row r="636" spans="1:21">
      <c r="A636" s="126"/>
      <c r="B636" s="127"/>
      <c r="C636" s="97"/>
      <c r="D636" s="519"/>
      <c r="E636" s="96"/>
      <c r="F636" s="97"/>
      <c r="G636" s="97"/>
      <c r="H636" s="97"/>
      <c r="I636" s="97"/>
      <c r="J636" s="97"/>
      <c r="K636" s="97"/>
      <c r="L636" s="97"/>
      <c r="M636" s="97"/>
      <c r="N636" s="97"/>
      <c r="O636" s="97"/>
      <c r="P636" s="97"/>
      <c r="Q636" s="97"/>
      <c r="R636" s="97"/>
      <c r="S636" s="97"/>
      <c r="T636" s="97"/>
      <c r="U636" s="97"/>
    </row>
    <row r="637" spans="1:21">
      <c r="A637" s="126"/>
      <c r="B637" s="127"/>
      <c r="C637" s="97"/>
      <c r="D637" s="519"/>
      <c r="E637" s="96"/>
      <c r="F637" s="97"/>
      <c r="G637" s="97"/>
      <c r="H637" s="97"/>
      <c r="I637" s="97"/>
      <c r="J637" s="97"/>
      <c r="K637" s="97"/>
      <c r="L637" s="97"/>
      <c r="M637" s="97"/>
      <c r="N637" s="97"/>
      <c r="O637" s="97"/>
      <c r="P637" s="97"/>
      <c r="Q637" s="97"/>
      <c r="R637" s="97"/>
      <c r="S637" s="97"/>
      <c r="T637" s="97"/>
      <c r="U637" s="97"/>
    </row>
    <row r="638" spans="1:21">
      <c r="A638" s="126"/>
      <c r="B638" s="127"/>
      <c r="C638" s="97"/>
      <c r="D638" s="519"/>
      <c r="E638" s="96"/>
      <c r="F638" s="97"/>
      <c r="G638" s="97"/>
      <c r="H638" s="97"/>
      <c r="I638" s="97"/>
      <c r="J638" s="97"/>
      <c r="K638" s="97"/>
      <c r="L638" s="97"/>
      <c r="M638" s="97"/>
      <c r="N638" s="97"/>
      <c r="O638" s="97"/>
      <c r="P638" s="97"/>
      <c r="Q638" s="97"/>
      <c r="R638" s="97"/>
      <c r="S638" s="97"/>
      <c r="T638" s="97"/>
      <c r="U638" s="97"/>
    </row>
    <row r="639" spans="1:21">
      <c r="A639" s="126"/>
      <c r="B639" s="127"/>
      <c r="C639" s="97"/>
      <c r="D639" s="519"/>
      <c r="E639" s="96"/>
      <c r="F639" s="97"/>
      <c r="G639" s="97"/>
      <c r="H639" s="97"/>
      <c r="I639" s="97"/>
      <c r="J639" s="97"/>
      <c r="K639" s="97"/>
      <c r="L639" s="97"/>
      <c r="M639" s="97"/>
      <c r="N639" s="97"/>
      <c r="O639" s="97"/>
      <c r="P639" s="97"/>
      <c r="Q639" s="97"/>
      <c r="R639" s="97"/>
      <c r="S639" s="97"/>
      <c r="T639" s="97"/>
      <c r="U639" s="97"/>
    </row>
    <row r="640" spans="1:21">
      <c r="A640" s="126"/>
      <c r="B640" s="127"/>
      <c r="C640" s="97"/>
      <c r="D640" s="519"/>
      <c r="E640" s="96"/>
      <c r="F640" s="97"/>
      <c r="G640" s="97"/>
      <c r="H640" s="97"/>
      <c r="I640" s="97"/>
      <c r="J640" s="97"/>
      <c r="K640" s="97"/>
      <c r="L640" s="97"/>
      <c r="M640" s="97"/>
      <c r="N640" s="97"/>
      <c r="O640" s="97"/>
      <c r="P640" s="97"/>
      <c r="Q640" s="97"/>
      <c r="R640" s="97"/>
      <c r="S640" s="97"/>
      <c r="T640" s="97"/>
      <c r="U640" s="97"/>
    </row>
    <row r="641" spans="1:21">
      <c r="A641" s="126"/>
      <c r="B641" s="127"/>
      <c r="C641" s="97"/>
      <c r="D641" s="519"/>
      <c r="E641" s="96"/>
      <c r="F641" s="97"/>
      <c r="G641" s="97"/>
      <c r="H641" s="97"/>
      <c r="I641" s="97"/>
      <c r="J641" s="97"/>
      <c r="K641" s="97"/>
      <c r="L641" s="97"/>
      <c r="M641" s="97"/>
      <c r="N641" s="97"/>
      <c r="O641" s="97"/>
      <c r="P641" s="97"/>
      <c r="Q641" s="97"/>
      <c r="R641" s="97"/>
      <c r="S641" s="97"/>
      <c r="T641" s="97"/>
      <c r="U641" s="97"/>
    </row>
    <row r="642" spans="1:21">
      <c r="A642" s="126"/>
      <c r="B642" s="127"/>
      <c r="C642" s="97"/>
      <c r="D642" s="519"/>
      <c r="E642" s="96"/>
      <c r="F642" s="97"/>
      <c r="G642" s="97"/>
      <c r="H642" s="97"/>
      <c r="I642" s="97"/>
      <c r="J642" s="97"/>
      <c r="K642" s="97"/>
      <c r="L642" s="97"/>
      <c r="M642" s="97"/>
      <c r="N642" s="97"/>
      <c r="O642" s="97"/>
      <c r="P642" s="97"/>
      <c r="Q642" s="97"/>
      <c r="R642" s="97"/>
      <c r="S642" s="97"/>
      <c r="T642" s="97"/>
      <c r="U642" s="97"/>
    </row>
    <row r="643" spans="1:21">
      <c r="A643" s="126"/>
      <c r="B643" s="127"/>
      <c r="C643" s="97"/>
      <c r="D643" s="519"/>
      <c r="E643" s="96"/>
      <c r="F643" s="97"/>
      <c r="G643" s="97"/>
      <c r="H643" s="97"/>
      <c r="I643" s="97"/>
      <c r="J643" s="97"/>
      <c r="K643" s="97"/>
      <c r="L643" s="97"/>
      <c r="M643" s="97"/>
      <c r="N643" s="97"/>
      <c r="O643" s="97"/>
      <c r="P643" s="97"/>
      <c r="Q643" s="97"/>
      <c r="R643" s="97"/>
      <c r="S643" s="97"/>
      <c r="T643" s="97"/>
      <c r="U643" s="97"/>
    </row>
    <row r="644" spans="1:21">
      <c r="A644" s="126"/>
      <c r="B644" s="127"/>
      <c r="C644" s="97"/>
      <c r="D644" s="519"/>
      <c r="E644" s="96"/>
      <c r="F644" s="97"/>
      <c r="G644" s="97"/>
      <c r="H644" s="97"/>
      <c r="I644" s="97"/>
      <c r="J644" s="97"/>
      <c r="K644" s="97"/>
      <c r="L644" s="97"/>
      <c r="M644" s="97"/>
      <c r="N644" s="97"/>
      <c r="O644" s="97"/>
      <c r="P644" s="97"/>
      <c r="Q644" s="97"/>
      <c r="R644" s="97"/>
      <c r="S644" s="97"/>
      <c r="T644" s="97"/>
      <c r="U644" s="97"/>
    </row>
    <row r="645" spans="1:21">
      <c r="A645" s="126"/>
      <c r="B645" s="127"/>
      <c r="C645" s="97"/>
      <c r="D645" s="519"/>
      <c r="E645" s="96"/>
      <c r="F645" s="97"/>
      <c r="G645" s="97"/>
      <c r="H645" s="97"/>
      <c r="I645" s="97"/>
      <c r="J645" s="97"/>
      <c r="K645" s="97"/>
      <c r="L645" s="97"/>
      <c r="M645" s="97"/>
      <c r="N645" s="97"/>
      <c r="O645" s="97"/>
      <c r="P645" s="97"/>
      <c r="Q645" s="97"/>
      <c r="R645" s="97"/>
      <c r="S645" s="97"/>
      <c r="T645" s="97"/>
      <c r="U645" s="97"/>
    </row>
    <row r="646" spans="1:21">
      <c r="A646" s="126"/>
      <c r="B646" s="127"/>
      <c r="C646" s="97"/>
      <c r="D646" s="519"/>
      <c r="E646" s="96"/>
      <c r="F646" s="97"/>
      <c r="G646" s="97"/>
      <c r="H646" s="97"/>
      <c r="I646" s="97"/>
      <c r="J646" s="97"/>
      <c r="K646" s="97"/>
      <c r="L646" s="97"/>
      <c r="M646" s="97"/>
      <c r="N646" s="97"/>
      <c r="O646" s="97"/>
      <c r="P646" s="97"/>
      <c r="Q646" s="97"/>
      <c r="R646" s="97"/>
      <c r="S646" s="97"/>
      <c r="T646" s="97"/>
      <c r="U646" s="97"/>
    </row>
    <row r="647" spans="1:21">
      <c r="A647" s="126"/>
      <c r="B647" s="127"/>
      <c r="C647" s="97"/>
      <c r="D647" s="519"/>
      <c r="E647" s="96"/>
      <c r="F647" s="97"/>
      <c r="G647" s="97"/>
      <c r="H647" s="97"/>
      <c r="I647" s="97"/>
      <c r="J647" s="97"/>
      <c r="K647" s="97"/>
      <c r="L647" s="97"/>
      <c r="M647" s="97"/>
      <c r="N647" s="97"/>
      <c r="O647" s="97"/>
      <c r="P647" s="97"/>
      <c r="Q647" s="97"/>
      <c r="R647" s="97"/>
      <c r="S647" s="97"/>
      <c r="T647" s="97"/>
      <c r="U647" s="97"/>
    </row>
    <row r="648" spans="1:21">
      <c r="A648" s="126"/>
      <c r="B648" s="127"/>
      <c r="C648" s="97"/>
      <c r="D648" s="519"/>
      <c r="E648" s="96"/>
      <c r="F648" s="97"/>
      <c r="G648" s="97"/>
      <c r="H648" s="97"/>
      <c r="I648" s="97"/>
      <c r="J648" s="97"/>
      <c r="K648" s="97"/>
      <c r="L648" s="97"/>
      <c r="M648" s="97"/>
      <c r="N648" s="97"/>
      <c r="O648" s="97"/>
      <c r="P648" s="97"/>
      <c r="Q648" s="97"/>
      <c r="R648" s="97"/>
      <c r="S648" s="97"/>
      <c r="T648" s="97"/>
      <c r="U648" s="97"/>
    </row>
    <row r="649" spans="1:21">
      <c r="A649" s="126"/>
      <c r="B649" s="127"/>
      <c r="C649" s="97"/>
      <c r="D649" s="519"/>
      <c r="E649" s="96"/>
      <c r="F649" s="97"/>
      <c r="G649" s="97"/>
      <c r="H649" s="97"/>
      <c r="I649" s="97"/>
      <c r="J649" s="97"/>
      <c r="K649" s="97"/>
      <c r="L649" s="97"/>
      <c r="M649" s="97"/>
      <c r="N649" s="97"/>
      <c r="O649" s="97"/>
      <c r="P649" s="97"/>
      <c r="Q649" s="97"/>
      <c r="R649" s="97"/>
      <c r="S649" s="97"/>
      <c r="T649" s="97"/>
      <c r="U649" s="97"/>
    </row>
    <row r="650" spans="1:21">
      <c r="A650" s="126"/>
      <c r="B650" s="127"/>
      <c r="C650" s="97"/>
      <c r="D650" s="519"/>
      <c r="E650" s="96"/>
      <c r="F650" s="97"/>
      <c r="G650" s="97"/>
      <c r="H650" s="97"/>
      <c r="I650" s="97"/>
      <c r="J650" s="97"/>
      <c r="K650" s="97"/>
      <c r="L650" s="97"/>
      <c r="M650" s="97"/>
      <c r="N650" s="97"/>
      <c r="O650" s="97"/>
      <c r="P650" s="97"/>
      <c r="Q650" s="97"/>
      <c r="R650" s="97"/>
      <c r="S650" s="97"/>
      <c r="T650" s="97"/>
      <c r="U650" s="97"/>
    </row>
    <row r="651" spans="1:21">
      <c r="A651" s="126"/>
      <c r="B651" s="127"/>
      <c r="C651" s="97"/>
      <c r="D651" s="519"/>
      <c r="E651" s="96"/>
      <c r="F651" s="97"/>
      <c r="G651" s="97"/>
      <c r="H651" s="97"/>
      <c r="I651" s="97"/>
      <c r="J651" s="97"/>
      <c r="K651" s="97"/>
      <c r="L651" s="97"/>
      <c r="M651" s="97"/>
      <c r="N651" s="97"/>
      <c r="O651" s="97"/>
      <c r="P651" s="97"/>
      <c r="Q651" s="97"/>
      <c r="R651" s="97"/>
      <c r="S651" s="97"/>
      <c r="T651" s="97"/>
      <c r="U651" s="97"/>
    </row>
    <row r="652" spans="1:21">
      <c r="A652" s="126"/>
      <c r="B652" s="127"/>
      <c r="C652" s="97"/>
      <c r="D652" s="519"/>
      <c r="E652" s="96"/>
      <c r="F652" s="97"/>
      <c r="G652" s="97"/>
      <c r="H652" s="97"/>
      <c r="I652" s="97"/>
      <c r="J652" s="97"/>
      <c r="K652" s="97"/>
      <c r="L652" s="97"/>
      <c r="M652" s="97"/>
      <c r="N652" s="97"/>
      <c r="O652" s="97"/>
      <c r="P652" s="97"/>
      <c r="Q652" s="97"/>
      <c r="R652" s="97"/>
      <c r="S652" s="97"/>
      <c r="T652" s="97"/>
      <c r="U652" s="97"/>
    </row>
    <row r="653" spans="1:21">
      <c r="A653" s="126"/>
      <c r="B653" s="127"/>
      <c r="C653" s="97"/>
      <c r="D653" s="519"/>
      <c r="E653" s="96"/>
      <c r="F653" s="97"/>
      <c r="G653" s="97"/>
      <c r="H653" s="97"/>
      <c r="I653" s="97"/>
      <c r="J653" s="97"/>
      <c r="K653" s="97"/>
      <c r="L653" s="97"/>
      <c r="M653" s="97"/>
      <c r="N653" s="97"/>
      <c r="O653" s="97"/>
      <c r="P653" s="97"/>
      <c r="Q653" s="97"/>
      <c r="R653" s="97"/>
      <c r="S653" s="97"/>
      <c r="T653" s="97"/>
      <c r="U653" s="97"/>
    </row>
    <row r="654" spans="1:21">
      <c r="A654" s="126"/>
      <c r="B654" s="127"/>
      <c r="C654" s="97"/>
      <c r="D654" s="519"/>
      <c r="E654" s="96"/>
      <c r="F654" s="97"/>
      <c r="G654" s="97"/>
      <c r="H654" s="97"/>
      <c r="I654" s="97"/>
      <c r="J654" s="97"/>
      <c r="K654" s="97"/>
      <c r="L654" s="97"/>
      <c r="M654" s="97"/>
      <c r="N654" s="97"/>
      <c r="O654" s="97"/>
      <c r="P654" s="97"/>
      <c r="Q654" s="97"/>
      <c r="R654" s="97"/>
      <c r="S654" s="97"/>
      <c r="T654" s="97"/>
      <c r="U654" s="97"/>
    </row>
    <row r="655" spans="1:21">
      <c r="A655" s="126"/>
      <c r="B655" s="127"/>
      <c r="C655" s="97"/>
      <c r="D655" s="519"/>
      <c r="E655" s="96"/>
      <c r="F655" s="97"/>
      <c r="G655" s="97"/>
      <c r="H655" s="97"/>
      <c r="I655" s="97"/>
      <c r="J655" s="97"/>
      <c r="K655" s="97"/>
      <c r="L655" s="97"/>
      <c r="M655" s="97"/>
      <c r="N655" s="97"/>
      <c r="O655" s="97"/>
      <c r="P655" s="97"/>
      <c r="Q655" s="97"/>
      <c r="R655" s="97"/>
      <c r="S655" s="97"/>
      <c r="T655" s="97"/>
      <c r="U655" s="97"/>
    </row>
    <row r="656" spans="1:21">
      <c r="A656" s="126"/>
      <c r="B656" s="127"/>
      <c r="C656" s="97"/>
      <c r="D656" s="519"/>
      <c r="E656" s="96"/>
      <c r="F656" s="97"/>
      <c r="G656" s="97"/>
      <c r="H656" s="97"/>
      <c r="I656" s="97"/>
      <c r="J656" s="97"/>
      <c r="K656" s="97"/>
      <c r="L656" s="97"/>
      <c r="M656" s="97"/>
      <c r="N656" s="97"/>
      <c r="O656" s="97"/>
      <c r="P656" s="97"/>
      <c r="Q656" s="97"/>
      <c r="R656" s="97"/>
      <c r="S656" s="97"/>
      <c r="T656" s="97"/>
      <c r="U656" s="97"/>
    </row>
    <row r="657" spans="1:21">
      <c r="A657" s="126"/>
      <c r="B657" s="127"/>
      <c r="C657" s="97"/>
      <c r="D657" s="519"/>
      <c r="E657" s="96"/>
      <c r="F657" s="97"/>
      <c r="G657" s="97"/>
      <c r="H657" s="97"/>
      <c r="I657" s="97"/>
      <c r="J657" s="97"/>
      <c r="K657" s="97"/>
      <c r="L657" s="97"/>
      <c r="M657" s="97"/>
      <c r="N657" s="97"/>
      <c r="O657" s="97"/>
      <c r="P657" s="97"/>
      <c r="Q657" s="97"/>
      <c r="R657" s="97"/>
      <c r="S657" s="97"/>
      <c r="T657" s="97"/>
      <c r="U657" s="97"/>
    </row>
    <row r="658" spans="1:21">
      <c r="A658" s="126"/>
      <c r="B658" s="127"/>
      <c r="C658" s="97"/>
      <c r="D658" s="519"/>
      <c r="E658" s="96"/>
      <c r="F658" s="97"/>
      <c r="G658" s="97"/>
      <c r="H658" s="97"/>
      <c r="I658" s="97"/>
      <c r="J658" s="97"/>
      <c r="K658" s="97"/>
      <c r="L658" s="97"/>
      <c r="M658" s="97"/>
      <c r="N658" s="97"/>
      <c r="O658" s="97"/>
      <c r="P658" s="97"/>
      <c r="Q658" s="97"/>
      <c r="R658" s="97"/>
      <c r="S658" s="97"/>
      <c r="T658" s="97"/>
      <c r="U658" s="97"/>
    </row>
    <row r="659" spans="1:21">
      <c r="A659" s="126"/>
      <c r="B659" s="127"/>
      <c r="C659" s="97"/>
      <c r="D659" s="519"/>
      <c r="E659" s="96"/>
      <c r="F659" s="97"/>
      <c r="G659" s="97"/>
      <c r="H659" s="97"/>
      <c r="I659" s="97"/>
      <c r="J659" s="97"/>
      <c r="K659" s="97"/>
      <c r="L659" s="97"/>
      <c r="M659" s="97"/>
      <c r="N659" s="97"/>
      <c r="O659" s="97"/>
      <c r="P659" s="97"/>
      <c r="Q659" s="97"/>
      <c r="R659" s="97"/>
      <c r="S659" s="97"/>
      <c r="T659" s="97"/>
      <c r="U659" s="97"/>
    </row>
    <row r="660" spans="1:21">
      <c r="A660" s="126"/>
      <c r="B660" s="127"/>
      <c r="C660" s="97"/>
      <c r="D660" s="519"/>
      <c r="E660" s="96"/>
      <c r="F660" s="97"/>
      <c r="G660" s="97"/>
      <c r="H660" s="97"/>
      <c r="I660" s="97"/>
      <c r="J660" s="97"/>
      <c r="K660" s="97"/>
      <c r="L660" s="97"/>
      <c r="M660" s="97"/>
      <c r="N660" s="97"/>
      <c r="O660" s="97"/>
      <c r="P660" s="97"/>
      <c r="Q660" s="97"/>
      <c r="R660" s="97"/>
      <c r="S660" s="97"/>
      <c r="T660" s="97"/>
      <c r="U660" s="97"/>
    </row>
    <row r="661" spans="1:21">
      <c r="A661" s="126"/>
      <c r="B661" s="127"/>
      <c r="C661" s="97"/>
      <c r="D661" s="519"/>
      <c r="E661" s="96"/>
      <c r="F661" s="97"/>
      <c r="G661" s="97"/>
      <c r="H661" s="97"/>
      <c r="I661" s="97"/>
      <c r="J661" s="97"/>
      <c r="K661" s="97"/>
      <c r="L661" s="97"/>
      <c r="M661" s="97"/>
      <c r="N661" s="97"/>
      <c r="O661" s="97"/>
      <c r="P661" s="97"/>
      <c r="Q661" s="97"/>
      <c r="R661" s="97"/>
      <c r="S661" s="97"/>
      <c r="T661" s="97"/>
      <c r="U661" s="97"/>
    </row>
    <row r="662" spans="1:21">
      <c r="A662" s="126"/>
      <c r="B662" s="127"/>
      <c r="C662" s="97"/>
      <c r="D662" s="519"/>
      <c r="E662" s="96"/>
      <c r="F662" s="97"/>
      <c r="G662" s="97"/>
      <c r="H662" s="97"/>
      <c r="I662" s="97"/>
      <c r="J662" s="97"/>
      <c r="K662" s="97"/>
      <c r="L662" s="97"/>
      <c r="M662" s="97"/>
      <c r="N662" s="97"/>
      <c r="O662" s="97"/>
      <c r="P662" s="97"/>
      <c r="Q662" s="97"/>
      <c r="R662" s="97"/>
      <c r="S662" s="97"/>
      <c r="T662" s="97"/>
      <c r="U662" s="97"/>
    </row>
    <row r="663" spans="1:21">
      <c r="A663" s="126"/>
      <c r="B663" s="127"/>
      <c r="C663" s="97"/>
      <c r="D663" s="519"/>
      <c r="E663" s="96"/>
      <c r="F663" s="97"/>
      <c r="G663" s="97"/>
      <c r="H663" s="97"/>
      <c r="I663" s="97"/>
      <c r="J663" s="97"/>
      <c r="K663" s="97"/>
      <c r="L663" s="97"/>
      <c r="M663" s="97"/>
      <c r="N663" s="97"/>
      <c r="O663" s="97"/>
      <c r="P663" s="97"/>
      <c r="Q663" s="97"/>
      <c r="R663" s="97"/>
      <c r="S663" s="97"/>
      <c r="T663" s="97"/>
      <c r="U663" s="97"/>
    </row>
    <row r="664" spans="1:21">
      <c r="A664" s="126"/>
      <c r="B664" s="127"/>
      <c r="C664" s="97"/>
      <c r="D664" s="519"/>
      <c r="E664" s="96"/>
      <c r="F664" s="97"/>
      <c r="G664" s="97"/>
      <c r="H664" s="97"/>
      <c r="I664" s="97"/>
      <c r="J664" s="97"/>
      <c r="K664" s="97"/>
      <c r="L664" s="97"/>
      <c r="M664" s="97"/>
      <c r="N664" s="97"/>
      <c r="O664" s="97"/>
      <c r="P664" s="97"/>
      <c r="Q664" s="97"/>
      <c r="R664" s="97"/>
      <c r="S664" s="97"/>
      <c r="T664" s="97"/>
      <c r="U664" s="97"/>
    </row>
    <row r="665" spans="1:21">
      <c r="A665" s="126"/>
      <c r="B665" s="127"/>
      <c r="C665" s="97"/>
      <c r="D665" s="519"/>
      <c r="E665" s="96"/>
      <c r="F665" s="97"/>
      <c r="G665" s="97"/>
      <c r="H665" s="97"/>
      <c r="I665" s="97"/>
      <c r="J665" s="97"/>
      <c r="K665" s="97"/>
      <c r="L665" s="97"/>
      <c r="M665" s="97"/>
      <c r="N665" s="97"/>
      <c r="O665" s="97"/>
      <c r="P665" s="97"/>
      <c r="Q665" s="97"/>
      <c r="R665" s="97"/>
      <c r="S665" s="97"/>
      <c r="T665" s="97"/>
      <c r="U665" s="97"/>
    </row>
    <row r="666" spans="1:21">
      <c r="A666" s="126"/>
      <c r="B666" s="127"/>
      <c r="C666" s="97"/>
      <c r="D666" s="519"/>
      <c r="E666" s="96"/>
      <c r="F666" s="97"/>
      <c r="G666" s="97"/>
      <c r="H666" s="97"/>
      <c r="I666" s="97"/>
      <c r="J666" s="97"/>
      <c r="K666" s="97"/>
      <c r="L666" s="97"/>
      <c r="M666" s="97"/>
      <c r="N666" s="97"/>
      <c r="O666" s="97"/>
      <c r="P666" s="97"/>
      <c r="Q666" s="97"/>
      <c r="R666" s="97"/>
      <c r="S666" s="97"/>
      <c r="T666" s="97"/>
      <c r="U666" s="97"/>
    </row>
    <row r="667" spans="1:21">
      <c r="A667" s="126"/>
      <c r="B667" s="127"/>
      <c r="C667" s="97"/>
      <c r="D667" s="519"/>
      <c r="E667" s="96"/>
      <c r="F667" s="97"/>
      <c r="G667" s="97"/>
      <c r="H667" s="97"/>
      <c r="I667" s="97"/>
      <c r="J667" s="97"/>
      <c r="K667" s="97"/>
      <c r="L667" s="97"/>
      <c r="M667" s="97"/>
      <c r="N667" s="97"/>
      <c r="O667" s="97"/>
      <c r="P667" s="97"/>
      <c r="Q667" s="97"/>
      <c r="R667" s="97"/>
      <c r="S667" s="97"/>
      <c r="T667" s="97"/>
      <c r="U667" s="97"/>
    </row>
    <row r="668" spans="1:21">
      <c r="A668" s="126"/>
      <c r="B668" s="127"/>
      <c r="C668" s="97"/>
      <c r="D668" s="519"/>
      <c r="E668" s="96"/>
      <c r="F668" s="97"/>
      <c r="G668" s="97"/>
      <c r="H668" s="97"/>
      <c r="I668" s="97"/>
      <c r="J668" s="97"/>
      <c r="K668" s="97"/>
      <c r="L668" s="97"/>
      <c r="M668" s="97"/>
      <c r="N668" s="97"/>
      <c r="O668" s="97"/>
      <c r="P668" s="97"/>
      <c r="Q668" s="97"/>
      <c r="R668" s="97"/>
      <c r="S668" s="97"/>
      <c r="T668" s="97"/>
      <c r="U668" s="97"/>
    </row>
    <row r="669" spans="1:21">
      <c r="A669" s="126"/>
      <c r="B669" s="127"/>
      <c r="C669" s="97"/>
      <c r="D669" s="519"/>
      <c r="E669" s="96"/>
      <c r="F669" s="97"/>
      <c r="G669" s="97"/>
      <c r="H669" s="97"/>
      <c r="I669" s="97"/>
      <c r="J669" s="97"/>
      <c r="K669" s="97"/>
      <c r="L669" s="97"/>
      <c r="M669" s="97"/>
      <c r="N669" s="97"/>
      <c r="O669" s="97"/>
      <c r="P669" s="97"/>
      <c r="Q669" s="97"/>
      <c r="R669" s="97"/>
      <c r="S669" s="97"/>
      <c r="T669" s="97"/>
      <c r="U669" s="97"/>
    </row>
    <row r="670" spans="1:21">
      <c r="A670" s="126"/>
      <c r="B670" s="127"/>
      <c r="C670" s="97"/>
      <c r="D670" s="519"/>
      <c r="E670" s="96"/>
      <c r="F670" s="97"/>
      <c r="G670" s="97"/>
      <c r="H670" s="97"/>
      <c r="I670" s="97"/>
      <c r="J670" s="97"/>
      <c r="K670" s="97"/>
      <c r="L670" s="97"/>
      <c r="M670" s="97"/>
      <c r="N670" s="97"/>
      <c r="O670" s="97"/>
      <c r="P670" s="97"/>
      <c r="Q670" s="97"/>
      <c r="R670" s="97"/>
      <c r="S670" s="97"/>
      <c r="T670" s="97"/>
      <c r="U670" s="97"/>
    </row>
    <row r="671" spans="1:21">
      <c r="A671" s="126"/>
      <c r="B671" s="127"/>
      <c r="C671" s="97"/>
      <c r="D671" s="519"/>
      <c r="E671" s="96"/>
      <c r="F671" s="97"/>
      <c r="G671" s="97"/>
      <c r="H671" s="97"/>
      <c r="I671" s="97"/>
      <c r="J671" s="97"/>
      <c r="K671" s="97"/>
      <c r="L671" s="97"/>
      <c r="M671" s="97"/>
      <c r="N671" s="97"/>
      <c r="O671" s="97"/>
      <c r="P671" s="97"/>
      <c r="Q671" s="97"/>
      <c r="R671" s="97"/>
      <c r="S671" s="97"/>
      <c r="T671" s="97"/>
      <c r="U671" s="97"/>
    </row>
    <row r="672" spans="1:21">
      <c r="A672" s="126"/>
      <c r="B672" s="127"/>
      <c r="C672" s="97"/>
      <c r="D672" s="519"/>
      <c r="E672" s="96"/>
      <c r="F672" s="97"/>
      <c r="G672" s="97"/>
      <c r="H672" s="97"/>
      <c r="I672" s="97"/>
      <c r="J672" s="97"/>
      <c r="K672" s="97"/>
      <c r="L672" s="97"/>
      <c r="M672" s="97"/>
      <c r="N672" s="97"/>
      <c r="O672" s="97"/>
      <c r="P672" s="97"/>
      <c r="Q672" s="97"/>
      <c r="R672" s="97"/>
      <c r="S672" s="97"/>
      <c r="T672" s="97"/>
      <c r="U672" s="97"/>
    </row>
    <row r="673" spans="1:21">
      <c r="A673" s="126"/>
      <c r="B673" s="127"/>
      <c r="C673" s="97"/>
      <c r="D673" s="519"/>
      <c r="E673" s="96"/>
      <c r="F673" s="97"/>
      <c r="G673" s="97"/>
      <c r="H673" s="97"/>
      <c r="I673" s="97"/>
      <c r="J673" s="97"/>
      <c r="K673" s="97"/>
      <c r="L673" s="97"/>
      <c r="M673" s="97"/>
      <c r="N673" s="97"/>
      <c r="O673" s="97"/>
      <c r="P673" s="97"/>
      <c r="Q673" s="97"/>
      <c r="R673" s="97"/>
      <c r="S673" s="97"/>
      <c r="T673" s="97"/>
      <c r="U673" s="97"/>
    </row>
    <row r="674" spans="1:21">
      <c r="A674" s="126"/>
      <c r="B674" s="127"/>
      <c r="C674" s="97"/>
      <c r="D674" s="519"/>
      <c r="E674" s="96"/>
      <c r="F674" s="97"/>
      <c r="G674" s="97"/>
      <c r="H674" s="97"/>
      <c r="I674" s="97"/>
      <c r="J674" s="97"/>
      <c r="K674" s="97"/>
      <c r="L674" s="97"/>
      <c r="M674" s="97"/>
      <c r="N674" s="97"/>
      <c r="O674" s="97"/>
      <c r="P674" s="97"/>
      <c r="Q674" s="97"/>
      <c r="R674" s="97"/>
      <c r="S674" s="97"/>
      <c r="T674" s="97"/>
      <c r="U674" s="97"/>
    </row>
    <row r="675" spans="1:21">
      <c r="A675" s="126"/>
      <c r="B675" s="127"/>
      <c r="C675" s="97"/>
      <c r="D675" s="519"/>
      <c r="E675" s="96"/>
      <c r="F675" s="97"/>
      <c r="G675" s="97"/>
      <c r="H675" s="97"/>
      <c r="I675" s="97"/>
      <c r="J675" s="97"/>
      <c r="K675" s="97"/>
      <c r="L675" s="97"/>
      <c r="M675" s="97"/>
      <c r="N675" s="97"/>
      <c r="O675" s="97"/>
      <c r="P675" s="97"/>
      <c r="Q675" s="97"/>
      <c r="R675" s="97"/>
      <c r="S675" s="97"/>
      <c r="T675" s="97"/>
      <c r="U675" s="97"/>
    </row>
    <row r="676" spans="1:21">
      <c r="A676" s="126"/>
      <c r="B676" s="127"/>
      <c r="C676" s="97"/>
      <c r="D676" s="519"/>
      <c r="E676" s="96"/>
      <c r="F676" s="97"/>
      <c r="G676" s="97"/>
      <c r="H676" s="97"/>
      <c r="I676" s="97"/>
      <c r="J676" s="97"/>
      <c r="K676" s="97"/>
      <c r="L676" s="97"/>
      <c r="M676" s="97"/>
      <c r="N676" s="97"/>
      <c r="O676" s="97"/>
      <c r="P676" s="97"/>
      <c r="Q676" s="97"/>
      <c r="R676" s="97"/>
      <c r="S676" s="97"/>
      <c r="T676" s="97"/>
      <c r="U676" s="97"/>
    </row>
    <row r="677" spans="1:21">
      <c r="A677" s="126"/>
      <c r="B677" s="127"/>
      <c r="C677" s="97"/>
      <c r="D677" s="519"/>
      <c r="E677" s="96"/>
      <c r="F677" s="97"/>
      <c r="G677" s="97"/>
      <c r="H677" s="97"/>
      <c r="I677" s="97"/>
      <c r="J677" s="97"/>
      <c r="K677" s="97"/>
      <c r="L677" s="97"/>
      <c r="M677" s="97"/>
      <c r="N677" s="97"/>
      <c r="O677" s="97"/>
      <c r="P677" s="97"/>
      <c r="Q677" s="97"/>
      <c r="R677" s="97"/>
      <c r="S677" s="97"/>
      <c r="T677" s="97"/>
      <c r="U677" s="97"/>
    </row>
    <row r="678" spans="1:21">
      <c r="A678" s="126"/>
      <c r="B678" s="127"/>
      <c r="C678" s="97"/>
      <c r="D678" s="519"/>
      <c r="E678" s="96"/>
      <c r="F678" s="97"/>
      <c r="G678" s="97"/>
      <c r="H678" s="97"/>
      <c r="I678" s="97"/>
      <c r="J678" s="97"/>
      <c r="K678" s="97"/>
      <c r="L678" s="97"/>
      <c r="M678" s="97"/>
      <c r="N678" s="97"/>
      <c r="O678" s="97"/>
      <c r="P678" s="97"/>
      <c r="Q678" s="97"/>
      <c r="R678" s="97"/>
      <c r="S678" s="97"/>
      <c r="T678" s="97"/>
      <c r="U678" s="97"/>
    </row>
    <row r="679" spans="1:21">
      <c r="A679" s="126"/>
      <c r="B679" s="127"/>
      <c r="C679" s="97"/>
      <c r="D679" s="519"/>
      <c r="E679" s="96"/>
      <c r="F679" s="97"/>
      <c r="G679" s="97"/>
      <c r="H679" s="97"/>
      <c r="I679" s="97"/>
      <c r="J679" s="97"/>
      <c r="K679" s="97"/>
      <c r="L679" s="97"/>
      <c r="M679" s="97"/>
      <c r="N679" s="97"/>
      <c r="O679" s="97"/>
      <c r="P679" s="97"/>
      <c r="Q679" s="97"/>
      <c r="R679" s="97"/>
      <c r="S679" s="97"/>
      <c r="T679" s="97"/>
      <c r="U679" s="97"/>
    </row>
    <row r="680" spans="1:21">
      <c r="A680" s="126"/>
      <c r="B680" s="127"/>
      <c r="C680" s="97"/>
      <c r="D680" s="519"/>
      <c r="E680" s="96"/>
      <c r="F680" s="97"/>
      <c r="G680" s="97"/>
      <c r="H680" s="97"/>
      <c r="I680" s="97"/>
      <c r="J680" s="97"/>
      <c r="K680" s="97"/>
      <c r="L680" s="97"/>
      <c r="M680" s="97"/>
      <c r="N680" s="97"/>
      <c r="O680" s="97"/>
      <c r="P680" s="97"/>
      <c r="Q680" s="97"/>
      <c r="R680" s="97"/>
      <c r="S680" s="97"/>
      <c r="T680" s="97"/>
      <c r="U680" s="97"/>
    </row>
    <row r="681" spans="1:21">
      <c r="A681" s="126"/>
      <c r="B681" s="127"/>
      <c r="C681" s="97"/>
      <c r="D681" s="519"/>
      <c r="E681" s="96"/>
      <c r="F681" s="97"/>
      <c r="G681" s="97"/>
      <c r="H681" s="97"/>
      <c r="I681" s="97"/>
      <c r="J681" s="97"/>
      <c r="K681" s="97"/>
      <c r="L681" s="97"/>
      <c r="M681" s="97"/>
      <c r="N681" s="97"/>
      <c r="O681" s="97"/>
      <c r="P681" s="97"/>
      <c r="Q681" s="97"/>
      <c r="R681" s="97"/>
      <c r="S681" s="97"/>
      <c r="T681" s="97"/>
      <c r="U681" s="97"/>
    </row>
    <row r="682" spans="1:21">
      <c r="A682" s="126"/>
      <c r="B682" s="127"/>
      <c r="C682" s="97"/>
      <c r="D682" s="519"/>
      <c r="E682" s="96"/>
      <c r="F682" s="97"/>
      <c r="G682" s="97"/>
      <c r="H682" s="97"/>
      <c r="I682" s="97"/>
      <c r="J682" s="97"/>
      <c r="K682" s="97"/>
      <c r="L682" s="97"/>
      <c r="M682" s="97"/>
      <c r="N682" s="97"/>
      <c r="O682" s="97"/>
      <c r="P682" s="97"/>
      <c r="Q682" s="97"/>
      <c r="R682" s="97"/>
      <c r="S682" s="97"/>
      <c r="T682" s="97"/>
      <c r="U682" s="97"/>
    </row>
    <row r="683" spans="1:21">
      <c r="A683" s="126"/>
      <c r="B683" s="127"/>
      <c r="C683" s="97"/>
      <c r="D683" s="519"/>
      <c r="E683" s="96"/>
      <c r="F683" s="97"/>
      <c r="G683" s="97"/>
      <c r="H683" s="97"/>
      <c r="I683" s="97"/>
      <c r="J683" s="97"/>
      <c r="K683" s="97"/>
      <c r="L683" s="97"/>
      <c r="M683" s="97"/>
      <c r="N683" s="97"/>
      <c r="O683" s="97"/>
      <c r="P683" s="97"/>
      <c r="Q683" s="97"/>
      <c r="R683" s="97"/>
      <c r="S683" s="97"/>
      <c r="T683" s="97"/>
      <c r="U683" s="97"/>
    </row>
    <row r="684" spans="1:21">
      <c r="A684" s="126"/>
      <c r="B684" s="127"/>
      <c r="C684" s="97"/>
      <c r="D684" s="519"/>
      <c r="E684" s="96"/>
      <c r="F684" s="97"/>
      <c r="G684" s="97"/>
      <c r="H684" s="97"/>
      <c r="I684" s="97"/>
      <c r="J684" s="97"/>
      <c r="K684" s="97"/>
      <c r="L684" s="97"/>
      <c r="M684" s="97"/>
      <c r="N684" s="97"/>
      <c r="O684" s="97"/>
      <c r="P684" s="97"/>
      <c r="Q684" s="97"/>
      <c r="R684" s="97"/>
      <c r="S684" s="97"/>
      <c r="T684" s="97"/>
      <c r="U684" s="97"/>
    </row>
    <row r="685" spans="1:21">
      <c r="A685" s="126"/>
      <c r="B685" s="127"/>
      <c r="C685" s="97"/>
      <c r="D685" s="519"/>
      <c r="E685" s="96"/>
      <c r="F685" s="97"/>
      <c r="G685" s="97"/>
      <c r="H685" s="97"/>
      <c r="I685" s="97"/>
      <c r="J685" s="97"/>
      <c r="K685" s="97"/>
      <c r="L685" s="97"/>
      <c r="M685" s="97"/>
      <c r="N685" s="97"/>
      <c r="O685" s="97"/>
      <c r="P685" s="97"/>
      <c r="Q685" s="97"/>
      <c r="R685" s="97"/>
      <c r="S685" s="97"/>
      <c r="T685" s="97"/>
      <c r="U685" s="97"/>
    </row>
    <row r="686" spans="1:21">
      <c r="A686" s="126"/>
      <c r="B686" s="127"/>
      <c r="C686" s="97"/>
      <c r="D686" s="519"/>
      <c r="E686" s="96"/>
      <c r="F686" s="97"/>
      <c r="G686" s="97"/>
      <c r="H686" s="97"/>
      <c r="I686" s="97"/>
      <c r="J686" s="97"/>
      <c r="K686" s="97"/>
      <c r="L686" s="97"/>
      <c r="M686" s="97"/>
      <c r="N686" s="97"/>
      <c r="O686" s="97"/>
      <c r="P686" s="97"/>
      <c r="Q686" s="97"/>
      <c r="R686" s="97"/>
      <c r="S686" s="97"/>
      <c r="T686" s="97"/>
      <c r="U686" s="97"/>
    </row>
    <row r="687" spans="1:21">
      <c r="A687" s="126"/>
      <c r="B687" s="127"/>
      <c r="C687" s="97"/>
      <c r="D687" s="519"/>
      <c r="E687" s="96"/>
      <c r="F687" s="97"/>
      <c r="G687" s="97"/>
      <c r="H687" s="97"/>
      <c r="I687" s="97"/>
      <c r="J687" s="97"/>
      <c r="K687" s="97"/>
      <c r="L687" s="97"/>
      <c r="M687" s="97"/>
      <c r="N687" s="97"/>
      <c r="O687" s="97"/>
      <c r="P687" s="97"/>
      <c r="Q687" s="97"/>
      <c r="R687" s="97"/>
      <c r="S687" s="97"/>
      <c r="T687" s="97"/>
      <c r="U687" s="97"/>
    </row>
    <row r="688" spans="1:21">
      <c r="A688" s="126"/>
      <c r="B688" s="127"/>
      <c r="C688" s="97"/>
      <c r="D688" s="519"/>
      <c r="E688" s="96"/>
      <c r="F688" s="97"/>
      <c r="G688" s="97"/>
      <c r="H688" s="97"/>
      <c r="I688" s="97"/>
      <c r="J688" s="97"/>
      <c r="K688" s="97"/>
      <c r="L688" s="97"/>
      <c r="M688" s="97"/>
      <c r="N688" s="97"/>
      <c r="O688" s="97"/>
      <c r="P688" s="97"/>
      <c r="Q688" s="97"/>
      <c r="R688" s="97"/>
      <c r="S688" s="97"/>
      <c r="T688" s="97"/>
      <c r="U688" s="97"/>
    </row>
    <row r="689" spans="1:21">
      <c r="A689" s="126"/>
      <c r="B689" s="127"/>
      <c r="C689" s="97"/>
      <c r="D689" s="519"/>
      <c r="E689" s="96"/>
      <c r="F689" s="97"/>
      <c r="G689" s="97"/>
      <c r="H689" s="97"/>
      <c r="I689" s="97"/>
      <c r="J689" s="97"/>
      <c r="K689" s="97"/>
      <c r="L689" s="97"/>
      <c r="M689" s="97"/>
      <c r="N689" s="97"/>
      <c r="O689" s="97"/>
      <c r="P689" s="97"/>
      <c r="Q689" s="97"/>
      <c r="R689" s="97"/>
      <c r="S689" s="97"/>
      <c r="T689" s="97"/>
      <c r="U689" s="97"/>
    </row>
    <row r="690" spans="1:21">
      <c r="A690" s="126"/>
      <c r="B690" s="127"/>
      <c r="C690" s="97"/>
      <c r="D690" s="519"/>
      <c r="E690" s="96"/>
      <c r="F690" s="97"/>
      <c r="G690" s="97"/>
      <c r="H690" s="97"/>
      <c r="I690" s="97"/>
      <c r="J690" s="97"/>
      <c r="K690" s="97"/>
      <c r="L690" s="97"/>
      <c r="M690" s="97"/>
      <c r="N690" s="97"/>
      <c r="O690" s="97"/>
      <c r="P690" s="97"/>
      <c r="Q690" s="97"/>
      <c r="R690" s="97"/>
      <c r="S690" s="97"/>
      <c r="T690" s="97"/>
      <c r="U690" s="97"/>
    </row>
    <row r="691" spans="1:21">
      <c r="A691" s="126"/>
      <c r="B691" s="127"/>
      <c r="C691" s="97"/>
      <c r="D691" s="519"/>
      <c r="E691" s="96"/>
      <c r="F691" s="97"/>
      <c r="G691" s="97"/>
      <c r="H691" s="97"/>
      <c r="I691" s="97"/>
      <c r="J691" s="97"/>
      <c r="K691" s="97"/>
      <c r="L691" s="97"/>
      <c r="M691" s="97"/>
      <c r="N691" s="97"/>
      <c r="O691" s="97"/>
      <c r="P691" s="97"/>
      <c r="Q691" s="97"/>
      <c r="R691" s="97"/>
      <c r="S691" s="97"/>
      <c r="T691" s="97"/>
      <c r="U691" s="97"/>
    </row>
    <row r="692" spans="1:21">
      <c r="A692" s="126"/>
      <c r="B692" s="127"/>
      <c r="C692" s="97"/>
      <c r="D692" s="519"/>
      <c r="E692" s="96"/>
      <c r="F692" s="97"/>
      <c r="G692" s="97"/>
      <c r="H692" s="97"/>
      <c r="I692" s="97"/>
      <c r="J692" s="97"/>
      <c r="K692" s="97"/>
      <c r="L692" s="97"/>
      <c r="M692" s="97"/>
      <c r="N692" s="97"/>
      <c r="O692" s="97"/>
      <c r="P692" s="97"/>
      <c r="Q692" s="97"/>
      <c r="R692" s="97"/>
      <c r="S692" s="97"/>
      <c r="T692" s="97"/>
      <c r="U692" s="97"/>
    </row>
    <row r="693" spans="1:21">
      <c r="A693" s="126"/>
      <c r="B693" s="127"/>
      <c r="C693" s="97"/>
      <c r="D693" s="519"/>
      <c r="E693" s="96"/>
      <c r="F693" s="97"/>
      <c r="G693" s="97"/>
      <c r="H693" s="97"/>
      <c r="I693" s="97"/>
      <c r="J693" s="97"/>
      <c r="K693" s="97"/>
      <c r="L693" s="97"/>
      <c r="M693" s="97"/>
      <c r="N693" s="97"/>
      <c r="O693" s="97"/>
      <c r="P693" s="97"/>
      <c r="Q693" s="97"/>
      <c r="R693" s="97"/>
      <c r="S693" s="97"/>
      <c r="T693" s="97"/>
      <c r="U693" s="97"/>
    </row>
    <row r="694" spans="1:21">
      <c r="A694" s="126"/>
      <c r="B694" s="127"/>
      <c r="C694" s="97"/>
      <c r="D694" s="519"/>
      <c r="E694" s="96"/>
      <c r="F694" s="97"/>
      <c r="G694" s="97"/>
      <c r="H694" s="97"/>
      <c r="I694" s="97"/>
      <c r="J694" s="97"/>
      <c r="K694" s="97"/>
      <c r="L694" s="97"/>
      <c r="M694" s="97"/>
      <c r="N694" s="97"/>
      <c r="O694" s="97"/>
      <c r="P694" s="97"/>
      <c r="Q694" s="97"/>
      <c r="R694" s="97"/>
      <c r="S694" s="97"/>
      <c r="T694" s="97"/>
      <c r="U694" s="97"/>
    </row>
    <row r="695" spans="1:21">
      <c r="A695" s="126"/>
      <c r="B695" s="127"/>
      <c r="C695" s="97"/>
      <c r="D695" s="519"/>
      <c r="E695" s="96"/>
      <c r="F695" s="97"/>
      <c r="G695" s="97"/>
      <c r="H695" s="97"/>
      <c r="I695" s="97"/>
      <c r="J695" s="97"/>
      <c r="K695" s="97"/>
      <c r="L695" s="97"/>
      <c r="M695" s="97"/>
      <c r="N695" s="97"/>
      <c r="O695" s="97"/>
      <c r="P695" s="97"/>
      <c r="Q695" s="97"/>
      <c r="R695" s="97"/>
      <c r="S695" s="97"/>
      <c r="T695" s="97"/>
      <c r="U695" s="97"/>
    </row>
    <row r="696" spans="1:21">
      <c r="A696" s="126"/>
      <c r="B696" s="127"/>
      <c r="C696" s="97"/>
      <c r="D696" s="519"/>
      <c r="E696" s="96"/>
      <c r="F696" s="97"/>
      <c r="G696" s="97"/>
      <c r="H696" s="97"/>
      <c r="I696" s="97"/>
      <c r="J696" s="97"/>
      <c r="K696" s="97"/>
      <c r="L696" s="97"/>
      <c r="M696" s="97"/>
      <c r="N696" s="97"/>
      <c r="O696" s="97"/>
      <c r="P696" s="97"/>
      <c r="Q696" s="97"/>
      <c r="R696" s="97"/>
      <c r="S696" s="97"/>
      <c r="T696" s="97"/>
      <c r="U696" s="97"/>
    </row>
    <row r="697" spans="1:21">
      <c r="A697" s="126"/>
      <c r="B697" s="127"/>
      <c r="C697" s="97"/>
      <c r="D697" s="519"/>
      <c r="E697" s="96"/>
      <c r="F697" s="97"/>
      <c r="G697" s="97"/>
      <c r="H697" s="97"/>
      <c r="I697" s="97"/>
      <c r="J697" s="97"/>
      <c r="K697" s="97"/>
      <c r="L697" s="97"/>
      <c r="M697" s="97"/>
      <c r="N697" s="97"/>
      <c r="O697" s="97"/>
      <c r="P697" s="97"/>
      <c r="Q697" s="97"/>
      <c r="R697" s="97"/>
      <c r="S697" s="97"/>
      <c r="T697" s="97"/>
      <c r="U697" s="97"/>
    </row>
    <row r="698" spans="1:21">
      <c r="A698" s="126"/>
      <c r="B698" s="127"/>
      <c r="C698" s="97"/>
      <c r="D698" s="519"/>
      <c r="E698" s="96"/>
      <c r="F698" s="97"/>
      <c r="G698" s="97"/>
      <c r="H698" s="97"/>
      <c r="I698" s="97"/>
      <c r="J698" s="97"/>
      <c r="K698" s="97"/>
      <c r="L698" s="97"/>
      <c r="M698" s="97"/>
      <c r="N698" s="97"/>
      <c r="O698" s="97"/>
      <c r="P698" s="97"/>
      <c r="Q698" s="97"/>
      <c r="R698" s="97"/>
      <c r="S698" s="97"/>
      <c r="T698" s="97"/>
      <c r="U698" s="97"/>
    </row>
    <row r="699" spans="1:21">
      <c r="A699" s="126"/>
      <c r="B699" s="127"/>
      <c r="C699" s="97"/>
      <c r="D699" s="519"/>
      <c r="E699" s="96"/>
      <c r="F699" s="97"/>
      <c r="G699" s="97"/>
      <c r="H699" s="97"/>
      <c r="I699" s="97"/>
      <c r="J699" s="97"/>
      <c r="K699" s="97"/>
      <c r="L699" s="97"/>
      <c r="M699" s="97"/>
      <c r="N699" s="97"/>
      <c r="O699" s="97"/>
      <c r="P699" s="97"/>
      <c r="Q699" s="97"/>
      <c r="R699" s="97"/>
      <c r="S699" s="97"/>
      <c r="T699" s="97"/>
      <c r="U699" s="97"/>
    </row>
    <row r="700" spans="1:21">
      <c r="A700" s="126"/>
      <c r="B700" s="127"/>
      <c r="C700" s="97"/>
      <c r="D700" s="519"/>
      <c r="E700" s="96"/>
      <c r="F700" s="97"/>
      <c r="G700" s="97"/>
      <c r="H700" s="97"/>
      <c r="I700" s="97"/>
      <c r="J700" s="97"/>
      <c r="K700" s="97"/>
      <c r="L700" s="97"/>
      <c r="M700" s="97"/>
      <c r="N700" s="97"/>
      <c r="O700" s="97"/>
      <c r="P700" s="97"/>
      <c r="Q700" s="97"/>
      <c r="R700" s="97"/>
      <c r="S700" s="97"/>
      <c r="T700" s="97"/>
      <c r="U700" s="97"/>
    </row>
    <row r="701" spans="1:21">
      <c r="A701" s="126"/>
      <c r="B701" s="127"/>
      <c r="C701" s="97"/>
      <c r="D701" s="519"/>
      <c r="E701" s="96"/>
      <c r="F701" s="97"/>
      <c r="G701" s="97"/>
      <c r="H701" s="97"/>
      <c r="I701" s="97"/>
      <c r="J701" s="97"/>
      <c r="K701" s="97"/>
      <c r="L701" s="97"/>
      <c r="M701" s="97"/>
      <c r="N701" s="97"/>
      <c r="O701" s="97"/>
      <c r="P701" s="97"/>
      <c r="Q701" s="97"/>
      <c r="R701" s="97"/>
      <c r="S701" s="97"/>
      <c r="T701" s="97"/>
      <c r="U701" s="97"/>
    </row>
    <row r="702" spans="1:21">
      <c r="A702" s="126"/>
      <c r="B702" s="127"/>
      <c r="C702" s="97"/>
      <c r="D702" s="519"/>
      <c r="E702" s="96"/>
      <c r="F702" s="97"/>
      <c r="G702" s="97"/>
      <c r="H702" s="97"/>
      <c r="I702" s="97"/>
      <c r="J702" s="97"/>
      <c r="K702" s="97"/>
      <c r="L702" s="97"/>
      <c r="M702" s="97"/>
      <c r="N702" s="97"/>
      <c r="O702" s="97"/>
      <c r="P702" s="97"/>
      <c r="Q702" s="97"/>
      <c r="R702" s="97"/>
      <c r="S702" s="97"/>
      <c r="T702" s="97"/>
      <c r="U702" s="97"/>
    </row>
    <row r="703" spans="1:21">
      <c r="A703" s="126"/>
      <c r="B703" s="127"/>
      <c r="C703" s="97"/>
      <c r="D703" s="519"/>
      <c r="E703" s="96"/>
      <c r="F703" s="97"/>
      <c r="G703" s="97"/>
      <c r="H703" s="97"/>
      <c r="I703" s="97"/>
      <c r="J703" s="97"/>
      <c r="K703" s="97"/>
      <c r="L703" s="97"/>
      <c r="M703" s="97"/>
      <c r="N703" s="97"/>
      <c r="O703" s="97"/>
      <c r="P703" s="97"/>
      <c r="Q703" s="97"/>
      <c r="R703" s="97"/>
      <c r="S703" s="97"/>
      <c r="T703" s="97"/>
      <c r="U703" s="97"/>
    </row>
    <row r="704" spans="1:21">
      <c r="A704" s="126"/>
      <c r="B704" s="127"/>
      <c r="C704" s="97"/>
      <c r="D704" s="519"/>
      <c r="E704" s="96"/>
      <c r="F704" s="97"/>
      <c r="G704" s="97"/>
      <c r="H704" s="97"/>
      <c r="I704" s="97"/>
      <c r="J704" s="97"/>
      <c r="K704" s="97"/>
      <c r="L704" s="97"/>
      <c r="M704" s="97"/>
      <c r="N704" s="97"/>
      <c r="O704" s="97"/>
      <c r="P704" s="97"/>
      <c r="Q704" s="97"/>
      <c r="R704" s="97"/>
      <c r="S704" s="97"/>
      <c r="T704" s="97"/>
      <c r="U704" s="97"/>
    </row>
    <row r="705" spans="1:21">
      <c r="A705" s="126"/>
      <c r="B705" s="127"/>
      <c r="C705" s="97"/>
      <c r="D705" s="519"/>
      <c r="E705" s="96"/>
      <c r="F705" s="97"/>
      <c r="G705" s="97"/>
      <c r="H705" s="97"/>
      <c r="I705" s="97"/>
      <c r="J705" s="97"/>
      <c r="K705" s="97"/>
      <c r="L705" s="97"/>
      <c r="M705" s="97"/>
      <c r="N705" s="97"/>
      <c r="O705" s="97"/>
      <c r="P705" s="97"/>
      <c r="Q705" s="97"/>
      <c r="R705" s="97"/>
      <c r="S705" s="97"/>
      <c r="T705" s="97"/>
      <c r="U705" s="97"/>
    </row>
    <row r="706" spans="1:21">
      <c r="A706" s="126"/>
      <c r="B706" s="127"/>
      <c r="C706" s="97"/>
      <c r="D706" s="519"/>
      <c r="E706" s="96"/>
      <c r="F706" s="97"/>
      <c r="G706" s="97"/>
      <c r="H706" s="97"/>
      <c r="I706" s="97"/>
      <c r="J706" s="97"/>
      <c r="K706" s="97"/>
      <c r="L706" s="97"/>
      <c r="M706" s="97"/>
      <c r="N706" s="97"/>
      <c r="O706" s="97"/>
      <c r="P706" s="97"/>
      <c r="Q706" s="97"/>
      <c r="R706" s="97"/>
      <c r="S706" s="97"/>
      <c r="T706" s="97"/>
      <c r="U706" s="97"/>
    </row>
    <row r="707" spans="1:21">
      <c r="A707" s="126"/>
      <c r="B707" s="127"/>
      <c r="C707" s="97"/>
      <c r="D707" s="519"/>
      <c r="E707" s="96"/>
      <c r="F707" s="97"/>
      <c r="G707" s="97"/>
      <c r="H707" s="97"/>
      <c r="I707" s="97"/>
      <c r="J707" s="97"/>
      <c r="K707" s="97"/>
      <c r="L707" s="97"/>
      <c r="M707" s="97"/>
      <c r="N707" s="97"/>
      <c r="O707" s="97"/>
      <c r="P707" s="97"/>
      <c r="Q707" s="97"/>
      <c r="R707" s="97"/>
      <c r="S707" s="97"/>
      <c r="T707" s="97"/>
      <c r="U707" s="97"/>
    </row>
    <row r="708" spans="1:21">
      <c r="A708" s="126"/>
      <c r="B708" s="127"/>
      <c r="C708" s="97"/>
      <c r="D708" s="519"/>
      <c r="E708" s="96"/>
      <c r="F708" s="97"/>
      <c r="G708" s="97"/>
      <c r="H708" s="97"/>
      <c r="I708" s="97"/>
      <c r="J708" s="97"/>
      <c r="K708" s="97"/>
      <c r="L708" s="97"/>
      <c r="M708" s="97"/>
      <c r="N708" s="97"/>
      <c r="O708" s="97"/>
      <c r="P708" s="97"/>
      <c r="Q708" s="97"/>
      <c r="R708" s="97"/>
      <c r="S708" s="97"/>
      <c r="T708" s="97"/>
      <c r="U708" s="97"/>
    </row>
    <row r="709" spans="1:21">
      <c r="A709" s="126"/>
      <c r="B709" s="127"/>
      <c r="C709" s="97"/>
      <c r="D709" s="519"/>
      <c r="E709" s="96"/>
      <c r="F709" s="97"/>
      <c r="G709" s="97"/>
      <c r="H709" s="97"/>
      <c r="I709" s="97"/>
      <c r="J709" s="97"/>
      <c r="K709" s="97"/>
      <c r="L709" s="97"/>
      <c r="M709" s="97"/>
      <c r="N709" s="97"/>
      <c r="O709" s="97"/>
      <c r="P709" s="97"/>
      <c r="Q709" s="97"/>
      <c r="R709" s="97"/>
      <c r="S709" s="97"/>
      <c r="T709" s="97"/>
      <c r="U709" s="97"/>
    </row>
    <row r="710" spans="1:21">
      <c r="A710" s="126"/>
      <c r="B710" s="127"/>
      <c r="C710" s="97"/>
      <c r="D710" s="519"/>
      <c r="E710" s="96"/>
      <c r="F710" s="97"/>
      <c r="G710" s="97"/>
      <c r="H710" s="97"/>
      <c r="I710" s="97"/>
      <c r="J710" s="97"/>
      <c r="K710" s="97"/>
      <c r="L710" s="97"/>
      <c r="M710" s="97"/>
      <c r="N710" s="97"/>
      <c r="O710" s="97"/>
      <c r="P710" s="97"/>
      <c r="Q710" s="97"/>
      <c r="R710" s="97"/>
      <c r="S710" s="97"/>
      <c r="T710" s="97"/>
      <c r="U710" s="97"/>
    </row>
    <row r="711" spans="1:21">
      <c r="A711" s="126"/>
      <c r="B711" s="127"/>
      <c r="C711" s="97"/>
      <c r="D711" s="519"/>
      <c r="E711" s="96"/>
      <c r="F711" s="97"/>
      <c r="G711" s="97"/>
      <c r="H711" s="97"/>
      <c r="I711" s="97"/>
      <c r="J711" s="97"/>
      <c r="K711" s="97"/>
      <c r="L711" s="97"/>
      <c r="M711" s="97"/>
      <c r="N711" s="97"/>
      <c r="O711" s="97"/>
      <c r="P711" s="97"/>
      <c r="Q711" s="97"/>
      <c r="R711" s="97"/>
      <c r="S711" s="97"/>
      <c r="T711" s="97"/>
      <c r="U711" s="97"/>
    </row>
    <row r="712" spans="1:21">
      <c r="A712" s="126"/>
      <c r="B712" s="127"/>
      <c r="C712" s="97"/>
      <c r="D712" s="519"/>
      <c r="E712" s="96"/>
      <c r="F712" s="97"/>
      <c r="G712" s="97"/>
      <c r="H712" s="97"/>
      <c r="I712" s="97"/>
      <c r="J712" s="97"/>
      <c r="K712" s="97"/>
      <c r="L712" s="97"/>
      <c r="M712" s="97"/>
      <c r="N712" s="97"/>
      <c r="O712" s="97"/>
      <c r="P712" s="97"/>
      <c r="Q712" s="97"/>
      <c r="R712" s="97"/>
      <c r="S712" s="97"/>
      <c r="T712" s="97"/>
      <c r="U712" s="97"/>
    </row>
    <row r="713" spans="1:21">
      <c r="A713" s="126"/>
      <c r="B713" s="127"/>
      <c r="C713" s="97"/>
      <c r="D713" s="519"/>
      <c r="E713" s="96"/>
      <c r="F713" s="97"/>
      <c r="G713" s="97"/>
      <c r="H713" s="97"/>
      <c r="I713" s="97"/>
      <c r="J713" s="97"/>
      <c r="K713" s="97"/>
      <c r="L713" s="97"/>
      <c r="M713" s="97"/>
      <c r="N713" s="97"/>
      <c r="O713" s="97"/>
      <c r="P713" s="97"/>
      <c r="Q713" s="97"/>
      <c r="R713" s="97"/>
      <c r="S713" s="97"/>
      <c r="T713" s="97"/>
      <c r="U713" s="97"/>
    </row>
    <row r="714" spans="1:21">
      <c r="A714" s="126"/>
      <c r="B714" s="127"/>
      <c r="C714" s="97"/>
      <c r="D714" s="519"/>
      <c r="E714" s="96"/>
      <c r="F714" s="97"/>
      <c r="G714" s="97"/>
      <c r="H714" s="97"/>
      <c r="I714" s="97"/>
      <c r="J714" s="97"/>
      <c r="K714" s="97"/>
      <c r="L714" s="97"/>
      <c r="M714" s="97"/>
      <c r="N714" s="97"/>
      <c r="O714" s="97"/>
      <c r="P714" s="97"/>
      <c r="Q714" s="97"/>
      <c r="R714" s="97"/>
      <c r="S714" s="97"/>
      <c r="T714" s="97"/>
      <c r="U714" s="97"/>
    </row>
    <row r="715" spans="1:21">
      <c r="A715" s="126"/>
      <c r="B715" s="127"/>
      <c r="C715" s="97"/>
      <c r="D715" s="519"/>
      <c r="E715" s="96"/>
      <c r="F715" s="97"/>
      <c r="G715" s="97"/>
      <c r="H715" s="97"/>
      <c r="I715" s="97"/>
      <c r="J715" s="97"/>
      <c r="K715" s="97"/>
      <c r="L715" s="97"/>
      <c r="M715" s="97"/>
      <c r="N715" s="97"/>
      <c r="O715" s="97"/>
      <c r="P715" s="97"/>
      <c r="Q715" s="97"/>
      <c r="R715" s="97"/>
      <c r="S715" s="97"/>
      <c r="T715" s="97"/>
      <c r="U715" s="97"/>
    </row>
    <row r="716" spans="1:21">
      <c r="A716" s="126"/>
      <c r="B716" s="127"/>
      <c r="C716" s="97"/>
      <c r="D716" s="519"/>
      <c r="E716" s="96"/>
      <c r="F716" s="97"/>
      <c r="G716" s="97"/>
      <c r="H716" s="97"/>
      <c r="I716" s="97"/>
      <c r="J716" s="97"/>
      <c r="K716" s="97"/>
      <c r="L716" s="97"/>
      <c r="M716" s="97"/>
      <c r="N716" s="97"/>
      <c r="O716" s="97"/>
      <c r="P716" s="97"/>
      <c r="Q716" s="97"/>
      <c r="R716" s="97"/>
      <c r="S716" s="97"/>
      <c r="T716" s="97"/>
      <c r="U716" s="97"/>
    </row>
    <row r="717" spans="1:21">
      <c r="A717" s="126"/>
      <c r="B717" s="127"/>
      <c r="C717" s="97"/>
      <c r="D717" s="519"/>
      <c r="E717" s="96"/>
      <c r="F717" s="97"/>
      <c r="G717" s="97"/>
      <c r="H717" s="97"/>
      <c r="I717" s="97"/>
      <c r="J717" s="97"/>
      <c r="K717" s="97"/>
      <c r="L717" s="97"/>
      <c r="M717" s="97"/>
      <c r="N717" s="97"/>
      <c r="O717" s="97"/>
      <c r="P717" s="97"/>
      <c r="Q717" s="97"/>
      <c r="R717" s="97"/>
      <c r="S717" s="97"/>
      <c r="T717" s="97"/>
      <c r="U717" s="97"/>
    </row>
    <row r="718" spans="1:21">
      <c r="A718" s="126"/>
      <c r="B718" s="127"/>
      <c r="C718" s="97"/>
      <c r="D718" s="519"/>
      <c r="E718" s="96"/>
      <c r="F718" s="97"/>
      <c r="G718" s="97"/>
      <c r="H718" s="97"/>
      <c r="I718" s="97"/>
      <c r="J718" s="97"/>
      <c r="K718" s="97"/>
      <c r="L718" s="97"/>
      <c r="M718" s="97"/>
      <c r="N718" s="97"/>
      <c r="O718" s="97"/>
      <c r="P718" s="97"/>
      <c r="Q718" s="97"/>
      <c r="R718" s="97"/>
      <c r="S718" s="97"/>
      <c r="T718" s="97"/>
      <c r="U718" s="97"/>
    </row>
    <row r="719" spans="1:21">
      <c r="A719" s="126"/>
      <c r="B719" s="127"/>
      <c r="C719" s="97"/>
      <c r="D719" s="519"/>
      <c r="E719" s="96"/>
      <c r="F719" s="97"/>
      <c r="G719" s="97"/>
      <c r="H719" s="97"/>
      <c r="I719" s="97"/>
      <c r="J719" s="97"/>
      <c r="K719" s="97"/>
      <c r="L719" s="97"/>
      <c r="M719" s="97"/>
      <c r="N719" s="97"/>
      <c r="O719" s="97"/>
      <c r="P719" s="97"/>
      <c r="Q719" s="97"/>
      <c r="R719" s="97"/>
      <c r="S719" s="97"/>
      <c r="T719" s="97"/>
      <c r="U719" s="97"/>
    </row>
    <row r="720" spans="1:21">
      <c r="A720" s="126"/>
      <c r="B720" s="127"/>
      <c r="C720" s="97"/>
      <c r="D720" s="519"/>
      <c r="E720" s="96"/>
      <c r="F720" s="97"/>
      <c r="G720" s="97"/>
      <c r="H720" s="97"/>
      <c r="I720" s="97"/>
      <c r="J720" s="97"/>
      <c r="K720" s="97"/>
      <c r="L720" s="97"/>
      <c r="M720" s="97"/>
      <c r="N720" s="97"/>
      <c r="O720" s="97"/>
      <c r="P720" s="97"/>
      <c r="Q720" s="97"/>
      <c r="R720" s="97"/>
      <c r="S720" s="97"/>
      <c r="T720" s="97"/>
      <c r="U720" s="97"/>
    </row>
    <row r="721" spans="1:21">
      <c r="A721" s="126"/>
      <c r="B721" s="127"/>
      <c r="C721" s="97"/>
      <c r="D721" s="519"/>
      <c r="E721" s="96"/>
      <c r="F721" s="97"/>
      <c r="G721" s="97"/>
      <c r="H721" s="97"/>
      <c r="I721" s="97"/>
      <c r="J721" s="97"/>
      <c r="K721" s="97"/>
      <c r="L721" s="97"/>
      <c r="M721" s="97"/>
      <c r="N721" s="97"/>
      <c r="O721" s="97"/>
      <c r="P721" s="97"/>
      <c r="Q721" s="97"/>
      <c r="R721" s="97"/>
      <c r="S721" s="97"/>
      <c r="T721" s="97"/>
      <c r="U721" s="97"/>
    </row>
    <row r="722" spans="1:21">
      <c r="A722" s="126"/>
      <c r="B722" s="127"/>
      <c r="C722" s="97"/>
      <c r="D722" s="519"/>
      <c r="E722" s="96"/>
      <c r="F722" s="97"/>
      <c r="G722" s="97"/>
      <c r="H722" s="97"/>
      <c r="I722" s="97"/>
      <c r="J722" s="97"/>
      <c r="K722" s="97"/>
      <c r="L722" s="97"/>
      <c r="M722" s="97"/>
      <c r="N722" s="97"/>
      <c r="O722" s="97"/>
      <c r="P722" s="97"/>
      <c r="Q722" s="97"/>
      <c r="R722" s="97"/>
      <c r="S722" s="97"/>
      <c r="T722" s="97"/>
      <c r="U722" s="97"/>
    </row>
    <row r="723" spans="1:21">
      <c r="A723" s="126"/>
      <c r="B723" s="127"/>
      <c r="C723" s="97"/>
      <c r="D723" s="519"/>
      <c r="E723" s="96"/>
      <c r="F723" s="97"/>
      <c r="G723" s="97"/>
      <c r="H723" s="97"/>
      <c r="I723" s="97"/>
      <c r="J723" s="97"/>
      <c r="K723" s="97"/>
      <c r="L723" s="97"/>
      <c r="M723" s="97"/>
      <c r="N723" s="97"/>
      <c r="O723" s="97"/>
      <c r="P723" s="97"/>
      <c r="Q723" s="97"/>
      <c r="R723" s="97"/>
      <c r="S723" s="97"/>
      <c r="T723" s="97"/>
      <c r="U723" s="97"/>
    </row>
    <row r="724" spans="1:21">
      <c r="A724" s="126"/>
      <c r="B724" s="127"/>
      <c r="C724" s="97"/>
      <c r="D724" s="519"/>
      <c r="E724" s="96"/>
      <c r="F724" s="97"/>
      <c r="G724" s="97"/>
      <c r="H724" s="97"/>
      <c r="I724" s="97"/>
      <c r="J724" s="97"/>
      <c r="K724" s="97"/>
      <c r="L724" s="97"/>
      <c r="M724" s="97"/>
      <c r="N724" s="97"/>
      <c r="O724" s="97"/>
      <c r="P724" s="97"/>
      <c r="Q724" s="97"/>
      <c r="R724" s="97"/>
      <c r="S724" s="97"/>
      <c r="T724" s="97"/>
      <c r="U724" s="97"/>
    </row>
    <row r="725" spans="1:21">
      <c r="A725" s="126"/>
      <c r="B725" s="127"/>
      <c r="C725" s="97"/>
      <c r="D725" s="519"/>
      <c r="E725" s="96"/>
      <c r="F725" s="97"/>
      <c r="G725" s="97"/>
      <c r="H725" s="97"/>
      <c r="I725" s="97"/>
      <c r="J725" s="97"/>
      <c r="K725" s="97"/>
      <c r="L725" s="97"/>
      <c r="M725" s="97"/>
      <c r="N725" s="97"/>
      <c r="O725" s="97"/>
      <c r="P725" s="97"/>
      <c r="Q725" s="97"/>
      <c r="R725" s="97"/>
      <c r="S725" s="97"/>
      <c r="T725" s="97"/>
      <c r="U725" s="97"/>
    </row>
    <row r="726" spans="1:21">
      <c r="A726" s="126"/>
      <c r="B726" s="127"/>
      <c r="C726" s="97"/>
      <c r="D726" s="519"/>
      <c r="E726" s="96"/>
      <c r="F726" s="97"/>
      <c r="G726" s="97"/>
      <c r="H726" s="97"/>
      <c r="I726" s="97"/>
      <c r="J726" s="97"/>
      <c r="K726" s="97"/>
      <c r="L726" s="97"/>
      <c r="M726" s="97"/>
      <c r="N726" s="97"/>
      <c r="O726" s="97"/>
      <c r="P726" s="97"/>
      <c r="Q726" s="97"/>
      <c r="R726" s="97"/>
      <c r="S726" s="97"/>
      <c r="T726" s="97"/>
      <c r="U726" s="97"/>
    </row>
    <row r="727" spans="1:21">
      <c r="A727" s="126"/>
      <c r="B727" s="127"/>
      <c r="C727" s="97"/>
      <c r="D727" s="519"/>
      <c r="E727" s="96"/>
      <c r="F727" s="97"/>
      <c r="G727" s="97"/>
      <c r="H727" s="97"/>
      <c r="I727" s="97"/>
      <c r="J727" s="97"/>
      <c r="K727" s="97"/>
      <c r="L727" s="97"/>
      <c r="M727" s="97"/>
      <c r="N727" s="97"/>
      <c r="O727" s="97"/>
      <c r="P727" s="97"/>
      <c r="Q727" s="97"/>
      <c r="R727" s="97"/>
      <c r="S727" s="97"/>
      <c r="T727" s="97"/>
      <c r="U727" s="97"/>
    </row>
    <row r="728" spans="1:21">
      <c r="A728" s="126"/>
      <c r="B728" s="127"/>
      <c r="C728" s="97"/>
      <c r="D728" s="519"/>
      <c r="E728" s="96"/>
      <c r="F728" s="97"/>
      <c r="G728" s="97"/>
      <c r="H728" s="97"/>
      <c r="I728" s="97"/>
      <c r="J728" s="97"/>
      <c r="K728" s="97"/>
      <c r="L728" s="97"/>
      <c r="M728" s="97"/>
      <c r="N728" s="97"/>
      <c r="O728" s="97"/>
      <c r="P728" s="97"/>
      <c r="Q728" s="97"/>
      <c r="R728" s="97"/>
      <c r="S728" s="97"/>
      <c r="T728" s="97"/>
      <c r="U728" s="97"/>
    </row>
    <row r="729" spans="1:21">
      <c r="A729" s="126"/>
      <c r="B729" s="127"/>
      <c r="C729" s="97"/>
      <c r="D729" s="519"/>
      <c r="E729" s="96"/>
      <c r="F729" s="97"/>
      <c r="G729" s="97"/>
      <c r="H729" s="97"/>
      <c r="I729" s="97"/>
      <c r="J729" s="97"/>
      <c r="K729" s="97"/>
      <c r="L729" s="97"/>
      <c r="M729" s="97"/>
      <c r="N729" s="97"/>
      <c r="O729" s="97"/>
      <c r="P729" s="97"/>
      <c r="Q729" s="97"/>
      <c r="R729" s="97"/>
      <c r="S729" s="97"/>
      <c r="T729" s="97"/>
      <c r="U729" s="97"/>
    </row>
    <row r="730" spans="1:21">
      <c r="A730" s="126"/>
      <c r="B730" s="127"/>
      <c r="C730" s="97"/>
      <c r="D730" s="519"/>
      <c r="E730" s="96"/>
      <c r="F730" s="97"/>
      <c r="G730" s="97"/>
      <c r="H730" s="97"/>
      <c r="I730" s="97"/>
      <c r="J730" s="97"/>
      <c r="K730" s="97"/>
      <c r="L730" s="97"/>
      <c r="M730" s="97"/>
      <c r="N730" s="97"/>
      <c r="O730" s="97"/>
      <c r="P730" s="97"/>
      <c r="Q730" s="97"/>
      <c r="R730" s="97"/>
      <c r="S730" s="97"/>
      <c r="T730" s="97"/>
      <c r="U730" s="97"/>
    </row>
    <row r="731" spans="1:21">
      <c r="A731" s="126"/>
      <c r="B731" s="127"/>
      <c r="C731" s="97"/>
      <c r="D731" s="519"/>
      <c r="E731" s="96"/>
      <c r="F731" s="97"/>
      <c r="G731" s="97"/>
      <c r="H731" s="97"/>
      <c r="I731" s="97"/>
      <c r="J731" s="97"/>
      <c r="K731" s="97"/>
      <c r="L731" s="97"/>
      <c r="M731" s="97"/>
      <c r="N731" s="97"/>
      <c r="O731" s="97"/>
      <c r="P731" s="97"/>
      <c r="Q731" s="97"/>
      <c r="R731" s="97"/>
      <c r="S731" s="97"/>
      <c r="T731" s="97"/>
      <c r="U731" s="97"/>
    </row>
    <row r="732" spans="1:21">
      <c r="A732" s="126"/>
      <c r="B732" s="127"/>
      <c r="C732" s="97"/>
      <c r="D732" s="519"/>
      <c r="E732" s="96"/>
      <c r="F732" s="97"/>
      <c r="G732" s="97"/>
      <c r="H732" s="97"/>
      <c r="I732" s="97"/>
      <c r="J732" s="97"/>
      <c r="K732" s="97"/>
      <c r="L732" s="97"/>
      <c r="M732" s="97"/>
      <c r="N732" s="97"/>
      <c r="O732" s="97"/>
      <c r="P732" s="97"/>
      <c r="Q732" s="97"/>
      <c r="R732" s="97"/>
      <c r="S732" s="97"/>
      <c r="T732" s="97"/>
      <c r="U732" s="97"/>
    </row>
    <row r="733" spans="1:21">
      <c r="A733" s="126"/>
      <c r="B733" s="127"/>
      <c r="C733" s="97"/>
      <c r="D733" s="519"/>
      <c r="E733" s="96"/>
      <c r="F733" s="97"/>
      <c r="G733" s="97"/>
      <c r="H733" s="97"/>
      <c r="I733" s="97"/>
      <c r="J733" s="97"/>
      <c r="K733" s="97"/>
      <c r="L733" s="97"/>
      <c r="M733" s="97"/>
      <c r="N733" s="97"/>
      <c r="O733" s="97"/>
      <c r="P733" s="97"/>
      <c r="Q733" s="97"/>
      <c r="R733" s="97"/>
      <c r="S733" s="97"/>
      <c r="T733" s="97"/>
      <c r="U733" s="97"/>
    </row>
    <row r="734" spans="1:21">
      <c r="A734" s="126"/>
      <c r="B734" s="127"/>
      <c r="C734" s="97"/>
      <c r="D734" s="519"/>
      <c r="E734" s="96"/>
      <c r="F734" s="97"/>
      <c r="G734" s="97"/>
      <c r="H734" s="97"/>
      <c r="I734" s="97"/>
      <c r="J734" s="97"/>
      <c r="K734" s="97"/>
      <c r="L734" s="97"/>
      <c r="M734" s="97"/>
      <c r="N734" s="97"/>
      <c r="O734" s="97"/>
      <c r="P734" s="97"/>
      <c r="Q734" s="97"/>
      <c r="R734" s="97"/>
      <c r="S734" s="97"/>
      <c r="T734" s="97"/>
      <c r="U734" s="97"/>
    </row>
    <row r="735" spans="1:21">
      <c r="A735" s="126"/>
      <c r="B735" s="127"/>
      <c r="C735" s="97"/>
      <c r="D735" s="519"/>
      <c r="E735" s="96"/>
      <c r="F735" s="97"/>
      <c r="G735" s="97"/>
      <c r="H735" s="97"/>
      <c r="I735" s="97"/>
      <c r="J735" s="97"/>
      <c r="K735" s="97"/>
      <c r="L735" s="97"/>
      <c r="M735" s="97"/>
      <c r="N735" s="97"/>
      <c r="O735" s="97"/>
      <c r="P735" s="97"/>
      <c r="Q735" s="97"/>
      <c r="R735" s="97"/>
      <c r="S735" s="97"/>
      <c r="T735" s="97"/>
      <c r="U735" s="97"/>
    </row>
    <row r="736" spans="1:21">
      <c r="A736" s="126"/>
      <c r="B736" s="127"/>
      <c r="C736" s="97"/>
      <c r="D736" s="519"/>
      <c r="E736" s="96"/>
      <c r="F736" s="97"/>
      <c r="G736" s="97"/>
      <c r="H736" s="97"/>
      <c r="I736" s="97"/>
      <c r="J736" s="97"/>
      <c r="K736" s="97"/>
      <c r="L736" s="97"/>
      <c r="M736" s="97"/>
      <c r="N736" s="97"/>
      <c r="O736" s="97"/>
      <c r="P736" s="97"/>
      <c r="Q736" s="97"/>
      <c r="R736" s="97"/>
      <c r="S736" s="97"/>
      <c r="T736" s="97"/>
      <c r="U736" s="97"/>
    </row>
    <row r="737" spans="1:21">
      <c r="A737" s="126"/>
      <c r="B737" s="127"/>
      <c r="C737" s="97"/>
      <c r="D737" s="519"/>
      <c r="E737" s="96"/>
      <c r="F737" s="97"/>
      <c r="G737" s="97"/>
      <c r="H737" s="97"/>
      <c r="I737" s="97"/>
      <c r="J737" s="97"/>
      <c r="K737" s="97"/>
      <c r="L737" s="97"/>
      <c r="M737" s="97"/>
      <c r="N737" s="97"/>
      <c r="O737" s="97"/>
      <c r="P737" s="97"/>
      <c r="Q737" s="97"/>
      <c r="R737" s="97"/>
      <c r="S737" s="97"/>
      <c r="T737" s="97"/>
      <c r="U737" s="97"/>
    </row>
    <row r="738" spans="1:21">
      <c r="A738" s="126"/>
      <c r="B738" s="127"/>
      <c r="C738" s="97"/>
      <c r="D738" s="519"/>
      <c r="E738" s="96"/>
      <c r="F738" s="97"/>
      <c r="G738" s="97"/>
      <c r="H738" s="97"/>
      <c r="I738" s="97"/>
      <c r="J738" s="97"/>
      <c r="K738" s="97"/>
      <c r="L738" s="97"/>
      <c r="M738" s="97"/>
      <c r="N738" s="97"/>
      <c r="O738" s="97"/>
      <c r="P738" s="97"/>
      <c r="Q738" s="97"/>
      <c r="R738" s="97"/>
      <c r="S738" s="97"/>
      <c r="T738" s="97"/>
      <c r="U738" s="97"/>
    </row>
    <row r="739" spans="1:21">
      <c r="A739" s="126"/>
      <c r="B739" s="127"/>
      <c r="C739" s="97"/>
      <c r="D739" s="519"/>
      <c r="E739" s="96"/>
      <c r="F739" s="97"/>
      <c r="G739" s="97"/>
      <c r="H739" s="97"/>
      <c r="I739" s="97"/>
      <c r="J739" s="97"/>
      <c r="K739" s="97"/>
      <c r="L739" s="97"/>
      <c r="M739" s="97"/>
      <c r="N739" s="97"/>
      <c r="O739" s="97"/>
      <c r="P739" s="97"/>
      <c r="Q739" s="97"/>
      <c r="R739" s="97"/>
      <c r="S739" s="97"/>
      <c r="T739" s="97"/>
      <c r="U739" s="97"/>
    </row>
    <row r="740" spans="1:21">
      <c r="A740" s="126"/>
      <c r="B740" s="127"/>
      <c r="C740" s="97"/>
      <c r="D740" s="519"/>
      <c r="E740" s="96"/>
      <c r="F740" s="97"/>
      <c r="G740" s="97"/>
      <c r="H740" s="97"/>
      <c r="I740" s="97"/>
      <c r="J740" s="97"/>
      <c r="K740" s="97"/>
      <c r="L740" s="97"/>
      <c r="M740" s="97"/>
      <c r="N740" s="97"/>
      <c r="O740" s="97"/>
      <c r="P740" s="97"/>
      <c r="Q740" s="97"/>
      <c r="R740" s="97"/>
      <c r="S740" s="97"/>
      <c r="T740" s="97"/>
      <c r="U740" s="97"/>
    </row>
    <row r="741" spans="1:21">
      <c r="A741" s="126"/>
      <c r="B741" s="127"/>
      <c r="C741" s="97"/>
      <c r="D741" s="519"/>
      <c r="E741" s="96"/>
      <c r="F741" s="97"/>
      <c r="G741" s="97"/>
      <c r="H741" s="97"/>
      <c r="I741" s="97"/>
      <c r="J741" s="97"/>
      <c r="K741" s="97"/>
      <c r="L741" s="97"/>
      <c r="M741" s="97"/>
      <c r="N741" s="97"/>
      <c r="O741" s="97"/>
      <c r="P741" s="97"/>
      <c r="Q741" s="97"/>
      <c r="R741" s="97"/>
      <c r="S741" s="97"/>
      <c r="T741" s="97"/>
      <c r="U741" s="97"/>
    </row>
    <row r="742" spans="1:21">
      <c r="A742" s="126"/>
      <c r="B742" s="127"/>
      <c r="C742" s="97"/>
      <c r="D742" s="519"/>
      <c r="E742" s="96"/>
      <c r="F742" s="97"/>
      <c r="G742" s="97"/>
      <c r="H742" s="97"/>
      <c r="I742" s="97"/>
      <c r="J742" s="97"/>
      <c r="K742" s="97"/>
      <c r="L742" s="97"/>
      <c r="M742" s="97"/>
      <c r="N742" s="97"/>
      <c r="O742" s="97"/>
      <c r="P742" s="97"/>
      <c r="Q742" s="97"/>
      <c r="R742" s="97"/>
      <c r="S742" s="97"/>
      <c r="T742" s="97"/>
      <c r="U742" s="97"/>
    </row>
    <row r="743" spans="1:21">
      <c r="A743" s="126"/>
      <c r="B743" s="127"/>
      <c r="C743" s="97"/>
      <c r="D743" s="519"/>
      <c r="E743" s="96"/>
      <c r="F743" s="97"/>
      <c r="G743" s="97"/>
      <c r="H743" s="97"/>
      <c r="I743" s="97"/>
      <c r="J743" s="97"/>
      <c r="K743" s="97"/>
      <c r="L743" s="97"/>
      <c r="M743" s="97"/>
      <c r="N743" s="97"/>
      <c r="O743" s="97"/>
      <c r="P743" s="97"/>
      <c r="Q743" s="97"/>
      <c r="R743" s="97"/>
      <c r="S743" s="97"/>
      <c r="T743" s="97"/>
      <c r="U743" s="97"/>
    </row>
    <row r="744" spans="1:21">
      <c r="A744" s="126"/>
      <c r="B744" s="127"/>
      <c r="C744" s="97"/>
      <c r="D744" s="519"/>
      <c r="E744" s="96"/>
      <c r="F744" s="97"/>
      <c r="G744" s="97"/>
      <c r="H744" s="97"/>
      <c r="I744" s="97"/>
      <c r="J744" s="97"/>
      <c r="K744" s="97"/>
      <c r="L744" s="97"/>
      <c r="M744" s="97"/>
      <c r="N744" s="97"/>
      <c r="O744" s="97"/>
      <c r="P744" s="97"/>
      <c r="Q744" s="97"/>
      <c r="R744" s="97"/>
      <c r="S744" s="97"/>
      <c r="T744" s="97"/>
      <c r="U744" s="97"/>
    </row>
    <row r="745" spans="1:21">
      <c r="A745" s="126"/>
      <c r="B745" s="127"/>
      <c r="C745" s="97"/>
      <c r="D745" s="519"/>
      <c r="E745" s="96"/>
      <c r="F745" s="97"/>
      <c r="G745" s="97"/>
      <c r="H745" s="97"/>
      <c r="I745" s="97"/>
      <c r="J745" s="97"/>
      <c r="K745" s="97"/>
      <c r="L745" s="97"/>
      <c r="M745" s="97"/>
      <c r="N745" s="97"/>
      <c r="O745" s="97"/>
      <c r="P745" s="97"/>
      <c r="Q745" s="97"/>
      <c r="R745" s="97"/>
      <c r="S745" s="97"/>
      <c r="T745" s="97"/>
      <c r="U745" s="97"/>
    </row>
    <row r="746" spans="1:21">
      <c r="A746" s="126"/>
      <c r="B746" s="127"/>
      <c r="C746" s="97"/>
      <c r="D746" s="519"/>
      <c r="E746" s="96"/>
      <c r="F746" s="97"/>
      <c r="G746" s="97"/>
      <c r="H746" s="97"/>
      <c r="I746" s="97"/>
      <c r="J746" s="97"/>
      <c r="K746" s="97"/>
      <c r="L746" s="97"/>
      <c r="M746" s="97"/>
      <c r="N746" s="97"/>
      <c r="O746" s="97"/>
      <c r="P746" s="97"/>
      <c r="Q746" s="97"/>
      <c r="R746" s="97"/>
      <c r="S746" s="97"/>
      <c r="T746" s="97"/>
      <c r="U746" s="97"/>
    </row>
    <row r="747" spans="1:21">
      <c r="A747" s="126"/>
      <c r="B747" s="127"/>
      <c r="C747" s="97"/>
      <c r="D747" s="519"/>
      <c r="E747" s="96"/>
      <c r="F747" s="97"/>
      <c r="G747" s="97"/>
      <c r="H747" s="97"/>
      <c r="I747" s="97"/>
      <c r="J747" s="97"/>
      <c r="K747" s="97"/>
      <c r="L747" s="97"/>
      <c r="M747" s="97"/>
      <c r="N747" s="97"/>
      <c r="O747" s="97"/>
      <c r="P747" s="97"/>
      <c r="Q747" s="97"/>
      <c r="R747" s="97"/>
      <c r="S747" s="97"/>
      <c r="T747" s="97"/>
      <c r="U747" s="97"/>
    </row>
    <row r="748" spans="1:21">
      <c r="A748" s="126"/>
      <c r="B748" s="127"/>
      <c r="C748" s="97"/>
      <c r="D748" s="519"/>
      <c r="E748" s="96"/>
      <c r="F748" s="97"/>
      <c r="G748" s="97"/>
      <c r="H748" s="97"/>
      <c r="I748" s="97"/>
      <c r="J748" s="97"/>
      <c r="K748" s="97"/>
      <c r="L748" s="97"/>
      <c r="M748" s="97"/>
      <c r="N748" s="97"/>
      <c r="O748" s="97"/>
      <c r="P748" s="97"/>
      <c r="Q748" s="97"/>
      <c r="R748" s="97"/>
      <c r="S748" s="97"/>
      <c r="T748" s="97"/>
      <c r="U748" s="97"/>
    </row>
    <row r="749" spans="1:21">
      <c r="A749" s="126"/>
      <c r="B749" s="127"/>
      <c r="C749" s="97"/>
      <c r="D749" s="519"/>
      <c r="E749" s="96"/>
      <c r="F749" s="97"/>
      <c r="G749" s="97"/>
      <c r="H749" s="97"/>
      <c r="I749" s="97"/>
      <c r="J749" s="97"/>
      <c r="K749" s="97"/>
      <c r="L749" s="97"/>
      <c r="M749" s="97"/>
      <c r="N749" s="97"/>
      <c r="O749" s="97"/>
      <c r="P749" s="97"/>
      <c r="Q749" s="97"/>
      <c r="R749" s="97"/>
      <c r="S749" s="97"/>
      <c r="T749" s="97"/>
      <c r="U749" s="97"/>
    </row>
    <row r="750" spans="1:21">
      <c r="A750" s="126"/>
      <c r="B750" s="127"/>
      <c r="C750" s="97"/>
      <c r="D750" s="519"/>
      <c r="E750" s="96"/>
      <c r="F750" s="97"/>
      <c r="G750" s="97"/>
      <c r="H750" s="97"/>
      <c r="I750" s="97"/>
      <c r="J750" s="97"/>
      <c r="K750" s="97"/>
      <c r="L750" s="97"/>
      <c r="M750" s="97"/>
      <c r="N750" s="97"/>
      <c r="O750" s="97"/>
      <c r="P750" s="97"/>
      <c r="Q750" s="97"/>
      <c r="R750" s="97"/>
      <c r="S750" s="97"/>
      <c r="T750" s="97"/>
      <c r="U750" s="97"/>
    </row>
    <row r="751" spans="1:21">
      <c r="A751" s="126"/>
      <c r="B751" s="127"/>
      <c r="C751" s="97"/>
      <c r="D751" s="519"/>
      <c r="E751" s="96"/>
      <c r="F751" s="97"/>
      <c r="G751" s="97"/>
      <c r="H751" s="97"/>
      <c r="I751" s="97"/>
      <c r="J751" s="97"/>
      <c r="K751" s="97"/>
      <c r="L751" s="97"/>
      <c r="M751" s="97"/>
      <c r="N751" s="97"/>
      <c r="O751" s="97"/>
      <c r="P751" s="97"/>
      <c r="Q751" s="97"/>
      <c r="R751" s="97"/>
      <c r="S751" s="97"/>
      <c r="T751" s="97"/>
      <c r="U751" s="97"/>
    </row>
    <row r="752" spans="1:21">
      <c r="A752" s="126"/>
      <c r="B752" s="127"/>
      <c r="C752" s="97"/>
      <c r="D752" s="519"/>
      <c r="E752" s="96"/>
      <c r="F752" s="97"/>
      <c r="G752" s="97"/>
      <c r="H752" s="97"/>
      <c r="I752" s="97"/>
      <c r="J752" s="97"/>
      <c r="K752" s="97"/>
      <c r="L752" s="97"/>
      <c r="M752" s="97"/>
      <c r="N752" s="97"/>
      <c r="O752" s="97"/>
      <c r="P752" s="97"/>
      <c r="Q752" s="97"/>
      <c r="R752" s="97"/>
      <c r="S752" s="97"/>
      <c r="T752" s="97"/>
      <c r="U752" s="97"/>
    </row>
    <row r="753" spans="1:21">
      <c r="A753" s="126"/>
      <c r="B753" s="127"/>
      <c r="C753" s="97"/>
      <c r="D753" s="519"/>
      <c r="E753" s="96"/>
      <c r="F753" s="97"/>
      <c r="G753" s="97"/>
      <c r="H753" s="97"/>
      <c r="I753" s="97"/>
      <c r="J753" s="97"/>
      <c r="K753" s="97"/>
      <c r="L753" s="97"/>
      <c r="M753" s="97"/>
      <c r="N753" s="97"/>
      <c r="O753" s="97"/>
      <c r="P753" s="97"/>
      <c r="Q753" s="97"/>
      <c r="R753" s="97"/>
      <c r="S753" s="97"/>
      <c r="T753" s="97"/>
      <c r="U753" s="97"/>
    </row>
    <row r="754" spans="1:21">
      <c r="A754" s="126"/>
      <c r="B754" s="127"/>
      <c r="C754" s="97"/>
      <c r="D754" s="519"/>
      <c r="E754" s="96"/>
      <c r="F754" s="97"/>
      <c r="G754" s="97"/>
      <c r="H754" s="97"/>
      <c r="I754" s="97"/>
      <c r="J754" s="97"/>
      <c r="K754" s="97"/>
      <c r="L754" s="97"/>
      <c r="M754" s="97"/>
      <c r="N754" s="97"/>
      <c r="O754" s="97"/>
      <c r="P754" s="97"/>
      <c r="Q754" s="97"/>
      <c r="R754" s="97"/>
      <c r="S754" s="97"/>
      <c r="T754" s="97"/>
      <c r="U754" s="97"/>
    </row>
    <row r="755" spans="1:21">
      <c r="A755" s="126"/>
      <c r="B755" s="127"/>
      <c r="C755" s="97"/>
      <c r="D755" s="519"/>
      <c r="E755" s="96"/>
      <c r="F755" s="97"/>
      <c r="G755" s="97"/>
      <c r="H755" s="97"/>
      <c r="I755" s="97"/>
      <c r="J755" s="97"/>
      <c r="K755" s="97"/>
      <c r="L755" s="97"/>
      <c r="M755" s="97"/>
      <c r="N755" s="97"/>
      <c r="O755" s="97"/>
      <c r="P755" s="97"/>
      <c r="Q755" s="97"/>
      <c r="R755" s="97"/>
      <c r="S755" s="97"/>
      <c r="T755" s="97"/>
      <c r="U755" s="97"/>
    </row>
    <row r="756" spans="1:21">
      <c r="A756" s="126"/>
      <c r="B756" s="127"/>
      <c r="C756" s="97"/>
      <c r="D756" s="519"/>
      <c r="E756" s="96"/>
      <c r="F756" s="97"/>
      <c r="G756" s="97"/>
      <c r="H756" s="97"/>
      <c r="I756" s="97"/>
      <c r="J756" s="97"/>
      <c r="K756" s="97"/>
      <c r="L756" s="97"/>
      <c r="M756" s="97"/>
      <c r="N756" s="97"/>
      <c r="O756" s="97"/>
      <c r="P756" s="97"/>
      <c r="Q756" s="97"/>
      <c r="R756" s="97"/>
      <c r="S756" s="97"/>
      <c r="T756" s="97"/>
      <c r="U756" s="97"/>
    </row>
    <row r="757" spans="1:21">
      <c r="A757" s="126"/>
      <c r="B757" s="127"/>
      <c r="C757" s="97"/>
      <c r="D757" s="519"/>
      <c r="E757" s="96"/>
      <c r="F757" s="97"/>
      <c r="G757" s="97"/>
      <c r="H757" s="97"/>
      <c r="I757" s="97"/>
      <c r="J757" s="97"/>
      <c r="K757" s="97"/>
      <c r="L757" s="97"/>
      <c r="M757" s="97"/>
      <c r="N757" s="97"/>
      <c r="O757" s="97"/>
      <c r="P757" s="97"/>
      <c r="Q757" s="97"/>
      <c r="R757" s="97"/>
      <c r="S757" s="97"/>
      <c r="T757" s="97"/>
      <c r="U757" s="97"/>
    </row>
    <row r="758" spans="1:21">
      <c r="A758" s="126"/>
      <c r="B758" s="127"/>
      <c r="C758" s="97"/>
      <c r="D758" s="519"/>
      <c r="E758" s="96"/>
      <c r="F758" s="97"/>
      <c r="G758" s="97"/>
      <c r="H758" s="97"/>
      <c r="I758" s="97"/>
      <c r="J758" s="97"/>
      <c r="K758" s="97"/>
      <c r="L758" s="97"/>
      <c r="M758" s="97"/>
      <c r="N758" s="97"/>
      <c r="O758" s="97"/>
      <c r="P758" s="97"/>
      <c r="Q758" s="97"/>
      <c r="R758" s="97"/>
      <c r="S758" s="97"/>
      <c r="T758" s="97"/>
      <c r="U758" s="97"/>
    </row>
    <row r="759" spans="1:21">
      <c r="A759" s="126"/>
      <c r="B759" s="127"/>
      <c r="C759" s="97"/>
      <c r="D759" s="519"/>
      <c r="E759" s="96"/>
      <c r="F759" s="97"/>
      <c r="G759" s="97"/>
      <c r="H759" s="97"/>
      <c r="I759" s="97"/>
      <c r="J759" s="97"/>
      <c r="K759" s="97"/>
      <c r="L759" s="97"/>
      <c r="M759" s="97"/>
      <c r="N759" s="97"/>
      <c r="O759" s="97"/>
      <c r="P759" s="97"/>
      <c r="Q759" s="97"/>
      <c r="R759" s="97"/>
      <c r="S759" s="97"/>
      <c r="T759" s="97"/>
      <c r="U759" s="97"/>
    </row>
    <row r="760" spans="1:21">
      <c r="A760" s="126"/>
      <c r="B760" s="127"/>
      <c r="C760" s="97"/>
      <c r="D760" s="519"/>
      <c r="E760" s="96"/>
      <c r="F760" s="97"/>
      <c r="G760" s="97"/>
      <c r="H760" s="97"/>
      <c r="I760" s="97"/>
      <c r="J760" s="97"/>
      <c r="K760" s="97"/>
      <c r="L760" s="97"/>
      <c r="M760" s="97"/>
      <c r="N760" s="97"/>
      <c r="O760" s="97"/>
      <c r="P760" s="97"/>
      <c r="Q760" s="97"/>
      <c r="R760" s="97"/>
      <c r="S760" s="97"/>
      <c r="T760" s="97"/>
      <c r="U760" s="97"/>
    </row>
    <row r="761" spans="1:21">
      <c r="A761" s="126"/>
      <c r="B761" s="127"/>
      <c r="C761" s="97"/>
      <c r="D761" s="519"/>
      <c r="E761" s="96"/>
      <c r="F761" s="97"/>
      <c r="G761" s="97"/>
      <c r="H761" s="97"/>
      <c r="I761" s="97"/>
      <c r="J761" s="97"/>
      <c r="K761" s="97"/>
      <c r="L761" s="97"/>
      <c r="M761" s="97"/>
      <c r="N761" s="97"/>
      <c r="O761" s="97"/>
      <c r="P761" s="97"/>
      <c r="Q761" s="97"/>
      <c r="R761" s="97"/>
      <c r="S761" s="97"/>
      <c r="T761" s="97"/>
      <c r="U761" s="97"/>
    </row>
    <row r="762" spans="1:21">
      <c r="A762" s="126"/>
      <c r="B762" s="127"/>
      <c r="C762" s="97"/>
      <c r="D762" s="519"/>
      <c r="E762" s="96"/>
      <c r="F762" s="97"/>
      <c r="G762" s="97"/>
      <c r="H762" s="97"/>
      <c r="I762" s="97"/>
      <c r="J762" s="97"/>
      <c r="K762" s="97"/>
      <c r="L762" s="97"/>
      <c r="M762" s="97"/>
      <c r="N762" s="97"/>
      <c r="O762" s="97"/>
      <c r="P762" s="97"/>
      <c r="Q762" s="97"/>
      <c r="R762" s="97"/>
      <c r="S762" s="97"/>
      <c r="T762" s="97"/>
      <c r="U762" s="97"/>
    </row>
    <row r="763" spans="1:21">
      <c r="A763" s="126"/>
      <c r="B763" s="127"/>
      <c r="C763" s="97"/>
      <c r="D763" s="519"/>
      <c r="E763" s="96"/>
      <c r="F763" s="97"/>
      <c r="G763" s="97"/>
      <c r="H763" s="97"/>
      <c r="I763" s="97"/>
      <c r="J763" s="97"/>
      <c r="K763" s="97"/>
      <c r="L763" s="97"/>
      <c r="M763" s="97"/>
      <c r="N763" s="97"/>
      <c r="O763" s="97"/>
      <c r="P763" s="97"/>
      <c r="Q763" s="97"/>
      <c r="R763" s="97"/>
      <c r="S763" s="97"/>
      <c r="T763" s="97"/>
      <c r="U763" s="97"/>
    </row>
    <row r="764" spans="1:21">
      <c r="A764" s="126"/>
      <c r="B764" s="127"/>
      <c r="C764" s="97"/>
      <c r="D764" s="519"/>
      <c r="E764" s="96"/>
      <c r="F764" s="97"/>
      <c r="G764" s="97"/>
      <c r="H764" s="97"/>
      <c r="I764" s="97"/>
      <c r="J764" s="97"/>
      <c r="K764" s="97"/>
      <c r="L764" s="97"/>
      <c r="M764" s="97"/>
      <c r="N764" s="97"/>
      <c r="O764" s="97"/>
      <c r="P764" s="97"/>
      <c r="Q764" s="97"/>
      <c r="R764" s="97"/>
      <c r="S764" s="97"/>
      <c r="T764" s="97"/>
      <c r="U764" s="97"/>
    </row>
    <row r="765" spans="1:21">
      <c r="A765" s="126"/>
      <c r="B765" s="127"/>
      <c r="C765" s="97"/>
      <c r="D765" s="519"/>
      <c r="E765" s="96"/>
      <c r="F765" s="97"/>
      <c r="G765" s="97"/>
      <c r="H765" s="97"/>
      <c r="I765" s="97"/>
      <c r="J765" s="97"/>
      <c r="K765" s="97"/>
      <c r="L765" s="97"/>
      <c r="M765" s="97"/>
      <c r="N765" s="97"/>
      <c r="O765" s="97"/>
      <c r="P765" s="97"/>
      <c r="Q765" s="97"/>
      <c r="R765" s="97"/>
      <c r="S765" s="97"/>
      <c r="T765" s="97"/>
      <c r="U765" s="97"/>
    </row>
    <row r="766" spans="1:21">
      <c r="A766" s="126"/>
      <c r="B766" s="127"/>
      <c r="C766" s="97"/>
      <c r="D766" s="519"/>
      <c r="E766" s="96"/>
      <c r="F766" s="97"/>
      <c r="G766" s="97"/>
      <c r="H766" s="97"/>
      <c r="I766" s="97"/>
      <c r="J766" s="97"/>
      <c r="K766" s="97"/>
      <c r="L766" s="97"/>
      <c r="M766" s="97"/>
      <c r="N766" s="97"/>
      <c r="O766" s="97"/>
      <c r="P766" s="97"/>
      <c r="Q766" s="97"/>
      <c r="R766" s="97"/>
      <c r="S766" s="97"/>
      <c r="T766" s="97"/>
      <c r="U766" s="97"/>
    </row>
    <row r="767" spans="1:21">
      <c r="A767" s="126"/>
      <c r="B767" s="127"/>
      <c r="C767" s="97"/>
      <c r="D767" s="519"/>
      <c r="E767" s="96"/>
      <c r="F767" s="97"/>
      <c r="G767" s="97"/>
      <c r="H767" s="97"/>
      <c r="I767" s="97"/>
      <c r="J767" s="97"/>
      <c r="K767" s="97"/>
      <c r="L767" s="97"/>
      <c r="M767" s="97"/>
      <c r="N767" s="97"/>
      <c r="O767" s="97"/>
      <c r="P767" s="97"/>
      <c r="Q767" s="97"/>
      <c r="R767" s="97"/>
      <c r="S767" s="97"/>
      <c r="T767" s="97"/>
      <c r="U767" s="97"/>
    </row>
    <row r="768" spans="1:21">
      <c r="A768" s="126"/>
      <c r="B768" s="127"/>
      <c r="C768" s="97"/>
      <c r="D768" s="519"/>
      <c r="E768" s="96"/>
      <c r="F768" s="97"/>
      <c r="G768" s="97"/>
      <c r="H768" s="97"/>
      <c r="I768" s="97"/>
      <c r="J768" s="97"/>
      <c r="K768" s="97"/>
      <c r="L768" s="97"/>
      <c r="M768" s="97"/>
      <c r="N768" s="97"/>
      <c r="O768" s="97"/>
      <c r="P768" s="97"/>
      <c r="Q768" s="97"/>
      <c r="R768" s="97"/>
      <c r="S768" s="97"/>
      <c r="T768" s="97"/>
      <c r="U768" s="97"/>
    </row>
    <row r="769" spans="1:21">
      <c r="A769" s="126"/>
      <c r="B769" s="127"/>
      <c r="C769" s="97"/>
      <c r="D769" s="519"/>
      <c r="E769" s="96"/>
      <c r="F769" s="97"/>
      <c r="G769" s="97"/>
      <c r="H769" s="97"/>
      <c r="I769" s="97"/>
      <c r="J769" s="97"/>
      <c r="K769" s="97"/>
      <c r="L769" s="97"/>
      <c r="M769" s="97"/>
      <c r="N769" s="97"/>
      <c r="O769" s="97"/>
      <c r="P769" s="97"/>
      <c r="Q769" s="97"/>
      <c r="R769" s="97"/>
      <c r="S769" s="97"/>
      <c r="T769" s="97"/>
      <c r="U769" s="97"/>
    </row>
    <row r="770" spans="1:21">
      <c r="A770" s="126"/>
      <c r="B770" s="127"/>
      <c r="C770" s="97"/>
      <c r="D770" s="519"/>
      <c r="E770" s="96"/>
      <c r="F770" s="97"/>
      <c r="G770" s="97"/>
      <c r="H770" s="97"/>
      <c r="I770" s="97"/>
      <c r="J770" s="97"/>
      <c r="K770" s="97"/>
      <c r="L770" s="97"/>
      <c r="M770" s="97"/>
      <c r="N770" s="97"/>
      <c r="O770" s="97"/>
      <c r="P770" s="97"/>
      <c r="Q770" s="97"/>
      <c r="R770" s="97"/>
      <c r="S770" s="97"/>
      <c r="T770" s="97"/>
      <c r="U770" s="97"/>
    </row>
    <row r="771" spans="1:21">
      <c r="A771" s="126"/>
      <c r="B771" s="127"/>
      <c r="C771" s="97"/>
      <c r="D771" s="519"/>
      <c r="E771" s="96"/>
      <c r="F771" s="97"/>
      <c r="G771" s="97"/>
      <c r="H771" s="97"/>
      <c r="I771" s="97"/>
      <c r="J771" s="97"/>
      <c r="K771" s="97"/>
      <c r="L771" s="97"/>
      <c r="M771" s="97"/>
      <c r="N771" s="97"/>
      <c r="O771" s="97"/>
      <c r="P771" s="97"/>
      <c r="Q771" s="97"/>
      <c r="R771" s="97"/>
      <c r="S771" s="97"/>
      <c r="T771" s="97"/>
      <c r="U771" s="97"/>
    </row>
    <row r="772" spans="1:21">
      <c r="A772" s="126"/>
      <c r="B772" s="127"/>
      <c r="C772" s="97"/>
      <c r="D772" s="519"/>
      <c r="E772" s="96"/>
      <c r="F772" s="97"/>
      <c r="G772" s="97"/>
      <c r="H772" s="97"/>
      <c r="I772" s="97"/>
      <c r="J772" s="97"/>
      <c r="K772" s="97"/>
      <c r="L772" s="97"/>
      <c r="M772" s="97"/>
      <c r="N772" s="97"/>
      <c r="O772" s="97"/>
      <c r="P772" s="97"/>
      <c r="Q772" s="97"/>
      <c r="R772" s="97"/>
      <c r="S772" s="97"/>
      <c r="T772" s="97"/>
      <c r="U772" s="97"/>
    </row>
    <row r="773" spans="1:21">
      <c r="A773" s="126"/>
      <c r="B773" s="127"/>
      <c r="C773" s="97"/>
      <c r="D773" s="519"/>
      <c r="E773" s="96"/>
      <c r="F773" s="97"/>
      <c r="G773" s="97"/>
      <c r="H773" s="97"/>
      <c r="I773" s="97"/>
      <c r="J773" s="97"/>
      <c r="K773" s="97"/>
      <c r="L773" s="97"/>
      <c r="M773" s="97"/>
      <c r="N773" s="97"/>
      <c r="O773" s="97"/>
      <c r="P773" s="97"/>
      <c r="Q773" s="97"/>
      <c r="R773" s="97"/>
      <c r="S773" s="97"/>
      <c r="T773" s="97"/>
      <c r="U773" s="97"/>
    </row>
    <row r="774" spans="1:21">
      <c r="A774" s="126"/>
      <c r="B774" s="127"/>
      <c r="C774" s="97"/>
      <c r="D774" s="519"/>
      <c r="E774" s="96"/>
      <c r="F774" s="97"/>
      <c r="G774" s="97"/>
      <c r="H774" s="97"/>
      <c r="I774" s="97"/>
      <c r="J774" s="97"/>
      <c r="K774" s="97"/>
      <c r="L774" s="97"/>
      <c r="M774" s="97"/>
      <c r="N774" s="97"/>
      <c r="O774" s="97"/>
      <c r="P774" s="97"/>
      <c r="Q774" s="97"/>
      <c r="R774" s="97"/>
      <c r="S774" s="97"/>
      <c r="T774" s="97"/>
      <c r="U774" s="97"/>
    </row>
    <row r="775" spans="1:21">
      <c r="A775" s="126"/>
      <c r="B775" s="127"/>
      <c r="C775" s="97"/>
      <c r="D775" s="519"/>
      <c r="E775" s="96"/>
      <c r="F775" s="97"/>
      <c r="G775" s="97"/>
      <c r="H775" s="97"/>
      <c r="I775" s="97"/>
      <c r="J775" s="97"/>
      <c r="K775" s="97"/>
      <c r="L775" s="97"/>
      <c r="M775" s="97"/>
      <c r="N775" s="97"/>
      <c r="O775" s="97"/>
      <c r="P775" s="97"/>
      <c r="Q775" s="97"/>
      <c r="R775" s="97"/>
      <c r="S775" s="97"/>
      <c r="T775" s="97"/>
      <c r="U775" s="97"/>
    </row>
    <row r="776" spans="1:21">
      <c r="A776" s="126"/>
      <c r="B776" s="127"/>
      <c r="C776" s="97"/>
      <c r="D776" s="519"/>
      <c r="E776" s="96"/>
      <c r="F776" s="97"/>
      <c r="G776" s="97"/>
      <c r="H776" s="97"/>
      <c r="I776" s="97"/>
      <c r="J776" s="97"/>
      <c r="K776" s="97"/>
      <c r="L776" s="97"/>
      <c r="M776" s="97"/>
      <c r="N776" s="97"/>
      <c r="O776" s="97"/>
      <c r="P776" s="97"/>
      <c r="Q776" s="97"/>
      <c r="R776" s="97"/>
      <c r="S776" s="97"/>
      <c r="T776" s="97"/>
      <c r="U776" s="97"/>
    </row>
    <row r="777" spans="1:21">
      <c r="A777" s="126"/>
      <c r="B777" s="127"/>
      <c r="C777" s="97"/>
      <c r="D777" s="519"/>
      <c r="E777" s="96"/>
      <c r="F777" s="97"/>
      <c r="G777" s="97"/>
      <c r="H777" s="97"/>
      <c r="I777" s="97"/>
      <c r="J777" s="97"/>
      <c r="K777" s="97"/>
      <c r="L777" s="97"/>
      <c r="M777" s="97"/>
      <c r="N777" s="97"/>
      <c r="O777" s="97"/>
      <c r="P777" s="97"/>
      <c r="Q777" s="97"/>
      <c r="R777" s="97"/>
      <c r="S777" s="97"/>
      <c r="T777" s="97"/>
      <c r="U777" s="97"/>
    </row>
    <row r="778" spans="1:21">
      <c r="A778" s="126"/>
      <c r="B778" s="127"/>
      <c r="C778" s="97"/>
      <c r="D778" s="519"/>
      <c r="E778" s="96"/>
      <c r="F778" s="97"/>
      <c r="G778" s="97"/>
      <c r="H778" s="97"/>
      <c r="I778" s="97"/>
      <c r="J778" s="97"/>
      <c r="K778" s="97"/>
      <c r="L778" s="97"/>
      <c r="M778" s="97"/>
      <c r="N778" s="97"/>
      <c r="O778" s="97"/>
      <c r="P778" s="97"/>
      <c r="Q778" s="97"/>
      <c r="R778" s="97"/>
      <c r="S778" s="97"/>
      <c r="T778" s="97"/>
      <c r="U778" s="97"/>
    </row>
    <row r="779" spans="1:21">
      <c r="A779" s="126"/>
      <c r="B779" s="127"/>
      <c r="C779" s="97"/>
      <c r="D779" s="519"/>
      <c r="E779" s="96"/>
      <c r="F779" s="97"/>
      <c r="G779" s="97"/>
      <c r="H779" s="97"/>
      <c r="I779" s="97"/>
      <c r="J779" s="97"/>
      <c r="K779" s="97"/>
      <c r="L779" s="97"/>
      <c r="M779" s="97"/>
      <c r="N779" s="97"/>
      <c r="O779" s="97"/>
      <c r="P779" s="97"/>
      <c r="Q779" s="97"/>
      <c r="R779" s="97"/>
      <c r="S779" s="97"/>
      <c r="T779" s="97"/>
      <c r="U779" s="97"/>
    </row>
    <row r="780" spans="1:21">
      <c r="A780" s="126"/>
      <c r="B780" s="127"/>
      <c r="C780" s="97"/>
      <c r="D780" s="519"/>
      <c r="E780" s="96"/>
      <c r="F780" s="97"/>
      <c r="G780" s="97"/>
      <c r="H780" s="97"/>
      <c r="I780" s="97"/>
      <c r="J780" s="97"/>
      <c r="K780" s="97"/>
      <c r="L780" s="97"/>
      <c r="M780" s="97"/>
      <c r="N780" s="97"/>
      <c r="O780" s="97"/>
      <c r="P780" s="97"/>
      <c r="Q780" s="97"/>
      <c r="R780" s="97"/>
      <c r="S780" s="97"/>
      <c r="T780" s="97"/>
      <c r="U780" s="97"/>
    </row>
    <row r="781" spans="1:21">
      <c r="A781" s="126"/>
      <c r="B781" s="127"/>
      <c r="C781" s="97"/>
      <c r="D781" s="519"/>
      <c r="E781" s="96"/>
      <c r="F781" s="97"/>
      <c r="G781" s="97"/>
      <c r="H781" s="97"/>
      <c r="I781" s="97"/>
      <c r="J781" s="97"/>
      <c r="K781" s="97"/>
      <c r="L781" s="97"/>
      <c r="M781" s="97"/>
      <c r="N781" s="97"/>
      <c r="O781" s="97"/>
      <c r="P781" s="97"/>
      <c r="Q781" s="97"/>
      <c r="R781" s="97"/>
      <c r="S781" s="97"/>
      <c r="T781" s="97"/>
      <c r="U781" s="97"/>
    </row>
    <row r="782" spans="1:21">
      <c r="A782" s="126"/>
      <c r="B782" s="127"/>
      <c r="C782" s="97"/>
      <c r="D782" s="519"/>
      <c r="E782" s="96"/>
      <c r="F782" s="97"/>
      <c r="G782" s="97"/>
      <c r="H782" s="97"/>
      <c r="I782" s="97"/>
      <c r="J782" s="97"/>
      <c r="K782" s="97"/>
      <c r="L782" s="97"/>
      <c r="M782" s="97"/>
      <c r="N782" s="97"/>
      <c r="O782" s="97"/>
      <c r="P782" s="97"/>
      <c r="Q782" s="97"/>
      <c r="R782" s="97"/>
      <c r="S782" s="97"/>
      <c r="T782" s="97"/>
      <c r="U782" s="97"/>
    </row>
    <row r="783" spans="1:21">
      <c r="A783" s="126"/>
      <c r="B783" s="127"/>
      <c r="C783" s="97"/>
      <c r="D783" s="519"/>
      <c r="E783" s="96"/>
      <c r="F783" s="97"/>
      <c r="G783" s="97"/>
      <c r="H783" s="97"/>
      <c r="I783" s="97"/>
      <c r="J783" s="97"/>
      <c r="K783" s="97"/>
      <c r="L783" s="97"/>
      <c r="M783" s="97"/>
      <c r="N783" s="97"/>
      <c r="O783" s="97"/>
      <c r="P783" s="97"/>
      <c r="Q783" s="97"/>
      <c r="R783" s="97"/>
      <c r="S783" s="97"/>
      <c r="T783" s="97"/>
      <c r="U783" s="97"/>
    </row>
    <row r="784" spans="1:21">
      <c r="A784" s="126"/>
      <c r="B784" s="127"/>
      <c r="C784" s="97"/>
      <c r="D784" s="519"/>
      <c r="E784" s="96"/>
      <c r="F784" s="97"/>
      <c r="G784" s="97"/>
      <c r="H784" s="97"/>
      <c r="I784" s="97"/>
      <c r="J784" s="97"/>
      <c r="K784" s="97"/>
      <c r="L784" s="97"/>
      <c r="M784" s="97"/>
      <c r="N784" s="97"/>
      <c r="O784" s="97"/>
      <c r="P784" s="97"/>
      <c r="Q784" s="97"/>
      <c r="R784" s="97"/>
      <c r="S784" s="97"/>
      <c r="T784" s="97"/>
      <c r="U784" s="97"/>
    </row>
    <row r="785" spans="1:21">
      <c r="A785" s="126"/>
      <c r="B785" s="127"/>
      <c r="C785" s="97"/>
      <c r="D785" s="519"/>
      <c r="E785" s="96"/>
      <c r="F785" s="97"/>
      <c r="G785" s="97"/>
      <c r="H785" s="97"/>
      <c r="I785" s="97"/>
      <c r="J785" s="97"/>
      <c r="K785" s="97"/>
      <c r="L785" s="97"/>
      <c r="M785" s="97"/>
      <c r="N785" s="97"/>
      <c r="O785" s="97"/>
      <c r="P785" s="97"/>
      <c r="Q785" s="97"/>
      <c r="R785" s="97"/>
      <c r="S785" s="97"/>
      <c r="T785" s="97"/>
      <c r="U785" s="97"/>
    </row>
    <row r="786" spans="1:21">
      <c r="A786" s="126"/>
      <c r="B786" s="127"/>
      <c r="C786" s="97"/>
      <c r="D786" s="519"/>
      <c r="E786" s="96"/>
      <c r="F786" s="97"/>
      <c r="G786" s="97"/>
      <c r="H786" s="97"/>
      <c r="I786" s="97"/>
      <c r="J786" s="97"/>
      <c r="K786" s="97"/>
      <c r="L786" s="97"/>
      <c r="M786" s="97"/>
      <c r="N786" s="97"/>
      <c r="O786" s="97"/>
      <c r="P786" s="97"/>
      <c r="Q786" s="97"/>
      <c r="R786" s="97"/>
      <c r="S786" s="97"/>
      <c r="T786" s="97"/>
      <c r="U786" s="97"/>
    </row>
    <row r="787" spans="1:21">
      <c r="A787" s="126"/>
      <c r="B787" s="127"/>
      <c r="C787" s="97"/>
      <c r="D787" s="519"/>
      <c r="E787" s="96"/>
      <c r="F787" s="97"/>
      <c r="G787" s="97"/>
      <c r="H787" s="97"/>
      <c r="I787" s="97"/>
      <c r="J787" s="97"/>
      <c r="K787" s="97"/>
      <c r="L787" s="97"/>
      <c r="M787" s="97"/>
      <c r="N787" s="97"/>
      <c r="O787" s="97"/>
      <c r="P787" s="97"/>
      <c r="Q787" s="97"/>
      <c r="R787" s="97"/>
      <c r="S787" s="97"/>
      <c r="T787" s="97"/>
      <c r="U787" s="97"/>
    </row>
    <row r="788" spans="1:21">
      <c r="A788" s="126"/>
      <c r="B788" s="127"/>
      <c r="C788" s="97"/>
      <c r="D788" s="519"/>
      <c r="E788" s="96"/>
      <c r="F788" s="97"/>
      <c r="G788" s="97"/>
      <c r="H788" s="97"/>
      <c r="I788" s="97"/>
      <c r="J788" s="97"/>
      <c r="K788" s="97"/>
      <c r="L788" s="97"/>
      <c r="M788" s="97"/>
      <c r="N788" s="97"/>
      <c r="O788" s="97"/>
      <c r="P788" s="97"/>
      <c r="Q788" s="97"/>
      <c r="R788" s="97"/>
      <c r="S788" s="97"/>
      <c r="T788" s="97"/>
      <c r="U788" s="97"/>
    </row>
    <row r="789" spans="1:21">
      <c r="A789" s="126"/>
      <c r="B789" s="127"/>
      <c r="C789" s="97"/>
      <c r="D789" s="519"/>
      <c r="E789" s="96"/>
      <c r="F789" s="97"/>
      <c r="G789" s="97"/>
      <c r="H789" s="97"/>
      <c r="I789" s="97"/>
      <c r="J789" s="97"/>
      <c r="K789" s="97"/>
      <c r="L789" s="97"/>
      <c r="M789" s="97"/>
      <c r="N789" s="97"/>
      <c r="O789" s="97"/>
      <c r="P789" s="97"/>
      <c r="Q789" s="97"/>
      <c r="R789" s="97"/>
      <c r="S789" s="97"/>
      <c r="T789" s="97"/>
      <c r="U789" s="97"/>
    </row>
    <row r="790" spans="1:21">
      <c r="A790" s="126"/>
      <c r="B790" s="127"/>
      <c r="C790" s="97"/>
      <c r="D790" s="519"/>
      <c r="E790" s="96"/>
      <c r="F790" s="97"/>
      <c r="G790" s="97"/>
      <c r="H790" s="97"/>
      <c r="I790" s="97"/>
      <c r="J790" s="97"/>
      <c r="K790" s="97"/>
      <c r="L790" s="97"/>
      <c r="M790" s="97"/>
      <c r="N790" s="97"/>
      <c r="O790" s="97"/>
      <c r="P790" s="97"/>
      <c r="Q790" s="97"/>
      <c r="R790" s="97"/>
      <c r="S790" s="97"/>
      <c r="T790" s="97"/>
      <c r="U790" s="97"/>
    </row>
    <row r="791" spans="1:21">
      <c r="A791" s="126"/>
      <c r="B791" s="127"/>
      <c r="C791" s="97"/>
      <c r="D791" s="519"/>
      <c r="E791" s="96"/>
      <c r="F791" s="97"/>
      <c r="G791" s="97"/>
      <c r="H791" s="97"/>
      <c r="I791" s="97"/>
      <c r="J791" s="97"/>
      <c r="K791" s="97"/>
      <c r="L791" s="97"/>
      <c r="M791" s="97"/>
      <c r="N791" s="97"/>
      <c r="O791" s="97"/>
      <c r="P791" s="97"/>
      <c r="Q791" s="97"/>
      <c r="R791" s="97"/>
      <c r="S791" s="97"/>
      <c r="T791" s="97"/>
      <c r="U791" s="97"/>
    </row>
    <row r="792" spans="1:21">
      <c r="A792" s="126"/>
      <c r="B792" s="127"/>
      <c r="C792" s="97"/>
      <c r="D792" s="519"/>
      <c r="E792" s="96"/>
      <c r="F792" s="97"/>
      <c r="G792" s="97"/>
      <c r="H792" s="97"/>
      <c r="I792" s="97"/>
      <c r="J792" s="97"/>
      <c r="K792" s="97"/>
      <c r="L792" s="97"/>
      <c r="M792" s="97"/>
      <c r="N792" s="97"/>
      <c r="O792" s="97"/>
      <c r="P792" s="97"/>
      <c r="Q792" s="97"/>
      <c r="R792" s="97"/>
      <c r="S792" s="97"/>
      <c r="T792" s="97"/>
      <c r="U792" s="97"/>
    </row>
    <row r="793" spans="1:21">
      <c r="A793" s="126"/>
      <c r="B793" s="127"/>
      <c r="C793" s="97"/>
      <c r="D793" s="519"/>
      <c r="E793" s="96"/>
      <c r="F793" s="97"/>
      <c r="G793" s="97"/>
      <c r="H793" s="97"/>
      <c r="I793" s="97"/>
      <c r="J793" s="97"/>
      <c r="K793" s="97"/>
      <c r="L793" s="97"/>
      <c r="M793" s="97"/>
      <c r="N793" s="97"/>
      <c r="O793" s="97"/>
      <c r="P793" s="97"/>
      <c r="Q793" s="97"/>
      <c r="R793" s="97"/>
      <c r="S793" s="97"/>
      <c r="T793" s="97"/>
      <c r="U793" s="97"/>
    </row>
    <row r="794" spans="1:21">
      <c r="A794" s="126"/>
      <c r="B794" s="127"/>
      <c r="C794" s="97"/>
      <c r="D794" s="519"/>
      <c r="E794" s="96"/>
      <c r="F794" s="97"/>
      <c r="G794" s="97"/>
      <c r="H794" s="97"/>
      <c r="I794" s="97"/>
      <c r="J794" s="97"/>
      <c r="K794" s="97"/>
      <c r="L794" s="97"/>
      <c r="M794" s="97"/>
      <c r="N794" s="97"/>
      <c r="O794" s="97"/>
      <c r="P794" s="97"/>
      <c r="Q794" s="97"/>
      <c r="R794" s="97"/>
      <c r="S794" s="97"/>
      <c r="T794" s="97"/>
      <c r="U794" s="97"/>
    </row>
    <row r="795" spans="1:21">
      <c r="A795" s="126"/>
      <c r="B795" s="127"/>
      <c r="C795" s="97"/>
      <c r="D795" s="519"/>
      <c r="E795" s="96"/>
      <c r="F795" s="97"/>
      <c r="G795" s="97"/>
      <c r="H795" s="97"/>
      <c r="I795" s="97"/>
      <c r="J795" s="97"/>
      <c r="K795" s="97"/>
      <c r="L795" s="97"/>
      <c r="M795" s="97"/>
      <c r="N795" s="97"/>
      <c r="O795" s="97"/>
      <c r="P795" s="97"/>
      <c r="Q795" s="97"/>
      <c r="R795" s="97"/>
      <c r="S795" s="97"/>
      <c r="T795" s="97"/>
      <c r="U795" s="97"/>
    </row>
    <row r="796" spans="1:21">
      <c r="A796" s="126"/>
      <c r="B796" s="127"/>
      <c r="C796" s="97"/>
      <c r="D796" s="519"/>
      <c r="E796" s="96"/>
      <c r="F796" s="97"/>
      <c r="G796" s="97"/>
      <c r="H796" s="97"/>
      <c r="I796" s="97"/>
      <c r="J796" s="97"/>
      <c r="K796" s="97"/>
      <c r="L796" s="97"/>
      <c r="M796" s="97"/>
      <c r="N796" s="97"/>
      <c r="O796" s="97"/>
      <c r="P796" s="97"/>
      <c r="Q796" s="97"/>
      <c r="R796" s="97"/>
      <c r="S796" s="97"/>
      <c r="T796" s="97"/>
      <c r="U796" s="97"/>
    </row>
    <row r="797" spans="1:21">
      <c r="A797" s="126"/>
      <c r="B797" s="127"/>
      <c r="C797" s="97"/>
      <c r="D797" s="519"/>
      <c r="E797" s="96"/>
      <c r="F797" s="97"/>
      <c r="G797" s="97"/>
      <c r="H797" s="97"/>
      <c r="I797" s="97"/>
      <c r="J797" s="97"/>
      <c r="K797" s="97"/>
      <c r="L797" s="97"/>
      <c r="M797" s="97"/>
      <c r="N797" s="97"/>
      <c r="O797" s="97"/>
      <c r="P797" s="97"/>
      <c r="Q797" s="97"/>
      <c r="R797" s="97"/>
      <c r="S797" s="97"/>
      <c r="T797" s="97"/>
      <c r="U797" s="97"/>
    </row>
    <row r="798" spans="1:21">
      <c r="A798" s="126"/>
      <c r="B798" s="127"/>
      <c r="C798" s="97"/>
      <c r="D798" s="519"/>
      <c r="E798" s="96"/>
      <c r="F798" s="97"/>
      <c r="G798" s="97"/>
      <c r="H798" s="97"/>
      <c r="I798" s="97"/>
      <c r="J798" s="97"/>
      <c r="K798" s="97"/>
      <c r="L798" s="97"/>
      <c r="M798" s="97"/>
      <c r="N798" s="97"/>
      <c r="O798" s="97"/>
      <c r="P798" s="97"/>
      <c r="Q798" s="97"/>
      <c r="R798" s="97"/>
      <c r="S798" s="97"/>
      <c r="T798" s="97"/>
      <c r="U798" s="97"/>
    </row>
    <row r="799" spans="1:21">
      <c r="A799" s="126"/>
      <c r="B799" s="127"/>
      <c r="C799" s="97"/>
      <c r="D799" s="519"/>
      <c r="E799" s="96"/>
      <c r="F799" s="97"/>
      <c r="G799" s="97"/>
      <c r="H799" s="97"/>
      <c r="I799" s="97"/>
      <c r="J799" s="97"/>
      <c r="K799" s="97"/>
      <c r="L799" s="97"/>
      <c r="M799" s="97"/>
      <c r="N799" s="97"/>
      <c r="O799" s="97"/>
      <c r="P799" s="97"/>
      <c r="Q799" s="97"/>
      <c r="R799" s="97"/>
      <c r="S799" s="97"/>
      <c r="T799" s="97"/>
      <c r="U799" s="97"/>
    </row>
    <row r="800" spans="1:21">
      <c r="A800" s="126"/>
      <c r="B800" s="127"/>
      <c r="C800" s="97"/>
      <c r="D800" s="519"/>
      <c r="E800" s="96"/>
      <c r="F800" s="97"/>
      <c r="G800" s="97"/>
      <c r="H800" s="97"/>
      <c r="I800" s="97"/>
      <c r="J800" s="97"/>
      <c r="K800" s="97"/>
      <c r="L800" s="97"/>
      <c r="M800" s="97"/>
      <c r="N800" s="97"/>
      <c r="O800" s="97"/>
      <c r="P800" s="97"/>
      <c r="Q800" s="97"/>
      <c r="R800" s="97"/>
      <c r="S800" s="97"/>
      <c r="T800" s="97"/>
      <c r="U800" s="97"/>
    </row>
    <row r="801" spans="1:21">
      <c r="A801" s="126"/>
      <c r="B801" s="127"/>
      <c r="C801" s="97"/>
      <c r="D801" s="519"/>
      <c r="E801" s="96"/>
      <c r="F801" s="97"/>
      <c r="G801" s="97"/>
      <c r="H801" s="97"/>
      <c r="I801" s="97"/>
      <c r="J801" s="97"/>
      <c r="K801" s="97"/>
      <c r="L801" s="97"/>
      <c r="M801" s="97"/>
      <c r="N801" s="97"/>
      <c r="O801" s="97"/>
      <c r="P801" s="97"/>
      <c r="Q801" s="97"/>
      <c r="R801" s="97"/>
      <c r="S801" s="97"/>
      <c r="T801" s="97"/>
      <c r="U801" s="97"/>
    </row>
    <row r="802" spans="1:21">
      <c r="A802" s="126"/>
      <c r="B802" s="127"/>
      <c r="C802" s="97"/>
      <c r="D802" s="519"/>
      <c r="E802" s="96"/>
      <c r="F802" s="97"/>
      <c r="G802" s="97"/>
      <c r="H802" s="97"/>
      <c r="I802" s="97"/>
      <c r="J802" s="97"/>
      <c r="K802" s="97"/>
      <c r="L802" s="97"/>
      <c r="M802" s="97"/>
      <c r="N802" s="97"/>
      <c r="O802" s="97"/>
      <c r="P802" s="97"/>
      <c r="Q802" s="97"/>
      <c r="R802" s="97"/>
      <c r="S802" s="97"/>
      <c r="T802" s="97"/>
      <c r="U802" s="97"/>
    </row>
    <row r="803" spans="1:21">
      <c r="A803" s="126"/>
      <c r="B803" s="127"/>
      <c r="C803" s="97"/>
      <c r="D803" s="519"/>
      <c r="E803" s="96"/>
      <c r="F803" s="97"/>
      <c r="G803" s="97"/>
      <c r="H803" s="97"/>
      <c r="I803" s="97"/>
      <c r="J803" s="97"/>
      <c r="K803" s="97"/>
      <c r="L803" s="97"/>
      <c r="M803" s="97"/>
      <c r="N803" s="97"/>
      <c r="O803" s="97"/>
      <c r="P803" s="97"/>
      <c r="Q803" s="97"/>
      <c r="R803" s="97"/>
      <c r="S803" s="97"/>
      <c r="T803" s="97"/>
      <c r="U803" s="97"/>
    </row>
    <row r="804" spans="1:21">
      <c r="A804" s="126"/>
      <c r="B804" s="127"/>
      <c r="C804" s="97"/>
      <c r="D804" s="519"/>
      <c r="E804" s="96"/>
      <c r="F804" s="97"/>
      <c r="G804" s="97"/>
      <c r="H804" s="97"/>
      <c r="I804" s="97"/>
      <c r="J804" s="97"/>
      <c r="K804" s="97"/>
      <c r="L804" s="97"/>
      <c r="M804" s="97"/>
      <c r="N804" s="97"/>
      <c r="O804" s="97"/>
      <c r="P804" s="97"/>
      <c r="Q804" s="97"/>
      <c r="R804" s="97"/>
      <c r="S804" s="97"/>
      <c r="T804" s="97"/>
      <c r="U804" s="97"/>
    </row>
    <row r="805" spans="1:21">
      <c r="A805" s="126"/>
      <c r="B805" s="127"/>
      <c r="C805" s="97"/>
      <c r="D805" s="519"/>
      <c r="E805" s="96"/>
      <c r="F805" s="97"/>
      <c r="G805" s="97"/>
      <c r="H805" s="97"/>
      <c r="I805" s="97"/>
      <c r="J805" s="97"/>
      <c r="K805" s="97"/>
      <c r="L805" s="97"/>
      <c r="M805" s="97"/>
      <c r="N805" s="97"/>
      <c r="O805" s="97"/>
      <c r="P805" s="97"/>
      <c r="Q805" s="97"/>
      <c r="R805" s="97"/>
      <c r="S805" s="97"/>
      <c r="T805" s="97"/>
      <c r="U805" s="97"/>
    </row>
    <row r="806" spans="1:21">
      <c r="A806" s="126"/>
      <c r="B806" s="127"/>
      <c r="C806" s="97"/>
      <c r="D806" s="519"/>
      <c r="E806" s="96"/>
      <c r="F806" s="97"/>
      <c r="G806" s="97"/>
      <c r="H806" s="97"/>
      <c r="I806" s="97"/>
      <c r="J806" s="97"/>
      <c r="K806" s="97"/>
      <c r="L806" s="97"/>
      <c r="M806" s="97"/>
      <c r="N806" s="97"/>
      <c r="O806" s="97"/>
      <c r="P806" s="97"/>
      <c r="Q806" s="97"/>
      <c r="R806" s="97"/>
      <c r="S806" s="97"/>
      <c r="T806" s="97"/>
      <c r="U806" s="97"/>
    </row>
    <row r="807" spans="1:21">
      <c r="A807" s="126"/>
      <c r="B807" s="127"/>
      <c r="C807" s="97"/>
      <c r="D807" s="519"/>
      <c r="E807" s="96"/>
      <c r="F807" s="97"/>
      <c r="G807" s="97"/>
      <c r="H807" s="97"/>
      <c r="I807" s="97"/>
      <c r="J807" s="97"/>
      <c r="K807" s="97"/>
      <c r="L807" s="97"/>
      <c r="M807" s="97"/>
      <c r="N807" s="97"/>
      <c r="O807" s="97"/>
      <c r="P807" s="97"/>
      <c r="Q807" s="97"/>
      <c r="R807" s="97"/>
      <c r="S807" s="97"/>
      <c r="T807" s="97"/>
      <c r="U807" s="97"/>
    </row>
    <row r="808" spans="1:21">
      <c r="A808" s="126"/>
      <c r="B808" s="127"/>
      <c r="C808" s="97"/>
      <c r="D808" s="519"/>
      <c r="E808" s="96"/>
      <c r="F808" s="97"/>
      <c r="G808" s="97"/>
      <c r="H808" s="97"/>
      <c r="I808" s="97"/>
      <c r="J808" s="97"/>
      <c r="K808" s="97"/>
      <c r="L808" s="97"/>
      <c r="M808" s="97"/>
      <c r="N808" s="97"/>
      <c r="O808" s="97"/>
      <c r="P808" s="97"/>
      <c r="Q808" s="97"/>
      <c r="R808" s="97"/>
      <c r="S808" s="97"/>
      <c r="T808" s="97"/>
      <c r="U808" s="97"/>
    </row>
    <row r="809" spans="1:21">
      <c r="A809" s="126"/>
      <c r="B809" s="127"/>
      <c r="C809" s="97"/>
      <c r="D809" s="519"/>
      <c r="E809" s="96"/>
      <c r="F809" s="97"/>
      <c r="G809" s="97"/>
      <c r="H809" s="97"/>
      <c r="I809" s="97"/>
      <c r="J809" s="97"/>
      <c r="K809" s="97"/>
      <c r="L809" s="97"/>
      <c r="M809" s="97"/>
      <c r="N809" s="97"/>
      <c r="O809" s="97"/>
      <c r="P809" s="97"/>
      <c r="Q809" s="97"/>
      <c r="R809" s="97"/>
      <c r="S809" s="97"/>
      <c r="T809" s="97"/>
      <c r="U809" s="97"/>
    </row>
    <row r="810" spans="1:21">
      <c r="A810" s="126"/>
      <c r="B810" s="127"/>
      <c r="C810" s="97"/>
      <c r="D810" s="519"/>
      <c r="E810" s="96"/>
      <c r="F810" s="97"/>
      <c r="G810" s="97"/>
      <c r="H810" s="97"/>
      <c r="I810" s="97"/>
      <c r="J810" s="97"/>
      <c r="K810" s="97"/>
      <c r="L810" s="97"/>
      <c r="M810" s="97"/>
      <c r="N810" s="97"/>
      <c r="O810" s="97"/>
      <c r="P810" s="97"/>
      <c r="Q810" s="97"/>
      <c r="R810" s="97"/>
      <c r="S810" s="97"/>
      <c r="T810" s="97"/>
      <c r="U810" s="97"/>
    </row>
    <row r="811" spans="1:21">
      <c r="A811" s="126"/>
      <c r="B811" s="127"/>
      <c r="C811" s="97"/>
      <c r="D811" s="519"/>
      <c r="E811" s="96"/>
      <c r="F811" s="97"/>
      <c r="G811" s="97"/>
      <c r="H811" s="97"/>
      <c r="I811" s="97"/>
      <c r="J811" s="97"/>
      <c r="K811" s="97"/>
      <c r="L811" s="97"/>
      <c r="M811" s="97"/>
      <c r="N811" s="97"/>
      <c r="O811" s="97"/>
      <c r="P811" s="97"/>
      <c r="Q811" s="97"/>
      <c r="R811" s="97"/>
      <c r="S811" s="97"/>
      <c r="T811" s="97"/>
      <c r="U811" s="97"/>
    </row>
    <row r="812" spans="1:21">
      <c r="A812" s="126"/>
      <c r="B812" s="127"/>
      <c r="C812" s="97"/>
      <c r="D812" s="519"/>
      <c r="E812" s="96"/>
      <c r="F812" s="97"/>
      <c r="G812" s="97"/>
      <c r="H812" s="97"/>
      <c r="I812" s="97"/>
      <c r="J812" s="97"/>
      <c r="K812" s="97"/>
      <c r="L812" s="97"/>
      <c r="M812" s="97"/>
      <c r="N812" s="97"/>
      <c r="O812" s="97"/>
      <c r="P812" s="97"/>
      <c r="Q812" s="97"/>
      <c r="R812" s="97"/>
      <c r="S812" s="97"/>
      <c r="T812" s="97"/>
      <c r="U812" s="97"/>
    </row>
    <row r="813" spans="1:21">
      <c r="A813" s="126"/>
      <c r="B813" s="127"/>
      <c r="C813" s="97"/>
      <c r="D813" s="519"/>
      <c r="E813" s="96"/>
      <c r="F813" s="97"/>
      <c r="G813" s="97"/>
      <c r="H813" s="97"/>
      <c r="I813" s="97"/>
      <c r="J813" s="97"/>
      <c r="K813" s="97"/>
      <c r="L813" s="97"/>
      <c r="M813" s="97"/>
      <c r="N813" s="97"/>
      <c r="O813" s="97"/>
      <c r="P813" s="97"/>
      <c r="Q813" s="97"/>
      <c r="R813" s="97"/>
      <c r="S813" s="97"/>
      <c r="T813" s="97"/>
      <c r="U813" s="97"/>
    </row>
    <row r="814" spans="1:21">
      <c r="A814" s="126"/>
      <c r="B814" s="127"/>
      <c r="C814" s="97"/>
      <c r="D814" s="519"/>
      <c r="E814" s="96"/>
      <c r="F814" s="97"/>
      <c r="G814" s="97"/>
      <c r="H814" s="97"/>
      <c r="I814" s="97"/>
      <c r="J814" s="97"/>
      <c r="K814" s="97"/>
      <c r="L814" s="97"/>
      <c r="M814" s="97"/>
      <c r="N814" s="97"/>
      <c r="O814" s="97"/>
      <c r="P814" s="97"/>
      <c r="Q814" s="97"/>
      <c r="R814" s="97"/>
      <c r="S814" s="97"/>
      <c r="T814" s="97"/>
      <c r="U814" s="97"/>
    </row>
    <row r="815" spans="1:21">
      <c r="A815" s="126"/>
      <c r="B815" s="127"/>
      <c r="C815" s="97"/>
      <c r="D815" s="519"/>
      <c r="E815" s="96"/>
      <c r="F815" s="97"/>
      <c r="G815" s="97"/>
      <c r="H815" s="97"/>
      <c r="I815" s="97"/>
      <c r="J815" s="97"/>
      <c r="K815" s="97"/>
      <c r="L815" s="97"/>
      <c r="M815" s="97"/>
      <c r="N815" s="97"/>
      <c r="O815" s="97"/>
      <c r="P815" s="97"/>
      <c r="Q815" s="97"/>
      <c r="R815" s="97"/>
      <c r="S815" s="97"/>
      <c r="T815" s="97"/>
      <c r="U815" s="97"/>
    </row>
    <row r="816" spans="1:21">
      <c r="A816" s="126"/>
      <c r="B816" s="127"/>
      <c r="C816" s="97"/>
      <c r="D816" s="519"/>
      <c r="E816" s="96"/>
      <c r="F816" s="97"/>
      <c r="G816" s="97"/>
      <c r="H816" s="97"/>
      <c r="I816" s="97"/>
      <c r="J816" s="97"/>
      <c r="K816" s="97"/>
      <c r="L816" s="97"/>
      <c r="M816" s="97"/>
      <c r="N816" s="97"/>
      <c r="O816" s="97"/>
      <c r="P816" s="97"/>
      <c r="Q816" s="97"/>
      <c r="R816" s="97"/>
      <c r="S816" s="97"/>
      <c r="T816" s="97"/>
      <c r="U816" s="97"/>
    </row>
    <row r="817" spans="1:21">
      <c r="A817" s="126"/>
      <c r="B817" s="127"/>
      <c r="C817" s="97"/>
      <c r="D817" s="519"/>
      <c r="E817" s="96"/>
      <c r="F817" s="97"/>
      <c r="G817" s="97"/>
      <c r="H817" s="97"/>
      <c r="I817" s="97"/>
      <c r="J817" s="97"/>
      <c r="K817" s="97"/>
      <c r="L817" s="97"/>
      <c r="M817" s="97"/>
      <c r="N817" s="97"/>
      <c r="O817" s="97"/>
      <c r="P817" s="97"/>
      <c r="Q817" s="97"/>
      <c r="R817" s="97"/>
      <c r="S817" s="97"/>
      <c r="T817" s="97"/>
      <c r="U817" s="97"/>
    </row>
    <row r="818" spans="1:21">
      <c r="A818" s="126"/>
      <c r="B818" s="127"/>
      <c r="C818" s="97"/>
      <c r="D818" s="519"/>
      <c r="E818" s="96"/>
      <c r="F818" s="97"/>
      <c r="G818" s="97"/>
      <c r="H818" s="97"/>
      <c r="I818" s="97"/>
      <c r="J818" s="97"/>
      <c r="K818" s="97"/>
      <c r="L818" s="97"/>
      <c r="M818" s="97"/>
      <c r="N818" s="97"/>
      <c r="O818" s="97"/>
      <c r="P818" s="97"/>
      <c r="Q818" s="97"/>
      <c r="R818" s="97"/>
      <c r="S818" s="97"/>
      <c r="T818" s="97"/>
      <c r="U818" s="97"/>
    </row>
    <row r="819" spans="1:21">
      <c r="A819" s="126"/>
      <c r="B819" s="127"/>
      <c r="C819" s="97"/>
      <c r="D819" s="519"/>
      <c r="E819" s="96"/>
      <c r="F819" s="97"/>
      <c r="G819" s="97"/>
      <c r="H819" s="97"/>
      <c r="I819" s="97"/>
      <c r="J819" s="97"/>
      <c r="K819" s="97"/>
      <c r="L819" s="97"/>
      <c r="M819" s="97"/>
      <c r="N819" s="97"/>
      <c r="O819" s="97"/>
      <c r="P819" s="97"/>
      <c r="Q819" s="97"/>
      <c r="R819" s="97"/>
      <c r="S819" s="97"/>
      <c r="T819" s="97"/>
      <c r="U819" s="97"/>
    </row>
    <row r="820" spans="1:21">
      <c r="A820" s="126"/>
      <c r="B820" s="127"/>
      <c r="C820" s="97"/>
      <c r="D820" s="519"/>
      <c r="E820" s="96"/>
      <c r="F820" s="97"/>
      <c r="G820" s="97"/>
      <c r="H820" s="97"/>
      <c r="I820" s="97"/>
      <c r="J820" s="97"/>
      <c r="K820" s="97"/>
      <c r="L820" s="97"/>
      <c r="M820" s="97"/>
      <c r="N820" s="97"/>
      <c r="O820" s="97"/>
      <c r="P820" s="97"/>
      <c r="Q820" s="97"/>
      <c r="R820" s="97"/>
      <c r="S820" s="97"/>
      <c r="T820" s="97"/>
      <c r="U820" s="97"/>
    </row>
    <row r="821" spans="1:21">
      <c r="A821" s="126"/>
      <c r="B821" s="127"/>
      <c r="C821" s="97"/>
      <c r="D821" s="519"/>
      <c r="E821" s="96"/>
      <c r="F821" s="97"/>
      <c r="G821" s="97"/>
      <c r="H821" s="97"/>
      <c r="I821" s="97"/>
      <c r="J821" s="97"/>
      <c r="K821" s="97"/>
      <c r="L821" s="97"/>
      <c r="M821" s="97"/>
      <c r="N821" s="97"/>
      <c r="O821" s="97"/>
      <c r="P821" s="97"/>
      <c r="Q821" s="97"/>
      <c r="R821" s="97"/>
      <c r="S821" s="97"/>
      <c r="T821" s="97"/>
      <c r="U821" s="97"/>
    </row>
    <row r="822" spans="1:21">
      <c r="A822" s="126"/>
      <c r="B822" s="127"/>
      <c r="C822" s="97"/>
      <c r="D822" s="519"/>
      <c r="E822" s="96"/>
      <c r="F822" s="97"/>
      <c r="G822" s="97"/>
      <c r="H822" s="97"/>
      <c r="I822" s="97"/>
      <c r="J822" s="97"/>
      <c r="K822" s="97"/>
      <c r="L822" s="97"/>
      <c r="M822" s="97"/>
      <c r="N822" s="97"/>
      <c r="O822" s="97"/>
      <c r="P822" s="97"/>
      <c r="Q822" s="97"/>
      <c r="R822" s="97"/>
      <c r="S822" s="97"/>
      <c r="T822" s="97"/>
      <c r="U822" s="97"/>
    </row>
    <row r="823" spans="1:21">
      <c r="A823" s="126"/>
      <c r="B823" s="127"/>
      <c r="C823" s="97"/>
      <c r="D823" s="519"/>
      <c r="E823" s="96"/>
      <c r="F823" s="97"/>
      <c r="G823" s="97"/>
      <c r="H823" s="97"/>
      <c r="I823" s="97"/>
      <c r="J823" s="97"/>
      <c r="K823" s="97"/>
      <c r="L823" s="97"/>
      <c r="M823" s="97"/>
      <c r="N823" s="97"/>
      <c r="O823" s="97"/>
      <c r="P823" s="97"/>
      <c r="Q823" s="97"/>
      <c r="R823" s="97"/>
      <c r="S823" s="97"/>
      <c r="T823" s="97"/>
      <c r="U823" s="97"/>
    </row>
    <row r="824" spans="1:21">
      <c r="A824" s="126"/>
      <c r="B824" s="127"/>
      <c r="C824" s="97"/>
      <c r="D824" s="519"/>
      <c r="E824" s="96"/>
      <c r="F824" s="97"/>
      <c r="G824" s="97"/>
      <c r="H824" s="97"/>
      <c r="I824" s="97"/>
      <c r="J824" s="97"/>
      <c r="K824" s="97"/>
      <c r="L824" s="97"/>
      <c r="M824" s="97"/>
      <c r="N824" s="97"/>
      <c r="O824" s="97"/>
      <c r="P824" s="97"/>
      <c r="Q824" s="97"/>
      <c r="R824" s="97"/>
      <c r="S824" s="97"/>
      <c r="T824" s="97"/>
      <c r="U824" s="97"/>
    </row>
    <row r="825" spans="1:21">
      <c r="A825" s="126"/>
      <c r="B825" s="127"/>
      <c r="C825" s="97"/>
      <c r="D825" s="519"/>
      <c r="E825" s="96"/>
      <c r="F825" s="97"/>
      <c r="G825" s="97"/>
      <c r="H825" s="97"/>
      <c r="I825" s="97"/>
      <c r="J825" s="97"/>
      <c r="K825" s="97"/>
      <c r="L825" s="97"/>
      <c r="M825" s="97"/>
      <c r="N825" s="97"/>
      <c r="O825" s="97"/>
      <c r="P825" s="97"/>
      <c r="Q825" s="97"/>
      <c r="R825" s="97"/>
      <c r="S825" s="97"/>
      <c r="T825" s="97"/>
      <c r="U825" s="97"/>
    </row>
    <row r="826" spans="1:21">
      <c r="A826" s="126"/>
      <c r="B826" s="127"/>
      <c r="C826" s="97"/>
      <c r="D826" s="519"/>
      <c r="E826" s="96"/>
      <c r="F826" s="97"/>
      <c r="G826" s="97"/>
      <c r="H826" s="97"/>
      <c r="I826" s="97"/>
      <c r="J826" s="97"/>
      <c r="K826" s="97"/>
      <c r="L826" s="97"/>
      <c r="M826" s="97"/>
      <c r="N826" s="97"/>
      <c r="O826" s="97"/>
      <c r="P826" s="97"/>
      <c r="Q826" s="97"/>
      <c r="R826" s="97"/>
      <c r="S826" s="97"/>
      <c r="T826" s="97"/>
      <c r="U826" s="97"/>
    </row>
    <row r="827" spans="1:21">
      <c r="A827" s="126"/>
      <c r="B827" s="127"/>
      <c r="C827" s="97"/>
      <c r="D827" s="519"/>
      <c r="E827" s="96"/>
      <c r="F827" s="97"/>
      <c r="G827" s="97"/>
      <c r="H827" s="97"/>
      <c r="I827" s="97"/>
      <c r="J827" s="97"/>
      <c r="K827" s="97"/>
      <c r="L827" s="97"/>
      <c r="M827" s="97"/>
      <c r="N827" s="97"/>
      <c r="O827" s="97"/>
      <c r="P827" s="97"/>
      <c r="Q827" s="97"/>
      <c r="R827" s="97"/>
      <c r="S827" s="97"/>
      <c r="T827" s="97"/>
      <c r="U827" s="97"/>
    </row>
    <row r="828" spans="1:21">
      <c r="A828" s="126"/>
      <c r="B828" s="127"/>
      <c r="C828" s="97"/>
      <c r="D828" s="519"/>
      <c r="E828" s="96"/>
      <c r="F828" s="97"/>
      <c r="G828" s="97"/>
      <c r="H828" s="97"/>
      <c r="I828" s="97"/>
      <c r="J828" s="97"/>
      <c r="K828" s="97"/>
      <c r="L828" s="97"/>
      <c r="M828" s="97"/>
      <c r="N828" s="97"/>
      <c r="O828" s="97"/>
      <c r="P828" s="97"/>
      <c r="Q828" s="97"/>
      <c r="R828" s="97"/>
      <c r="S828" s="97"/>
      <c r="T828" s="97"/>
      <c r="U828" s="97"/>
    </row>
    <row r="829" spans="1:21">
      <c r="A829" s="126"/>
      <c r="B829" s="127"/>
      <c r="C829" s="97"/>
      <c r="D829" s="519"/>
      <c r="E829" s="96"/>
      <c r="F829" s="97"/>
      <c r="G829" s="97"/>
      <c r="H829" s="97"/>
      <c r="I829" s="97"/>
      <c r="J829" s="97"/>
      <c r="K829" s="97"/>
      <c r="L829" s="97"/>
      <c r="M829" s="97"/>
      <c r="N829" s="97"/>
      <c r="O829" s="97"/>
      <c r="P829" s="97"/>
      <c r="Q829" s="97"/>
      <c r="R829" s="97"/>
      <c r="S829" s="97"/>
      <c r="T829" s="97"/>
      <c r="U829" s="97"/>
    </row>
    <row r="830" spans="1:21">
      <c r="A830" s="126"/>
      <c r="B830" s="127"/>
      <c r="C830" s="97"/>
      <c r="D830" s="519"/>
      <c r="E830" s="96"/>
      <c r="F830" s="97"/>
      <c r="G830" s="97"/>
      <c r="H830" s="97"/>
      <c r="I830" s="97"/>
      <c r="J830" s="97"/>
      <c r="K830" s="97"/>
      <c r="L830" s="97"/>
      <c r="M830" s="97"/>
      <c r="N830" s="97"/>
      <c r="O830" s="97"/>
      <c r="P830" s="97"/>
      <c r="Q830" s="97"/>
      <c r="R830" s="97"/>
      <c r="S830" s="97"/>
      <c r="T830" s="97"/>
      <c r="U830" s="97"/>
    </row>
    <row r="831" spans="1:21">
      <c r="A831" s="126"/>
      <c r="B831" s="127"/>
      <c r="C831" s="97"/>
      <c r="D831" s="519"/>
      <c r="E831" s="96"/>
      <c r="F831" s="97"/>
      <c r="G831" s="97"/>
      <c r="H831" s="97"/>
      <c r="I831" s="97"/>
      <c r="J831" s="97"/>
      <c r="K831" s="97"/>
      <c r="L831" s="97"/>
      <c r="M831" s="97"/>
      <c r="N831" s="97"/>
      <c r="O831" s="97"/>
      <c r="P831" s="97"/>
      <c r="Q831" s="97"/>
      <c r="R831" s="97"/>
      <c r="S831" s="97"/>
      <c r="T831" s="97"/>
      <c r="U831" s="97"/>
    </row>
    <row r="832" spans="1:21">
      <c r="A832" s="126"/>
      <c r="B832" s="127"/>
      <c r="C832" s="97"/>
      <c r="D832" s="519"/>
      <c r="E832" s="96"/>
      <c r="F832" s="97"/>
      <c r="G832" s="97"/>
      <c r="H832" s="97"/>
      <c r="I832" s="97"/>
      <c r="J832" s="97"/>
      <c r="K832" s="97"/>
      <c r="L832" s="97"/>
      <c r="M832" s="97"/>
      <c r="N832" s="97"/>
      <c r="O832" s="97"/>
      <c r="P832" s="97"/>
      <c r="Q832" s="97"/>
      <c r="R832" s="97"/>
      <c r="S832" s="97"/>
      <c r="T832" s="97"/>
      <c r="U832" s="97"/>
    </row>
    <row r="833" spans="1:21">
      <c r="A833" s="126"/>
      <c r="B833" s="127"/>
      <c r="C833" s="97"/>
      <c r="D833" s="519"/>
      <c r="E833" s="96"/>
      <c r="F833" s="97"/>
      <c r="G833" s="97"/>
      <c r="H833" s="97"/>
      <c r="I833" s="97"/>
      <c r="J833" s="97"/>
      <c r="K833" s="97"/>
      <c r="L833" s="97"/>
      <c r="M833" s="97"/>
      <c r="N833" s="97"/>
      <c r="O833" s="97"/>
      <c r="P833" s="97"/>
      <c r="Q833" s="97"/>
      <c r="R833" s="97"/>
      <c r="S833" s="97"/>
      <c r="T833" s="97"/>
      <c r="U833" s="97"/>
    </row>
    <row r="834" spans="1:21">
      <c r="A834" s="126"/>
      <c r="B834" s="127"/>
      <c r="C834" s="97"/>
      <c r="D834" s="519"/>
      <c r="E834" s="96"/>
      <c r="F834" s="97"/>
      <c r="G834" s="97"/>
      <c r="H834" s="97"/>
      <c r="I834" s="97"/>
      <c r="J834" s="97"/>
      <c r="K834" s="97"/>
      <c r="L834" s="97"/>
      <c r="M834" s="97"/>
      <c r="N834" s="97"/>
      <c r="O834" s="97"/>
      <c r="P834" s="97"/>
      <c r="Q834" s="97"/>
      <c r="R834" s="97"/>
      <c r="S834" s="97"/>
      <c r="T834" s="97"/>
      <c r="U834" s="97"/>
    </row>
    <row r="835" spans="1:21">
      <c r="A835" s="126"/>
      <c r="B835" s="127"/>
      <c r="C835" s="97"/>
      <c r="D835" s="519"/>
      <c r="E835" s="96"/>
      <c r="F835" s="97"/>
      <c r="G835" s="97"/>
      <c r="H835" s="97"/>
      <c r="I835" s="97"/>
      <c r="J835" s="97"/>
      <c r="K835" s="97"/>
      <c r="L835" s="97"/>
      <c r="M835" s="97"/>
      <c r="N835" s="97"/>
      <c r="O835" s="97"/>
      <c r="P835" s="97"/>
      <c r="Q835" s="97"/>
      <c r="R835" s="97"/>
      <c r="S835" s="97"/>
      <c r="T835" s="97"/>
      <c r="U835" s="97"/>
    </row>
    <row r="836" spans="1:21">
      <c r="A836" s="126"/>
      <c r="B836" s="127"/>
      <c r="C836" s="97"/>
      <c r="D836" s="519"/>
      <c r="E836" s="96"/>
      <c r="F836" s="97"/>
      <c r="G836" s="97"/>
      <c r="H836" s="97"/>
      <c r="I836" s="97"/>
      <c r="J836" s="97"/>
      <c r="K836" s="97"/>
      <c r="L836" s="97"/>
      <c r="M836" s="97"/>
      <c r="N836" s="97"/>
      <c r="O836" s="97"/>
      <c r="P836" s="97"/>
      <c r="Q836" s="97"/>
      <c r="R836" s="97"/>
      <c r="S836" s="97"/>
      <c r="T836" s="97"/>
      <c r="U836" s="97"/>
    </row>
    <row r="837" spans="1:21">
      <c r="A837" s="126"/>
      <c r="B837" s="127"/>
      <c r="C837" s="97"/>
      <c r="D837" s="519"/>
      <c r="E837" s="96"/>
      <c r="F837" s="97"/>
      <c r="G837" s="97"/>
      <c r="H837" s="97"/>
      <c r="I837" s="97"/>
      <c r="J837" s="97"/>
      <c r="K837" s="97"/>
      <c r="L837" s="97"/>
      <c r="M837" s="97"/>
      <c r="N837" s="97"/>
      <c r="O837" s="97"/>
      <c r="P837" s="97"/>
      <c r="Q837" s="97"/>
      <c r="R837" s="97"/>
      <c r="S837" s="97"/>
      <c r="T837" s="97"/>
      <c r="U837" s="97"/>
    </row>
    <row r="838" spans="1:21">
      <c r="A838" s="126"/>
      <c r="B838" s="127"/>
      <c r="C838" s="97"/>
      <c r="D838" s="519"/>
      <c r="E838" s="96"/>
      <c r="F838" s="97"/>
      <c r="G838" s="97"/>
      <c r="H838" s="97"/>
      <c r="I838" s="97"/>
      <c r="J838" s="97"/>
      <c r="K838" s="97"/>
      <c r="L838" s="97"/>
      <c r="M838" s="97"/>
      <c r="N838" s="97"/>
      <c r="O838" s="97"/>
      <c r="P838" s="97"/>
      <c r="Q838" s="97"/>
      <c r="R838" s="97"/>
      <c r="S838" s="97"/>
      <c r="T838" s="97"/>
      <c r="U838" s="97"/>
    </row>
    <row r="839" spans="1:21">
      <c r="A839" s="126"/>
      <c r="B839" s="127"/>
      <c r="C839" s="97"/>
      <c r="D839" s="519"/>
      <c r="E839" s="96"/>
      <c r="F839" s="97"/>
      <c r="G839" s="97"/>
      <c r="H839" s="97"/>
      <c r="I839" s="97"/>
      <c r="J839" s="97"/>
      <c r="K839" s="97"/>
      <c r="L839" s="97"/>
      <c r="M839" s="97"/>
      <c r="N839" s="97"/>
      <c r="O839" s="97"/>
      <c r="P839" s="97"/>
      <c r="Q839" s="97"/>
      <c r="R839" s="97"/>
      <c r="S839" s="97"/>
      <c r="T839" s="97"/>
      <c r="U839" s="97"/>
    </row>
    <row r="840" spans="1:21">
      <c r="A840" s="126"/>
      <c r="B840" s="127"/>
      <c r="C840" s="97"/>
      <c r="D840" s="519"/>
      <c r="E840" s="96"/>
      <c r="F840" s="97"/>
      <c r="G840" s="97"/>
      <c r="H840" s="97"/>
      <c r="I840" s="97"/>
      <c r="J840" s="97"/>
      <c r="K840" s="97"/>
      <c r="L840" s="97"/>
      <c r="M840" s="97"/>
      <c r="N840" s="97"/>
      <c r="O840" s="97"/>
      <c r="P840" s="97"/>
      <c r="Q840" s="97"/>
      <c r="R840" s="97"/>
      <c r="S840" s="97"/>
      <c r="T840" s="97"/>
      <c r="U840" s="97"/>
    </row>
    <row r="841" spans="1:21">
      <c r="A841" s="126"/>
      <c r="B841" s="127"/>
      <c r="C841" s="97"/>
      <c r="D841" s="519"/>
      <c r="E841" s="96"/>
      <c r="F841" s="97"/>
      <c r="G841" s="97"/>
      <c r="H841" s="97"/>
      <c r="I841" s="97"/>
      <c r="J841" s="97"/>
      <c r="K841" s="97"/>
      <c r="L841" s="97"/>
      <c r="M841" s="97"/>
      <c r="N841" s="97"/>
      <c r="O841" s="97"/>
      <c r="P841" s="97"/>
      <c r="Q841" s="97"/>
      <c r="R841" s="97"/>
      <c r="S841" s="97"/>
      <c r="T841" s="97"/>
      <c r="U841" s="97"/>
    </row>
    <row r="842" spans="1:21">
      <c r="A842" s="126"/>
      <c r="B842" s="127"/>
      <c r="C842" s="97"/>
      <c r="D842" s="519"/>
      <c r="E842" s="96"/>
      <c r="F842" s="97"/>
      <c r="G842" s="97"/>
      <c r="H842" s="97"/>
      <c r="I842" s="97"/>
      <c r="J842" s="97"/>
      <c r="K842" s="97"/>
      <c r="L842" s="97"/>
      <c r="M842" s="97"/>
      <c r="N842" s="97"/>
      <c r="O842" s="97"/>
      <c r="P842" s="97"/>
      <c r="Q842" s="97"/>
      <c r="R842" s="97"/>
      <c r="S842" s="97"/>
      <c r="T842" s="97"/>
      <c r="U842" s="97"/>
    </row>
    <row r="843" spans="1:21">
      <c r="A843" s="126"/>
      <c r="B843" s="127"/>
      <c r="C843" s="97"/>
      <c r="D843" s="519"/>
      <c r="E843" s="96"/>
      <c r="F843" s="97"/>
      <c r="G843" s="97"/>
      <c r="H843" s="97"/>
      <c r="I843" s="97"/>
      <c r="J843" s="97"/>
      <c r="K843" s="97"/>
      <c r="L843" s="97"/>
      <c r="M843" s="97"/>
      <c r="N843" s="97"/>
      <c r="O843" s="97"/>
      <c r="P843" s="97"/>
      <c r="Q843" s="97"/>
      <c r="R843" s="97"/>
      <c r="S843" s="97"/>
      <c r="T843" s="97"/>
      <c r="U843" s="97"/>
    </row>
    <row r="844" spans="1:21">
      <c r="A844" s="126"/>
      <c r="B844" s="127"/>
      <c r="C844" s="97"/>
      <c r="D844" s="519"/>
      <c r="E844" s="96"/>
      <c r="F844" s="97"/>
      <c r="G844" s="97"/>
      <c r="H844" s="97"/>
      <c r="I844" s="97"/>
      <c r="J844" s="97"/>
      <c r="K844" s="97"/>
      <c r="L844" s="97"/>
      <c r="M844" s="97"/>
      <c r="N844" s="97"/>
      <c r="O844" s="97"/>
      <c r="P844" s="97"/>
      <c r="Q844" s="97"/>
      <c r="R844" s="97"/>
      <c r="S844" s="97"/>
      <c r="T844" s="97"/>
      <c r="U844" s="97"/>
    </row>
    <row r="845" spans="1:21">
      <c r="A845" s="126"/>
      <c r="B845" s="127"/>
      <c r="C845" s="97"/>
      <c r="D845" s="519"/>
      <c r="E845" s="96"/>
      <c r="F845" s="97"/>
      <c r="G845" s="97"/>
      <c r="H845" s="97"/>
      <c r="I845" s="97"/>
      <c r="J845" s="97"/>
      <c r="K845" s="97"/>
      <c r="L845" s="97"/>
      <c r="M845" s="97"/>
      <c r="N845" s="97"/>
      <c r="O845" s="97"/>
      <c r="P845" s="97"/>
      <c r="Q845" s="97"/>
      <c r="R845" s="97"/>
      <c r="S845" s="97"/>
      <c r="T845" s="97"/>
      <c r="U845" s="97"/>
    </row>
    <row r="846" spans="1:21">
      <c r="A846" s="126"/>
      <c r="B846" s="127"/>
      <c r="C846" s="97"/>
      <c r="D846" s="519"/>
      <c r="E846" s="96"/>
      <c r="F846" s="97"/>
      <c r="G846" s="97"/>
      <c r="H846" s="97"/>
      <c r="I846" s="97"/>
      <c r="J846" s="97"/>
      <c r="K846" s="97"/>
      <c r="L846" s="97"/>
      <c r="M846" s="97"/>
      <c r="N846" s="97"/>
      <c r="O846" s="97"/>
      <c r="P846" s="97"/>
      <c r="Q846" s="97"/>
      <c r="R846" s="97"/>
      <c r="S846" s="97"/>
      <c r="T846" s="97"/>
      <c r="U846" s="97"/>
    </row>
    <row r="847" spans="1:21">
      <c r="A847" s="126"/>
      <c r="B847" s="127"/>
      <c r="C847" s="97"/>
      <c r="D847" s="519"/>
      <c r="E847" s="96"/>
      <c r="F847" s="97"/>
      <c r="G847" s="97"/>
      <c r="H847" s="97"/>
      <c r="I847" s="97"/>
      <c r="J847" s="97"/>
      <c r="K847" s="97"/>
      <c r="L847" s="97"/>
      <c r="M847" s="97"/>
      <c r="N847" s="97"/>
      <c r="O847" s="97"/>
      <c r="P847" s="97"/>
      <c r="Q847" s="97"/>
      <c r="R847" s="97"/>
      <c r="S847" s="97"/>
      <c r="T847" s="97"/>
      <c r="U847" s="97"/>
    </row>
    <row r="848" spans="1:21">
      <c r="A848" s="126"/>
      <c r="B848" s="127"/>
      <c r="C848" s="97"/>
      <c r="D848" s="519"/>
      <c r="E848" s="96"/>
      <c r="F848" s="97"/>
      <c r="G848" s="97"/>
      <c r="H848" s="97"/>
      <c r="I848" s="97"/>
      <c r="J848" s="97"/>
      <c r="K848" s="97"/>
      <c r="L848" s="97"/>
      <c r="M848" s="97"/>
      <c r="N848" s="97"/>
      <c r="O848" s="97"/>
      <c r="P848" s="97"/>
      <c r="Q848" s="97"/>
      <c r="R848" s="97"/>
      <c r="S848" s="97"/>
      <c r="T848" s="97"/>
      <c r="U848" s="97"/>
    </row>
    <row r="849" spans="1:21">
      <c r="A849" s="126"/>
      <c r="B849" s="127"/>
      <c r="C849" s="97"/>
      <c r="D849" s="519"/>
      <c r="E849" s="96"/>
      <c r="F849" s="97"/>
      <c r="G849" s="97"/>
      <c r="H849" s="97"/>
      <c r="I849" s="97"/>
      <c r="J849" s="97"/>
      <c r="K849" s="97"/>
      <c r="L849" s="97"/>
      <c r="M849" s="97"/>
      <c r="N849" s="97"/>
      <c r="O849" s="97"/>
      <c r="P849" s="97"/>
      <c r="Q849" s="97"/>
      <c r="R849" s="97"/>
      <c r="S849" s="97"/>
      <c r="T849" s="97"/>
      <c r="U849" s="97"/>
    </row>
    <row r="850" spans="1:21">
      <c r="A850" s="126"/>
      <c r="B850" s="127"/>
      <c r="C850" s="97"/>
      <c r="D850" s="519"/>
      <c r="E850" s="96"/>
      <c r="F850" s="97"/>
      <c r="G850" s="97"/>
      <c r="H850" s="97"/>
      <c r="I850" s="97"/>
      <c r="J850" s="97"/>
      <c r="K850" s="97"/>
      <c r="L850" s="97"/>
      <c r="M850" s="97"/>
      <c r="N850" s="97"/>
      <c r="O850" s="97"/>
      <c r="P850" s="97"/>
      <c r="Q850" s="97"/>
      <c r="R850" s="97"/>
      <c r="S850" s="97"/>
      <c r="T850" s="97"/>
      <c r="U850" s="97"/>
    </row>
    <row r="851" spans="1:21">
      <c r="A851" s="126"/>
      <c r="B851" s="127"/>
      <c r="C851" s="97"/>
      <c r="D851" s="519"/>
      <c r="E851" s="96"/>
      <c r="F851" s="97"/>
      <c r="G851" s="97"/>
      <c r="H851" s="97"/>
      <c r="I851" s="97"/>
      <c r="J851" s="97"/>
      <c r="K851" s="97"/>
      <c r="L851" s="97"/>
      <c r="M851" s="97"/>
      <c r="N851" s="97"/>
      <c r="O851" s="97"/>
      <c r="P851" s="97"/>
      <c r="Q851" s="97"/>
      <c r="R851" s="97"/>
      <c r="S851" s="97"/>
      <c r="T851" s="97"/>
      <c r="U851" s="97"/>
    </row>
    <row r="852" spans="1:21">
      <c r="A852" s="126"/>
      <c r="B852" s="127"/>
      <c r="C852" s="97"/>
      <c r="D852" s="519"/>
      <c r="E852" s="96"/>
      <c r="F852" s="97"/>
      <c r="G852" s="97"/>
      <c r="H852" s="97"/>
      <c r="I852" s="97"/>
      <c r="J852" s="97"/>
      <c r="K852" s="97"/>
      <c r="L852" s="97"/>
      <c r="M852" s="97"/>
      <c r="N852" s="97"/>
      <c r="O852" s="97"/>
      <c r="P852" s="97"/>
      <c r="Q852" s="97"/>
      <c r="R852" s="97"/>
      <c r="S852" s="97"/>
      <c r="T852" s="97"/>
      <c r="U852" s="97"/>
    </row>
    <row r="853" spans="1:21">
      <c r="A853" s="126"/>
      <c r="B853" s="127"/>
      <c r="C853" s="97"/>
      <c r="D853" s="519"/>
      <c r="E853" s="96"/>
      <c r="F853" s="97"/>
      <c r="G853" s="97"/>
      <c r="H853" s="97"/>
      <c r="I853" s="97"/>
      <c r="J853" s="97"/>
      <c r="K853" s="97"/>
      <c r="L853" s="97"/>
      <c r="M853" s="97"/>
      <c r="N853" s="97"/>
      <c r="O853" s="97"/>
      <c r="P853" s="97"/>
      <c r="Q853" s="97"/>
      <c r="R853" s="97"/>
      <c r="S853" s="97"/>
      <c r="T853" s="97"/>
      <c r="U853" s="97"/>
    </row>
    <row r="854" spans="1:21">
      <c r="A854" s="126"/>
      <c r="B854" s="127"/>
      <c r="C854" s="97"/>
      <c r="D854" s="519"/>
      <c r="E854" s="96"/>
      <c r="F854" s="97"/>
      <c r="G854" s="97"/>
      <c r="H854" s="97"/>
      <c r="I854" s="97"/>
      <c r="J854" s="97"/>
      <c r="K854" s="97"/>
      <c r="L854" s="97"/>
      <c r="M854" s="97"/>
      <c r="N854" s="97"/>
      <c r="O854" s="97"/>
      <c r="P854" s="97"/>
      <c r="Q854" s="97"/>
      <c r="R854" s="97"/>
      <c r="S854" s="97"/>
      <c r="T854" s="97"/>
      <c r="U854" s="97"/>
    </row>
    <row r="855" spans="1:21">
      <c r="A855" s="126"/>
      <c r="B855" s="127"/>
      <c r="C855" s="97"/>
      <c r="D855" s="519"/>
      <c r="E855" s="96"/>
      <c r="F855" s="97"/>
      <c r="G855" s="97"/>
      <c r="H855" s="97"/>
      <c r="I855" s="97"/>
      <c r="J855" s="97"/>
      <c r="K855" s="97"/>
      <c r="L855" s="97"/>
      <c r="M855" s="97"/>
      <c r="N855" s="97"/>
      <c r="O855" s="97"/>
      <c r="P855" s="97"/>
      <c r="Q855" s="97"/>
      <c r="R855" s="97"/>
      <c r="S855" s="97"/>
      <c r="T855" s="97"/>
      <c r="U855" s="97"/>
    </row>
    <row r="856" spans="1:21">
      <c r="A856" s="126"/>
      <c r="B856" s="127"/>
      <c r="C856" s="97"/>
      <c r="D856" s="519"/>
      <c r="E856" s="96"/>
      <c r="F856" s="97"/>
      <c r="G856" s="97"/>
      <c r="H856" s="97"/>
      <c r="I856" s="97"/>
      <c r="J856" s="97"/>
      <c r="K856" s="97"/>
      <c r="L856" s="97"/>
      <c r="M856" s="97"/>
      <c r="N856" s="97"/>
      <c r="O856" s="97"/>
      <c r="P856" s="97"/>
      <c r="Q856" s="97"/>
      <c r="R856" s="97"/>
      <c r="S856" s="97"/>
      <c r="T856" s="97"/>
      <c r="U856" s="97"/>
    </row>
    <row r="857" spans="1:21">
      <c r="A857" s="126"/>
      <c r="B857" s="127"/>
      <c r="C857" s="97"/>
      <c r="D857" s="519"/>
      <c r="E857" s="96"/>
      <c r="F857" s="97"/>
      <c r="G857" s="97"/>
      <c r="H857" s="97"/>
      <c r="I857" s="97"/>
      <c r="J857" s="97"/>
      <c r="K857" s="97"/>
      <c r="L857" s="97"/>
      <c r="M857" s="97"/>
      <c r="N857" s="97"/>
      <c r="O857" s="97"/>
      <c r="P857" s="97"/>
      <c r="Q857" s="97"/>
      <c r="R857" s="97"/>
      <c r="S857" s="97"/>
      <c r="T857" s="97"/>
      <c r="U857" s="97"/>
    </row>
    <row r="858" spans="1:21">
      <c r="A858" s="126"/>
      <c r="B858" s="127"/>
      <c r="C858" s="97"/>
      <c r="D858" s="519"/>
      <c r="E858" s="96"/>
      <c r="F858" s="97"/>
      <c r="G858" s="97"/>
      <c r="H858" s="97"/>
      <c r="I858" s="97"/>
      <c r="J858" s="97"/>
      <c r="K858" s="97"/>
      <c r="L858" s="97"/>
      <c r="M858" s="97"/>
      <c r="N858" s="97"/>
      <c r="O858" s="97"/>
      <c r="P858" s="97"/>
      <c r="Q858" s="97"/>
      <c r="R858" s="97"/>
      <c r="S858" s="97"/>
      <c r="T858" s="97"/>
      <c r="U858" s="97"/>
    </row>
    <row r="859" spans="1:21">
      <c r="A859" s="126"/>
      <c r="B859" s="127"/>
      <c r="C859" s="97"/>
      <c r="D859" s="519"/>
      <c r="E859" s="96"/>
      <c r="F859" s="97"/>
      <c r="G859" s="97"/>
      <c r="H859" s="97"/>
      <c r="I859" s="97"/>
      <c r="J859" s="97"/>
      <c r="K859" s="97"/>
      <c r="L859" s="97"/>
      <c r="M859" s="97"/>
      <c r="N859" s="97"/>
      <c r="O859" s="97"/>
      <c r="P859" s="97"/>
      <c r="Q859" s="97"/>
      <c r="R859" s="97"/>
      <c r="S859" s="97"/>
      <c r="T859" s="97"/>
      <c r="U859" s="97"/>
    </row>
    <row r="860" spans="1:21">
      <c r="A860" s="126"/>
      <c r="B860" s="127"/>
      <c r="C860" s="97"/>
      <c r="D860" s="519"/>
      <c r="E860" s="96"/>
      <c r="F860" s="97"/>
      <c r="G860" s="97"/>
      <c r="H860" s="97"/>
      <c r="I860" s="97"/>
      <c r="J860" s="97"/>
      <c r="K860" s="97"/>
      <c r="L860" s="97"/>
      <c r="M860" s="97"/>
      <c r="N860" s="97"/>
      <c r="O860" s="97"/>
      <c r="P860" s="97"/>
      <c r="Q860" s="97"/>
      <c r="R860" s="97"/>
      <c r="S860" s="97"/>
      <c r="T860" s="97"/>
      <c r="U860" s="97"/>
    </row>
    <row r="861" spans="1:21">
      <c r="A861" s="126"/>
      <c r="B861" s="127"/>
      <c r="C861" s="97"/>
      <c r="D861" s="519"/>
      <c r="E861" s="96"/>
      <c r="F861" s="97"/>
      <c r="G861" s="97"/>
      <c r="H861" s="97"/>
      <c r="I861" s="97"/>
      <c r="J861" s="97"/>
      <c r="K861" s="97"/>
      <c r="L861" s="97"/>
      <c r="M861" s="97"/>
      <c r="N861" s="97"/>
      <c r="O861" s="97"/>
      <c r="P861" s="97"/>
      <c r="Q861" s="97"/>
      <c r="R861" s="97"/>
      <c r="S861" s="97"/>
      <c r="T861" s="97"/>
      <c r="U861" s="97"/>
    </row>
    <row r="862" spans="1:21">
      <c r="A862" s="126"/>
      <c r="B862" s="127"/>
      <c r="C862" s="97"/>
      <c r="D862" s="519"/>
      <c r="E862" s="96"/>
      <c r="F862" s="97"/>
      <c r="G862" s="97"/>
      <c r="H862" s="97"/>
      <c r="I862" s="97"/>
      <c r="J862" s="97"/>
      <c r="K862" s="97"/>
      <c r="L862" s="97"/>
      <c r="M862" s="97"/>
      <c r="N862" s="97"/>
      <c r="O862" s="97"/>
      <c r="P862" s="97"/>
      <c r="Q862" s="97"/>
      <c r="R862" s="97"/>
      <c r="S862" s="97"/>
      <c r="T862" s="97"/>
      <c r="U862" s="97"/>
    </row>
    <row r="863" spans="1:21">
      <c r="A863" s="126"/>
      <c r="B863" s="127"/>
      <c r="C863" s="97"/>
      <c r="D863" s="519"/>
      <c r="E863" s="96"/>
      <c r="F863" s="97"/>
      <c r="G863" s="97"/>
      <c r="H863" s="97"/>
      <c r="I863" s="97"/>
      <c r="J863" s="97"/>
      <c r="K863" s="97"/>
      <c r="L863" s="97"/>
      <c r="M863" s="97"/>
      <c r="N863" s="97"/>
      <c r="O863" s="97"/>
      <c r="P863" s="97"/>
      <c r="Q863" s="97"/>
      <c r="R863" s="97"/>
      <c r="S863" s="97"/>
      <c r="T863" s="97"/>
      <c r="U863" s="97"/>
    </row>
    <row r="864" spans="1:21">
      <c r="A864" s="126"/>
      <c r="B864" s="127"/>
      <c r="C864" s="97"/>
      <c r="D864" s="519"/>
      <c r="E864" s="96"/>
      <c r="F864" s="97"/>
      <c r="G864" s="97"/>
      <c r="H864" s="97"/>
      <c r="I864" s="97"/>
      <c r="J864" s="97"/>
      <c r="K864" s="97"/>
      <c r="L864" s="97"/>
      <c r="M864" s="97"/>
      <c r="N864" s="97"/>
      <c r="O864" s="97"/>
      <c r="P864" s="97"/>
      <c r="Q864" s="97"/>
      <c r="R864" s="97"/>
      <c r="S864" s="97"/>
      <c r="T864" s="97"/>
      <c r="U864" s="97"/>
    </row>
    <row r="865" spans="1:21">
      <c r="A865" s="126"/>
      <c r="B865" s="127"/>
      <c r="C865" s="97"/>
      <c r="D865" s="519"/>
      <c r="E865" s="96"/>
      <c r="F865" s="97"/>
      <c r="G865" s="97"/>
      <c r="H865" s="97"/>
      <c r="I865" s="97"/>
      <c r="J865" s="97"/>
      <c r="K865" s="97"/>
      <c r="L865" s="97"/>
      <c r="M865" s="97"/>
      <c r="N865" s="97"/>
      <c r="O865" s="97"/>
      <c r="P865" s="97"/>
      <c r="Q865" s="97"/>
      <c r="R865" s="97"/>
      <c r="S865" s="97"/>
      <c r="T865" s="97"/>
      <c r="U865" s="97"/>
    </row>
    <row r="866" spans="1:21">
      <c r="A866" s="126"/>
      <c r="B866" s="127"/>
      <c r="C866" s="97"/>
      <c r="D866" s="519"/>
      <c r="E866" s="96"/>
      <c r="F866" s="97"/>
      <c r="G866" s="97"/>
      <c r="H866" s="97"/>
      <c r="I866" s="97"/>
      <c r="J866" s="97"/>
      <c r="K866" s="97"/>
      <c r="L866" s="97"/>
      <c r="M866" s="97"/>
      <c r="N866" s="97"/>
      <c r="O866" s="97"/>
      <c r="P866" s="97"/>
      <c r="Q866" s="97"/>
      <c r="R866" s="97"/>
      <c r="S866" s="97"/>
      <c r="T866" s="97"/>
      <c r="U866" s="97"/>
    </row>
    <row r="867" spans="1:21">
      <c r="A867" s="126"/>
      <c r="B867" s="127"/>
      <c r="C867" s="97"/>
      <c r="D867" s="519"/>
      <c r="E867" s="96"/>
      <c r="F867" s="97"/>
      <c r="G867" s="97"/>
      <c r="H867" s="97"/>
      <c r="I867" s="97"/>
      <c r="J867" s="97"/>
      <c r="K867" s="97"/>
      <c r="L867" s="97"/>
      <c r="M867" s="97"/>
      <c r="N867" s="97"/>
      <c r="O867" s="97"/>
      <c r="P867" s="97"/>
      <c r="Q867" s="97"/>
      <c r="R867" s="97"/>
      <c r="S867" s="97"/>
      <c r="T867" s="97"/>
      <c r="U867" s="97"/>
    </row>
    <row r="868" spans="1:21">
      <c r="A868" s="126"/>
      <c r="B868" s="127"/>
      <c r="C868" s="97"/>
      <c r="D868" s="519"/>
      <c r="E868" s="96"/>
      <c r="F868" s="97"/>
      <c r="G868" s="97"/>
      <c r="H868" s="97"/>
      <c r="I868" s="97"/>
      <c r="J868" s="97"/>
      <c r="K868" s="97"/>
      <c r="L868" s="97"/>
      <c r="M868" s="97"/>
      <c r="N868" s="97"/>
      <c r="O868" s="97"/>
      <c r="P868" s="97"/>
      <c r="Q868" s="97"/>
      <c r="R868" s="97"/>
      <c r="S868" s="97"/>
      <c r="T868" s="97"/>
      <c r="U868" s="97"/>
    </row>
    <row r="869" spans="1:21">
      <c r="A869" s="126"/>
      <c r="B869" s="127"/>
      <c r="C869" s="97"/>
      <c r="D869" s="519"/>
      <c r="E869" s="96"/>
      <c r="F869" s="97"/>
      <c r="G869" s="97"/>
      <c r="H869" s="97"/>
      <c r="I869" s="97"/>
      <c r="J869" s="97"/>
      <c r="K869" s="97"/>
      <c r="L869" s="97"/>
      <c r="M869" s="97"/>
      <c r="N869" s="97"/>
      <c r="O869" s="97"/>
      <c r="P869" s="97"/>
      <c r="Q869" s="97"/>
      <c r="R869" s="97"/>
      <c r="S869" s="97"/>
      <c r="T869" s="97"/>
      <c r="U869" s="97"/>
    </row>
    <row r="870" spans="1:21">
      <c r="A870" s="126"/>
      <c r="B870" s="127"/>
      <c r="C870" s="97"/>
      <c r="D870" s="519"/>
      <c r="E870" s="96"/>
      <c r="F870" s="97"/>
      <c r="G870" s="97"/>
      <c r="H870" s="97"/>
      <c r="I870" s="97"/>
      <c r="J870" s="97"/>
      <c r="K870" s="97"/>
      <c r="L870" s="97"/>
      <c r="M870" s="97"/>
      <c r="N870" s="97"/>
      <c r="O870" s="97"/>
      <c r="P870" s="97"/>
      <c r="Q870" s="97"/>
      <c r="R870" s="97"/>
      <c r="S870" s="97"/>
      <c r="T870" s="97"/>
      <c r="U870" s="97"/>
    </row>
    <row r="871" spans="1:21">
      <c r="A871" s="126"/>
      <c r="B871" s="127"/>
      <c r="C871" s="97"/>
      <c r="D871" s="519"/>
      <c r="E871" s="96"/>
      <c r="F871" s="97"/>
      <c r="G871" s="97"/>
      <c r="H871" s="97"/>
      <c r="I871" s="97"/>
      <c r="J871" s="97"/>
      <c r="K871" s="97"/>
      <c r="L871" s="97"/>
      <c r="M871" s="97"/>
      <c r="N871" s="97"/>
      <c r="O871" s="97"/>
      <c r="P871" s="97"/>
      <c r="Q871" s="97"/>
      <c r="R871" s="97"/>
      <c r="S871" s="97"/>
      <c r="T871" s="97"/>
      <c r="U871" s="97"/>
    </row>
    <row r="872" spans="1:21">
      <c r="A872" s="126"/>
      <c r="B872" s="127"/>
      <c r="C872" s="97"/>
      <c r="D872" s="519"/>
      <c r="E872" s="96"/>
      <c r="F872" s="97"/>
      <c r="G872" s="97"/>
      <c r="H872" s="97"/>
      <c r="I872" s="97"/>
      <c r="J872" s="97"/>
      <c r="K872" s="97"/>
      <c r="L872" s="97"/>
      <c r="M872" s="97"/>
      <c r="N872" s="97"/>
      <c r="O872" s="97"/>
      <c r="P872" s="97"/>
      <c r="Q872" s="97"/>
      <c r="R872" s="97"/>
      <c r="S872" s="97"/>
      <c r="T872" s="97"/>
      <c r="U872" s="97"/>
    </row>
    <row r="873" spans="1:21">
      <c r="A873" s="126"/>
      <c r="B873" s="127"/>
      <c r="C873" s="97"/>
      <c r="D873" s="519"/>
      <c r="E873" s="96"/>
      <c r="F873" s="97"/>
      <c r="G873" s="97"/>
      <c r="H873" s="97"/>
      <c r="I873" s="97"/>
      <c r="J873" s="97"/>
      <c r="K873" s="97"/>
      <c r="L873" s="97"/>
      <c r="M873" s="97"/>
      <c r="N873" s="97"/>
      <c r="O873" s="97"/>
      <c r="P873" s="97"/>
      <c r="Q873" s="97"/>
      <c r="R873" s="97"/>
      <c r="S873" s="97"/>
      <c r="T873" s="97"/>
      <c r="U873" s="97"/>
    </row>
    <row r="874" spans="1:21">
      <c r="A874" s="126"/>
      <c r="B874" s="127"/>
      <c r="C874" s="97"/>
      <c r="D874" s="519"/>
      <c r="E874" s="96"/>
      <c r="F874" s="97"/>
      <c r="G874" s="97"/>
      <c r="H874" s="97"/>
      <c r="I874" s="97"/>
      <c r="J874" s="97"/>
      <c r="K874" s="97"/>
      <c r="L874" s="97"/>
      <c r="M874" s="97"/>
      <c r="N874" s="97"/>
      <c r="O874" s="97"/>
      <c r="P874" s="97"/>
      <c r="Q874" s="97"/>
      <c r="R874" s="97"/>
      <c r="S874" s="97"/>
      <c r="T874" s="97"/>
      <c r="U874" s="97"/>
    </row>
    <row r="875" spans="1:21">
      <c r="A875" s="126"/>
      <c r="B875" s="127"/>
      <c r="C875" s="97"/>
      <c r="D875" s="519"/>
      <c r="E875" s="96"/>
      <c r="F875" s="97"/>
      <c r="G875" s="97"/>
      <c r="H875" s="97"/>
      <c r="I875" s="97"/>
      <c r="J875" s="97"/>
      <c r="K875" s="97"/>
      <c r="L875" s="97"/>
      <c r="M875" s="97"/>
      <c r="N875" s="97"/>
      <c r="O875" s="97"/>
      <c r="P875" s="97"/>
      <c r="Q875" s="97"/>
      <c r="R875" s="97"/>
      <c r="S875" s="97"/>
      <c r="T875" s="97"/>
      <c r="U875" s="97"/>
    </row>
    <row r="876" spans="1:21">
      <c r="A876" s="126"/>
      <c r="B876" s="127"/>
      <c r="C876" s="97"/>
      <c r="D876" s="519"/>
      <c r="E876" s="96"/>
      <c r="F876" s="97"/>
      <c r="G876" s="97"/>
      <c r="H876" s="97"/>
      <c r="I876" s="97"/>
      <c r="J876" s="97"/>
      <c r="K876" s="97"/>
      <c r="L876" s="97"/>
      <c r="M876" s="97"/>
      <c r="N876" s="97"/>
      <c r="O876" s="97"/>
      <c r="P876" s="97"/>
      <c r="Q876" s="97"/>
      <c r="R876" s="97"/>
      <c r="S876" s="97"/>
      <c r="T876" s="97"/>
      <c r="U876" s="97"/>
    </row>
    <row r="877" spans="1:21">
      <c r="A877" s="126"/>
      <c r="B877" s="127"/>
      <c r="C877" s="97"/>
      <c r="D877" s="519"/>
      <c r="E877" s="96"/>
      <c r="F877" s="97"/>
      <c r="G877" s="97"/>
      <c r="H877" s="97"/>
      <c r="I877" s="97"/>
      <c r="J877" s="97"/>
      <c r="K877" s="97"/>
      <c r="L877" s="97"/>
      <c r="M877" s="97"/>
      <c r="N877" s="97"/>
      <c r="O877" s="97"/>
      <c r="P877" s="97"/>
      <c r="Q877" s="97"/>
      <c r="R877" s="97"/>
      <c r="S877" s="97"/>
      <c r="T877" s="97"/>
      <c r="U877" s="97"/>
    </row>
    <row r="878" spans="1:21">
      <c r="A878" s="126"/>
      <c r="B878" s="127"/>
      <c r="C878" s="97"/>
      <c r="D878" s="519"/>
      <c r="E878" s="96"/>
      <c r="F878" s="97"/>
      <c r="G878" s="97"/>
      <c r="H878" s="97"/>
      <c r="I878" s="97"/>
      <c r="J878" s="97"/>
      <c r="K878" s="97"/>
      <c r="L878" s="97"/>
      <c r="M878" s="97"/>
      <c r="N878" s="97"/>
      <c r="O878" s="97"/>
      <c r="P878" s="97"/>
      <c r="Q878" s="97"/>
      <c r="R878" s="97"/>
      <c r="S878" s="97"/>
      <c r="T878" s="97"/>
      <c r="U878" s="97"/>
    </row>
    <row r="879" spans="1:21">
      <c r="A879" s="126"/>
      <c r="B879" s="127"/>
      <c r="C879" s="97"/>
      <c r="D879" s="519"/>
      <c r="E879" s="96"/>
      <c r="F879" s="97"/>
      <c r="G879" s="97"/>
      <c r="H879" s="97"/>
      <c r="I879" s="97"/>
      <c r="J879" s="97"/>
      <c r="K879" s="97"/>
      <c r="L879" s="97"/>
      <c r="M879" s="97"/>
      <c r="N879" s="97"/>
      <c r="O879" s="97"/>
      <c r="P879" s="97"/>
      <c r="Q879" s="97"/>
      <c r="R879" s="97"/>
      <c r="S879" s="97"/>
      <c r="T879" s="97"/>
      <c r="U879" s="97"/>
    </row>
    <row r="880" spans="1:21">
      <c r="A880" s="126"/>
      <c r="B880" s="127"/>
      <c r="C880" s="97"/>
      <c r="D880" s="519"/>
      <c r="E880" s="96"/>
      <c r="F880" s="97"/>
      <c r="G880" s="97"/>
      <c r="H880" s="97"/>
      <c r="I880" s="97"/>
      <c r="J880" s="97"/>
      <c r="K880" s="97"/>
      <c r="L880" s="97"/>
      <c r="M880" s="97"/>
      <c r="N880" s="97"/>
      <c r="O880" s="97"/>
      <c r="P880" s="97"/>
      <c r="Q880" s="97"/>
      <c r="R880" s="97"/>
      <c r="S880" s="97"/>
      <c r="T880" s="97"/>
      <c r="U880" s="97"/>
    </row>
    <row r="881" spans="1:21">
      <c r="A881" s="126"/>
      <c r="B881" s="127"/>
      <c r="C881" s="97"/>
      <c r="D881" s="519"/>
      <c r="E881" s="96"/>
      <c r="F881" s="97"/>
      <c r="G881" s="97"/>
      <c r="H881" s="97"/>
      <c r="I881" s="97"/>
      <c r="J881" s="97"/>
      <c r="K881" s="97"/>
      <c r="L881" s="97"/>
      <c r="M881" s="97"/>
      <c r="N881" s="97"/>
      <c r="O881" s="97"/>
      <c r="P881" s="97"/>
      <c r="Q881" s="97"/>
      <c r="R881" s="97"/>
      <c r="S881" s="97"/>
      <c r="T881" s="97"/>
      <c r="U881" s="97"/>
    </row>
    <row r="882" spans="1:21">
      <c r="A882" s="126"/>
      <c r="B882" s="127"/>
      <c r="C882" s="97"/>
      <c r="D882" s="519"/>
      <c r="E882" s="96"/>
      <c r="F882" s="97"/>
      <c r="G882" s="97"/>
      <c r="H882" s="97"/>
      <c r="I882" s="97"/>
      <c r="J882" s="97"/>
      <c r="K882" s="97"/>
      <c r="L882" s="97"/>
      <c r="M882" s="97"/>
      <c r="N882" s="97"/>
      <c r="O882" s="97"/>
      <c r="P882" s="97"/>
      <c r="Q882" s="97"/>
      <c r="R882" s="97"/>
      <c r="S882" s="97"/>
      <c r="T882" s="97"/>
      <c r="U882" s="97"/>
    </row>
    <row r="883" spans="1:21">
      <c r="A883" s="126"/>
      <c r="B883" s="127"/>
      <c r="C883" s="97"/>
      <c r="D883" s="519"/>
      <c r="E883" s="96"/>
      <c r="F883" s="97"/>
      <c r="G883" s="97"/>
      <c r="H883" s="97"/>
      <c r="I883" s="97"/>
      <c r="J883" s="97"/>
      <c r="K883" s="97"/>
      <c r="L883" s="97"/>
      <c r="M883" s="97"/>
      <c r="N883" s="97"/>
      <c r="O883" s="97"/>
      <c r="P883" s="97"/>
      <c r="Q883" s="97"/>
      <c r="R883" s="97"/>
      <c r="S883" s="97"/>
      <c r="T883" s="97"/>
      <c r="U883" s="97"/>
    </row>
    <row r="884" spans="1:21">
      <c r="A884" s="126"/>
      <c r="B884" s="127"/>
      <c r="C884" s="97"/>
      <c r="D884" s="519"/>
      <c r="E884" s="96"/>
      <c r="F884" s="97"/>
      <c r="G884" s="97"/>
      <c r="H884" s="97"/>
      <c r="I884" s="97"/>
      <c r="J884" s="97"/>
      <c r="K884" s="97"/>
      <c r="L884" s="97"/>
      <c r="M884" s="97"/>
      <c r="N884" s="97"/>
      <c r="O884" s="97"/>
      <c r="P884" s="97"/>
      <c r="Q884" s="97"/>
      <c r="R884" s="97"/>
      <c r="S884" s="97"/>
      <c r="T884" s="97"/>
      <c r="U884" s="97"/>
    </row>
    <row r="885" spans="1:21">
      <c r="A885" s="126"/>
      <c r="B885" s="127"/>
      <c r="C885" s="97"/>
      <c r="D885" s="519"/>
      <c r="E885" s="96"/>
      <c r="F885" s="97"/>
      <c r="G885" s="97"/>
      <c r="H885" s="97"/>
      <c r="I885" s="97"/>
      <c r="J885" s="97"/>
      <c r="K885" s="97"/>
      <c r="L885" s="97"/>
      <c r="M885" s="97"/>
      <c r="N885" s="97"/>
      <c r="O885" s="97"/>
      <c r="P885" s="97"/>
      <c r="Q885" s="97"/>
      <c r="R885" s="97"/>
      <c r="S885" s="97"/>
      <c r="T885" s="97"/>
      <c r="U885" s="97"/>
    </row>
    <row r="886" spans="1:21">
      <c r="A886" s="126"/>
      <c r="B886" s="127"/>
      <c r="C886" s="97"/>
      <c r="D886" s="519"/>
      <c r="E886" s="96"/>
      <c r="F886" s="97"/>
      <c r="G886" s="97"/>
      <c r="H886" s="97"/>
      <c r="I886" s="97"/>
      <c r="J886" s="97"/>
      <c r="K886" s="97"/>
      <c r="L886" s="97"/>
      <c r="M886" s="97"/>
      <c r="N886" s="97"/>
      <c r="O886" s="97"/>
      <c r="P886" s="97"/>
      <c r="Q886" s="97"/>
      <c r="R886" s="97"/>
      <c r="S886" s="97"/>
      <c r="T886" s="97"/>
      <c r="U886" s="97"/>
    </row>
    <row r="887" spans="1:21">
      <c r="A887" s="126"/>
      <c r="B887" s="127"/>
      <c r="C887" s="97"/>
      <c r="D887" s="519"/>
      <c r="E887" s="96"/>
      <c r="F887" s="97"/>
      <c r="G887" s="97"/>
      <c r="H887" s="97"/>
      <c r="I887" s="97"/>
      <c r="J887" s="97"/>
      <c r="K887" s="97"/>
      <c r="L887" s="97"/>
      <c r="M887" s="97"/>
      <c r="N887" s="97"/>
      <c r="O887" s="97"/>
      <c r="P887" s="97"/>
      <c r="Q887" s="97"/>
      <c r="R887" s="97"/>
      <c r="S887" s="97"/>
      <c r="T887" s="97"/>
      <c r="U887" s="97"/>
    </row>
    <row r="888" spans="1:21">
      <c r="A888" s="126"/>
      <c r="B888" s="127"/>
      <c r="C888" s="97"/>
      <c r="D888" s="519"/>
      <c r="E888" s="96"/>
      <c r="F888" s="97"/>
      <c r="G888" s="97"/>
      <c r="H888" s="97"/>
      <c r="I888" s="97"/>
      <c r="J888" s="97"/>
      <c r="K888" s="97"/>
      <c r="L888" s="97"/>
      <c r="M888" s="97"/>
      <c r="N888" s="97"/>
      <c r="O888" s="97"/>
      <c r="P888" s="97"/>
      <c r="Q888" s="97"/>
      <c r="R888" s="97"/>
      <c r="S888" s="97"/>
      <c r="T888" s="97"/>
      <c r="U888" s="97"/>
    </row>
    <row r="889" spans="1:21">
      <c r="A889" s="126"/>
      <c r="B889" s="127"/>
      <c r="C889" s="97"/>
      <c r="D889" s="519"/>
      <c r="E889" s="96"/>
      <c r="F889" s="97"/>
      <c r="G889" s="97"/>
      <c r="H889" s="97"/>
      <c r="I889" s="97"/>
      <c r="J889" s="97"/>
      <c r="K889" s="97"/>
      <c r="L889" s="97"/>
      <c r="M889" s="97"/>
      <c r="N889" s="97"/>
      <c r="O889" s="97"/>
      <c r="P889" s="97"/>
      <c r="Q889" s="97"/>
      <c r="R889" s="97"/>
      <c r="S889" s="97"/>
      <c r="T889" s="97"/>
      <c r="U889" s="97"/>
    </row>
    <row r="890" spans="1:21">
      <c r="A890" s="126"/>
      <c r="B890" s="127"/>
      <c r="C890" s="97"/>
      <c r="D890" s="519"/>
      <c r="E890" s="96"/>
      <c r="F890" s="97"/>
      <c r="G890" s="97"/>
      <c r="H890" s="97"/>
      <c r="I890" s="97"/>
      <c r="J890" s="97"/>
      <c r="K890" s="97"/>
      <c r="L890" s="97"/>
      <c r="M890" s="97"/>
      <c r="N890" s="97"/>
      <c r="O890" s="97"/>
      <c r="P890" s="97"/>
      <c r="Q890" s="97"/>
      <c r="R890" s="97"/>
      <c r="S890" s="97"/>
      <c r="T890" s="97"/>
      <c r="U890" s="97"/>
    </row>
    <row r="891" spans="1:21">
      <c r="A891" s="126"/>
      <c r="B891" s="127"/>
      <c r="C891" s="97"/>
      <c r="D891" s="519"/>
      <c r="E891" s="96"/>
      <c r="F891" s="97"/>
      <c r="G891" s="97"/>
      <c r="H891" s="97"/>
      <c r="I891" s="97"/>
      <c r="J891" s="97"/>
      <c r="K891" s="97"/>
      <c r="L891" s="97"/>
      <c r="M891" s="97"/>
      <c r="N891" s="97"/>
      <c r="O891" s="97"/>
      <c r="P891" s="97"/>
      <c r="Q891" s="97"/>
      <c r="R891" s="97"/>
      <c r="S891" s="97"/>
      <c r="T891" s="97"/>
      <c r="U891" s="97"/>
    </row>
    <row r="892" spans="1:21">
      <c r="A892" s="126"/>
      <c r="B892" s="127"/>
      <c r="C892" s="97"/>
      <c r="D892" s="519"/>
      <c r="E892" s="96"/>
      <c r="F892" s="97"/>
      <c r="G892" s="97"/>
      <c r="H892" s="97"/>
      <c r="I892" s="97"/>
      <c r="J892" s="97"/>
      <c r="K892" s="97"/>
      <c r="L892" s="97"/>
      <c r="M892" s="97"/>
      <c r="N892" s="97"/>
      <c r="O892" s="97"/>
      <c r="P892" s="97"/>
      <c r="Q892" s="97"/>
      <c r="R892" s="97"/>
      <c r="S892" s="97"/>
      <c r="T892" s="97"/>
      <c r="U892" s="97"/>
    </row>
    <row r="893" spans="1:21">
      <c r="A893" s="126"/>
      <c r="B893" s="127"/>
      <c r="C893" s="97"/>
      <c r="D893" s="519"/>
      <c r="E893" s="96"/>
      <c r="F893" s="97"/>
      <c r="G893" s="97"/>
      <c r="H893" s="97"/>
      <c r="I893" s="97"/>
      <c r="J893" s="97"/>
      <c r="K893" s="97"/>
      <c r="L893" s="97"/>
      <c r="M893" s="97"/>
      <c r="N893" s="97"/>
      <c r="O893" s="97"/>
      <c r="P893" s="97"/>
      <c r="Q893" s="97"/>
      <c r="R893" s="97"/>
      <c r="S893" s="97"/>
      <c r="T893" s="97"/>
      <c r="U893" s="97"/>
    </row>
    <row r="894" spans="1:21">
      <c r="A894" s="126"/>
      <c r="B894" s="127"/>
      <c r="C894" s="97"/>
      <c r="D894" s="519"/>
      <c r="E894" s="96"/>
      <c r="F894" s="97"/>
      <c r="G894" s="97"/>
      <c r="H894" s="97"/>
      <c r="I894" s="97"/>
      <c r="J894" s="97"/>
      <c r="K894" s="97"/>
      <c r="L894" s="97"/>
      <c r="M894" s="97"/>
      <c r="N894" s="97"/>
      <c r="O894" s="97"/>
      <c r="P894" s="97"/>
      <c r="Q894" s="97"/>
      <c r="R894" s="97"/>
      <c r="S894" s="97"/>
      <c r="T894" s="97"/>
      <c r="U894" s="97"/>
    </row>
    <row r="895" spans="1:21">
      <c r="A895" s="126"/>
      <c r="B895" s="127"/>
      <c r="C895" s="97"/>
      <c r="D895" s="519"/>
      <c r="E895" s="96"/>
      <c r="F895" s="97"/>
      <c r="G895" s="97"/>
      <c r="H895" s="97"/>
      <c r="I895" s="97"/>
      <c r="J895" s="97"/>
      <c r="K895" s="97"/>
      <c r="L895" s="97"/>
      <c r="M895" s="97"/>
      <c r="N895" s="97"/>
      <c r="O895" s="97"/>
      <c r="P895" s="97"/>
      <c r="Q895" s="97"/>
      <c r="R895" s="97"/>
      <c r="S895" s="97"/>
      <c r="T895" s="97"/>
      <c r="U895" s="97"/>
    </row>
    <row r="896" spans="1:21">
      <c r="A896" s="126"/>
      <c r="B896" s="127"/>
      <c r="C896" s="97"/>
      <c r="D896" s="519"/>
      <c r="E896" s="96"/>
      <c r="F896" s="97"/>
      <c r="G896" s="97"/>
      <c r="H896" s="97"/>
      <c r="I896" s="97"/>
      <c r="J896" s="97"/>
      <c r="K896" s="97"/>
      <c r="L896" s="97"/>
      <c r="M896" s="97"/>
      <c r="N896" s="97"/>
      <c r="O896" s="97"/>
      <c r="P896" s="97"/>
      <c r="Q896" s="97"/>
      <c r="R896" s="97"/>
      <c r="S896" s="97"/>
      <c r="T896" s="97"/>
      <c r="U896" s="97"/>
    </row>
    <row r="897" spans="1:21">
      <c r="A897" s="126"/>
      <c r="B897" s="127"/>
      <c r="C897" s="97"/>
      <c r="D897" s="519"/>
      <c r="E897" s="96"/>
      <c r="F897" s="97"/>
      <c r="G897" s="97"/>
      <c r="H897" s="97"/>
      <c r="I897" s="97"/>
      <c r="J897" s="97"/>
      <c r="K897" s="97"/>
      <c r="L897" s="97"/>
      <c r="M897" s="97"/>
      <c r="N897" s="97"/>
      <c r="O897" s="97"/>
      <c r="P897" s="97"/>
      <c r="Q897" s="97"/>
      <c r="R897" s="97"/>
      <c r="S897" s="97"/>
      <c r="T897" s="97"/>
      <c r="U897" s="97"/>
    </row>
    <row r="898" spans="1:21">
      <c r="A898" s="126"/>
      <c r="B898" s="127"/>
      <c r="C898" s="97"/>
      <c r="D898" s="519"/>
      <c r="E898" s="96"/>
      <c r="F898" s="97"/>
      <c r="G898" s="97"/>
      <c r="H898" s="97"/>
      <c r="I898" s="97"/>
      <c r="J898" s="97"/>
      <c r="K898" s="97"/>
      <c r="L898" s="97"/>
      <c r="M898" s="97"/>
      <c r="N898" s="97"/>
      <c r="O898" s="97"/>
      <c r="P898" s="97"/>
      <c r="Q898" s="97"/>
      <c r="R898" s="97"/>
      <c r="S898" s="97"/>
      <c r="T898" s="97"/>
      <c r="U898" s="97"/>
    </row>
    <row r="899" spans="1:21">
      <c r="A899" s="126"/>
      <c r="B899" s="127"/>
      <c r="C899" s="97"/>
      <c r="D899" s="519"/>
      <c r="E899" s="96"/>
      <c r="F899" s="97"/>
      <c r="G899" s="97"/>
      <c r="H899" s="97"/>
      <c r="I899" s="97"/>
      <c r="J899" s="97"/>
      <c r="K899" s="97"/>
      <c r="L899" s="97"/>
      <c r="M899" s="97"/>
      <c r="N899" s="97"/>
      <c r="O899" s="97"/>
      <c r="P899" s="97"/>
      <c r="Q899" s="97"/>
      <c r="R899" s="97"/>
      <c r="S899" s="97"/>
      <c r="T899" s="97"/>
      <c r="U899" s="97"/>
    </row>
    <row r="900" spans="1:21">
      <c r="A900" s="126"/>
      <c r="B900" s="127"/>
      <c r="C900" s="97"/>
      <c r="D900" s="519"/>
      <c r="E900" s="96"/>
      <c r="F900" s="97"/>
      <c r="G900" s="97"/>
      <c r="H900" s="97"/>
      <c r="I900" s="97"/>
      <c r="J900" s="97"/>
      <c r="K900" s="97"/>
      <c r="L900" s="97"/>
      <c r="M900" s="97"/>
      <c r="N900" s="97"/>
      <c r="O900" s="97"/>
      <c r="P900" s="97"/>
      <c r="Q900" s="97"/>
      <c r="R900" s="97"/>
      <c r="S900" s="97"/>
      <c r="T900" s="97"/>
      <c r="U900" s="97"/>
    </row>
    <row r="901" spans="1:21">
      <c r="A901" s="126"/>
      <c r="B901" s="127"/>
      <c r="C901" s="97"/>
      <c r="D901" s="519"/>
      <c r="E901" s="96"/>
      <c r="F901" s="97"/>
      <c r="G901" s="97"/>
      <c r="H901" s="97"/>
      <c r="I901" s="97"/>
      <c r="J901" s="97"/>
      <c r="K901" s="97"/>
      <c r="L901" s="97"/>
      <c r="M901" s="97"/>
      <c r="N901" s="97"/>
      <c r="O901" s="97"/>
      <c r="P901" s="97"/>
      <c r="Q901" s="97"/>
      <c r="R901" s="97"/>
      <c r="S901" s="97"/>
      <c r="T901" s="97"/>
      <c r="U901" s="97"/>
    </row>
    <row r="902" spans="1:21">
      <c r="A902" s="126"/>
      <c r="B902" s="127"/>
      <c r="C902" s="97"/>
      <c r="D902" s="519"/>
      <c r="E902" s="96"/>
      <c r="F902" s="97"/>
      <c r="G902" s="97"/>
      <c r="H902" s="97"/>
      <c r="I902" s="97"/>
      <c r="J902" s="97"/>
      <c r="K902" s="97"/>
      <c r="L902" s="97"/>
      <c r="M902" s="97"/>
      <c r="N902" s="97"/>
      <c r="O902" s="97"/>
      <c r="P902" s="97"/>
      <c r="Q902" s="97"/>
      <c r="R902" s="97"/>
      <c r="S902" s="97"/>
      <c r="T902" s="97"/>
      <c r="U902" s="97"/>
    </row>
    <row r="903" spans="1:21">
      <c r="A903" s="126"/>
      <c r="B903" s="127"/>
      <c r="C903" s="97"/>
      <c r="D903" s="519"/>
      <c r="E903" s="96"/>
      <c r="F903" s="97"/>
      <c r="G903" s="97"/>
      <c r="H903" s="97"/>
      <c r="I903" s="97"/>
      <c r="J903" s="97"/>
      <c r="K903" s="97"/>
      <c r="L903" s="97"/>
      <c r="M903" s="97"/>
      <c r="N903" s="97"/>
      <c r="O903" s="97"/>
      <c r="P903" s="97"/>
      <c r="Q903" s="97"/>
      <c r="R903" s="97"/>
      <c r="S903" s="97"/>
      <c r="T903" s="97"/>
      <c r="U903" s="97"/>
    </row>
    <row r="904" spans="1:21">
      <c r="A904" s="126"/>
      <c r="B904" s="127"/>
      <c r="C904" s="97"/>
      <c r="D904" s="519"/>
      <c r="E904" s="96"/>
      <c r="F904" s="97"/>
      <c r="G904" s="97"/>
      <c r="H904" s="97"/>
      <c r="I904" s="97"/>
      <c r="J904" s="97"/>
      <c r="K904" s="97"/>
      <c r="L904" s="97"/>
      <c r="M904" s="97"/>
      <c r="N904" s="97"/>
      <c r="O904" s="97"/>
      <c r="P904" s="97"/>
      <c r="Q904" s="97"/>
      <c r="R904" s="97"/>
      <c r="S904" s="97"/>
      <c r="T904" s="97"/>
      <c r="U904" s="97"/>
    </row>
    <row r="905" spans="1:21">
      <c r="A905" s="126"/>
      <c r="B905" s="127"/>
      <c r="C905" s="97"/>
      <c r="D905" s="519"/>
      <c r="E905" s="96"/>
      <c r="F905" s="97"/>
      <c r="G905" s="97"/>
      <c r="H905" s="97"/>
      <c r="I905" s="97"/>
      <c r="J905" s="97"/>
      <c r="K905" s="97"/>
      <c r="L905" s="97"/>
      <c r="M905" s="97"/>
      <c r="N905" s="97"/>
      <c r="O905" s="97"/>
      <c r="P905" s="97"/>
      <c r="Q905" s="97"/>
      <c r="R905" s="97"/>
      <c r="S905" s="97"/>
      <c r="T905" s="97"/>
      <c r="U905" s="97"/>
    </row>
    <row r="906" spans="1:21">
      <c r="A906" s="128"/>
      <c r="B906" s="131"/>
      <c r="C906" s="97"/>
      <c r="D906" s="519"/>
      <c r="E906" s="96"/>
      <c r="F906" s="97"/>
      <c r="G906" s="97"/>
      <c r="H906" s="97"/>
      <c r="I906" s="97"/>
      <c r="J906" s="97"/>
      <c r="K906" s="97"/>
      <c r="L906" s="97"/>
      <c r="M906" s="97"/>
      <c r="N906" s="97"/>
      <c r="O906" s="97"/>
      <c r="P906" s="97"/>
      <c r="Q906" s="97"/>
      <c r="R906" s="97"/>
      <c r="S906" s="97"/>
      <c r="T906" s="97"/>
      <c r="U906" s="97"/>
    </row>
    <row r="907" spans="1:21">
      <c r="A907" s="128"/>
      <c r="B907" s="131"/>
      <c r="C907" s="97"/>
      <c r="D907" s="519"/>
      <c r="E907" s="96"/>
      <c r="F907" s="97"/>
      <c r="G907" s="97"/>
      <c r="H907" s="97"/>
      <c r="I907" s="97"/>
      <c r="J907" s="97"/>
      <c r="K907" s="97"/>
      <c r="L907" s="97"/>
      <c r="M907" s="97"/>
      <c r="N907" s="97"/>
      <c r="O907" s="97"/>
      <c r="P907" s="97"/>
      <c r="Q907" s="97"/>
      <c r="R907" s="97"/>
      <c r="S907" s="97"/>
      <c r="T907" s="97"/>
      <c r="U907" s="97"/>
    </row>
    <row r="908" spans="1:21">
      <c r="A908" s="128"/>
      <c r="B908" s="131"/>
      <c r="C908" s="97"/>
      <c r="D908" s="519"/>
      <c r="E908" s="96"/>
      <c r="F908" s="97"/>
      <c r="G908" s="97"/>
      <c r="H908" s="97"/>
      <c r="I908" s="97"/>
      <c r="J908" s="97"/>
      <c r="K908" s="97"/>
      <c r="L908" s="97"/>
      <c r="M908" s="97"/>
      <c r="N908" s="97"/>
      <c r="O908" s="97"/>
      <c r="P908" s="97"/>
      <c r="Q908" s="97"/>
      <c r="R908" s="97"/>
      <c r="S908" s="97"/>
      <c r="T908" s="97"/>
      <c r="U908" s="97"/>
    </row>
    <row r="909" spans="1:21">
      <c r="A909" s="128"/>
      <c r="B909" s="131"/>
      <c r="C909" s="97"/>
      <c r="D909" s="519"/>
      <c r="E909" s="96"/>
      <c r="F909" s="97"/>
      <c r="G909" s="97"/>
      <c r="H909" s="97"/>
      <c r="I909" s="97"/>
      <c r="J909" s="97"/>
      <c r="K909" s="97"/>
      <c r="L909" s="97"/>
      <c r="M909" s="97"/>
      <c r="N909" s="97"/>
      <c r="O909" s="97"/>
      <c r="P909" s="97"/>
      <c r="Q909" s="97"/>
      <c r="R909" s="97"/>
      <c r="S909" s="97"/>
      <c r="T909" s="97"/>
      <c r="U909" s="97"/>
    </row>
    <row r="910" spans="1:21">
      <c r="A910" s="128"/>
      <c r="B910" s="131"/>
      <c r="C910" s="97"/>
      <c r="D910" s="519"/>
      <c r="E910" s="96"/>
      <c r="F910" s="97"/>
      <c r="G910" s="97"/>
      <c r="H910" s="97"/>
      <c r="I910" s="97"/>
      <c r="J910" s="97"/>
      <c r="K910" s="97"/>
      <c r="L910" s="97"/>
      <c r="M910" s="97"/>
      <c r="N910" s="97"/>
      <c r="O910" s="97"/>
      <c r="P910" s="97"/>
      <c r="Q910" s="97"/>
      <c r="R910" s="97"/>
      <c r="S910" s="97"/>
      <c r="T910" s="97"/>
      <c r="U910" s="97"/>
    </row>
    <row r="911" spans="1:21">
      <c r="A911" s="128"/>
      <c r="B911" s="131"/>
      <c r="C911" s="97"/>
      <c r="D911" s="519"/>
      <c r="E911" s="96"/>
      <c r="F911" s="97"/>
      <c r="G911" s="97"/>
      <c r="H911" s="97"/>
      <c r="I911" s="97"/>
      <c r="J911" s="97"/>
      <c r="K911" s="97"/>
      <c r="L911" s="97"/>
      <c r="M911" s="97"/>
      <c r="N911" s="97"/>
      <c r="O911" s="97"/>
      <c r="P911" s="97"/>
      <c r="Q911" s="97"/>
      <c r="R911" s="97"/>
      <c r="S911" s="97"/>
      <c r="T911" s="97"/>
      <c r="U911" s="97"/>
    </row>
    <row r="912" spans="1:21">
      <c r="A912" s="128"/>
      <c r="B912" s="131"/>
      <c r="C912" s="97"/>
      <c r="D912" s="519"/>
      <c r="E912" s="96"/>
      <c r="F912" s="97"/>
      <c r="G912" s="97"/>
      <c r="H912" s="97"/>
      <c r="I912" s="97"/>
      <c r="J912" s="97"/>
      <c r="K912" s="97"/>
      <c r="L912" s="97"/>
      <c r="M912" s="97"/>
      <c r="N912" s="97"/>
      <c r="O912" s="97"/>
      <c r="P912" s="97"/>
      <c r="Q912" s="97"/>
      <c r="R912" s="97"/>
      <c r="S912" s="97"/>
      <c r="T912" s="97"/>
      <c r="U912" s="97"/>
    </row>
    <row r="913" spans="1:21">
      <c r="A913" s="128"/>
      <c r="B913" s="131"/>
      <c r="C913" s="97"/>
      <c r="D913" s="519"/>
      <c r="E913" s="96"/>
      <c r="F913" s="97"/>
      <c r="G913" s="97"/>
      <c r="H913" s="97"/>
      <c r="I913" s="97"/>
      <c r="J913" s="97"/>
      <c r="K913" s="97"/>
      <c r="L913" s="97"/>
      <c r="M913" s="97"/>
      <c r="N913" s="97"/>
      <c r="O913" s="97"/>
      <c r="P913" s="97"/>
      <c r="Q913" s="97"/>
      <c r="R913" s="97"/>
      <c r="S913" s="97"/>
      <c r="T913" s="97"/>
      <c r="U913" s="97"/>
    </row>
    <row r="914" spans="1:21">
      <c r="A914" s="128"/>
      <c r="B914" s="131"/>
      <c r="C914" s="97"/>
      <c r="D914" s="519"/>
      <c r="E914" s="96"/>
      <c r="F914" s="97"/>
      <c r="G914" s="97"/>
      <c r="H914" s="97"/>
      <c r="I914" s="97"/>
      <c r="J914" s="97"/>
      <c r="K914" s="97"/>
      <c r="L914" s="97"/>
      <c r="M914" s="97"/>
      <c r="N914" s="97"/>
      <c r="O914" s="97"/>
      <c r="P914" s="97"/>
      <c r="Q914" s="97"/>
      <c r="R914" s="97"/>
      <c r="S914" s="97"/>
      <c r="T914" s="97"/>
      <c r="U914" s="97"/>
    </row>
    <row r="915" spans="1:21">
      <c r="A915" s="128"/>
      <c r="B915" s="131"/>
      <c r="C915" s="97"/>
      <c r="D915" s="519"/>
      <c r="E915" s="96"/>
      <c r="F915" s="97"/>
      <c r="G915" s="97"/>
      <c r="H915" s="97"/>
      <c r="I915" s="97"/>
      <c r="J915" s="97"/>
      <c r="K915" s="97"/>
      <c r="L915" s="97"/>
      <c r="M915" s="97"/>
      <c r="N915" s="97"/>
      <c r="O915" s="97"/>
      <c r="P915" s="97"/>
      <c r="Q915" s="97"/>
      <c r="R915" s="97"/>
      <c r="S915" s="97"/>
      <c r="T915" s="97"/>
      <c r="U915" s="97"/>
    </row>
    <row r="916" spans="1:21">
      <c r="A916" s="128"/>
      <c r="B916" s="131"/>
      <c r="C916" s="97"/>
      <c r="D916" s="519"/>
      <c r="E916" s="96"/>
      <c r="F916" s="97"/>
      <c r="G916" s="97"/>
      <c r="H916" s="97"/>
      <c r="I916" s="97"/>
      <c r="J916" s="97"/>
      <c r="K916" s="97"/>
      <c r="L916" s="97"/>
      <c r="M916" s="97"/>
      <c r="N916" s="97"/>
      <c r="O916" s="97"/>
      <c r="P916" s="97"/>
      <c r="Q916" s="97"/>
      <c r="R916" s="97"/>
      <c r="S916" s="97"/>
      <c r="T916" s="97"/>
      <c r="U916" s="97"/>
    </row>
    <row r="917" spans="1:21">
      <c r="A917" s="128"/>
      <c r="B917" s="131"/>
      <c r="C917" s="97"/>
      <c r="D917" s="519"/>
      <c r="E917" s="96"/>
      <c r="F917" s="97"/>
      <c r="G917" s="97"/>
      <c r="H917" s="97"/>
      <c r="I917" s="97"/>
      <c r="J917" s="97"/>
      <c r="K917" s="97"/>
      <c r="L917" s="97"/>
      <c r="M917" s="97"/>
      <c r="N917" s="97"/>
      <c r="O917" s="97"/>
      <c r="P917" s="97"/>
      <c r="Q917" s="97"/>
      <c r="R917" s="97"/>
      <c r="S917" s="97"/>
      <c r="T917" s="97"/>
      <c r="U917" s="97"/>
    </row>
    <row r="918" spans="1:21">
      <c r="A918" s="128"/>
      <c r="B918" s="131"/>
      <c r="C918" s="97"/>
      <c r="D918" s="519"/>
      <c r="E918" s="96"/>
      <c r="F918" s="97"/>
      <c r="G918" s="97"/>
      <c r="H918" s="97"/>
      <c r="I918" s="97"/>
      <c r="J918" s="97"/>
      <c r="K918" s="97"/>
      <c r="L918" s="97"/>
      <c r="M918" s="97"/>
      <c r="N918" s="97"/>
      <c r="O918" s="97"/>
      <c r="P918" s="97"/>
      <c r="Q918" s="97"/>
      <c r="R918" s="97"/>
      <c r="S918" s="97"/>
      <c r="T918" s="97"/>
      <c r="U918" s="97"/>
    </row>
    <row r="919" spans="1:21">
      <c r="A919" s="128"/>
      <c r="B919" s="131"/>
      <c r="C919" s="97"/>
      <c r="D919" s="519"/>
      <c r="E919" s="96"/>
      <c r="F919" s="97"/>
      <c r="G919" s="97"/>
      <c r="H919" s="97"/>
      <c r="I919" s="97"/>
      <c r="J919" s="97"/>
      <c r="K919" s="97"/>
      <c r="L919" s="97"/>
      <c r="M919" s="97"/>
      <c r="N919" s="97"/>
      <c r="O919" s="97"/>
      <c r="P919" s="97"/>
      <c r="Q919" s="97"/>
      <c r="R919" s="97"/>
      <c r="S919" s="97"/>
      <c r="T919" s="97"/>
      <c r="U919" s="97"/>
    </row>
    <row r="920" spans="1:21">
      <c r="A920" s="128"/>
      <c r="B920" s="131"/>
      <c r="C920" s="97"/>
      <c r="D920" s="519"/>
      <c r="E920" s="96"/>
      <c r="F920" s="97"/>
      <c r="G920" s="97"/>
      <c r="H920" s="97"/>
      <c r="I920" s="97"/>
      <c r="J920" s="97"/>
      <c r="K920" s="97"/>
      <c r="L920" s="97"/>
      <c r="M920" s="97"/>
      <c r="N920" s="97"/>
      <c r="O920" s="97"/>
      <c r="P920" s="97"/>
      <c r="Q920" s="97"/>
      <c r="R920" s="97"/>
      <c r="S920" s="97"/>
      <c r="T920" s="97"/>
      <c r="U920" s="97"/>
    </row>
    <row r="921" spans="1:21">
      <c r="A921" s="128"/>
      <c r="B921" s="131"/>
      <c r="C921" s="97"/>
      <c r="D921" s="519"/>
      <c r="E921" s="96"/>
      <c r="F921" s="97"/>
      <c r="G921" s="97"/>
      <c r="H921" s="97"/>
      <c r="I921" s="97"/>
      <c r="J921" s="97"/>
      <c r="K921" s="97"/>
      <c r="L921" s="97"/>
      <c r="M921" s="97"/>
      <c r="N921" s="97"/>
      <c r="O921" s="97"/>
      <c r="P921" s="97"/>
      <c r="Q921" s="97"/>
      <c r="R921" s="97"/>
      <c r="S921" s="97"/>
      <c r="T921" s="97"/>
      <c r="U921" s="97"/>
    </row>
    <row r="922" spans="1:21">
      <c r="A922" s="128"/>
      <c r="B922" s="131"/>
      <c r="C922" s="97"/>
      <c r="D922" s="519"/>
      <c r="E922" s="96"/>
      <c r="F922" s="97"/>
      <c r="G922" s="97"/>
      <c r="H922" s="97"/>
      <c r="I922" s="97"/>
      <c r="J922" s="97"/>
      <c r="K922" s="97"/>
      <c r="L922" s="97"/>
      <c r="M922" s="97"/>
      <c r="N922" s="97"/>
      <c r="O922" s="97"/>
      <c r="P922" s="97"/>
      <c r="Q922" s="97"/>
      <c r="R922" s="97"/>
      <c r="S922" s="97"/>
      <c r="T922" s="97"/>
      <c r="U922" s="97"/>
    </row>
    <row r="923" spans="1:21">
      <c r="A923" s="128"/>
      <c r="B923" s="131"/>
      <c r="C923" s="97"/>
      <c r="D923" s="519"/>
      <c r="E923" s="96"/>
      <c r="F923" s="97"/>
      <c r="G923" s="97"/>
      <c r="H923" s="97"/>
      <c r="I923" s="97"/>
      <c r="J923" s="97"/>
      <c r="K923" s="97"/>
      <c r="L923" s="97"/>
      <c r="M923" s="97"/>
      <c r="N923" s="97"/>
      <c r="O923" s="97"/>
      <c r="P923" s="97"/>
      <c r="Q923" s="97"/>
      <c r="R923" s="97"/>
      <c r="S923" s="97"/>
      <c r="T923" s="97"/>
      <c r="U923" s="97"/>
    </row>
    <row r="924" spans="1:21">
      <c r="A924" s="128"/>
      <c r="B924" s="131"/>
      <c r="C924" s="97"/>
      <c r="D924" s="519"/>
      <c r="E924" s="96"/>
      <c r="F924" s="97"/>
      <c r="G924" s="97"/>
      <c r="H924" s="97"/>
      <c r="I924" s="97"/>
      <c r="J924" s="97"/>
      <c r="K924" s="97"/>
      <c r="L924" s="97"/>
      <c r="M924" s="97"/>
      <c r="N924" s="97"/>
      <c r="O924" s="97"/>
      <c r="P924" s="97"/>
      <c r="Q924" s="97"/>
      <c r="R924" s="97"/>
      <c r="S924" s="97"/>
      <c r="T924" s="97"/>
      <c r="U924" s="97"/>
    </row>
    <row r="925" spans="1:21">
      <c r="A925" s="128"/>
      <c r="B925" s="131"/>
      <c r="C925" s="97"/>
      <c r="D925" s="519"/>
      <c r="E925" s="96"/>
      <c r="F925" s="97"/>
      <c r="G925" s="97"/>
      <c r="H925" s="97"/>
      <c r="I925" s="97"/>
      <c r="J925" s="97"/>
      <c r="K925" s="97"/>
      <c r="L925" s="97"/>
      <c r="M925" s="97"/>
      <c r="N925" s="97"/>
      <c r="O925" s="97"/>
      <c r="P925" s="97"/>
      <c r="Q925" s="97"/>
      <c r="R925" s="97"/>
      <c r="S925" s="97"/>
      <c r="T925" s="97"/>
      <c r="U925" s="97"/>
    </row>
    <row r="926" spans="1:21">
      <c r="A926" s="128"/>
      <c r="B926" s="131"/>
      <c r="C926" s="97"/>
      <c r="D926" s="519"/>
      <c r="E926" s="96"/>
      <c r="F926" s="97"/>
      <c r="G926" s="97"/>
      <c r="H926" s="97"/>
      <c r="I926" s="97"/>
      <c r="J926" s="97"/>
      <c r="K926" s="97"/>
      <c r="L926" s="97"/>
      <c r="M926" s="97"/>
      <c r="N926" s="97"/>
      <c r="O926" s="97"/>
      <c r="P926" s="97"/>
      <c r="Q926" s="97"/>
      <c r="R926" s="97"/>
      <c r="S926" s="97"/>
      <c r="T926" s="97"/>
      <c r="U926" s="97"/>
    </row>
    <row r="927" spans="1:21">
      <c r="A927" s="128"/>
      <c r="B927" s="131"/>
      <c r="C927" s="97"/>
      <c r="D927" s="519"/>
      <c r="E927" s="96"/>
      <c r="F927" s="97"/>
      <c r="G927" s="97"/>
      <c r="H927" s="97"/>
      <c r="I927" s="97"/>
      <c r="J927" s="97"/>
      <c r="K927" s="97"/>
      <c r="L927" s="97"/>
      <c r="M927" s="97"/>
      <c r="N927" s="97"/>
      <c r="O927" s="97"/>
      <c r="P927" s="97"/>
      <c r="Q927" s="97"/>
      <c r="R927" s="97"/>
      <c r="S927" s="97"/>
      <c r="T927" s="97"/>
      <c r="U927" s="97"/>
    </row>
    <row r="928" spans="1:21">
      <c r="A928" s="128"/>
      <c r="B928" s="131"/>
      <c r="C928" s="97"/>
      <c r="D928" s="519"/>
      <c r="E928" s="96"/>
      <c r="F928" s="97"/>
      <c r="G928" s="97"/>
      <c r="H928" s="97"/>
      <c r="I928" s="97"/>
      <c r="J928" s="97"/>
      <c r="K928" s="97"/>
      <c r="L928" s="97"/>
      <c r="M928" s="97"/>
      <c r="N928" s="97"/>
      <c r="O928" s="97"/>
      <c r="P928" s="97"/>
      <c r="Q928" s="97"/>
      <c r="R928" s="97"/>
      <c r="S928" s="97"/>
      <c r="T928" s="97"/>
      <c r="U928" s="97"/>
    </row>
    <row r="929" spans="1:21">
      <c r="A929" s="128"/>
      <c r="B929" s="131"/>
      <c r="C929" s="97"/>
      <c r="D929" s="519"/>
      <c r="E929" s="96"/>
      <c r="F929" s="97"/>
      <c r="G929" s="97"/>
      <c r="H929" s="97"/>
      <c r="I929" s="97"/>
      <c r="J929" s="97"/>
      <c r="K929" s="97"/>
      <c r="L929" s="97"/>
      <c r="M929" s="97"/>
      <c r="N929" s="97"/>
      <c r="O929" s="97"/>
      <c r="P929" s="97"/>
      <c r="Q929" s="97"/>
      <c r="R929" s="97"/>
      <c r="S929" s="97"/>
      <c r="T929" s="97"/>
      <c r="U929" s="97"/>
    </row>
    <row r="930" spans="1:21">
      <c r="A930" s="128"/>
      <c r="B930" s="131"/>
      <c r="C930" s="97"/>
      <c r="D930" s="519"/>
      <c r="E930" s="96"/>
      <c r="F930" s="97"/>
      <c r="G930" s="97"/>
      <c r="H930" s="97"/>
      <c r="I930" s="97"/>
      <c r="J930" s="97"/>
      <c r="K930" s="97"/>
      <c r="L930" s="97"/>
      <c r="M930" s="97"/>
      <c r="N930" s="97"/>
      <c r="O930" s="97"/>
      <c r="P930" s="97"/>
      <c r="Q930" s="97"/>
      <c r="R930" s="97"/>
      <c r="S930" s="97"/>
      <c r="T930" s="97"/>
      <c r="U930" s="97"/>
    </row>
    <row r="931" spans="1:21">
      <c r="A931" s="128"/>
      <c r="B931" s="131"/>
      <c r="C931" s="97"/>
      <c r="D931" s="519"/>
      <c r="E931" s="96"/>
      <c r="F931" s="97"/>
      <c r="G931" s="97"/>
      <c r="H931" s="97"/>
      <c r="I931" s="97"/>
      <c r="J931" s="97"/>
      <c r="K931" s="97"/>
      <c r="L931" s="97"/>
      <c r="M931" s="97"/>
      <c r="N931" s="97"/>
      <c r="O931" s="97"/>
      <c r="P931" s="97"/>
      <c r="Q931" s="97"/>
      <c r="R931" s="97"/>
      <c r="S931" s="97"/>
      <c r="T931" s="97"/>
      <c r="U931" s="97"/>
    </row>
    <row r="932" spans="1:21">
      <c r="A932" s="128"/>
      <c r="B932" s="131"/>
      <c r="C932" s="97"/>
      <c r="D932" s="519"/>
      <c r="E932" s="96"/>
      <c r="F932" s="97"/>
      <c r="G932" s="97"/>
      <c r="H932" s="97"/>
      <c r="I932" s="97"/>
      <c r="J932" s="97"/>
      <c r="K932" s="97"/>
      <c r="L932" s="97"/>
      <c r="M932" s="97"/>
      <c r="N932" s="97"/>
      <c r="O932" s="97"/>
      <c r="P932" s="97"/>
      <c r="Q932" s="97"/>
      <c r="R932" s="97"/>
      <c r="S932" s="97"/>
      <c r="T932" s="97"/>
      <c r="U932" s="97"/>
    </row>
    <row r="933" spans="1:21">
      <c r="A933" s="128"/>
      <c r="B933" s="131"/>
      <c r="C933" s="97"/>
      <c r="D933" s="519"/>
      <c r="E933" s="96"/>
      <c r="F933" s="97"/>
      <c r="G933" s="97"/>
      <c r="H933" s="97"/>
      <c r="I933" s="97"/>
      <c r="J933" s="97"/>
      <c r="K933" s="97"/>
      <c r="L933" s="97"/>
      <c r="M933" s="97"/>
      <c r="N933" s="97"/>
      <c r="O933" s="97"/>
      <c r="P933" s="97"/>
      <c r="Q933" s="97"/>
      <c r="R933" s="97"/>
      <c r="S933" s="97"/>
      <c r="T933" s="97"/>
      <c r="U933" s="97"/>
    </row>
    <row r="934" spans="1:21">
      <c r="A934" s="128"/>
      <c r="B934" s="131"/>
      <c r="C934" s="97"/>
      <c r="D934" s="519"/>
      <c r="E934" s="96"/>
      <c r="F934" s="97"/>
      <c r="G934" s="97"/>
      <c r="H934" s="97"/>
      <c r="I934" s="97"/>
      <c r="J934" s="97"/>
      <c r="K934" s="97"/>
      <c r="L934" s="97"/>
      <c r="M934" s="97"/>
      <c r="N934" s="97"/>
      <c r="O934" s="97"/>
      <c r="P934" s="97"/>
      <c r="Q934" s="97"/>
      <c r="R934" s="97"/>
      <c r="S934" s="97"/>
      <c r="T934" s="97"/>
      <c r="U934" s="97"/>
    </row>
    <row r="935" spans="1:21">
      <c r="A935" s="128"/>
      <c r="B935" s="131"/>
      <c r="C935" s="97"/>
      <c r="D935" s="519"/>
      <c r="E935" s="96"/>
      <c r="F935" s="97"/>
      <c r="G935" s="97"/>
      <c r="H935" s="97"/>
      <c r="I935" s="97"/>
      <c r="J935" s="97"/>
      <c r="K935" s="97"/>
      <c r="L935" s="97"/>
      <c r="M935" s="97"/>
      <c r="N935" s="97"/>
      <c r="O935" s="97"/>
      <c r="P935" s="97"/>
      <c r="Q935" s="97"/>
      <c r="R935" s="97"/>
      <c r="S935" s="97"/>
      <c r="T935" s="97"/>
      <c r="U935" s="97"/>
    </row>
    <row r="936" spans="1:21">
      <c r="A936" s="128"/>
      <c r="B936" s="131"/>
      <c r="C936" s="97"/>
      <c r="D936" s="519"/>
      <c r="E936" s="96"/>
      <c r="F936" s="97"/>
      <c r="G936" s="97"/>
      <c r="H936" s="97"/>
      <c r="I936" s="97"/>
      <c r="J936" s="97"/>
      <c r="K936" s="97"/>
      <c r="L936" s="97"/>
      <c r="M936" s="97"/>
      <c r="N936" s="97"/>
      <c r="O936" s="97"/>
      <c r="P936" s="97"/>
      <c r="Q936" s="97"/>
      <c r="R936" s="97"/>
      <c r="S936" s="97"/>
      <c r="T936" s="97"/>
      <c r="U936" s="97"/>
    </row>
    <row r="937" spans="1:21">
      <c r="A937" s="128"/>
      <c r="B937" s="131"/>
      <c r="C937" s="97"/>
      <c r="D937" s="519"/>
      <c r="E937" s="96"/>
      <c r="F937" s="97"/>
      <c r="G937" s="97"/>
      <c r="H937" s="97"/>
      <c r="I937" s="97"/>
      <c r="J937" s="97"/>
      <c r="K937" s="97"/>
      <c r="L937" s="97"/>
      <c r="M937" s="97"/>
      <c r="N937" s="97"/>
      <c r="O937" s="97"/>
      <c r="P937" s="97"/>
      <c r="Q937" s="97"/>
      <c r="R937" s="97"/>
      <c r="S937" s="97"/>
      <c r="T937" s="97"/>
      <c r="U937" s="97"/>
    </row>
    <row r="938" spans="1:21">
      <c r="A938" s="128"/>
      <c r="B938" s="131"/>
      <c r="C938" s="97"/>
      <c r="D938" s="519"/>
      <c r="E938" s="96"/>
      <c r="F938" s="97"/>
      <c r="G938" s="97"/>
      <c r="H938" s="97"/>
      <c r="I938" s="97"/>
      <c r="J938" s="97"/>
      <c r="K938" s="97"/>
      <c r="L938" s="97"/>
      <c r="M938" s="97"/>
      <c r="N938" s="97"/>
      <c r="O938" s="97"/>
      <c r="P938" s="97"/>
      <c r="Q938" s="97"/>
      <c r="R938" s="97"/>
      <c r="S938" s="97"/>
      <c r="T938" s="97"/>
      <c r="U938" s="97"/>
    </row>
    <row r="939" spans="1:21">
      <c r="A939" s="128"/>
      <c r="B939" s="131"/>
      <c r="C939" s="97"/>
      <c r="D939" s="519"/>
      <c r="E939" s="96"/>
      <c r="F939" s="97"/>
      <c r="G939" s="97"/>
      <c r="H939" s="97"/>
      <c r="I939" s="97"/>
      <c r="J939" s="97"/>
      <c r="K939" s="97"/>
      <c r="L939" s="97"/>
      <c r="M939" s="97"/>
      <c r="N939" s="97"/>
      <c r="O939" s="97"/>
      <c r="P939" s="97"/>
      <c r="Q939" s="97"/>
      <c r="R939" s="97"/>
      <c r="S939" s="97"/>
      <c r="T939" s="97"/>
      <c r="U939" s="97"/>
    </row>
    <row r="940" spans="1:21">
      <c r="A940" s="128"/>
      <c r="B940" s="131"/>
      <c r="C940" s="97"/>
      <c r="D940" s="519"/>
      <c r="E940" s="96"/>
      <c r="F940" s="97"/>
      <c r="G940" s="97"/>
      <c r="H940" s="97"/>
      <c r="I940" s="97"/>
      <c r="J940" s="97"/>
      <c r="K940" s="97"/>
      <c r="L940" s="97"/>
      <c r="M940" s="97"/>
      <c r="N940" s="97"/>
      <c r="O940" s="97"/>
      <c r="P940" s="97"/>
      <c r="Q940" s="97"/>
      <c r="R940" s="97"/>
      <c r="S940" s="97"/>
      <c r="T940" s="97"/>
      <c r="U940" s="97"/>
    </row>
    <row r="941" spans="1:21">
      <c r="A941" s="128"/>
      <c r="B941" s="131"/>
      <c r="C941" s="97"/>
      <c r="D941" s="519"/>
      <c r="E941" s="96"/>
      <c r="F941" s="97"/>
      <c r="G941" s="97"/>
      <c r="H941" s="97"/>
      <c r="I941" s="97"/>
      <c r="J941" s="97"/>
      <c r="K941" s="97"/>
      <c r="L941" s="97"/>
      <c r="M941" s="97"/>
      <c r="N941" s="97"/>
      <c r="O941" s="97"/>
      <c r="P941" s="97"/>
      <c r="Q941" s="97"/>
      <c r="R941" s="97"/>
      <c r="S941" s="97"/>
      <c r="T941" s="97"/>
      <c r="U941" s="97"/>
    </row>
    <row r="942" spans="1:21">
      <c r="A942" s="128"/>
      <c r="B942" s="131"/>
      <c r="C942" s="97"/>
      <c r="D942" s="519"/>
      <c r="E942" s="96"/>
      <c r="F942" s="97"/>
      <c r="G942" s="97"/>
      <c r="H942" s="97"/>
      <c r="I942" s="97"/>
      <c r="J942" s="97"/>
      <c r="K942" s="97"/>
      <c r="L942" s="97"/>
      <c r="M942" s="97"/>
      <c r="N942" s="97"/>
      <c r="O942" s="97"/>
      <c r="P942" s="97"/>
      <c r="Q942" s="97"/>
      <c r="R942" s="97"/>
      <c r="S942" s="97"/>
      <c r="T942" s="97"/>
      <c r="U942" s="97"/>
    </row>
    <row r="943" spans="1:21">
      <c r="A943" s="128"/>
      <c r="B943" s="131"/>
      <c r="C943" s="97"/>
      <c r="D943" s="519"/>
      <c r="E943" s="96"/>
      <c r="F943" s="97"/>
      <c r="G943" s="97"/>
      <c r="H943" s="97"/>
      <c r="I943" s="97"/>
      <c r="J943" s="97"/>
      <c r="K943" s="97"/>
      <c r="L943" s="97"/>
      <c r="M943" s="97"/>
      <c r="N943" s="97"/>
      <c r="O943" s="97"/>
      <c r="P943" s="97"/>
      <c r="Q943" s="97"/>
      <c r="R943" s="97"/>
      <c r="S943" s="97"/>
      <c r="T943" s="97"/>
      <c r="U943" s="97"/>
    </row>
    <row r="944" spans="1:21">
      <c r="A944" s="128"/>
      <c r="B944" s="131"/>
      <c r="C944" s="97"/>
      <c r="D944" s="519"/>
      <c r="E944" s="96"/>
      <c r="F944" s="97"/>
      <c r="G944" s="97"/>
      <c r="H944" s="97"/>
      <c r="I944" s="97"/>
      <c r="J944" s="97"/>
      <c r="K944" s="97"/>
      <c r="L944" s="97"/>
      <c r="M944" s="97"/>
      <c r="N944" s="97"/>
      <c r="O944" s="97"/>
      <c r="P944" s="97"/>
      <c r="Q944" s="97"/>
      <c r="R944" s="97"/>
      <c r="S944" s="97"/>
      <c r="T944" s="97"/>
      <c r="U944" s="97"/>
    </row>
    <row r="945" spans="1:21">
      <c r="A945" s="128"/>
      <c r="B945" s="131"/>
      <c r="C945" s="97"/>
      <c r="D945" s="519"/>
      <c r="E945" s="96"/>
      <c r="F945" s="97"/>
      <c r="G945" s="97"/>
      <c r="H945" s="97"/>
      <c r="I945" s="97"/>
      <c r="J945" s="97"/>
      <c r="K945" s="97"/>
      <c r="L945" s="97"/>
      <c r="M945" s="97"/>
      <c r="N945" s="97"/>
      <c r="O945" s="97"/>
      <c r="P945" s="97"/>
      <c r="Q945" s="97"/>
      <c r="R945" s="97"/>
      <c r="S945" s="97"/>
      <c r="T945" s="97"/>
      <c r="U945" s="97"/>
    </row>
    <row r="946" spans="1:21">
      <c r="A946" s="128"/>
      <c r="B946" s="131"/>
      <c r="C946" s="97"/>
      <c r="D946" s="519"/>
      <c r="E946" s="96"/>
      <c r="F946" s="97"/>
      <c r="G946" s="97"/>
      <c r="H946" s="97"/>
      <c r="I946" s="97"/>
      <c r="J946" s="97"/>
      <c r="K946" s="97"/>
      <c r="L946" s="97"/>
      <c r="M946" s="97"/>
      <c r="N946" s="97"/>
      <c r="O946" s="97"/>
      <c r="P946" s="97"/>
      <c r="Q946" s="97"/>
      <c r="R946" s="97"/>
      <c r="S946" s="97"/>
      <c r="T946" s="97"/>
      <c r="U946" s="97"/>
    </row>
    <row r="947" spans="1:21">
      <c r="A947" s="128"/>
      <c r="B947" s="131"/>
      <c r="C947" s="97"/>
      <c r="D947" s="519"/>
      <c r="E947" s="96"/>
      <c r="F947" s="97"/>
      <c r="G947" s="97"/>
      <c r="H947" s="97"/>
      <c r="I947" s="97"/>
      <c r="J947" s="97"/>
      <c r="K947" s="97"/>
      <c r="L947" s="97"/>
      <c r="M947" s="97"/>
      <c r="N947" s="97"/>
      <c r="O947" s="97"/>
      <c r="P947" s="97"/>
      <c r="Q947" s="97"/>
      <c r="R947" s="97"/>
      <c r="S947" s="97"/>
      <c r="T947" s="97"/>
      <c r="U947" s="97"/>
    </row>
    <row r="948" spans="1:21">
      <c r="A948" s="128"/>
      <c r="B948" s="131"/>
      <c r="C948" s="97"/>
      <c r="D948" s="519"/>
      <c r="E948" s="96"/>
      <c r="F948" s="97"/>
      <c r="G948" s="97"/>
      <c r="H948" s="97"/>
      <c r="I948" s="97"/>
      <c r="J948" s="97"/>
      <c r="K948" s="97"/>
      <c r="L948" s="97"/>
      <c r="M948" s="97"/>
      <c r="N948" s="97"/>
      <c r="O948" s="97"/>
      <c r="P948" s="97"/>
      <c r="Q948" s="97"/>
      <c r="R948" s="97"/>
      <c r="S948" s="97"/>
      <c r="T948" s="97"/>
      <c r="U948" s="97"/>
    </row>
    <row r="949" spans="1:21">
      <c r="A949" s="128"/>
      <c r="B949" s="131"/>
      <c r="C949" s="97"/>
      <c r="D949" s="519"/>
      <c r="E949" s="96"/>
      <c r="F949" s="97"/>
      <c r="G949" s="97"/>
      <c r="H949" s="97"/>
      <c r="I949" s="97"/>
      <c r="J949" s="97"/>
      <c r="K949" s="97"/>
      <c r="L949" s="97"/>
      <c r="M949" s="97"/>
      <c r="N949" s="97"/>
      <c r="O949" s="97"/>
      <c r="P949" s="97"/>
      <c r="Q949" s="97"/>
      <c r="R949" s="97"/>
      <c r="S949" s="97"/>
      <c r="T949" s="97"/>
      <c r="U949" s="97"/>
    </row>
    <row r="950" spans="1:21">
      <c r="A950" s="128"/>
      <c r="B950" s="131"/>
      <c r="C950" s="97"/>
      <c r="D950" s="519"/>
      <c r="E950" s="96"/>
      <c r="F950" s="97"/>
      <c r="G950" s="97"/>
      <c r="H950" s="97"/>
      <c r="I950" s="97"/>
      <c r="J950" s="97"/>
      <c r="K950" s="97"/>
      <c r="L950" s="97"/>
      <c r="M950" s="97"/>
      <c r="N950" s="97"/>
      <c r="O950" s="97"/>
      <c r="P950" s="97"/>
      <c r="Q950" s="97"/>
      <c r="R950" s="97"/>
      <c r="S950" s="97"/>
      <c r="T950" s="97"/>
      <c r="U950" s="97"/>
    </row>
    <row r="951" spans="1:21">
      <c r="A951" s="128"/>
      <c r="B951" s="131"/>
      <c r="C951" s="97"/>
      <c r="D951" s="519"/>
      <c r="E951" s="96"/>
      <c r="F951" s="97"/>
      <c r="G951" s="97"/>
      <c r="H951" s="97"/>
      <c r="I951" s="97"/>
      <c r="J951" s="97"/>
      <c r="K951" s="97"/>
      <c r="L951" s="97"/>
      <c r="M951" s="97"/>
      <c r="N951" s="97"/>
      <c r="O951" s="97"/>
      <c r="P951" s="97"/>
      <c r="Q951" s="97"/>
      <c r="R951" s="97"/>
      <c r="S951" s="97"/>
      <c r="T951" s="97"/>
      <c r="U951" s="97"/>
    </row>
    <row r="952" spans="1:21">
      <c r="A952" s="128"/>
      <c r="B952" s="131"/>
      <c r="C952" s="97"/>
      <c r="D952" s="519"/>
      <c r="E952" s="96"/>
      <c r="F952" s="97"/>
      <c r="G952" s="97"/>
      <c r="H952" s="97"/>
      <c r="I952" s="97"/>
      <c r="J952" s="97"/>
      <c r="K952" s="97"/>
      <c r="L952" s="97"/>
      <c r="M952" s="97"/>
      <c r="N952" s="97"/>
      <c r="O952" s="97"/>
      <c r="P952" s="97"/>
      <c r="Q952" s="97"/>
      <c r="R952" s="97"/>
      <c r="S952" s="97"/>
      <c r="T952" s="97"/>
      <c r="U952" s="97"/>
    </row>
    <row r="953" spans="1:21">
      <c r="A953" s="128"/>
      <c r="B953" s="131"/>
      <c r="C953" s="97"/>
      <c r="D953" s="519"/>
      <c r="E953" s="96"/>
      <c r="F953" s="97"/>
      <c r="G953" s="97"/>
      <c r="H953" s="97"/>
      <c r="I953" s="97"/>
      <c r="J953" s="97"/>
      <c r="K953" s="97"/>
      <c r="L953" s="97"/>
      <c r="M953" s="97"/>
      <c r="N953" s="97"/>
      <c r="O953" s="97"/>
      <c r="P953" s="97"/>
      <c r="Q953" s="97"/>
      <c r="R953" s="97"/>
      <c r="S953" s="97"/>
      <c r="T953" s="97"/>
      <c r="U953" s="97"/>
    </row>
    <row r="954" spans="1:21">
      <c r="A954" s="128"/>
      <c r="B954" s="131"/>
      <c r="C954" s="97"/>
      <c r="D954" s="519"/>
      <c r="E954" s="96"/>
      <c r="F954" s="97"/>
      <c r="G954" s="97"/>
      <c r="H954" s="97"/>
      <c r="I954" s="97"/>
      <c r="J954" s="97"/>
      <c r="K954" s="97"/>
      <c r="L954" s="97"/>
      <c r="M954" s="97"/>
      <c r="N954" s="97"/>
      <c r="O954" s="97"/>
      <c r="P954" s="97"/>
      <c r="Q954" s="97"/>
      <c r="R954" s="97"/>
      <c r="S954" s="97"/>
      <c r="T954" s="97"/>
      <c r="U954" s="97"/>
    </row>
    <row r="955" spans="1:21">
      <c r="A955" s="128"/>
      <c r="B955" s="131"/>
      <c r="C955" s="97"/>
      <c r="D955" s="519"/>
      <c r="E955" s="96"/>
      <c r="F955" s="97"/>
      <c r="G955" s="97"/>
      <c r="H955" s="97"/>
      <c r="I955" s="97"/>
      <c r="J955" s="97"/>
      <c r="K955" s="97"/>
      <c r="L955" s="97"/>
      <c r="M955" s="97"/>
      <c r="N955" s="97"/>
      <c r="O955" s="97"/>
      <c r="P955" s="97"/>
      <c r="Q955" s="97"/>
      <c r="R955" s="97"/>
      <c r="S955" s="97"/>
      <c r="T955" s="97"/>
      <c r="U955" s="97"/>
    </row>
    <row r="956" spans="1:21">
      <c r="A956" s="128"/>
      <c r="B956" s="131"/>
      <c r="C956" s="97"/>
      <c r="D956" s="519"/>
      <c r="E956" s="96"/>
      <c r="F956" s="97"/>
      <c r="G956" s="97"/>
      <c r="H956" s="97"/>
      <c r="I956" s="97"/>
      <c r="J956" s="97"/>
      <c r="K956" s="97"/>
      <c r="L956" s="97"/>
      <c r="M956" s="97"/>
      <c r="N956" s="97"/>
      <c r="O956" s="97"/>
      <c r="P956" s="97"/>
      <c r="Q956" s="97"/>
      <c r="R956" s="97"/>
      <c r="S956" s="97"/>
      <c r="T956" s="97"/>
      <c r="U956" s="97"/>
    </row>
    <row r="957" spans="1:21">
      <c r="A957" s="50"/>
      <c r="B957" s="50"/>
      <c r="C957" s="97"/>
      <c r="D957" s="519"/>
      <c r="E957" s="96"/>
      <c r="F957" s="97"/>
      <c r="G957" s="97"/>
      <c r="H957" s="97"/>
      <c r="I957" s="97"/>
      <c r="J957" s="97"/>
      <c r="K957" s="97"/>
      <c r="L957" s="97"/>
      <c r="M957" s="97"/>
      <c r="N957" s="97"/>
      <c r="O957" s="97"/>
      <c r="P957" s="97"/>
      <c r="Q957" s="97"/>
      <c r="R957" s="97"/>
      <c r="S957" s="97"/>
      <c r="T957" s="97"/>
      <c r="U957" s="97"/>
    </row>
  </sheetData>
  <pageMargins left="0.511811024" right="0.511811024" top="0.78740157499999996" bottom="0.78740157499999996"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outlinePr summaryBelow="0" summaryRight="0"/>
  </sheetPr>
  <dimension ref="A1:AT969"/>
  <sheetViews>
    <sheetView workbookViewId="0">
      <selection activeCell="E10" sqref="E10"/>
    </sheetView>
  </sheetViews>
  <sheetFormatPr defaultColWidth="14.42578125" defaultRowHeight="15" customHeight="1"/>
  <cols>
    <col min="1" max="1" width="45.28515625" customWidth="1"/>
    <col min="2" max="2" width="12.5703125" customWidth="1"/>
    <col min="3" max="3" width="4.85546875" customWidth="1"/>
    <col min="4" max="4" width="23.42578125" bestFit="1" customWidth="1"/>
    <col min="6" max="46" width="14.42578125" style="567"/>
  </cols>
  <sheetData>
    <row r="1" spans="1:46" ht="28.5" customHeight="1">
      <c r="A1" s="692" t="s">
        <v>123</v>
      </c>
      <c r="B1" s="694" t="s">
        <v>119</v>
      </c>
      <c r="C1" s="129"/>
      <c r="D1" s="646" t="s">
        <v>29</v>
      </c>
      <c r="E1" s="647"/>
      <c r="F1" s="647"/>
      <c r="G1" s="647"/>
      <c r="H1" s="647"/>
      <c r="I1" s="647"/>
      <c r="J1" s="648"/>
      <c r="K1" s="687" t="s">
        <v>30</v>
      </c>
      <c r="L1" s="688"/>
      <c r="M1" s="688"/>
      <c r="N1" s="688"/>
      <c r="O1" s="688"/>
      <c r="P1" s="688"/>
      <c r="Q1" s="688"/>
      <c r="R1" s="688"/>
      <c r="S1" s="688"/>
      <c r="T1" s="688"/>
      <c r="U1" s="688"/>
      <c r="V1" s="689"/>
      <c r="W1" s="690" t="s">
        <v>31</v>
      </c>
      <c r="X1" s="688"/>
      <c r="Y1" s="688"/>
      <c r="Z1" s="688"/>
      <c r="AA1" s="688"/>
      <c r="AB1" s="688"/>
      <c r="AC1" s="688"/>
      <c r="AD1" s="688"/>
      <c r="AE1" s="688"/>
      <c r="AF1" s="688"/>
      <c r="AG1" s="688"/>
      <c r="AH1" s="689"/>
      <c r="AI1" s="691" t="s">
        <v>32</v>
      </c>
      <c r="AJ1" s="688"/>
      <c r="AK1" s="688"/>
      <c r="AL1" s="688"/>
      <c r="AM1" s="688"/>
      <c r="AN1" s="688"/>
      <c r="AO1" s="688"/>
      <c r="AP1" s="688"/>
      <c r="AQ1" s="688"/>
      <c r="AR1" s="688"/>
      <c r="AS1" s="688"/>
      <c r="AT1" s="689"/>
    </row>
    <row r="2" spans="1:46" ht="15" customHeight="1">
      <c r="A2" s="693"/>
      <c r="B2" s="695"/>
      <c r="C2" s="130"/>
      <c r="D2" s="465"/>
      <c r="E2" s="465"/>
      <c r="F2" s="563" t="s">
        <v>44</v>
      </c>
      <c r="G2" s="564" t="s">
        <v>33</v>
      </c>
      <c r="H2" s="564" t="s">
        <v>34</v>
      </c>
      <c r="I2" s="564" t="s">
        <v>35</v>
      </c>
      <c r="J2" s="565" t="s">
        <v>36</v>
      </c>
      <c r="K2" s="566" t="s">
        <v>37</v>
      </c>
      <c r="L2" s="564" t="s">
        <v>38</v>
      </c>
      <c r="M2" s="564" t="s">
        <v>39</v>
      </c>
      <c r="N2" s="564" t="s">
        <v>40</v>
      </c>
      <c r="O2" s="564" t="s">
        <v>41</v>
      </c>
      <c r="P2" s="564" t="s">
        <v>42</v>
      </c>
      <c r="Q2" s="564" t="s">
        <v>43</v>
      </c>
      <c r="R2" s="564" t="s">
        <v>44</v>
      </c>
      <c r="S2" s="564" t="s">
        <v>33</v>
      </c>
      <c r="T2" s="564" t="s">
        <v>34</v>
      </c>
      <c r="U2" s="564" t="s">
        <v>35</v>
      </c>
      <c r="V2" s="565" t="s">
        <v>36</v>
      </c>
      <c r="W2" s="566" t="s">
        <v>37</v>
      </c>
      <c r="X2" s="564" t="s">
        <v>38</v>
      </c>
      <c r="Y2" s="564" t="s">
        <v>39</v>
      </c>
      <c r="Z2" s="564" t="s">
        <v>40</v>
      </c>
      <c r="AA2" s="564" t="s">
        <v>41</v>
      </c>
      <c r="AB2" s="564" t="s">
        <v>42</v>
      </c>
      <c r="AC2" s="564" t="s">
        <v>43</v>
      </c>
      <c r="AD2" s="564" t="s">
        <v>44</v>
      </c>
      <c r="AE2" s="564" t="s">
        <v>33</v>
      </c>
      <c r="AF2" s="564" t="s">
        <v>34</v>
      </c>
      <c r="AG2" s="564" t="s">
        <v>35</v>
      </c>
      <c r="AH2" s="565" t="s">
        <v>36</v>
      </c>
      <c r="AI2" s="566" t="s">
        <v>37</v>
      </c>
      <c r="AJ2" s="564" t="s">
        <v>38</v>
      </c>
      <c r="AK2" s="564" t="s">
        <v>39</v>
      </c>
      <c r="AL2" s="564" t="s">
        <v>40</v>
      </c>
      <c r="AM2" s="564" t="s">
        <v>41</v>
      </c>
      <c r="AN2" s="564" t="s">
        <v>42</v>
      </c>
      <c r="AO2" s="564" t="s">
        <v>43</v>
      </c>
      <c r="AP2" s="564" t="s">
        <v>44</v>
      </c>
      <c r="AQ2" s="564" t="s">
        <v>33</v>
      </c>
      <c r="AR2" s="564" t="s">
        <v>34</v>
      </c>
      <c r="AS2" s="564" t="s">
        <v>35</v>
      </c>
      <c r="AT2" s="565" t="s">
        <v>36</v>
      </c>
    </row>
    <row r="3" spans="1:46">
      <c r="A3" s="124" t="s">
        <v>131</v>
      </c>
      <c r="B3" s="125">
        <v>350</v>
      </c>
      <c r="C3" s="97"/>
      <c r="D3" s="521" t="s">
        <v>2434</v>
      </c>
      <c r="E3" s="519">
        <v>80</v>
      </c>
      <c r="F3" s="519">
        <f>SUM('1.0 - Comercial'!D22+'1.1 - Farmer'!D17)*$E$3</f>
        <v>160</v>
      </c>
      <c r="G3" s="519">
        <f>SUM('1.0 - Comercial'!E22+'1.1 - Farmer'!E17)*$E$3</f>
        <v>160</v>
      </c>
      <c r="H3" s="519">
        <f>SUM('1.0 - Comercial'!F22+'1.1 - Farmer'!F17)*$E$3</f>
        <v>192.00000000000003</v>
      </c>
      <c r="I3" s="519">
        <f>SUM('1.0 - Comercial'!G22+'1.1 - Farmer'!G17)*$E$3</f>
        <v>256</v>
      </c>
      <c r="J3" s="519">
        <f>SUM('1.0 - Comercial'!H22+'1.1 - Farmer'!H17)*$E$3</f>
        <v>320</v>
      </c>
      <c r="K3" s="519">
        <f>SUM('1.0 - Comercial'!I22+'1.1 - Farmer'!I17)*$E$3</f>
        <v>394.29206896224002</v>
      </c>
      <c r="L3" s="519">
        <f>SUM('1.0 - Comercial'!J22+'1.1 - Farmer'!J17)*$E$3</f>
        <v>545.18330689337279</v>
      </c>
      <c r="M3" s="519">
        <f>SUM('1.0 - Comercial'!K22+'1.1 - Farmer'!K17)*$E$3</f>
        <v>723.70780768657164</v>
      </c>
      <c r="N3" s="519">
        <f>SUM('1.0 - Comercial'!L22+'1.1 - Farmer'!L17)*$E$3</f>
        <v>931.1165734559745</v>
      </c>
      <c r="O3" s="519">
        <f>SUM('1.0 - Comercial'!M22+'1.1 - Farmer'!M17)*$E$3</f>
        <v>1168.6230762522953</v>
      </c>
      <c r="P3" s="519">
        <f>SUM('1.0 - Comercial'!N22+'1.1 - Farmer'!N17)*$E$3</f>
        <v>1455.0043839647265</v>
      </c>
      <c r="Q3" s="519">
        <f>SUM('1.0 - Comercial'!O22+'1.1 - Farmer'!O17)*$E$3</f>
        <v>1775.3542524457848</v>
      </c>
      <c r="R3" s="519">
        <f>SUM('1.0 - Comercial'!P22+'1.1 - Farmer'!P17)*$E$3</f>
        <v>2130.7336248724114</v>
      </c>
      <c r="S3" s="519">
        <f>SUM('1.0 - Comercial'!Q22+'1.1 - Farmer'!Q17)*$E$3</f>
        <v>2522.1716161262389</v>
      </c>
      <c r="T3" s="519">
        <f>SUM('1.0 - Comercial'!R22+'1.1 - Farmer'!R17)*$E$3</f>
        <v>2933.0664676424522</v>
      </c>
      <c r="U3" s="519">
        <f>SUM('1.0 - Comercial'!S22+'1.1 - Farmer'!S17)*$E$3</f>
        <v>3257.2344736131781</v>
      </c>
      <c r="V3" s="519">
        <f>SUM('1.0 - Comercial'!T22+'1.1 - Farmer'!T17)*$E$3</f>
        <v>3537.597439404783</v>
      </c>
      <c r="W3" s="519">
        <f>SUM('1.0 - Comercial'!U22+'1.1 - Farmer'!U17)*$E$3</f>
        <v>3769.2295162226392</v>
      </c>
      <c r="X3" s="519">
        <f>SUM('1.0 - Comercial'!V22+'1.1 - Farmer'!V17)*$E$3</f>
        <v>3947.3526307359598</v>
      </c>
      <c r="Y3" s="519">
        <f>SUM('1.0 - Comercial'!W22+'1.1 - Farmer'!W17)*$E$3</f>
        <v>4120.1320518138809</v>
      </c>
      <c r="Z3" s="519">
        <f>SUM('1.0 - Comercial'!X22+'1.1 - Farmer'!X17)*$E$3</f>
        <v>4287.7280902594648</v>
      </c>
      <c r="AA3" s="519">
        <f>SUM('1.0 - Comercial'!Y22+'1.1 - Farmer'!Y17)*$E$3</f>
        <v>4450.2962475516797</v>
      </c>
      <c r="AB3" s="519">
        <f>SUM('1.0 - Comercial'!Z22+'1.1 - Farmer'!Z17)*$E$3</f>
        <v>4607.9873601251302</v>
      </c>
      <c r="AC3" s="519">
        <f>SUM('1.0 - Comercial'!AA22+'1.1 - Farmer'!AA17)*$E$3</f>
        <v>4760.9477393213765</v>
      </c>
      <c r="AD3" s="519">
        <f>SUM('1.0 - Comercial'!AB22+'1.1 - Farmer'!AB17)*$E$3</f>
        <v>4909.3193071417354</v>
      </c>
      <c r="AE3" s="519">
        <f>SUM('1.0 - Comercial'!AC22+'1.1 - Farmer'!AC17)*$E$3</f>
        <v>5053.2397279274828</v>
      </c>
      <c r="AF3" s="519">
        <f>SUM('1.0 - Comercial'!AD22+'1.1 - Farmer'!AD17)*$E$3</f>
        <v>5192.8425360896581</v>
      </c>
      <c r="AG3" s="519">
        <f>SUM('1.0 - Comercial'!AE22+'1.1 - Farmer'!AE17)*$E$3</f>
        <v>5328.2572600069689</v>
      </c>
      <c r="AH3" s="519">
        <f>SUM('1.0 - Comercial'!AF22+'1.1 - Farmer'!AF17)*$E$3</f>
        <v>5459.6095422067592</v>
      </c>
      <c r="AI3" s="519">
        <f>SUM('1.0 - Comercial'!AG22+'1.1 - Farmer'!AG17)*$E$3</f>
        <v>5587.0212559405572</v>
      </c>
      <c r="AJ3" s="519">
        <f>SUM('1.0 - Comercial'!AH22+'1.1 - Farmer'!AH17)*$E$3</f>
        <v>5710.6106182623398</v>
      </c>
      <c r="AK3" s="519">
        <f>SUM('1.0 - Comercial'!AI22+'1.1 - Farmer'!AI17)*$E$3</f>
        <v>5830.4922997144704</v>
      </c>
      <c r="AL3" s="519">
        <f>SUM('1.0 - Comercial'!AJ22+'1.1 - Farmer'!AJ17)*$E$3</f>
        <v>5946.7775307230368</v>
      </c>
      <c r="AM3" s="519">
        <f>SUM('1.0 - Comercial'!AK22+'1.1 - Farmer'!AK17)*$E$3</f>
        <v>6059.5742048013453</v>
      </c>
      <c r="AN3" s="519">
        <f>SUM('1.0 - Comercial'!AL22+'1.1 - Farmer'!AL17)*$E$3</f>
        <v>6168.9869786573054</v>
      </c>
      <c r="AO3" s="519">
        <f>SUM('1.0 - Comercial'!AM22+'1.1 - Farmer'!AM17)*$E$3</f>
        <v>6275.1173692975863</v>
      </c>
      <c r="AP3" s="519">
        <f>SUM('1.0 - Comercial'!AN22+'1.1 - Farmer'!AN17)*$E$3</f>
        <v>6378.0638482186587</v>
      </c>
      <c r="AQ3" s="519">
        <f>SUM('1.0 - Comercial'!AO22+'1.1 - Farmer'!AO17)*$E$3</f>
        <v>6477.9219327720984</v>
      </c>
      <c r="AR3" s="519">
        <f>SUM('1.0 - Comercial'!AP22+'1.1 - Farmer'!AP17)*$E$3</f>
        <v>6574.7842747889354</v>
      </c>
      <c r="AS3" s="519">
        <f>SUM('1.0 - Comercial'!AQ22+'1.1 - Farmer'!AQ17)*$E$3</f>
        <v>6668.7407465452679</v>
      </c>
      <c r="AT3" s="519">
        <f>SUM('1.0 - Comercial'!AR22+'1.1 - Farmer'!AR17)*$E$3</f>
        <v>6759.8785241489095</v>
      </c>
    </row>
    <row r="4" spans="1:46">
      <c r="A4" s="516" t="s">
        <v>2152</v>
      </c>
      <c r="B4" s="125">
        <v>500</v>
      </c>
      <c r="C4" s="97"/>
      <c r="D4" s="521" t="s">
        <v>2434</v>
      </c>
      <c r="E4" s="519">
        <v>100</v>
      </c>
      <c r="F4" s="519">
        <f>SUM('1.0 - Comercial'!D22+'1.1 - Farmer'!D17)*$E$4</f>
        <v>200</v>
      </c>
      <c r="G4" s="519">
        <f>SUM('1.0 - Comercial'!E22+'1.1 - Farmer'!E17)*$E$4</f>
        <v>200</v>
      </c>
      <c r="H4" s="519">
        <f>SUM('1.0 - Comercial'!F22+'1.1 - Farmer'!F17)*$E$4</f>
        <v>240.00000000000003</v>
      </c>
      <c r="I4" s="519">
        <f>SUM('1.0 - Comercial'!G22+'1.1 - Farmer'!G17)*$E$4</f>
        <v>320</v>
      </c>
      <c r="J4" s="519">
        <f>SUM('1.0 - Comercial'!H22+'1.1 - Farmer'!H17)*$E$4</f>
        <v>400</v>
      </c>
      <c r="K4" s="519">
        <f>SUM('1.0 - Comercial'!I22+'1.1 - Farmer'!I17)*$E$4</f>
        <v>492.86508620280006</v>
      </c>
      <c r="L4" s="519">
        <f>SUM('1.0 - Comercial'!J22+'1.1 - Farmer'!J17)*$E$4</f>
        <v>681.47913361671601</v>
      </c>
      <c r="M4" s="519">
        <f>SUM('1.0 - Comercial'!K22+'1.1 - Farmer'!K17)*$E$4</f>
        <v>904.63475960821461</v>
      </c>
      <c r="N4" s="519">
        <f>SUM('1.0 - Comercial'!L22+'1.1 - Farmer'!L17)*$E$4</f>
        <v>1163.8957168199681</v>
      </c>
      <c r="O4" s="519">
        <f>SUM('1.0 - Comercial'!M22+'1.1 - Farmer'!M17)*$E$4</f>
        <v>1460.7788453153692</v>
      </c>
      <c r="P4" s="519">
        <f>SUM('1.0 - Comercial'!N22+'1.1 - Farmer'!N17)*$E$4</f>
        <v>1818.755479955908</v>
      </c>
      <c r="Q4" s="519">
        <f>SUM('1.0 - Comercial'!O22+'1.1 - Farmer'!O17)*$E$4</f>
        <v>2219.1928155572309</v>
      </c>
      <c r="R4" s="519">
        <f>SUM('1.0 - Comercial'!P22+'1.1 - Farmer'!P17)*$E$4</f>
        <v>2663.4170310905142</v>
      </c>
      <c r="S4" s="519">
        <f>SUM('1.0 - Comercial'!Q22+'1.1 - Farmer'!Q17)*$E$4</f>
        <v>3152.7145201577987</v>
      </c>
      <c r="T4" s="519">
        <f>SUM('1.0 - Comercial'!R22+'1.1 - Farmer'!R17)*$E$4</f>
        <v>3666.3330845530654</v>
      </c>
      <c r="U4" s="519">
        <f>SUM('1.0 - Comercial'!S22+'1.1 - Farmer'!S17)*$E$4</f>
        <v>4071.5430920164727</v>
      </c>
      <c r="V4" s="519">
        <f>SUM('1.0 - Comercial'!T22+'1.1 - Farmer'!T17)*$E$4</f>
        <v>4421.9967992559787</v>
      </c>
      <c r="W4" s="519">
        <f>SUM('1.0 - Comercial'!U22+'1.1 - Farmer'!U17)*$E$4</f>
        <v>4711.5368952782983</v>
      </c>
      <c r="X4" s="519">
        <f>SUM('1.0 - Comercial'!V22+'1.1 - Farmer'!V17)*$E$4</f>
        <v>4934.19078841995</v>
      </c>
      <c r="Y4" s="519">
        <f>SUM('1.0 - Comercial'!W22+'1.1 - Farmer'!W17)*$E$4</f>
        <v>5150.1650647673514</v>
      </c>
      <c r="Z4" s="519">
        <f>SUM('1.0 - Comercial'!X22+'1.1 - Farmer'!X17)*$E$4</f>
        <v>5359.660112824331</v>
      </c>
      <c r="AA4" s="519">
        <f>SUM('1.0 - Comercial'!Y22+'1.1 - Farmer'!Y17)*$E$4</f>
        <v>5562.8703094396005</v>
      </c>
      <c r="AB4" s="519">
        <f>SUM('1.0 - Comercial'!Z22+'1.1 - Farmer'!Z17)*$E$4</f>
        <v>5759.984200156413</v>
      </c>
      <c r="AC4" s="519">
        <f>SUM('1.0 - Comercial'!AA22+'1.1 - Farmer'!AA17)*$E$4</f>
        <v>5951.1846741517202</v>
      </c>
      <c r="AD4" s="519">
        <f>SUM('1.0 - Comercial'!AB22+'1.1 - Farmer'!AB17)*$E$4</f>
        <v>6136.6491339271688</v>
      </c>
      <c r="AE4" s="519">
        <f>SUM('1.0 - Comercial'!AC22+'1.1 - Farmer'!AC17)*$E$4</f>
        <v>6316.549659909354</v>
      </c>
      <c r="AF4" s="519">
        <f>SUM('1.0 - Comercial'!AD22+'1.1 - Farmer'!AD17)*$E$4</f>
        <v>6491.0531701120735</v>
      </c>
      <c r="AG4" s="519">
        <f>SUM('1.0 - Comercial'!AE22+'1.1 - Farmer'!AE17)*$E$4</f>
        <v>6660.321575008712</v>
      </c>
      <c r="AH4" s="519">
        <f>SUM('1.0 - Comercial'!AF22+'1.1 - Farmer'!AF17)*$E$4</f>
        <v>6824.511927758449</v>
      </c>
      <c r="AI4" s="519">
        <f>SUM('1.0 - Comercial'!AG22+'1.1 - Farmer'!AG17)*$E$4</f>
        <v>6983.7765699256961</v>
      </c>
      <c r="AJ4" s="519">
        <f>SUM('1.0 - Comercial'!AH22+'1.1 - Farmer'!AH17)*$E$4</f>
        <v>7138.263272827925</v>
      </c>
      <c r="AK4" s="519">
        <f>SUM('1.0 - Comercial'!AI22+'1.1 - Farmer'!AI17)*$E$4</f>
        <v>7288.1153746430882</v>
      </c>
      <c r="AL4" s="519">
        <f>SUM('1.0 - Comercial'!AJ22+'1.1 - Farmer'!AJ17)*$E$4</f>
        <v>7433.471913403795</v>
      </c>
      <c r="AM4" s="519">
        <f>SUM('1.0 - Comercial'!AK22+'1.1 - Farmer'!AK17)*$E$4</f>
        <v>7574.4677560016808</v>
      </c>
      <c r="AN4" s="519">
        <f>SUM('1.0 - Comercial'!AL22+'1.1 - Farmer'!AL17)*$E$4</f>
        <v>7711.2337233216322</v>
      </c>
      <c r="AO4" s="519">
        <f>SUM('1.0 - Comercial'!AM22+'1.1 - Farmer'!AM17)*$E$4</f>
        <v>7843.8967116219828</v>
      </c>
      <c r="AP4" s="519">
        <f>SUM('1.0 - Comercial'!AN22+'1.1 - Farmer'!AN17)*$E$4</f>
        <v>7972.5798102733233</v>
      </c>
      <c r="AQ4" s="519">
        <f>SUM('1.0 - Comercial'!AO22+'1.1 - Farmer'!AO17)*$E$4</f>
        <v>8097.4024159651235</v>
      </c>
      <c r="AR4" s="519">
        <f>SUM('1.0 - Comercial'!AP22+'1.1 - Farmer'!AP17)*$E$4</f>
        <v>8218.4803434861697</v>
      </c>
      <c r="AS4" s="519">
        <f>SUM('1.0 - Comercial'!AQ22+'1.1 - Farmer'!AQ17)*$E$4</f>
        <v>8335.9259331815847</v>
      </c>
      <c r="AT4" s="519">
        <f>SUM('1.0 - Comercial'!AR22+'1.1 - Farmer'!AR17)*$E$4</f>
        <v>8449.8481551861369</v>
      </c>
    </row>
    <row r="5" spans="1:46">
      <c r="A5" s="516" t="s">
        <v>2435</v>
      </c>
      <c r="B5" s="125">
        <v>1000</v>
      </c>
      <c r="C5" s="97"/>
      <c r="D5" s="521" t="s">
        <v>2434</v>
      </c>
      <c r="E5" s="519">
        <v>250</v>
      </c>
      <c r="F5" s="519">
        <f>SUM('1.0 - Comercial'!D22+'1.1 - Farmer'!D17)*$E$5</f>
        <v>500</v>
      </c>
      <c r="G5" s="519">
        <f>SUM('1.0 - Comercial'!E22+'1.1 - Farmer'!E17)*$E$5</f>
        <v>500</v>
      </c>
      <c r="H5" s="519">
        <f>SUM('1.0 - Comercial'!F22+'1.1 - Farmer'!F17)*$E$5</f>
        <v>600.00000000000011</v>
      </c>
      <c r="I5" s="519">
        <f>SUM('1.0 - Comercial'!G22+'1.1 - Farmer'!G17)*$E$5</f>
        <v>800</v>
      </c>
      <c r="J5" s="519">
        <f>SUM('1.0 - Comercial'!H22+'1.1 - Farmer'!H17)*$E$5</f>
        <v>1000</v>
      </c>
      <c r="K5" s="519">
        <f>SUM('1.0 - Comercial'!I22+'1.1 - Farmer'!I17)*$E$5</f>
        <v>1232.162715507</v>
      </c>
      <c r="L5" s="519">
        <f>SUM('1.0 - Comercial'!J22+'1.1 - Farmer'!J17)*$E$5</f>
        <v>1703.6978340417902</v>
      </c>
      <c r="M5" s="519">
        <f>SUM('1.0 - Comercial'!K22+'1.1 - Farmer'!K17)*$E$5</f>
        <v>2261.5868990205367</v>
      </c>
      <c r="N5" s="519">
        <f>SUM('1.0 - Comercial'!L22+'1.1 - Farmer'!L17)*$E$5</f>
        <v>2909.7392920499206</v>
      </c>
      <c r="O5" s="519">
        <f>SUM('1.0 - Comercial'!M22+'1.1 - Farmer'!M17)*$E$5</f>
        <v>3651.9471132884228</v>
      </c>
      <c r="P5" s="519">
        <f>SUM('1.0 - Comercial'!N22+'1.1 - Farmer'!N17)*$E$5</f>
        <v>4546.8886998897706</v>
      </c>
      <c r="Q5" s="519">
        <f>SUM('1.0 - Comercial'!O22+'1.1 - Farmer'!O17)*$E$5</f>
        <v>5547.9820388930775</v>
      </c>
      <c r="R5" s="519">
        <f>SUM('1.0 - Comercial'!P22+'1.1 - Farmer'!P17)*$E$5</f>
        <v>6658.5425777262853</v>
      </c>
      <c r="S5" s="519">
        <f>SUM('1.0 - Comercial'!Q22+'1.1 - Farmer'!Q17)*$E$5</f>
        <v>7881.7863003944967</v>
      </c>
      <c r="T5" s="519">
        <f>SUM('1.0 - Comercial'!R22+'1.1 - Farmer'!R17)*$E$5</f>
        <v>9165.8327113826635</v>
      </c>
      <c r="U5" s="519">
        <f>SUM('1.0 - Comercial'!S22+'1.1 - Farmer'!S17)*$E$5</f>
        <v>10178.857730041182</v>
      </c>
      <c r="V5" s="519">
        <f>SUM('1.0 - Comercial'!T22+'1.1 - Farmer'!T17)*$E$5</f>
        <v>11054.991998139947</v>
      </c>
      <c r="W5" s="519">
        <f>SUM('1.0 - Comercial'!U22+'1.1 - Farmer'!U17)*$E$5</f>
        <v>11778.842238195746</v>
      </c>
      <c r="X5" s="519">
        <f>SUM('1.0 - Comercial'!V22+'1.1 - Farmer'!V17)*$E$5</f>
        <v>12335.476971049875</v>
      </c>
      <c r="Y5" s="519">
        <f>SUM('1.0 - Comercial'!W22+'1.1 - Farmer'!W17)*$E$5</f>
        <v>12875.412661918379</v>
      </c>
      <c r="Z5" s="519">
        <f>SUM('1.0 - Comercial'!X22+'1.1 - Farmer'!X17)*$E$5</f>
        <v>13399.150282060828</v>
      </c>
      <c r="AA5" s="519">
        <f>SUM('1.0 - Comercial'!Y22+'1.1 - Farmer'!Y17)*$E$5</f>
        <v>13907.175773599001</v>
      </c>
      <c r="AB5" s="519">
        <f>SUM('1.0 - Comercial'!Z22+'1.1 - Farmer'!Z17)*$E$5</f>
        <v>14399.960500391031</v>
      </c>
      <c r="AC5" s="519">
        <f>SUM('1.0 - Comercial'!AA22+'1.1 - Farmer'!AA17)*$E$5</f>
        <v>14877.961685379301</v>
      </c>
      <c r="AD5" s="519">
        <f>SUM('1.0 - Comercial'!AB22+'1.1 - Farmer'!AB17)*$E$5</f>
        <v>15341.622834817923</v>
      </c>
      <c r="AE5" s="519">
        <f>SUM('1.0 - Comercial'!AC22+'1.1 - Farmer'!AC17)*$E$5</f>
        <v>15791.374149773384</v>
      </c>
      <c r="AF5" s="519">
        <f>SUM('1.0 - Comercial'!AD22+'1.1 - Farmer'!AD17)*$E$5</f>
        <v>16227.632925280182</v>
      </c>
      <c r="AG5" s="519">
        <f>SUM('1.0 - Comercial'!AE22+'1.1 - Farmer'!AE17)*$E$5</f>
        <v>16650.803937521778</v>
      </c>
      <c r="AH5" s="519">
        <f>SUM('1.0 - Comercial'!AF22+'1.1 - Farmer'!AF17)*$E$5</f>
        <v>17061.279819396124</v>
      </c>
      <c r="AI5" s="519">
        <f>SUM('1.0 - Comercial'!AG22+'1.1 - Farmer'!AG17)*$E$5</f>
        <v>17459.441424814242</v>
      </c>
      <c r="AJ5" s="519">
        <f>SUM('1.0 - Comercial'!AH22+'1.1 - Farmer'!AH17)*$E$5</f>
        <v>17845.658182069812</v>
      </c>
      <c r="AK5" s="519">
        <f>SUM('1.0 - Comercial'!AI22+'1.1 - Farmer'!AI17)*$E$5</f>
        <v>18220.28843660772</v>
      </c>
      <c r="AL5" s="519">
        <f>SUM('1.0 - Comercial'!AJ22+'1.1 - Farmer'!AJ17)*$E$5</f>
        <v>18583.679783509488</v>
      </c>
      <c r="AM5" s="519">
        <f>SUM('1.0 - Comercial'!AK22+'1.1 - Farmer'!AK17)*$E$5</f>
        <v>18936.169390004201</v>
      </c>
      <c r="AN5" s="519">
        <f>SUM('1.0 - Comercial'!AL22+'1.1 - Farmer'!AL17)*$E$5</f>
        <v>19278.084308304082</v>
      </c>
      <c r="AO5" s="519">
        <f>SUM('1.0 - Comercial'!AM22+'1.1 - Farmer'!AM17)*$E$5</f>
        <v>19609.741779054959</v>
      </c>
      <c r="AP5" s="519">
        <f>SUM('1.0 - Comercial'!AN22+'1.1 - Farmer'!AN17)*$E$5</f>
        <v>19931.449525683311</v>
      </c>
      <c r="AQ5" s="519">
        <f>SUM('1.0 - Comercial'!AO22+'1.1 - Farmer'!AO17)*$E$5</f>
        <v>20243.506039912809</v>
      </c>
      <c r="AR5" s="519">
        <f>SUM('1.0 - Comercial'!AP22+'1.1 - Farmer'!AP17)*$E$5</f>
        <v>20546.200858715423</v>
      </c>
      <c r="AS5" s="519">
        <f>SUM('1.0 - Comercial'!AQ22+'1.1 - Farmer'!AQ17)*$E$5</f>
        <v>20839.814832953962</v>
      </c>
      <c r="AT5" s="519">
        <f>SUM('1.0 - Comercial'!AR22+'1.1 - Farmer'!AR17)*$E$5</f>
        <v>21124.620387965344</v>
      </c>
    </row>
    <row r="6" spans="1:46">
      <c r="A6" s="516" t="s">
        <v>2437</v>
      </c>
      <c r="B6" s="125">
        <v>250</v>
      </c>
      <c r="C6" s="97"/>
      <c r="D6" s="521" t="s">
        <v>2440</v>
      </c>
      <c r="E6" s="519">
        <v>5.5</v>
      </c>
      <c r="F6" s="519">
        <f>'2.0 - Total Revenue'!H12*$E$6</f>
        <v>11</v>
      </c>
      <c r="G6" s="519">
        <f>'2.0 - Total Revenue'!I12*$E$6</f>
        <v>38.17</v>
      </c>
      <c r="H6" s="519">
        <f>'2.0 - Total Revenue'!J12*$E$6</f>
        <v>75.524900000000002</v>
      </c>
      <c r="I6" s="519">
        <f>'2.0 - Total Revenue'!K12*$E$6</f>
        <v>133.759153</v>
      </c>
      <c r="J6" s="519">
        <f>'2.0 - Total Revenue'!L12*$E$6</f>
        <v>212.24637841000001</v>
      </c>
      <c r="K6" s="519">
        <f>'2.0 - Total Revenue'!M12*$E$6</f>
        <v>310.37898705770004</v>
      </c>
      <c r="L6" s="519">
        <f>'2.0 - Total Revenue'!N12*$E$6</f>
        <v>444.06761744596906</v>
      </c>
      <c r="M6" s="519">
        <f>'2.0 - Total Revenue'!O12*$E$6</f>
        <v>617.74558892258995</v>
      </c>
      <c r="N6" s="519">
        <f>'2.0 - Total Revenue'!P12*$E$6</f>
        <v>835.71322125491236</v>
      </c>
      <c r="O6" s="519">
        <f>'2.0 - Total Revenue'!Q12*$E$6</f>
        <v>1102.1418246172648</v>
      </c>
      <c r="P6" s="519">
        <f>'2.0 - Total Revenue'!R12*$E$6</f>
        <v>1426.5775698787472</v>
      </c>
      <c r="Q6" s="519">
        <f>'2.0 - Total Revenue'!S12*$E$6</f>
        <v>1812.7802427823847</v>
      </c>
      <c r="R6" s="519">
        <f>'2.0 - Total Revenue'!T12*$E$6</f>
        <v>2264.3968354989129</v>
      </c>
      <c r="S6" s="519">
        <f>'2.0 - Total Revenue'!U12*$E$6</f>
        <v>2784.9649304339455</v>
      </c>
      <c r="T6" s="519">
        <f>'2.0 - Total Revenue'!V12*$E$6</f>
        <v>3372.4159825209272</v>
      </c>
      <c r="U6" s="519">
        <f>'2.0 - Total Revenue'!W12*$E$6</f>
        <v>3991.7435030452998</v>
      </c>
      <c r="V6" s="519">
        <f>'2.0 - Total Revenue'!X12*$E$6</f>
        <v>4625.4911979539411</v>
      </c>
      <c r="W6" s="519">
        <f>'2.0 - Total Revenue'!Y12*$E$6</f>
        <v>5256.7264620153219</v>
      </c>
      <c r="X6" s="519">
        <f>'2.0 - Total Revenue'!Z12*$E$6</f>
        <v>5869.0246681548624</v>
      </c>
      <c r="Y6" s="519">
        <f>'2.0 - Total Revenue'!AA12*$E$6</f>
        <v>6462.9539281102161</v>
      </c>
      <c r="Z6" s="519">
        <f>'2.0 - Total Revenue'!AB12*$E$6</f>
        <v>7039.0653102669094</v>
      </c>
      <c r="AA6" s="519">
        <f>'2.0 - Total Revenue'!AC12*$E$6</f>
        <v>7597.8933509589015</v>
      </c>
      <c r="AB6" s="519">
        <f>'2.0 - Total Revenue'!AD12*$E$6</f>
        <v>8139.9565504301345</v>
      </c>
      <c r="AC6" s="519">
        <f>'2.0 - Total Revenue'!AE12*$E$6</f>
        <v>8665.75785391723</v>
      </c>
      <c r="AD6" s="519">
        <f>'2.0 - Total Revenue'!AF12*$E$6</f>
        <v>9175.7851182997147</v>
      </c>
      <c r="AE6" s="519">
        <f>'2.0 - Total Revenue'!AG12*$E$6</f>
        <v>9670.5115647507228</v>
      </c>
      <c r="AF6" s="519">
        <f>'2.0 - Total Revenue'!AH12*$E$6</f>
        <v>10150.3962178082</v>
      </c>
      <c r="AG6" s="519">
        <f>'2.0 - Total Revenue'!AI12*$E$6</f>
        <v>10615.884331273955</v>
      </c>
      <c r="AH6" s="519">
        <f>'2.0 - Total Revenue'!AJ12*$E$6</f>
        <v>11067.407801335736</v>
      </c>
      <c r="AI6" s="519">
        <f>'2.0 - Total Revenue'!AK12*$E$6</f>
        <v>11505.385567295663</v>
      </c>
      <c r="AJ6" s="519">
        <f>'2.0 - Total Revenue'!AL12*$E$6</f>
        <v>11930.224000276794</v>
      </c>
      <c r="AK6" s="519">
        <f>'2.0 - Total Revenue'!AM12*$E$6</f>
        <v>12342.317280268493</v>
      </c>
      <c r="AL6" s="519">
        <f>'2.0 - Total Revenue'!AN12*$E$6</f>
        <v>12742.047761860438</v>
      </c>
      <c r="AM6" s="519">
        <f>'2.0 - Total Revenue'!AO12*$E$6</f>
        <v>13129.786329004624</v>
      </c>
      <c r="AN6" s="519">
        <f>'2.0 - Total Revenue'!AP12*$E$6</f>
        <v>13505.892739134486</v>
      </c>
      <c r="AO6" s="519">
        <f>'2.0 - Total Revenue'!AQ12*$E$6</f>
        <v>13870.715956960452</v>
      </c>
      <c r="AP6" s="519">
        <f>'2.0 - Total Revenue'!AR12*$E$6</f>
        <v>14224.59447825164</v>
      </c>
      <c r="AQ6" s="519">
        <f>'2.0 - Total Revenue'!AS12*$E$6</f>
        <v>14567.85664390409</v>
      </c>
      <c r="AR6" s="519">
        <f>'2.0 - Total Revenue'!AT12*$E$6</f>
        <v>14900.820944586967</v>
      </c>
      <c r="AS6" s="519">
        <f>'2.0 - Total Revenue'!AU12*$E$6</f>
        <v>15223.79631624936</v>
      </c>
      <c r="AT6" s="519">
        <f>'2.0 - Total Revenue'!AV12*$E$6</f>
        <v>15537.082426761879</v>
      </c>
    </row>
    <row r="7" spans="1:46">
      <c r="A7" s="516" t="s">
        <v>2438</v>
      </c>
      <c r="B7" s="125">
        <v>250</v>
      </c>
      <c r="C7" s="97"/>
      <c r="D7" s="521" t="s">
        <v>2440</v>
      </c>
      <c r="E7" s="519">
        <v>24.5</v>
      </c>
      <c r="F7" s="519">
        <f>'2.0 - Total Revenue'!H12*$E$7</f>
        <v>49</v>
      </c>
      <c r="G7" s="519">
        <f>'2.0 - Total Revenue'!I12*$E$7</f>
        <v>170.03</v>
      </c>
      <c r="H7" s="519">
        <f>'2.0 - Total Revenue'!J12*$E$7</f>
        <v>336.42910000000001</v>
      </c>
      <c r="I7" s="519">
        <f>'2.0 - Total Revenue'!K12*$E$7</f>
        <v>595.83622700000001</v>
      </c>
      <c r="J7" s="519">
        <f>'2.0 - Total Revenue'!L12*$E$7</f>
        <v>945.46114018999992</v>
      </c>
      <c r="K7" s="519">
        <f>'2.0 - Total Revenue'!M12*$E$7</f>
        <v>1382.5973059843002</v>
      </c>
      <c r="L7" s="519">
        <f>'2.0 - Total Revenue'!N12*$E$7</f>
        <v>1978.1193868047712</v>
      </c>
      <c r="M7" s="519">
        <f>'2.0 - Total Revenue'!O12*$E$7</f>
        <v>2751.7758052006279</v>
      </c>
      <c r="N7" s="519">
        <f>'2.0 - Total Revenue'!P12*$E$7</f>
        <v>3722.7225310446097</v>
      </c>
      <c r="O7" s="519">
        <f>'2.0 - Total Revenue'!Q12*$E$7</f>
        <v>4909.5408551132705</v>
      </c>
      <c r="P7" s="519">
        <f>'2.0 - Total Revenue'!R12*$E$7</f>
        <v>6354.7546294598742</v>
      </c>
      <c r="Q7" s="519">
        <f>'2.0 - Total Revenue'!S12*$E$7</f>
        <v>8075.111990576077</v>
      </c>
      <c r="R7" s="519">
        <f>'2.0 - Total Revenue'!T12*$E$7</f>
        <v>10086.858630858795</v>
      </c>
      <c r="S7" s="519">
        <f>'2.0 - Total Revenue'!U12*$E$7</f>
        <v>12405.752871933029</v>
      </c>
      <c r="T7" s="519">
        <f>'2.0 - Total Revenue'!V12*$E$7</f>
        <v>15022.58028577504</v>
      </c>
      <c r="U7" s="519">
        <f>'2.0 - Total Revenue'!W12*$E$7</f>
        <v>17781.402877201792</v>
      </c>
      <c r="V7" s="519">
        <f>'2.0 - Total Revenue'!X12*$E$7</f>
        <v>20604.460790885736</v>
      </c>
      <c r="W7" s="519">
        <f>'2.0 - Total Revenue'!Y12*$E$7</f>
        <v>23416.326967159162</v>
      </c>
      <c r="X7" s="519">
        <f>'2.0 - Total Revenue'!Z12*$E$7</f>
        <v>26143.837158144386</v>
      </c>
      <c r="Y7" s="519">
        <f>'2.0 - Total Revenue'!AA12*$E$7</f>
        <v>28789.522043400055</v>
      </c>
      <c r="Z7" s="519">
        <f>'2.0 - Total Revenue'!AB12*$E$7</f>
        <v>31355.836382098048</v>
      </c>
      <c r="AA7" s="519">
        <f>'2.0 - Total Revenue'!AC12*$E$7</f>
        <v>33845.161290635107</v>
      </c>
      <c r="AB7" s="519">
        <f>'2.0 - Total Revenue'!AD12*$E$7</f>
        <v>36259.806451916054</v>
      </c>
      <c r="AC7" s="519">
        <f>'2.0 - Total Revenue'!AE12*$E$7</f>
        <v>38602.012258358569</v>
      </c>
      <c r="AD7" s="519">
        <f>'2.0 - Total Revenue'!AF12*$E$7</f>
        <v>40873.951890607816</v>
      </c>
      <c r="AE7" s="519">
        <f>'2.0 - Total Revenue'!AG12*$E$7</f>
        <v>43077.733333889584</v>
      </c>
      <c r="AF7" s="519">
        <f>'2.0 - Total Revenue'!AH12*$E$7</f>
        <v>45215.401333872898</v>
      </c>
      <c r="AG7" s="519">
        <f>'2.0 - Total Revenue'!AI12*$E$7</f>
        <v>47288.939293856711</v>
      </c>
      <c r="AH7" s="519">
        <f>'2.0 - Total Revenue'!AJ12*$E$7</f>
        <v>49300.271115041003</v>
      </c>
      <c r="AI7" s="519">
        <f>'2.0 - Total Revenue'!AK12*$E$7</f>
        <v>51251.262981589774</v>
      </c>
      <c r="AJ7" s="519">
        <f>'2.0 - Total Revenue'!AL12*$E$7</f>
        <v>53143.725092142078</v>
      </c>
      <c r="AK7" s="519">
        <f>'2.0 - Total Revenue'!AM12*$E$7</f>
        <v>54979.413339377832</v>
      </c>
      <c r="AL7" s="519">
        <f>'2.0 - Total Revenue'!AN12*$E$7</f>
        <v>56760.030939196498</v>
      </c>
      <c r="AM7" s="519">
        <f>'2.0 - Total Revenue'!AO12*$E$7</f>
        <v>58487.230011020598</v>
      </c>
      <c r="AN7" s="519">
        <f>'2.0 - Total Revenue'!AP12*$E$7</f>
        <v>60162.613110689985</v>
      </c>
      <c r="AO7" s="519">
        <f>'2.0 - Total Revenue'!AQ12*$E$7</f>
        <v>61787.734717369291</v>
      </c>
      <c r="AP7" s="519">
        <f>'2.0 - Total Revenue'!AR12*$E$7</f>
        <v>63364.102675848211</v>
      </c>
      <c r="AQ7" s="519">
        <f>'2.0 - Total Revenue'!AS12*$E$7</f>
        <v>64893.179595572765</v>
      </c>
      <c r="AR7" s="519">
        <f>'2.0 - Total Revenue'!AT12*$E$7</f>
        <v>66376.384207705574</v>
      </c>
      <c r="AS7" s="519">
        <f>'2.0 - Total Revenue'!AU12*$E$7</f>
        <v>67815.092681474431</v>
      </c>
      <c r="AT7" s="519">
        <f>'2.0 - Total Revenue'!AV12*$E$7</f>
        <v>69210.639901030183</v>
      </c>
    </row>
    <row r="8" spans="1:46">
      <c r="A8" s="516" t="s">
        <v>2439</v>
      </c>
      <c r="B8" s="125">
        <v>1000</v>
      </c>
      <c r="C8" s="97"/>
      <c r="D8" s="521" t="s">
        <v>2440</v>
      </c>
      <c r="E8" s="519">
        <v>50</v>
      </c>
      <c r="F8" s="519">
        <f>'2.0 - Total Revenue'!H12*$E$8</f>
        <v>100</v>
      </c>
      <c r="G8" s="519">
        <f>'2.0 - Total Revenue'!I12*$E$8</f>
        <v>347</v>
      </c>
      <c r="H8" s="519">
        <f>'2.0 - Total Revenue'!J12*$E$8</f>
        <v>686.59</v>
      </c>
      <c r="I8" s="519">
        <f>'2.0 - Total Revenue'!K12*$E$8</f>
        <v>1215.9923000000001</v>
      </c>
      <c r="J8" s="519">
        <f>'2.0 - Total Revenue'!L12*$E$8</f>
        <v>1929.5125309999999</v>
      </c>
      <c r="K8" s="519">
        <f>'2.0 - Total Revenue'!M12*$E$8</f>
        <v>2821.6271550700003</v>
      </c>
      <c r="L8" s="519">
        <f>'2.0 - Total Revenue'!N12*$E$8</f>
        <v>4036.9783404179002</v>
      </c>
      <c r="M8" s="519">
        <f>'2.0 - Total Revenue'!O12*$E$8</f>
        <v>5615.8689902053629</v>
      </c>
      <c r="N8" s="519">
        <f>'2.0 - Total Revenue'!P12*$E$8</f>
        <v>7597.3929204992037</v>
      </c>
      <c r="O8" s="519">
        <f>'2.0 - Total Revenue'!Q12*$E$8</f>
        <v>10019.471132884226</v>
      </c>
      <c r="P8" s="519">
        <f>'2.0 - Total Revenue'!R12*$E$8</f>
        <v>12968.886998897702</v>
      </c>
      <c r="Q8" s="519">
        <f>'2.0 - Total Revenue'!S12*$E$8</f>
        <v>16479.82038893077</v>
      </c>
      <c r="R8" s="519">
        <f>'2.0 - Total Revenue'!T12*$E$8</f>
        <v>20585.425777262844</v>
      </c>
      <c r="S8" s="519">
        <f>'2.0 - Total Revenue'!U12*$E$8</f>
        <v>25317.86300394496</v>
      </c>
      <c r="T8" s="519">
        <f>'2.0 - Total Revenue'!V12*$E$8</f>
        <v>30658.327113826614</v>
      </c>
      <c r="U8" s="519">
        <f>'2.0 - Total Revenue'!W12*$E$8</f>
        <v>36288.577300411816</v>
      </c>
      <c r="V8" s="519">
        <f>'2.0 - Total Revenue'!X12*$E$8</f>
        <v>42049.919981399464</v>
      </c>
      <c r="W8" s="519">
        <f>'2.0 - Total Revenue'!Y12*$E$8</f>
        <v>47788.422381957476</v>
      </c>
      <c r="X8" s="519">
        <f>'2.0 - Total Revenue'!Z12*$E$8</f>
        <v>53354.769710498746</v>
      </c>
      <c r="Y8" s="519">
        <f>'2.0 - Total Revenue'!AA12*$E$8</f>
        <v>58754.126619183786</v>
      </c>
      <c r="Z8" s="519">
        <f>'2.0 - Total Revenue'!AB12*$E$8</f>
        <v>63991.502820608264</v>
      </c>
      <c r="AA8" s="519">
        <f>'2.0 - Total Revenue'!AC12*$E$8</f>
        <v>69071.757735990017</v>
      </c>
      <c r="AB8" s="519">
        <f>'2.0 - Total Revenue'!AD12*$E$8</f>
        <v>73999.605003910314</v>
      </c>
      <c r="AC8" s="519">
        <f>'2.0 - Total Revenue'!AE12*$E$8</f>
        <v>78779.616853793006</v>
      </c>
      <c r="AD8" s="519">
        <f>'2.0 - Total Revenue'!AF12*$E$8</f>
        <v>83416.228348179226</v>
      </c>
      <c r="AE8" s="519">
        <f>'2.0 - Total Revenue'!AG12*$E$8</f>
        <v>87913.741497733834</v>
      </c>
      <c r="AF8" s="519">
        <f>'2.0 - Total Revenue'!AH12*$E$8</f>
        <v>92276.329252801821</v>
      </c>
      <c r="AG8" s="519">
        <f>'2.0 - Total Revenue'!AI12*$E$8</f>
        <v>96508.039375217777</v>
      </c>
      <c r="AH8" s="519">
        <f>'2.0 - Total Revenue'!AJ12*$E$8</f>
        <v>100612.79819396124</v>
      </c>
      <c r="AI8" s="519">
        <f>'2.0 - Total Revenue'!AK12*$E$8</f>
        <v>104594.41424814241</v>
      </c>
      <c r="AJ8" s="519">
        <f>'2.0 - Total Revenue'!AL12*$E$8</f>
        <v>108456.58182069812</v>
      </c>
      <c r="AK8" s="519">
        <f>'2.0 - Total Revenue'!AM12*$E$8</f>
        <v>112202.88436607721</v>
      </c>
      <c r="AL8" s="519">
        <f>'2.0 - Total Revenue'!AN12*$E$8</f>
        <v>115836.7978350949</v>
      </c>
      <c r="AM8" s="519">
        <f>'2.0 - Total Revenue'!AO12*$E$8</f>
        <v>119361.69390004204</v>
      </c>
      <c r="AN8" s="519">
        <f>'2.0 - Total Revenue'!AP12*$E$8</f>
        <v>122780.84308304079</v>
      </c>
      <c r="AO8" s="519">
        <f>'2.0 - Total Revenue'!AQ12*$E$8</f>
        <v>126097.41779054957</v>
      </c>
      <c r="AP8" s="519">
        <f>'2.0 - Total Revenue'!AR12*$E$8</f>
        <v>129314.49525683308</v>
      </c>
      <c r="AQ8" s="519">
        <f>'2.0 - Total Revenue'!AS12*$E$8</f>
        <v>132435.0603991281</v>
      </c>
      <c r="AR8" s="519">
        <f>'2.0 - Total Revenue'!AT12*$E$8</f>
        <v>135462.00858715424</v>
      </c>
      <c r="AS8" s="519">
        <f>'2.0 - Total Revenue'!AU12*$E$8</f>
        <v>138398.14832953963</v>
      </c>
      <c r="AT8" s="519">
        <f>'2.0 - Total Revenue'!AV12*$E$8</f>
        <v>141246.20387965345</v>
      </c>
    </row>
    <row r="9" spans="1:46">
      <c r="A9" s="516" t="s">
        <v>2443</v>
      </c>
      <c r="B9" s="125">
        <v>2000</v>
      </c>
      <c r="C9" s="97"/>
      <c r="D9" s="521" t="s">
        <v>2444</v>
      </c>
      <c r="E9" s="519">
        <v>25</v>
      </c>
      <c r="F9" s="519">
        <f>'2.0 - Total Revenue'!H12*'1.3 - Fornecedores'!$C$26*$E$9</f>
        <v>300</v>
      </c>
      <c r="G9" s="519">
        <f>'2.0 - Total Revenue'!I12*'1.3 - Fornecedores'!$C$26*$E$9</f>
        <v>1041</v>
      </c>
      <c r="H9" s="519">
        <f>'2.0 - Total Revenue'!J12*'1.3 - Fornecedores'!$C$26*$E$9</f>
        <v>2059.77</v>
      </c>
      <c r="I9" s="519">
        <f>'2.0 - Total Revenue'!K12*'1.3 - Fornecedores'!$C$26*$E$9</f>
        <v>3647.9769000000006</v>
      </c>
      <c r="J9" s="519">
        <f>'2.0 - Total Revenue'!L12*'1.3 - Fornecedores'!$C$26*$E$9</f>
        <v>5788.5375929999991</v>
      </c>
      <c r="K9" s="519">
        <f>'2.0 - Total Revenue'!M12*'1.3 - Fornecedores'!$C$26*$E$9</f>
        <v>8464.8814652100009</v>
      </c>
      <c r="L9" s="519">
        <f>'2.0 - Total Revenue'!N12*'1.3 - Fornecedores'!$C$26*$E$9</f>
        <v>12110.935021253701</v>
      </c>
      <c r="M9" s="519">
        <f>'2.0 - Total Revenue'!O12*'1.3 - Fornecedores'!$C$26*$E$9</f>
        <v>16847.606970616089</v>
      </c>
      <c r="N9" s="519">
        <f>'2.0 - Total Revenue'!P12*'1.3 - Fornecedores'!$C$26*$E$9</f>
        <v>22792.178761497609</v>
      </c>
      <c r="O9" s="519">
        <f>'2.0 - Total Revenue'!Q12*'1.3 - Fornecedores'!$C$26*$E$9</f>
        <v>30058.413398652679</v>
      </c>
      <c r="P9" s="519">
        <f>'2.0 - Total Revenue'!R12*'1.3 - Fornecedores'!$C$26*$E$9</f>
        <v>38906.660996693106</v>
      </c>
      <c r="Q9" s="519">
        <f>'2.0 - Total Revenue'!S12*'1.3 - Fornecedores'!$C$26*$E$9</f>
        <v>49439.461166792309</v>
      </c>
      <c r="R9" s="519">
        <f>'2.0 - Total Revenue'!T12*'1.3 - Fornecedores'!$C$26*$E$9</f>
        <v>61756.277331788529</v>
      </c>
      <c r="S9" s="519">
        <f>'2.0 - Total Revenue'!U12*'1.3 - Fornecedores'!$C$26*$E$9</f>
        <v>75953.589011834876</v>
      </c>
      <c r="T9" s="519">
        <f>'2.0 - Total Revenue'!V12*'1.3 - Fornecedores'!$C$26*$E$9</f>
        <v>91974.981341479841</v>
      </c>
      <c r="U9" s="519">
        <f>'2.0 - Total Revenue'!W12*'1.3 - Fornecedores'!$C$26*$E$9</f>
        <v>108865.73190123544</v>
      </c>
      <c r="V9" s="519">
        <f>'2.0 - Total Revenue'!X12*'1.3 - Fornecedores'!$C$26*$E$9</f>
        <v>126149.75994419838</v>
      </c>
      <c r="W9" s="519">
        <f>'2.0 - Total Revenue'!Y12*'1.3 - Fornecedores'!$C$26*$E$9</f>
        <v>143365.26714587241</v>
      </c>
      <c r="X9" s="519">
        <f>'2.0 - Total Revenue'!Z12*'1.3 - Fornecedores'!$C$26*$E$9</f>
        <v>160064.30913149624</v>
      </c>
      <c r="Y9" s="519">
        <f>'2.0 - Total Revenue'!AA12*'1.3 - Fornecedores'!$C$26*$E$9</f>
        <v>176262.37985755136</v>
      </c>
      <c r="Z9" s="519">
        <f>'2.0 - Total Revenue'!AB12*'1.3 - Fornecedores'!$C$26*$E$9</f>
        <v>191974.50846182479</v>
      </c>
      <c r="AA9" s="519">
        <f>'2.0 - Total Revenue'!AC12*'1.3 - Fornecedores'!$C$26*$E$9</f>
        <v>207215.27320797005</v>
      </c>
      <c r="AB9" s="519">
        <f>'2.0 - Total Revenue'!AD12*'1.3 - Fornecedores'!$C$26*$E$9</f>
        <v>221998.81501173094</v>
      </c>
      <c r="AC9" s="519">
        <f>'2.0 - Total Revenue'!AE12*'1.3 - Fornecedores'!$C$26*$E$9</f>
        <v>236338.85056137902</v>
      </c>
      <c r="AD9" s="519">
        <f>'2.0 - Total Revenue'!AF12*'1.3 - Fornecedores'!$C$26*$E$9</f>
        <v>250248.68504453765</v>
      </c>
      <c r="AE9" s="519">
        <f>'2.0 - Total Revenue'!AG12*'1.3 - Fornecedores'!$C$26*$E$9</f>
        <v>263741.22449320153</v>
      </c>
      <c r="AF9" s="519">
        <f>'2.0 - Total Revenue'!AH12*'1.3 - Fornecedores'!$C$26*$E$9</f>
        <v>276828.98775840551</v>
      </c>
      <c r="AG9" s="519">
        <f>'2.0 - Total Revenue'!AI12*'1.3 - Fornecedores'!$C$26*$E$9</f>
        <v>289524.11812565336</v>
      </c>
      <c r="AH9" s="519">
        <f>'2.0 - Total Revenue'!AJ12*'1.3 - Fornecedores'!$C$26*$E$9</f>
        <v>301838.39458188374</v>
      </c>
      <c r="AI9" s="519">
        <f>'2.0 - Total Revenue'!AK12*'1.3 - Fornecedores'!$C$26*$E$9</f>
        <v>313783.24274442723</v>
      </c>
      <c r="AJ9" s="519">
        <f>'2.0 - Total Revenue'!AL12*'1.3 - Fornecedores'!$C$26*$E$9</f>
        <v>325369.74546209438</v>
      </c>
      <c r="AK9" s="519">
        <f>'2.0 - Total Revenue'!AM12*'1.3 - Fornecedores'!$C$26*$E$9</f>
        <v>336608.65309823159</v>
      </c>
      <c r="AL9" s="519">
        <f>'2.0 - Total Revenue'!AN12*'1.3 - Fornecedores'!$C$26*$E$9</f>
        <v>347510.39350528474</v>
      </c>
      <c r="AM9" s="519">
        <f>'2.0 - Total Revenue'!AO12*'1.3 - Fornecedores'!$C$26*$E$9</f>
        <v>358085.08170012612</v>
      </c>
      <c r="AN9" s="519">
        <f>'2.0 - Total Revenue'!AP12*'1.3 - Fornecedores'!$C$26*$E$9</f>
        <v>368342.52924912237</v>
      </c>
      <c r="AO9" s="519">
        <f>'2.0 - Total Revenue'!AQ12*'1.3 - Fornecedores'!$C$26*$E$9</f>
        <v>378292.25337164872</v>
      </c>
      <c r="AP9" s="519">
        <f>'2.0 - Total Revenue'!AR12*'1.3 - Fornecedores'!$C$26*$E$9</f>
        <v>387943.48577049922</v>
      </c>
      <c r="AQ9" s="519">
        <f>'2.0 - Total Revenue'!AS12*'1.3 - Fornecedores'!$C$26*$E$9</f>
        <v>397305.18119738426</v>
      </c>
      <c r="AR9" s="519">
        <f>'2.0 - Total Revenue'!AT12*'1.3 - Fornecedores'!$C$26*$E$9</f>
        <v>406386.02576146275</v>
      </c>
      <c r="AS9" s="519">
        <f>'2.0 - Total Revenue'!AU12*'1.3 - Fornecedores'!$C$26*$E$9</f>
        <v>415194.44498861895</v>
      </c>
      <c r="AT9" s="519">
        <f>'2.0 - Total Revenue'!AV12*'1.3 - Fornecedores'!$C$26*$E$9</f>
        <v>423738.61163896037</v>
      </c>
    </row>
    <row r="10" spans="1:46">
      <c r="A10" s="522" t="s">
        <v>2441</v>
      </c>
      <c r="B10" s="523">
        <v>1500</v>
      </c>
      <c r="C10" s="524"/>
      <c r="D10" s="526" t="s">
        <v>2442</v>
      </c>
      <c r="E10" s="525">
        <v>1000</v>
      </c>
      <c r="F10" s="570">
        <v>0</v>
      </c>
      <c r="G10" s="570">
        <v>0</v>
      </c>
      <c r="H10" s="570">
        <v>0</v>
      </c>
      <c r="I10" s="570">
        <v>0</v>
      </c>
      <c r="J10" s="570">
        <v>0</v>
      </c>
      <c r="K10" s="570">
        <v>0</v>
      </c>
      <c r="L10" s="570">
        <v>0</v>
      </c>
      <c r="M10" s="570">
        <f>SUM($E$10/100*'2.0 - Total Revenue'!O12)</f>
        <v>1123.1737980410726</v>
      </c>
      <c r="N10" s="570">
        <f>SUM($E$10/100*'2.0 - Total Revenue'!P12)</f>
        <v>1519.4785840998406</v>
      </c>
      <c r="O10" s="570">
        <f>SUM($E$10/100*'2.0 - Total Revenue'!Q12)</f>
        <v>2003.8942265768451</v>
      </c>
      <c r="P10" s="570">
        <f>SUM($E$10/100*'2.0 - Total Revenue'!R12)</f>
        <v>2593.7773997795402</v>
      </c>
      <c r="Q10" s="570">
        <f>SUM($E$10/100*'2.0 - Total Revenue'!S12)</f>
        <v>3295.9640777861541</v>
      </c>
      <c r="R10" s="570">
        <f>SUM($E$10/100*'2.0 - Total Revenue'!T12)</f>
        <v>4117.0851554525689</v>
      </c>
      <c r="S10" s="570">
        <f>SUM($E$10/100*'2.0 - Total Revenue'!U12)</f>
        <v>5063.5726007889916</v>
      </c>
      <c r="T10" s="570">
        <f>SUM($E$10/100*'2.0 - Total Revenue'!V12)</f>
        <v>6131.6654227653225</v>
      </c>
      <c r="U10" s="570">
        <f>SUM($E$10/100*'2.0 - Total Revenue'!W12)</f>
        <v>7257.7154600823633</v>
      </c>
      <c r="V10" s="570">
        <f>SUM($E$10/100*'2.0 - Total Revenue'!X12)</f>
        <v>8409.9839962798924</v>
      </c>
      <c r="W10" s="570">
        <f>SUM($E$10/100*'2.0 - Total Revenue'!Y12)</f>
        <v>9557.6844763914942</v>
      </c>
      <c r="X10" s="570">
        <f>SUM($E$10/100*'2.0 - Total Revenue'!Z12)</f>
        <v>10670.95394209975</v>
      </c>
      <c r="Y10" s="570">
        <f>SUM($E$10/100*'2.0 - Total Revenue'!AA12)</f>
        <v>11750.825323836758</v>
      </c>
      <c r="Z10" s="570">
        <f>SUM($E$10/100*'2.0 - Total Revenue'!AB12)</f>
        <v>12798.300564121653</v>
      </c>
      <c r="AA10" s="570">
        <f>SUM($E$10/100*'2.0 - Total Revenue'!AC12)</f>
        <v>13814.351547198003</v>
      </c>
      <c r="AB10" s="570">
        <f>SUM($E$10/100*'2.0 - Total Revenue'!AD12)</f>
        <v>14799.921000782062</v>
      </c>
      <c r="AC10" s="570">
        <f>SUM($E$10/100*'2.0 - Total Revenue'!AE12)</f>
        <v>15755.923370758601</v>
      </c>
      <c r="AD10" s="570">
        <f>SUM($E$10/100*'2.0 - Total Revenue'!AF12)</f>
        <v>16683.245669635842</v>
      </c>
      <c r="AE10" s="570">
        <f>SUM($E$10/100*'2.0 - Total Revenue'!AG12)</f>
        <v>17582.748299546769</v>
      </c>
      <c r="AF10" s="570">
        <f>SUM($E$10/100*'2.0 - Total Revenue'!AH12)</f>
        <v>18455.265850560365</v>
      </c>
      <c r="AG10" s="570">
        <f>SUM($E$10/100*'2.0 - Total Revenue'!AI12)</f>
        <v>19301.607875043555</v>
      </c>
      <c r="AH10" s="570">
        <f>SUM($E$10/100*'2.0 - Total Revenue'!AJ12)</f>
        <v>20122.559638792249</v>
      </c>
      <c r="AI10" s="570">
        <f>SUM($E$10/100*'2.0 - Total Revenue'!AK12)</f>
        <v>20918.88284962848</v>
      </c>
      <c r="AJ10" s="570">
        <f>SUM($E$10/100*'2.0 - Total Revenue'!AL12)</f>
        <v>21691.316364139624</v>
      </c>
      <c r="AK10" s="570">
        <f>SUM($E$10/100*'2.0 - Total Revenue'!AM12)</f>
        <v>22440.576873215439</v>
      </c>
      <c r="AL10" s="570">
        <f>SUM($E$10/100*'2.0 - Total Revenue'!AN12)</f>
        <v>23167.359567018979</v>
      </c>
      <c r="AM10" s="570">
        <f>SUM($E$10/100*'2.0 - Total Revenue'!AO12)</f>
        <v>23872.338780008409</v>
      </c>
      <c r="AN10" s="570">
        <f>SUM($E$10/100*'2.0 - Total Revenue'!AP12)</f>
        <v>24556.168616608156</v>
      </c>
      <c r="AO10" s="570">
        <f>SUM($E$10/100*'2.0 - Total Revenue'!AQ12)</f>
        <v>25219.483558109914</v>
      </c>
      <c r="AP10" s="570">
        <f>SUM($E$10/100*'2.0 - Total Revenue'!AR12)</f>
        <v>25862.899051366618</v>
      </c>
      <c r="AQ10" s="570">
        <f>SUM($E$10/100*'2.0 - Total Revenue'!AS12)</f>
        <v>26487.012079825618</v>
      </c>
      <c r="AR10" s="570">
        <f>SUM($E$10/100*'2.0 - Total Revenue'!AT12)</f>
        <v>27092.401717430846</v>
      </c>
      <c r="AS10" s="570">
        <f>SUM($E$10/100*'2.0 - Total Revenue'!AU12)</f>
        <v>27679.629665907927</v>
      </c>
      <c r="AT10" s="570">
        <f>SUM($E$10/100*'2.0 - Total Revenue'!AV12)</f>
        <v>28249.240775930688</v>
      </c>
    </row>
    <row r="11" spans="1:46">
      <c r="A11" s="522"/>
      <c r="B11" s="523"/>
      <c r="C11" s="524"/>
      <c r="D11" s="526"/>
      <c r="E11" s="525"/>
      <c r="F11" s="570"/>
      <c r="G11" s="570"/>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row>
    <row r="12" spans="1:46">
      <c r="A12" s="516" t="s">
        <v>2436</v>
      </c>
      <c r="B12" s="125">
        <v>10000</v>
      </c>
      <c r="C12" s="97"/>
      <c r="D12" s="97"/>
      <c r="E12" s="97"/>
      <c r="F12" s="96"/>
      <c r="G12" s="96"/>
      <c r="H12" s="96"/>
      <c r="I12" s="96"/>
      <c r="J12" s="96"/>
      <c r="K12" s="96"/>
      <c r="L12" s="96"/>
      <c r="M12" s="96"/>
      <c r="N12" s="96"/>
      <c r="O12" s="96"/>
      <c r="P12" s="96"/>
      <c r="Q12" s="96"/>
      <c r="R12" s="96"/>
      <c r="S12" s="96"/>
    </row>
    <row r="13" spans="1:46">
      <c r="A13" s="514" t="s">
        <v>2430</v>
      </c>
      <c r="B13" s="515">
        <v>400</v>
      </c>
      <c r="C13" s="97"/>
      <c r="D13" s="97"/>
      <c r="E13" s="97"/>
      <c r="F13" s="96"/>
      <c r="G13" s="96"/>
      <c r="H13" s="96"/>
      <c r="I13" s="96"/>
      <c r="J13" s="96"/>
      <c r="K13" s="96"/>
      <c r="L13" s="96"/>
      <c r="M13" s="96"/>
      <c r="N13" s="96"/>
      <c r="O13" s="96"/>
      <c r="P13" s="96"/>
      <c r="Q13" s="96"/>
      <c r="R13" s="96"/>
      <c r="S13" s="96"/>
    </row>
    <row r="14" spans="1:46" s="465" customFormat="1" ht="15" customHeight="1">
      <c r="F14" s="567"/>
      <c r="G14" s="567"/>
      <c r="H14" s="567"/>
      <c r="I14" s="567"/>
      <c r="J14" s="567"/>
      <c r="K14" s="567"/>
      <c r="L14" s="567"/>
      <c r="M14" s="567"/>
      <c r="N14" s="567"/>
      <c r="O14" s="567"/>
      <c r="P14" s="567"/>
      <c r="Q14" s="567"/>
      <c r="R14" s="567"/>
      <c r="S14" s="567"/>
      <c r="T14" s="567"/>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c r="AT14" s="567"/>
    </row>
    <row r="15" spans="1:46">
      <c r="A15" s="527" t="s">
        <v>2446</v>
      </c>
      <c r="B15" s="523">
        <v>1000</v>
      </c>
      <c r="C15" s="97"/>
      <c r="D15" s="97"/>
      <c r="E15" s="97"/>
      <c r="F15" s="96"/>
      <c r="G15" s="96"/>
      <c r="H15" s="96"/>
      <c r="I15" s="96"/>
      <c r="J15" s="96"/>
      <c r="K15" s="96"/>
      <c r="L15" s="96"/>
      <c r="M15" s="96"/>
      <c r="N15" s="96"/>
      <c r="O15" s="96"/>
      <c r="P15" s="96"/>
      <c r="Q15" s="96"/>
      <c r="R15" s="96"/>
      <c r="S15" s="96"/>
    </row>
    <row r="16" spans="1:46">
      <c r="A16" s="516" t="s">
        <v>2431</v>
      </c>
      <c r="B16" s="125">
        <v>500</v>
      </c>
      <c r="C16" s="97"/>
      <c r="D16" s="97"/>
      <c r="E16" s="97"/>
      <c r="F16" s="96"/>
      <c r="G16" s="96"/>
      <c r="H16" s="96"/>
      <c r="I16" s="96"/>
      <c r="J16" s="96"/>
      <c r="K16" s="96"/>
      <c r="L16" s="96"/>
      <c r="M16" s="96"/>
      <c r="N16" s="96"/>
      <c r="O16" s="96"/>
      <c r="P16" s="96"/>
      <c r="Q16" s="96"/>
      <c r="R16" s="96"/>
      <c r="S16" s="96"/>
    </row>
    <row r="17" spans="1:19">
      <c r="A17" s="124" t="s">
        <v>128</v>
      </c>
      <c r="B17" s="125">
        <v>150</v>
      </c>
      <c r="C17" s="97"/>
      <c r="D17" s="97"/>
      <c r="E17" s="97"/>
      <c r="F17" s="96"/>
      <c r="G17" s="96"/>
      <c r="H17" s="96"/>
      <c r="I17" s="96"/>
      <c r="J17" s="96"/>
      <c r="K17" s="96"/>
      <c r="L17" s="96"/>
      <c r="M17" s="96"/>
      <c r="N17" s="96"/>
      <c r="O17" s="96"/>
      <c r="P17" s="96"/>
      <c r="Q17" s="96"/>
      <c r="R17" s="96"/>
      <c r="S17" s="96"/>
    </row>
    <row r="18" spans="1:19">
      <c r="A18" s="516" t="s">
        <v>2432</v>
      </c>
      <c r="B18" s="125">
        <v>1500</v>
      </c>
      <c r="C18" s="97"/>
      <c r="D18" s="97"/>
      <c r="E18" s="97"/>
      <c r="F18" s="96"/>
      <c r="G18" s="96"/>
      <c r="H18" s="96"/>
      <c r="I18" s="96"/>
      <c r="J18" s="96"/>
      <c r="K18" s="96"/>
      <c r="L18" s="96"/>
      <c r="M18" s="96"/>
      <c r="N18" s="96"/>
      <c r="O18" s="96"/>
      <c r="P18" s="96"/>
      <c r="Q18" s="96"/>
      <c r="R18" s="96"/>
      <c r="S18" s="96"/>
    </row>
    <row r="19" spans="1:19">
      <c r="A19" s="516" t="s">
        <v>2433</v>
      </c>
      <c r="B19" s="125">
        <v>2000</v>
      </c>
      <c r="C19" s="97"/>
      <c r="D19" s="97"/>
      <c r="E19" s="97"/>
      <c r="F19" s="96"/>
      <c r="G19" s="96"/>
      <c r="H19" s="96"/>
      <c r="I19" s="96"/>
      <c r="J19" s="96"/>
      <c r="K19" s="96"/>
      <c r="L19" s="96"/>
      <c r="M19" s="96"/>
      <c r="N19" s="96"/>
      <c r="O19" s="96"/>
      <c r="P19" s="96"/>
      <c r="Q19" s="96"/>
      <c r="R19" s="96"/>
      <c r="S19" s="96"/>
    </row>
    <row r="20" spans="1:19">
      <c r="A20" s="124" t="s">
        <v>133</v>
      </c>
      <c r="B20" s="125">
        <v>870</v>
      </c>
      <c r="C20" s="97"/>
      <c r="D20" s="97"/>
      <c r="E20" s="97"/>
      <c r="F20" s="96"/>
      <c r="G20" s="96"/>
      <c r="H20" s="96"/>
      <c r="I20" s="96"/>
      <c r="J20" s="96"/>
      <c r="K20" s="96"/>
      <c r="L20" s="96"/>
      <c r="M20" s="96"/>
      <c r="N20" s="96"/>
      <c r="O20" s="96"/>
      <c r="P20" s="96"/>
      <c r="Q20" s="96"/>
      <c r="R20" s="96"/>
      <c r="S20" s="96"/>
    </row>
    <row r="21" spans="1:19" ht="15.75" thickBot="1">
      <c r="A21" s="516" t="s">
        <v>2445</v>
      </c>
      <c r="B21" s="125">
        <v>450</v>
      </c>
      <c r="C21" s="97"/>
      <c r="D21" s="97"/>
      <c r="E21" s="97"/>
      <c r="F21" s="96"/>
      <c r="G21" s="96"/>
      <c r="H21" s="96"/>
      <c r="I21" s="96"/>
      <c r="J21" s="96"/>
      <c r="K21" s="96"/>
      <c r="L21" s="96"/>
      <c r="M21" s="96"/>
      <c r="N21" s="96"/>
      <c r="O21" s="96"/>
      <c r="P21" s="96"/>
      <c r="Q21" s="96"/>
      <c r="R21" s="96"/>
      <c r="S21" s="96"/>
    </row>
    <row r="22" spans="1:19" ht="15.75" thickBot="1">
      <c r="A22" s="124"/>
      <c r="B22" s="585">
        <f>SUM(B15:B21)</f>
        <v>6470</v>
      </c>
      <c r="C22" s="97"/>
      <c r="D22" s="97"/>
      <c r="E22" s="97"/>
      <c r="F22" s="96"/>
      <c r="G22" s="96"/>
      <c r="H22" s="96"/>
      <c r="I22" s="96"/>
      <c r="J22" s="96"/>
      <c r="K22" s="96"/>
      <c r="L22" s="96"/>
      <c r="M22" s="96"/>
      <c r="N22" s="96"/>
      <c r="O22" s="96"/>
      <c r="P22" s="96"/>
      <c r="Q22" s="96"/>
      <c r="R22" s="96"/>
      <c r="S22" s="96"/>
    </row>
    <row r="23" spans="1:19">
      <c r="A23" s="124"/>
      <c r="B23" s="125"/>
      <c r="C23" s="97"/>
      <c r="D23" s="97"/>
      <c r="E23" s="97"/>
      <c r="F23" s="96"/>
      <c r="G23" s="96"/>
      <c r="H23" s="96"/>
      <c r="I23" s="96"/>
      <c r="J23" s="96"/>
      <c r="K23" s="96"/>
      <c r="L23" s="96"/>
      <c r="M23" s="96"/>
      <c r="N23" s="96"/>
      <c r="O23" s="96"/>
      <c r="P23" s="96"/>
      <c r="Q23" s="96"/>
      <c r="R23" s="96"/>
      <c r="S23" s="96"/>
    </row>
    <row r="24" spans="1:19">
      <c r="A24" s="124"/>
      <c r="B24" s="125"/>
      <c r="C24" s="97"/>
      <c r="D24" s="97"/>
      <c r="E24" s="97"/>
      <c r="F24" s="96"/>
      <c r="G24" s="96"/>
      <c r="H24" s="96"/>
      <c r="I24" s="96"/>
      <c r="J24" s="96"/>
      <c r="K24" s="96"/>
      <c r="L24" s="96"/>
      <c r="M24" s="96"/>
      <c r="N24" s="96"/>
      <c r="O24" s="96"/>
      <c r="P24" s="96"/>
      <c r="Q24" s="96"/>
      <c r="R24" s="96"/>
      <c r="S24" s="96"/>
    </row>
    <row r="25" spans="1:19" ht="15.75" thickBot="1">
      <c r="A25" s="124"/>
      <c r="B25" s="125"/>
      <c r="C25" s="97"/>
      <c r="D25" s="97"/>
      <c r="E25" s="97"/>
      <c r="F25" s="96"/>
      <c r="G25" s="96"/>
      <c r="H25" s="96"/>
      <c r="I25" s="96"/>
      <c r="J25" s="96"/>
      <c r="K25" s="96"/>
      <c r="L25" s="96"/>
      <c r="M25" s="96"/>
      <c r="N25" s="96"/>
      <c r="O25" s="96"/>
      <c r="P25" s="96"/>
      <c r="Q25" s="96"/>
      <c r="R25" s="96"/>
      <c r="S25" s="96"/>
    </row>
    <row r="26" spans="1:19" ht="15.75" thickBot="1">
      <c r="A26" s="124"/>
      <c r="B26" s="125"/>
      <c r="C26" s="569">
        <v>6</v>
      </c>
      <c r="D26" s="568" t="s">
        <v>2459</v>
      </c>
      <c r="E26" s="97"/>
      <c r="F26" s="96"/>
      <c r="G26" s="96"/>
      <c r="H26" s="96"/>
      <c r="I26" s="96"/>
      <c r="J26" s="96"/>
      <c r="K26" s="96"/>
      <c r="L26" s="96"/>
      <c r="M26" s="96"/>
      <c r="N26" s="96"/>
      <c r="O26" s="96"/>
      <c r="P26" s="96"/>
      <c r="Q26" s="96"/>
      <c r="R26" s="96"/>
      <c r="S26" s="96"/>
    </row>
    <row r="27" spans="1:19">
      <c r="A27" s="124"/>
      <c r="B27" s="125"/>
      <c r="C27" s="97"/>
      <c r="D27" s="97"/>
      <c r="E27" s="97"/>
      <c r="F27" s="96"/>
      <c r="G27" s="96"/>
      <c r="H27" s="96"/>
      <c r="I27" s="96"/>
      <c r="J27" s="96"/>
      <c r="K27" s="96"/>
      <c r="L27" s="96"/>
      <c r="M27" s="96"/>
      <c r="N27" s="96"/>
      <c r="O27" s="96"/>
      <c r="P27" s="96"/>
      <c r="Q27" s="96"/>
      <c r="R27" s="96"/>
      <c r="S27" s="96"/>
    </row>
    <row r="28" spans="1:19">
      <c r="A28" s="124"/>
      <c r="B28" s="125"/>
      <c r="C28" s="97"/>
      <c r="D28" s="97"/>
      <c r="E28" s="97"/>
      <c r="F28" s="96"/>
      <c r="G28" s="96"/>
      <c r="H28" s="96"/>
      <c r="I28" s="96"/>
      <c r="J28" s="96"/>
      <c r="K28" s="96"/>
      <c r="L28" s="96"/>
      <c r="M28" s="96"/>
      <c r="N28" s="96"/>
      <c r="O28" s="96"/>
      <c r="P28" s="96"/>
      <c r="Q28" s="96"/>
      <c r="R28" s="96"/>
      <c r="S28" s="96"/>
    </row>
    <row r="29" spans="1:19">
      <c r="A29" s="124"/>
      <c r="B29" s="125"/>
      <c r="C29" s="97"/>
      <c r="D29" s="97"/>
      <c r="E29" s="97"/>
      <c r="F29" s="96"/>
      <c r="G29" s="96"/>
      <c r="H29" s="96"/>
      <c r="I29" s="96"/>
      <c r="J29" s="96"/>
      <c r="K29" s="96"/>
      <c r="L29" s="96"/>
      <c r="M29" s="96"/>
      <c r="N29" s="96"/>
      <c r="O29" s="96"/>
      <c r="P29" s="96"/>
      <c r="Q29" s="96"/>
      <c r="R29" s="96"/>
      <c r="S29" s="96"/>
    </row>
    <row r="30" spans="1:19">
      <c r="A30" s="124"/>
      <c r="B30" s="125"/>
      <c r="C30" s="97"/>
      <c r="D30" s="97"/>
      <c r="E30" s="97"/>
      <c r="F30" s="96"/>
      <c r="G30" s="96"/>
      <c r="H30" s="96"/>
      <c r="I30" s="96"/>
      <c r="J30" s="96"/>
      <c r="K30" s="96"/>
      <c r="L30" s="96"/>
      <c r="M30" s="96"/>
      <c r="N30" s="96"/>
      <c r="O30" s="96"/>
      <c r="P30" s="96"/>
      <c r="Q30" s="96"/>
      <c r="R30" s="96"/>
      <c r="S30" s="96"/>
    </row>
    <row r="31" spans="1:19">
      <c r="A31" s="124"/>
      <c r="B31" s="125"/>
      <c r="C31" s="97"/>
      <c r="D31" s="97"/>
      <c r="E31" s="97"/>
      <c r="F31" s="96"/>
      <c r="G31" s="96"/>
      <c r="H31" s="96"/>
      <c r="I31" s="96"/>
      <c r="J31" s="96"/>
      <c r="K31" s="96"/>
      <c r="L31" s="96"/>
      <c r="M31" s="96"/>
      <c r="N31" s="96"/>
      <c r="O31" s="96"/>
      <c r="P31" s="96"/>
      <c r="Q31" s="96"/>
      <c r="R31" s="96"/>
      <c r="S31" s="96"/>
    </row>
    <row r="32" spans="1:19">
      <c r="A32" s="124"/>
      <c r="B32" s="125"/>
      <c r="C32" s="97"/>
      <c r="D32" s="97"/>
      <c r="E32" s="97"/>
      <c r="F32" s="96"/>
      <c r="G32" s="96"/>
      <c r="H32" s="96"/>
      <c r="I32" s="96"/>
      <c r="J32" s="96"/>
      <c r="K32" s="96"/>
      <c r="L32" s="96"/>
      <c r="M32" s="96"/>
      <c r="N32" s="96"/>
      <c r="O32" s="96"/>
      <c r="P32" s="96"/>
      <c r="Q32" s="96"/>
      <c r="R32" s="96"/>
      <c r="S32" s="96"/>
    </row>
    <row r="33" spans="1:19">
      <c r="A33" s="124"/>
      <c r="B33" s="125"/>
      <c r="C33" s="97"/>
      <c r="D33" s="97"/>
      <c r="E33" s="97"/>
      <c r="F33" s="96"/>
      <c r="G33" s="96"/>
      <c r="H33" s="96"/>
      <c r="I33" s="96"/>
      <c r="J33" s="96"/>
      <c r="K33" s="96"/>
      <c r="L33" s="96"/>
      <c r="M33" s="96"/>
      <c r="N33" s="96"/>
      <c r="O33" s="96"/>
      <c r="P33" s="96"/>
      <c r="Q33" s="96"/>
      <c r="R33" s="96"/>
      <c r="S33" s="96"/>
    </row>
    <row r="34" spans="1:19">
      <c r="A34" s="124"/>
      <c r="B34" s="125"/>
      <c r="C34" s="97"/>
      <c r="D34" s="97"/>
      <c r="E34" s="97"/>
      <c r="F34" s="96"/>
      <c r="G34" s="96"/>
      <c r="H34" s="96"/>
      <c r="I34" s="96"/>
      <c r="J34" s="96"/>
      <c r="K34" s="96"/>
      <c r="L34" s="96"/>
      <c r="M34" s="96"/>
      <c r="N34" s="96"/>
      <c r="O34" s="96"/>
      <c r="P34" s="96"/>
      <c r="Q34" s="96"/>
      <c r="R34" s="96"/>
      <c r="S34" s="96"/>
    </row>
    <row r="35" spans="1:19">
      <c r="A35" s="124"/>
      <c r="B35" s="125"/>
      <c r="C35" s="97"/>
      <c r="D35" s="97"/>
      <c r="E35" s="97"/>
      <c r="F35" s="96"/>
      <c r="G35" s="96"/>
      <c r="H35" s="96"/>
      <c r="I35" s="96"/>
      <c r="J35" s="96"/>
      <c r="K35" s="96"/>
      <c r="L35" s="96"/>
      <c r="M35" s="96"/>
      <c r="N35" s="96"/>
      <c r="O35" s="96"/>
      <c r="P35" s="96"/>
      <c r="Q35" s="96"/>
      <c r="R35" s="96"/>
      <c r="S35" s="96"/>
    </row>
    <row r="36" spans="1:19">
      <c r="A36" s="124"/>
      <c r="B36" s="125"/>
      <c r="C36" s="97"/>
      <c r="D36" s="97"/>
      <c r="E36" s="97"/>
      <c r="F36" s="96"/>
      <c r="G36" s="96"/>
      <c r="H36" s="96"/>
      <c r="I36" s="96"/>
      <c r="J36" s="96"/>
      <c r="K36" s="96"/>
      <c r="L36" s="96"/>
      <c r="M36" s="96"/>
      <c r="N36" s="96"/>
      <c r="O36" s="96"/>
      <c r="P36" s="96"/>
      <c r="Q36" s="96"/>
      <c r="R36" s="96"/>
      <c r="S36" s="96"/>
    </row>
    <row r="37" spans="1:19">
      <c r="A37" s="124"/>
      <c r="B37" s="125"/>
      <c r="C37" s="97"/>
      <c r="D37" s="97"/>
      <c r="E37" s="97"/>
      <c r="F37" s="96"/>
      <c r="G37" s="96"/>
      <c r="H37" s="96"/>
      <c r="I37" s="96"/>
      <c r="J37" s="96"/>
      <c r="K37" s="96"/>
      <c r="L37" s="96"/>
      <c r="M37" s="96"/>
      <c r="N37" s="96"/>
      <c r="O37" s="96"/>
      <c r="P37" s="96"/>
      <c r="Q37" s="96"/>
      <c r="R37" s="96"/>
      <c r="S37" s="96"/>
    </row>
    <row r="38" spans="1:19">
      <c r="A38" s="124"/>
      <c r="B38" s="125"/>
      <c r="C38" s="97"/>
      <c r="D38" s="97"/>
      <c r="E38" s="97"/>
      <c r="F38" s="96"/>
      <c r="G38" s="96"/>
      <c r="H38" s="96"/>
      <c r="I38" s="96"/>
      <c r="J38" s="96"/>
      <c r="K38" s="96"/>
      <c r="L38" s="96"/>
      <c r="M38" s="96"/>
      <c r="N38" s="96"/>
      <c r="O38" s="96"/>
      <c r="P38" s="96"/>
      <c r="Q38" s="96"/>
      <c r="R38" s="96"/>
      <c r="S38" s="96"/>
    </row>
    <row r="39" spans="1:19">
      <c r="A39" s="124"/>
      <c r="B39" s="125"/>
      <c r="C39" s="97"/>
      <c r="D39" s="97"/>
      <c r="E39" s="97"/>
      <c r="F39" s="96"/>
      <c r="G39" s="96"/>
      <c r="H39" s="96"/>
      <c r="I39" s="96"/>
      <c r="J39" s="96"/>
      <c r="K39" s="96"/>
      <c r="L39" s="96"/>
      <c r="M39" s="96"/>
      <c r="N39" s="96"/>
      <c r="O39" s="96"/>
      <c r="P39" s="96"/>
      <c r="Q39" s="96"/>
      <c r="R39" s="96"/>
      <c r="S39" s="96"/>
    </row>
    <row r="40" spans="1:19">
      <c r="A40" s="124"/>
      <c r="B40" s="125"/>
      <c r="C40" s="97"/>
      <c r="D40" s="97"/>
      <c r="E40" s="97"/>
      <c r="F40" s="96"/>
      <c r="G40" s="96"/>
      <c r="H40" s="96"/>
      <c r="I40" s="96"/>
      <c r="J40" s="96"/>
      <c r="K40" s="96"/>
      <c r="L40" s="96"/>
      <c r="M40" s="96"/>
      <c r="N40" s="96"/>
      <c r="O40" s="96"/>
      <c r="P40" s="96"/>
      <c r="Q40" s="96"/>
      <c r="R40" s="96"/>
      <c r="S40" s="96"/>
    </row>
    <row r="41" spans="1:19">
      <c r="A41" s="124"/>
      <c r="B41" s="125"/>
      <c r="C41" s="97"/>
      <c r="D41" s="97"/>
      <c r="E41" s="97"/>
      <c r="F41" s="96"/>
      <c r="G41" s="96"/>
      <c r="H41" s="96"/>
      <c r="I41" s="96"/>
      <c r="J41" s="96"/>
      <c r="K41" s="96"/>
      <c r="L41" s="96"/>
      <c r="M41" s="96"/>
      <c r="N41" s="96"/>
      <c r="O41" s="96"/>
      <c r="P41" s="96"/>
      <c r="Q41" s="96"/>
      <c r="R41" s="96"/>
      <c r="S41" s="96"/>
    </row>
    <row r="42" spans="1:19">
      <c r="A42" s="124"/>
      <c r="B42" s="125"/>
      <c r="C42" s="97"/>
      <c r="D42" s="97"/>
      <c r="E42" s="97"/>
      <c r="F42" s="96"/>
      <c r="G42" s="96"/>
      <c r="H42" s="96"/>
      <c r="I42" s="96"/>
      <c r="J42" s="96"/>
      <c r="K42" s="96"/>
      <c r="L42" s="96"/>
      <c r="M42" s="96"/>
      <c r="N42" s="96"/>
      <c r="O42" s="96"/>
      <c r="P42" s="96"/>
      <c r="Q42" s="96"/>
      <c r="R42" s="96"/>
      <c r="S42" s="96"/>
    </row>
    <row r="43" spans="1:19">
      <c r="A43" s="124"/>
      <c r="B43" s="125"/>
      <c r="C43" s="97"/>
      <c r="D43" s="97"/>
      <c r="E43" s="97"/>
      <c r="F43" s="96"/>
      <c r="G43" s="96"/>
      <c r="H43" s="96"/>
      <c r="I43" s="96"/>
      <c r="J43" s="96"/>
      <c r="K43" s="96"/>
      <c r="L43" s="96"/>
      <c r="M43" s="96"/>
      <c r="N43" s="96"/>
      <c r="O43" s="96"/>
      <c r="P43" s="96"/>
      <c r="Q43" s="96"/>
      <c r="R43" s="96"/>
      <c r="S43" s="96"/>
    </row>
    <row r="44" spans="1:19">
      <c r="A44" s="124"/>
      <c r="B44" s="125"/>
      <c r="C44" s="97"/>
      <c r="D44" s="97"/>
      <c r="E44" s="97"/>
      <c r="F44" s="96"/>
      <c r="G44" s="96"/>
      <c r="H44" s="96"/>
      <c r="I44" s="96"/>
      <c r="J44" s="96"/>
      <c r="K44" s="96"/>
      <c r="L44" s="96"/>
      <c r="M44" s="96"/>
      <c r="N44" s="96"/>
      <c r="O44" s="96"/>
      <c r="P44" s="96"/>
      <c r="Q44" s="96"/>
      <c r="R44" s="96"/>
      <c r="S44" s="96"/>
    </row>
    <row r="45" spans="1:19">
      <c r="A45" s="124"/>
      <c r="B45" s="125"/>
      <c r="C45" s="97"/>
      <c r="D45" s="97"/>
      <c r="E45" s="97"/>
      <c r="F45" s="96"/>
      <c r="G45" s="96"/>
      <c r="H45" s="96"/>
      <c r="I45" s="96"/>
      <c r="J45" s="96"/>
      <c r="K45" s="96"/>
      <c r="L45" s="96"/>
      <c r="M45" s="96"/>
      <c r="N45" s="96"/>
      <c r="O45" s="96"/>
      <c r="P45" s="96"/>
      <c r="Q45" s="96"/>
      <c r="R45" s="96"/>
      <c r="S45" s="96"/>
    </row>
    <row r="46" spans="1:19">
      <c r="A46" s="124"/>
      <c r="B46" s="125"/>
      <c r="C46" s="97"/>
      <c r="D46" s="97"/>
      <c r="E46" s="97"/>
      <c r="F46" s="96"/>
      <c r="G46" s="96"/>
      <c r="H46" s="96"/>
      <c r="I46" s="96"/>
      <c r="J46" s="96"/>
      <c r="K46" s="96"/>
      <c r="L46" s="96"/>
      <c r="M46" s="96"/>
      <c r="N46" s="96"/>
      <c r="O46" s="96"/>
      <c r="P46" s="96"/>
      <c r="Q46" s="96"/>
      <c r="R46" s="96"/>
      <c r="S46" s="96"/>
    </row>
    <row r="47" spans="1:19">
      <c r="A47" s="124"/>
      <c r="B47" s="125"/>
      <c r="C47" s="97"/>
      <c r="D47" s="97"/>
      <c r="E47" s="97"/>
      <c r="F47" s="96"/>
      <c r="G47" s="96"/>
      <c r="H47" s="96"/>
      <c r="I47" s="96"/>
      <c r="J47" s="96"/>
      <c r="K47" s="96"/>
      <c r="L47" s="96"/>
      <c r="M47" s="96"/>
      <c r="N47" s="96"/>
      <c r="O47" s="96"/>
      <c r="P47" s="96"/>
      <c r="Q47" s="96"/>
      <c r="R47" s="96"/>
      <c r="S47" s="96"/>
    </row>
    <row r="48" spans="1:19">
      <c r="A48" s="124"/>
      <c r="B48" s="125"/>
      <c r="C48" s="97"/>
      <c r="D48" s="97"/>
      <c r="E48" s="97"/>
      <c r="F48" s="96"/>
      <c r="G48" s="96"/>
      <c r="H48" s="96"/>
      <c r="I48" s="96"/>
      <c r="J48" s="96"/>
      <c r="K48" s="96"/>
      <c r="L48" s="96"/>
      <c r="M48" s="96"/>
      <c r="N48" s="96"/>
      <c r="O48" s="96"/>
      <c r="P48" s="96"/>
      <c r="Q48" s="96"/>
      <c r="R48" s="96"/>
      <c r="S48" s="96"/>
    </row>
    <row r="49" spans="1:19">
      <c r="A49" s="124"/>
      <c r="B49" s="125"/>
      <c r="C49" s="97"/>
      <c r="D49" s="97"/>
      <c r="E49" s="97"/>
      <c r="F49" s="96"/>
      <c r="G49" s="96"/>
      <c r="H49" s="96"/>
      <c r="I49" s="96"/>
      <c r="J49" s="96"/>
      <c r="K49" s="96"/>
      <c r="L49" s="96"/>
      <c r="M49" s="96"/>
      <c r="N49" s="96"/>
      <c r="O49" s="96"/>
      <c r="P49" s="96"/>
      <c r="Q49" s="96"/>
      <c r="R49" s="96"/>
      <c r="S49" s="96"/>
    </row>
    <row r="50" spans="1:19">
      <c r="A50" s="124"/>
      <c r="B50" s="125"/>
      <c r="C50" s="97"/>
      <c r="D50" s="97"/>
      <c r="E50" s="97"/>
      <c r="F50" s="96"/>
      <c r="G50" s="96"/>
      <c r="H50" s="96"/>
      <c r="I50" s="96"/>
      <c r="J50" s="96"/>
      <c r="K50" s="96"/>
      <c r="L50" s="96"/>
      <c r="M50" s="96"/>
      <c r="N50" s="96"/>
      <c r="O50" s="96"/>
      <c r="P50" s="96"/>
      <c r="Q50" s="96"/>
      <c r="R50" s="96"/>
      <c r="S50" s="96"/>
    </row>
    <row r="51" spans="1:19">
      <c r="A51" s="124"/>
      <c r="B51" s="125"/>
      <c r="C51" s="97"/>
      <c r="D51" s="97"/>
      <c r="E51" s="97"/>
      <c r="F51" s="96"/>
      <c r="G51" s="96"/>
      <c r="H51" s="96"/>
      <c r="I51" s="96"/>
      <c r="J51" s="96"/>
      <c r="K51" s="96"/>
      <c r="L51" s="96"/>
      <c r="M51" s="96"/>
      <c r="N51" s="96"/>
      <c r="O51" s="96"/>
      <c r="P51" s="96"/>
      <c r="Q51" s="96"/>
      <c r="R51" s="96"/>
      <c r="S51" s="96"/>
    </row>
    <row r="52" spans="1:19">
      <c r="A52" s="124"/>
      <c r="B52" s="125"/>
      <c r="C52" s="97"/>
      <c r="D52" s="97"/>
      <c r="E52" s="97"/>
      <c r="F52" s="96"/>
      <c r="G52" s="96"/>
      <c r="H52" s="96"/>
      <c r="I52" s="96"/>
      <c r="J52" s="96"/>
      <c r="K52" s="96"/>
      <c r="L52" s="96"/>
      <c r="M52" s="96"/>
      <c r="N52" s="96"/>
      <c r="O52" s="96"/>
      <c r="P52" s="96"/>
      <c r="Q52" s="96"/>
      <c r="R52" s="96"/>
      <c r="S52" s="96"/>
    </row>
    <row r="53" spans="1:19">
      <c r="A53" s="124"/>
      <c r="B53" s="125"/>
      <c r="C53" s="97"/>
      <c r="D53" s="97"/>
      <c r="E53" s="97"/>
      <c r="F53" s="96"/>
      <c r="G53" s="96"/>
      <c r="H53" s="96"/>
      <c r="I53" s="96"/>
      <c r="J53" s="96"/>
      <c r="K53" s="96"/>
      <c r="L53" s="96"/>
      <c r="M53" s="96"/>
      <c r="N53" s="96"/>
      <c r="O53" s="96"/>
      <c r="P53" s="96"/>
      <c r="Q53" s="96"/>
      <c r="R53" s="96"/>
      <c r="S53" s="96"/>
    </row>
    <row r="54" spans="1:19">
      <c r="A54" s="124"/>
      <c r="B54" s="125"/>
      <c r="C54" s="97"/>
      <c r="D54" s="97"/>
      <c r="E54" s="97"/>
      <c r="F54" s="96"/>
      <c r="G54" s="96"/>
      <c r="H54" s="96"/>
      <c r="I54" s="96"/>
      <c r="J54" s="96"/>
      <c r="K54" s="96"/>
      <c r="L54" s="96"/>
      <c r="M54" s="96"/>
      <c r="N54" s="96"/>
      <c r="O54" s="96"/>
      <c r="P54" s="96"/>
      <c r="Q54" s="96"/>
      <c r="R54" s="96"/>
      <c r="S54" s="96"/>
    </row>
    <row r="55" spans="1:19">
      <c r="A55" s="124"/>
      <c r="B55" s="125"/>
      <c r="C55" s="97"/>
      <c r="D55" s="97"/>
      <c r="E55" s="97"/>
      <c r="F55" s="96"/>
      <c r="G55" s="96"/>
      <c r="H55" s="96"/>
      <c r="I55" s="96"/>
      <c r="J55" s="96"/>
      <c r="K55" s="96"/>
      <c r="L55" s="96"/>
      <c r="M55" s="96"/>
      <c r="N55" s="96"/>
      <c r="O55" s="96"/>
      <c r="P55" s="96"/>
      <c r="Q55" s="96"/>
      <c r="R55" s="96"/>
      <c r="S55" s="96"/>
    </row>
    <row r="56" spans="1:19">
      <c r="A56" s="124"/>
      <c r="B56" s="125"/>
      <c r="C56" s="97"/>
      <c r="D56" s="97"/>
      <c r="E56" s="97"/>
      <c r="F56" s="96"/>
      <c r="G56" s="96"/>
      <c r="H56" s="96"/>
      <c r="I56" s="96"/>
      <c r="J56" s="96"/>
      <c r="K56" s="96"/>
      <c r="L56" s="96"/>
      <c r="M56" s="96"/>
      <c r="N56" s="96"/>
      <c r="O56" s="96"/>
      <c r="P56" s="96"/>
      <c r="Q56" s="96"/>
      <c r="R56" s="96"/>
      <c r="S56" s="96"/>
    </row>
    <row r="57" spans="1:19">
      <c r="A57" s="124"/>
      <c r="B57" s="125"/>
      <c r="C57" s="97"/>
      <c r="D57" s="97"/>
      <c r="E57" s="97"/>
      <c r="F57" s="96"/>
      <c r="G57" s="96"/>
      <c r="H57" s="96"/>
      <c r="I57" s="96"/>
      <c r="J57" s="96"/>
      <c r="K57" s="96"/>
      <c r="L57" s="96"/>
      <c r="M57" s="96"/>
      <c r="N57" s="96"/>
      <c r="O57" s="96"/>
      <c r="P57" s="96"/>
      <c r="Q57" s="96"/>
      <c r="R57" s="96"/>
      <c r="S57" s="96"/>
    </row>
    <row r="58" spans="1:19">
      <c r="A58" s="124"/>
      <c r="B58" s="125"/>
      <c r="C58" s="97"/>
      <c r="D58" s="97"/>
      <c r="E58" s="97"/>
      <c r="F58" s="96"/>
      <c r="G58" s="96"/>
      <c r="H58" s="96"/>
      <c r="I58" s="96"/>
      <c r="J58" s="96"/>
      <c r="K58" s="96"/>
      <c r="L58" s="96"/>
      <c r="M58" s="96"/>
      <c r="N58" s="96"/>
      <c r="O58" s="96"/>
      <c r="P58" s="96"/>
      <c r="Q58" s="96"/>
      <c r="R58" s="96"/>
      <c r="S58" s="96"/>
    </row>
    <row r="59" spans="1:19">
      <c r="A59" s="124"/>
      <c r="B59" s="125"/>
      <c r="C59" s="97"/>
      <c r="D59" s="97"/>
      <c r="E59" s="97"/>
      <c r="F59" s="96"/>
      <c r="G59" s="96"/>
      <c r="H59" s="96"/>
      <c r="I59" s="96"/>
      <c r="J59" s="96"/>
      <c r="K59" s="96"/>
      <c r="L59" s="96"/>
      <c r="M59" s="96"/>
      <c r="N59" s="96"/>
      <c r="O59" s="96"/>
      <c r="P59" s="96"/>
      <c r="Q59" s="96"/>
      <c r="R59" s="96"/>
      <c r="S59" s="96"/>
    </row>
    <row r="60" spans="1:19">
      <c r="A60" s="124"/>
      <c r="B60" s="125"/>
      <c r="C60" s="97"/>
      <c r="D60" s="97"/>
      <c r="E60" s="97"/>
      <c r="F60" s="96"/>
      <c r="G60" s="96"/>
      <c r="H60" s="96"/>
      <c r="I60" s="96"/>
      <c r="J60" s="96"/>
      <c r="K60" s="96"/>
      <c r="L60" s="96"/>
      <c r="M60" s="96"/>
      <c r="N60" s="96"/>
      <c r="O60" s="96"/>
      <c r="P60" s="96"/>
      <c r="Q60" s="96"/>
      <c r="R60" s="96"/>
      <c r="S60" s="96"/>
    </row>
    <row r="61" spans="1:19">
      <c r="A61" s="124"/>
      <c r="B61" s="125"/>
      <c r="C61" s="97"/>
      <c r="D61" s="97"/>
      <c r="E61" s="97"/>
      <c r="F61" s="96"/>
      <c r="G61" s="96"/>
      <c r="H61" s="96"/>
      <c r="I61" s="96"/>
      <c r="J61" s="96"/>
      <c r="K61" s="96"/>
      <c r="L61" s="96"/>
      <c r="M61" s="96"/>
      <c r="N61" s="96"/>
      <c r="O61" s="96"/>
      <c r="P61" s="96"/>
      <c r="Q61" s="96"/>
      <c r="R61" s="96"/>
      <c r="S61" s="96"/>
    </row>
    <row r="62" spans="1:19">
      <c r="A62" s="124"/>
      <c r="B62" s="125"/>
      <c r="C62" s="97"/>
      <c r="D62" s="97"/>
      <c r="E62" s="97"/>
      <c r="F62" s="96"/>
      <c r="G62" s="96"/>
      <c r="H62" s="96"/>
      <c r="I62" s="96"/>
      <c r="J62" s="96"/>
      <c r="K62" s="96"/>
      <c r="L62" s="96"/>
      <c r="M62" s="96"/>
      <c r="N62" s="96"/>
      <c r="O62" s="96"/>
      <c r="P62" s="96"/>
      <c r="Q62" s="96"/>
      <c r="R62" s="96"/>
      <c r="S62" s="96"/>
    </row>
    <row r="63" spans="1:19">
      <c r="A63" s="124"/>
      <c r="B63" s="125"/>
      <c r="C63" s="97"/>
      <c r="D63" s="97"/>
      <c r="E63" s="97"/>
      <c r="F63" s="96"/>
      <c r="G63" s="96"/>
      <c r="H63" s="96"/>
      <c r="I63" s="96"/>
      <c r="J63" s="96"/>
      <c r="K63" s="96"/>
      <c r="L63" s="96"/>
      <c r="M63" s="96"/>
      <c r="N63" s="96"/>
      <c r="O63" s="96"/>
      <c r="P63" s="96"/>
      <c r="Q63" s="96"/>
      <c r="R63" s="96"/>
      <c r="S63" s="96"/>
    </row>
    <row r="64" spans="1:19">
      <c r="A64" s="124"/>
      <c r="B64" s="125"/>
      <c r="C64" s="97"/>
      <c r="D64" s="97"/>
      <c r="E64" s="97"/>
      <c r="F64" s="96"/>
      <c r="G64" s="96"/>
      <c r="H64" s="96"/>
      <c r="I64" s="96"/>
      <c r="J64" s="96"/>
      <c r="K64" s="96"/>
      <c r="L64" s="96"/>
      <c r="M64" s="96"/>
      <c r="N64" s="96"/>
      <c r="O64" s="96"/>
      <c r="P64" s="96"/>
      <c r="Q64" s="96"/>
      <c r="R64" s="96"/>
      <c r="S64" s="96"/>
    </row>
    <row r="65" spans="1:19">
      <c r="A65" s="124"/>
      <c r="B65" s="125"/>
      <c r="C65" s="97"/>
      <c r="D65" s="97"/>
      <c r="E65" s="97"/>
      <c r="F65" s="96"/>
      <c r="G65" s="96"/>
      <c r="H65" s="96"/>
      <c r="I65" s="96"/>
      <c r="J65" s="96"/>
      <c r="K65" s="96"/>
      <c r="L65" s="96"/>
      <c r="M65" s="96"/>
      <c r="N65" s="96"/>
      <c r="O65" s="96"/>
      <c r="P65" s="96"/>
      <c r="Q65" s="96"/>
      <c r="R65" s="96"/>
      <c r="S65" s="96"/>
    </row>
    <row r="66" spans="1:19">
      <c r="A66" s="124"/>
      <c r="B66" s="125"/>
      <c r="C66" s="97"/>
      <c r="D66" s="97"/>
      <c r="E66" s="97"/>
      <c r="F66" s="96"/>
      <c r="G66" s="96"/>
      <c r="H66" s="96"/>
      <c r="I66" s="96"/>
      <c r="J66" s="96"/>
      <c r="K66" s="96"/>
      <c r="L66" s="96"/>
      <c r="M66" s="96"/>
      <c r="N66" s="96"/>
      <c r="O66" s="96"/>
      <c r="P66" s="96"/>
      <c r="Q66" s="96"/>
      <c r="R66" s="96"/>
      <c r="S66" s="96"/>
    </row>
    <row r="67" spans="1:19">
      <c r="A67" s="124"/>
      <c r="B67" s="125"/>
      <c r="C67" s="97"/>
      <c r="D67" s="97"/>
      <c r="E67" s="97"/>
      <c r="F67" s="96"/>
      <c r="G67" s="96"/>
      <c r="H67" s="96"/>
      <c r="I67" s="96"/>
      <c r="J67" s="96"/>
      <c r="K67" s="96"/>
      <c r="L67" s="96"/>
      <c r="M67" s="96"/>
      <c r="N67" s="96"/>
      <c r="O67" s="96"/>
      <c r="P67" s="96"/>
      <c r="Q67" s="96"/>
      <c r="R67" s="96"/>
      <c r="S67" s="96"/>
    </row>
    <row r="68" spans="1:19">
      <c r="A68" s="124"/>
      <c r="B68" s="125"/>
      <c r="C68" s="97"/>
      <c r="D68" s="97"/>
      <c r="E68" s="97"/>
      <c r="F68" s="96"/>
      <c r="G68" s="96"/>
      <c r="H68" s="96"/>
      <c r="I68" s="96"/>
      <c r="J68" s="96"/>
      <c r="K68" s="96"/>
      <c r="L68" s="96"/>
      <c r="M68" s="96"/>
      <c r="N68" s="96"/>
      <c r="O68" s="96"/>
      <c r="P68" s="96"/>
      <c r="Q68" s="96"/>
      <c r="R68" s="96"/>
      <c r="S68" s="96"/>
    </row>
    <row r="69" spans="1:19">
      <c r="A69" s="124"/>
      <c r="B69" s="125"/>
      <c r="C69" s="97"/>
      <c r="D69" s="97"/>
      <c r="E69" s="97"/>
      <c r="F69" s="96"/>
      <c r="G69" s="96"/>
      <c r="H69" s="96"/>
      <c r="I69" s="96"/>
      <c r="J69" s="96"/>
      <c r="K69" s="96"/>
      <c r="L69" s="96"/>
      <c r="M69" s="96"/>
      <c r="N69" s="96"/>
      <c r="O69" s="96"/>
      <c r="P69" s="96"/>
      <c r="Q69" s="96"/>
      <c r="R69" s="96"/>
      <c r="S69" s="96"/>
    </row>
    <row r="70" spans="1:19">
      <c r="A70" s="124"/>
      <c r="B70" s="125"/>
      <c r="C70" s="97"/>
      <c r="D70" s="97"/>
      <c r="E70" s="97"/>
      <c r="F70" s="96"/>
      <c r="G70" s="96"/>
      <c r="H70" s="96"/>
      <c r="I70" s="96"/>
      <c r="J70" s="96"/>
      <c r="K70" s="96"/>
      <c r="L70" s="96"/>
      <c r="M70" s="96"/>
      <c r="N70" s="96"/>
      <c r="O70" s="96"/>
      <c r="P70" s="96"/>
      <c r="Q70" s="96"/>
      <c r="R70" s="96"/>
      <c r="S70" s="96"/>
    </row>
    <row r="71" spans="1:19">
      <c r="A71" s="124"/>
      <c r="B71" s="125"/>
      <c r="C71" s="97"/>
      <c r="D71" s="97"/>
      <c r="E71" s="97"/>
      <c r="F71" s="96"/>
      <c r="G71" s="96"/>
      <c r="H71" s="96"/>
      <c r="I71" s="96"/>
      <c r="J71" s="96"/>
      <c r="K71" s="96"/>
      <c r="L71" s="96"/>
      <c r="M71" s="96"/>
      <c r="N71" s="96"/>
      <c r="O71" s="96"/>
      <c r="P71" s="96"/>
      <c r="Q71" s="96"/>
      <c r="R71" s="96"/>
      <c r="S71" s="96"/>
    </row>
    <row r="72" spans="1:19">
      <c r="A72" s="124"/>
      <c r="B72" s="125"/>
      <c r="C72" s="97"/>
      <c r="D72" s="97"/>
      <c r="E72" s="97"/>
      <c r="F72" s="96"/>
      <c r="G72" s="96"/>
      <c r="H72" s="96"/>
      <c r="I72" s="96"/>
      <c r="J72" s="96"/>
      <c r="K72" s="96"/>
      <c r="L72" s="96"/>
      <c r="M72" s="96"/>
      <c r="N72" s="96"/>
      <c r="O72" s="96"/>
      <c r="P72" s="96"/>
      <c r="Q72" s="96"/>
      <c r="R72" s="96"/>
      <c r="S72" s="96"/>
    </row>
    <row r="73" spans="1:19">
      <c r="A73" s="124"/>
      <c r="B73" s="125"/>
      <c r="C73" s="97"/>
      <c r="D73" s="97"/>
      <c r="E73" s="97"/>
      <c r="F73" s="96"/>
      <c r="G73" s="96"/>
      <c r="H73" s="96"/>
      <c r="I73" s="96"/>
      <c r="J73" s="96"/>
      <c r="K73" s="96"/>
      <c r="L73" s="96"/>
      <c r="M73" s="96"/>
      <c r="N73" s="96"/>
      <c r="O73" s="96"/>
      <c r="P73" s="96"/>
      <c r="Q73" s="96"/>
      <c r="R73" s="96"/>
      <c r="S73" s="96"/>
    </row>
    <row r="74" spans="1:19">
      <c r="A74" s="124"/>
      <c r="B74" s="125"/>
      <c r="C74" s="97"/>
      <c r="D74" s="97"/>
      <c r="E74" s="97"/>
      <c r="F74" s="96"/>
      <c r="G74" s="96"/>
      <c r="H74" s="96"/>
      <c r="I74" s="96"/>
      <c r="J74" s="96"/>
      <c r="K74" s="96"/>
      <c r="L74" s="96"/>
      <c r="M74" s="96"/>
      <c r="N74" s="96"/>
      <c r="O74" s="96"/>
      <c r="P74" s="96"/>
      <c r="Q74" s="96"/>
      <c r="R74" s="96"/>
      <c r="S74" s="96"/>
    </row>
    <row r="75" spans="1:19">
      <c r="A75" s="124"/>
      <c r="B75" s="125"/>
      <c r="C75" s="97"/>
      <c r="D75" s="97"/>
      <c r="E75" s="97"/>
      <c r="F75" s="96"/>
      <c r="G75" s="96"/>
      <c r="H75" s="96"/>
      <c r="I75" s="96"/>
      <c r="J75" s="96"/>
      <c r="K75" s="96"/>
      <c r="L75" s="96"/>
      <c r="M75" s="96"/>
      <c r="N75" s="96"/>
      <c r="O75" s="96"/>
      <c r="P75" s="96"/>
      <c r="Q75" s="96"/>
      <c r="R75" s="96"/>
      <c r="S75" s="96"/>
    </row>
    <row r="76" spans="1:19">
      <c r="A76" s="124"/>
      <c r="B76" s="125"/>
      <c r="C76" s="97"/>
      <c r="D76" s="97"/>
      <c r="E76" s="97"/>
      <c r="F76" s="96"/>
      <c r="G76" s="96"/>
      <c r="H76" s="96"/>
      <c r="I76" s="96"/>
      <c r="J76" s="96"/>
      <c r="K76" s="96"/>
      <c r="L76" s="96"/>
      <c r="M76" s="96"/>
      <c r="N76" s="96"/>
      <c r="O76" s="96"/>
      <c r="P76" s="96"/>
      <c r="Q76" s="96"/>
      <c r="R76" s="96"/>
      <c r="S76" s="96"/>
    </row>
    <row r="77" spans="1:19">
      <c r="A77" s="124"/>
      <c r="B77" s="125"/>
      <c r="C77" s="97"/>
      <c r="D77" s="97"/>
      <c r="E77" s="97"/>
      <c r="F77" s="96"/>
      <c r="G77" s="96"/>
      <c r="H77" s="96"/>
      <c r="I77" s="96"/>
      <c r="J77" s="96"/>
      <c r="K77" s="96"/>
      <c r="L77" s="96"/>
      <c r="M77" s="96"/>
      <c r="N77" s="96"/>
      <c r="O77" s="96"/>
      <c r="P77" s="96"/>
      <c r="Q77" s="96"/>
      <c r="R77" s="96"/>
      <c r="S77" s="96"/>
    </row>
    <row r="78" spans="1:19">
      <c r="A78" s="124"/>
      <c r="B78" s="125"/>
      <c r="C78" s="97"/>
      <c r="D78" s="97"/>
      <c r="E78" s="97"/>
      <c r="F78" s="96"/>
      <c r="G78" s="96"/>
      <c r="H78" s="96"/>
      <c r="I78" s="96"/>
      <c r="J78" s="96"/>
      <c r="K78" s="96"/>
      <c r="L78" s="96"/>
      <c r="M78" s="96"/>
      <c r="N78" s="96"/>
      <c r="O78" s="96"/>
      <c r="P78" s="96"/>
      <c r="Q78" s="96"/>
      <c r="R78" s="96"/>
      <c r="S78" s="96"/>
    </row>
    <row r="79" spans="1:19">
      <c r="A79" s="124"/>
      <c r="B79" s="125"/>
      <c r="C79" s="97"/>
      <c r="D79" s="97"/>
      <c r="E79" s="97"/>
      <c r="F79" s="96"/>
      <c r="G79" s="96"/>
      <c r="H79" s="96"/>
      <c r="I79" s="96"/>
      <c r="J79" s="96"/>
      <c r="K79" s="96"/>
      <c r="L79" s="96"/>
      <c r="M79" s="96"/>
      <c r="N79" s="96"/>
      <c r="O79" s="96"/>
      <c r="P79" s="96"/>
      <c r="Q79" s="96"/>
      <c r="R79" s="96"/>
      <c r="S79" s="96"/>
    </row>
    <row r="80" spans="1:19">
      <c r="A80" s="124"/>
      <c r="B80" s="125"/>
      <c r="C80" s="97"/>
      <c r="D80" s="97"/>
      <c r="E80" s="97"/>
      <c r="F80" s="96"/>
      <c r="G80" s="96"/>
      <c r="H80" s="96"/>
      <c r="I80" s="96"/>
      <c r="J80" s="96"/>
      <c r="K80" s="96"/>
      <c r="L80" s="96"/>
      <c r="M80" s="96"/>
      <c r="N80" s="96"/>
      <c r="O80" s="96"/>
      <c r="P80" s="96"/>
      <c r="Q80" s="96"/>
      <c r="R80" s="96"/>
      <c r="S80" s="96"/>
    </row>
    <row r="81" spans="1:19">
      <c r="A81" s="124"/>
      <c r="B81" s="125"/>
      <c r="C81" s="97"/>
      <c r="D81" s="97"/>
      <c r="E81" s="97"/>
      <c r="F81" s="96"/>
      <c r="G81" s="96"/>
      <c r="H81" s="96"/>
      <c r="I81" s="96"/>
      <c r="J81" s="96"/>
      <c r="K81" s="96"/>
      <c r="L81" s="96"/>
      <c r="M81" s="96"/>
      <c r="N81" s="96"/>
      <c r="O81" s="96"/>
      <c r="P81" s="96"/>
      <c r="Q81" s="96"/>
      <c r="R81" s="96"/>
      <c r="S81" s="96"/>
    </row>
    <row r="82" spans="1:19">
      <c r="A82" s="124"/>
      <c r="B82" s="125"/>
      <c r="C82" s="97"/>
      <c r="D82" s="97"/>
      <c r="E82" s="97"/>
      <c r="F82" s="96"/>
      <c r="G82" s="96"/>
      <c r="H82" s="96"/>
      <c r="I82" s="96"/>
      <c r="J82" s="96"/>
      <c r="K82" s="96"/>
      <c r="L82" s="96"/>
      <c r="M82" s="96"/>
      <c r="N82" s="96"/>
      <c r="O82" s="96"/>
      <c r="P82" s="96"/>
      <c r="Q82" s="96"/>
      <c r="R82" s="96"/>
      <c r="S82" s="96"/>
    </row>
    <row r="83" spans="1:19">
      <c r="A83" s="124"/>
      <c r="B83" s="125"/>
      <c r="C83" s="97"/>
      <c r="D83" s="97"/>
      <c r="E83" s="97"/>
      <c r="F83" s="96"/>
      <c r="G83" s="96"/>
      <c r="H83" s="96"/>
      <c r="I83" s="96"/>
      <c r="J83" s="96"/>
      <c r="K83" s="96"/>
      <c r="L83" s="96"/>
      <c r="M83" s="96"/>
      <c r="N83" s="96"/>
      <c r="O83" s="96"/>
      <c r="P83" s="96"/>
      <c r="Q83" s="96"/>
      <c r="R83" s="96"/>
      <c r="S83" s="96"/>
    </row>
    <row r="84" spans="1:19">
      <c r="A84" s="124"/>
      <c r="B84" s="125"/>
      <c r="C84" s="97"/>
      <c r="D84" s="97"/>
      <c r="E84" s="97"/>
      <c r="F84" s="96"/>
      <c r="G84" s="96"/>
      <c r="H84" s="96"/>
      <c r="I84" s="96"/>
      <c r="J84" s="96"/>
      <c r="K84" s="96"/>
      <c r="L84" s="96"/>
      <c r="M84" s="96"/>
      <c r="N84" s="96"/>
      <c r="O84" s="96"/>
      <c r="P84" s="96"/>
      <c r="Q84" s="96"/>
      <c r="R84" s="96"/>
      <c r="S84" s="96"/>
    </row>
    <row r="85" spans="1:19">
      <c r="A85" s="124"/>
      <c r="B85" s="125"/>
      <c r="C85" s="97"/>
      <c r="D85" s="97"/>
      <c r="E85" s="97"/>
      <c r="F85" s="96"/>
      <c r="G85" s="96"/>
      <c r="H85" s="96"/>
      <c r="I85" s="96"/>
      <c r="J85" s="96"/>
      <c r="K85" s="96"/>
      <c r="L85" s="96"/>
      <c r="M85" s="96"/>
      <c r="N85" s="96"/>
      <c r="O85" s="96"/>
      <c r="P85" s="96"/>
      <c r="Q85" s="96"/>
      <c r="R85" s="96"/>
      <c r="S85" s="96"/>
    </row>
    <row r="86" spans="1:19">
      <c r="A86" s="124"/>
      <c r="B86" s="125"/>
      <c r="C86" s="97"/>
      <c r="D86" s="97"/>
      <c r="E86" s="97"/>
      <c r="F86" s="96"/>
      <c r="G86" s="96"/>
      <c r="H86" s="96"/>
      <c r="I86" s="96"/>
      <c r="J86" s="96"/>
      <c r="K86" s="96"/>
      <c r="L86" s="96"/>
      <c r="M86" s="96"/>
      <c r="N86" s="96"/>
      <c r="O86" s="96"/>
      <c r="P86" s="96"/>
      <c r="Q86" s="96"/>
      <c r="R86" s="96"/>
      <c r="S86" s="96"/>
    </row>
    <row r="87" spans="1:19">
      <c r="A87" s="124"/>
      <c r="B87" s="125"/>
      <c r="C87" s="97"/>
      <c r="D87" s="97"/>
      <c r="E87" s="97"/>
      <c r="F87" s="96"/>
      <c r="G87" s="96"/>
      <c r="H87" s="96"/>
      <c r="I87" s="96"/>
      <c r="J87" s="96"/>
      <c r="K87" s="96"/>
      <c r="L87" s="96"/>
      <c r="M87" s="96"/>
      <c r="N87" s="96"/>
      <c r="O87" s="96"/>
      <c r="P87" s="96"/>
      <c r="Q87" s="96"/>
      <c r="R87" s="96"/>
      <c r="S87" s="96"/>
    </row>
    <row r="88" spans="1:19">
      <c r="A88" s="124"/>
      <c r="B88" s="125"/>
      <c r="C88" s="97"/>
      <c r="D88" s="97"/>
      <c r="E88" s="97"/>
      <c r="F88" s="96"/>
      <c r="G88" s="96"/>
      <c r="H88" s="96"/>
      <c r="I88" s="96"/>
      <c r="J88" s="96"/>
      <c r="K88" s="96"/>
      <c r="L88" s="96"/>
      <c r="M88" s="96"/>
      <c r="N88" s="96"/>
      <c r="O88" s="96"/>
      <c r="P88" s="96"/>
      <c r="Q88" s="96"/>
      <c r="R88" s="96"/>
      <c r="S88" s="96"/>
    </row>
    <row r="89" spans="1:19">
      <c r="A89" s="124"/>
      <c r="B89" s="125"/>
      <c r="C89" s="97"/>
      <c r="D89" s="97"/>
      <c r="E89" s="97"/>
      <c r="F89" s="96"/>
      <c r="G89" s="96"/>
      <c r="H89" s="96"/>
      <c r="I89" s="96"/>
      <c r="J89" s="96"/>
      <c r="K89" s="96"/>
      <c r="L89" s="96"/>
      <c r="M89" s="96"/>
      <c r="N89" s="96"/>
      <c r="O89" s="96"/>
      <c r="P89" s="96"/>
      <c r="Q89" s="96"/>
      <c r="R89" s="96"/>
      <c r="S89" s="96"/>
    </row>
    <row r="90" spans="1:19">
      <c r="A90" s="124"/>
      <c r="B90" s="125"/>
      <c r="C90" s="97"/>
      <c r="D90" s="97"/>
      <c r="E90" s="97"/>
      <c r="F90" s="96"/>
      <c r="G90" s="96"/>
      <c r="H90" s="96"/>
      <c r="I90" s="96"/>
      <c r="J90" s="96"/>
      <c r="K90" s="96"/>
      <c r="L90" s="96"/>
      <c r="M90" s="96"/>
      <c r="N90" s="96"/>
      <c r="O90" s="96"/>
      <c r="P90" s="96"/>
      <c r="Q90" s="96"/>
      <c r="R90" s="96"/>
      <c r="S90" s="96"/>
    </row>
    <row r="91" spans="1:19">
      <c r="A91" s="124"/>
      <c r="B91" s="125"/>
      <c r="C91" s="97"/>
      <c r="D91" s="97"/>
      <c r="E91" s="97"/>
      <c r="F91" s="96"/>
      <c r="G91" s="96"/>
      <c r="H91" s="96"/>
      <c r="I91" s="96"/>
      <c r="J91" s="96"/>
      <c r="K91" s="96"/>
      <c r="L91" s="96"/>
      <c r="M91" s="96"/>
      <c r="N91" s="96"/>
      <c r="O91" s="96"/>
      <c r="P91" s="96"/>
      <c r="Q91" s="96"/>
      <c r="R91" s="96"/>
      <c r="S91" s="96"/>
    </row>
    <row r="92" spans="1:19">
      <c r="A92" s="124"/>
      <c r="B92" s="125"/>
      <c r="C92" s="97"/>
      <c r="D92" s="97"/>
      <c r="E92" s="97"/>
      <c r="F92" s="96"/>
      <c r="G92" s="96"/>
      <c r="H92" s="96"/>
      <c r="I92" s="96"/>
      <c r="J92" s="96"/>
      <c r="K92" s="96"/>
      <c r="L92" s="96"/>
      <c r="M92" s="96"/>
      <c r="N92" s="96"/>
      <c r="O92" s="96"/>
      <c r="P92" s="96"/>
      <c r="Q92" s="96"/>
      <c r="R92" s="96"/>
      <c r="S92" s="96"/>
    </row>
    <row r="93" spans="1:19">
      <c r="A93" s="124"/>
      <c r="B93" s="125"/>
      <c r="C93" s="97"/>
      <c r="D93" s="97"/>
      <c r="E93" s="97"/>
      <c r="F93" s="96"/>
      <c r="G93" s="96"/>
      <c r="H93" s="96"/>
      <c r="I93" s="96"/>
      <c r="J93" s="96"/>
      <c r="K93" s="96"/>
      <c r="L93" s="96"/>
      <c r="M93" s="96"/>
      <c r="N93" s="96"/>
      <c r="O93" s="96"/>
      <c r="P93" s="96"/>
      <c r="Q93" s="96"/>
      <c r="R93" s="96"/>
      <c r="S93" s="96"/>
    </row>
    <row r="94" spans="1:19">
      <c r="A94" s="124"/>
      <c r="B94" s="125"/>
      <c r="C94" s="97"/>
      <c r="D94" s="97"/>
      <c r="E94" s="97"/>
      <c r="F94" s="96"/>
      <c r="G94" s="96"/>
      <c r="H94" s="96"/>
      <c r="I94" s="96"/>
      <c r="J94" s="96"/>
      <c r="K94" s="96"/>
      <c r="L94" s="96"/>
      <c r="M94" s="96"/>
      <c r="N94" s="96"/>
      <c r="O94" s="96"/>
      <c r="P94" s="96"/>
      <c r="Q94" s="96"/>
      <c r="R94" s="96"/>
      <c r="S94" s="96"/>
    </row>
    <row r="95" spans="1:19">
      <c r="A95" s="124"/>
      <c r="B95" s="125"/>
      <c r="C95" s="97"/>
      <c r="D95" s="97"/>
      <c r="E95" s="97"/>
      <c r="F95" s="96"/>
      <c r="G95" s="96"/>
      <c r="H95" s="96"/>
      <c r="I95" s="96"/>
      <c r="J95" s="96"/>
      <c r="K95" s="96"/>
      <c r="L95" s="96"/>
      <c r="M95" s="96"/>
      <c r="N95" s="96"/>
      <c r="O95" s="96"/>
      <c r="P95" s="96"/>
      <c r="Q95" s="96"/>
      <c r="R95" s="96"/>
      <c r="S95" s="96"/>
    </row>
    <row r="96" spans="1:19">
      <c r="A96" s="124"/>
      <c r="B96" s="125"/>
      <c r="C96" s="97"/>
      <c r="D96" s="97"/>
      <c r="E96" s="97"/>
      <c r="F96" s="96"/>
      <c r="G96" s="96"/>
      <c r="H96" s="96"/>
      <c r="I96" s="96"/>
      <c r="J96" s="96"/>
      <c r="K96" s="96"/>
      <c r="L96" s="96"/>
      <c r="M96" s="96"/>
      <c r="N96" s="96"/>
      <c r="O96" s="96"/>
      <c r="P96" s="96"/>
      <c r="Q96" s="96"/>
      <c r="R96" s="96"/>
      <c r="S96" s="96"/>
    </row>
    <row r="97" spans="1:19">
      <c r="A97" s="124"/>
      <c r="B97" s="125"/>
      <c r="C97" s="97"/>
      <c r="D97" s="97"/>
      <c r="E97" s="97"/>
      <c r="F97" s="96"/>
      <c r="G97" s="96"/>
      <c r="H97" s="96"/>
      <c r="I97" s="96"/>
      <c r="J97" s="96"/>
      <c r="K97" s="96"/>
      <c r="L97" s="96"/>
      <c r="M97" s="96"/>
      <c r="N97" s="96"/>
      <c r="O97" s="96"/>
      <c r="P97" s="96"/>
      <c r="Q97" s="96"/>
      <c r="R97" s="96"/>
      <c r="S97" s="96"/>
    </row>
    <row r="98" spans="1:19">
      <c r="A98" s="124"/>
      <c r="B98" s="125"/>
      <c r="C98" s="97"/>
      <c r="D98" s="97"/>
      <c r="E98" s="97"/>
      <c r="F98" s="96"/>
      <c r="G98" s="96"/>
      <c r="H98" s="96"/>
      <c r="I98" s="96"/>
      <c r="J98" s="96"/>
      <c r="K98" s="96"/>
      <c r="L98" s="96"/>
      <c r="M98" s="96"/>
      <c r="N98" s="96"/>
      <c r="O98" s="96"/>
      <c r="P98" s="96"/>
      <c r="Q98" s="96"/>
      <c r="R98" s="96"/>
      <c r="S98" s="96"/>
    </row>
    <row r="99" spans="1:19">
      <c r="A99" s="124"/>
      <c r="B99" s="125"/>
      <c r="C99" s="97"/>
      <c r="D99" s="97"/>
      <c r="E99" s="97"/>
      <c r="F99" s="96"/>
      <c r="G99" s="96"/>
      <c r="H99" s="96"/>
      <c r="I99" s="96"/>
      <c r="J99" s="96"/>
      <c r="K99" s="96"/>
      <c r="L99" s="96"/>
      <c r="M99" s="96"/>
      <c r="N99" s="96"/>
      <c r="O99" s="96"/>
      <c r="P99" s="96"/>
      <c r="Q99" s="96"/>
      <c r="R99" s="96"/>
      <c r="S99" s="96"/>
    </row>
    <row r="100" spans="1:19">
      <c r="A100" s="124"/>
      <c r="B100" s="125"/>
      <c r="C100" s="97"/>
      <c r="D100" s="97"/>
      <c r="E100" s="97"/>
      <c r="F100" s="96"/>
      <c r="G100" s="96"/>
      <c r="H100" s="96"/>
      <c r="I100" s="96"/>
      <c r="J100" s="96"/>
      <c r="K100" s="96"/>
      <c r="L100" s="96"/>
      <c r="M100" s="96"/>
      <c r="N100" s="96"/>
      <c r="O100" s="96"/>
      <c r="P100" s="96"/>
      <c r="Q100" s="96"/>
      <c r="R100" s="96"/>
      <c r="S100" s="96"/>
    </row>
    <row r="101" spans="1:19">
      <c r="A101" s="124"/>
      <c r="B101" s="125"/>
      <c r="C101" s="97"/>
      <c r="D101" s="97"/>
      <c r="E101" s="97"/>
      <c r="F101" s="96"/>
      <c r="G101" s="96"/>
      <c r="H101" s="96"/>
      <c r="I101" s="96"/>
      <c r="J101" s="96"/>
      <c r="K101" s="96"/>
      <c r="L101" s="96"/>
      <c r="M101" s="96"/>
      <c r="N101" s="96"/>
      <c r="O101" s="96"/>
      <c r="P101" s="96"/>
      <c r="Q101" s="96"/>
      <c r="R101" s="96"/>
      <c r="S101" s="96"/>
    </row>
    <row r="102" spans="1:19">
      <c r="A102" s="124"/>
      <c r="B102" s="125"/>
      <c r="C102" s="97"/>
      <c r="D102" s="97"/>
      <c r="E102" s="97"/>
      <c r="F102" s="96"/>
      <c r="G102" s="96"/>
      <c r="H102" s="96"/>
      <c r="I102" s="96"/>
      <c r="J102" s="96"/>
      <c r="K102" s="96"/>
      <c r="L102" s="96"/>
      <c r="M102" s="96"/>
      <c r="N102" s="96"/>
      <c r="O102" s="96"/>
      <c r="P102" s="96"/>
      <c r="Q102" s="96"/>
      <c r="R102" s="96"/>
      <c r="S102" s="96"/>
    </row>
    <row r="103" spans="1:19">
      <c r="A103" s="124"/>
      <c r="B103" s="125"/>
      <c r="C103" s="97"/>
      <c r="D103" s="97"/>
      <c r="E103" s="97"/>
      <c r="F103" s="96"/>
      <c r="G103" s="96"/>
      <c r="H103" s="96"/>
      <c r="I103" s="96"/>
      <c r="J103" s="96"/>
      <c r="K103" s="96"/>
      <c r="L103" s="96"/>
      <c r="M103" s="96"/>
      <c r="N103" s="96"/>
      <c r="O103" s="96"/>
      <c r="P103" s="96"/>
      <c r="Q103" s="96"/>
      <c r="R103" s="96"/>
      <c r="S103" s="96"/>
    </row>
    <row r="104" spans="1:19">
      <c r="A104" s="124"/>
      <c r="B104" s="125"/>
      <c r="C104" s="97"/>
      <c r="D104" s="97"/>
      <c r="E104" s="97"/>
      <c r="F104" s="96"/>
      <c r="G104" s="96"/>
      <c r="H104" s="96"/>
      <c r="I104" s="96"/>
      <c r="J104" s="96"/>
      <c r="K104" s="96"/>
      <c r="L104" s="96"/>
      <c r="M104" s="96"/>
      <c r="N104" s="96"/>
      <c r="O104" s="96"/>
      <c r="P104" s="96"/>
      <c r="Q104" s="96"/>
      <c r="R104" s="96"/>
      <c r="S104" s="96"/>
    </row>
    <row r="105" spans="1:19">
      <c r="A105" s="124"/>
      <c r="B105" s="125"/>
      <c r="C105" s="97"/>
      <c r="D105" s="97"/>
      <c r="E105" s="97"/>
      <c r="F105" s="96"/>
      <c r="G105" s="96"/>
      <c r="H105" s="96"/>
      <c r="I105" s="96"/>
      <c r="J105" s="96"/>
      <c r="K105" s="96"/>
      <c r="L105" s="96"/>
      <c r="M105" s="96"/>
      <c r="N105" s="96"/>
      <c r="O105" s="96"/>
      <c r="P105" s="96"/>
      <c r="Q105" s="96"/>
      <c r="R105" s="96"/>
      <c r="S105" s="96"/>
    </row>
    <row r="106" spans="1:19">
      <c r="A106" s="124"/>
      <c r="B106" s="125"/>
      <c r="C106" s="97"/>
      <c r="D106" s="97"/>
      <c r="E106" s="97"/>
      <c r="F106" s="96"/>
      <c r="G106" s="96"/>
      <c r="H106" s="96"/>
      <c r="I106" s="96"/>
      <c r="J106" s="96"/>
      <c r="K106" s="96"/>
      <c r="L106" s="96"/>
      <c r="M106" s="96"/>
      <c r="N106" s="96"/>
      <c r="O106" s="96"/>
      <c r="P106" s="96"/>
      <c r="Q106" s="96"/>
      <c r="R106" s="96"/>
      <c r="S106" s="96"/>
    </row>
    <row r="107" spans="1:19">
      <c r="A107" s="124"/>
      <c r="B107" s="125"/>
      <c r="C107" s="97"/>
      <c r="D107" s="97"/>
      <c r="E107" s="97"/>
      <c r="F107" s="96"/>
      <c r="G107" s="96"/>
      <c r="H107" s="96"/>
      <c r="I107" s="96"/>
      <c r="J107" s="96"/>
      <c r="K107" s="96"/>
      <c r="L107" s="96"/>
      <c r="M107" s="96"/>
      <c r="N107" s="96"/>
      <c r="O107" s="96"/>
      <c r="P107" s="96"/>
      <c r="Q107" s="96"/>
      <c r="R107" s="96"/>
      <c r="S107" s="96"/>
    </row>
    <row r="108" spans="1:19">
      <c r="A108" s="124"/>
      <c r="B108" s="125"/>
      <c r="C108" s="97"/>
      <c r="D108" s="97"/>
      <c r="E108" s="97"/>
      <c r="F108" s="96"/>
      <c r="G108" s="96"/>
      <c r="H108" s="96"/>
      <c r="I108" s="96"/>
      <c r="J108" s="96"/>
      <c r="K108" s="96"/>
      <c r="L108" s="96"/>
      <c r="M108" s="96"/>
      <c r="N108" s="96"/>
      <c r="O108" s="96"/>
      <c r="P108" s="96"/>
      <c r="Q108" s="96"/>
      <c r="R108" s="96"/>
      <c r="S108" s="96"/>
    </row>
    <row r="109" spans="1:19">
      <c r="A109" s="124"/>
      <c r="B109" s="125"/>
      <c r="C109" s="97"/>
      <c r="D109" s="97"/>
      <c r="E109" s="97"/>
      <c r="F109" s="96"/>
      <c r="G109" s="96"/>
      <c r="H109" s="96"/>
      <c r="I109" s="96"/>
      <c r="J109" s="96"/>
      <c r="K109" s="96"/>
      <c r="L109" s="96"/>
      <c r="M109" s="96"/>
      <c r="N109" s="96"/>
      <c r="O109" s="96"/>
      <c r="P109" s="96"/>
      <c r="Q109" s="96"/>
      <c r="R109" s="96"/>
      <c r="S109" s="96"/>
    </row>
    <row r="110" spans="1:19">
      <c r="A110" s="124"/>
      <c r="B110" s="125"/>
      <c r="C110" s="97"/>
      <c r="D110" s="97"/>
      <c r="E110" s="97"/>
      <c r="F110" s="96"/>
      <c r="G110" s="96"/>
      <c r="H110" s="96"/>
      <c r="I110" s="96"/>
      <c r="J110" s="96"/>
      <c r="K110" s="96"/>
      <c r="L110" s="96"/>
      <c r="M110" s="96"/>
      <c r="N110" s="96"/>
      <c r="O110" s="96"/>
      <c r="P110" s="96"/>
      <c r="Q110" s="96"/>
      <c r="R110" s="96"/>
      <c r="S110" s="96"/>
    </row>
    <row r="111" spans="1:19">
      <c r="A111" s="124"/>
      <c r="B111" s="125"/>
      <c r="C111" s="97"/>
      <c r="D111" s="97"/>
      <c r="E111" s="97"/>
      <c r="F111" s="96"/>
      <c r="G111" s="96"/>
      <c r="H111" s="96"/>
      <c r="I111" s="96"/>
      <c r="J111" s="96"/>
      <c r="K111" s="96"/>
      <c r="L111" s="96"/>
      <c r="M111" s="96"/>
      <c r="N111" s="96"/>
      <c r="O111" s="96"/>
      <c r="P111" s="96"/>
      <c r="Q111" s="96"/>
      <c r="R111" s="96"/>
      <c r="S111" s="96"/>
    </row>
    <row r="112" spans="1:19">
      <c r="A112" s="124"/>
      <c r="B112" s="125"/>
      <c r="C112" s="97"/>
      <c r="D112" s="97"/>
      <c r="E112" s="97"/>
      <c r="F112" s="96"/>
      <c r="G112" s="96"/>
      <c r="H112" s="96"/>
      <c r="I112" s="96"/>
      <c r="J112" s="96"/>
      <c r="K112" s="96"/>
      <c r="L112" s="96"/>
      <c r="M112" s="96"/>
      <c r="N112" s="96"/>
      <c r="O112" s="96"/>
      <c r="P112" s="96"/>
      <c r="Q112" s="96"/>
      <c r="R112" s="96"/>
      <c r="S112" s="96"/>
    </row>
    <row r="113" spans="1:19">
      <c r="A113" s="124"/>
      <c r="B113" s="125"/>
      <c r="C113" s="97"/>
      <c r="D113" s="97"/>
      <c r="E113" s="97"/>
      <c r="F113" s="96"/>
      <c r="G113" s="96"/>
      <c r="H113" s="96"/>
      <c r="I113" s="96"/>
      <c r="J113" s="96"/>
      <c r="K113" s="96"/>
      <c r="L113" s="96"/>
      <c r="M113" s="96"/>
      <c r="N113" s="96"/>
      <c r="O113" s="96"/>
      <c r="P113" s="96"/>
      <c r="Q113" s="96"/>
      <c r="R113" s="96"/>
      <c r="S113" s="96"/>
    </row>
    <row r="114" spans="1:19">
      <c r="A114" s="124"/>
      <c r="B114" s="125"/>
      <c r="C114" s="97"/>
      <c r="D114" s="97"/>
      <c r="E114" s="97"/>
      <c r="F114" s="96"/>
      <c r="G114" s="96"/>
      <c r="H114" s="96"/>
      <c r="I114" s="96"/>
      <c r="J114" s="96"/>
      <c r="K114" s="96"/>
      <c r="L114" s="96"/>
      <c r="M114" s="96"/>
      <c r="N114" s="96"/>
      <c r="O114" s="96"/>
      <c r="P114" s="96"/>
      <c r="Q114" s="96"/>
      <c r="R114" s="96"/>
      <c r="S114" s="96"/>
    </row>
    <row r="115" spans="1:19">
      <c r="A115" s="124"/>
      <c r="B115" s="125"/>
      <c r="C115" s="97"/>
      <c r="D115" s="97"/>
      <c r="E115" s="97"/>
      <c r="F115" s="96"/>
      <c r="G115" s="96"/>
      <c r="H115" s="96"/>
      <c r="I115" s="96"/>
      <c r="J115" s="96"/>
      <c r="K115" s="96"/>
      <c r="L115" s="96"/>
      <c r="M115" s="96"/>
      <c r="N115" s="96"/>
      <c r="O115" s="96"/>
      <c r="P115" s="96"/>
      <c r="Q115" s="96"/>
      <c r="R115" s="96"/>
      <c r="S115" s="96"/>
    </row>
    <row r="116" spans="1:19">
      <c r="A116" s="124"/>
      <c r="B116" s="125"/>
      <c r="C116" s="97"/>
      <c r="D116" s="97"/>
      <c r="E116" s="97"/>
      <c r="F116" s="96"/>
      <c r="G116" s="96"/>
      <c r="H116" s="96"/>
      <c r="I116" s="96"/>
      <c r="J116" s="96"/>
      <c r="K116" s="96"/>
      <c r="L116" s="96"/>
      <c r="M116" s="96"/>
      <c r="N116" s="96"/>
      <c r="O116" s="96"/>
      <c r="P116" s="96"/>
      <c r="Q116" s="96"/>
      <c r="R116" s="96"/>
      <c r="S116" s="96"/>
    </row>
    <row r="117" spans="1:19">
      <c r="A117" s="124"/>
      <c r="B117" s="125"/>
      <c r="C117" s="97"/>
      <c r="D117" s="97"/>
      <c r="E117" s="97"/>
      <c r="F117" s="96"/>
      <c r="G117" s="96"/>
      <c r="H117" s="96"/>
      <c r="I117" s="96"/>
      <c r="J117" s="96"/>
      <c r="K117" s="96"/>
      <c r="L117" s="96"/>
      <c r="M117" s="96"/>
      <c r="N117" s="96"/>
      <c r="O117" s="96"/>
      <c r="P117" s="96"/>
      <c r="Q117" s="96"/>
      <c r="R117" s="96"/>
      <c r="S117" s="96"/>
    </row>
    <row r="118" spans="1:19">
      <c r="A118" s="124"/>
      <c r="B118" s="125"/>
      <c r="C118" s="97"/>
      <c r="D118" s="97"/>
      <c r="E118" s="97"/>
      <c r="F118" s="96"/>
      <c r="G118" s="96"/>
      <c r="H118" s="96"/>
      <c r="I118" s="96"/>
      <c r="J118" s="96"/>
      <c r="K118" s="96"/>
      <c r="L118" s="96"/>
      <c r="M118" s="96"/>
      <c r="N118" s="96"/>
      <c r="O118" s="96"/>
      <c r="P118" s="96"/>
      <c r="Q118" s="96"/>
      <c r="R118" s="96"/>
      <c r="S118" s="96"/>
    </row>
    <row r="119" spans="1:19">
      <c r="A119" s="124"/>
      <c r="B119" s="125"/>
      <c r="C119" s="97"/>
      <c r="D119" s="97"/>
      <c r="E119" s="97"/>
      <c r="F119" s="96"/>
      <c r="G119" s="96"/>
      <c r="H119" s="96"/>
      <c r="I119" s="96"/>
      <c r="J119" s="96"/>
      <c r="K119" s="96"/>
      <c r="L119" s="96"/>
      <c r="M119" s="96"/>
      <c r="N119" s="96"/>
      <c r="O119" s="96"/>
      <c r="P119" s="96"/>
      <c r="Q119" s="96"/>
      <c r="R119" s="96"/>
      <c r="S119" s="96"/>
    </row>
    <row r="120" spans="1:19">
      <c r="A120" s="124"/>
      <c r="B120" s="125"/>
      <c r="C120" s="97"/>
      <c r="D120" s="97"/>
      <c r="E120" s="97"/>
      <c r="F120" s="96"/>
      <c r="G120" s="96"/>
      <c r="H120" s="96"/>
      <c r="I120" s="96"/>
      <c r="J120" s="96"/>
      <c r="K120" s="96"/>
      <c r="L120" s="96"/>
      <c r="M120" s="96"/>
      <c r="N120" s="96"/>
      <c r="O120" s="96"/>
      <c r="P120" s="96"/>
      <c r="Q120" s="96"/>
      <c r="R120" s="96"/>
      <c r="S120" s="96"/>
    </row>
    <row r="121" spans="1:19">
      <c r="A121" s="124"/>
      <c r="B121" s="125"/>
      <c r="C121" s="97"/>
      <c r="D121" s="97"/>
      <c r="E121" s="97"/>
      <c r="F121" s="96"/>
      <c r="G121" s="96"/>
      <c r="H121" s="96"/>
      <c r="I121" s="96"/>
      <c r="J121" s="96"/>
      <c r="K121" s="96"/>
      <c r="L121" s="96"/>
      <c r="M121" s="96"/>
      <c r="N121" s="96"/>
      <c r="O121" s="96"/>
      <c r="P121" s="96"/>
      <c r="Q121" s="96"/>
      <c r="R121" s="96"/>
      <c r="S121" s="96"/>
    </row>
    <row r="122" spans="1:19">
      <c r="A122" s="124"/>
      <c r="B122" s="125"/>
      <c r="C122" s="97"/>
      <c r="D122" s="97"/>
      <c r="E122" s="97"/>
      <c r="F122" s="96"/>
      <c r="G122" s="96"/>
      <c r="H122" s="96"/>
      <c r="I122" s="96"/>
      <c r="J122" s="96"/>
      <c r="K122" s="96"/>
      <c r="L122" s="96"/>
      <c r="M122" s="96"/>
      <c r="N122" s="96"/>
      <c r="O122" s="96"/>
      <c r="P122" s="96"/>
      <c r="Q122" s="96"/>
      <c r="R122" s="96"/>
      <c r="S122" s="96"/>
    </row>
    <row r="123" spans="1:19">
      <c r="A123" s="124"/>
      <c r="B123" s="125"/>
      <c r="C123" s="97"/>
      <c r="D123" s="97"/>
      <c r="E123" s="97"/>
      <c r="F123" s="96"/>
      <c r="G123" s="96"/>
      <c r="H123" s="96"/>
      <c r="I123" s="96"/>
      <c r="J123" s="96"/>
      <c r="K123" s="96"/>
      <c r="L123" s="96"/>
      <c r="M123" s="96"/>
      <c r="N123" s="96"/>
      <c r="O123" s="96"/>
      <c r="P123" s="96"/>
      <c r="Q123" s="96"/>
      <c r="R123" s="96"/>
      <c r="S123" s="96"/>
    </row>
    <row r="124" spans="1:19">
      <c r="A124" s="124"/>
      <c r="B124" s="125"/>
      <c r="C124" s="97"/>
      <c r="D124" s="97"/>
      <c r="E124" s="97"/>
      <c r="F124" s="96"/>
      <c r="G124" s="96"/>
      <c r="H124" s="96"/>
      <c r="I124" s="96"/>
      <c r="J124" s="96"/>
      <c r="K124" s="96"/>
      <c r="L124" s="96"/>
      <c r="M124" s="96"/>
      <c r="N124" s="96"/>
      <c r="O124" s="96"/>
      <c r="P124" s="96"/>
      <c r="Q124" s="96"/>
      <c r="R124" s="96"/>
      <c r="S124" s="96"/>
    </row>
    <row r="125" spans="1:19">
      <c r="A125" s="124"/>
      <c r="B125" s="125"/>
      <c r="C125" s="97"/>
      <c r="D125" s="97"/>
      <c r="E125" s="97"/>
      <c r="F125" s="96"/>
      <c r="G125" s="96"/>
      <c r="H125" s="96"/>
      <c r="I125" s="96"/>
      <c r="J125" s="96"/>
      <c r="K125" s="96"/>
      <c r="L125" s="96"/>
      <c r="M125" s="96"/>
      <c r="N125" s="96"/>
      <c r="O125" s="96"/>
      <c r="P125" s="96"/>
      <c r="Q125" s="96"/>
      <c r="R125" s="96"/>
      <c r="S125" s="96"/>
    </row>
    <row r="126" spans="1:19">
      <c r="A126" s="124"/>
      <c r="B126" s="125"/>
      <c r="C126" s="97"/>
      <c r="D126" s="97"/>
      <c r="E126" s="97"/>
      <c r="F126" s="96"/>
      <c r="G126" s="96"/>
      <c r="H126" s="96"/>
      <c r="I126" s="96"/>
      <c r="J126" s="96"/>
      <c r="K126" s="96"/>
      <c r="L126" s="96"/>
      <c r="M126" s="96"/>
      <c r="N126" s="96"/>
      <c r="O126" s="96"/>
      <c r="P126" s="96"/>
      <c r="Q126" s="96"/>
      <c r="R126" s="96"/>
      <c r="S126" s="96"/>
    </row>
    <row r="127" spans="1:19">
      <c r="A127" s="124"/>
      <c r="B127" s="125"/>
      <c r="C127" s="97"/>
      <c r="D127" s="97"/>
      <c r="E127" s="97"/>
      <c r="F127" s="96"/>
      <c r="G127" s="96"/>
      <c r="H127" s="96"/>
      <c r="I127" s="96"/>
      <c r="J127" s="96"/>
      <c r="K127" s="96"/>
      <c r="L127" s="96"/>
      <c r="M127" s="96"/>
      <c r="N127" s="96"/>
      <c r="O127" s="96"/>
      <c r="P127" s="96"/>
      <c r="Q127" s="96"/>
      <c r="R127" s="96"/>
      <c r="S127" s="96"/>
    </row>
    <row r="128" spans="1:19">
      <c r="A128" s="124"/>
      <c r="B128" s="125"/>
      <c r="C128" s="97"/>
      <c r="D128" s="97"/>
      <c r="E128" s="97"/>
      <c r="F128" s="96"/>
      <c r="G128" s="96"/>
      <c r="H128" s="96"/>
      <c r="I128" s="96"/>
      <c r="J128" s="96"/>
      <c r="K128" s="96"/>
      <c r="L128" s="96"/>
      <c r="M128" s="96"/>
      <c r="N128" s="96"/>
      <c r="O128" s="96"/>
      <c r="P128" s="96"/>
      <c r="Q128" s="96"/>
      <c r="R128" s="96"/>
      <c r="S128" s="96"/>
    </row>
    <row r="129" spans="1:19">
      <c r="A129" s="124"/>
      <c r="B129" s="125"/>
      <c r="C129" s="97"/>
      <c r="D129" s="97"/>
      <c r="E129" s="97"/>
      <c r="F129" s="96"/>
      <c r="G129" s="96"/>
      <c r="H129" s="96"/>
      <c r="I129" s="96"/>
      <c r="J129" s="96"/>
      <c r="K129" s="96"/>
      <c r="L129" s="96"/>
      <c r="M129" s="96"/>
      <c r="N129" s="96"/>
      <c r="O129" s="96"/>
      <c r="P129" s="96"/>
      <c r="Q129" s="96"/>
      <c r="R129" s="96"/>
      <c r="S129" s="96"/>
    </row>
    <row r="130" spans="1:19">
      <c r="A130" s="124"/>
      <c r="B130" s="125"/>
      <c r="C130" s="97"/>
      <c r="D130" s="97"/>
      <c r="E130" s="97"/>
      <c r="F130" s="96"/>
      <c r="G130" s="96"/>
      <c r="H130" s="96"/>
      <c r="I130" s="96"/>
      <c r="J130" s="96"/>
      <c r="K130" s="96"/>
      <c r="L130" s="96"/>
      <c r="M130" s="96"/>
      <c r="N130" s="96"/>
      <c r="O130" s="96"/>
      <c r="P130" s="96"/>
      <c r="Q130" s="96"/>
      <c r="R130" s="96"/>
      <c r="S130" s="96"/>
    </row>
    <row r="131" spans="1:19">
      <c r="A131" s="124"/>
      <c r="B131" s="125"/>
      <c r="C131" s="97"/>
      <c r="D131" s="97"/>
      <c r="E131" s="97"/>
      <c r="F131" s="96"/>
      <c r="G131" s="96"/>
      <c r="H131" s="96"/>
      <c r="I131" s="96"/>
      <c r="J131" s="96"/>
      <c r="K131" s="96"/>
      <c r="L131" s="96"/>
      <c r="M131" s="96"/>
      <c r="N131" s="96"/>
      <c r="O131" s="96"/>
      <c r="P131" s="96"/>
      <c r="Q131" s="96"/>
      <c r="R131" s="96"/>
      <c r="S131" s="96"/>
    </row>
    <row r="132" spans="1:19">
      <c r="A132" s="124"/>
      <c r="B132" s="125"/>
      <c r="C132" s="97"/>
      <c r="D132" s="97"/>
      <c r="E132" s="97"/>
      <c r="F132" s="96"/>
      <c r="G132" s="96"/>
      <c r="H132" s="96"/>
      <c r="I132" s="96"/>
      <c r="J132" s="96"/>
      <c r="K132" s="96"/>
      <c r="L132" s="96"/>
      <c r="M132" s="96"/>
      <c r="N132" s="96"/>
      <c r="O132" s="96"/>
      <c r="P132" s="96"/>
      <c r="Q132" s="96"/>
      <c r="R132" s="96"/>
      <c r="S132" s="96"/>
    </row>
    <row r="133" spans="1:19">
      <c r="A133" s="124"/>
      <c r="B133" s="125"/>
      <c r="C133" s="97"/>
      <c r="D133" s="97"/>
      <c r="E133" s="97"/>
      <c r="F133" s="96"/>
      <c r="G133" s="96"/>
      <c r="H133" s="96"/>
      <c r="I133" s="96"/>
      <c r="J133" s="96"/>
      <c r="K133" s="96"/>
      <c r="L133" s="96"/>
      <c r="M133" s="96"/>
      <c r="N133" s="96"/>
      <c r="O133" s="96"/>
      <c r="P133" s="96"/>
      <c r="Q133" s="96"/>
      <c r="R133" s="96"/>
      <c r="S133" s="96"/>
    </row>
    <row r="134" spans="1:19">
      <c r="A134" s="124"/>
      <c r="B134" s="125"/>
      <c r="C134" s="97"/>
      <c r="D134" s="97"/>
      <c r="E134" s="97"/>
      <c r="F134" s="96"/>
      <c r="G134" s="96"/>
      <c r="H134" s="96"/>
      <c r="I134" s="96"/>
      <c r="J134" s="96"/>
      <c r="K134" s="96"/>
      <c r="L134" s="96"/>
      <c r="M134" s="96"/>
      <c r="N134" s="96"/>
      <c r="O134" s="96"/>
      <c r="P134" s="96"/>
      <c r="Q134" s="96"/>
      <c r="R134" s="96"/>
      <c r="S134" s="96"/>
    </row>
    <row r="135" spans="1:19">
      <c r="A135" s="124"/>
      <c r="B135" s="125"/>
      <c r="C135" s="97"/>
      <c r="D135" s="97"/>
      <c r="E135" s="97"/>
      <c r="F135" s="96"/>
      <c r="G135" s="96"/>
      <c r="H135" s="96"/>
      <c r="I135" s="96"/>
      <c r="J135" s="96"/>
      <c r="K135" s="96"/>
      <c r="L135" s="96"/>
      <c r="M135" s="96"/>
      <c r="N135" s="96"/>
      <c r="O135" s="96"/>
      <c r="P135" s="96"/>
      <c r="Q135" s="96"/>
      <c r="R135" s="96"/>
      <c r="S135" s="96"/>
    </row>
    <row r="136" spans="1:19">
      <c r="A136" s="124"/>
      <c r="B136" s="125"/>
      <c r="C136" s="97"/>
      <c r="D136" s="97"/>
      <c r="E136" s="97"/>
      <c r="F136" s="96"/>
      <c r="G136" s="96"/>
      <c r="H136" s="96"/>
      <c r="I136" s="96"/>
      <c r="J136" s="96"/>
      <c r="K136" s="96"/>
      <c r="L136" s="96"/>
      <c r="M136" s="96"/>
      <c r="N136" s="96"/>
      <c r="O136" s="96"/>
      <c r="P136" s="96"/>
      <c r="Q136" s="96"/>
      <c r="R136" s="96"/>
      <c r="S136" s="96"/>
    </row>
    <row r="137" spans="1:19">
      <c r="A137" s="124"/>
      <c r="B137" s="125"/>
      <c r="C137" s="97"/>
      <c r="D137" s="97"/>
      <c r="E137" s="97"/>
      <c r="F137" s="96"/>
      <c r="G137" s="96"/>
      <c r="H137" s="96"/>
      <c r="I137" s="96"/>
      <c r="J137" s="96"/>
      <c r="K137" s="96"/>
      <c r="L137" s="96"/>
      <c r="M137" s="96"/>
      <c r="N137" s="96"/>
      <c r="O137" s="96"/>
      <c r="P137" s="96"/>
      <c r="Q137" s="96"/>
      <c r="R137" s="96"/>
      <c r="S137" s="96"/>
    </row>
    <row r="138" spans="1:19">
      <c r="A138" s="124"/>
      <c r="B138" s="125"/>
      <c r="C138" s="97"/>
      <c r="D138" s="97"/>
      <c r="E138" s="97"/>
      <c r="F138" s="96"/>
      <c r="G138" s="96"/>
      <c r="H138" s="96"/>
      <c r="I138" s="96"/>
      <c r="J138" s="96"/>
      <c r="K138" s="96"/>
      <c r="L138" s="96"/>
      <c r="M138" s="96"/>
      <c r="N138" s="96"/>
      <c r="O138" s="96"/>
      <c r="P138" s="96"/>
      <c r="Q138" s="96"/>
      <c r="R138" s="96"/>
      <c r="S138" s="96"/>
    </row>
    <row r="139" spans="1:19">
      <c r="A139" s="124"/>
      <c r="B139" s="125"/>
      <c r="C139" s="97"/>
      <c r="D139" s="97"/>
      <c r="E139" s="97"/>
      <c r="F139" s="96"/>
      <c r="G139" s="96"/>
      <c r="H139" s="96"/>
      <c r="I139" s="96"/>
      <c r="J139" s="96"/>
      <c r="K139" s="96"/>
      <c r="L139" s="96"/>
      <c r="M139" s="96"/>
      <c r="N139" s="96"/>
      <c r="O139" s="96"/>
      <c r="P139" s="96"/>
      <c r="Q139" s="96"/>
      <c r="R139" s="96"/>
      <c r="S139" s="96"/>
    </row>
    <row r="140" spans="1:19">
      <c r="A140" s="124"/>
      <c r="B140" s="125"/>
      <c r="C140" s="97"/>
      <c r="D140" s="97"/>
      <c r="E140" s="97"/>
      <c r="F140" s="96"/>
      <c r="G140" s="96"/>
      <c r="H140" s="96"/>
      <c r="I140" s="96"/>
      <c r="J140" s="96"/>
      <c r="K140" s="96"/>
      <c r="L140" s="96"/>
      <c r="M140" s="96"/>
      <c r="N140" s="96"/>
      <c r="O140" s="96"/>
      <c r="P140" s="96"/>
      <c r="Q140" s="96"/>
      <c r="R140" s="96"/>
      <c r="S140" s="96"/>
    </row>
    <row r="141" spans="1:19">
      <c r="A141" s="124"/>
      <c r="B141" s="125"/>
      <c r="C141" s="97"/>
      <c r="D141" s="97"/>
      <c r="E141" s="97"/>
      <c r="F141" s="96"/>
      <c r="G141" s="96"/>
      <c r="H141" s="96"/>
      <c r="I141" s="96"/>
      <c r="J141" s="96"/>
      <c r="K141" s="96"/>
      <c r="L141" s="96"/>
      <c r="M141" s="96"/>
      <c r="N141" s="96"/>
      <c r="O141" s="96"/>
      <c r="P141" s="96"/>
      <c r="Q141" s="96"/>
      <c r="R141" s="96"/>
      <c r="S141" s="96"/>
    </row>
    <row r="142" spans="1:19">
      <c r="A142" s="124"/>
      <c r="B142" s="125"/>
      <c r="C142" s="97"/>
      <c r="D142" s="97"/>
      <c r="E142" s="97"/>
      <c r="F142" s="96"/>
      <c r="G142" s="96"/>
      <c r="H142" s="96"/>
      <c r="I142" s="96"/>
      <c r="J142" s="96"/>
      <c r="K142" s="96"/>
      <c r="L142" s="96"/>
      <c r="M142" s="96"/>
      <c r="N142" s="96"/>
      <c r="O142" s="96"/>
      <c r="P142" s="96"/>
      <c r="Q142" s="96"/>
      <c r="R142" s="96"/>
      <c r="S142" s="96"/>
    </row>
    <row r="143" spans="1:19">
      <c r="A143" s="124"/>
      <c r="B143" s="125"/>
      <c r="C143" s="97"/>
      <c r="D143" s="97"/>
      <c r="E143" s="97"/>
      <c r="F143" s="96"/>
      <c r="G143" s="96"/>
      <c r="H143" s="96"/>
      <c r="I143" s="96"/>
      <c r="J143" s="96"/>
      <c r="K143" s="96"/>
      <c r="L143" s="96"/>
      <c r="M143" s="96"/>
      <c r="N143" s="96"/>
      <c r="O143" s="96"/>
      <c r="P143" s="96"/>
      <c r="Q143" s="96"/>
      <c r="R143" s="96"/>
      <c r="S143" s="96"/>
    </row>
    <row r="144" spans="1:19">
      <c r="A144" s="124"/>
      <c r="B144" s="125"/>
      <c r="C144" s="97"/>
      <c r="D144" s="97"/>
      <c r="E144" s="97"/>
      <c r="F144" s="96"/>
      <c r="G144" s="96"/>
      <c r="H144" s="96"/>
      <c r="I144" s="96"/>
      <c r="J144" s="96"/>
      <c r="K144" s="96"/>
      <c r="L144" s="96"/>
      <c r="M144" s="96"/>
      <c r="N144" s="96"/>
      <c r="O144" s="96"/>
      <c r="P144" s="96"/>
      <c r="Q144" s="96"/>
      <c r="R144" s="96"/>
      <c r="S144" s="96"/>
    </row>
    <row r="145" spans="1:19">
      <c r="A145" s="124"/>
      <c r="B145" s="125"/>
      <c r="C145" s="97"/>
      <c r="D145" s="97"/>
      <c r="E145" s="97"/>
      <c r="F145" s="96"/>
      <c r="G145" s="96"/>
      <c r="H145" s="96"/>
      <c r="I145" s="96"/>
      <c r="J145" s="96"/>
      <c r="K145" s="96"/>
      <c r="L145" s="96"/>
      <c r="M145" s="96"/>
      <c r="N145" s="96"/>
      <c r="O145" s="96"/>
      <c r="P145" s="96"/>
      <c r="Q145" s="96"/>
      <c r="R145" s="96"/>
      <c r="S145" s="96"/>
    </row>
    <row r="146" spans="1:19">
      <c r="A146" s="124"/>
      <c r="B146" s="125"/>
      <c r="C146" s="97"/>
      <c r="D146" s="97"/>
      <c r="E146" s="97"/>
      <c r="F146" s="96"/>
      <c r="G146" s="96"/>
      <c r="H146" s="96"/>
      <c r="I146" s="96"/>
      <c r="J146" s="96"/>
      <c r="K146" s="96"/>
      <c r="L146" s="96"/>
      <c r="M146" s="96"/>
      <c r="N146" s="96"/>
      <c r="O146" s="96"/>
      <c r="P146" s="96"/>
      <c r="Q146" s="96"/>
      <c r="R146" s="96"/>
      <c r="S146" s="96"/>
    </row>
    <row r="147" spans="1:19">
      <c r="A147" s="124"/>
      <c r="B147" s="125"/>
      <c r="C147" s="97"/>
      <c r="D147" s="97"/>
      <c r="E147" s="97"/>
      <c r="F147" s="96"/>
      <c r="G147" s="96"/>
      <c r="H147" s="96"/>
      <c r="I147" s="96"/>
      <c r="J147" s="96"/>
      <c r="K147" s="96"/>
      <c r="L147" s="96"/>
      <c r="M147" s="96"/>
      <c r="N147" s="96"/>
      <c r="O147" s="96"/>
      <c r="P147" s="96"/>
      <c r="Q147" s="96"/>
      <c r="R147" s="96"/>
      <c r="S147" s="96"/>
    </row>
    <row r="148" spans="1:19">
      <c r="A148" s="124"/>
      <c r="B148" s="125"/>
      <c r="C148" s="97"/>
      <c r="D148" s="97"/>
      <c r="E148" s="97"/>
      <c r="F148" s="96"/>
      <c r="G148" s="96"/>
      <c r="H148" s="96"/>
      <c r="I148" s="96"/>
      <c r="J148" s="96"/>
      <c r="K148" s="96"/>
      <c r="L148" s="96"/>
      <c r="M148" s="96"/>
      <c r="N148" s="96"/>
      <c r="O148" s="96"/>
      <c r="P148" s="96"/>
      <c r="Q148" s="96"/>
      <c r="R148" s="96"/>
      <c r="S148" s="96"/>
    </row>
    <row r="149" spans="1:19">
      <c r="A149" s="124"/>
      <c r="B149" s="125"/>
      <c r="C149" s="97"/>
      <c r="D149" s="97"/>
      <c r="E149" s="97"/>
      <c r="F149" s="96"/>
      <c r="G149" s="96"/>
      <c r="H149" s="96"/>
      <c r="I149" s="96"/>
      <c r="J149" s="96"/>
      <c r="K149" s="96"/>
      <c r="L149" s="96"/>
      <c r="M149" s="96"/>
      <c r="N149" s="96"/>
      <c r="O149" s="96"/>
      <c r="P149" s="96"/>
      <c r="Q149" s="96"/>
      <c r="R149" s="96"/>
      <c r="S149" s="96"/>
    </row>
    <row r="150" spans="1:19">
      <c r="A150" s="124"/>
      <c r="B150" s="125"/>
      <c r="C150" s="97"/>
      <c r="D150" s="97"/>
      <c r="E150" s="97"/>
      <c r="F150" s="96"/>
      <c r="G150" s="96"/>
      <c r="H150" s="96"/>
      <c r="I150" s="96"/>
      <c r="J150" s="96"/>
      <c r="K150" s="96"/>
      <c r="L150" s="96"/>
      <c r="M150" s="96"/>
      <c r="N150" s="96"/>
      <c r="O150" s="96"/>
      <c r="P150" s="96"/>
      <c r="Q150" s="96"/>
      <c r="R150" s="96"/>
      <c r="S150" s="96"/>
    </row>
    <row r="151" spans="1:19">
      <c r="A151" s="124"/>
      <c r="B151" s="125"/>
      <c r="C151" s="97"/>
      <c r="D151" s="97"/>
      <c r="E151" s="97"/>
      <c r="F151" s="96"/>
      <c r="G151" s="96"/>
      <c r="H151" s="96"/>
      <c r="I151" s="96"/>
      <c r="J151" s="96"/>
      <c r="K151" s="96"/>
      <c r="L151" s="96"/>
      <c r="M151" s="96"/>
      <c r="N151" s="96"/>
      <c r="O151" s="96"/>
      <c r="P151" s="96"/>
      <c r="Q151" s="96"/>
      <c r="R151" s="96"/>
      <c r="S151" s="96"/>
    </row>
    <row r="152" spans="1:19">
      <c r="A152" s="124"/>
      <c r="B152" s="125"/>
      <c r="C152" s="97"/>
      <c r="D152" s="97"/>
      <c r="E152" s="97"/>
      <c r="F152" s="96"/>
      <c r="G152" s="96"/>
      <c r="H152" s="96"/>
      <c r="I152" s="96"/>
      <c r="J152" s="96"/>
      <c r="K152" s="96"/>
      <c r="L152" s="96"/>
      <c r="M152" s="96"/>
      <c r="N152" s="96"/>
      <c r="O152" s="96"/>
      <c r="P152" s="96"/>
      <c r="Q152" s="96"/>
      <c r="R152" s="96"/>
      <c r="S152" s="96"/>
    </row>
    <row r="153" spans="1:19">
      <c r="A153" s="124"/>
      <c r="B153" s="125"/>
      <c r="C153" s="97"/>
      <c r="D153" s="97"/>
      <c r="E153" s="97"/>
      <c r="F153" s="96"/>
      <c r="G153" s="96"/>
      <c r="H153" s="96"/>
      <c r="I153" s="96"/>
      <c r="J153" s="96"/>
      <c r="K153" s="96"/>
      <c r="L153" s="96"/>
      <c r="M153" s="96"/>
      <c r="N153" s="96"/>
      <c r="O153" s="96"/>
      <c r="P153" s="96"/>
      <c r="Q153" s="96"/>
      <c r="R153" s="96"/>
      <c r="S153" s="96"/>
    </row>
    <row r="154" spans="1:19">
      <c r="A154" s="124"/>
      <c r="B154" s="125"/>
      <c r="C154" s="97"/>
      <c r="D154" s="97"/>
      <c r="E154" s="97"/>
      <c r="F154" s="96"/>
      <c r="G154" s="96"/>
      <c r="H154" s="96"/>
      <c r="I154" s="96"/>
      <c r="J154" s="96"/>
      <c r="K154" s="96"/>
      <c r="L154" s="96"/>
      <c r="M154" s="96"/>
      <c r="N154" s="96"/>
      <c r="O154" s="96"/>
      <c r="P154" s="96"/>
      <c r="Q154" s="96"/>
      <c r="R154" s="96"/>
      <c r="S154" s="96"/>
    </row>
    <row r="155" spans="1:19">
      <c r="A155" s="124"/>
      <c r="B155" s="125"/>
      <c r="C155" s="97"/>
      <c r="D155" s="97"/>
      <c r="E155" s="97"/>
      <c r="F155" s="96"/>
      <c r="G155" s="96"/>
      <c r="H155" s="96"/>
      <c r="I155" s="96"/>
      <c r="J155" s="96"/>
      <c r="K155" s="96"/>
      <c r="L155" s="96"/>
      <c r="M155" s="96"/>
      <c r="N155" s="96"/>
      <c r="O155" s="96"/>
      <c r="P155" s="96"/>
      <c r="Q155" s="96"/>
      <c r="R155" s="96"/>
      <c r="S155" s="96"/>
    </row>
    <row r="156" spans="1:19">
      <c r="A156" s="124"/>
      <c r="B156" s="125"/>
      <c r="C156" s="97"/>
      <c r="D156" s="97"/>
      <c r="E156" s="97"/>
      <c r="F156" s="96"/>
      <c r="G156" s="96"/>
      <c r="H156" s="96"/>
      <c r="I156" s="96"/>
      <c r="J156" s="96"/>
      <c r="K156" s="96"/>
      <c r="L156" s="96"/>
      <c r="M156" s="96"/>
      <c r="N156" s="96"/>
      <c r="O156" s="96"/>
      <c r="P156" s="96"/>
      <c r="Q156" s="96"/>
      <c r="R156" s="96"/>
      <c r="S156" s="96"/>
    </row>
    <row r="157" spans="1:19">
      <c r="A157" s="124"/>
      <c r="B157" s="125"/>
      <c r="C157" s="97"/>
      <c r="D157" s="97"/>
      <c r="E157" s="97"/>
      <c r="F157" s="96"/>
      <c r="G157" s="96"/>
      <c r="H157" s="96"/>
      <c r="I157" s="96"/>
      <c r="J157" s="96"/>
      <c r="K157" s="96"/>
      <c r="L157" s="96"/>
      <c r="M157" s="96"/>
      <c r="N157" s="96"/>
      <c r="O157" s="96"/>
      <c r="P157" s="96"/>
      <c r="Q157" s="96"/>
      <c r="R157" s="96"/>
      <c r="S157" s="96"/>
    </row>
    <row r="158" spans="1:19">
      <c r="A158" s="124"/>
      <c r="B158" s="125"/>
      <c r="C158" s="97"/>
      <c r="D158" s="97"/>
      <c r="E158" s="97"/>
      <c r="F158" s="96"/>
      <c r="G158" s="96"/>
      <c r="H158" s="96"/>
      <c r="I158" s="96"/>
      <c r="J158" s="96"/>
      <c r="K158" s="96"/>
      <c r="L158" s="96"/>
      <c r="M158" s="96"/>
      <c r="N158" s="96"/>
      <c r="O158" s="96"/>
      <c r="P158" s="96"/>
      <c r="Q158" s="96"/>
      <c r="R158" s="96"/>
      <c r="S158" s="96"/>
    </row>
    <row r="159" spans="1:19">
      <c r="A159" s="124"/>
      <c r="B159" s="125"/>
      <c r="C159" s="97"/>
      <c r="D159" s="97"/>
      <c r="E159" s="97"/>
      <c r="F159" s="96"/>
      <c r="G159" s="96"/>
      <c r="H159" s="96"/>
      <c r="I159" s="96"/>
      <c r="J159" s="96"/>
      <c r="K159" s="96"/>
      <c r="L159" s="96"/>
      <c r="M159" s="96"/>
      <c r="N159" s="96"/>
      <c r="O159" s="96"/>
      <c r="P159" s="96"/>
      <c r="Q159" s="96"/>
      <c r="R159" s="96"/>
      <c r="S159" s="96"/>
    </row>
    <row r="160" spans="1:19">
      <c r="A160" s="124"/>
      <c r="B160" s="125"/>
      <c r="C160" s="97"/>
      <c r="D160" s="97"/>
      <c r="E160" s="97"/>
      <c r="F160" s="96"/>
      <c r="G160" s="96"/>
      <c r="H160" s="96"/>
      <c r="I160" s="96"/>
      <c r="J160" s="96"/>
      <c r="K160" s="96"/>
      <c r="L160" s="96"/>
      <c r="M160" s="96"/>
      <c r="N160" s="96"/>
      <c r="O160" s="96"/>
      <c r="P160" s="96"/>
      <c r="Q160" s="96"/>
      <c r="R160" s="96"/>
      <c r="S160" s="96"/>
    </row>
    <row r="161" spans="1:19">
      <c r="A161" s="124"/>
      <c r="B161" s="125"/>
      <c r="C161" s="97"/>
      <c r="D161" s="97"/>
      <c r="E161" s="97"/>
      <c r="F161" s="96"/>
      <c r="G161" s="96"/>
      <c r="H161" s="96"/>
      <c r="I161" s="96"/>
      <c r="J161" s="96"/>
      <c r="K161" s="96"/>
      <c r="L161" s="96"/>
      <c r="M161" s="96"/>
      <c r="N161" s="96"/>
      <c r="O161" s="96"/>
      <c r="P161" s="96"/>
      <c r="Q161" s="96"/>
      <c r="R161" s="96"/>
      <c r="S161" s="96"/>
    </row>
    <row r="162" spans="1:19">
      <c r="A162" s="124"/>
      <c r="B162" s="125"/>
      <c r="C162" s="97"/>
      <c r="D162" s="97"/>
      <c r="E162" s="97"/>
      <c r="F162" s="96"/>
      <c r="G162" s="96"/>
      <c r="H162" s="96"/>
      <c r="I162" s="96"/>
      <c r="J162" s="96"/>
      <c r="K162" s="96"/>
      <c r="L162" s="96"/>
      <c r="M162" s="96"/>
      <c r="N162" s="96"/>
      <c r="O162" s="96"/>
      <c r="P162" s="96"/>
      <c r="Q162" s="96"/>
      <c r="R162" s="96"/>
      <c r="S162" s="96"/>
    </row>
    <row r="163" spans="1:19">
      <c r="A163" s="124"/>
      <c r="B163" s="125"/>
      <c r="C163" s="97"/>
      <c r="D163" s="97"/>
      <c r="E163" s="97"/>
      <c r="F163" s="96"/>
      <c r="G163" s="96"/>
      <c r="H163" s="96"/>
      <c r="I163" s="96"/>
      <c r="J163" s="96"/>
      <c r="K163" s="96"/>
      <c r="L163" s="96"/>
      <c r="M163" s="96"/>
      <c r="N163" s="96"/>
      <c r="O163" s="96"/>
      <c r="P163" s="96"/>
      <c r="Q163" s="96"/>
      <c r="R163" s="96"/>
      <c r="S163" s="96"/>
    </row>
    <row r="164" spans="1:19">
      <c r="A164" s="124"/>
      <c r="B164" s="125"/>
      <c r="C164" s="97"/>
      <c r="D164" s="97"/>
      <c r="E164" s="97"/>
      <c r="F164" s="96"/>
      <c r="G164" s="96"/>
      <c r="H164" s="96"/>
      <c r="I164" s="96"/>
      <c r="J164" s="96"/>
      <c r="K164" s="96"/>
      <c r="L164" s="96"/>
      <c r="M164" s="96"/>
      <c r="N164" s="96"/>
      <c r="O164" s="96"/>
      <c r="P164" s="96"/>
      <c r="Q164" s="96"/>
      <c r="R164" s="96"/>
      <c r="S164" s="96"/>
    </row>
    <row r="165" spans="1:19">
      <c r="A165" s="124"/>
      <c r="B165" s="125"/>
      <c r="C165" s="97"/>
      <c r="D165" s="97"/>
      <c r="E165" s="97"/>
      <c r="F165" s="96"/>
      <c r="G165" s="96"/>
      <c r="H165" s="96"/>
      <c r="I165" s="96"/>
      <c r="J165" s="96"/>
      <c r="K165" s="96"/>
      <c r="L165" s="96"/>
      <c r="M165" s="96"/>
      <c r="N165" s="96"/>
      <c r="O165" s="96"/>
      <c r="P165" s="96"/>
      <c r="Q165" s="96"/>
      <c r="R165" s="96"/>
      <c r="S165" s="96"/>
    </row>
    <row r="166" spans="1:19">
      <c r="A166" s="124"/>
      <c r="B166" s="125"/>
      <c r="C166" s="97"/>
      <c r="D166" s="97"/>
      <c r="E166" s="97"/>
      <c r="F166" s="96"/>
      <c r="G166" s="96"/>
      <c r="H166" s="96"/>
      <c r="I166" s="96"/>
      <c r="J166" s="96"/>
      <c r="K166" s="96"/>
      <c r="L166" s="96"/>
      <c r="M166" s="96"/>
      <c r="N166" s="96"/>
      <c r="O166" s="96"/>
      <c r="P166" s="96"/>
      <c r="Q166" s="96"/>
      <c r="R166" s="96"/>
      <c r="S166" s="96"/>
    </row>
    <row r="167" spans="1:19">
      <c r="A167" s="124"/>
      <c r="B167" s="125"/>
      <c r="C167" s="97"/>
      <c r="D167" s="97"/>
      <c r="E167" s="97"/>
      <c r="F167" s="96"/>
      <c r="G167" s="96"/>
      <c r="H167" s="96"/>
      <c r="I167" s="96"/>
      <c r="J167" s="96"/>
      <c r="K167" s="96"/>
      <c r="L167" s="96"/>
      <c r="M167" s="96"/>
      <c r="N167" s="96"/>
      <c r="O167" s="96"/>
      <c r="P167" s="96"/>
      <c r="Q167" s="96"/>
      <c r="R167" s="96"/>
      <c r="S167" s="96"/>
    </row>
    <row r="168" spans="1:19">
      <c r="A168" s="124"/>
      <c r="B168" s="125"/>
      <c r="C168" s="97"/>
      <c r="D168" s="97"/>
      <c r="E168" s="97"/>
      <c r="F168" s="96"/>
      <c r="G168" s="96"/>
      <c r="H168" s="96"/>
      <c r="I168" s="96"/>
      <c r="J168" s="96"/>
      <c r="K168" s="96"/>
      <c r="L168" s="96"/>
      <c r="M168" s="96"/>
      <c r="N168" s="96"/>
      <c r="O168" s="96"/>
      <c r="P168" s="96"/>
      <c r="Q168" s="96"/>
      <c r="R168" s="96"/>
      <c r="S168" s="96"/>
    </row>
    <row r="169" spans="1:19">
      <c r="A169" s="124"/>
      <c r="B169" s="125"/>
      <c r="C169" s="97"/>
      <c r="D169" s="97"/>
      <c r="E169" s="97"/>
      <c r="F169" s="96"/>
      <c r="G169" s="96"/>
      <c r="H169" s="96"/>
      <c r="I169" s="96"/>
      <c r="J169" s="96"/>
      <c r="K169" s="96"/>
      <c r="L169" s="96"/>
      <c r="M169" s="96"/>
      <c r="N169" s="96"/>
      <c r="O169" s="96"/>
      <c r="P169" s="96"/>
      <c r="Q169" s="96"/>
      <c r="R169" s="96"/>
      <c r="S169" s="96"/>
    </row>
    <row r="170" spans="1:19">
      <c r="A170" s="124"/>
      <c r="B170" s="125"/>
      <c r="C170" s="97"/>
      <c r="D170" s="97"/>
      <c r="E170" s="97"/>
      <c r="F170" s="96"/>
      <c r="G170" s="96"/>
      <c r="H170" s="96"/>
      <c r="I170" s="96"/>
      <c r="J170" s="96"/>
      <c r="K170" s="96"/>
      <c r="L170" s="96"/>
      <c r="M170" s="96"/>
      <c r="N170" s="96"/>
      <c r="O170" s="96"/>
      <c r="P170" s="96"/>
      <c r="Q170" s="96"/>
      <c r="R170" s="96"/>
      <c r="S170" s="96"/>
    </row>
    <row r="171" spans="1:19">
      <c r="A171" s="124"/>
      <c r="B171" s="125"/>
      <c r="C171" s="97"/>
      <c r="D171" s="97"/>
      <c r="E171" s="97"/>
      <c r="F171" s="96"/>
      <c r="G171" s="96"/>
      <c r="H171" s="96"/>
      <c r="I171" s="96"/>
      <c r="J171" s="96"/>
      <c r="K171" s="96"/>
      <c r="L171" s="96"/>
      <c r="M171" s="96"/>
      <c r="N171" s="96"/>
      <c r="O171" s="96"/>
      <c r="P171" s="96"/>
      <c r="Q171" s="96"/>
      <c r="R171" s="96"/>
      <c r="S171" s="96"/>
    </row>
    <row r="172" spans="1:19">
      <c r="A172" s="124"/>
      <c r="B172" s="125"/>
      <c r="C172" s="97"/>
      <c r="D172" s="97"/>
      <c r="E172" s="97"/>
      <c r="F172" s="96"/>
      <c r="G172" s="96"/>
      <c r="H172" s="96"/>
      <c r="I172" s="96"/>
      <c r="J172" s="96"/>
      <c r="K172" s="96"/>
      <c r="L172" s="96"/>
      <c r="M172" s="96"/>
      <c r="N172" s="96"/>
      <c r="O172" s="96"/>
      <c r="P172" s="96"/>
      <c r="Q172" s="96"/>
      <c r="R172" s="96"/>
      <c r="S172" s="96"/>
    </row>
    <row r="173" spans="1:19">
      <c r="A173" s="124"/>
      <c r="B173" s="125"/>
      <c r="C173" s="97"/>
      <c r="D173" s="97"/>
      <c r="E173" s="97"/>
      <c r="F173" s="96"/>
      <c r="G173" s="96"/>
      <c r="H173" s="96"/>
      <c r="I173" s="96"/>
      <c r="J173" s="96"/>
      <c r="K173" s="96"/>
      <c r="L173" s="96"/>
      <c r="M173" s="96"/>
      <c r="N173" s="96"/>
      <c r="O173" s="96"/>
      <c r="P173" s="96"/>
      <c r="Q173" s="96"/>
      <c r="R173" s="96"/>
      <c r="S173" s="96"/>
    </row>
    <row r="174" spans="1:19">
      <c r="A174" s="124"/>
      <c r="B174" s="125"/>
      <c r="C174" s="97"/>
      <c r="D174" s="97"/>
      <c r="E174" s="97"/>
      <c r="F174" s="96"/>
      <c r="G174" s="96"/>
      <c r="H174" s="96"/>
      <c r="I174" s="96"/>
      <c r="J174" s="96"/>
      <c r="K174" s="96"/>
      <c r="L174" s="96"/>
      <c r="M174" s="96"/>
      <c r="N174" s="96"/>
      <c r="O174" s="96"/>
      <c r="P174" s="96"/>
      <c r="Q174" s="96"/>
      <c r="R174" s="96"/>
      <c r="S174" s="96"/>
    </row>
    <row r="175" spans="1:19">
      <c r="A175" s="124"/>
      <c r="B175" s="125"/>
      <c r="C175" s="97"/>
      <c r="D175" s="97"/>
      <c r="E175" s="97"/>
      <c r="F175" s="96"/>
      <c r="G175" s="96"/>
      <c r="H175" s="96"/>
      <c r="I175" s="96"/>
      <c r="J175" s="96"/>
      <c r="K175" s="96"/>
      <c r="L175" s="96"/>
      <c r="M175" s="96"/>
      <c r="N175" s="96"/>
      <c r="O175" s="96"/>
      <c r="P175" s="96"/>
      <c r="Q175" s="96"/>
      <c r="R175" s="96"/>
      <c r="S175" s="96"/>
    </row>
    <row r="176" spans="1:19">
      <c r="A176" s="124"/>
      <c r="B176" s="125"/>
      <c r="C176" s="97"/>
      <c r="D176" s="97"/>
      <c r="E176" s="97"/>
      <c r="F176" s="96"/>
      <c r="G176" s="96"/>
      <c r="H176" s="96"/>
      <c r="I176" s="96"/>
      <c r="J176" s="96"/>
      <c r="K176" s="96"/>
      <c r="L176" s="96"/>
      <c r="M176" s="96"/>
      <c r="N176" s="96"/>
      <c r="O176" s="96"/>
      <c r="P176" s="96"/>
      <c r="Q176" s="96"/>
      <c r="R176" s="96"/>
      <c r="S176" s="96"/>
    </row>
    <row r="177" spans="1:19">
      <c r="A177" s="124"/>
      <c r="B177" s="125"/>
      <c r="C177" s="97"/>
      <c r="D177" s="97"/>
      <c r="E177" s="97"/>
      <c r="F177" s="96"/>
      <c r="G177" s="96"/>
      <c r="H177" s="96"/>
      <c r="I177" s="96"/>
      <c r="J177" s="96"/>
      <c r="K177" s="96"/>
      <c r="L177" s="96"/>
      <c r="M177" s="96"/>
      <c r="N177" s="96"/>
      <c r="O177" s="96"/>
      <c r="P177" s="96"/>
      <c r="Q177" s="96"/>
      <c r="R177" s="96"/>
      <c r="S177" s="96"/>
    </row>
    <row r="178" spans="1:19">
      <c r="A178" s="124"/>
      <c r="B178" s="125"/>
      <c r="C178" s="97"/>
      <c r="D178" s="97"/>
      <c r="E178" s="97"/>
      <c r="F178" s="96"/>
      <c r="G178" s="96"/>
      <c r="H178" s="96"/>
      <c r="I178" s="96"/>
      <c r="J178" s="96"/>
      <c r="K178" s="96"/>
      <c r="L178" s="96"/>
      <c r="M178" s="96"/>
      <c r="N178" s="96"/>
      <c r="O178" s="96"/>
      <c r="P178" s="96"/>
      <c r="Q178" s="96"/>
      <c r="R178" s="96"/>
      <c r="S178" s="96"/>
    </row>
    <row r="179" spans="1:19">
      <c r="A179" s="124"/>
      <c r="B179" s="125"/>
      <c r="C179" s="97"/>
      <c r="D179" s="97"/>
      <c r="E179" s="97"/>
      <c r="F179" s="96"/>
      <c r="G179" s="96"/>
      <c r="H179" s="96"/>
      <c r="I179" s="96"/>
      <c r="J179" s="96"/>
      <c r="K179" s="96"/>
      <c r="L179" s="96"/>
      <c r="M179" s="96"/>
      <c r="N179" s="96"/>
      <c r="O179" s="96"/>
      <c r="P179" s="96"/>
      <c r="Q179" s="96"/>
      <c r="R179" s="96"/>
      <c r="S179" s="96"/>
    </row>
    <row r="180" spans="1:19">
      <c r="A180" s="124"/>
      <c r="B180" s="125"/>
      <c r="C180" s="97"/>
      <c r="D180" s="97"/>
      <c r="E180" s="97"/>
      <c r="F180" s="96"/>
      <c r="G180" s="96"/>
      <c r="H180" s="96"/>
      <c r="I180" s="96"/>
      <c r="J180" s="96"/>
      <c r="K180" s="96"/>
      <c r="L180" s="96"/>
      <c r="M180" s="96"/>
      <c r="N180" s="96"/>
      <c r="O180" s="96"/>
      <c r="P180" s="96"/>
      <c r="Q180" s="96"/>
      <c r="R180" s="96"/>
      <c r="S180" s="96"/>
    </row>
    <row r="181" spans="1:19">
      <c r="A181" s="124"/>
      <c r="B181" s="125"/>
      <c r="C181" s="97"/>
      <c r="D181" s="97"/>
      <c r="E181" s="97"/>
      <c r="F181" s="96"/>
      <c r="G181" s="96"/>
      <c r="H181" s="96"/>
      <c r="I181" s="96"/>
      <c r="J181" s="96"/>
      <c r="K181" s="96"/>
      <c r="L181" s="96"/>
      <c r="M181" s="96"/>
      <c r="N181" s="96"/>
      <c r="O181" s="96"/>
      <c r="P181" s="96"/>
      <c r="Q181" s="96"/>
      <c r="R181" s="96"/>
      <c r="S181" s="96"/>
    </row>
    <row r="182" spans="1:19">
      <c r="A182" s="124"/>
      <c r="B182" s="125"/>
      <c r="C182" s="97"/>
      <c r="D182" s="97"/>
      <c r="E182" s="97"/>
      <c r="F182" s="96"/>
      <c r="G182" s="96"/>
      <c r="H182" s="96"/>
      <c r="I182" s="96"/>
      <c r="J182" s="96"/>
      <c r="K182" s="96"/>
      <c r="L182" s="96"/>
      <c r="M182" s="96"/>
      <c r="N182" s="96"/>
      <c r="O182" s="96"/>
      <c r="P182" s="96"/>
      <c r="Q182" s="96"/>
      <c r="R182" s="96"/>
      <c r="S182" s="96"/>
    </row>
    <row r="183" spans="1:19">
      <c r="A183" s="124"/>
      <c r="B183" s="125"/>
      <c r="C183" s="97"/>
      <c r="D183" s="97"/>
      <c r="E183" s="97"/>
      <c r="F183" s="96"/>
      <c r="G183" s="96"/>
      <c r="H183" s="96"/>
      <c r="I183" s="96"/>
      <c r="J183" s="96"/>
      <c r="K183" s="96"/>
      <c r="L183" s="96"/>
      <c r="M183" s="96"/>
      <c r="N183" s="96"/>
      <c r="O183" s="96"/>
      <c r="P183" s="96"/>
      <c r="Q183" s="96"/>
      <c r="R183" s="96"/>
      <c r="S183" s="96"/>
    </row>
    <row r="184" spans="1:19">
      <c r="A184" s="124"/>
      <c r="B184" s="125"/>
      <c r="C184" s="97"/>
      <c r="D184" s="97"/>
      <c r="E184" s="97"/>
      <c r="F184" s="96"/>
      <c r="G184" s="96"/>
      <c r="H184" s="96"/>
      <c r="I184" s="96"/>
      <c r="J184" s="96"/>
      <c r="K184" s="96"/>
      <c r="L184" s="96"/>
      <c r="M184" s="96"/>
      <c r="N184" s="96"/>
      <c r="O184" s="96"/>
      <c r="P184" s="96"/>
      <c r="Q184" s="96"/>
      <c r="R184" s="96"/>
      <c r="S184" s="96"/>
    </row>
    <row r="185" spans="1:19">
      <c r="A185" s="124"/>
      <c r="B185" s="125"/>
      <c r="C185" s="97"/>
      <c r="D185" s="97"/>
      <c r="E185" s="97"/>
      <c r="F185" s="96"/>
      <c r="G185" s="96"/>
      <c r="H185" s="96"/>
      <c r="I185" s="96"/>
      <c r="J185" s="96"/>
      <c r="K185" s="96"/>
      <c r="L185" s="96"/>
      <c r="M185" s="96"/>
      <c r="N185" s="96"/>
      <c r="O185" s="96"/>
      <c r="P185" s="96"/>
      <c r="Q185" s="96"/>
      <c r="R185" s="96"/>
      <c r="S185" s="96"/>
    </row>
    <row r="186" spans="1:19">
      <c r="A186" s="124"/>
      <c r="B186" s="125"/>
      <c r="C186" s="97"/>
      <c r="D186" s="97"/>
      <c r="E186" s="97"/>
      <c r="F186" s="96"/>
      <c r="G186" s="96"/>
      <c r="H186" s="96"/>
      <c r="I186" s="96"/>
      <c r="J186" s="96"/>
      <c r="K186" s="96"/>
      <c r="L186" s="96"/>
      <c r="M186" s="96"/>
      <c r="N186" s="96"/>
      <c r="O186" s="96"/>
      <c r="P186" s="96"/>
      <c r="Q186" s="96"/>
      <c r="R186" s="96"/>
      <c r="S186" s="96"/>
    </row>
    <row r="187" spans="1:19">
      <c r="A187" s="124"/>
      <c r="B187" s="125"/>
      <c r="C187" s="97"/>
      <c r="D187" s="97"/>
      <c r="E187" s="97"/>
      <c r="F187" s="96"/>
      <c r="G187" s="96"/>
      <c r="H187" s="96"/>
      <c r="I187" s="96"/>
      <c r="J187" s="96"/>
      <c r="K187" s="96"/>
      <c r="L187" s="96"/>
      <c r="M187" s="96"/>
      <c r="N187" s="96"/>
      <c r="O187" s="96"/>
      <c r="P187" s="96"/>
      <c r="Q187" s="96"/>
      <c r="R187" s="96"/>
      <c r="S187" s="96"/>
    </row>
    <row r="188" spans="1:19">
      <c r="A188" s="124"/>
      <c r="B188" s="125"/>
      <c r="C188" s="97"/>
      <c r="D188" s="97"/>
      <c r="E188" s="97"/>
      <c r="F188" s="96"/>
      <c r="G188" s="96"/>
      <c r="H188" s="96"/>
      <c r="I188" s="96"/>
      <c r="J188" s="96"/>
      <c r="K188" s="96"/>
      <c r="L188" s="96"/>
      <c r="M188" s="96"/>
      <c r="N188" s="96"/>
      <c r="O188" s="96"/>
      <c r="P188" s="96"/>
      <c r="Q188" s="96"/>
      <c r="R188" s="96"/>
      <c r="S188" s="96"/>
    </row>
    <row r="189" spans="1:19">
      <c r="A189" s="124"/>
      <c r="B189" s="125"/>
      <c r="C189" s="97"/>
      <c r="D189" s="97"/>
      <c r="E189" s="97"/>
      <c r="F189" s="96"/>
      <c r="G189" s="96"/>
      <c r="H189" s="96"/>
      <c r="I189" s="96"/>
      <c r="J189" s="96"/>
      <c r="K189" s="96"/>
      <c r="L189" s="96"/>
      <c r="M189" s="96"/>
      <c r="N189" s="96"/>
      <c r="O189" s="96"/>
      <c r="P189" s="96"/>
      <c r="Q189" s="96"/>
      <c r="R189" s="96"/>
      <c r="S189" s="96"/>
    </row>
    <row r="190" spans="1:19">
      <c r="A190" s="124"/>
      <c r="B190" s="125"/>
      <c r="C190" s="97"/>
      <c r="D190" s="97"/>
      <c r="E190" s="97"/>
      <c r="F190" s="96"/>
      <c r="G190" s="96"/>
      <c r="H190" s="96"/>
      <c r="I190" s="96"/>
      <c r="J190" s="96"/>
      <c r="K190" s="96"/>
      <c r="L190" s="96"/>
      <c r="M190" s="96"/>
      <c r="N190" s="96"/>
      <c r="O190" s="96"/>
      <c r="P190" s="96"/>
      <c r="Q190" s="96"/>
      <c r="R190" s="96"/>
      <c r="S190" s="96"/>
    </row>
    <row r="191" spans="1:19">
      <c r="A191" s="124"/>
      <c r="B191" s="125"/>
      <c r="C191" s="97"/>
      <c r="D191" s="97"/>
      <c r="E191" s="97"/>
      <c r="F191" s="96"/>
      <c r="G191" s="96"/>
      <c r="H191" s="96"/>
      <c r="I191" s="96"/>
      <c r="J191" s="96"/>
      <c r="K191" s="96"/>
      <c r="L191" s="96"/>
      <c r="M191" s="96"/>
      <c r="N191" s="96"/>
      <c r="O191" s="96"/>
      <c r="P191" s="96"/>
      <c r="Q191" s="96"/>
      <c r="R191" s="96"/>
      <c r="S191" s="96"/>
    </row>
    <row r="192" spans="1:19">
      <c r="A192" s="124"/>
      <c r="B192" s="125"/>
      <c r="C192" s="97"/>
      <c r="D192" s="97"/>
      <c r="E192" s="97"/>
      <c r="F192" s="96"/>
      <c r="G192" s="96"/>
      <c r="H192" s="96"/>
      <c r="I192" s="96"/>
      <c r="J192" s="96"/>
      <c r="K192" s="96"/>
      <c r="L192" s="96"/>
      <c r="M192" s="96"/>
      <c r="N192" s="96"/>
      <c r="O192" s="96"/>
      <c r="P192" s="96"/>
      <c r="Q192" s="96"/>
      <c r="R192" s="96"/>
      <c r="S192" s="96"/>
    </row>
    <row r="193" spans="1:19">
      <c r="A193" s="124"/>
      <c r="B193" s="125"/>
      <c r="C193" s="97"/>
      <c r="D193" s="97"/>
      <c r="E193" s="97"/>
      <c r="F193" s="96"/>
      <c r="G193" s="96"/>
      <c r="H193" s="96"/>
      <c r="I193" s="96"/>
      <c r="J193" s="96"/>
      <c r="K193" s="96"/>
      <c r="L193" s="96"/>
      <c r="M193" s="96"/>
      <c r="N193" s="96"/>
      <c r="O193" s="96"/>
      <c r="P193" s="96"/>
      <c r="Q193" s="96"/>
      <c r="R193" s="96"/>
      <c r="S193" s="96"/>
    </row>
    <row r="194" spans="1:19">
      <c r="A194" s="124"/>
      <c r="B194" s="125"/>
      <c r="C194" s="97"/>
      <c r="D194" s="97"/>
      <c r="E194" s="97"/>
      <c r="F194" s="96"/>
      <c r="G194" s="96"/>
      <c r="H194" s="96"/>
      <c r="I194" s="96"/>
      <c r="J194" s="96"/>
      <c r="K194" s="96"/>
      <c r="L194" s="96"/>
      <c r="M194" s="96"/>
      <c r="N194" s="96"/>
      <c r="O194" s="96"/>
      <c r="P194" s="96"/>
      <c r="Q194" s="96"/>
      <c r="R194" s="96"/>
      <c r="S194" s="96"/>
    </row>
    <row r="195" spans="1:19">
      <c r="A195" s="124"/>
      <c r="B195" s="125"/>
      <c r="C195" s="97"/>
      <c r="D195" s="97"/>
      <c r="E195" s="97"/>
      <c r="F195" s="96"/>
      <c r="G195" s="96"/>
      <c r="H195" s="96"/>
      <c r="I195" s="96"/>
      <c r="J195" s="96"/>
      <c r="K195" s="96"/>
      <c r="L195" s="96"/>
      <c r="M195" s="96"/>
      <c r="N195" s="96"/>
      <c r="O195" s="96"/>
      <c r="P195" s="96"/>
      <c r="Q195" s="96"/>
      <c r="R195" s="96"/>
      <c r="S195" s="96"/>
    </row>
    <row r="196" spans="1:19">
      <c r="A196" s="126"/>
      <c r="B196" s="127"/>
      <c r="C196" s="97"/>
      <c r="D196" s="97"/>
      <c r="E196" s="97"/>
      <c r="F196" s="96"/>
      <c r="G196" s="96"/>
      <c r="H196" s="96"/>
      <c r="I196" s="96"/>
      <c r="J196" s="96"/>
      <c r="K196" s="96"/>
      <c r="L196" s="96"/>
      <c r="M196" s="96"/>
      <c r="N196" s="96"/>
      <c r="O196" s="96"/>
      <c r="P196" s="96"/>
      <c r="Q196" s="96"/>
      <c r="R196" s="96"/>
      <c r="S196" s="96"/>
    </row>
    <row r="197" spans="1:19">
      <c r="A197" s="126"/>
      <c r="B197" s="127"/>
      <c r="C197" s="97"/>
      <c r="D197" s="97"/>
      <c r="E197" s="97"/>
      <c r="F197" s="96"/>
      <c r="G197" s="96"/>
      <c r="H197" s="96"/>
      <c r="I197" s="96"/>
      <c r="J197" s="96"/>
      <c r="K197" s="96"/>
      <c r="L197" s="96"/>
      <c r="M197" s="96"/>
      <c r="N197" s="96"/>
      <c r="O197" s="96"/>
      <c r="P197" s="96"/>
      <c r="Q197" s="96"/>
      <c r="R197" s="96"/>
      <c r="S197" s="96"/>
    </row>
    <row r="198" spans="1:19">
      <c r="A198" s="126"/>
      <c r="B198" s="127"/>
      <c r="C198" s="97"/>
      <c r="D198" s="97"/>
      <c r="E198" s="97"/>
      <c r="F198" s="96"/>
      <c r="G198" s="96"/>
      <c r="H198" s="96"/>
      <c r="I198" s="96"/>
      <c r="J198" s="96"/>
      <c r="K198" s="96"/>
      <c r="L198" s="96"/>
      <c r="M198" s="96"/>
      <c r="N198" s="96"/>
      <c r="O198" s="96"/>
      <c r="P198" s="96"/>
      <c r="Q198" s="96"/>
      <c r="R198" s="96"/>
      <c r="S198" s="96"/>
    </row>
    <row r="199" spans="1:19">
      <c r="A199" s="126"/>
      <c r="B199" s="127"/>
      <c r="C199" s="97"/>
      <c r="D199" s="97"/>
      <c r="E199" s="97"/>
      <c r="F199" s="96"/>
      <c r="G199" s="96"/>
      <c r="H199" s="96"/>
      <c r="I199" s="96"/>
      <c r="J199" s="96"/>
      <c r="K199" s="96"/>
      <c r="L199" s="96"/>
      <c r="M199" s="96"/>
      <c r="N199" s="96"/>
      <c r="O199" s="96"/>
      <c r="P199" s="96"/>
      <c r="Q199" s="96"/>
      <c r="R199" s="96"/>
      <c r="S199" s="96"/>
    </row>
    <row r="200" spans="1:19">
      <c r="A200" s="126"/>
      <c r="B200" s="127"/>
      <c r="C200" s="97"/>
      <c r="D200" s="97"/>
      <c r="E200" s="97"/>
      <c r="F200" s="96"/>
      <c r="G200" s="96"/>
      <c r="H200" s="96"/>
      <c r="I200" s="96"/>
      <c r="J200" s="96"/>
      <c r="K200" s="96"/>
      <c r="L200" s="96"/>
      <c r="M200" s="96"/>
      <c r="N200" s="96"/>
      <c r="O200" s="96"/>
      <c r="P200" s="96"/>
      <c r="Q200" s="96"/>
      <c r="R200" s="96"/>
      <c r="S200" s="96"/>
    </row>
    <row r="201" spans="1:19">
      <c r="A201" s="126"/>
      <c r="B201" s="127"/>
      <c r="C201" s="97"/>
      <c r="D201" s="97"/>
      <c r="E201" s="97"/>
      <c r="F201" s="96"/>
      <c r="G201" s="96"/>
      <c r="H201" s="96"/>
      <c r="I201" s="96"/>
      <c r="J201" s="96"/>
      <c r="K201" s="96"/>
      <c r="L201" s="96"/>
      <c r="M201" s="96"/>
      <c r="N201" s="96"/>
      <c r="O201" s="96"/>
      <c r="P201" s="96"/>
      <c r="Q201" s="96"/>
      <c r="R201" s="96"/>
      <c r="S201" s="96"/>
    </row>
    <row r="202" spans="1:19">
      <c r="A202" s="126"/>
      <c r="B202" s="127"/>
      <c r="C202" s="97"/>
      <c r="D202" s="97"/>
      <c r="E202" s="97"/>
      <c r="F202" s="96"/>
      <c r="G202" s="96"/>
      <c r="H202" s="96"/>
      <c r="I202" s="96"/>
      <c r="J202" s="96"/>
      <c r="K202" s="96"/>
      <c r="L202" s="96"/>
      <c r="M202" s="96"/>
      <c r="N202" s="96"/>
      <c r="O202" s="96"/>
      <c r="P202" s="96"/>
      <c r="Q202" s="96"/>
      <c r="R202" s="96"/>
      <c r="S202" s="96"/>
    </row>
    <row r="203" spans="1:19">
      <c r="A203" s="126"/>
      <c r="B203" s="127"/>
      <c r="C203" s="97"/>
      <c r="D203" s="97"/>
      <c r="E203" s="97"/>
      <c r="F203" s="96"/>
      <c r="G203" s="96"/>
      <c r="H203" s="96"/>
      <c r="I203" s="96"/>
      <c r="J203" s="96"/>
      <c r="K203" s="96"/>
      <c r="L203" s="96"/>
      <c r="M203" s="96"/>
      <c r="N203" s="96"/>
      <c r="O203" s="96"/>
      <c r="P203" s="96"/>
      <c r="Q203" s="96"/>
      <c r="R203" s="96"/>
      <c r="S203" s="96"/>
    </row>
    <row r="204" spans="1:19">
      <c r="A204" s="126"/>
      <c r="B204" s="127"/>
      <c r="C204" s="97"/>
      <c r="D204" s="97"/>
      <c r="E204" s="97"/>
      <c r="F204" s="96"/>
      <c r="G204" s="96"/>
      <c r="H204" s="96"/>
      <c r="I204" s="96"/>
      <c r="J204" s="96"/>
      <c r="K204" s="96"/>
      <c r="L204" s="96"/>
      <c r="M204" s="96"/>
      <c r="N204" s="96"/>
      <c r="O204" s="96"/>
      <c r="P204" s="96"/>
      <c r="Q204" s="96"/>
      <c r="R204" s="96"/>
      <c r="S204" s="96"/>
    </row>
    <row r="205" spans="1:19">
      <c r="A205" s="126"/>
      <c r="B205" s="127"/>
      <c r="C205" s="97"/>
      <c r="D205" s="97"/>
      <c r="E205" s="97"/>
      <c r="F205" s="96"/>
      <c r="G205" s="96"/>
      <c r="H205" s="96"/>
      <c r="I205" s="96"/>
      <c r="J205" s="96"/>
      <c r="K205" s="96"/>
      <c r="L205" s="96"/>
      <c r="M205" s="96"/>
      <c r="N205" s="96"/>
      <c r="O205" s="96"/>
      <c r="P205" s="96"/>
      <c r="Q205" s="96"/>
      <c r="R205" s="96"/>
      <c r="S205" s="96"/>
    </row>
    <row r="206" spans="1:19">
      <c r="A206" s="126"/>
      <c r="B206" s="127"/>
      <c r="C206" s="97"/>
      <c r="D206" s="97"/>
      <c r="E206" s="97"/>
      <c r="F206" s="96"/>
      <c r="G206" s="96"/>
      <c r="H206" s="96"/>
      <c r="I206" s="96"/>
      <c r="J206" s="96"/>
      <c r="K206" s="96"/>
      <c r="L206" s="96"/>
      <c r="M206" s="96"/>
      <c r="N206" s="96"/>
      <c r="O206" s="96"/>
      <c r="P206" s="96"/>
      <c r="Q206" s="96"/>
      <c r="R206" s="96"/>
      <c r="S206" s="96"/>
    </row>
    <row r="207" spans="1:19">
      <c r="A207" s="126"/>
      <c r="B207" s="127"/>
      <c r="C207" s="97"/>
      <c r="D207" s="97"/>
      <c r="E207" s="97"/>
      <c r="F207" s="96"/>
      <c r="G207" s="96"/>
      <c r="H207" s="96"/>
      <c r="I207" s="96"/>
      <c r="J207" s="96"/>
      <c r="K207" s="96"/>
      <c r="L207" s="96"/>
      <c r="M207" s="96"/>
      <c r="N207" s="96"/>
      <c r="O207" s="96"/>
      <c r="P207" s="96"/>
      <c r="Q207" s="96"/>
      <c r="R207" s="96"/>
      <c r="S207" s="96"/>
    </row>
    <row r="208" spans="1:19">
      <c r="A208" s="126"/>
      <c r="B208" s="127"/>
      <c r="C208" s="97"/>
      <c r="D208" s="97"/>
      <c r="E208" s="97"/>
      <c r="F208" s="96"/>
      <c r="G208" s="96"/>
      <c r="H208" s="96"/>
      <c r="I208" s="96"/>
      <c r="J208" s="96"/>
      <c r="K208" s="96"/>
      <c r="L208" s="96"/>
      <c r="M208" s="96"/>
      <c r="N208" s="96"/>
      <c r="O208" s="96"/>
      <c r="P208" s="96"/>
      <c r="Q208" s="96"/>
      <c r="R208" s="96"/>
      <c r="S208" s="96"/>
    </row>
    <row r="209" spans="1:19">
      <c r="A209" s="126"/>
      <c r="B209" s="127"/>
      <c r="C209" s="97"/>
      <c r="D209" s="97"/>
      <c r="E209" s="97"/>
      <c r="F209" s="96"/>
      <c r="G209" s="96"/>
      <c r="H209" s="96"/>
      <c r="I209" s="96"/>
      <c r="J209" s="96"/>
      <c r="K209" s="96"/>
      <c r="L209" s="96"/>
      <c r="M209" s="96"/>
      <c r="N209" s="96"/>
      <c r="O209" s="96"/>
      <c r="P209" s="96"/>
      <c r="Q209" s="96"/>
      <c r="R209" s="96"/>
      <c r="S209" s="96"/>
    </row>
    <row r="210" spans="1:19">
      <c r="A210" s="126"/>
      <c r="B210" s="127"/>
      <c r="C210" s="97"/>
      <c r="D210" s="97"/>
      <c r="E210" s="97"/>
      <c r="F210" s="96"/>
      <c r="G210" s="96"/>
      <c r="H210" s="96"/>
      <c r="I210" s="96"/>
      <c r="J210" s="96"/>
      <c r="K210" s="96"/>
      <c r="L210" s="96"/>
      <c r="M210" s="96"/>
      <c r="N210" s="96"/>
      <c r="O210" s="96"/>
      <c r="P210" s="96"/>
      <c r="Q210" s="96"/>
      <c r="R210" s="96"/>
      <c r="S210" s="96"/>
    </row>
    <row r="211" spans="1:19">
      <c r="A211" s="126"/>
      <c r="B211" s="127"/>
      <c r="C211" s="97"/>
      <c r="D211" s="97"/>
      <c r="E211" s="97"/>
      <c r="F211" s="96"/>
      <c r="G211" s="96"/>
      <c r="H211" s="96"/>
      <c r="I211" s="96"/>
      <c r="J211" s="96"/>
      <c r="K211" s="96"/>
      <c r="L211" s="96"/>
      <c r="M211" s="96"/>
      <c r="N211" s="96"/>
      <c r="O211" s="96"/>
      <c r="P211" s="96"/>
      <c r="Q211" s="96"/>
      <c r="R211" s="96"/>
      <c r="S211" s="96"/>
    </row>
    <row r="212" spans="1:19">
      <c r="A212" s="126"/>
      <c r="B212" s="127"/>
      <c r="C212" s="97"/>
      <c r="D212" s="97"/>
      <c r="E212" s="97"/>
      <c r="F212" s="96"/>
      <c r="G212" s="96"/>
      <c r="H212" s="96"/>
      <c r="I212" s="96"/>
      <c r="J212" s="96"/>
      <c r="K212" s="96"/>
      <c r="L212" s="96"/>
      <c r="M212" s="96"/>
      <c r="N212" s="96"/>
      <c r="O212" s="96"/>
      <c r="P212" s="96"/>
      <c r="Q212" s="96"/>
      <c r="R212" s="96"/>
      <c r="S212" s="96"/>
    </row>
    <row r="213" spans="1:19">
      <c r="A213" s="126"/>
      <c r="B213" s="127"/>
      <c r="C213" s="97"/>
      <c r="D213" s="97"/>
      <c r="E213" s="97"/>
      <c r="F213" s="96"/>
      <c r="G213" s="96"/>
      <c r="H213" s="96"/>
      <c r="I213" s="96"/>
      <c r="J213" s="96"/>
      <c r="K213" s="96"/>
      <c r="L213" s="96"/>
      <c r="M213" s="96"/>
      <c r="N213" s="96"/>
      <c r="O213" s="96"/>
      <c r="P213" s="96"/>
      <c r="Q213" s="96"/>
      <c r="R213" s="96"/>
      <c r="S213" s="96"/>
    </row>
    <row r="214" spans="1:19">
      <c r="A214" s="126"/>
      <c r="B214" s="127"/>
      <c r="C214" s="97"/>
      <c r="D214" s="97"/>
      <c r="E214" s="97"/>
      <c r="F214" s="96"/>
      <c r="G214" s="96"/>
      <c r="H214" s="96"/>
      <c r="I214" s="96"/>
      <c r="J214" s="96"/>
      <c r="K214" s="96"/>
      <c r="L214" s="96"/>
      <c r="M214" s="96"/>
      <c r="N214" s="96"/>
      <c r="O214" s="96"/>
      <c r="P214" s="96"/>
      <c r="Q214" s="96"/>
      <c r="R214" s="96"/>
      <c r="S214" s="96"/>
    </row>
    <row r="215" spans="1:19">
      <c r="A215" s="126"/>
      <c r="B215" s="127"/>
      <c r="C215" s="97"/>
      <c r="D215" s="97"/>
      <c r="E215" s="97"/>
      <c r="F215" s="96"/>
      <c r="G215" s="96"/>
      <c r="H215" s="96"/>
      <c r="I215" s="96"/>
      <c r="J215" s="96"/>
      <c r="K215" s="96"/>
      <c r="L215" s="96"/>
      <c r="M215" s="96"/>
      <c r="N215" s="96"/>
      <c r="O215" s="96"/>
      <c r="P215" s="96"/>
      <c r="Q215" s="96"/>
      <c r="R215" s="96"/>
      <c r="S215" s="96"/>
    </row>
    <row r="216" spans="1:19">
      <c r="A216" s="126"/>
      <c r="B216" s="127"/>
      <c r="C216" s="97"/>
      <c r="D216" s="97"/>
      <c r="E216" s="97"/>
      <c r="F216" s="96"/>
      <c r="G216" s="96"/>
      <c r="H216" s="96"/>
      <c r="I216" s="96"/>
      <c r="J216" s="96"/>
      <c r="K216" s="96"/>
      <c r="L216" s="96"/>
      <c r="M216" s="96"/>
      <c r="N216" s="96"/>
      <c r="O216" s="96"/>
      <c r="P216" s="96"/>
      <c r="Q216" s="96"/>
      <c r="R216" s="96"/>
      <c r="S216" s="96"/>
    </row>
    <row r="217" spans="1:19">
      <c r="A217" s="126"/>
      <c r="B217" s="127"/>
      <c r="C217" s="97"/>
      <c r="D217" s="97"/>
      <c r="E217" s="97"/>
      <c r="F217" s="96"/>
      <c r="G217" s="96"/>
      <c r="H217" s="96"/>
      <c r="I217" s="96"/>
      <c r="J217" s="96"/>
      <c r="K217" s="96"/>
      <c r="L217" s="96"/>
      <c r="M217" s="96"/>
      <c r="N217" s="96"/>
      <c r="O217" s="96"/>
      <c r="P217" s="96"/>
      <c r="Q217" s="96"/>
      <c r="R217" s="96"/>
      <c r="S217" s="96"/>
    </row>
    <row r="218" spans="1:19">
      <c r="A218" s="126"/>
      <c r="B218" s="127"/>
      <c r="C218" s="97"/>
      <c r="D218" s="97"/>
      <c r="E218" s="97"/>
      <c r="F218" s="96"/>
      <c r="G218" s="96"/>
      <c r="H218" s="96"/>
      <c r="I218" s="96"/>
      <c r="J218" s="96"/>
      <c r="K218" s="96"/>
      <c r="L218" s="96"/>
      <c r="M218" s="96"/>
      <c r="N218" s="96"/>
      <c r="O218" s="96"/>
      <c r="P218" s="96"/>
      <c r="Q218" s="96"/>
      <c r="R218" s="96"/>
      <c r="S218" s="96"/>
    </row>
    <row r="219" spans="1:19">
      <c r="A219" s="126"/>
      <c r="B219" s="127"/>
      <c r="C219" s="97"/>
      <c r="D219" s="97"/>
      <c r="E219" s="97"/>
      <c r="F219" s="96"/>
      <c r="G219" s="96"/>
      <c r="H219" s="96"/>
      <c r="I219" s="96"/>
      <c r="J219" s="96"/>
      <c r="K219" s="96"/>
      <c r="L219" s="96"/>
      <c r="M219" s="96"/>
      <c r="N219" s="96"/>
      <c r="O219" s="96"/>
      <c r="P219" s="96"/>
      <c r="Q219" s="96"/>
      <c r="R219" s="96"/>
      <c r="S219" s="96"/>
    </row>
    <row r="220" spans="1:19">
      <c r="A220" s="126"/>
      <c r="B220" s="127"/>
      <c r="C220" s="97"/>
      <c r="D220" s="97"/>
      <c r="E220" s="97"/>
      <c r="F220" s="96"/>
      <c r="G220" s="96"/>
      <c r="H220" s="96"/>
      <c r="I220" s="96"/>
      <c r="J220" s="96"/>
      <c r="K220" s="96"/>
      <c r="L220" s="96"/>
      <c r="M220" s="96"/>
      <c r="N220" s="96"/>
      <c r="O220" s="96"/>
      <c r="P220" s="96"/>
      <c r="Q220" s="96"/>
      <c r="R220" s="96"/>
      <c r="S220" s="96"/>
    </row>
    <row r="221" spans="1:19">
      <c r="A221" s="126"/>
      <c r="B221" s="127"/>
      <c r="C221" s="97"/>
      <c r="D221" s="97"/>
      <c r="E221" s="97"/>
      <c r="F221" s="96"/>
      <c r="G221" s="96"/>
      <c r="H221" s="96"/>
      <c r="I221" s="96"/>
      <c r="J221" s="96"/>
      <c r="K221" s="96"/>
      <c r="L221" s="96"/>
      <c r="M221" s="96"/>
      <c r="N221" s="96"/>
      <c r="O221" s="96"/>
      <c r="P221" s="96"/>
      <c r="Q221" s="96"/>
      <c r="R221" s="96"/>
      <c r="S221" s="96"/>
    </row>
    <row r="222" spans="1:19">
      <c r="A222" s="126"/>
      <c r="B222" s="127"/>
      <c r="C222" s="97"/>
      <c r="D222" s="97"/>
      <c r="E222" s="97"/>
      <c r="F222" s="96"/>
      <c r="G222" s="96"/>
      <c r="H222" s="96"/>
      <c r="I222" s="96"/>
      <c r="J222" s="96"/>
      <c r="K222" s="96"/>
      <c r="L222" s="96"/>
      <c r="M222" s="96"/>
      <c r="N222" s="96"/>
      <c r="O222" s="96"/>
      <c r="P222" s="96"/>
      <c r="Q222" s="96"/>
      <c r="R222" s="96"/>
      <c r="S222" s="96"/>
    </row>
    <row r="223" spans="1:19">
      <c r="A223" s="126"/>
      <c r="B223" s="127"/>
      <c r="C223" s="97"/>
      <c r="D223" s="97"/>
      <c r="E223" s="97"/>
      <c r="F223" s="96"/>
      <c r="G223" s="96"/>
      <c r="H223" s="96"/>
      <c r="I223" s="96"/>
      <c r="J223" s="96"/>
      <c r="K223" s="96"/>
      <c r="L223" s="96"/>
      <c r="M223" s="96"/>
      <c r="N223" s="96"/>
      <c r="O223" s="96"/>
      <c r="P223" s="96"/>
      <c r="Q223" s="96"/>
      <c r="R223" s="96"/>
      <c r="S223" s="96"/>
    </row>
    <row r="224" spans="1:19">
      <c r="A224" s="126"/>
      <c r="B224" s="127"/>
      <c r="C224" s="97"/>
      <c r="D224" s="97"/>
      <c r="E224" s="97"/>
      <c r="F224" s="96"/>
      <c r="G224" s="96"/>
      <c r="H224" s="96"/>
      <c r="I224" s="96"/>
      <c r="J224" s="96"/>
      <c r="K224" s="96"/>
      <c r="L224" s="96"/>
      <c r="M224" s="96"/>
      <c r="N224" s="96"/>
      <c r="O224" s="96"/>
      <c r="P224" s="96"/>
      <c r="Q224" s="96"/>
      <c r="R224" s="96"/>
      <c r="S224" s="96"/>
    </row>
    <row r="225" spans="1:19">
      <c r="A225" s="126"/>
      <c r="B225" s="127"/>
      <c r="C225" s="97"/>
      <c r="D225" s="97"/>
      <c r="E225" s="97"/>
      <c r="F225" s="96"/>
      <c r="G225" s="96"/>
      <c r="H225" s="96"/>
      <c r="I225" s="96"/>
      <c r="J225" s="96"/>
      <c r="K225" s="96"/>
      <c r="L225" s="96"/>
      <c r="M225" s="96"/>
      <c r="N225" s="96"/>
      <c r="O225" s="96"/>
      <c r="P225" s="96"/>
      <c r="Q225" s="96"/>
      <c r="R225" s="96"/>
      <c r="S225" s="96"/>
    </row>
    <row r="226" spans="1:19">
      <c r="A226" s="126"/>
      <c r="B226" s="127"/>
      <c r="C226" s="97"/>
      <c r="D226" s="97"/>
      <c r="E226" s="97"/>
      <c r="F226" s="96"/>
      <c r="G226" s="96"/>
      <c r="H226" s="96"/>
      <c r="I226" s="96"/>
      <c r="J226" s="96"/>
      <c r="K226" s="96"/>
      <c r="L226" s="96"/>
      <c r="M226" s="96"/>
      <c r="N226" s="96"/>
      <c r="O226" s="96"/>
      <c r="P226" s="96"/>
      <c r="Q226" s="96"/>
      <c r="R226" s="96"/>
      <c r="S226" s="96"/>
    </row>
    <row r="227" spans="1:19">
      <c r="A227" s="126"/>
      <c r="B227" s="127"/>
      <c r="C227" s="97"/>
      <c r="D227" s="97"/>
      <c r="E227" s="97"/>
      <c r="F227" s="96"/>
      <c r="G227" s="96"/>
      <c r="H227" s="96"/>
      <c r="I227" s="96"/>
      <c r="J227" s="96"/>
      <c r="K227" s="96"/>
      <c r="L227" s="96"/>
      <c r="M227" s="96"/>
      <c r="N227" s="96"/>
      <c r="O227" s="96"/>
      <c r="P227" s="96"/>
      <c r="Q227" s="96"/>
      <c r="R227" s="96"/>
      <c r="S227" s="96"/>
    </row>
    <row r="228" spans="1:19">
      <c r="A228" s="126"/>
      <c r="B228" s="127"/>
      <c r="C228" s="97"/>
      <c r="D228" s="97"/>
      <c r="E228" s="97"/>
      <c r="F228" s="96"/>
      <c r="G228" s="96"/>
      <c r="H228" s="96"/>
      <c r="I228" s="96"/>
      <c r="J228" s="96"/>
      <c r="K228" s="96"/>
      <c r="L228" s="96"/>
      <c r="M228" s="96"/>
      <c r="N228" s="96"/>
      <c r="O228" s="96"/>
      <c r="P228" s="96"/>
      <c r="Q228" s="96"/>
      <c r="R228" s="96"/>
      <c r="S228" s="96"/>
    </row>
    <row r="229" spans="1:19">
      <c r="A229" s="126"/>
      <c r="B229" s="127"/>
      <c r="C229" s="97"/>
      <c r="D229" s="97"/>
      <c r="E229" s="97"/>
      <c r="F229" s="96"/>
      <c r="G229" s="96"/>
      <c r="H229" s="96"/>
      <c r="I229" s="96"/>
      <c r="J229" s="96"/>
      <c r="K229" s="96"/>
      <c r="L229" s="96"/>
      <c r="M229" s="96"/>
      <c r="N229" s="96"/>
      <c r="O229" s="96"/>
      <c r="P229" s="96"/>
      <c r="Q229" s="96"/>
      <c r="R229" s="96"/>
      <c r="S229" s="96"/>
    </row>
    <row r="230" spans="1:19">
      <c r="A230" s="126"/>
      <c r="B230" s="127"/>
      <c r="C230" s="97"/>
      <c r="D230" s="97"/>
      <c r="E230" s="97"/>
      <c r="F230" s="96"/>
      <c r="G230" s="96"/>
      <c r="H230" s="96"/>
      <c r="I230" s="96"/>
      <c r="J230" s="96"/>
      <c r="K230" s="96"/>
      <c r="L230" s="96"/>
      <c r="M230" s="96"/>
      <c r="N230" s="96"/>
      <c r="O230" s="96"/>
      <c r="P230" s="96"/>
      <c r="Q230" s="96"/>
      <c r="R230" s="96"/>
      <c r="S230" s="96"/>
    </row>
    <row r="231" spans="1:19">
      <c r="A231" s="126"/>
      <c r="B231" s="127"/>
      <c r="C231" s="97"/>
      <c r="D231" s="97"/>
      <c r="E231" s="97"/>
      <c r="F231" s="96"/>
      <c r="G231" s="96"/>
      <c r="H231" s="96"/>
      <c r="I231" s="96"/>
      <c r="J231" s="96"/>
      <c r="K231" s="96"/>
      <c r="L231" s="96"/>
      <c r="M231" s="96"/>
      <c r="N231" s="96"/>
      <c r="O231" s="96"/>
      <c r="P231" s="96"/>
      <c r="Q231" s="96"/>
      <c r="R231" s="96"/>
      <c r="S231" s="96"/>
    </row>
    <row r="232" spans="1:19">
      <c r="A232" s="126"/>
      <c r="B232" s="127"/>
      <c r="C232" s="97"/>
      <c r="D232" s="97"/>
      <c r="E232" s="97"/>
      <c r="F232" s="96"/>
      <c r="G232" s="96"/>
      <c r="H232" s="96"/>
      <c r="I232" s="96"/>
      <c r="J232" s="96"/>
      <c r="K232" s="96"/>
      <c r="L232" s="96"/>
      <c r="M232" s="96"/>
      <c r="N232" s="96"/>
      <c r="O232" s="96"/>
      <c r="P232" s="96"/>
      <c r="Q232" s="96"/>
      <c r="R232" s="96"/>
      <c r="S232" s="96"/>
    </row>
    <row r="233" spans="1:19">
      <c r="A233" s="126"/>
      <c r="B233" s="127"/>
      <c r="C233" s="97"/>
      <c r="D233" s="97"/>
      <c r="E233" s="97"/>
      <c r="F233" s="96"/>
      <c r="G233" s="96"/>
      <c r="H233" s="96"/>
      <c r="I233" s="96"/>
      <c r="J233" s="96"/>
      <c r="K233" s="96"/>
      <c r="L233" s="96"/>
      <c r="M233" s="96"/>
      <c r="N233" s="96"/>
      <c r="O233" s="96"/>
      <c r="P233" s="96"/>
      <c r="Q233" s="96"/>
      <c r="R233" s="96"/>
      <c r="S233" s="96"/>
    </row>
    <row r="234" spans="1:19">
      <c r="A234" s="126"/>
      <c r="B234" s="127"/>
      <c r="C234" s="97"/>
      <c r="D234" s="97"/>
      <c r="E234" s="97"/>
      <c r="F234" s="96"/>
      <c r="G234" s="96"/>
      <c r="H234" s="96"/>
      <c r="I234" s="96"/>
      <c r="J234" s="96"/>
      <c r="K234" s="96"/>
      <c r="L234" s="96"/>
      <c r="M234" s="96"/>
      <c r="N234" s="96"/>
      <c r="O234" s="96"/>
      <c r="P234" s="96"/>
      <c r="Q234" s="96"/>
      <c r="R234" s="96"/>
      <c r="S234" s="96"/>
    </row>
    <row r="235" spans="1:19">
      <c r="A235" s="126"/>
      <c r="B235" s="127"/>
      <c r="C235" s="97"/>
      <c r="D235" s="97"/>
      <c r="E235" s="97"/>
      <c r="F235" s="96"/>
      <c r="G235" s="96"/>
      <c r="H235" s="96"/>
      <c r="I235" s="96"/>
      <c r="J235" s="96"/>
      <c r="K235" s="96"/>
      <c r="L235" s="96"/>
      <c r="M235" s="96"/>
      <c r="N235" s="96"/>
      <c r="O235" s="96"/>
      <c r="P235" s="96"/>
      <c r="Q235" s="96"/>
      <c r="R235" s="96"/>
      <c r="S235" s="96"/>
    </row>
    <row r="236" spans="1:19">
      <c r="A236" s="126"/>
      <c r="B236" s="127"/>
      <c r="C236" s="97"/>
      <c r="D236" s="97"/>
      <c r="E236" s="97"/>
      <c r="F236" s="96"/>
      <c r="G236" s="96"/>
      <c r="H236" s="96"/>
      <c r="I236" s="96"/>
      <c r="J236" s="96"/>
      <c r="K236" s="96"/>
      <c r="L236" s="96"/>
      <c r="M236" s="96"/>
      <c r="N236" s="96"/>
      <c r="O236" s="96"/>
      <c r="P236" s="96"/>
      <c r="Q236" s="96"/>
      <c r="R236" s="96"/>
      <c r="S236" s="96"/>
    </row>
    <row r="237" spans="1:19">
      <c r="A237" s="126"/>
      <c r="B237" s="127"/>
      <c r="C237" s="97"/>
      <c r="D237" s="97"/>
      <c r="E237" s="97"/>
      <c r="F237" s="96"/>
      <c r="G237" s="96"/>
      <c r="H237" s="96"/>
      <c r="I237" s="96"/>
      <c r="J237" s="96"/>
      <c r="K237" s="96"/>
      <c r="L237" s="96"/>
      <c r="M237" s="96"/>
      <c r="N237" s="96"/>
      <c r="O237" s="96"/>
      <c r="P237" s="96"/>
      <c r="Q237" s="96"/>
      <c r="R237" s="96"/>
      <c r="S237" s="96"/>
    </row>
    <row r="238" spans="1:19">
      <c r="A238" s="126"/>
      <c r="B238" s="127"/>
      <c r="C238" s="97"/>
      <c r="D238" s="97"/>
      <c r="E238" s="97"/>
      <c r="F238" s="96"/>
      <c r="G238" s="96"/>
      <c r="H238" s="96"/>
      <c r="I238" s="96"/>
      <c r="J238" s="96"/>
      <c r="K238" s="96"/>
      <c r="L238" s="96"/>
      <c r="M238" s="96"/>
      <c r="N238" s="96"/>
      <c r="O238" s="96"/>
      <c r="P238" s="96"/>
      <c r="Q238" s="96"/>
      <c r="R238" s="96"/>
      <c r="S238" s="96"/>
    </row>
    <row r="239" spans="1:19">
      <c r="A239" s="126"/>
      <c r="B239" s="127"/>
      <c r="C239" s="97"/>
      <c r="D239" s="97"/>
      <c r="E239" s="97"/>
      <c r="F239" s="96"/>
      <c r="G239" s="96"/>
      <c r="H239" s="96"/>
      <c r="I239" s="96"/>
      <c r="J239" s="96"/>
      <c r="K239" s="96"/>
      <c r="L239" s="96"/>
      <c r="M239" s="96"/>
      <c r="N239" s="96"/>
      <c r="O239" s="96"/>
      <c r="P239" s="96"/>
      <c r="Q239" s="96"/>
      <c r="R239" s="96"/>
      <c r="S239" s="96"/>
    </row>
    <row r="240" spans="1:19">
      <c r="A240" s="126"/>
      <c r="B240" s="127"/>
      <c r="C240" s="97"/>
      <c r="D240" s="97"/>
      <c r="E240" s="97"/>
      <c r="F240" s="96"/>
      <c r="G240" s="96"/>
      <c r="H240" s="96"/>
      <c r="I240" s="96"/>
      <c r="J240" s="96"/>
      <c r="K240" s="96"/>
      <c r="L240" s="96"/>
      <c r="M240" s="96"/>
      <c r="N240" s="96"/>
      <c r="O240" s="96"/>
      <c r="P240" s="96"/>
      <c r="Q240" s="96"/>
      <c r="R240" s="96"/>
      <c r="S240" s="96"/>
    </row>
    <row r="241" spans="1:19">
      <c r="A241" s="126"/>
      <c r="B241" s="127"/>
      <c r="C241" s="97"/>
      <c r="D241" s="97"/>
      <c r="E241" s="97"/>
      <c r="F241" s="96"/>
      <c r="G241" s="96"/>
      <c r="H241" s="96"/>
      <c r="I241" s="96"/>
      <c r="J241" s="96"/>
      <c r="K241" s="96"/>
      <c r="L241" s="96"/>
      <c r="M241" s="96"/>
      <c r="N241" s="96"/>
      <c r="O241" s="96"/>
      <c r="P241" s="96"/>
      <c r="Q241" s="96"/>
      <c r="R241" s="96"/>
      <c r="S241" s="96"/>
    </row>
    <row r="242" spans="1:19">
      <c r="A242" s="126"/>
      <c r="B242" s="127"/>
      <c r="C242" s="97"/>
      <c r="D242" s="97"/>
      <c r="E242" s="97"/>
      <c r="F242" s="96"/>
      <c r="G242" s="96"/>
      <c r="H242" s="96"/>
      <c r="I242" s="96"/>
      <c r="J242" s="96"/>
      <c r="K242" s="96"/>
      <c r="L242" s="96"/>
      <c r="M242" s="96"/>
      <c r="N242" s="96"/>
      <c r="O242" s="96"/>
      <c r="P242" s="96"/>
      <c r="Q242" s="96"/>
      <c r="R242" s="96"/>
      <c r="S242" s="96"/>
    </row>
    <row r="243" spans="1:19">
      <c r="A243" s="126"/>
      <c r="B243" s="127"/>
      <c r="C243" s="97"/>
      <c r="D243" s="97"/>
      <c r="E243" s="97"/>
      <c r="F243" s="96"/>
      <c r="G243" s="96"/>
      <c r="H243" s="96"/>
      <c r="I243" s="96"/>
      <c r="J243" s="96"/>
      <c r="K243" s="96"/>
      <c r="L243" s="96"/>
      <c r="M243" s="96"/>
      <c r="N243" s="96"/>
      <c r="O243" s="96"/>
      <c r="P243" s="96"/>
      <c r="Q243" s="96"/>
      <c r="R243" s="96"/>
      <c r="S243" s="96"/>
    </row>
    <row r="244" spans="1:19">
      <c r="A244" s="126"/>
      <c r="B244" s="127"/>
      <c r="C244" s="97"/>
      <c r="D244" s="97"/>
      <c r="E244" s="97"/>
      <c r="F244" s="96"/>
      <c r="G244" s="96"/>
      <c r="H244" s="96"/>
      <c r="I244" s="96"/>
      <c r="J244" s="96"/>
      <c r="K244" s="96"/>
      <c r="L244" s="96"/>
      <c r="M244" s="96"/>
      <c r="N244" s="96"/>
      <c r="O244" s="96"/>
      <c r="P244" s="96"/>
      <c r="Q244" s="96"/>
      <c r="R244" s="96"/>
      <c r="S244" s="96"/>
    </row>
    <row r="245" spans="1:19">
      <c r="A245" s="126"/>
      <c r="B245" s="127"/>
      <c r="C245" s="97"/>
      <c r="D245" s="97"/>
      <c r="E245" s="97"/>
      <c r="F245" s="96"/>
      <c r="G245" s="96"/>
      <c r="H245" s="96"/>
      <c r="I245" s="96"/>
      <c r="J245" s="96"/>
      <c r="K245" s="96"/>
      <c r="L245" s="96"/>
      <c r="M245" s="96"/>
      <c r="N245" s="96"/>
      <c r="O245" s="96"/>
      <c r="P245" s="96"/>
      <c r="Q245" s="96"/>
      <c r="R245" s="96"/>
      <c r="S245" s="96"/>
    </row>
    <row r="246" spans="1:19">
      <c r="A246" s="126"/>
      <c r="B246" s="127"/>
      <c r="C246" s="97"/>
      <c r="D246" s="97"/>
      <c r="E246" s="97"/>
      <c r="F246" s="96"/>
      <c r="G246" s="96"/>
      <c r="H246" s="96"/>
      <c r="I246" s="96"/>
      <c r="J246" s="96"/>
      <c r="K246" s="96"/>
      <c r="L246" s="96"/>
      <c r="M246" s="96"/>
      <c r="N246" s="96"/>
      <c r="O246" s="96"/>
      <c r="P246" s="96"/>
      <c r="Q246" s="96"/>
      <c r="R246" s="96"/>
      <c r="S246" s="96"/>
    </row>
    <row r="247" spans="1:19">
      <c r="A247" s="126"/>
      <c r="B247" s="127"/>
      <c r="C247" s="97"/>
      <c r="D247" s="97"/>
      <c r="E247" s="97"/>
      <c r="F247" s="96"/>
      <c r="G247" s="96"/>
      <c r="H247" s="96"/>
      <c r="I247" s="96"/>
      <c r="J247" s="96"/>
      <c r="K247" s="96"/>
      <c r="L247" s="96"/>
      <c r="M247" s="96"/>
      <c r="N247" s="96"/>
      <c r="O247" s="96"/>
      <c r="P247" s="96"/>
      <c r="Q247" s="96"/>
      <c r="R247" s="96"/>
      <c r="S247" s="96"/>
    </row>
    <row r="248" spans="1:19">
      <c r="A248" s="126"/>
      <c r="B248" s="127"/>
      <c r="C248" s="97"/>
      <c r="D248" s="97"/>
      <c r="E248" s="97"/>
      <c r="F248" s="96"/>
      <c r="G248" s="96"/>
      <c r="H248" s="96"/>
      <c r="I248" s="96"/>
      <c r="J248" s="96"/>
      <c r="K248" s="96"/>
      <c r="L248" s="96"/>
      <c r="M248" s="96"/>
      <c r="N248" s="96"/>
      <c r="O248" s="96"/>
      <c r="P248" s="96"/>
      <c r="Q248" s="96"/>
      <c r="R248" s="96"/>
      <c r="S248" s="96"/>
    </row>
    <row r="249" spans="1:19">
      <c r="A249" s="126"/>
      <c r="B249" s="127"/>
      <c r="C249" s="97"/>
      <c r="D249" s="97"/>
      <c r="E249" s="97"/>
      <c r="F249" s="96"/>
      <c r="G249" s="96"/>
      <c r="H249" s="96"/>
      <c r="I249" s="96"/>
      <c r="J249" s="96"/>
      <c r="K249" s="96"/>
      <c r="L249" s="96"/>
      <c r="M249" s="96"/>
      <c r="N249" s="96"/>
      <c r="O249" s="96"/>
      <c r="P249" s="96"/>
      <c r="Q249" s="96"/>
      <c r="R249" s="96"/>
      <c r="S249" s="96"/>
    </row>
    <row r="250" spans="1:19">
      <c r="A250" s="126"/>
      <c r="B250" s="127"/>
      <c r="C250" s="97"/>
      <c r="D250" s="97"/>
      <c r="E250" s="97"/>
      <c r="F250" s="96"/>
      <c r="G250" s="96"/>
      <c r="H250" s="96"/>
      <c r="I250" s="96"/>
      <c r="J250" s="96"/>
      <c r="K250" s="96"/>
      <c r="L250" s="96"/>
      <c r="M250" s="96"/>
      <c r="N250" s="96"/>
      <c r="O250" s="96"/>
      <c r="P250" s="96"/>
      <c r="Q250" s="96"/>
      <c r="R250" s="96"/>
      <c r="S250" s="96"/>
    </row>
    <row r="251" spans="1:19">
      <c r="A251" s="126"/>
      <c r="B251" s="127"/>
      <c r="C251" s="97"/>
      <c r="D251" s="97"/>
      <c r="E251" s="97"/>
      <c r="F251" s="96"/>
      <c r="G251" s="96"/>
      <c r="H251" s="96"/>
      <c r="I251" s="96"/>
      <c r="J251" s="96"/>
      <c r="K251" s="96"/>
      <c r="L251" s="96"/>
      <c r="M251" s="96"/>
      <c r="N251" s="96"/>
      <c r="O251" s="96"/>
      <c r="P251" s="96"/>
      <c r="Q251" s="96"/>
      <c r="R251" s="96"/>
      <c r="S251" s="96"/>
    </row>
    <row r="252" spans="1:19">
      <c r="A252" s="126"/>
      <c r="B252" s="127"/>
      <c r="C252" s="97"/>
      <c r="D252" s="97"/>
      <c r="E252" s="97"/>
      <c r="F252" s="96"/>
      <c r="G252" s="96"/>
      <c r="H252" s="96"/>
      <c r="I252" s="96"/>
      <c r="J252" s="96"/>
      <c r="K252" s="96"/>
      <c r="L252" s="96"/>
      <c r="M252" s="96"/>
      <c r="N252" s="96"/>
      <c r="O252" s="96"/>
      <c r="P252" s="96"/>
      <c r="Q252" s="96"/>
      <c r="R252" s="96"/>
      <c r="S252" s="96"/>
    </row>
    <row r="253" spans="1:19">
      <c r="A253" s="126"/>
      <c r="B253" s="127"/>
      <c r="C253" s="97"/>
      <c r="D253" s="97"/>
      <c r="E253" s="97"/>
      <c r="F253" s="96"/>
      <c r="G253" s="96"/>
      <c r="H253" s="96"/>
      <c r="I253" s="96"/>
      <c r="J253" s="96"/>
      <c r="K253" s="96"/>
      <c r="L253" s="96"/>
      <c r="M253" s="96"/>
      <c r="N253" s="96"/>
      <c r="O253" s="96"/>
      <c r="P253" s="96"/>
      <c r="Q253" s="96"/>
      <c r="R253" s="96"/>
      <c r="S253" s="96"/>
    </row>
    <row r="254" spans="1:19">
      <c r="A254" s="126"/>
      <c r="B254" s="127"/>
      <c r="C254" s="97"/>
      <c r="D254" s="97"/>
      <c r="E254" s="97"/>
      <c r="F254" s="96"/>
      <c r="G254" s="96"/>
      <c r="H254" s="96"/>
      <c r="I254" s="96"/>
      <c r="J254" s="96"/>
      <c r="K254" s="96"/>
      <c r="L254" s="96"/>
      <c r="M254" s="96"/>
      <c r="N254" s="96"/>
      <c r="O254" s="96"/>
      <c r="P254" s="96"/>
      <c r="Q254" s="96"/>
      <c r="R254" s="96"/>
      <c r="S254" s="96"/>
    </row>
    <row r="255" spans="1:19">
      <c r="A255" s="126"/>
      <c r="B255" s="127"/>
      <c r="C255" s="97"/>
      <c r="D255" s="97"/>
      <c r="E255" s="97"/>
      <c r="F255" s="96"/>
      <c r="G255" s="96"/>
      <c r="H255" s="96"/>
      <c r="I255" s="96"/>
      <c r="J255" s="96"/>
      <c r="K255" s="96"/>
      <c r="L255" s="96"/>
      <c r="M255" s="96"/>
      <c r="N255" s="96"/>
      <c r="O255" s="96"/>
      <c r="P255" s="96"/>
      <c r="Q255" s="96"/>
      <c r="R255" s="96"/>
      <c r="S255" s="96"/>
    </row>
    <row r="256" spans="1:19">
      <c r="A256" s="126"/>
      <c r="B256" s="127"/>
      <c r="C256" s="97"/>
      <c r="D256" s="97"/>
      <c r="E256" s="97"/>
      <c r="F256" s="96"/>
      <c r="G256" s="96"/>
      <c r="H256" s="96"/>
      <c r="I256" s="96"/>
      <c r="J256" s="96"/>
      <c r="K256" s="96"/>
      <c r="L256" s="96"/>
      <c r="M256" s="96"/>
      <c r="N256" s="96"/>
      <c r="O256" s="96"/>
      <c r="P256" s="96"/>
      <c r="Q256" s="96"/>
      <c r="R256" s="96"/>
      <c r="S256" s="96"/>
    </row>
    <row r="257" spans="1:19">
      <c r="A257" s="126"/>
      <c r="B257" s="127"/>
      <c r="C257" s="97"/>
      <c r="D257" s="97"/>
      <c r="E257" s="97"/>
      <c r="F257" s="96"/>
      <c r="G257" s="96"/>
      <c r="H257" s="96"/>
      <c r="I257" s="96"/>
      <c r="J257" s="96"/>
      <c r="K257" s="96"/>
      <c r="L257" s="96"/>
      <c r="M257" s="96"/>
      <c r="N257" s="96"/>
      <c r="O257" s="96"/>
      <c r="P257" s="96"/>
      <c r="Q257" s="96"/>
      <c r="R257" s="96"/>
      <c r="S257" s="96"/>
    </row>
    <row r="258" spans="1:19">
      <c r="A258" s="126"/>
      <c r="B258" s="127"/>
      <c r="C258" s="97"/>
      <c r="D258" s="97"/>
      <c r="E258" s="97"/>
      <c r="F258" s="96"/>
      <c r="G258" s="96"/>
      <c r="H258" s="96"/>
      <c r="I258" s="96"/>
      <c r="J258" s="96"/>
      <c r="K258" s="96"/>
      <c r="L258" s="96"/>
      <c r="M258" s="96"/>
      <c r="N258" s="96"/>
      <c r="O258" s="96"/>
      <c r="P258" s="96"/>
      <c r="Q258" s="96"/>
      <c r="R258" s="96"/>
      <c r="S258" s="96"/>
    </row>
    <row r="259" spans="1:19">
      <c r="A259" s="126"/>
      <c r="B259" s="127"/>
      <c r="C259" s="97"/>
      <c r="D259" s="97"/>
      <c r="E259" s="97"/>
      <c r="F259" s="96"/>
      <c r="G259" s="96"/>
      <c r="H259" s="96"/>
      <c r="I259" s="96"/>
      <c r="J259" s="96"/>
      <c r="K259" s="96"/>
      <c r="L259" s="96"/>
      <c r="M259" s="96"/>
      <c r="N259" s="96"/>
      <c r="O259" s="96"/>
      <c r="P259" s="96"/>
      <c r="Q259" s="96"/>
      <c r="R259" s="96"/>
      <c r="S259" s="96"/>
    </row>
    <row r="260" spans="1:19">
      <c r="A260" s="126"/>
      <c r="B260" s="127"/>
      <c r="C260" s="97"/>
      <c r="D260" s="97"/>
      <c r="E260" s="97"/>
      <c r="F260" s="96"/>
      <c r="G260" s="96"/>
      <c r="H260" s="96"/>
      <c r="I260" s="96"/>
      <c r="J260" s="96"/>
      <c r="K260" s="96"/>
      <c r="L260" s="96"/>
      <c r="M260" s="96"/>
      <c r="N260" s="96"/>
      <c r="O260" s="96"/>
      <c r="P260" s="96"/>
      <c r="Q260" s="96"/>
      <c r="R260" s="96"/>
      <c r="S260" s="96"/>
    </row>
    <row r="261" spans="1:19">
      <c r="A261" s="126"/>
      <c r="B261" s="127"/>
      <c r="C261" s="97"/>
      <c r="D261" s="97"/>
      <c r="E261" s="97"/>
      <c r="F261" s="96"/>
      <c r="G261" s="96"/>
      <c r="H261" s="96"/>
      <c r="I261" s="96"/>
      <c r="J261" s="96"/>
      <c r="K261" s="96"/>
      <c r="L261" s="96"/>
      <c r="M261" s="96"/>
      <c r="N261" s="96"/>
      <c r="O261" s="96"/>
      <c r="P261" s="96"/>
      <c r="Q261" s="96"/>
      <c r="R261" s="96"/>
      <c r="S261" s="96"/>
    </row>
    <row r="262" spans="1:19">
      <c r="A262" s="126"/>
      <c r="B262" s="127"/>
      <c r="C262" s="97"/>
      <c r="D262" s="97"/>
      <c r="E262" s="97"/>
      <c r="F262" s="96"/>
      <c r="G262" s="96"/>
      <c r="H262" s="96"/>
      <c r="I262" s="96"/>
      <c r="J262" s="96"/>
      <c r="K262" s="96"/>
      <c r="L262" s="96"/>
      <c r="M262" s="96"/>
      <c r="N262" s="96"/>
      <c r="O262" s="96"/>
      <c r="P262" s="96"/>
      <c r="Q262" s="96"/>
      <c r="R262" s="96"/>
      <c r="S262" s="96"/>
    </row>
    <row r="263" spans="1:19">
      <c r="A263" s="126"/>
      <c r="B263" s="127"/>
      <c r="C263" s="97"/>
      <c r="D263" s="97"/>
      <c r="E263" s="97"/>
      <c r="F263" s="96"/>
      <c r="G263" s="96"/>
      <c r="H263" s="96"/>
      <c r="I263" s="96"/>
      <c r="J263" s="96"/>
      <c r="K263" s="96"/>
      <c r="L263" s="96"/>
      <c r="M263" s="96"/>
      <c r="N263" s="96"/>
      <c r="O263" s="96"/>
      <c r="P263" s="96"/>
      <c r="Q263" s="96"/>
      <c r="R263" s="96"/>
      <c r="S263" s="96"/>
    </row>
    <row r="264" spans="1:19">
      <c r="A264" s="126"/>
      <c r="B264" s="127"/>
      <c r="C264" s="97"/>
      <c r="D264" s="97"/>
      <c r="E264" s="97"/>
      <c r="F264" s="96"/>
      <c r="G264" s="96"/>
      <c r="H264" s="96"/>
      <c r="I264" s="96"/>
      <c r="J264" s="96"/>
      <c r="K264" s="96"/>
      <c r="L264" s="96"/>
      <c r="M264" s="96"/>
      <c r="N264" s="96"/>
      <c r="O264" s="96"/>
      <c r="P264" s="96"/>
      <c r="Q264" s="96"/>
      <c r="R264" s="96"/>
      <c r="S264" s="96"/>
    </row>
    <row r="265" spans="1:19">
      <c r="A265" s="126"/>
      <c r="B265" s="127"/>
      <c r="C265" s="97"/>
      <c r="D265" s="97"/>
      <c r="E265" s="97"/>
      <c r="F265" s="96"/>
      <c r="G265" s="96"/>
      <c r="H265" s="96"/>
      <c r="I265" s="96"/>
      <c r="J265" s="96"/>
      <c r="K265" s="96"/>
      <c r="L265" s="96"/>
      <c r="M265" s="96"/>
      <c r="N265" s="96"/>
      <c r="O265" s="96"/>
      <c r="P265" s="96"/>
      <c r="Q265" s="96"/>
      <c r="R265" s="96"/>
      <c r="S265" s="96"/>
    </row>
    <row r="266" spans="1:19">
      <c r="A266" s="126"/>
      <c r="B266" s="127"/>
      <c r="C266" s="97"/>
      <c r="D266" s="97"/>
      <c r="E266" s="97"/>
      <c r="F266" s="96"/>
      <c r="G266" s="96"/>
      <c r="H266" s="96"/>
      <c r="I266" s="96"/>
      <c r="J266" s="96"/>
      <c r="K266" s="96"/>
      <c r="L266" s="96"/>
      <c r="M266" s="96"/>
      <c r="N266" s="96"/>
      <c r="O266" s="96"/>
      <c r="P266" s="96"/>
      <c r="Q266" s="96"/>
      <c r="R266" s="96"/>
      <c r="S266" s="96"/>
    </row>
    <row r="267" spans="1:19">
      <c r="A267" s="126"/>
      <c r="B267" s="127"/>
      <c r="C267" s="97"/>
      <c r="D267" s="97"/>
      <c r="E267" s="97"/>
      <c r="F267" s="96"/>
      <c r="G267" s="96"/>
      <c r="H267" s="96"/>
      <c r="I267" s="96"/>
      <c r="J267" s="96"/>
      <c r="K267" s="96"/>
      <c r="L267" s="96"/>
      <c r="M267" s="96"/>
      <c r="N267" s="96"/>
      <c r="O267" s="96"/>
      <c r="P267" s="96"/>
      <c r="Q267" s="96"/>
      <c r="R267" s="96"/>
      <c r="S267" s="96"/>
    </row>
    <row r="268" spans="1:19">
      <c r="A268" s="126"/>
      <c r="B268" s="127"/>
      <c r="C268" s="97"/>
      <c r="D268" s="97"/>
      <c r="E268" s="97"/>
      <c r="F268" s="96"/>
      <c r="G268" s="96"/>
      <c r="H268" s="96"/>
      <c r="I268" s="96"/>
      <c r="J268" s="96"/>
      <c r="K268" s="96"/>
      <c r="L268" s="96"/>
      <c r="M268" s="96"/>
      <c r="N268" s="96"/>
      <c r="O268" s="96"/>
      <c r="P268" s="96"/>
      <c r="Q268" s="96"/>
      <c r="R268" s="96"/>
      <c r="S268" s="96"/>
    </row>
    <row r="269" spans="1:19">
      <c r="A269" s="126"/>
      <c r="B269" s="127"/>
      <c r="C269" s="97"/>
      <c r="D269" s="97"/>
      <c r="E269" s="97"/>
      <c r="F269" s="96"/>
      <c r="G269" s="96"/>
      <c r="H269" s="96"/>
      <c r="I269" s="96"/>
      <c r="J269" s="96"/>
      <c r="K269" s="96"/>
      <c r="L269" s="96"/>
      <c r="M269" s="96"/>
      <c r="N269" s="96"/>
      <c r="O269" s="96"/>
      <c r="P269" s="96"/>
      <c r="Q269" s="96"/>
      <c r="R269" s="96"/>
      <c r="S269" s="96"/>
    </row>
    <row r="270" spans="1:19">
      <c r="A270" s="126"/>
      <c r="B270" s="127"/>
      <c r="C270" s="97"/>
      <c r="D270" s="97"/>
      <c r="E270" s="97"/>
      <c r="F270" s="96"/>
      <c r="G270" s="96"/>
      <c r="H270" s="96"/>
      <c r="I270" s="96"/>
      <c r="J270" s="96"/>
      <c r="K270" s="96"/>
      <c r="L270" s="96"/>
      <c r="M270" s="96"/>
      <c r="N270" s="96"/>
      <c r="O270" s="96"/>
      <c r="P270" s="96"/>
      <c r="Q270" s="96"/>
      <c r="R270" s="96"/>
      <c r="S270" s="96"/>
    </row>
    <row r="271" spans="1:19">
      <c r="A271" s="126"/>
      <c r="B271" s="127"/>
      <c r="C271" s="97"/>
      <c r="D271" s="97"/>
      <c r="E271" s="97"/>
      <c r="F271" s="96"/>
      <c r="G271" s="96"/>
      <c r="H271" s="96"/>
      <c r="I271" s="96"/>
      <c r="J271" s="96"/>
      <c r="K271" s="96"/>
      <c r="L271" s="96"/>
      <c r="M271" s="96"/>
      <c r="N271" s="96"/>
      <c r="O271" s="96"/>
      <c r="P271" s="96"/>
      <c r="Q271" s="96"/>
      <c r="R271" s="96"/>
      <c r="S271" s="96"/>
    </row>
    <row r="272" spans="1:19">
      <c r="A272" s="126"/>
      <c r="B272" s="127"/>
      <c r="C272" s="97"/>
      <c r="D272" s="97"/>
      <c r="E272" s="97"/>
      <c r="F272" s="96"/>
      <c r="G272" s="96"/>
      <c r="H272" s="96"/>
      <c r="I272" s="96"/>
      <c r="J272" s="96"/>
      <c r="K272" s="96"/>
      <c r="L272" s="96"/>
      <c r="M272" s="96"/>
      <c r="N272" s="96"/>
      <c r="O272" s="96"/>
      <c r="P272" s="96"/>
      <c r="Q272" s="96"/>
      <c r="R272" s="96"/>
      <c r="S272" s="96"/>
    </row>
    <row r="273" spans="1:19">
      <c r="A273" s="126"/>
      <c r="B273" s="127"/>
      <c r="C273" s="97"/>
      <c r="D273" s="97"/>
      <c r="E273" s="97"/>
      <c r="F273" s="96"/>
      <c r="G273" s="96"/>
      <c r="H273" s="96"/>
      <c r="I273" s="96"/>
      <c r="J273" s="96"/>
      <c r="K273" s="96"/>
      <c r="L273" s="96"/>
      <c r="M273" s="96"/>
      <c r="N273" s="96"/>
      <c r="O273" s="96"/>
      <c r="P273" s="96"/>
      <c r="Q273" s="96"/>
      <c r="R273" s="96"/>
      <c r="S273" s="96"/>
    </row>
    <row r="274" spans="1:19">
      <c r="A274" s="126"/>
      <c r="B274" s="127"/>
      <c r="C274" s="97"/>
      <c r="D274" s="97"/>
      <c r="E274" s="97"/>
      <c r="F274" s="96"/>
      <c r="G274" s="96"/>
      <c r="H274" s="96"/>
      <c r="I274" s="96"/>
      <c r="J274" s="96"/>
      <c r="K274" s="96"/>
      <c r="L274" s="96"/>
      <c r="M274" s="96"/>
      <c r="N274" s="96"/>
      <c r="O274" s="96"/>
      <c r="P274" s="96"/>
      <c r="Q274" s="96"/>
      <c r="R274" s="96"/>
      <c r="S274" s="96"/>
    </row>
    <row r="275" spans="1:19">
      <c r="A275" s="126"/>
      <c r="B275" s="127"/>
      <c r="C275" s="97"/>
      <c r="D275" s="97"/>
      <c r="E275" s="97"/>
      <c r="F275" s="96"/>
      <c r="G275" s="96"/>
      <c r="H275" s="96"/>
      <c r="I275" s="96"/>
      <c r="J275" s="96"/>
      <c r="K275" s="96"/>
      <c r="L275" s="96"/>
      <c r="M275" s="96"/>
      <c r="N275" s="96"/>
      <c r="O275" s="96"/>
      <c r="P275" s="96"/>
      <c r="Q275" s="96"/>
      <c r="R275" s="96"/>
      <c r="S275" s="96"/>
    </row>
    <row r="276" spans="1:19">
      <c r="A276" s="126"/>
      <c r="B276" s="127"/>
      <c r="C276" s="97"/>
      <c r="D276" s="97"/>
      <c r="E276" s="97"/>
      <c r="F276" s="96"/>
      <c r="G276" s="96"/>
      <c r="H276" s="96"/>
      <c r="I276" s="96"/>
      <c r="J276" s="96"/>
      <c r="K276" s="96"/>
      <c r="L276" s="96"/>
      <c r="M276" s="96"/>
      <c r="N276" s="96"/>
      <c r="O276" s="96"/>
      <c r="P276" s="96"/>
      <c r="Q276" s="96"/>
      <c r="R276" s="96"/>
      <c r="S276" s="96"/>
    </row>
    <row r="277" spans="1:19">
      <c r="A277" s="126"/>
      <c r="B277" s="127"/>
      <c r="C277" s="97"/>
      <c r="D277" s="97"/>
      <c r="E277" s="97"/>
      <c r="F277" s="96"/>
      <c r="G277" s="96"/>
      <c r="H277" s="96"/>
      <c r="I277" s="96"/>
      <c r="J277" s="96"/>
      <c r="K277" s="96"/>
      <c r="L277" s="96"/>
      <c r="M277" s="96"/>
      <c r="N277" s="96"/>
      <c r="O277" s="96"/>
      <c r="P277" s="96"/>
      <c r="Q277" s="96"/>
      <c r="R277" s="96"/>
      <c r="S277" s="96"/>
    </row>
    <row r="278" spans="1:19">
      <c r="A278" s="126"/>
      <c r="B278" s="127"/>
      <c r="C278" s="97"/>
      <c r="D278" s="97"/>
      <c r="E278" s="97"/>
      <c r="F278" s="96"/>
      <c r="G278" s="96"/>
      <c r="H278" s="96"/>
      <c r="I278" s="96"/>
      <c r="J278" s="96"/>
      <c r="K278" s="96"/>
      <c r="L278" s="96"/>
      <c r="M278" s="96"/>
      <c r="N278" s="96"/>
      <c r="O278" s="96"/>
      <c r="P278" s="96"/>
      <c r="Q278" s="96"/>
      <c r="R278" s="96"/>
      <c r="S278" s="96"/>
    </row>
    <row r="279" spans="1:19">
      <c r="A279" s="126"/>
      <c r="B279" s="127"/>
      <c r="C279" s="97"/>
      <c r="D279" s="97"/>
      <c r="E279" s="97"/>
      <c r="F279" s="96"/>
      <c r="G279" s="96"/>
      <c r="H279" s="96"/>
      <c r="I279" s="96"/>
      <c r="J279" s="96"/>
      <c r="K279" s="96"/>
      <c r="L279" s="96"/>
      <c r="M279" s="96"/>
      <c r="N279" s="96"/>
      <c r="O279" s="96"/>
      <c r="P279" s="96"/>
      <c r="Q279" s="96"/>
      <c r="R279" s="96"/>
      <c r="S279" s="96"/>
    </row>
    <row r="280" spans="1:19">
      <c r="A280" s="126"/>
      <c r="B280" s="127"/>
      <c r="C280" s="97"/>
      <c r="D280" s="97"/>
      <c r="E280" s="97"/>
      <c r="F280" s="96"/>
      <c r="G280" s="96"/>
      <c r="H280" s="96"/>
      <c r="I280" s="96"/>
      <c r="J280" s="96"/>
      <c r="K280" s="96"/>
      <c r="L280" s="96"/>
      <c r="M280" s="96"/>
      <c r="N280" s="96"/>
      <c r="O280" s="96"/>
      <c r="P280" s="96"/>
      <c r="Q280" s="96"/>
      <c r="R280" s="96"/>
      <c r="S280" s="96"/>
    </row>
    <row r="281" spans="1:19">
      <c r="A281" s="126"/>
      <c r="B281" s="127"/>
      <c r="C281" s="97"/>
      <c r="D281" s="97"/>
      <c r="E281" s="97"/>
      <c r="F281" s="96"/>
      <c r="G281" s="96"/>
      <c r="H281" s="96"/>
      <c r="I281" s="96"/>
      <c r="J281" s="96"/>
      <c r="K281" s="96"/>
      <c r="L281" s="96"/>
      <c r="M281" s="96"/>
      <c r="N281" s="96"/>
      <c r="O281" s="96"/>
      <c r="P281" s="96"/>
      <c r="Q281" s="96"/>
      <c r="R281" s="96"/>
      <c r="S281" s="96"/>
    </row>
    <row r="282" spans="1:19">
      <c r="A282" s="126"/>
      <c r="B282" s="127"/>
      <c r="C282" s="97"/>
      <c r="D282" s="97"/>
      <c r="E282" s="97"/>
      <c r="F282" s="96"/>
      <c r="G282" s="96"/>
      <c r="H282" s="96"/>
      <c r="I282" s="96"/>
      <c r="J282" s="96"/>
      <c r="K282" s="96"/>
      <c r="L282" s="96"/>
      <c r="M282" s="96"/>
      <c r="N282" s="96"/>
      <c r="O282" s="96"/>
      <c r="P282" s="96"/>
      <c r="Q282" s="96"/>
      <c r="R282" s="96"/>
      <c r="S282" s="96"/>
    </row>
    <row r="283" spans="1:19">
      <c r="A283" s="126"/>
      <c r="B283" s="127"/>
      <c r="C283" s="97"/>
      <c r="D283" s="97"/>
      <c r="E283" s="97"/>
      <c r="F283" s="96"/>
      <c r="G283" s="96"/>
      <c r="H283" s="96"/>
      <c r="I283" s="96"/>
      <c r="J283" s="96"/>
      <c r="K283" s="96"/>
      <c r="L283" s="96"/>
      <c r="M283" s="96"/>
      <c r="N283" s="96"/>
      <c r="O283" s="96"/>
      <c r="P283" s="96"/>
      <c r="Q283" s="96"/>
      <c r="R283" s="96"/>
      <c r="S283" s="96"/>
    </row>
    <row r="284" spans="1:19">
      <c r="A284" s="126"/>
      <c r="B284" s="127"/>
      <c r="C284" s="97"/>
      <c r="D284" s="97"/>
      <c r="E284" s="97"/>
      <c r="F284" s="96"/>
      <c r="G284" s="96"/>
      <c r="H284" s="96"/>
      <c r="I284" s="96"/>
      <c r="J284" s="96"/>
      <c r="K284" s="96"/>
      <c r="L284" s="96"/>
      <c r="M284" s="96"/>
      <c r="N284" s="96"/>
      <c r="O284" s="96"/>
      <c r="P284" s="96"/>
      <c r="Q284" s="96"/>
      <c r="R284" s="96"/>
      <c r="S284" s="96"/>
    </row>
    <row r="285" spans="1:19">
      <c r="A285" s="126"/>
      <c r="B285" s="127"/>
      <c r="C285" s="97"/>
      <c r="D285" s="97"/>
      <c r="E285" s="97"/>
      <c r="F285" s="96"/>
      <c r="G285" s="96"/>
      <c r="H285" s="96"/>
      <c r="I285" s="96"/>
      <c r="J285" s="96"/>
      <c r="K285" s="96"/>
      <c r="L285" s="96"/>
      <c r="M285" s="96"/>
      <c r="N285" s="96"/>
      <c r="O285" s="96"/>
      <c r="P285" s="96"/>
      <c r="Q285" s="96"/>
      <c r="R285" s="96"/>
      <c r="S285" s="96"/>
    </row>
    <row r="286" spans="1:19">
      <c r="A286" s="126"/>
      <c r="B286" s="127"/>
      <c r="C286" s="97"/>
      <c r="D286" s="97"/>
      <c r="E286" s="97"/>
      <c r="F286" s="96"/>
      <c r="G286" s="96"/>
      <c r="H286" s="96"/>
      <c r="I286" s="96"/>
      <c r="J286" s="96"/>
      <c r="K286" s="96"/>
      <c r="L286" s="96"/>
      <c r="M286" s="96"/>
      <c r="N286" s="96"/>
      <c r="O286" s="96"/>
      <c r="P286" s="96"/>
      <c r="Q286" s="96"/>
      <c r="R286" s="96"/>
      <c r="S286" s="96"/>
    </row>
    <row r="287" spans="1:19">
      <c r="A287" s="126"/>
      <c r="B287" s="127"/>
      <c r="C287" s="97"/>
      <c r="D287" s="97"/>
      <c r="E287" s="97"/>
      <c r="F287" s="96"/>
      <c r="G287" s="96"/>
      <c r="H287" s="96"/>
      <c r="I287" s="96"/>
      <c r="J287" s="96"/>
      <c r="K287" s="96"/>
      <c r="L287" s="96"/>
      <c r="M287" s="96"/>
      <c r="N287" s="96"/>
      <c r="O287" s="96"/>
      <c r="P287" s="96"/>
      <c r="Q287" s="96"/>
      <c r="R287" s="96"/>
      <c r="S287" s="96"/>
    </row>
    <row r="288" spans="1:19">
      <c r="A288" s="126"/>
      <c r="B288" s="127"/>
      <c r="C288" s="97"/>
      <c r="D288" s="97"/>
      <c r="E288" s="97"/>
      <c r="F288" s="96"/>
      <c r="G288" s="96"/>
      <c r="H288" s="96"/>
      <c r="I288" s="96"/>
      <c r="J288" s="96"/>
      <c r="K288" s="96"/>
      <c r="L288" s="96"/>
      <c r="M288" s="96"/>
      <c r="N288" s="96"/>
      <c r="O288" s="96"/>
      <c r="P288" s="96"/>
      <c r="Q288" s="96"/>
      <c r="R288" s="96"/>
      <c r="S288" s="96"/>
    </row>
    <row r="289" spans="1:19">
      <c r="A289" s="126"/>
      <c r="B289" s="127"/>
      <c r="C289" s="97"/>
      <c r="D289" s="97"/>
      <c r="E289" s="97"/>
      <c r="F289" s="96"/>
      <c r="G289" s="96"/>
      <c r="H289" s="96"/>
      <c r="I289" s="96"/>
      <c r="J289" s="96"/>
      <c r="K289" s="96"/>
      <c r="L289" s="96"/>
      <c r="M289" s="96"/>
      <c r="N289" s="96"/>
      <c r="O289" s="96"/>
      <c r="P289" s="96"/>
      <c r="Q289" s="96"/>
      <c r="R289" s="96"/>
      <c r="S289" s="96"/>
    </row>
    <row r="290" spans="1:19">
      <c r="A290" s="126"/>
      <c r="B290" s="127"/>
      <c r="C290" s="97"/>
      <c r="D290" s="97"/>
      <c r="E290" s="97"/>
      <c r="F290" s="96"/>
      <c r="G290" s="96"/>
      <c r="H290" s="96"/>
      <c r="I290" s="96"/>
      <c r="J290" s="96"/>
      <c r="K290" s="96"/>
      <c r="L290" s="96"/>
      <c r="M290" s="96"/>
      <c r="N290" s="96"/>
      <c r="O290" s="96"/>
      <c r="P290" s="96"/>
      <c r="Q290" s="96"/>
      <c r="R290" s="96"/>
      <c r="S290" s="96"/>
    </row>
    <row r="291" spans="1:19">
      <c r="A291" s="126"/>
      <c r="B291" s="127"/>
      <c r="C291" s="97"/>
      <c r="D291" s="97"/>
      <c r="E291" s="97"/>
      <c r="F291" s="96"/>
      <c r="G291" s="96"/>
      <c r="H291" s="96"/>
      <c r="I291" s="96"/>
      <c r="J291" s="96"/>
      <c r="K291" s="96"/>
      <c r="L291" s="96"/>
      <c r="M291" s="96"/>
      <c r="N291" s="96"/>
      <c r="O291" s="96"/>
      <c r="P291" s="96"/>
      <c r="Q291" s="96"/>
      <c r="R291" s="96"/>
      <c r="S291" s="96"/>
    </row>
    <row r="292" spans="1:19">
      <c r="A292" s="126"/>
      <c r="B292" s="127"/>
      <c r="C292" s="97"/>
      <c r="D292" s="97"/>
      <c r="E292" s="97"/>
      <c r="F292" s="96"/>
      <c r="G292" s="96"/>
      <c r="H292" s="96"/>
      <c r="I292" s="96"/>
      <c r="J292" s="96"/>
      <c r="K292" s="96"/>
      <c r="L292" s="96"/>
      <c r="M292" s="96"/>
      <c r="N292" s="96"/>
      <c r="O292" s="96"/>
      <c r="P292" s="96"/>
      <c r="Q292" s="96"/>
      <c r="R292" s="96"/>
      <c r="S292" s="96"/>
    </row>
    <row r="293" spans="1:19">
      <c r="A293" s="126"/>
      <c r="B293" s="127"/>
      <c r="C293" s="97"/>
      <c r="D293" s="97"/>
      <c r="E293" s="97"/>
      <c r="F293" s="96"/>
      <c r="G293" s="96"/>
      <c r="H293" s="96"/>
      <c r="I293" s="96"/>
      <c r="J293" s="96"/>
      <c r="K293" s="96"/>
      <c r="L293" s="96"/>
      <c r="M293" s="96"/>
      <c r="N293" s="96"/>
      <c r="O293" s="96"/>
      <c r="P293" s="96"/>
      <c r="Q293" s="96"/>
      <c r="R293" s="96"/>
      <c r="S293" s="96"/>
    </row>
    <row r="294" spans="1:19">
      <c r="A294" s="126"/>
      <c r="B294" s="127"/>
      <c r="C294" s="97"/>
      <c r="D294" s="97"/>
      <c r="E294" s="97"/>
      <c r="F294" s="96"/>
      <c r="G294" s="96"/>
      <c r="H294" s="96"/>
      <c r="I294" s="96"/>
      <c r="J294" s="96"/>
      <c r="K294" s="96"/>
      <c r="L294" s="96"/>
      <c r="M294" s="96"/>
      <c r="N294" s="96"/>
      <c r="O294" s="96"/>
      <c r="P294" s="96"/>
      <c r="Q294" s="96"/>
      <c r="R294" s="96"/>
      <c r="S294" s="96"/>
    </row>
    <row r="295" spans="1:19">
      <c r="A295" s="126"/>
      <c r="B295" s="127"/>
      <c r="C295" s="97"/>
      <c r="D295" s="97"/>
      <c r="E295" s="97"/>
      <c r="F295" s="96"/>
      <c r="G295" s="96"/>
      <c r="H295" s="96"/>
      <c r="I295" s="96"/>
      <c r="J295" s="96"/>
      <c r="K295" s="96"/>
      <c r="L295" s="96"/>
      <c r="M295" s="96"/>
      <c r="N295" s="96"/>
      <c r="O295" s="96"/>
      <c r="P295" s="96"/>
      <c r="Q295" s="96"/>
      <c r="R295" s="96"/>
      <c r="S295" s="96"/>
    </row>
    <row r="296" spans="1:19">
      <c r="A296" s="126"/>
      <c r="B296" s="127"/>
      <c r="C296" s="97"/>
      <c r="D296" s="97"/>
      <c r="E296" s="97"/>
      <c r="F296" s="96"/>
      <c r="G296" s="96"/>
      <c r="H296" s="96"/>
      <c r="I296" s="96"/>
      <c r="J296" s="96"/>
      <c r="K296" s="96"/>
      <c r="L296" s="96"/>
      <c r="M296" s="96"/>
      <c r="N296" s="96"/>
      <c r="O296" s="96"/>
      <c r="P296" s="96"/>
      <c r="Q296" s="96"/>
      <c r="R296" s="96"/>
      <c r="S296" s="96"/>
    </row>
    <row r="297" spans="1:19">
      <c r="A297" s="126"/>
      <c r="B297" s="127"/>
      <c r="C297" s="97"/>
      <c r="D297" s="97"/>
      <c r="E297" s="97"/>
      <c r="F297" s="96"/>
      <c r="G297" s="96"/>
      <c r="H297" s="96"/>
      <c r="I297" s="96"/>
      <c r="J297" s="96"/>
      <c r="K297" s="96"/>
      <c r="L297" s="96"/>
      <c r="M297" s="96"/>
      <c r="N297" s="96"/>
      <c r="O297" s="96"/>
      <c r="P297" s="96"/>
      <c r="Q297" s="96"/>
      <c r="R297" s="96"/>
      <c r="S297" s="96"/>
    </row>
    <row r="298" spans="1:19">
      <c r="A298" s="126"/>
      <c r="B298" s="127"/>
      <c r="C298" s="97"/>
      <c r="D298" s="97"/>
      <c r="E298" s="97"/>
      <c r="F298" s="96"/>
      <c r="G298" s="96"/>
      <c r="H298" s="96"/>
      <c r="I298" s="96"/>
      <c r="J298" s="96"/>
      <c r="K298" s="96"/>
      <c r="L298" s="96"/>
      <c r="M298" s="96"/>
      <c r="N298" s="96"/>
      <c r="O298" s="96"/>
      <c r="P298" s="96"/>
      <c r="Q298" s="96"/>
      <c r="R298" s="96"/>
      <c r="S298" s="96"/>
    </row>
    <row r="299" spans="1:19">
      <c r="A299" s="126"/>
      <c r="B299" s="127"/>
      <c r="C299" s="97"/>
      <c r="D299" s="97"/>
      <c r="E299" s="97"/>
      <c r="F299" s="96"/>
      <c r="G299" s="96"/>
      <c r="H299" s="96"/>
      <c r="I299" s="96"/>
      <c r="J299" s="96"/>
      <c r="K299" s="96"/>
      <c r="L299" s="96"/>
      <c r="M299" s="96"/>
      <c r="N299" s="96"/>
      <c r="O299" s="96"/>
      <c r="P299" s="96"/>
      <c r="Q299" s="96"/>
      <c r="R299" s="96"/>
      <c r="S299" s="96"/>
    </row>
    <row r="300" spans="1:19">
      <c r="A300" s="126"/>
      <c r="B300" s="127"/>
      <c r="C300" s="97"/>
      <c r="D300" s="97"/>
      <c r="E300" s="97"/>
      <c r="F300" s="96"/>
      <c r="G300" s="96"/>
      <c r="H300" s="96"/>
      <c r="I300" s="96"/>
      <c r="J300" s="96"/>
      <c r="K300" s="96"/>
      <c r="L300" s="96"/>
      <c r="M300" s="96"/>
      <c r="N300" s="96"/>
      <c r="O300" s="96"/>
      <c r="P300" s="96"/>
      <c r="Q300" s="96"/>
      <c r="R300" s="96"/>
      <c r="S300" s="96"/>
    </row>
    <row r="301" spans="1:19">
      <c r="A301" s="126"/>
      <c r="B301" s="127"/>
      <c r="C301" s="97"/>
      <c r="D301" s="97"/>
      <c r="E301" s="97"/>
      <c r="F301" s="96"/>
      <c r="G301" s="96"/>
      <c r="H301" s="96"/>
      <c r="I301" s="96"/>
      <c r="J301" s="96"/>
      <c r="K301" s="96"/>
      <c r="L301" s="96"/>
      <c r="M301" s="96"/>
      <c r="N301" s="96"/>
      <c r="O301" s="96"/>
      <c r="P301" s="96"/>
      <c r="Q301" s="96"/>
      <c r="R301" s="96"/>
      <c r="S301" s="96"/>
    </row>
    <row r="302" spans="1:19">
      <c r="A302" s="126"/>
      <c r="B302" s="127"/>
      <c r="C302" s="97"/>
      <c r="D302" s="97"/>
      <c r="E302" s="97"/>
      <c r="F302" s="96"/>
      <c r="G302" s="96"/>
      <c r="H302" s="96"/>
      <c r="I302" s="96"/>
      <c r="J302" s="96"/>
      <c r="K302" s="96"/>
      <c r="L302" s="96"/>
      <c r="M302" s="96"/>
      <c r="N302" s="96"/>
      <c r="O302" s="96"/>
      <c r="P302" s="96"/>
      <c r="Q302" s="96"/>
      <c r="R302" s="96"/>
      <c r="S302" s="96"/>
    </row>
    <row r="303" spans="1:19">
      <c r="A303" s="126"/>
      <c r="B303" s="127"/>
      <c r="C303" s="97"/>
      <c r="D303" s="97"/>
      <c r="E303" s="97"/>
      <c r="F303" s="96"/>
      <c r="G303" s="96"/>
      <c r="H303" s="96"/>
      <c r="I303" s="96"/>
      <c r="J303" s="96"/>
      <c r="K303" s="96"/>
      <c r="L303" s="96"/>
      <c r="M303" s="96"/>
      <c r="N303" s="96"/>
      <c r="O303" s="96"/>
      <c r="P303" s="96"/>
      <c r="Q303" s="96"/>
      <c r="R303" s="96"/>
      <c r="S303" s="96"/>
    </row>
    <row r="304" spans="1:19">
      <c r="A304" s="126"/>
      <c r="B304" s="127"/>
      <c r="C304" s="97"/>
      <c r="D304" s="97"/>
      <c r="E304" s="97"/>
      <c r="F304" s="96"/>
      <c r="G304" s="96"/>
      <c r="H304" s="96"/>
      <c r="I304" s="96"/>
      <c r="J304" s="96"/>
      <c r="K304" s="96"/>
      <c r="L304" s="96"/>
      <c r="M304" s="96"/>
      <c r="N304" s="96"/>
      <c r="O304" s="96"/>
      <c r="P304" s="96"/>
      <c r="Q304" s="96"/>
      <c r="R304" s="96"/>
      <c r="S304" s="96"/>
    </row>
    <row r="305" spans="1:19">
      <c r="A305" s="126"/>
      <c r="B305" s="127"/>
      <c r="C305" s="97"/>
      <c r="D305" s="97"/>
      <c r="E305" s="97"/>
      <c r="F305" s="96"/>
      <c r="G305" s="96"/>
      <c r="H305" s="96"/>
      <c r="I305" s="96"/>
      <c r="J305" s="96"/>
      <c r="K305" s="96"/>
      <c r="L305" s="96"/>
      <c r="M305" s="96"/>
      <c r="N305" s="96"/>
      <c r="O305" s="96"/>
      <c r="P305" s="96"/>
      <c r="Q305" s="96"/>
      <c r="R305" s="96"/>
      <c r="S305" s="96"/>
    </row>
    <row r="306" spans="1:19">
      <c r="A306" s="126"/>
      <c r="B306" s="127"/>
      <c r="C306" s="97"/>
      <c r="D306" s="97"/>
      <c r="E306" s="97"/>
      <c r="F306" s="96"/>
      <c r="G306" s="96"/>
      <c r="H306" s="96"/>
      <c r="I306" s="96"/>
      <c r="J306" s="96"/>
      <c r="K306" s="96"/>
      <c r="L306" s="96"/>
      <c r="M306" s="96"/>
      <c r="N306" s="96"/>
      <c r="O306" s="96"/>
      <c r="P306" s="96"/>
      <c r="Q306" s="96"/>
      <c r="R306" s="96"/>
      <c r="S306" s="96"/>
    </row>
    <row r="307" spans="1:19">
      <c r="A307" s="126"/>
      <c r="B307" s="127"/>
      <c r="C307" s="97"/>
      <c r="D307" s="97"/>
      <c r="E307" s="97"/>
      <c r="F307" s="96"/>
      <c r="G307" s="96"/>
      <c r="H307" s="96"/>
      <c r="I307" s="96"/>
      <c r="J307" s="96"/>
      <c r="K307" s="96"/>
      <c r="L307" s="96"/>
      <c r="M307" s="96"/>
      <c r="N307" s="96"/>
      <c r="O307" s="96"/>
      <c r="P307" s="96"/>
      <c r="Q307" s="96"/>
      <c r="R307" s="96"/>
      <c r="S307" s="96"/>
    </row>
    <row r="308" spans="1:19">
      <c r="A308" s="126"/>
      <c r="B308" s="127"/>
      <c r="C308" s="97"/>
      <c r="D308" s="97"/>
      <c r="E308" s="97"/>
      <c r="F308" s="96"/>
      <c r="G308" s="96"/>
      <c r="H308" s="96"/>
      <c r="I308" s="96"/>
      <c r="J308" s="96"/>
      <c r="K308" s="96"/>
      <c r="L308" s="96"/>
      <c r="M308" s="96"/>
      <c r="N308" s="96"/>
      <c r="O308" s="96"/>
      <c r="P308" s="96"/>
      <c r="Q308" s="96"/>
      <c r="R308" s="96"/>
      <c r="S308" s="96"/>
    </row>
    <row r="309" spans="1:19">
      <c r="A309" s="126"/>
      <c r="B309" s="127"/>
      <c r="C309" s="97"/>
      <c r="D309" s="97"/>
      <c r="E309" s="97"/>
      <c r="F309" s="96"/>
      <c r="G309" s="96"/>
      <c r="H309" s="96"/>
      <c r="I309" s="96"/>
      <c r="J309" s="96"/>
      <c r="K309" s="96"/>
      <c r="L309" s="96"/>
      <c r="M309" s="96"/>
      <c r="N309" s="96"/>
      <c r="O309" s="96"/>
      <c r="P309" s="96"/>
      <c r="Q309" s="96"/>
      <c r="R309" s="96"/>
      <c r="S309" s="96"/>
    </row>
    <row r="310" spans="1:19">
      <c r="A310" s="126"/>
      <c r="B310" s="127"/>
      <c r="C310" s="97"/>
      <c r="D310" s="97"/>
      <c r="E310" s="97"/>
      <c r="F310" s="96"/>
      <c r="G310" s="96"/>
      <c r="H310" s="96"/>
      <c r="I310" s="96"/>
      <c r="J310" s="96"/>
      <c r="K310" s="96"/>
      <c r="L310" s="96"/>
      <c r="M310" s="96"/>
      <c r="N310" s="96"/>
      <c r="O310" s="96"/>
      <c r="P310" s="96"/>
      <c r="Q310" s="96"/>
      <c r="R310" s="96"/>
      <c r="S310" s="96"/>
    </row>
    <row r="311" spans="1:19">
      <c r="A311" s="126"/>
      <c r="B311" s="127"/>
      <c r="C311" s="97"/>
      <c r="D311" s="97"/>
      <c r="E311" s="97"/>
      <c r="F311" s="96"/>
      <c r="G311" s="96"/>
      <c r="H311" s="96"/>
      <c r="I311" s="96"/>
      <c r="J311" s="96"/>
      <c r="K311" s="96"/>
      <c r="L311" s="96"/>
      <c r="M311" s="96"/>
      <c r="N311" s="96"/>
      <c r="O311" s="96"/>
      <c r="P311" s="96"/>
      <c r="Q311" s="96"/>
      <c r="R311" s="96"/>
      <c r="S311" s="96"/>
    </row>
    <row r="312" spans="1:19">
      <c r="A312" s="126"/>
      <c r="B312" s="127"/>
      <c r="C312" s="97"/>
      <c r="D312" s="97"/>
      <c r="E312" s="97"/>
      <c r="F312" s="96"/>
      <c r="G312" s="96"/>
      <c r="H312" s="96"/>
      <c r="I312" s="96"/>
      <c r="J312" s="96"/>
      <c r="K312" s="96"/>
      <c r="L312" s="96"/>
      <c r="M312" s="96"/>
      <c r="N312" s="96"/>
      <c r="O312" s="96"/>
      <c r="P312" s="96"/>
      <c r="Q312" s="96"/>
      <c r="R312" s="96"/>
      <c r="S312" s="96"/>
    </row>
    <row r="313" spans="1:19">
      <c r="A313" s="126"/>
      <c r="B313" s="127"/>
      <c r="C313" s="97"/>
      <c r="D313" s="97"/>
      <c r="E313" s="97"/>
      <c r="F313" s="96"/>
      <c r="G313" s="96"/>
      <c r="H313" s="96"/>
      <c r="I313" s="96"/>
      <c r="J313" s="96"/>
      <c r="K313" s="96"/>
      <c r="L313" s="96"/>
      <c r="M313" s="96"/>
      <c r="N313" s="96"/>
      <c r="O313" s="96"/>
      <c r="P313" s="96"/>
      <c r="Q313" s="96"/>
      <c r="R313" s="96"/>
      <c r="S313" s="96"/>
    </row>
    <row r="314" spans="1:19">
      <c r="A314" s="126"/>
      <c r="B314" s="127"/>
      <c r="C314" s="97"/>
      <c r="D314" s="97"/>
      <c r="E314" s="97"/>
      <c r="F314" s="96"/>
      <c r="G314" s="96"/>
      <c r="H314" s="96"/>
      <c r="I314" s="96"/>
      <c r="J314" s="96"/>
      <c r="K314" s="96"/>
      <c r="L314" s="96"/>
      <c r="M314" s="96"/>
      <c r="N314" s="96"/>
      <c r="O314" s="96"/>
      <c r="P314" s="96"/>
      <c r="Q314" s="96"/>
      <c r="R314" s="96"/>
      <c r="S314" s="96"/>
    </row>
    <row r="315" spans="1:19">
      <c r="A315" s="126"/>
      <c r="B315" s="127"/>
      <c r="C315" s="97"/>
      <c r="D315" s="97"/>
      <c r="E315" s="97"/>
      <c r="F315" s="96"/>
      <c r="G315" s="96"/>
      <c r="H315" s="96"/>
      <c r="I315" s="96"/>
      <c r="J315" s="96"/>
      <c r="K315" s="96"/>
      <c r="L315" s="96"/>
      <c r="M315" s="96"/>
      <c r="N315" s="96"/>
      <c r="O315" s="96"/>
      <c r="P315" s="96"/>
      <c r="Q315" s="96"/>
      <c r="R315" s="96"/>
      <c r="S315" s="96"/>
    </row>
    <row r="316" spans="1:19">
      <c r="A316" s="126"/>
      <c r="B316" s="127"/>
      <c r="C316" s="97"/>
      <c r="D316" s="97"/>
      <c r="E316" s="97"/>
      <c r="F316" s="96"/>
      <c r="G316" s="96"/>
      <c r="H316" s="96"/>
      <c r="I316" s="96"/>
      <c r="J316" s="96"/>
      <c r="K316" s="96"/>
      <c r="L316" s="96"/>
      <c r="M316" s="96"/>
      <c r="N316" s="96"/>
      <c r="O316" s="96"/>
      <c r="P316" s="96"/>
      <c r="Q316" s="96"/>
      <c r="R316" s="96"/>
      <c r="S316" s="96"/>
    </row>
    <row r="317" spans="1:19">
      <c r="A317" s="126"/>
      <c r="B317" s="127"/>
      <c r="C317" s="97"/>
      <c r="D317" s="97"/>
      <c r="E317" s="97"/>
      <c r="F317" s="96"/>
      <c r="G317" s="96"/>
      <c r="H317" s="96"/>
      <c r="I317" s="96"/>
      <c r="J317" s="96"/>
      <c r="K317" s="96"/>
      <c r="L317" s="96"/>
      <c r="M317" s="96"/>
      <c r="N317" s="96"/>
      <c r="O317" s="96"/>
      <c r="P317" s="96"/>
      <c r="Q317" s="96"/>
      <c r="R317" s="96"/>
      <c r="S317" s="96"/>
    </row>
    <row r="318" spans="1:19">
      <c r="A318" s="126"/>
      <c r="B318" s="127"/>
      <c r="C318" s="97"/>
      <c r="D318" s="97"/>
      <c r="E318" s="97"/>
      <c r="F318" s="96"/>
      <c r="G318" s="96"/>
      <c r="H318" s="96"/>
      <c r="I318" s="96"/>
      <c r="J318" s="96"/>
      <c r="K318" s="96"/>
      <c r="L318" s="96"/>
      <c r="M318" s="96"/>
      <c r="N318" s="96"/>
      <c r="O318" s="96"/>
      <c r="P318" s="96"/>
      <c r="Q318" s="96"/>
      <c r="R318" s="96"/>
      <c r="S318" s="96"/>
    </row>
    <row r="319" spans="1:19">
      <c r="A319" s="126"/>
      <c r="B319" s="127"/>
      <c r="C319" s="97"/>
      <c r="D319" s="97"/>
      <c r="E319" s="97"/>
      <c r="F319" s="96"/>
      <c r="G319" s="96"/>
      <c r="H319" s="96"/>
      <c r="I319" s="96"/>
      <c r="J319" s="96"/>
      <c r="K319" s="96"/>
      <c r="L319" s="96"/>
      <c r="M319" s="96"/>
      <c r="N319" s="96"/>
      <c r="O319" s="96"/>
      <c r="P319" s="96"/>
      <c r="Q319" s="96"/>
      <c r="R319" s="96"/>
      <c r="S319" s="96"/>
    </row>
    <row r="320" spans="1:19">
      <c r="A320" s="126"/>
      <c r="B320" s="127"/>
      <c r="C320" s="97"/>
      <c r="D320" s="97"/>
      <c r="E320" s="97"/>
      <c r="F320" s="96"/>
      <c r="G320" s="96"/>
      <c r="H320" s="96"/>
      <c r="I320" s="96"/>
      <c r="J320" s="96"/>
      <c r="K320" s="96"/>
      <c r="L320" s="96"/>
      <c r="M320" s="96"/>
      <c r="N320" s="96"/>
      <c r="O320" s="96"/>
      <c r="P320" s="96"/>
      <c r="Q320" s="96"/>
      <c r="R320" s="96"/>
      <c r="S320" s="96"/>
    </row>
    <row r="321" spans="1:19">
      <c r="A321" s="126"/>
      <c r="B321" s="127"/>
      <c r="C321" s="97"/>
      <c r="D321" s="97"/>
      <c r="E321" s="97"/>
      <c r="F321" s="96"/>
      <c r="G321" s="96"/>
      <c r="H321" s="96"/>
      <c r="I321" s="96"/>
      <c r="J321" s="96"/>
      <c r="K321" s="96"/>
      <c r="L321" s="96"/>
      <c r="M321" s="96"/>
      <c r="N321" s="96"/>
      <c r="O321" s="96"/>
      <c r="P321" s="96"/>
      <c r="Q321" s="96"/>
      <c r="R321" s="96"/>
      <c r="S321" s="96"/>
    </row>
    <row r="322" spans="1:19">
      <c r="A322" s="126"/>
      <c r="B322" s="127"/>
      <c r="C322" s="97"/>
      <c r="D322" s="97"/>
      <c r="E322" s="97"/>
      <c r="F322" s="96"/>
      <c r="G322" s="96"/>
      <c r="H322" s="96"/>
      <c r="I322" s="96"/>
      <c r="J322" s="96"/>
      <c r="K322" s="96"/>
      <c r="L322" s="96"/>
      <c r="M322" s="96"/>
      <c r="N322" s="96"/>
      <c r="O322" s="96"/>
      <c r="P322" s="96"/>
      <c r="Q322" s="96"/>
      <c r="R322" s="96"/>
      <c r="S322" s="96"/>
    </row>
    <row r="323" spans="1:19">
      <c r="A323" s="126"/>
      <c r="B323" s="127"/>
      <c r="C323" s="97"/>
      <c r="D323" s="97"/>
      <c r="E323" s="97"/>
      <c r="F323" s="96"/>
      <c r="G323" s="96"/>
      <c r="H323" s="96"/>
      <c r="I323" s="96"/>
      <c r="J323" s="96"/>
      <c r="K323" s="96"/>
      <c r="L323" s="96"/>
      <c r="M323" s="96"/>
      <c r="N323" s="96"/>
      <c r="O323" s="96"/>
      <c r="P323" s="96"/>
      <c r="Q323" s="96"/>
      <c r="R323" s="96"/>
      <c r="S323" s="96"/>
    </row>
    <row r="324" spans="1:19">
      <c r="A324" s="126"/>
      <c r="B324" s="127"/>
      <c r="C324" s="97"/>
      <c r="D324" s="97"/>
      <c r="E324" s="97"/>
      <c r="F324" s="96"/>
      <c r="G324" s="96"/>
      <c r="H324" s="96"/>
      <c r="I324" s="96"/>
      <c r="J324" s="96"/>
      <c r="K324" s="96"/>
      <c r="L324" s="96"/>
      <c r="M324" s="96"/>
      <c r="N324" s="96"/>
      <c r="O324" s="96"/>
      <c r="P324" s="96"/>
      <c r="Q324" s="96"/>
      <c r="R324" s="96"/>
      <c r="S324" s="96"/>
    </row>
    <row r="325" spans="1:19">
      <c r="A325" s="126"/>
      <c r="B325" s="127"/>
      <c r="C325" s="97"/>
      <c r="D325" s="97"/>
      <c r="E325" s="97"/>
      <c r="F325" s="96"/>
      <c r="G325" s="96"/>
      <c r="H325" s="96"/>
      <c r="I325" s="96"/>
      <c r="J325" s="96"/>
      <c r="K325" s="96"/>
      <c r="L325" s="96"/>
      <c r="M325" s="96"/>
      <c r="N325" s="96"/>
      <c r="O325" s="96"/>
      <c r="P325" s="96"/>
      <c r="Q325" s="96"/>
      <c r="R325" s="96"/>
      <c r="S325" s="96"/>
    </row>
    <row r="326" spans="1:19">
      <c r="A326" s="126"/>
      <c r="B326" s="127"/>
      <c r="C326" s="97"/>
      <c r="D326" s="97"/>
      <c r="E326" s="97"/>
      <c r="F326" s="96"/>
      <c r="G326" s="96"/>
      <c r="H326" s="96"/>
      <c r="I326" s="96"/>
      <c r="J326" s="96"/>
      <c r="K326" s="96"/>
      <c r="L326" s="96"/>
      <c r="M326" s="96"/>
      <c r="N326" s="96"/>
      <c r="O326" s="96"/>
      <c r="P326" s="96"/>
      <c r="Q326" s="96"/>
      <c r="R326" s="96"/>
      <c r="S326" s="96"/>
    </row>
    <row r="327" spans="1:19">
      <c r="A327" s="126"/>
      <c r="B327" s="127"/>
      <c r="C327" s="97"/>
      <c r="D327" s="97"/>
      <c r="E327" s="97"/>
      <c r="F327" s="96"/>
      <c r="G327" s="96"/>
      <c r="H327" s="96"/>
      <c r="I327" s="96"/>
      <c r="J327" s="96"/>
      <c r="K327" s="96"/>
      <c r="L327" s="96"/>
      <c r="M327" s="96"/>
      <c r="N327" s="96"/>
      <c r="O327" s="96"/>
      <c r="P327" s="96"/>
      <c r="Q327" s="96"/>
      <c r="R327" s="96"/>
      <c r="S327" s="96"/>
    </row>
    <row r="328" spans="1:19">
      <c r="A328" s="126"/>
      <c r="B328" s="127"/>
      <c r="C328" s="97"/>
      <c r="D328" s="97"/>
      <c r="E328" s="97"/>
      <c r="F328" s="96"/>
      <c r="G328" s="96"/>
      <c r="H328" s="96"/>
      <c r="I328" s="96"/>
      <c r="J328" s="96"/>
      <c r="K328" s="96"/>
      <c r="L328" s="96"/>
      <c r="M328" s="96"/>
      <c r="N328" s="96"/>
      <c r="O328" s="96"/>
      <c r="P328" s="96"/>
      <c r="Q328" s="96"/>
      <c r="R328" s="96"/>
      <c r="S328" s="96"/>
    </row>
    <row r="329" spans="1:19">
      <c r="A329" s="126"/>
      <c r="B329" s="127"/>
      <c r="C329" s="97"/>
      <c r="D329" s="97"/>
      <c r="E329" s="97"/>
      <c r="F329" s="96"/>
      <c r="G329" s="96"/>
      <c r="H329" s="96"/>
      <c r="I329" s="96"/>
      <c r="J329" s="96"/>
      <c r="K329" s="96"/>
      <c r="L329" s="96"/>
      <c r="M329" s="96"/>
      <c r="N329" s="96"/>
      <c r="O329" s="96"/>
      <c r="P329" s="96"/>
      <c r="Q329" s="96"/>
      <c r="R329" s="96"/>
      <c r="S329" s="96"/>
    </row>
    <row r="330" spans="1:19">
      <c r="A330" s="126"/>
      <c r="B330" s="127"/>
      <c r="C330" s="97"/>
      <c r="D330" s="97"/>
      <c r="E330" s="97"/>
      <c r="F330" s="96"/>
      <c r="G330" s="96"/>
      <c r="H330" s="96"/>
      <c r="I330" s="96"/>
      <c r="J330" s="96"/>
      <c r="K330" s="96"/>
      <c r="L330" s="96"/>
      <c r="M330" s="96"/>
      <c r="N330" s="96"/>
      <c r="O330" s="96"/>
      <c r="P330" s="96"/>
      <c r="Q330" s="96"/>
      <c r="R330" s="96"/>
      <c r="S330" s="96"/>
    </row>
    <row r="331" spans="1:19">
      <c r="A331" s="126"/>
      <c r="B331" s="127"/>
      <c r="C331" s="97"/>
      <c r="D331" s="97"/>
      <c r="E331" s="97"/>
      <c r="F331" s="96"/>
      <c r="G331" s="96"/>
      <c r="H331" s="96"/>
      <c r="I331" s="96"/>
      <c r="J331" s="96"/>
      <c r="K331" s="96"/>
      <c r="L331" s="96"/>
      <c r="M331" s="96"/>
      <c r="N331" s="96"/>
      <c r="O331" s="96"/>
      <c r="P331" s="96"/>
      <c r="Q331" s="96"/>
      <c r="R331" s="96"/>
      <c r="S331" s="96"/>
    </row>
    <row r="332" spans="1:19">
      <c r="A332" s="126"/>
      <c r="B332" s="127"/>
      <c r="C332" s="97"/>
      <c r="D332" s="97"/>
      <c r="E332" s="97"/>
      <c r="F332" s="96"/>
      <c r="G332" s="96"/>
      <c r="H332" s="96"/>
      <c r="I332" s="96"/>
      <c r="J332" s="96"/>
      <c r="K332" s="96"/>
      <c r="L332" s="96"/>
      <c r="M332" s="96"/>
      <c r="N332" s="96"/>
      <c r="O332" s="96"/>
      <c r="P332" s="96"/>
      <c r="Q332" s="96"/>
      <c r="R332" s="96"/>
      <c r="S332" s="96"/>
    </row>
    <row r="333" spans="1:19">
      <c r="A333" s="126"/>
      <c r="B333" s="127"/>
      <c r="C333" s="97"/>
      <c r="D333" s="97"/>
      <c r="E333" s="97"/>
      <c r="F333" s="96"/>
      <c r="G333" s="96"/>
      <c r="H333" s="96"/>
      <c r="I333" s="96"/>
      <c r="J333" s="96"/>
      <c r="K333" s="96"/>
      <c r="L333" s="96"/>
      <c r="M333" s="96"/>
      <c r="N333" s="96"/>
      <c r="O333" s="96"/>
      <c r="P333" s="96"/>
      <c r="Q333" s="96"/>
      <c r="R333" s="96"/>
      <c r="S333" s="96"/>
    </row>
    <row r="334" spans="1:19">
      <c r="A334" s="126"/>
      <c r="B334" s="127"/>
      <c r="C334" s="97"/>
      <c r="D334" s="97"/>
      <c r="E334" s="97"/>
      <c r="F334" s="96"/>
      <c r="G334" s="96"/>
      <c r="H334" s="96"/>
      <c r="I334" s="96"/>
      <c r="J334" s="96"/>
      <c r="K334" s="96"/>
      <c r="L334" s="96"/>
      <c r="M334" s="96"/>
      <c r="N334" s="96"/>
      <c r="O334" s="96"/>
      <c r="P334" s="96"/>
      <c r="Q334" s="96"/>
      <c r="R334" s="96"/>
      <c r="S334" s="96"/>
    </row>
    <row r="335" spans="1:19">
      <c r="A335" s="126"/>
      <c r="B335" s="127"/>
      <c r="C335" s="97"/>
      <c r="D335" s="97"/>
      <c r="E335" s="97"/>
      <c r="F335" s="96"/>
      <c r="G335" s="96"/>
      <c r="H335" s="96"/>
      <c r="I335" s="96"/>
      <c r="J335" s="96"/>
      <c r="K335" s="96"/>
      <c r="L335" s="96"/>
      <c r="M335" s="96"/>
      <c r="N335" s="96"/>
      <c r="O335" s="96"/>
      <c r="P335" s="96"/>
      <c r="Q335" s="96"/>
      <c r="R335" s="96"/>
      <c r="S335" s="96"/>
    </row>
    <row r="336" spans="1:19">
      <c r="A336" s="126"/>
      <c r="B336" s="127"/>
      <c r="C336" s="97"/>
      <c r="D336" s="97"/>
      <c r="E336" s="97"/>
      <c r="F336" s="96"/>
      <c r="G336" s="96"/>
      <c r="H336" s="96"/>
      <c r="I336" s="96"/>
      <c r="J336" s="96"/>
      <c r="K336" s="96"/>
      <c r="L336" s="96"/>
      <c r="M336" s="96"/>
      <c r="N336" s="96"/>
      <c r="O336" s="96"/>
      <c r="P336" s="96"/>
      <c r="Q336" s="96"/>
      <c r="R336" s="96"/>
      <c r="S336" s="96"/>
    </row>
    <row r="337" spans="1:19">
      <c r="A337" s="126"/>
      <c r="B337" s="127"/>
      <c r="C337" s="97"/>
      <c r="D337" s="97"/>
      <c r="E337" s="97"/>
      <c r="F337" s="96"/>
      <c r="G337" s="96"/>
      <c r="H337" s="96"/>
      <c r="I337" s="96"/>
      <c r="J337" s="96"/>
      <c r="K337" s="96"/>
      <c r="L337" s="96"/>
      <c r="M337" s="96"/>
      <c r="N337" s="96"/>
      <c r="O337" s="96"/>
      <c r="P337" s="96"/>
      <c r="Q337" s="96"/>
      <c r="R337" s="96"/>
      <c r="S337" s="96"/>
    </row>
    <row r="338" spans="1:19">
      <c r="A338" s="126"/>
      <c r="B338" s="127"/>
      <c r="C338" s="97"/>
      <c r="D338" s="97"/>
      <c r="E338" s="97"/>
      <c r="F338" s="96"/>
      <c r="G338" s="96"/>
      <c r="H338" s="96"/>
      <c r="I338" s="96"/>
      <c r="J338" s="96"/>
      <c r="K338" s="96"/>
      <c r="L338" s="96"/>
      <c r="M338" s="96"/>
      <c r="N338" s="96"/>
      <c r="O338" s="96"/>
      <c r="P338" s="96"/>
      <c r="Q338" s="96"/>
      <c r="R338" s="96"/>
      <c r="S338" s="96"/>
    </row>
    <row r="339" spans="1:19">
      <c r="A339" s="126"/>
      <c r="B339" s="127"/>
      <c r="C339" s="97"/>
      <c r="D339" s="97"/>
      <c r="E339" s="97"/>
      <c r="F339" s="96"/>
      <c r="G339" s="96"/>
      <c r="H339" s="96"/>
      <c r="I339" s="96"/>
      <c r="J339" s="96"/>
      <c r="K339" s="96"/>
      <c r="L339" s="96"/>
      <c r="M339" s="96"/>
      <c r="N339" s="96"/>
      <c r="O339" s="96"/>
      <c r="P339" s="96"/>
      <c r="Q339" s="96"/>
      <c r="R339" s="96"/>
      <c r="S339" s="96"/>
    </row>
    <row r="340" spans="1:19">
      <c r="A340" s="126"/>
      <c r="B340" s="127"/>
      <c r="C340" s="97"/>
      <c r="D340" s="97"/>
      <c r="E340" s="97"/>
      <c r="F340" s="96"/>
      <c r="G340" s="96"/>
      <c r="H340" s="96"/>
      <c r="I340" s="96"/>
      <c r="J340" s="96"/>
      <c r="K340" s="96"/>
      <c r="L340" s="96"/>
      <c r="M340" s="96"/>
      <c r="N340" s="96"/>
      <c r="O340" s="96"/>
      <c r="P340" s="96"/>
      <c r="Q340" s="96"/>
      <c r="R340" s="96"/>
      <c r="S340" s="96"/>
    </row>
    <row r="341" spans="1:19">
      <c r="A341" s="126"/>
      <c r="B341" s="127"/>
      <c r="C341" s="97"/>
      <c r="D341" s="97"/>
      <c r="E341" s="97"/>
      <c r="F341" s="96"/>
      <c r="G341" s="96"/>
      <c r="H341" s="96"/>
      <c r="I341" s="96"/>
      <c r="J341" s="96"/>
      <c r="K341" s="96"/>
      <c r="L341" s="96"/>
      <c r="M341" s="96"/>
      <c r="N341" s="96"/>
      <c r="O341" s="96"/>
      <c r="P341" s="96"/>
      <c r="Q341" s="96"/>
      <c r="R341" s="96"/>
      <c r="S341" s="96"/>
    </row>
    <row r="342" spans="1:19">
      <c r="A342" s="126"/>
      <c r="B342" s="127"/>
      <c r="C342" s="97"/>
      <c r="D342" s="97"/>
      <c r="E342" s="97"/>
      <c r="F342" s="96"/>
      <c r="G342" s="96"/>
      <c r="H342" s="96"/>
      <c r="I342" s="96"/>
      <c r="J342" s="96"/>
      <c r="K342" s="96"/>
      <c r="L342" s="96"/>
      <c r="M342" s="96"/>
      <c r="N342" s="96"/>
      <c r="O342" s="96"/>
      <c r="P342" s="96"/>
      <c r="Q342" s="96"/>
      <c r="R342" s="96"/>
      <c r="S342" s="96"/>
    </row>
    <row r="343" spans="1:19">
      <c r="A343" s="126"/>
      <c r="B343" s="127"/>
      <c r="C343" s="97"/>
      <c r="D343" s="97"/>
      <c r="E343" s="97"/>
      <c r="F343" s="96"/>
      <c r="G343" s="96"/>
      <c r="H343" s="96"/>
      <c r="I343" s="96"/>
      <c r="J343" s="96"/>
      <c r="K343" s="96"/>
      <c r="L343" s="96"/>
      <c r="M343" s="96"/>
      <c r="N343" s="96"/>
      <c r="O343" s="96"/>
      <c r="P343" s="96"/>
      <c r="Q343" s="96"/>
      <c r="R343" s="96"/>
      <c r="S343" s="96"/>
    </row>
    <row r="344" spans="1:19">
      <c r="A344" s="126"/>
      <c r="B344" s="127"/>
      <c r="C344" s="97"/>
      <c r="D344" s="97"/>
      <c r="E344" s="97"/>
      <c r="F344" s="96"/>
      <c r="G344" s="96"/>
      <c r="H344" s="96"/>
      <c r="I344" s="96"/>
      <c r="J344" s="96"/>
      <c r="K344" s="96"/>
      <c r="L344" s="96"/>
      <c r="M344" s="96"/>
      <c r="N344" s="96"/>
      <c r="O344" s="96"/>
      <c r="P344" s="96"/>
      <c r="Q344" s="96"/>
      <c r="R344" s="96"/>
      <c r="S344" s="96"/>
    </row>
    <row r="345" spans="1:19">
      <c r="A345" s="126"/>
      <c r="B345" s="127"/>
      <c r="C345" s="97"/>
      <c r="D345" s="97"/>
      <c r="E345" s="97"/>
      <c r="F345" s="96"/>
      <c r="G345" s="96"/>
      <c r="H345" s="96"/>
      <c r="I345" s="96"/>
      <c r="J345" s="96"/>
      <c r="K345" s="96"/>
      <c r="L345" s="96"/>
      <c r="M345" s="96"/>
      <c r="N345" s="96"/>
      <c r="O345" s="96"/>
      <c r="P345" s="96"/>
      <c r="Q345" s="96"/>
      <c r="R345" s="96"/>
      <c r="S345" s="96"/>
    </row>
    <row r="346" spans="1:19">
      <c r="A346" s="126"/>
      <c r="B346" s="127"/>
      <c r="C346" s="97"/>
      <c r="D346" s="97"/>
      <c r="E346" s="97"/>
      <c r="F346" s="96"/>
      <c r="G346" s="96"/>
      <c r="H346" s="96"/>
      <c r="I346" s="96"/>
      <c r="J346" s="96"/>
      <c r="K346" s="96"/>
      <c r="L346" s="96"/>
      <c r="M346" s="96"/>
      <c r="N346" s="96"/>
      <c r="O346" s="96"/>
      <c r="P346" s="96"/>
      <c r="Q346" s="96"/>
      <c r="R346" s="96"/>
      <c r="S346" s="96"/>
    </row>
    <row r="347" spans="1:19">
      <c r="A347" s="126"/>
      <c r="B347" s="127"/>
      <c r="C347" s="97"/>
      <c r="D347" s="97"/>
      <c r="E347" s="97"/>
      <c r="F347" s="96"/>
      <c r="G347" s="96"/>
      <c r="H347" s="96"/>
      <c r="I347" s="96"/>
      <c r="J347" s="96"/>
      <c r="K347" s="96"/>
      <c r="L347" s="96"/>
      <c r="M347" s="96"/>
      <c r="N347" s="96"/>
      <c r="O347" s="96"/>
      <c r="P347" s="96"/>
      <c r="Q347" s="96"/>
      <c r="R347" s="96"/>
      <c r="S347" s="96"/>
    </row>
    <row r="348" spans="1:19">
      <c r="A348" s="126"/>
      <c r="B348" s="127"/>
      <c r="C348" s="97"/>
      <c r="D348" s="97"/>
      <c r="E348" s="97"/>
      <c r="F348" s="96"/>
      <c r="G348" s="96"/>
      <c r="H348" s="96"/>
      <c r="I348" s="96"/>
      <c r="J348" s="96"/>
      <c r="K348" s="96"/>
      <c r="L348" s="96"/>
      <c r="M348" s="96"/>
      <c r="N348" s="96"/>
      <c r="O348" s="96"/>
      <c r="P348" s="96"/>
      <c r="Q348" s="96"/>
      <c r="R348" s="96"/>
      <c r="S348" s="96"/>
    </row>
    <row r="349" spans="1:19">
      <c r="A349" s="126"/>
      <c r="B349" s="127"/>
      <c r="C349" s="97"/>
      <c r="D349" s="97"/>
      <c r="E349" s="97"/>
      <c r="F349" s="96"/>
      <c r="G349" s="96"/>
      <c r="H349" s="96"/>
      <c r="I349" s="96"/>
      <c r="J349" s="96"/>
      <c r="K349" s="96"/>
      <c r="L349" s="96"/>
      <c r="M349" s="96"/>
      <c r="N349" s="96"/>
      <c r="O349" s="96"/>
      <c r="P349" s="96"/>
      <c r="Q349" s="96"/>
      <c r="R349" s="96"/>
      <c r="S349" s="96"/>
    </row>
    <row r="350" spans="1:19">
      <c r="A350" s="126"/>
      <c r="B350" s="127"/>
      <c r="C350" s="97"/>
      <c r="D350" s="97"/>
      <c r="E350" s="97"/>
      <c r="F350" s="96"/>
      <c r="G350" s="96"/>
      <c r="H350" s="96"/>
      <c r="I350" s="96"/>
      <c r="J350" s="96"/>
      <c r="K350" s="96"/>
      <c r="L350" s="96"/>
      <c r="M350" s="96"/>
      <c r="N350" s="96"/>
      <c r="O350" s="96"/>
      <c r="P350" s="96"/>
      <c r="Q350" s="96"/>
      <c r="R350" s="96"/>
      <c r="S350" s="96"/>
    </row>
    <row r="351" spans="1:19">
      <c r="A351" s="126"/>
      <c r="B351" s="127"/>
      <c r="C351" s="97"/>
      <c r="D351" s="97"/>
      <c r="E351" s="97"/>
      <c r="F351" s="96"/>
      <c r="G351" s="96"/>
      <c r="H351" s="96"/>
      <c r="I351" s="96"/>
      <c r="J351" s="96"/>
      <c r="K351" s="96"/>
      <c r="L351" s="96"/>
      <c r="M351" s="96"/>
      <c r="N351" s="96"/>
      <c r="O351" s="96"/>
      <c r="P351" s="96"/>
      <c r="Q351" s="96"/>
      <c r="R351" s="96"/>
      <c r="S351" s="96"/>
    </row>
    <row r="352" spans="1:19">
      <c r="A352" s="126"/>
      <c r="B352" s="127"/>
      <c r="C352" s="97"/>
      <c r="D352" s="97"/>
      <c r="E352" s="97"/>
      <c r="F352" s="96"/>
      <c r="G352" s="96"/>
      <c r="H352" s="96"/>
      <c r="I352" s="96"/>
      <c r="J352" s="96"/>
      <c r="K352" s="96"/>
      <c r="L352" s="96"/>
      <c r="M352" s="96"/>
      <c r="N352" s="96"/>
      <c r="O352" s="96"/>
      <c r="P352" s="96"/>
      <c r="Q352" s="96"/>
      <c r="R352" s="96"/>
      <c r="S352" s="96"/>
    </row>
    <row r="353" spans="1:19">
      <c r="A353" s="126"/>
      <c r="B353" s="127"/>
      <c r="C353" s="97"/>
      <c r="D353" s="97"/>
      <c r="E353" s="97"/>
      <c r="F353" s="96"/>
      <c r="G353" s="96"/>
      <c r="H353" s="96"/>
      <c r="I353" s="96"/>
      <c r="J353" s="96"/>
      <c r="K353" s="96"/>
      <c r="L353" s="96"/>
      <c r="M353" s="96"/>
      <c r="N353" s="96"/>
      <c r="O353" s="96"/>
      <c r="P353" s="96"/>
      <c r="Q353" s="96"/>
      <c r="R353" s="96"/>
      <c r="S353" s="96"/>
    </row>
    <row r="354" spans="1:19">
      <c r="A354" s="126"/>
      <c r="B354" s="127"/>
      <c r="C354" s="97"/>
      <c r="D354" s="97"/>
      <c r="E354" s="97"/>
      <c r="F354" s="96"/>
      <c r="G354" s="96"/>
      <c r="H354" s="96"/>
      <c r="I354" s="96"/>
      <c r="J354" s="96"/>
      <c r="K354" s="96"/>
      <c r="L354" s="96"/>
      <c r="M354" s="96"/>
      <c r="N354" s="96"/>
      <c r="O354" s="96"/>
      <c r="P354" s="96"/>
      <c r="Q354" s="96"/>
      <c r="R354" s="96"/>
      <c r="S354" s="96"/>
    </row>
    <row r="355" spans="1:19">
      <c r="A355" s="126"/>
      <c r="B355" s="127"/>
      <c r="C355" s="97"/>
      <c r="D355" s="97"/>
      <c r="E355" s="97"/>
      <c r="F355" s="96"/>
      <c r="G355" s="96"/>
      <c r="H355" s="96"/>
      <c r="I355" s="96"/>
      <c r="J355" s="96"/>
      <c r="K355" s="96"/>
      <c r="L355" s="96"/>
      <c r="M355" s="96"/>
      <c r="N355" s="96"/>
      <c r="O355" s="96"/>
      <c r="P355" s="96"/>
      <c r="Q355" s="96"/>
      <c r="R355" s="96"/>
      <c r="S355" s="96"/>
    </row>
    <row r="356" spans="1:19">
      <c r="A356" s="126"/>
      <c r="B356" s="127"/>
      <c r="C356" s="97"/>
      <c r="D356" s="97"/>
      <c r="E356" s="97"/>
      <c r="F356" s="96"/>
      <c r="G356" s="96"/>
      <c r="H356" s="96"/>
      <c r="I356" s="96"/>
      <c r="J356" s="96"/>
      <c r="K356" s="96"/>
      <c r="L356" s="96"/>
      <c r="M356" s="96"/>
      <c r="N356" s="96"/>
      <c r="O356" s="96"/>
      <c r="P356" s="96"/>
      <c r="Q356" s="96"/>
      <c r="R356" s="96"/>
      <c r="S356" s="96"/>
    </row>
    <row r="357" spans="1:19">
      <c r="A357" s="126"/>
      <c r="B357" s="127"/>
      <c r="C357" s="97"/>
      <c r="D357" s="97"/>
      <c r="E357" s="97"/>
      <c r="F357" s="96"/>
      <c r="G357" s="96"/>
      <c r="H357" s="96"/>
      <c r="I357" s="96"/>
      <c r="J357" s="96"/>
      <c r="K357" s="96"/>
      <c r="L357" s="96"/>
      <c r="M357" s="96"/>
      <c r="N357" s="96"/>
      <c r="O357" s="96"/>
      <c r="P357" s="96"/>
      <c r="Q357" s="96"/>
      <c r="R357" s="96"/>
      <c r="S357" s="96"/>
    </row>
    <row r="358" spans="1:19">
      <c r="A358" s="126"/>
      <c r="B358" s="127"/>
      <c r="C358" s="97"/>
      <c r="D358" s="97"/>
      <c r="E358" s="97"/>
      <c r="F358" s="96"/>
      <c r="G358" s="96"/>
      <c r="H358" s="96"/>
      <c r="I358" s="96"/>
      <c r="J358" s="96"/>
      <c r="K358" s="96"/>
      <c r="L358" s="96"/>
      <c r="M358" s="96"/>
      <c r="N358" s="96"/>
      <c r="O358" s="96"/>
      <c r="P358" s="96"/>
      <c r="Q358" s="96"/>
      <c r="R358" s="96"/>
      <c r="S358" s="96"/>
    </row>
    <row r="359" spans="1:19">
      <c r="A359" s="126"/>
      <c r="B359" s="127"/>
      <c r="C359" s="97"/>
      <c r="D359" s="97"/>
      <c r="E359" s="97"/>
      <c r="F359" s="96"/>
      <c r="G359" s="96"/>
      <c r="H359" s="96"/>
      <c r="I359" s="96"/>
      <c r="J359" s="96"/>
      <c r="K359" s="96"/>
      <c r="L359" s="96"/>
      <c r="M359" s="96"/>
      <c r="N359" s="96"/>
      <c r="O359" s="96"/>
      <c r="P359" s="96"/>
      <c r="Q359" s="96"/>
      <c r="R359" s="96"/>
      <c r="S359" s="96"/>
    </row>
    <row r="360" spans="1:19">
      <c r="A360" s="126"/>
      <c r="B360" s="127"/>
      <c r="C360" s="97"/>
      <c r="D360" s="97"/>
      <c r="E360" s="97"/>
      <c r="F360" s="96"/>
      <c r="G360" s="96"/>
      <c r="H360" s="96"/>
      <c r="I360" s="96"/>
      <c r="J360" s="96"/>
      <c r="K360" s="96"/>
      <c r="L360" s="96"/>
      <c r="M360" s="96"/>
      <c r="N360" s="96"/>
      <c r="O360" s="96"/>
      <c r="P360" s="96"/>
      <c r="Q360" s="96"/>
      <c r="R360" s="96"/>
      <c r="S360" s="96"/>
    </row>
    <row r="361" spans="1:19">
      <c r="A361" s="126"/>
      <c r="B361" s="127"/>
      <c r="C361" s="97"/>
      <c r="D361" s="97"/>
      <c r="E361" s="97"/>
      <c r="F361" s="96"/>
      <c r="G361" s="96"/>
      <c r="H361" s="96"/>
      <c r="I361" s="96"/>
      <c r="J361" s="96"/>
      <c r="K361" s="96"/>
      <c r="L361" s="96"/>
      <c r="M361" s="96"/>
      <c r="N361" s="96"/>
      <c r="O361" s="96"/>
      <c r="P361" s="96"/>
      <c r="Q361" s="96"/>
      <c r="R361" s="96"/>
      <c r="S361" s="96"/>
    </row>
    <row r="362" spans="1:19">
      <c r="A362" s="126"/>
      <c r="B362" s="127"/>
      <c r="C362" s="97"/>
      <c r="D362" s="97"/>
      <c r="E362" s="97"/>
      <c r="F362" s="96"/>
      <c r="G362" s="96"/>
      <c r="H362" s="96"/>
      <c r="I362" s="96"/>
      <c r="J362" s="96"/>
      <c r="K362" s="96"/>
      <c r="L362" s="96"/>
      <c r="M362" s="96"/>
      <c r="N362" s="96"/>
      <c r="O362" s="96"/>
      <c r="P362" s="96"/>
      <c r="Q362" s="96"/>
      <c r="R362" s="96"/>
      <c r="S362" s="96"/>
    </row>
    <row r="363" spans="1:19">
      <c r="A363" s="126"/>
      <c r="B363" s="127"/>
      <c r="C363" s="97"/>
      <c r="D363" s="97"/>
      <c r="E363" s="97"/>
      <c r="F363" s="96"/>
      <c r="G363" s="96"/>
      <c r="H363" s="96"/>
      <c r="I363" s="96"/>
      <c r="J363" s="96"/>
      <c r="K363" s="96"/>
      <c r="L363" s="96"/>
      <c r="M363" s="96"/>
      <c r="N363" s="96"/>
      <c r="O363" s="96"/>
      <c r="P363" s="96"/>
      <c r="Q363" s="96"/>
      <c r="R363" s="96"/>
      <c r="S363" s="96"/>
    </row>
    <row r="364" spans="1:19">
      <c r="A364" s="126"/>
      <c r="B364" s="127"/>
      <c r="C364" s="97"/>
      <c r="D364" s="97"/>
      <c r="E364" s="97"/>
      <c r="F364" s="96"/>
      <c r="G364" s="96"/>
      <c r="H364" s="96"/>
      <c r="I364" s="96"/>
      <c r="J364" s="96"/>
      <c r="K364" s="96"/>
      <c r="L364" s="96"/>
      <c r="M364" s="96"/>
      <c r="N364" s="96"/>
      <c r="O364" s="96"/>
      <c r="P364" s="96"/>
      <c r="Q364" s="96"/>
      <c r="R364" s="96"/>
      <c r="S364" s="96"/>
    </row>
    <row r="365" spans="1:19">
      <c r="A365" s="126"/>
      <c r="B365" s="127"/>
      <c r="C365" s="97"/>
      <c r="D365" s="97"/>
      <c r="E365" s="97"/>
      <c r="F365" s="96"/>
      <c r="G365" s="96"/>
      <c r="H365" s="96"/>
      <c r="I365" s="96"/>
      <c r="J365" s="96"/>
      <c r="K365" s="96"/>
      <c r="L365" s="96"/>
      <c r="M365" s="96"/>
      <c r="N365" s="96"/>
      <c r="O365" s="96"/>
      <c r="P365" s="96"/>
      <c r="Q365" s="96"/>
      <c r="R365" s="96"/>
      <c r="S365" s="96"/>
    </row>
    <row r="366" spans="1:19">
      <c r="A366" s="126"/>
      <c r="B366" s="127"/>
      <c r="C366" s="97"/>
      <c r="D366" s="97"/>
      <c r="E366" s="97"/>
      <c r="F366" s="96"/>
      <c r="G366" s="96"/>
      <c r="H366" s="96"/>
      <c r="I366" s="96"/>
      <c r="J366" s="96"/>
      <c r="K366" s="96"/>
      <c r="L366" s="96"/>
      <c r="M366" s="96"/>
      <c r="N366" s="96"/>
      <c r="O366" s="96"/>
      <c r="P366" s="96"/>
      <c r="Q366" s="96"/>
      <c r="R366" s="96"/>
      <c r="S366" s="96"/>
    </row>
    <row r="367" spans="1:19">
      <c r="A367" s="126"/>
      <c r="B367" s="127"/>
      <c r="C367" s="97"/>
      <c r="D367" s="97"/>
      <c r="E367" s="97"/>
      <c r="F367" s="96"/>
      <c r="G367" s="96"/>
      <c r="H367" s="96"/>
      <c r="I367" s="96"/>
      <c r="J367" s="96"/>
      <c r="K367" s="96"/>
      <c r="L367" s="96"/>
      <c r="M367" s="96"/>
      <c r="N367" s="96"/>
      <c r="O367" s="96"/>
      <c r="P367" s="96"/>
      <c r="Q367" s="96"/>
      <c r="R367" s="96"/>
      <c r="S367" s="96"/>
    </row>
    <row r="368" spans="1:19">
      <c r="A368" s="126"/>
      <c r="B368" s="127"/>
      <c r="C368" s="97"/>
      <c r="D368" s="97"/>
      <c r="E368" s="97"/>
      <c r="F368" s="96"/>
      <c r="G368" s="96"/>
      <c r="H368" s="96"/>
      <c r="I368" s="96"/>
      <c r="J368" s="96"/>
      <c r="K368" s="96"/>
      <c r="L368" s="96"/>
      <c r="M368" s="96"/>
      <c r="N368" s="96"/>
      <c r="O368" s="96"/>
      <c r="P368" s="96"/>
      <c r="Q368" s="96"/>
      <c r="R368" s="96"/>
      <c r="S368" s="96"/>
    </row>
    <row r="369" spans="1:19">
      <c r="A369" s="126"/>
      <c r="B369" s="127"/>
      <c r="C369" s="97"/>
      <c r="D369" s="97"/>
      <c r="E369" s="97"/>
      <c r="F369" s="96"/>
      <c r="G369" s="96"/>
      <c r="H369" s="96"/>
      <c r="I369" s="96"/>
      <c r="J369" s="96"/>
      <c r="K369" s="96"/>
      <c r="L369" s="96"/>
      <c r="M369" s="96"/>
      <c r="N369" s="96"/>
      <c r="O369" s="96"/>
      <c r="P369" s="96"/>
      <c r="Q369" s="96"/>
      <c r="R369" s="96"/>
      <c r="S369" s="96"/>
    </row>
    <row r="370" spans="1:19">
      <c r="A370" s="126"/>
      <c r="B370" s="127"/>
      <c r="C370" s="97"/>
      <c r="D370" s="97"/>
      <c r="E370" s="97"/>
      <c r="F370" s="96"/>
      <c r="G370" s="96"/>
      <c r="H370" s="96"/>
      <c r="I370" s="96"/>
      <c r="J370" s="96"/>
      <c r="K370" s="96"/>
      <c r="L370" s="96"/>
      <c r="M370" s="96"/>
      <c r="N370" s="96"/>
      <c r="O370" s="96"/>
      <c r="P370" s="96"/>
      <c r="Q370" s="96"/>
      <c r="R370" s="96"/>
      <c r="S370" s="96"/>
    </row>
    <row r="371" spans="1:19">
      <c r="A371" s="126"/>
      <c r="B371" s="127"/>
      <c r="C371" s="97"/>
      <c r="D371" s="97"/>
      <c r="E371" s="97"/>
      <c r="F371" s="96"/>
      <c r="G371" s="96"/>
      <c r="H371" s="96"/>
      <c r="I371" s="96"/>
      <c r="J371" s="96"/>
      <c r="K371" s="96"/>
      <c r="L371" s="96"/>
      <c r="M371" s="96"/>
      <c r="N371" s="96"/>
      <c r="O371" s="96"/>
      <c r="P371" s="96"/>
      <c r="Q371" s="96"/>
      <c r="R371" s="96"/>
      <c r="S371" s="96"/>
    </row>
    <row r="372" spans="1:19">
      <c r="A372" s="126"/>
      <c r="B372" s="127"/>
      <c r="C372" s="97"/>
      <c r="D372" s="97"/>
      <c r="E372" s="97"/>
      <c r="F372" s="96"/>
      <c r="G372" s="96"/>
      <c r="H372" s="96"/>
      <c r="I372" s="96"/>
      <c r="J372" s="96"/>
      <c r="K372" s="96"/>
      <c r="L372" s="96"/>
      <c r="M372" s="96"/>
      <c r="N372" s="96"/>
      <c r="O372" s="96"/>
      <c r="P372" s="96"/>
      <c r="Q372" s="96"/>
      <c r="R372" s="96"/>
      <c r="S372" s="96"/>
    </row>
    <row r="373" spans="1:19">
      <c r="A373" s="126"/>
      <c r="B373" s="127"/>
      <c r="C373" s="97"/>
      <c r="D373" s="97"/>
      <c r="E373" s="97"/>
      <c r="F373" s="96"/>
      <c r="G373" s="96"/>
      <c r="H373" s="96"/>
      <c r="I373" s="96"/>
      <c r="J373" s="96"/>
      <c r="K373" s="96"/>
      <c r="L373" s="96"/>
      <c r="M373" s="96"/>
      <c r="N373" s="96"/>
      <c r="O373" s="96"/>
      <c r="P373" s="96"/>
      <c r="Q373" s="96"/>
      <c r="R373" s="96"/>
      <c r="S373" s="96"/>
    </row>
    <row r="374" spans="1:19">
      <c r="A374" s="126"/>
      <c r="B374" s="127"/>
      <c r="C374" s="97"/>
      <c r="D374" s="97"/>
      <c r="E374" s="97"/>
      <c r="F374" s="96"/>
      <c r="G374" s="96"/>
      <c r="H374" s="96"/>
      <c r="I374" s="96"/>
      <c r="J374" s="96"/>
      <c r="K374" s="96"/>
      <c r="L374" s="96"/>
      <c r="M374" s="96"/>
      <c r="N374" s="96"/>
      <c r="O374" s="96"/>
      <c r="P374" s="96"/>
      <c r="Q374" s="96"/>
      <c r="R374" s="96"/>
      <c r="S374" s="96"/>
    </row>
    <row r="375" spans="1:19">
      <c r="A375" s="126"/>
      <c r="B375" s="127"/>
      <c r="C375" s="97"/>
      <c r="D375" s="97"/>
      <c r="E375" s="97"/>
      <c r="F375" s="96"/>
      <c r="G375" s="96"/>
      <c r="H375" s="96"/>
      <c r="I375" s="96"/>
      <c r="J375" s="96"/>
      <c r="K375" s="96"/>
      <c r="L375" s="96"/>
      <c r="M375" s="96"/>
      <c r="N375" s="96"/>
      <c r="O375" s="96"/>
      <c r="P375" s="96"/>
      <c r="Q375" s="96"/>
      <c r="R375" s="96"/>
      <c r="S375" s="96"/>
    </row>
    <row r="376" spans="1:19">
      <c r="A376" s="126"/>
      <c r="B376" s="127"/>
      <c r="C376" s="97"/>
      <c r="D376" s="97"/>
      <c r="E376" s="97"/>
      <c r="F376" s="96"/>
      <c r="G376" s="96"/>
      <c r="H376" s="96"/>
      <c r="I376" s="96"/>
      <c r="J376" s="96"/>
      <c r="K376" s="96"/>
      <c r="L376" s="96"/>
      <c r="M376" s="96"/>
      <c r="N376" s="96"/>
      <c r="O376" s="96"/>
      <c r="P376" s="96"/>
      <c r="Q376" s="96"/>
      <c r="R376" s="96"/>
      <c r="S376" s="96"/>
    </row>
    <row r="377" spans="1:19">
      <c r="A377" s="126"/>
      <c r="B377" s="127"/>
      <c r="C377" s="97"/>
      <c r="D377" s="97"/>
      <c r="E377" s="97"/>
      <c r="F377" s="96"/>
      <c r="G377" s="96"/>
      <c r="H377" s="96"/>
      <c r="I377" s="96"/>
      <c r="J377" s="96"/>
      <c r="K377" s="96"/>
      <c r="L377" s="96"/>
      <c r="M377" s="96"/>
      <c r="N377" s="96"/>
      <c r="O377" s="96"/>
      <c r="P377" s="96"/>
      <c r="Q377" s="96"/>
      <c r="R377" s="96"/>
      <c r="S377" s="96"/>
    </row>
    <row r="378" spans="1:19">
      <c r="A378" s="126"/>
      <c r="B378" s="127"/>
      <c r="C378" s="97"/>
      <c r="D378" s="97"/>
      <c r="E378" s="97"/>
      <c r="F378" s="96"/>
      <c r="G378" s="96"/>
      <c r="H378" s="96"/>
      <c r="I378" s="96"/>
      <c r="J378" s="96"/>
      <c r="K378" s="96"/>
      <c r="L378" s="96"/>
      <c r="M378" s="96"/>
      <c r="N378" s="96"/>
      <c r="O378" s="96"/>
      <c r="P378" s="96"/>
      <c r="Q378" s="96"/>
      <c r="R378" s="96"/>
      <c r="S378" s="96"/>
    </row>
    <row r="379" spans="1:19">
      <c r="A379" s="126"/>
      <c r="B379" s="127"/>
      <c r="C379" s="97"/>
      <c r="D379" s="97"/>
      <c r="E379" s="97"/>
      <c r="F379" s="96"/>
      <c r="G379" s="96"/>
      <c r="H379" s="96"/>
      <c r="I379" s="96"/>
      <c r="J379" s="96"/>
      <c r="K379" s="96"/>
      <c r="L379" s="96"/>
      <c r="M379" s="96"/>
      <c r="N379" s="96"/>
      <c r="O379" s="96"/>
      <c r="P379" s="96"/>
      <c r="Q379" s="96"/>
      <c r="R379" s="96"/>
      <c r="S379" s="96"/>
    </row>
    <row r="380" spans="1:19">
      <c r="A380" s="126"/>
      <c r="B380" s="127"/>
      <c r="C380" s="97"/>
      <c r="D380" s="97"/>
      <c r="E380" s="97"/>
      <c r="F380" s="96"/>
      <c r="G380" s="96"/>
      <c r="H380" s="96"/>
      <c r="I380" s="96"/>
      <c r="J380" s="96"/>
      <c r="K380" s="96"/>
      <c r="L380" s="96"/>
      <c r="M380" s="96"/>
      <c r="N380" s="96"/>
      <c r="O380" s="96"/>
      <c r="P380" s="96"/>
      <c r="Q380" s="96"/>
      <c r="R380" s="96"/>
      <c r="S380" s="96"/>
    </row>
    <row r="381" spans="1:19">
      <c r="A381" s="126"/>
      <c r="B381" s="127"/>
      <c r="C381" s="97"/>
      <c r="D381" s="97"/>
      <c r="E381" s="97"/>
      <c r="F381" s="96"/>
      <c r="G381" s="96"/>
      <c r="H381" s="96"/>
      <c r="I381" s="96"/>
      <c r="J381" s="96"/>
      <c r="K381" s="96"/>
      <c r="L381" s="96"/>
      <c r="M381" s="96"/>
      <c r="N381" s="96"/>
      <c r="O381" s="96"/>
      <c r="P381" s="96"/>
      <c r="Q381" s="96"/>
      <c r="R381" s="96"/>
      <c r="S381" s="96"/>
    </row>
    <row r="382" spans="1:19">
      <c r="A382" s="126"/>
      <c r="B382" s="127"/>
      <c r="C382" s="97"/>
      <c r="D382" s="97"/>
      <c r="E382" s="97"/>
      <c r="F382" s="96"/>
      <c r="G382" s="96"/>
      <c r="H382" s="96"/>
      <c r="I382" s="96"/>
      <c r="J382" s="96"/>
      <c r="K382" s="96"/>
      <c r="L382" s="96"/>
      <c r="M382" s="96"/>
      <c r="N382" s="96"/>
      <c r="O382" s="96"/>
      <c r="P382" s="96"/>
      <c r="Q382" s="96"/>
      <c r="R382" s="96"/>
      <c r="S382" s="96"/>
    </row>
    <row r="383" spans="1:19">
      <c r="A383" s="126"/>
      <c r="B383" s="127"/>
      <c r="C383" s="97"/>
      <c r="D383" s="97"/>
      <c r="E383" s="97"/>
      <c r="F383" s="96"/>
      <c r="G383" s="96"/>
      <c r="H383" s="96"/>
      <c r="I383" s="96"/>
      <c r="J383" s="96"/>
      <c r="K383" s="96"/>
      <c r="L383" s="96"/>
      <c r="M383" s="96"/>
      <c r="N383" s="96"/>
      <c r="O383" s="96"/>
      <c r="P383" s="96"/>
      <c r="Q383" s="96"/>
      <c r="R383" s="96"/>
      <c r="S383" s="96"/>
    </row>
    <row r="384" spans="1:19">
      <c r="A384" s="126"/>
      <c r="B384" s="127"/>
      <c r="C384" s="97"/>
      <c r="D384" s="97"/>
      <c r="E384" s="97"/>
      <c r="F384" s="96"/>
      <c r="G384" s="96"/>
      <c r="H384" s="96"/>
      <c r="I384" s="96"/>
      <c r="J384" s="96"/>
      <c r="K384" s="96"/>
      <c r="L384" s="96"/>
      <c r="M384" s="96"/>
      <c r="N384" s="96"/>
      <c r="O384" s="96"/>
      <c r="P384" s="96"/>
      <c r="Q384" s="96"/>
      <c r="R384" s="96"/>
      <c r="S384" s="96"/>
    </row>
    <row r="385" spans="1:19">
      <c r="A385" s="126"/>
      <c r="B385" s="127"/>
      <c r="C385" s="97"/>
      <c r="D385" s="97"/>
      <c r="E385" s="97"/>
      <c r="F385" s="96"/>
      <c r="G385" s="96"/>
      <c r="H385" s="96"/>
      <c r="I385" s="96"/>
      <c r="J385" s="96"/>
      <c r="K385" s="96"/>
      <c r="L385" s="96"/>
      <c r="M385" s="96"/>
      <c r="N385" s="96"/>
      <c r="O385" s="96"/>
      <c r="P385" s="96"/>
      <c r="Q385" s="96"/>
      <c r="R385" s="96"/>
      <c r="S385" s="96"/>
    </row>
    <row r="386" spans="1:19">
      <c r="A386" s="126"/>
      <c r="B386" s="127"/>
      <c r="C386" s="97"/>
      <c r="D386" s="97"/>
      <c r="E386" s="97"/>
      <c r="F386" s="96"/>
      <c r="G386" s="96"/>
      <c r="H386" s="96"/>
      <c r="I386" s="96"/>
      <c r="J386" s="96"/>
      <c r="K386" s="96"/>
      <c r="L386" s="96"/>
      <c r="M386" s="96"/>
      <c r="N386" s="96"/>
      <c r="O386" s="96"/>
      <c r="P386" s="96"/>
      <c r="Q386" s="96"/>
      <c r="R386" s="96"/>
      <c r="S386" s="96"/>
    </row>
    <row r="387" spans="1:19">
      <c r="A387" s="126"/>
      <c r="B387" s="127"/>
      <c r="C387" s="97"/>
      <c r="D387" s="97"/>
      <c r="E387" s="97"/>
      <c r="F387" s="96"/>
      <c r="G387" s="96"/>
      <c r="H387" s="96"/>
      <c r="I387" s="96"/>
      <c r="J387" s="96"/>
      <c r="K387" s="96"/>
      <c r="L387" s="96"/>
      <c r="M387" s="96"/>
      <c r="N387" s="96"/>
      <c r="O387" s="96"/>
      <c r="P387" s="96"/>
      <c r="Q387" s="96"/>
      <c r="R387" s="96"/>
      <c r="S387" s="96"/>
    </row>
    <row r="388" spans="1:19">
      <c r="A388" s="126"/>
      <c r="B388" s="127"/>
      <c r="C388" s="97"/>
      <c r="D388" s="97"/>
      <c r="E388" s="97"/>
      <c r="F388" s="96"/>
      <c r="G388" s="96"/>
      <c r="H388" s="96"/>
      <c r="I388" s="96"/>
      <c r="J388" s="96"/>
      <c r="K388" s="96"/>
      <c r="L388" s="96"/>
      <c r="M388" s="96"/>
      <c r="N388" s="96"/>
      <c r="O388" s="96"/>
      <c r="P388" s="96"/>
      <c r="Q388" s="96"/>
      <c r="R388" s="96"/>
      <c r="S388" s="96"/>
    </row>
    <row r="389" spans="1:19">
      <c r="A389" s="126"/>
      <c r="B389" s="127"/>
      <c r="C389" s="97"/>
      <c r="D389" s="97"/>
      <c r="E389" s="97"/>
      <c r="F389" s="96"/>
      <c r="G389" s="96"/>
      <c r="H389" s="96"/>
      <c r="I389" s="96"/>
      <c r="J389" s="96"/>
      <c r="K389" s="96"/>
      <c r="L389" s="96"/>
      <c r="M389" s="96"/>
      <c r="N389" s="96"/>
      <c r="O389" s="96"/>
      <c r="P389" s="96"/>
      <c r="Q389" s="96"/>
      <c r="R389" s="96"/>
      <c r="S389" s="96"/>
    </row>
    <row r="390" spans="1:19">
      <c r="A390" s="126"/>
      <c r="B390" s="127"/>
      <c r="C390" s="97"/>
      <c r="D390" s="97"/>
      <c r="E390" s="97"/>
      <c r="F390" s="96"/>
      <c r="G390" s="96"/>
      <c r="H390" s="96"/>
      <c r="I390" s="96"/>
      <c r="J390" s="96"/>
      <c r="K390" s="96"/>
      <c r="L390" s="96"/>
      <c r="M390" s="96"/>
      <c r="N390" s="96"/>
      <c r="O390" s="96"/>
      <c r="P390" s="96"/>
      <c r="Q390" s="96"/>
      <c r="R390" s="96"/>
      <c r="S390" s="96"/>
    </row>
    <row r="391" spans="1:19">
      <c r="A391" s="126"/>
      <c r="B391" s="127"/>
      <c r="C391" s="97"/>
      <c r="D391" s="97"/>
      <c r="E391" s="97"/>
      <c r="F391" s="96"/>
      <c r="G391" s="96"/>
      <c r="H391" s="96"/>
      <c r="I391" s="96"/>
      <c r="J391" s="96"/>
      <c r="K391" s="96"/>
      <c r="L391" s="96"/>
      <c r="M391" s="96"/>
      <c r="N391" s="96"/>
      <c r="O391" s="96"/>
      <c r="P391" s="96"/>
      <c r="Q391" s="96"/>
      <c r="R391" s="96"/>
      <c r="S391" s="96"/>
    </row>
    <row r="392" spans="1:19">
      <c r="A392" s="126"/>
      <c r="B392" s="127"/>
      <c r="C392" s="97"/>
      <c r="D392" s="97"/>
      <c r="E392" s="97"/>
      <c r="F392" s="96"/>
      <c r="G392" s="96"/>
      <c r="H392" s="96"/>
      <c r="I392" s="96"/>
      <c r="J392" s="96"/>
      <c r="K392" s="96"/>
      <c r="L392" s="96"/>
      <c r="M392" s="96"/>
      <c r="N392" s="96"/>
      <c r="O392" s="96"/>
      <c r="P392" s="96"/>
      <c r="Q392" s="96"/>
      <c r="R392" s="96"/>
      <c r="S392" s="96"/>
    </row>
    <row r="393" spans="1:19">
      <c r="A393" s="126"/>
      <c r="B393" s="127"/>
      <c r="C393" s="97"/>
      <c r="D393" s="97"/>
      <c r="E393" s="97"/>
      <c r="F393" s="96"/>
      <c r="G393" s="96"/>
      <c r="H393" s="96"/>
      <c r="I393" s="96"/>
      <c r="J393" s="96"/>
      <c r="K393" s="96"/>
      <c r="L393" s="96"/>
      <c r="M393" s="96"/>
      <c r="N393" s="96"/>
      <c r="O393" s="96"/>
      <c r="P393" s="96"/>
      <c r="Q393" s="96"/>
      <c r="R393" s="96"/>
      <c r="S393" s="96"/>
    </row>
    <row r="394" spans="1:19">
      <c r="A394" s="126"/>
      <c r="B394" s="127"/>
      <c r="C394" s="97"/>
      <c r="D394" s="97"/>
      <c r="E394" s="97"/>
      <c r="F394" s="96"/>
      <c r="G394" s="96"/>
      <c r="H394" s="96"/>
      <c r="I394" s="96"/>
      <c r="J394" s="96"/>
      <c r="K394" s="96"/>
      <c r="L394" s="96"/>
      <c r="M394" s="96"/>
      <c r="N394" s="96"/>
      <c r="O394" s="96"/>
      <c r="P394" s="96"/>
      <c r="Q394" s="96"/>
      <c r="R394" s="96"/>
      <c r="S394" s="96"/>
    </row>
    <row r="395" spans="1:19">
      <c r="A395" s="126"/>
      <c r="B395" s="127"/>
      <c r="C395" s="97"/>
      <c r="D395" s="97"/>
      <c r="E395" s="97"/>
      <c r="F395" s="96"/>
      <c r="G395" s="96"/>
      <c r="H395" s="96"/>
      <c r="I395" s="96"/>
      <c r="J395" s="96"/>
      <c r="K395" s="96"/>
      <c r="L395" s="96"/>
      <c r="M395" s="96"/>
      <c r="N395" s="96"/>
      <c r="O395" s="96"/>
      <c r="P395" s="96"/>
      <c r="Q395" s="96"/>
      <c r="R395" s="96"/>
      <c r="S395" s="96"/>
    </row>
    <row r="396" spans="1:19">
      <c r="A396" s="126"/>
      <c r="B396" s="127"/>
      <c r="C396" s="97"/>
      <c r="D396" s="97"/>
      <c r="E396" s="97"/>
      <c r="F396" s="96"/>
      <c r="G396" s="96"/>
      <c r="H396" s="96"/>
      <c r="I396" s="96"/>
      <c r="J396" s="96"/>
      <c r="K396" s="96"/>
      <c r="L396" s="96"/>
      <c r="M396" s="96"/>
      <c r="N396" s="96"/>
      <c r="O396" s="96"/>
      <c r="P396" s="96"/>
      <c r="Q396" s="96"/>
      <c r="R396" s="96"/>
      <c r="S396" s="96"/>
    </row>
    <row r="397" spans="1:19">
      <c r="A397" s="126"/>
      <c r="B397" s="127"/>
      <c r="C397" s="97"/>
      <c r="D397" s="97"/>
      <c r="E397" s="97"/>
      <c r="F397" s="96"/>
      <c r="G397" s="96"/>
      <c r="H397" s="96"/>
      <c r="I397" s="96"/>
      <c r="J397" s="96"/>
      <c r="K397" s="96"/>
      <c r="L397" s="96"/>
      <c r="M397" s="96"/>
      <c r="N397" s="96"/>
      <c r="O397" s="96"/>
      <c r="P397" s="96"/>
      <c r="Q397" s="96"/>
      <c r="R397" s="96"/>
      <c r="S397" s="96"/>
    </row>
    <row r="398" spans="1:19">
      <c r="A398" s="126"/>
      <c r="B398" s="127"/>
      <c r="C398" s="97"/>
      <c r="D398" s="97"/>
      <c r="E398" s="97"/>
      <c r="F398" s="96"/>
      <c r="G398" s="96"/>
      <c r="H398" s="96"/>
      <c r="I398" s="96"/>
      <c r="J398" s="96"/>
      <c r="K398" s="96"/>
      <c r="L398" s="96"/>
      <c r="M398" s="96"/>
      <c r="N398" s="96"/>
      <c r="O398" s="96"/>
      <c r="P398" s="96"/>
      <c r="Q398" s="96"/>
      <c r="R398" s="96"/>
      <c r="S398" s="96"/>
    </row>
    <row r="399" spans="1:19">
      <c r="A399" s="126"/>
      <c r="B399" s="127"/>
      <c r="C399" s="97"/>
      <c r="D399" s="97"/>
      <c r="E399" s="97"/>
      <c r="F399" s="96"/>
      <c r="G399" s="96"/>
      <c r="H399" s="96"/>
      <c r="I399" s="96"/>
      <c r="J399" s="96"/>
      <c r="K399" s="96"/>
      <c r="L399" s="96"/>
      <c r="M399" s="96"/>
      <c r="N399" s="96"/>
      <c r="O399" s="96"/>
      <c r="P399" s="96"/>
      <c r="Q399" s="96"/>
      <c r="R399" s="96"/>
      <c r="S399" s="96"/>
    </row>
    <row r="400" spans="1:19">
      <c r="A400" s="126"/>
      <c r="B400" s="127"/>
      <c r="C400" s="97"/>
      <c r="D400" s="97"/>
      <c r="E400" s="97"/>
      <c r="F400" s="96"/>
      <c r="G400" s="96"/>
      <c r="H400" s="96"/>
      <c r="I400" s="96"/>
      <c r="J400" s="96"/>
      <c r="K400" s="96"/>
      <c r="L400" s="96"/>
      <c r="M400" s="96"/>
      <c r="N400" s="96"/>
      <c r="O400" s="96"/>
      <c r="P400" s="96"/>
      <c r="Q400" s="96"/>
      <c r="R400" s="96"/>
      <c r="S400" s="96"/>
    </row>
    <row r="401" spans="1:19">
      <c r="A401" s="126"/>
      <c r="B401" s="127"/>
      <c r="C401" s="97"/>
      <c r="D401" s="97"/>
      <c r="E401" s="97"/>
      <c r="F401" s="96"/>
      <c r="G401" s="96"/>
      <c r="H401" s="96"/>
      <c r="I401" s="96"/>
      <c r="J401" s="96"/>
      <c r="K401" s="96"/>
      <c r="L401" s="96"/>
      <c r="M401" s="96"/>
      <c r="N401" s="96"/>
      <c r="O401" s="96"/>
      <c r="P401" s="96"/>
      <c r="Q401" s="96"/>
      <c r="R401" s="96"/>
      <c r="S401" s="96"/>
    </row>
    <row r="402" spans="1:19">
      <c r="A402" s="126"/>
      <c r="B402" s="127"/>
      <c r="C402" s="97"/>
      <c r="D402" s="97"/>
      <c r="E402" s="97"/>
      <c r="F402" s="96"/>
      <c r="G402" s="96"/>
      <c r="H402" s="96"/>
      <c r="I402" s="96"/>
      <c r="J402" s="96"/>
      <c r="K402" s="96"/>
      <c r="L402" s="96"/>
      <c r="M402" s="96"/>
      <c r="N402" s="96"/>
      <c r="O402" s="96"/>
      <c r="P402" s="96"/>
      <c r="Q402" s="96"/>
      <c r="R402" s="96"/>
      <c r="S402" s="96"/>
    </row>
    <row r="403" spans="1:19">
      <c r="A403" s="126"/>
      <c r="B403" s="127"/>
      <c r="C403" s="97"/>
      <c r="D403" s="97"/>
      <c r="E403" s="97"/>
      <c r="F403" s="96"/>
      <c r="G403" s="96"/>
      <c r="H403" s="96"/>
      <c r="I403" s="96"/>
      <c r="J403" s="96"/>
      <c r="K403" s="96"/>
      <c r="L403" s="96"/>
      <c r="M403" s="96"/>
      <c r="N403" s="96"/>
      <c r="O403" s="96"/>
      <c r="P403" s="96"/>
      <c r="Q403" s="96"/>
      <c r="R403" s="96"/>
      <c r="S403" s="96"/>
    </row>
    <row r="404" spans="1:19">
      <c r="A404" s="126"/>
      <c r="B404" s="127"/>
      <c r="C404" s="97"/>
      <c r="D404" s="97"/>
      <c r="E404" s="97"/>
      <c r="F404" s="96"/>
      <c r="G404" s="96"/>
      <c r="H404" s="96"/>
      <c r="I404" s="96"/>
      <c r="J404" s="96"/>
      <c r="K404" s="96"/>
      <c r="L404" s="96"/>
      <c r="M404" s="96"/>
      <c r="N404" s="96"/>
      <c r="O404" s="96"/>
      <c r="P404" s="96"/>
      <c r="Q404" s="96"/>
      <c r="R404" s="96"/>
      <c r="S404" s="96"/>
    </row>
    <row r="405" spans="1:19">
      <c r="A405" s="126"/>
      <c r="B405" s="127"/>
      <c r="C405" s="97"/>
      <c r="D405" s="97"/>
      <c r="E405" s="97"/>
      <c r="F405" s="96"/>
      <c r="G405" s="96"/>
      <c r="H405" s="96"/>
      <c r="I405" s="96"/>
      <c r="J405" s="96"/>
      <c r="K405" s="96"/>
      <c r="L405" s="96"/>
      <c r="M405" s="96"/>
      <c r="N405" s="96"/>
      <c r="O405" s="96"/>
      <c r="P405" s="96"/>
      <c r="Q405" s="96"/>
      <c r="R405" s="96"/>
      <c r="S405" s="96"/>
    </row>
    <row r="406" spans="1:19">
      <c r="A406" s="126"/>
      <c r="B406" s="127"/>
      <c r="C406" s="97"/>
      <c r="D406" s="97"/>
      <c r="E406" s="97"/>
      <c r="F406" s="96"/>
      <c r="G406" s="96"/>
      <c r="H406" s="96"/>
      <c r="I406" s="96"/>
      <c r="J406" s="96"/>
      <c r="K406" s="96"/>
      <c r="L406" s="96"/>
      <c r="M406" s="96"/>
      <c r="N406" s="96"/>
      <c r="O406" s="96"/>
      <c r="P406" s="96"/>
      <c r="Q406" s="96"/>
      <c r="R406" s="96"/>
      <c r="S406" s="96"/>
    </row>
    <row r="407" spans="1:19">
      <c r="A407" s="126"/>
      <c r="B407" s="127"/>
      <c r="C407" s="97"/>
      <c r="D407" s="97"/>
      <c r="E407" s="97"/>
      <c r="F407" s="96"/>
      <c r="G407" s="96"/>
      <c r="H407" s="96"/>
      <c r="I407" s="96"/>
      <c r="J407" s="96"/>
      <c r="K407" s="96"/>
      <c r="L407" s="96"/>
      <c r="M407" s="96"/>
      <c r="N407" s="96"/>
      <c r="O407" s="96"/>
      <c r="P407" s="96"/>
      <c r="Q407" s="96"/>
      <c r="R407" s="96"/>
      <c r="S407" s="96"/>
    </row>
    <row r="408" spans="1:19">
      <c r="A408" s="126"/>
      <c r="B408" s="127"/>
      <c r="C408" s="97"/>
      <c r="D408" s="97"/>
      <c r="E408" s="97"/>
      <c r="F408" s="96"/>
      <c r="G408" s="96"/>
      <c r="H408" s="96"/>
      <c r="I408" s="96"/>
      <c r="J408" s="96"/>
      <c r="K408" s="96"/>
      <c r="L408" s="96"/>
      <c r="M408" s="96"/>
      <c r="N408" s="96"/>
      <c r="O408" s="96"/>
      <c r="P408" s="96"/>
      <c r="Q408" s="96"/>
      <c r="R408" s="96"/>
      <c r="S408" s="96"/>
    </row>
    <row r="409" spans="1:19">
      <c r="A409" s="126"/>
      <c r="B409" s="127"/>
      <c r="C409" s="97"/>
      <c r="D409" s="97"/>
      <c r="E409" s="97"/>
      <c r="F409" s="96"/>
      <c r="G409" s="96"/>
      <c r="H409" s="96"/>
      <c r="I409" s="96"/>
      <c r="J409" s="96"/>
      <c r="K409" s="96"/>
      <c r="L409" s="96"/>
      <c r="M409" s="96"/>
      <c r="N409" s="96"/>
      <c r="O409" s="96"/>
      <c r="P409" s="96"/>
      <c r="Q409" s="96"/>
      <c r="R409" s="96"/>
      <c r="S409" s="96"/>
    </row>
    <row r="410" spans="1:19">
      <c r="A410" s="126"/>
      <c r="B410" s="127"/>
      <c r="C410" s="97"/>
      <c r="D410" s="97"/>
      <c r="E410" s="97"/>
      <c r="F410" s="96"/>
      <c r="G410" s="96"/>
      <c r="H410" s="96"/>
      <c r="I410" s="96"/>
      <c r="J410" s="96"/>
      <c r="K410" s="96"/>
      <c r="L410" s="96"/>
      <c r="M410" s="96"/>
      <c r="N410" s="96"/>
      <c r="O410" s="96"/>
      <c r="P410" s="96"/>
      <c r="Q410" s="96"/>
      <c r="R410" s="96"/>
      <c r="S410" s="96"/>
    </row>
    <row r="411" spans="1:19">
      <c r="A411" s="126"/>
      <c r="B411" s="127"/>
      <c r="C411" s="97"/>
      <c r="D411" s="97"/>
      <c r="E411" s="97"/>
      <c r="F411" s="96"/>
      <c r="G411" s="96"/>
      <c r="H411" s="96"/>
      <c r="I411" s="96"/>
      <c r="J411" s="96"/>
      <c r="K411" s="96"/>
      <c r="L411" s="96"/>
      <c r="M411" s="96"/>
      <c r="N411" s="96"/>
      <c r="O411" s="96"/>
      <c r="P411" s="96"/>
      <c r="Q411" s="96"/>
      <c r="R411" s="96"/>
      <c r="S411" s="96"/>
    </row>
    <row r="412" spans="1:19">
      <c r="A412" s="126"/>
      <c r="B412" s="127"/>
      <c r="C412" s="97"/>
      <c r="D412" s="97"/>
      <c r="E412" s="97"/>
      <c r="F412" s="96"/>
      <c r="G412" s="96"/>
      <c r="H412" s="96"/>
      <c r="I412" s="96"/>
      <c r="J412" s="96"/>
      <c r="K412" s="96"/>
      <c r="L412" s="96"/>
      <c r="M412" s="96"/>
      <c r="N412" s="96"/>
      <c r="O412" s="96"/>
      <c r="P412" s="96"/>
      <c r="Q412" s="96"/>
      <c r="R412" s="96"/>
      <c r="S412" s="96"/>
    </row>
    <row r="413" spans="1:19">
      <c r="A413" s="126"/>
      <c r="B413" s="127"/>
      <c r="C413" s="97"/>
      <c r="D413" s="97"/>
      <c r="E413" s="97"/>
      <c r="F413" s="96"/>
      <c r="G413" s="96"/>
      <c r="H413" s="96"/>
      <c r="I413" s="96"/>
      <c r="J413" s="96"/>
      <c r="K413" s="96"/>
      <c r="L413" s="96"/>
      <c r="M413" s="96"/>
      <c r="N413" s="96"/>
      <c r="O413" s="96"/>
      <c r="P413" s="96"/>
      <c r="Q413" s="96"/>
      <c r="R413" s="96"/>
      <c r="S413" s="96"/>
    </row>
    <row r="414" spans="1:19">
      <c r="A414" s="126"/>
      <c r="B414" s="127"/>
      <c r="C414" s="97"/>
      <c r="D414" s="97"/>
      <c r="E414" s="97"/>
      <c r="F414" s="96"/>
      <c r="G414" s="96"/>
      <c r="H414" s="96"/>
      <c r="I414" s="96"/>
      <c r="J414" s="96"/>
      <c r="K414" s="96"/>
      <c r="L414" s="96"/>
      <c r="M414" s="96"/>
      <c r="N414" s="96"/>
      <c r="O414" s="96"/>
      <c r="P414" s="96"/>
      <c r="Q414" s="96"/>
      <c r="R414" s="96"/>
      <c r="S414" s="96"/>
    </row>
    <row r="415" spans="1:19">
      <c r="A415" s="126"/>
      <c r="B415" s="127"/>
      <c r="C415" s="97"/>
      <c r="D415" s="97"/>
      <c r="E415" s="97"/>
      <c r="F415" s="96"/>
      <c r="G415" s="96"/>
      <c r="H415" s="96"/>
      <c r="I415" s="96"/>
      <c r="J415" s="96"/>
      <c r="K415" s="96"/>
      <c r="L415" s="96"/>
      <c r="M415" s="96"/>
      <c r="N415" s="96"/>
      <c r="O415" s="96"/>
      <c r="P415" s="96"/>
      <c r="Q415" s="96"/>
      <c r="R415" s="96"/>
      <c r="S415" s="96"/>
    </row>
    <row r="416" spans="1:19">
      <c r="A416" s="126"/>
      <c r="B416" s="127"/>
      <c r="C416" s="97"/>
      <c r="D416" s="97"/>
      <c r="E416" s="97"/>
      <c r="F416" s="96"/>
      <c r="G416" s="96"/>
      <c r="H416" s="96"/>
      <c r="I416" s="96"/>
      <c r="J416" s="96"/>
      <c r="K416" s="96"/>
      <c r="L416" s="96"/>
      <c r="M416" s="96"/>
      <c r="N416" s="96"/>
      <c r="O416" s="96"/>
      <c r="P416" s="96"/>
      <c r="Q416" s="96"/>
      <c r="R416" s="96"/>
      <c r="S416" s="96"/>
    </row>
    <row r="417" spans="1:19">
      <c r="A417" s="126"/>
      <c r="B417" s="127"/>
      <c r="C417" s="97"/>
      <c r="D417" s="97"/>
      <c r="E417" s="97"/>
      <c r="F417" s="96"/>
      <c r="G417" s="96"/>
      <c r="H417" s="96"/>
      <c r="I417" s="96"/>
      <c r="J417" s="96"/>
      <c r="K417" s="96"/>
      <c r="L417" s="96"/>
      <c r="M417" s="96"/>
      <c r="N417" s="96"/>
      <c r="O417" s="96"/>
      <c r="P417" s="96"/>
      <c r="Q417" s="96"/>
      <c r="R417" s="96"/>
      <c r="S417" s="96"/>
    </row>
    <row r="418" spans="1:19">
      <c r="A418" s="126"/>
      <c r="B418" s="127"/>
      <c r="C418" s="97"/>
      <c r="D418" s="97"/>
      <c r="E418" s="97"/>
      <c r="F418" s="96"/>
      <c r="G418" s="96"/>
      <c r="H418" s="96"/>
      <c r="I418" s="96"/>
      <c r="J418" s="96"/>
      <c r="K418" s="96"/>
      <c r="L418" s="96"/>
      <c r="M418" s="96"/>
      <c r="N418" s="96"/>
      <c r="O418" s="96"/>
      <c r="P418" s="96"/>
      <c r="Q418" s="96"/>
      <c r="R418" s="96"/>
      <c r="S418" s="96"/>
    </row>
    <row r="419" spans="1:19">
      <c r="A419" s="126"/>
      <c r="B419" s="127"/>
      <c r="C419" s="97"/>
      <c r="D419" s="97"/>
      <c r="E419" s="97"/>
      <c r="F419" s="96"/>
      <c r="G419" s="96"/>
      <c r="H419" s="96"/>
      <c r="I419" s="96"/>
      <c r="J419" s="96"/>
      <c r="K419" s="96"/>
      <c r="L419" s="96"/>
      <c r="M419" s="96"/>
      <c r="N419" s="96"/>
      <c r="O419" s="96"/>
      <c r="P419" s="96"/>
      <c r="Q419" s="96"/>
      <c r="R419" s="96"/>
      <c r="S419" s="96"/>
    </row>
    <row r="420" spans="1:19">
      <c r="A420" s="126"/>
      <c r="B420" s="127"/>
      <c r="C420" s="97"/>
      <c r="D420" s="97"/>
      <c r="E420" s="97"/>
      <c r="F420" s="96"/>
      <c r="G420" s="96"/>
      <c r="H420" s="96"/>
      <c r="I420" s="96"/>
      <c r="J420" s="96"/>
      <c r="K420" s="96"/>
      <c r="L420" s="96"/>
      <c r="M420" s="96"/>
      <c r="N420" s="96"/>
      <c r="O420" s="96"/>
      <c r="P420" s="96"/>
      <c r="Q420" s="96"/>
      <c r="R420" s="96"/>
      <c r="S420" s="96"/>
    </row>
    <row r="421" spans="1:19">
      <c r="A421" s="126"/>
      <c r="B421" s="127"/>
      <c r="C421" s="97"/>
      <c r="D421" s="97"/>
      <c r="E421" s="97"/>
      <c r="F421" s="96"/>
      <c r="G421" s="96"/>
      <c r="H421" s="96"/>
      <c r="I421" s="96"/>
      <c r="J421" s="96"/>
      <c r="K421" s="96"/>
      <c r="L421" s="96"/>
      <c r="M421" s="96"/>
      <c r="N421" s="96"/>
      <c r="O421" s="96"/>
      <c r="P421" s="96"/>
      <c r="Q421" s="96"/>
      <c r="R421" s="96"/>
      <c r="S421" s="96"/>
    </row>
    <row r="422" spans="1:19">
      <c r="A422" s="126"/>
      <c r="B422" s="127"/>
      <c r="C422" s="97"/>
      <c r="D422" s="97"/>
      <c r="E422" s="97"/>
      <c r="F422" s="96"/>
      <c r="G422" s="96"/>
      <c r="H422" s="96"/>
      <c r="I422" s="96"/>
      <c r="J422" s="96"/>
      <c r="K422" s="96"/>
      <c r="L422" s="96"/>
      <c r="M422" s="96"/>
      <c r="N422" s="96"/>
      <c r="O422" s="96"/>
      <c r="P422" s="96"/>
      <c r="Q422" s="96"/>
      <c r="R422" s="96"/>
      <c r="S422" s="96"/>
    </row>
    <row r="423" spans="1:19">
      <c r="A423" s="126"/>
      <c r="B423" s="127"/>
      <c r="C423" s="97"/>
      <c r="D423" s="97"/>
      <c r="E423" s="97"/>
      <c r="F423" s="96"/>
      <c r="G423" s="96"/>
      <c r="H423" s="96"/>
      <c r="I423" s="96"/>
      <c r="J423" s="96"/>
      <c r="K423" s="96"/>
      <c r="L423" s="96"/>
      <c r="M423" s="96"/>
      <c r="N423" s="96"/>
      <c r="O423" s="96"/>
      <c r="P423" s="96"/>
      <c r="Q423" s="96"/>
      <c r="R423" s="96"/>
      <c r="S423" s="96"/>
    </row>
    <row r="424" spans="1:19">
      <c r="A424" s="126"/>
      <c r="B424" s="127"/>
      <c r="C424" s="97"/>
      <c r="D424" s="97"/>
      <c r="E424" s="97"/>
      <c r="F424" s="96"/>
      <c r="G424" s="96"/>
      <c r="H424" s="96"/>
      <c r="I424" s="96"/>
      <c r="J424" s="96"/>
      <c r="K424" s="96"/>
      <c r="L424" s="96"/>
      <c r="M424" s="96"/>
      <c r="N424" s="96"/>
      <c r="O424" s="96"/>
      <c r="P424" s="96"/>
      <c r="Q424" s="96"/>
      <c r="R424" s="96"/>
      <c r="S424" s="96"/>
    </row>
    <row r="425" spans="1:19">
      <c r="A425" s="126"/>
      <c r="B425" s="127"/>
      <c r="C425" s="97"/>
      <c r="D425" s="97"/>
      <c r="E425" s="97"/>
      <c r="F425" s="96"/>
      <c r="G425" s="96"/>
      <c r="H425" s="96"/>
      <c r="I425" s="96"/>
      <c r="J425" s="96"/>
      <c r="K425" s="96"/>
      <c r="L425" s="96"/>
      <c r="M425" s="96"/>
      <c r="N425" s="96"/>
      <c r="O425" s="96"/>
      <c r="P425" s="96"/>
      <c r="Q425" s="96"/>
      <c r="R425" s="96"/>
      <c r="S425" s="96"/>
    </row>
    <row r="426" spans="1:19">
      <c r="A426" s="126"/>
      <c r="B426" s="127"/>
      <c r="C426" s="97"/>
      <c r="D426" s="97"/>
      <c r="E426" s="97"/>
      <c r="F426" s="96"/>
      <c r="G426" s="96"/>
      <c r="H426" s="96"/>
      <c r="I426" s="96"/>
      <c r="J426" s="96"/>
      <c r="K426" s="96"/>
      <c r="L426" s="96"/>
      <c r="M426" s="96"/>
      <c r="N426" s="96"/>
      <c r="O426" s="96"/>
      <c r="P426" s="96"/>
      <c r="Q426" s="96"/>
      <c r="R426" s="96"/>
      <c r="S426" s="96"/>
    </row>
    <row r="427" spans="1:19">
      <c r="A427" s="126"/>
      <c r="B427" s="127"/>
      <c r="C427" s="97"/>
      <c r="D427" s="97"/>
      <c r="E427" s="97"/>
      <c r="F427" s="96"/>
      <c r="G427" s="96"/>
      <c r="H427" s="96"/>
      <c r="I427" s="96"/>
      <c r="J427" s="96"/>
      <c r="K427" s="96"/>
      <c r="L427" s="96"/>
      <c r="M427" s="96"/>
      <c r="N427" s="96"/>
      <c r="O427" s="96"/>
      <c r="P427" s="96"/>
      <c r="Q427" s="96"/>
      <c r="R427" s="96"/>
      <c r="S427" s="96"/>
    </row>
    <row r="428" spans="1:19">
      <c r="A428" s="126"/>
      <c r="B428" s="127"/>
      <c r="C428" s="97"/>
      <c r="D428" s="97"/>
      <c r="E428" s="97"/>
      <c r="F428" s="96"/>
      <c r="G428" s="96"/>
      <c r="H428" s="96"/>
      <c r="I428" s="96"/>
      <c r="J428" s="96"/>
      <c r="K428" s="96"/>
      <c r="L428" s="96"/>
      <c r="M428" s="96"/>
      <c r="N428" s="96"/>
      <c r="O428" s="96"/>
      <c r="P428" s="96"/>
      <c r="Q428" s="96"/>
      <c r="R428" s="96"/>
      <c r="S428" s="96"/>
    </row>
    <row r="429" spans="1:19">
      <c r="A429" s="126"/>
      <c r="B429" s="127"/>
      <c r="C429" s="97"/>
      <c r="D429" s="97"/>
      <c r="E429" s="97"/>
      <c r="F429" s="96"/>
      <c r="G429" s="96"/>
      <c r="H429" s="96"/>
      <c r="I429" s="96"/>
      <c r="J429" s="96"/>
      <c r="K429" s="96"/>
      <c r="L429" s="96"/>
      <c r="M429" s="96"/>
      <c r="N429" s="96"/>
      <c r="O429" s="96"/>
      <c r="P429" s="96"/>
      <c r="Q429" s="96"/>
      <c r="R429" s="96"/>
      <c r="S429" s="96"/>
    </row>
    <row r="430" spans="1:19">
      <c r="A430" s="126"/>
      <c r="B430" s="127"/>
      <c r="C430" s="97"/>
      <c r="D430" s="97"/>
      <c r="E430" s="97"/>
      <c r="F430" s="96"/>
      <c r="G430" s="96"/>
      <c r="H430" s="96"/>
      <c r="I430" s="96"/>
      <c r="J430" s="96"/>
      <c r="K430" s="96"/>
      <c r="L430" s="96"/>
      <c r="M430" s="96"/>
      <c r="N430" s="96"/>
      <c r="O430" s="96"/>
      <c r="P430" s="96"/>
      <c r="Q430" s="96"/>
      <c r="R430" s="96"/>
      <c r="S430" s="96"/>
    </row>
    <row r="431" spans="1:19">
      <c r="A431" s="126"/>
      <c r="B431" s="127"/>
      <c r="C431" s="97"/>
      <c r="D431" s="97"/>
      <c r="E431" s="97"/>
      <c r="F431" s="96"/>
      <c r="G431" s="96"/>
      <c r="H431" s="96"/>
      <c r="I431" s="96"/>
      <c r="J431" s="96"/>
      <c r="K431" s="96"/>
      <c r="L431" s="96"/>
      <c r="M431" s="96"/>
      <c r="N431" s="96"/>
      <c r="O431" s="96"/>
      <c r="P431" s="96"/>
      <c r="Q431" s="96"/>
      <c r="R431" s="96"/>
      <c r="S431" s="96"/>
    </row>
    <row r="432" spans="1:19">
      <c r="A432" s="126"/>
      <c r="B432" s="127"/>
      <c r="C432" s="97"/>
      <c r="D432" s="97"/>
      <c r="E432" s="97"/>
      <c r="F432" s="96"/>
      <c r="G432" s="96"/>
      <c r="H432" s="96"/>
      <c r="I432" s="96"/>
      <c r="J432" s="96"/>
      <c r="K432" s="96"/>
      <c r="L432" s="96"/>
      <c r="M432" s="96"/>
      <c r="N432" s="96"/>
      <c r="O432" s="96"/>
      <c r="P432" s="96"/>
      <c r="Q432" s="96"/>
      <c r="R432" s="96"/>
      <c r="S432" s="96"/>
    </row>
    <row r="433" spans="1:19">
      <c r="A433" s="126"/>
      <c r="B433" s="127"/>
      <c r="C433" s="97"/>
      <c r="D433" s="97"/>
      <c r="E433" s="97"/>
      <c r="F433" s="96"/>
      <c r="G433" s="96"/>
      <c r="H433" s="96"/>
      <c r="I433" s="96"/>
      <c r="J433" s="96"/>
      <c r="K433" s="96"/>
      <c r="L433" s="96"/>
      <c r="M433" s="96"/>
      <c r="N433" s="96"/>
      <c r="O433" s="96"/>
      <c r="P433" s="96"/>
      <c r="Q433" s="96"/>
      <c r="R433" s="96"/>
      <c r="S433" s="96"/>
    </row>
    <row r="434" spans="1:19">
      <c r="A434" s="126"/>
      <c r="B434" s="127"/>
      <c r="C434" s="97"/>
      <c r="D434" s="97"/>
      <c r="E434" s="97"/>
      <c r="F434" s="96"/>
      <c r="G434" s="96"/>
      <c r="H434" s="96"/>
      <c r="I434" s="96"/>
      <c r="J434" s="96"/>
      <c r="K434" s="96"/>
      <c r="L434" s="96"/>
      <c r="M434" s="96"/>
      <c r="N434" s="96"/>
      <c r="O434" s="96"/>
      <c r="P434" s="96"/>
      <c r="Q434" s="96"/>
      <c r="R434" s="96"/>
      <c r="S434" s="96"/>
    </row>
    <row r="435" spans="1:19">
      <c r="A435" s="126"/>
      <c r="B435" s="127"/>
      <c r="C435" s="97"/>
      <c r="D435" s="97"/>
      <c r="E435" s="97"/>
      <c r="F435" s="96"/>
      <c r="G435" s="96"/>
      <c r="H435" s="96"/>
      <c r="I435" s="96"/>
      <c r="J435" s="96"/>
      <c r="K435" s="96"/>
      <c r="L435" s="96"/>
      <c r="M435" s="96"/>
      <c r="N435" s="96"/>
      <c r="O435" s="96"/>
      <c r="P435" s="96"/>
      <c r="Q435" s="96"/>
      <c r="R435" s="96"/>
      <c r="S435" s="96"/>
    </row>
    <row r="436" spans="1:19">
      <c r="A436" s="126"/>
      <c r="B436" s="127"/>
      <c r="C436" s="97"/>
      <c r="D436" s="97"/>
      <c r="E436" s="97"/>
      <c r="F436" s="96"/>
      <c r="G436" s="96"/>
      <c r="H436" s="96"/>
      <c r="I436" s="96"/>
      <c r="J436" s="96"/>
      <c r="K436" s="96"/>
      <c r="L436" s="96"/>
      <c r="M436" s="96"/>
      <c r="N436" s="96"/>
      <c r="O436" s="96"/>
      <c r="P436" s="96"/>
      <c r="Q436" s="96"/>
      <c r="R436" s="96"/>
      <c r="S436" s="96"/>
    </row>
    <row r="437" spans="1:19">
      <c r="A437" s="126"/>
      <c r="B437" s="127"/>
      <c r="C437" s="97"/>
      <c r="D437" s="97"/>
      <c r="E437" s="97"/>
      <c r="F437" s="96"/>
      <c r="G437" s="96"/>
      <c r="H437" s="96"/>
      <c r="I437" s="96"/>
      <c r="J437" s="96"/>
      <c r="K437" s="96"/>
      <c r="L437" s="96"/>
      <c r="M437" s="96"/>
      <c r="N437" s="96"/>
      <c r="O437" s="96"/>
      <c r="P437" s="96"/>
      <c r="Q437" s="96"/>
      <c r="R437" s="96"/>
      <c r="S437" s="96"/>
    </row>
    <row r="438" spans="1:19">
      <c r="A438" s="126"/>
      <c r="B438" s="127"/>
      <c r="C438" s="97"/>
      <c r="D438" s="97"/>
      <c r="E438" s="97"/>
      <c r="F438" s="96"/>
      <c r="G438" s="96"/>
      <c r="H438" s="96"/>
      <c r="I438" s="96"/>
      <c r="J438" s="96"/>
      <c r="K438" s="96"/>
      <c r="L438" s="96"/>
      <c r="M438" s="96"/>
      <c r="N438" s="96"/>
      <c r="O438" s="96"/>
      <c r="P438" s="96"/>
      <c r="Q438" s="96"/>
      <c r="R438" s="96"/>
      <c r="S438" s="96"/>
    </row>
    <row r="439" spans="1:19">
      <c r="A439" s="126"/>
      <c r="B439" s="127"/>
      <c r="C439" s="97"/>
      <c r="D439" s="97"/>
      <c r="E439" s="97"/>
      <c r="F439" s="96"/>
      <c r="G439" s="96"/>
      <c r="H439" s="96"/>
      <c r="I439" s="96"/>
      <c r="J439" s="96"/>
      <c r="K439" s="96"/>
      <c r="L439" s="96"/>
      <c r="M439" s="96"/>
      <c r="N439" s="96"/>
      <c r="O439" s="96"/>
      <c r="P439" s="96"/>
      <c r="Q439" s="96"/>
      <c r="R439" s="96"/>
      <c r="S439" s="96"/>
    </row>
    <row r="440" spans="1:19">
      <c r="A440" s="126"/>
      <c r="B440" s="127"/>
      <c r="C440" s="97"/>
      <c r="D440" s="97"/>
      <c r="E440" s="97"/>
      <c r="F440" s="96"/>
      <c r="G440" s="96"/>
      <c r="H440" s="96"/>
      <c r="I440" s="96"/>
      <c r="J440" s="96"/>
      <c r="K440" s="96"/>
      <c r="L440" s="96"/>
      <c r="M440" s="96"/>
      <c r="N440" s="96"/>
      <c r="O440" s="96"/>
      <c r="P440" s="96"/>
      <c r="Q440" s="96"/>
      <c r="R440" s="96"/>
      <c r="S440" s="96"/>
    </row>
    <row r="441" spans="1:19">
      <c r="A441" s="126"/>
      <c r="B441" s="127"/>
      <c r="C441" s="97"/>
      <c r="D441" s="97"/>
      <c r="E441" s="97"/>
      <c r="F441" s="96"/>
      <c r="G441" s="96"/>
      <c r="H441" s="96"/>
      <c r="I441" s="96"/>
      <c r="J441" s="96"/>
      <c r="K441" s="96"/>
      <c r="L441" s="96"/>
      <c r="M441" s="96"/>
      <c r="N441" s="96"/>
      <c r="O441" s="96"/>
      <c r="P441" s="96"/>
      <c r="Q441" s="96"/>
      <c r="R441" s="96"/>
      <c r="S441" s="96"/>
    </row>
    <row r="442" spans="1:19">
      <c r="A442" s="126"/>
      <c r="B442" s="127"/>
      <c r="C442" s="97"/>
      <c r="D442" s="97"/>
      <c r="E442" s="97"/>
      <c r="F442" s="96"/>
      <c r="G442" s="96"/>
      <c r="H442" s="96"/>
      <c r="I442" s="96"/>
      <c r="J442" s="96"/>
      <c r="K442" s="96"/>
      <c r="L442" s="96"/>
      <c r="M442" s="96"/>
      <c r="N442" s="96"/>
      <c r="O442" s="96"/>
      <c r="P442" s="96"/>
      <c r="Q442" s="96"/>
      <c r="R442" s="96"/>
      <c r="S442" s="96"/>
    </row>
    <row r="443" spans="1:19">
      <c r="A443" s="126"/>
      <c r="B443" s="127"/>
      <c r="C443" s="97"/>
      <c r="D443" s="97"/>
      <c r="E443" s="97"/>
      <c r="F443" s="96"/>
      <c r="G443" s="96"/>
      <c r="H443" s="96"/>
      <c r="I443" s="96"/>
      <c r="J443" s="96"/>
      <c r="K443" s="96"/>
      <c r="L443" s="96"/>
      <c r="M443" s="96"/>
      <c r="N443" s="96"/>
      <c r="O443" s="96"/>
      <c r="P443" s="96"/>
      <c r="Q443" s="96"/>
      <c r="R443" s="96"/>
      <c r="S443" s="96"/>
    </row>
    <row r="444" spans="1:19">
      <c r="A444" s="126"/>
      <c r="B444" s="127"/>
      <c r="C444" s="97"/>
      <c r="D444" s="97"/>
      <c r="E444" s="97"/>
      <c r="F444" s="96"/>
      <c r="G444" s="96"/>
      <c r="H444" s="96"/>
      <c r="I444" s="96"/>
      <c r="J444" s="96"/>
      <c r="K444" s="96"/>
      <c r="L444" s="96"/>
      <c r="M444" s="96"/>
      <c r="N444" s="96"/>
      <c r="O444" s="96"/>
      <c r="P444" s="96"/>
      <c r="Q444" s="96"/>
      <c r="R444" s="96"/>
      <c r="S444" s="96"/>
    </row>
    <row r="445" spans="1:19">
      <c r="A445" s="126"/>
      <c r="B445" s="127"/>
      <c r="C445" s="97"/>
      <c r="D445" s="97"/>
      <c r="E445" s="97"/>
      <c r="F445" s="96"/>
      <c r="G445" s="96"/>
      <c r="H445" s="96"/>
      <c r="I445" s="96"/>
      <c r="J445" s="96"/>
      <c r="K445" s="96"/>
      <c r="L445" s="96"/>
      <c r="M445" s="96"/>
      <c r="N445" s="96"/>
      <c r="O445" s="96"/>
      <c r="P445" s="96"/>
      <c r="Q445" s="96"/>
      <c r="R445" s="96"/>
      <c r="S445" s="96"/>
    </row>
    <row r="446" spans="1:19">
      <c r="A446" s="126"/>
      <c r="B446" s="127"/>
      <c r="C446" s="97"/>
      <c r="D446" s="97"/>
      <c r="E446" s="97"/>
      <c r="F446" s="96"/>
      <c r="G446" s="96"/>
      <c r="H446" s="96"/>
      <c r="I446" s="96"/>
      <c r="J446" s="96"/>
      <c r="K446" s="96"/>
      <c r="L446" s="96"/>
      <c r="M446" s="96"/>
      <c r="N446" s="96"/>
      <c r="O446" s="96"/>
      <c r="P446" s="96"/>
      <c r="Q446" s="96"/>
      <c r="R446" s="96"/>
      <c r="S446" s="96"/>
    </row>
    <row r="447" spans="1:19">
      <c r="A447" s="126"/>
      <c r="B447" s="127"/>
      <c r="C447" s="97"/>
      <c r="D447" s="97"/>
      <c r="E447" s="97"/>
      <c r="F447" s="96"/>
      <c r="G447" s="96"/>
      <c r="H447" s="96"/>
      <c r="I447" s="96"/>
      <c r="J447" s="96"/>
      <c r="K447" s="96"/>
      <c r="L447" s="96"/>
      <c r="M447" s="96"/>
      <c r="N447" s="96"/>
      <c r="O447" s="96"/>
      <c r="P447" s="96"/>
      <c r="Q447" s="96"/>
      <c r="R447" s="96"/>
      <c r="S447" s="96"/>
    </row>
    <row r="448" spans="1:19">
      <c r="A448" s="126"/>
      <c r="B448" s="127"/>
      <c r="C448" s="97"/>
      <c r="D448" s="97"/>
      <c r="E448" s="97"/>
      <c r="F448" s="96"/>
      <c r="G448" s="96"/>
      <c r="H448" s="96"/>
      <c r="I448" s="96"/>
      <c r="J448" s="96"/>
      <c r="K448" s="96"/>
      <c r="L448" s="96"/>
      <c r="M448" s="96"/>
      <c r="N448" s="96"/>
      <c r="O448" s="96"/>
      <c r="P448" s="96"/>
      <c r="Q448" s="96"/>
      <c r="R448" s="96"/>
      <c r="S448" s="96"/>
    </row>
    <row r="449" spans="1:19">
      <c r="A449" s="126"/>
      <c r="B449" s="127"/>
      <c r="C449" s="97"/>
      <c r="D449" s="97"/>
      <c r="E449" s="97"/>
      <c r="F449" s="96"/>
      <c r="G449" s="96"/>
      <c r="H449" s="96"/>
      <c r="I449" s="96"/>
      <c r="J449" s="96"/>
      <c r="K449" s="96"/>
      <c r="L449" s="96"/>
      <c r="M449" s="96"/>
      <c r="N449" s="96"/>
      <c r="O449" s="96"/>
      <c r="P449" s="96"/>
      <c r="Q449" s="96"/>
      <c r="R449" s="96"/>
      <c r="S449" s="96"/>
    </row>
    <row r="450" spans="1:19">
      <c r="A450" s="126"/>
      <c r="B450" s="127"/>
      <c r="C450" s="97"/>
      <c r="D450" s="97"/>
      <c r="E450" s="97"/>
      <c r="F450" s="96"/>
      <c r="G450" s="96"/>
      <c r="H450" s="96"/>
      <c r="I450" s="96"/>
      <c r="J450" s="96"/>
      <c r="K450" s="96"/>
      <c r="L450" s="96"/>
      <c r="M450" s="96"/>
      <c r="N450" s="96"/>
      <c r="O450" s="96"/>
      <c r="P450" s="96"/>
      <c r="Q450" s="96"/>
      <c r="R450" s="96"/>
      <c r="S450" s="96"/>
    </row>
    <row r="451" spans="1:19">
      <c r="A451" s="126"/>
      <c r="B451" s="127"/>
      <c r="C451" s="97"/>
      <c r="D451" s="97"/>
      <c r="E451" s="97"/>
      <c r="F451" s="96"/>
      <c r="G451" s="96"/>
      <c r="H451" s="96"/>
      <c r="I451" s="96"/>
      <c r="J451" s="96"/>
      <c r="K451" s="96"/>
      <c r="L451" s="96"/>
      <c r="M451" s="96"/>
      <c r="N451" s="96"/>
      <c r="O451" s="96"/>
      <c r="P451" s="96"/>
      <c r="Q451" s="96"/>
      <c r="R451" s="96"/>
      <c r="S451" s="96"/>
    </row>
    <row r="452" spans="1:19">
      <c r="A452" s="126"/>
      <c r="B452" s="127"/>
      <c r="C452" s="97"/>
      <c r="D452" s="97"/>
      <c r="E452" s="97"/>
      <c r="F452" s="96"/>
      <c r="G452" s="96"/>
      <c r="H452" s="96"/>
      <c r="I452" s="96"/>
      <c r="J452" s="96"/>
      <c r="K452" s="96"/>
      <c r="L452" s="96"/>
      <c r="M452" s="96"/>
      <c r="N452" s="96"/>
      <c r="O452" s="96"/>
      <c r="P452" s="96"/>
      <c r="Q452" s="96"/>
      <c r="R452" s="96"/>
      <c r="S452" s="96"/>
    </row>
    <row r="453" spans="1:19">
      <c r="A453" s="126"/>
      <c r="B453" s="127"/>
      <c r="C453" s="97"/>
      <c r="D453" s="97"/>
      <c r="E453" s="97"/>
      <c r="F453" s="96"/>
      <c r="G453" s="96"/>
      <c r="H453" s="96"/>
      <c r="I453" s="96"/>
      <c r="J453" s="96"/>
      <c r="K453" s="96"/>
      <c r="L453" s="96"/>
      <c r="M453" s="96"/>
      <c r="N453" s="96"/>
      <c r="O453" s="96"/>
      <c r="P453" s="96"/>
      <c r="Q453" s="96"/>
      <c r="R453" s="96"/>
      <c r="S453" s="96"/>
    </row>
    <row r="454" spans="1:19">
      <c r="A454" s="126"/>
      <c r="B454" s="127"/>
      <c r="C454" s="97"/>
      <c r="D454" s="97"/>
      <c r="E454" s="97"/>
      <c r="F454" s="96"/>
      <c r="G454" s="96"/>
      <c r="H454" s="96"/>
      <c r="I454" s="96"/>
      <c r="J454" s="96"/>
      <c r="K454" s="96"/>
      <c r="L454" s="96"/>
      <c r="M454" s="96"/>
      <c r="N454" s="96"/>
      <c r="O454" s="96"/>
      <c r="P454" s="96"/>
      <c r="Q454" s="96"/>
      <c r="R454" s="96"/>
      <c r="S454" s="96"/>
    </row>
    <row r="455" spans="1:19">
      <c r="A455" s="126"/>
      <c r="B455" s="127"/>
      <c r="C455" s="97"/>
      <c r="D455" s="97"/>
      <c r="E455" s="97"/>
      <c r="F455" s="96"/>
      <c r="G455" s="96"/>
      <c r="H455" s="96"/>
      <c r="I455" s="96"/>
      <c r="J455" s="96"/>
      <c r="K455" s="96"/>
      <c r="L455" s="96"/>
      <c r="M455" s="96"/>
      <c r="N455" s="96"/>
      <c r="O455" s="96"/>
      <c r="P455" s="96"/>
      <c r="Q455" s="96"/>
      <c r="R455" s="96"/>
      <c r="S455" s="96"/>
    </row>
    <row r="456" spans="1:19">
      <c r="A456" s="126"/>
      <c r="B456" s="127"/>
      <c r="C456" s="97"/>
      <c r="D456" s="97"/>
      <c r="E456" s="97"/>
      <c r="F456" s="96"/>
      <c r="G456" s="96"/>
      <c r="H456" s="96"/>
      <c r="I456" s="96"/>
      <c r="J456" s="96"/>
      <c r="K456" s="96"/>
      <c r="L456" s="96"/>
      <c r="M456" s="96"/>
      <c r="N456" s="96"/>
      <c r="O456" s="96"/>
      <c r="P456" s="96"/>
      <c r="Q456" s="96"/>
      <c r="R456" s="96"/>
      <c r="S456" s="96"/>
    </row>
    <row r="457" spans="1:19">
      <c r="A457" s="126"/>
      <c r="B457" s="127"/>
      <c r="C457" s="97"/>
      <c r="D457" s="97"/>
      <c r="E457" s="97"/>
      <c r="F457" s="96"/>
      <c r="G457" s="96"/>
      <c r="H457" s="96"/>
      <c r="I457" s="96"/>
      <c r="J457" s="96"/>
      <c r="K457" s="96"/>
      <c r="L457" s="96"/>
      <c r="M457" s="96"/>
      <c r="N457" s="96"/>
      <c r="O457" s="96"/>
      <c r="P457" s="96"/>
      <c r="Q457" s="96"/>
      <c r="R457" s="96"/>
      <c r="S457" s="96"/>
    </row>
    <row r="458" spans="1:19">
      <c r="A458" s="126"/>
      <c r="B458" s="127"/>
      <c r="C458" s="97"/>
      <c r="D458" s="97"/>
      <c r="E458" s="97"/>
      <c r="F458" s="96"/>
      <c r="G458" s="96"/>
      <c r="H458" s="96"/>
      <c r="I458" s="96"/>
      <c r="J458" s="96"/>
      <c r="K458" s="96"/>
      <c r="L458" s="96"/>
      <c r="M458" s="96"/>
      <c r="N458" s="96"/>
      <c r="O458" s="96"/>
      <c r="P458" s="96"/>
      <c r="Q458" s="96"/>
      <c r="R458" s="96"/>
      <c r="S458" s="96"/>
    </row>
    <row r="459" spans="1:19">
      <c r="A459" s="126"/>
      <c r="B459" s="127"/>
      <c r="C459" s="97"/>
      <c r="D459" s="97"/>
      <c r="E459" s="97"/>
      <c r="F459" s="96"/>
      <c r="G459" s="96"/>
      <c r="H459" s="96"/>
      <c r="I459" s="96"/>
      <c r="J459" s="96"/>
      <c r="K459" s="96"/>
      <c r="L459" s="96"/>
      <c r="M459" s="96"/>
      <c r="N459" s="96"/>
      <c r="O459" s="96"/>
      <c r="P459" s="96"/>
      <c r="Q459" s="96"/>
      <c r="R459" s="96"/>
      <c r="S459" s="96"/>
    </row>
    <row r="460" spans="1:19">
      <c r="A460" s="126"/>
      <c r="B460" s="127"/>
      <c r="C460" s="97"/>
      <c r="D460" s="97"/>
      <c r="E460" s="97"/>
      <c r="F460" s="96"/>
      <c r="G460" s="96"/>
      <c r="H460" s="96"/>
      <c r="I460" s="96"/>
      <c r="J460" s="96"/>
      <c r="K460" s="96"/>
      <c r="L460" s="96"/>
      <c r="M460" s="96"/>
      <c r="N460" s="96"/>
      <c r="O460" s="96"/>
      <c r="P460" s="96"/>
      <c r="Q460" s="96"/>
      <c r="R460" s="96"/>
      <c r="S460" s="96"/>
    </row>
    <row r="461" spans="1:19">
      <c r="A461" s="126"/>
      <c r="B461" s="127"/>
      <c r="C461" s="97"/>
      <c r="D461" s="97"/>
      <c r="E461" s="97"/>
      <c r="F461" s="96"/>
      <c r="G461" s="96"/>
      <c r="H461" s="96"/>
      <c r="I461" s="96"/>
      <c r="J461" s="96"/>
      <c r="K461" s="96"/>
      <c r="L461" s="96"/>
      <c r="M461" s="96"/>
      <c r="N461" s="96"/>
      <c r="O461" s="96"/>
      <c r="P461" s="96"/>
      <c r="Q461" s="96"/>
      <c r="R461" s="96"/>
      <c r="S461" s="96"/>
    </row>
    <row r="462" spans="1:19">
      <c r="A462" s="126"/>
      <c r="B462" s="127"/>
      <c r="C462" s="97"/>
      <c r="D462" s="97"/>
      <c r="E462" s="97"/>
      <c r="F462" s="96"/>
      <c r="G462" s="96"/>
      <c r="H462" s="96"/>
      <c r="I462" s="96"/>
      <c r="J462" s="96"/>
      <c r="K462" s="96"/>
      <c r="L462" s="96"/>
      <c r="M462" s="96"/>
      <c r="N462" s="96"/>
      <c r="O462" s="96"/>
      <c r="P462" s="96"/>
      <c r="Q462" s="96"/>
      <c r="R462" s="96"/>
      <c r="S462" s="96"/>
    </row>
    <row r="463" spans="1:19">
      <c r="A463" s="126"/>
      <c r="B463" s="127"/>
      <c r="C463" s="97"/>
      <c r="D463" s="97"/>
      <c r="E463" s="97"/>
      <c r="F463" s="96"/>
      <c r="G463" s="96"/>
      <c r="H463" s="96"/>
      <c r="I463" s="96"/>
      <c r="J463" s="96"/>
      <c r="K463" s="96"/>
      <c r="L463" s="96"/>
      <c r="M463" s="96"/>
      <c r="N463" s="96"/>
      <c r="O463" s="96"/>
      <c r="P463" s="96"/>
      <c r="Q463" s="96"/>
      <c r="R463" s="96"/>
      <c r="S463" s="96"/>
    </row>
    <row r="464" spans="1:19">
      <c r="A464" s="126"/>
      <c r="B464" s="127"/>
      <c r="C464" s="97"/>
      <c r="D464" s="97"/>
      <c r="E464" s="97"/>
      <c r="F464" s="96"/>
      <c r="G464" s="96"/>
      <c r="H464" s="96"/>
      <c r="I464" s="96"/>
      <c r="J464" s="96"/>
      <c r="K464" s="96"/>
      <c r="L464" s="96"/>
      <c r="M464" s="96"/>
      <c r="N464" s="96"/>
      <c r="O464" s="96"/>
      <c r="P464" s="96"/>
      <c r="Q464" s="96"/>
      <c r="R464" s="96"/>
      <c r="S464" s="96"/>
    </row>
    <row r="465" spans="1:19">
      <c r="A465" s="126"/>
      <c r="B465" s="127"/>
      <c r="C465" s="97"/>
      <c r="D465" s="97"/>
      <c r="E465" s="97"/>
      <c r="F465" s="96"/>
      <c r="G465" s="96"/>
      <c r="H465" s="96"/>
      <c r="I465" s="96"/>
      <c r="J465" s="96"/>
      <c r="K465" s="96"/>
      <c r="L465" s="96"/>
      <c r="M465" s="96"/>
      <c r="N465" s="96"/>
      <c r="O465" s="96"/>
      <c r="P465" s="96"/>
      <c r="Q465" s="96"/>
      <c r="R465" s="96"/>
      <c r="S465" s="96"/>
    </row>
    <row r="466" spans="1:19">
      <c r="A466" s="126"/>
      <c r="B466" s="127"/>
      <c r="C466" s="97"/>
      <c r="D466" s="97"/>
      <c r="E466" s="97"/>
      <c r="F466" s="96"/>
      <c r="G466" s="96"/>
      <c r="H466" s="96"/>
      <c r="I466" s="96"/>
      <c r="J466" s="96"/>
      <c r="K466" s="96"/>
      <c r="L466" s="96"/>
      <c r="M466" s="96"/>
      <c r="N466" s="96"/>
      <c r="O466" s="96"/>
      <c r="P466" s="96"/>
      <c r="Q466" s="96"/>
      <c r="R466" s="96"/>
      <c r="S466" s="96"/>
    </row>
    <row r="467" spans="1:19">
      <c r="A467" s="126"/>
      <c r="B467" s="127"/>
      <c r="C467" s="97"/>
      <c r="D467" s="97"/>
      <c r="E467" s="97"/>
      <c r="F467" s="96"/>
      <c r="G467" s="96"/>
      <c r="H467" s="96"/>
      <c r="I467" s="96"/>
      <c r="J467" s="96"/>
      <c r="K467" s="96"/>
      <c r="L467" s="96"/>
      <c r="M467" s="96"/>
      <c r="N467" s="96"/>
      <c r="O467" s="96"/>
      <c r="P467" s="96"/>
      <c r="Q467" s="96"/>
      <c r="R467" s="96"/>
      <c r="S467" s="96"/>
    </row>
    <row r="468" spans="1:19">
      <c r="A468" s="126"/>
      <c r="B468" s="127"/>
      <c r="C468" s="97"/>
      <c r="D468" s="97"/>
      <c r="E468" s="97"/>
      <c r="F468" s="96"/>
      <c r="G468" s="96"/>
      <c r="H468" s="96"/>
      <c r="I468" s="96"/>
      <c r="J468" s="96"/>
      <c r="K468" s="96"/>
      <c r="L468" s="96"/>
      <c r="M468" s="96"/>
      <c r="N468" s="96"/>
      <c r="O468" s="96"/>
      <c r="P468" s="96"/>
      <c r="Q468" s="96"/>
      <c r="R468" s="96"/>
      <c r="S468" s="96"/>
    </row>
    <row r="469" spans="1:19">
      <c r="A469" s="126"/>
      <c r="B469" s="127"/>
      <c r="C469" s="97"/>
      <c r="D469" s="97"/>
      <c r="E469" s="97"/>
      <c r="F469" s="96"/>
      <c r="G469" s="96"/>
      <c r="H469" s="96"/>
      <c r="I469" s="96"/>
      <c r="J469" s="96"/>
      <c r="K469" s="96"/>
      <c r="L469" s="96"/>
      <c r="M469" s="96"/>
      <c r="N469" s="96"/>
      <c r="O469" s="96"/>
      <c r="P469" s="96"/>
      <c r="Q469" s="96"/>
      <c r="R469" s="96"/>
      <c r="S469" s="96"/>
    </row>
    <row r="470" spans="1:19">
      <c r="A470" s="126"/>
      <c r="B470" s="127"/>
      <c r="C470" s="97"/>
      <c r="D470" s="97"/>
      <c r="E470" s="97"/>
      <c r="F470" s="96"/>
      <c r="G470" s="96"/>
      <c r="H470" s="96"/>
      <c r="I470" s="96"/>
      <c r="J470" s="96"/>
      <c r="K470" s="96"/>
      <c r="L470" s="96"/>
      <c r="M470" s="96"/>
      <c r="N470" s="96"/>
      <c r="O470" s="96"/>
      <c r="P470" s="96"/>
      <c r="Q470" s="96"/>
      <c r="R470" s="96"/>
      <c r="S470" s="96"/>
    </row>
    <row r="471" spans="1:19">
      <c r="A471" s="126"/>
      <c r="B471" s="127"/>
      <c r="C471" s="97"/>
      <c r="D471" s="97"/>
      <c r="E471" s="97"/>
      <c r="F471" s="96"/>
      <c r="G471" s="96"/>
      <c r="H471" s="96"/>
      <c r="I471" s="96"/>
      <c r="J471" s="96"/>
      <c r="K471" s="96"/>
      <c r="L471" s="96"/>
      <c r="M471" s="96"/>
      <c r="N471" s="96"/>
      <c r="O471" s="96"/>
      <c r="P471" s="96"/>
      <c r="Q471" s="96"/>
      <c r="R471" s="96"/>
      <c r="S471" s="96"/>
    </row>
    <row r="472" spans="1:19">
      <c r="A472" s="126"/>
      <c r="B472" s="127"/>
      <c r="C472" s="97"/>
      <c r="D472" s="97"/>
      <c r="E472" s="97"/>
      <c r="F472" s="96"/>
      <c r="G472" s="96"/>
      <c r="H472" s="96"/>
      <c r="I472" s="96"/>
      <c r="J472" s="96"/>
      <c r="K472" s="96"/>
      <c r="L472" s="96"/>
      <c r="M472" s="96"/>
      <c r="N472" s="96"/>
      <c r="O472" s="96"/>
      <c r="P472" s="96"/>
      <c r="Q472" s="96"/>
      <c r="R472" s="96"/>
      <c r="S472" s="96"/>
    </row>
    <row r="473" spans="1:19">
      <c r="A473" s="126"/>
      <c r="B473" s="127"/>
      <c r="C473" s="97"/>
      <c r="D473" s="97"/>
      <c r="E473" s="97"/>
      <c r="F473" s="96"/>
      <c r="G473" s="96"/>
      <c r="H473" s="96"/>
      <c r="I473" s="96"/>
      <c r="J473" s="96"/>
      <c r="K473" s="96"/>
      <c r="L473" s="96"/>
      <c r="M473" s="96"/>
      <c r="N473" s="96"/>
      <c r="O473" s="96"/>
      <c r="P473" s="96"/>
      <c r="Q473" s="96"/>
      <c r="R473" s="96"/>
      <c r="S473" s="96"/>
    </row>
    <row r="474" spans="1:19">
      <c r="A474" s="126"/>
      <c r="B474" s="127"/>
      <c r="C474" s="97"/>
      <c r="D474" s="97"/>
      <c r="E474" s="97"/>
      <c r="F474" s="96"/>
      <c r="G474" s="96"/>
      <c r="H474" s="96"/>
      <c r="I474" s="96"/>
      <c r="J474" s="96"/>
      <c r="K474" s="96"/>
      <c r="L474" s="96"/>
      <c r="M474" s="96"/>
      <c r="N474" s="96"/>
      <c r="O474" s="96"/>
      <c r="P474" s="96"/>
      <c r="Q474" s="96"/>
      <c r="R474" s="96"/>
      <c r="S474" s="96"/>
    </row>
    <row r="475" spans="1:19">
      <c r="A475" s="126"/>
      <c r="B475" s="127"/>
      <c r="C475" s="97"/>
      <c r="D475" s="97"/>
      <c r="E475" s="97"/>
      <c r="F475" s="96"/>
      <c r="G475" s="96"/>
      <c r="H475" s="96"/>
      <c r="I475" s="96"/>
      <c r="J475" s="96"/>
      <c r="K475" s="96"/>
      <c r="L475" s="96"/>
      <c r="M475" s="96"/>
      <c r="N475" s="96"/>
      <c r="O475" s="96"/>
      <c r="P475" s="96"/>
      <c r="Q475" s="96"/>
      <c r="R475" s="96"/>
      <c r="S475" s="96"/>
    </row>
    <row r="476" spans="1:19">
      <c r="A476" s="126"/>
      <c r="B476" s="127"/>
      <c r="C476" s="97"/>
      <c r="D476" s="97"/>
      <c r="E476" s="97"/>
      <c r="F476" s="96"/>
      <c r="G476" s="96"/>
      <c r="H476" s="96"/>
      <c r="I476" s="96"/>
      <c r="J476" s="96"/>
      <c r="K476" s="96"/>
      <c r="L476" s="96"/>
      <c r="M476" s="96"/>
      <c r="N476" s="96"/>
      <c r="O476" s="96"/>
      <c r="P476" s="96"/>
      <c r="Q476" s="96"/>
      <c r="R476" s="96"/>
      <c r="S476" s="96"/>
    </row>
    <row r="477" spans="1:19">
      <c r="A477" s="126"/>
      <c r="B477" s="127"/>
      <c r="C477" s="97"/>
      <c r="D477" s="97"/>
      <c r="E477" s="97"/>
      <c r="F477" s="96"/>
      <c r="G477" s="96"/>
      <c r="H477" s="96"/>
      <c r="I477" s="96"/>
      <c r="J477" s="96"/>
      <c r="K477" s="96"/>
      <c r="L477" s="96"/>
      <c r="M477" s="96"/>
      <c r="N477" s="96"/>
      <c r="O477" s="96"/>
      <c r="P477" s="96"/>
      <c r="Q477" s="96"/>
      <c r="R477" s="96"/>
      <c r="S477" s="96"/>
    </row>
    <row r="478" spans="1:19">
      <c r="A478" s="126"/>
      <c r="B478" s="127"/>
      <c r="C478" s="97"/>
      <c r="D478" s="97"/>
      <c r="E478" s="97"/>
      <c r="F478" s="96"/>
      <c r="G478" s="96"/>
      <c r="H478" s="96"/>
      <c r="I478" s="96"/>
      <c r="J478" s="96"/>
      <c r="K478" s="96"/>
      <c r="L478" s="96"/>
      <c r="M478" s="96"/>
      <c r="N478" s="96"/>
      <c r="O478" s="96"/>
      <c r="P478" s="96"/>
      <c r="Q478" s="96"/>
      <c r="R478" s="96"/>
      <c r="S478" s="96"/>
    </row>
    <row r="479" spans="1:19">
      <c r="A479" s="126"/>
      <c r="B479" s="127"/>
      <c r="C479" s="97"/>
      <c r="D479" s="97"/>
      <c r="E479" s="97"/>
      <c r="F479" s="96"/>
      <c r="G479" s="96"/>
      <c r="H479" s="96"/>
      <c r="I479" s="96"/>
      <c r="J479" s="96"/>
      <c r="K479" s="96"/>
      <c r="L479" s="96"/>
      <c r="M479" s="96"/>
      <c r="N479" s="96"/>
      <c r="O479" s="96"/>
      <c r="P479" s="96"/>
      <c r="Q479" s="96"/>
      <c r="R479" s="96"/>
      <c r="S479" s="96"/>
    </row>
    <row r="480" spans="1:19">
      <c r="A480" s="126"/>
      <c r="B480" s="127"/>
      <c r="C480" s="97"/>
      <c r="D480" s="97"/>
      <c r="E480" s="97"/>
      <c r="F480" s="96"/>
      <c r="G480" s="96"/>
      <c r="H480" s="96"/>
      <c r="I480" s="96"/>
      <c r="J480" s="96"/>
      <c r="K480" s="96"/>
      <c r="L480" s="96"/>
      <c r="M480" s="96"/>
      <c r="N480" s="96"/>
      <c r="O480" s="96"/>
      <c r="P480" s="96"/>
      <c r="Q480" s="96"/>
      <c r="R480" s="96"/>
      <c r="S480" s="96"/>
    </row>
    <row r="481" spans="1:19">
      <c r="A481" s="126"/>
      <c r="B481" s="127"/>
      <c r="C481" s="97"/>
      <c r="D481" s="97"/>
      <c r="E481" s="97"/>
      <c r="F481" s="96"/>
      <c r="G481" s="96"/>
      <c r="H481" s="96"/>
      <c r="I481" s="96"/>
      <c r="J481" s="96"/>
      <c r="K481" s="96"/>
      <c r="L481" s="96"/>
      <c r="M481" s="96"/>
      <c r="N481" s="96"/>
      <c r="O481" s="96"/>
      <c r="P481" s="96"/>
      <c r="Q481" s="96"/>
      <c r="R481" s="96"/>
      <c r="S481" s="96"/>
    </row>
    <row r="482" spans="1:19">
      <c r="A482" s="126"/>
      <c r="B482" s="127"/>
      <c r="C482" s="97"/>
      <c r="D482" s="97"/>
      <c r="E482" s="97"/>
      <c r="F482" s="96"/>
      <c r="G482" s="96"/>
      <c r="H482" s="96"/>
      <c r="I482" s="96"/>
      <c r="J482" s="96"/>
      <c r="K482" s="96"/>
      <c r="L482" s="96"/>
      <c r="M482" s="96"/>
      <c r="N482" s="96"/>
      <c r="O482" s="96"/>
      <c r="P482" s="96"/>
      <c r="Q482" s="96"/>
      <c r="R482" s="96"/>
      <c r="S482" s="96"/>
    </row>
    <row r="483" spans="1:19">
      <c r="A483" s="126"/>
      <c r="B483" s="127"/>
      <c r="C483" s="97"/>
      <c r="D483" s="97"/>
      <c r="E483" s="97"/>
      <c r="F483" s="96"/>
      <c r="G483" s="96"/>
      <c r="H483" s="96"/>
      <c r="I483" s="96"/>
      <c r="J483" s="96"/>
      <c r="K483" s="96"/>
      <c r="L483" s="96"/>
      <c r="M483" s="96"/>
      <c r="N483" s="96"/>
      <c r="O483" s="96"/>
      <c r="P483" s="96"/>
      <c r="Q483" s="96"/>
      <c r="R483" s="96"/>
      <c r="S483" s="96"/>
    </row>
    <row r="484" spans="1:19">
      <c r="A484" s="126"/>
      <c r="B484" s="127"/>
      <c r="C484" s="97"/>
      <c r="D484" s="97"/>
      <c r="E484" s="97"/>
      <c r="F484" s="96"/>
      <c r="G484" s="96"/>
      <c r="H484" s="96"/>
      <c r="I484" s="96"/>
      <c r="J484" s="96"/>
      <c r="K484" s="96"/>
      <c r="L484" s="96"/>
      <c r="M484" s="96"/>
      <c r="N484" s="96"/>
      <c r="O484" s="96"/>
      <c r="P484" s="96"/>
      <c r="Q484" s="96"/>
      <c r="R484" s="96"/>
      <c r="S484" s="96"/>
    </row>
    <row r="485" spans="1:19">
      <c r="A485" s="126"/>
      <c r="B485" s="127"/>
      <c r="C485" s="97"/>
      <c r="D485" s="97"/>
      <c r="E485" s="97"/>
      <c r="F485" s="96"/>
      <c r="G485" s="96"/>
      <c r="H485" s="96"/>
      <c r="I485" s="96"/>
      <c r="J485" s="96"/>
      <c r="K485" s="96"/>
      <c r="L485" s="96"/>
      <c r="M485" s="96"/>
      <c r="N485" s="96"/>
      <c r="O485" s="96"/>
      <c r="P485" s="96"/>
      <c r="Q485" s="96"/>
      <c r="R485" s="96"/>
      <c r="S485" s="96"/>
    </row>
    <row r="486" spans="1:19">
      <c r="A486" s="126"/>
      <c r="B486" s="127"/>
      <c r="C486" s="97"/>
      <c r="D486" s="97"/>
      <c r="E486" s="97"/>
      <c r="F486" s="96"/>
      <c r="G486" s="96"/>
      <c r="H486" s="96"/>
      <c r="I486" s="96"/>
      <c r="J486" s="96"/>
      <c r="K486" s="96"/>
      <c r="L486" s="96"/>
      <c r="M486" s="96"/>
      <c r="N486" s="96"/>
      <c r="O486" s="96"/>
      <c r="P486" s="96"/>
      <c r="Q486" s="96"/>
      <c r="R486" s="96"/>
      <c r="S486" s="96"/>
    </row>
    <row r="487" spans="1:19">
      <c r="A487" s="126"/>
      <c r="B487" s="127"/>
      <c r="C487" s="97"/>
      <c r="D487" s="97"/>
      <c r="E487" s="97"/>
      <c r="F487" s="96"/>
      <c r="G487" s="96"/>
      <c r="H487" s="96"/>
      <c r="I487" s="96"/>
      <c r="J487" s="96"/>
      <c r="K487" s="96"/>
      <c r="L487" s="96"/>
      <c r="M487" s="96"/>
      <c r="N487" s="96"/>
      <c r="O487" s="96"/>
      <c r="P487" s="96"/>
      <c r="Q487" s="96"/>
      <c r="R487" s="96"/>
      <c r="S487" s="96"/>
    </row>
    <row r="488" spans="1:19">
      <c r="A488" s="126"/>
      <c r="B488" s="127"/>
      <c r="C488" s="97"/>
      <c r="D488" s="97"/>
      <c r="E488" s="97"/>
      <c r="F488" s="96"/>
      <c r="G488" s="96"/>
      <c r="H488" s="96"/>
      <c r="I488" s="96"/>
      <c r="J488" s="96"/>
      <c r="K488" s="96"/>
      <c r="L488" s="96"/>
      <c r="M488" s="96"/>
      <c r="N488" s="96"/>
      <c r="O488" s="96"/>
      <c r="P488" s="96"/>
      <c r="Q488" s="96"/>
      <c r="R488" s="96"/>
      <c r="S488" s="96"/>
    </row>
    <row r="489" spans="1:19">
      <c r="A489" s="126"/>
      <c r="B489" s="127"/>
      <c r="C489" s="97"/>
      <c r="D489" s="97"/>
      <c r="E489" s="97"/>
      <c r="F489" s="96"/>
      <c r="G489" s="96"/>
      <c r="H489" s="96"/>
      <c r="I489" s="96"/>
      <c r="J489" s="96"/>
      <c r="K489" s="96"/>
      <c r="L489" s="96"/>
      <c r="M489" s="96"/>
      <c r="N489" s="96"/>
      <c r="O489" s="96"/>
      <c r="P489" s="96"/>
      <c r="Q489" s="96"/>
      <c r="R489" s="96"/>
      <c r="S489" s="96"/>
    </row>
    <row r="490" spans="1:19">
      <c r="A490" s="126"/>
      <c r="B490" s="127"/>
      <c r="C490" s="97"/>
      <c r="D490" s="97"/>
      <c r="E490" s="97"/>
      <c r="F490" s="96"/>
      <c r="G490" s="96"/>
      <c r="H490" s="96"/>
      <c r="I490" s="96"/>
      <c r="J490" s="96"/>
      <c r="K490" s="96"/>
      <c r="L490" s="96"/>
      <c r="M490" s="96"/>
      <c r="N490" s="96"/>
      <c r="O490" s="96"/>
      <c r="P490" s="96"/>
      <c r="Q490" s="96"/>
      <c r="R490" s="96"/>
      <c r="S490" s="96"/>
    </row>
    <row r="491" spans="1:19">
      <c r="A491" s="126"/>
      <c r="B491" s="127"/>
      <c r="C491" s="97"/>
      <c r="D491" s="97"/>
      <c r="E491" s="97"/>
      <c r="F491" s="96"/>
      <c r="G491" s="96"/>
      <c r="H491" s="96"/>
      <c r="I491" s="96"/>
      <c r="J491" s="96"/>
      <c r="K491" s="96"/>
      <c r="L491" s="96"/>
      <c r="M491" s="96"/>
      <c r="N491" s="96"/>
      <c r="O491" s="96"/>
      <c r="P491" s="96"/>
      <c r="Q491" s="96"/>
      <c r="R491" s="96"/>
      <c r="S491" s="96"/>
    </row>
    <row r="492" spans="1:19">
      <c r="A492" s="126"/>
      <c r="B492" s="127"/>
      <c r="C492" s="97"/>
      <c r="D492" s="97"/>
      <c r="E492" s="97"/>
      <c r="F492" s="96"/>
      <c r="G492" s="96"/>
      <c r="H492" s="96"/>
      <c r="I492" s="96"/>
      <c r="J492" s="96"/>
      <c r="K492" s="96"/>
      <c r="L492" s="96"/>
      <c r="M492" s="96"/>
      <c r="N492" s="96"/>
      <c r="O492" s="96"/>
      <c r="P492" s="96"/>
      <c r="Q492" s="96"/>
      <c r="R492" s="96"/>
      <c r="S492" s="96"/>
    </row>
    <row r="493" spans="1:19">
      <c r="A493" s="126"/>
      <c r="B493" s="127"/>
      <c r="C493" s="97"/>
      <c r="D493" s="97"/>
      <c r="E493" s="97"/>
      <c r="F493" s="96"/>
      <c r="G493" s="96"/>
      <c r="H493" s="96"/>
      <c r="I493" s="96"/>
      <c r="J493" s="96"/>
      <c r="K493" s="96"/>
      <c r="L493" s="96"/>
      <c r="M493" s="96"/>
      <c r="N493" s="96"/>
      <c r="O493" s="96"/>
      <c r="P493" s="96"/>
      <c r="Q493" s="96"/>
      <c r="R493" s="96"/>
      <c r="S493" s="96"/>
    </row>
    <row r="494" spans="1:19">
      <c r="A494" s="126"/>
      <c r="B494" s="127"/>
      <c r="C494" s="97"/>
      <c r="D494" s="97"/>
      <c r="E494" s="97"/>
      <c r="F494" s="96"/>
      <c r="G494" s="96"/>
      <c r="H494" s="96"/>
      <c r="I494" s="96"/>
      <c r="J494" s="96"/>
      <c r="K494" s="96"/>
      <c r="L494" s="96"/>
      <c r="M494" s="96"/>
      <c r="N494" s="96"/>
      <c r="O494" s="96"/>
      <c r="P494" s="96"/>
      <c r="Q494" s="96"/>
      <c r="R494" s="96"/>
      <c r="S494" s="96"/>
    </row>
    <row r="495" spans="1:19">
      <c r="A495" s="126"/>
      <c r="B495" s="127"/>
      <c r="C495" s="97"/>
      <c r="D495" s="97"/>
      <c r="E495" s="97"/>
      <c r="F495" s="96"/>
      <c r="G495" s="96"/>
      <c r="H495" s="96"/>
      <c r="I495" s="96"/>
      <c r="J495" s="96"/>
      <c r="K495" s="96"/>
      <c r="L495" s="96"/>
      <c r="M495" s="96"/>
      <c r="N495" s="96"/>
      <c r="O495" s="96"/>
      <c r="P495" s="96"/>
      <c r="Q495" s="96"/>
      <c r="R495" s="96"/>
      <c r="S495" s="96"/>
    </row>
    <row r="496" spans="1:19">
      <c r="A496" s="126"/>
      <c r="B496" s="127"/>
      <c r="C496" s="97"/>
      <c r="D496" s="97"/>
      <c r="E496" s="97"/>
      <c r="F496" s="96"/>
      <c r="G496" s="96"/>
      <c r="H496" s="96"/>
      <c r="I496" s="96"/>
      <c r="J496" s="96"/>
      <c r="K496" s="96"/>
      <c r="L496" s="96"/>
      <c r="M496" s="96"/>
      <c r="N496" s="96"/>
      <c r="O496" s="96"/>
      <c r="P496" s="96"/>
      <c r="Q496" s="96"/>
      <c r="R496" s="96"/>
      <c r="S496" s="96"/>
    </row>
    <row r="497" spans="1:19">
      <c r="A497" s="126"/>
      <c r="B497" s="127"/>
      <c r="C497" s="97"/>
      <c r="D497" s="97"/>
      <c r="E497" s="97"/>
      <c r="F497" s="96"/>
      <c r="G497" s="96"/>
      <c r="H497" s="96"/>
      <c r="I497" s="96"/>
      <c r="J497" s="96"/>
      <c r="K497" s="96"/>
      <c r="L497" s="96"/>
      <c r="M497" s="96"/>
      <c r="N497" s="96"/>
      <c r="O497" s="96"/>
      <c r="P497" s="96"/>
      <c r="Q497" s="96"/>
      <c r="R497" s="96"/>
      <c r="S497" s="96"/>
    </row>
    <row r="498" spans="1:19">
      <c r="A498" s="126"/>
      <c r="B498" s="127"/>
      <c r="C498" s="97"/>
      <c r="D498" s="97"/>
      <c r="E498" s="97"/>
      <c r="F498" s="96"/>
      <c r="G498" s="96"/>
      <c r="H498" s="96"/>
      <c r="I498" s="96"/>
      <c r="J498" s="96"/>
      <c r="K498" s="96"/>
      <c r="L498" s="96"/>
      <c r="M498" s="96"/>
      <c r="N498" s="96"/>
      <c r="O498" s="96"/>
      <c r="P498" s="96"/>
      <c r="Q498" s="96"/>
      <c r="R498" s="96"/>
      <c r="S498" s="96"/>
    </row>
    <row r="499" spans="1:19">
      <c r="A499" s="126"/>
      <c r="B499" s="127"/>
      <c r="C499" s="97"/>
      <c r="D499" s="97"/>
      <c r="E499" s="97"/>
      <c r="F499" s="96"/>
      <c r="G499" s="96"/>
      <c r="H499" s="96"/>
      <c r="I499" s="96"/>
      <c r="J499" s="96"/>
      <c r="K499" s="96"/>
      <c r="L499" s="96"/>
      <c r="M499" s="96"/>
      <c r="N499" s="96"/>
      <c r="O499" s="96"/>
      <c r="P499" s="96"/>
      <c r="Q499" s="96"/>
      <c r="R499" s="96"/>
      <c r="S499" s="96"/>
    </row>
    <row r="500" spans="1:19">
      <c r="A500" s="126"/>
      <c r="B500" s="127"/>
      <c r="C500" s="97"/>
      <c r="D500" s="97"/>
      <c r="E500" s="97"/>
      <c r="F500" s="96"/>
      <c r="G500" s="96"/>
      <c r="H500" s="96"/>
      <c r="I500" s="96"/>
      <c r="J500" s="96"/>
      <c r="K500" s="96"/>
      <c r="L500" s="96"/>
      <c r="M500" s="96"/>
      <c r="N500" s="96"/>
      <c r="O500" s="96"/>
      <c r="P500" s="96"/>
      <c r="Q500" s="96"/>
      <c r="R500" s="96"/>
      <c r="S500" s="96"/>
    </row>
    <row r="501" spans="1:19">
      <c r="A501" s="126"/>
      <c r="B501" s="127"/>
      <c r="C501" s="97"/>
      <c r="D501" s="97"/>
      <c r="E501" s="97"/>
      <c r="F501" s="96"/>
      <c r="G501" s="96"/>
      <c r="H501" s="96"/>
      <c r="I501" s="96"/>
      <c r="J501" s="96"/>
      <c r="K501" s="96"/>
      <c r="L501" s="96"/>
      <c r="M501" s="96"/>
      <c r="N501" s="96"/>
      <c r="O501" s="96"/>
      <c r="P501" s="96"/>
      <c r="Q501" s="96"/>
      <c r="R501" s="96"/>
      <c r="S501" s="96"/>
    </row>
    <row r="502" spans="1:19">
      <c r="A502" s="126"/>
      <c r="B502" s="127"/>
      <c r="C502" s="97"/>
      <c r="D502" s="97"/>
      <c r="E502" s="97"/>
      <c r="F502" s="96"/>
      <c r="G502" s="96"/>
      <c r="H502" s="96"/>
      <c r="I502" s="96"/>
      <c r="J502" s="96"/>
      <c r="K502" s="96"/>
      <c r="L502" s="96"/>
      <c r="M502" s="96"/>
      <c r="N502" s="96"/>
      <c r="O502" s="96"/>
      <c r="P502" s="96"/>
      <c r="Q502" s="96"/>
      <c r="R502" s="96"/>
      <c r="S502" s="96"/>
    </row>
    <row r="503" spans="1:19">
      <c r="A503" s="126"/>
      <c r="B503" s="127"/>
      <c r="C503" s="97"/>
      <c r="D503" s="97"/>
      <c r="E503" s="97"/>
      <c r="F503" s="96"/>
      <c r="G503" s="96"/>
      <c r="H503" s="96"/>
      <c r="I503" s="96"/>
      <c r="J503" s="96"/>
      <c r="K503" s="96"/>
      <c r="L503" s="96"/>
      <c r="M503" s="96"/>
      <c r="N503" s="96"/>
      <c r="O503" s="96"/>
      <c r="P503" s="96"/>
      <c r="Q503" s="96"/>
      <c r="R503" s="96"/>
      <c r="S503" s="96"/>
    </row>
    <row r="504" spans="1:19">
      <c r="A504" s="126"/>
      <c r="B504" s="127"/>
      <c r="C504" s="97"/>
      <c r="D504" s="97"/>
      <c r="E504" s="97"/>
      <c r="F504" s="96"/>
      <c r="G504" s="96"/>
      <c r="H504" s="96"/>
      <c r="I504" s="96"/>
      <c r="J504" s="96"/>
      <c r="K504" s="96"/>
      <c r="L504" s="96"/>
      <c r="M504" s="96"/>
      <c r="N504" s="96"/>
      <c r="O504" s="96"/>
      <c r="P504" s="96"/>
      <c r="Q504" s="96"/>
      <c r="R504" s="96"/>
      <c r="S504" s="96"/>
    </row>
    <row r="505" spans="1:19">
      <c r="A505" s="126"/>
      <c r="B505" s="127"/>
      <c r="C505" s="97"/>
      <c r="D505" s="97"/>
      <c r="E505" s="97"/>
      <c r="F505" s="96"/>
      <c r="G505" s="96"/>
      <c r="H505" s="96"/>
      <c r="I505" s="96"/>
      <c r="J505" s="96"/>
      <c r="K505" s="96"/>
      <c r="L505" s="96"/>
      <c r="M505" s="96"/>
      <c r="N505" s="96"/>
      <c r="O505" s="96"/>
      <c r="P505" s="96"/>
      <c r="Q505" s="96"/>
      <c r="R505" s="96"/>
      <c r="S505" s="96"/>
    </row>
    <row r="506" spans="1:19">
      <c r="A506" s="126"/>
      <c r="B506" s="127"/>
      <c r="C506" s="97"/>
      <c r="D506" s="97"/>
      <c r="E506" s="97"/>
      <c r="F506" s="96"/>
      <c r="G506" s="96"/>
      <c r="H506" s="96"/>
      <c r="I506" s="96"/>
      <c r="J506" s="96"/>
      <c r="K506" s="96"/>
      <c r="L506" s="96"/>
      <c r="M506" s="96"/>
      <c r="N506" s="96"/>
      <c r="O506" s="96"/>
      <c r="P506" s="96"/>
      <c r="Q506" s="96"/>
      <c r="R506" s="96"/>
      <c r="S506" s="96"/>
    </row>
    <row r="507" spans="1:19">
      <c r="A507" s="126"/>
      <c r="B507" s="127"/>
      <c r="C507" s="97"/>
      <c r="D507" s="97"/>
      <c r="E507" s="97"/>
      <c r="F507" s="96"/>
      <c r="G507" s="96"/>
      <c r="H507" s="96"/>
      <c r="I507" s="96"/>
      <c r="J507" s="96"/>
      <c r="K507" s="96"/>
      <c r="L507" s="96"/>
      <c r="M507" s="96"/>
      <c r="N507" s="96"/>
      <c r="O507" s="96"/>
      <c r="P507" s="96"/>
      <c r="Q507" s="96"/>
      <c r="R507" s="96"/>
      <c r="S507" s="96"/>
    </row>
    <row r="508" spans="1:19">
      <c r="A508" s="126"/>
      <c r="B508" s="127"/>
      <c r="C508" s="97"/>
      <c r="D508" s="97"/>
      <c r="E508" s="97"/>
      <c r="F508" s="96"/>
      <c r="G508" s="96"/>
      <c r="H508" s="96"/>
      <c r="I508" s="96"/>
      <c r="J508" s="96"/>
      <c r="K508" s="96"/>
      <c r="L508" s="96"/>
      <c r="M508" s="96"/>
      <c r="N508" s="96"/>
      <c r="O508" s="96"/>
      <c r="P508" s="96"/>
      <c r="Q508" s="96"/>
      <c r="R508" s="96"/>
      <c r="S508" s="96"/>
    </row>
    <row r="509" spans="1:19">
      <c r="A509" s="126"/>
      <c r="B509" s="127"/>
      <c r="C509" s="97"/>
      <c r="D509" s="97"/>
      <c r="E509" s="97"/>
      <c r="F509" s="96"/>
      <c r="G509" s="96"/>
      <c r="H509" s="96"/>
      <c r="I509" s="96"/>
      <c r="J509" s="96"/>
      <c r="K509" s="96"/>
      <c r="L509" s="96"/>
      <c r="M509" s="96"/>
      <c r="N509" s="96"/>
      <c r="O509" s="96"/>
      <c r="P509" s="96"/>
      <c r="Q509" s="96"/>
      <c r="R509" s="96"/>
      <c r="S509" s="96"/>
    </row>
    <row r="510" spans="1:19">
      <c r="A510" s="126"/>
      <c r="B510" s="127"/>
      <c r="C510" s="97"/>
      <c r="D510" s="97"/>
      <c r="E510" s="97"/>
      <c r="F510" s="96"/>
      <c r="G510" s="96"/>
      <c r="H510" s="96"/>
      <c r="I510" s="96"/>
      <c r="J510" s="96"/>
      <c r="K510" s="96"/>
      <c r="L510" s="96"/>
      <c r="M510" s="96"/>
      <c r="N510" s="96"/>
      <c r="O510" s="96"/>
      <c r="P510" s="96"/>
      <c r="Q510" s="96"/>
      <c r="R510" s="96"/>
      <c r="S510" s="96"/>
    </row>
    <row r="511" spans="1:19">
      <c r="A511" s="126"/>
      <c r="B511" s="127"/>
      <c r="C511" s="97"/>
      <c r="D511" s="97"/>
      <c r="E511" s="97"/>
      <c r="F511" s="96"/>
      <c r="G511" s="96"/>
      <c r="H511" s="96"/>
      <c r="I511" s="96"/>
      <c r="J511" s="96"/>
      <c r="K511" s="96"/>
      <c r="L511" s="96"/>
      <c r="M511" s="96"/>
      <c r="N511" s="96"/>
      <c r="O511" s="96"/>
      <c r="P511" s="96"/>
      <c r="Q511" s="96"/>
      <c r="R511" s="96"/>
      <c r="S511" s="96"/>
    </row>
    <row r="512" spans="1:19">
      <c r="A512" s="126"/>
      <c r="B512" s="127"/>
      <c r="C512" s="97"/>
      <c r="D512" s="97"/>
      <c r="E512" s="97"/>
      <c r="F512" s="96"/>
      <c r="G512" s="96"/>
      <c r="H512" s="96"/>
      <c r="I512" s="96"/>
      <c r="J512" s="96"/>
      <c r="K512" s="96"/>
      <c r="L512" s="96"/>
      <c r="M512" s="96"/>
      <c r="N512" s="96"/>
      <c r="O512" s="96"/>
      <c r="P512" s="96"/>
      <c r="Q512" s="96"/>
      <c r="R512" s="96"/>
      <c r="S512" s="96"/>
    </row>
    <row r="513" spans="1:19">
      <c r="A513" s="126"/>
      <c r="B513" s="127"/>
      <c r="C513" s="97"/>
      <c r="D513" s="97"/>
      <c r="E513" s="97"/>
      <c r="F513" s="96"/>
      <c r="G513" s="96"/>
      <c r="H513" s="96"/>
      <c r="I513" s="96"/>
      <c r="J513" s="96"/>
      <c r="K513" s="96"/>
      <c r="L513" s="96"/>
      <c r="M513" s="96"/>
      <c r="N513" s="96"/>
      <c r="O513" s="96"/>
      <c r="P513" s="96"/>
      <c r="Q513" s="96"/>
      <c r="R513" s="96"/>
      <c r="S513" s="96"/>
    </row>
    <row r="514" spans="1:19">
      <c r="A514" s="126"/>
      <c r="B514" s="127"/>
      <c r="C514" s="97"/>
      <c r="D514" s="97"/>
      <c r="E514" s="97"/>
      <c r="F514" s="96"/>
      <c r="G514" s="96"/>
      <c r="H514" s="96"/>
      <c r="I514" s="96"/>
      <c r="J514" s="96"/>
      <c r="K514" s="96"/>
      <c r="L514" s="96"/>
      <c r="M514" s="96"/>
      <c r="N514" s="96"/>
      <c r="O514" s="96"/>
      <c r="P514" s="96"/>
      <c r="Q514" s="96"/>
      <c r="R514" s="96"/>
      <c r="S514" s="96"/>
    </row>
    <row r="515" spans="1:19">
      <c r="A515" s="126"/>
      <c r="B515" s="127"/>
      <c r="C515" s="97"/>
      <c r="D515" s="97"/>
      <c r="E515" s="97"/>
      <c r="F515" s="96"/>
      <c r="G515" s="96"/>
      <c r="H515" s="96"/>
      <c r="I515" s="96"/>
      <c r="J515" s="96"/>
      <c r="K515" s="96"/>
      <c r="L515" s="96"/>
      <c r="M515" s="96"/>
      <c r="N515" s="96"/>
      <c r="O515" s="96"/>
      <c r="P515" s="96"/>
      <c r="Q515" s="96"/>
      <c r="R515" s="96"/>
      <c r="S515" s="96"/>
    </row>
    <row r="516" spans="1:19">
      <c r="A516" s="126"/>
      <c r="B516" s="127"/>
      <c r="C516" s="97"/>
      <c r="D516" s="97"/>
      <c r="E516" s="97"/>
      <c r="F516" s="96"/>
      <c r="G516" s="96"/>
      <c r="H516" s="96"/>
      <c r="I516" s="96"/>
      <c r="J516" s="96"/>
      <c r="K516" s="96"/>
      <c r="L516" s="96"/>
      <c r="M516" s="96"/>
      <c r="N516" s="96"/>
      <c r="O516" s="96"/>
      <c r="P516" s="96"/>
      <c r="Q516" s="96"/>
      <c r="R516" s="96"/>
      <c r="S516" s="96"/>
    </row>
    <row r="517" spans="1:19">
      <c r="A517" s="126"/>
      <c r="B517" s="127"/>
      <c r="C517" s="97"/>
      <c r="D517" s="97"/>
      <c r="E517" s="97"/>
      <c r="F517" s="96"/>
      <c r="G517" s="96"/>
      <c r="H517" s="96"/>
      <c r="I517" s="96"/>
      <c r="J517" s="96"/>
      <c r="K517" s="96"/>
      <c r="L517" s="96"/>
      <c r="M517" s="96"/>
      <c r="N517" s="96"/>
      <c r="O517" s="96"/>
      <c r="P517" s="96"/>
      <c r="Q517" s="96"/>
      <c r="R517" s="96"/>
      <c r="S517" s="96"/>
    </row>
    <row r="518" spans="1:19">
      <c r="A518" s="126"/>
      <c r="B518" s="127"/>
      <c r="C518" s="97"/>
      <c r="D518" s="97"/>
      <c r="E518" s="97"/>
      <c r="F518" s="96"/>
      <c r="G518" s="96"/>
      <c r="H518" s="96"/>
      <c r="I518" s="96"/>
      <c r="J518" s="96"/>
      <c r="K518" s="96"/>
      <c r="L518" s="96"/>
      <c r="M518" s="96"/>
      <c r="N518" s="96"/>
      <c r="O518" s="96"/>
      <c r="P518" s="96"/>
      <c r="Q518" s="96"/>
      <c r="R518" s="96"/>
      <c r="S518" s="96"/>
    </row>
    <row r="519" spans="1:19">
      <c r="A519" s="126"/>
      <c r="B519" s="127"/>
      <c r="C519" s="97"/>
      <c r="D519" s="97"/>
      <c r="E519" s="97"/>
      <c r="F519" s="96"/>
      <c r="G519" s="96"/>
      <c r="H519" s="96"/>
      <c r="I519" s="96"/>
      <c r="J519" s="96"/>
      <c r="K519" s="96"/>
      <c r="L519" s="96"/>
      <c r="M519" s="96"/>
      <c r="N519" s="96"/>
      <c r="O519" s="96"/>
      <c r="P519" s="96"/>
      <c r="Q519" s="96"/>
      <c r="R519" s="96"/>
      <c r="S519" s="96"/>
    </row>
    <row r="520" spans="1:19">
      <c r="A520" s="126"/>
      <c r="B520" s="127"/>
      <c r="C520" s="97"/>
      <c r="D520" s="97"/>
      <c r="E520" s="97"/>
      <c r="F520" s="96"/>
      <c r="G520" s="96"/>
      <c r="H520" s="96"/>
      <c r="I520" s="96"/>
      <c r="J520" s="96"/>
      <c r="K520" s="96"/>
      <c r="L520" s="96"/>
      <c r="M520" s="96"/>
      <c r="N520" s="96"/>
      <c r="O520" s="96"/>
      <c r="P520" s="96"/>
      <c r="Q520" s="96"/>
      <c r="R520" s="96"/>
      <c r="S520" s="96"/>
    </row>
    <row r="521" spans="1:19">
      <c r="A521" s="126"/>
      <c r="B521" s="127"/>
      <c r="C521" s="97"/>
      <c r="D521" s="97"/>
      <c r="E521" s="97"/>
      <c r="F521" s="96"/>
      <c r="G521" s="96"/>
      <c r="H521" s="96"/>
      <c r="I521" s="96"/>
      <c r="J521" s="96"/>
      <c r="K521" s="96"/>
      <c r="L521" s="96"/>
      <c r="M521" s="96"/>
      <c r="N521" s="96"/>
      <c r="O521" s="96"/>
      <c r="P521" s="96"/>
      <c r="Q521" s="96"/>
      <c r="R521" s="96"/>
      <c r="S521" s="96"/>
    </row>
    <row r="522" spans="1:19">
      <c r="A522" s="126"/>
      <c r="B522" s="127"/>
      <c r="C522" s="97"/>
      <c r="D522" s="97"/>
      <c r="E522" s="97"/>
      <c r="F522" s="96"/>
      <c r="G522" s="96"/>
      <c r="H522" s="96"/>
      <c r="I522" s="96"/>
      <c r="J522" s="96"/>
      <c r="K522" s="96"/>
      <c r="L522" s="96"/>
      <c r="M522" s="96"/>
      <c r="N522" s="96"/>
      <c r="O522" s="96"/>
      <c r="P522" s="96"/>
      <c r="Q522" s="96"/>
      <c r="R522" s="96"/>
      <c r="S522" s="96"/>
    </row>
    <row r="523" spans="1:19">
      <c r="A523" s="126"/>
      <c r="B523" s="127"/>
      <c r="C523" s="97"/>
      <c r="D523" s="97"/>
      <c r="E523" s="97"/>
      <c r="F523" s="96"/>
      <c r="G523" s="96"/>
      <c r="H523" s="96"/>
      <c r="I523" s="96"/>
      <c r="J523" s="96"/>
      <c r="K523" s="96"/>
      <c r="L523" s="96"/>
      <c r="M523" s="96"/>
      <c r="N523" s="96"/>
      <c r="O523" s="96"/>
      <c r="P523" s="96"/>
      <c r="Q523" s="96"/>
      <c r="R523" s="96"/>
      <c r="S523" s="96"/>
    </row>
    <row r="524" spans="1:19">
      <c r="A524" s="126"/>
      <c r="B524" s="127"/>
      <c r="C524" s="97"/>
      <c r="D524" s="97"/>
      <c r="E524" s="97"/>
      <c r="F524" s="96"/>
      <c r="G524" s="96"/>
      <c r="H524" s="96"/>
      <c r="I524" s="96"/>
      <c r="J524" s="96"/>
      <c r="K524" s="96"/>
      <c r="L524" s="96"/>
      <c r="M524" s="96"/>
      <c r="N524" s="96"/>
      <c r="O524" s="96"/>
      <c r="P524" s="96"/>
      <c r="Q524" s="96"/>
      <c r="R524" s="96"/>
      <c r="S524" s="96"/>
    </row>
    <row r="525" spans="1:19">
      <c r="A525" s="126"/>
      <c r="B525" s="127"/>
      <c r="C525" s="97"/>
      <c r="D525" s="97"/>
      <c r="E525" s="97"/>
      <c r="F525" s="96"/>
      <c r="G525" s="96"/>
      <c r="H525" s="96"/>
      <c r="I525" s="96"/>
      <c r="J525" s="96"/>
      <c r="K525" s="96"/>
      <c r="L525" s="96"/>
      <c r="M525" s="96"/>
      <c r="N525" s="96"/>
      <c r="O525" s="96"/>
      <c r="P525" s="96"/>
      <c r="Q525" s="96"/>
      <c r="R525" s="96"/>
      <c r="S525" s="96"/>
    </row>
    <row r="526" spans="1:19">
      <c r="A526" s="126"/>
      <c r="B526" s="127"/>
      <c r="C526" s="97"/>
      <c r="D526" s="97"/>
      <c r="E526" s="97"/>
      <c r="F526" s="96"/>
      <c r="G526" s="96"/>
      <c r="H526" s="96"/>
      <c r="I526" s="96"/>
      <c r="J526" s="96"/>
      <c r="K526" s="96"/>
      <c r="L526" s="96"/>
      <c r="M526" s="96"/>
      <c r="N526" s="96"/>
      <c r="O526" s="96"/>
      <c r="P526" s="96"/>
      <c r="Q526" s="96"/>
      <c r="R526" s="96"/>
      <c r="S526" s="96"/>
    </row>
    <row r="527" spans="1:19">
      <c r="A527" s="126"/>
      <c r="B527" s="127"/>
      <c r="C527" s="97"/>
      <c r="D527" s="97"/>
      <c r="E527" s="97"/>
      <c r="F527" s="96"/>
      <c r="G527" s="96"/>
      <c r="H527" s="96"/>
      <c r="I527" s="96"/>
      <c r="J527" s="96"/>
      <c r="K527" s="96"/>
      <c r="L527" s="96"/>
      <c r="M527" s="96"/>
      <c r="N527" s="96"/>
      <c r="O527" s="96"/>
      <c r="P527" s="96"/>
      <c r="Q527" s="96"/>
      <c r="R527" s="96"/>
      <c r="S527" s="96"/>
    </row>
    <row r="528" spans="1:19">
      <c r="A528" s="126"/>
      <c r="B528" s="127"/>
      <c r="C528" s="97"/>
      <c r="D528" s="97"/>
      <c r="E528" s="97"/>
      <c r="F528" s="96"/>
      <c r="G528" s="96"/>
      <c r="H528" s="96"/>
      <c r="I528" s="96"/>
      <c r="J528" s="96"/>
      <c r="K528" s="96"/>
      <c r="L528" s="96"/>
      <c r="M528" s="96"/>
      <c r="N528" s="96"/>
      <c r="O528" s="96"/>
      <c r="P528" s="96"/>
      <c r="Q528" s="96"/>
      <c r="R528" s="96"/>
      <c r="S528" s="96"/>
    </row>
    <row r="529" spans="1:19">
      <c r="A529" s="126"/>
      <c r="B529" s="127"/>
      <c r="C529" s="97"/>
      <c r="D529" s="97"/>
      <c r="E529" s="97"/>
      <c r="F529" s="96"/>
      <c r="G529" s="96"/>
      <c r="H529" s="96"/>
      <c r="I529" s="96"/>
      <c r="J529" s="96"/>
      <c r="K529" s="96"/>
      <c r="L529" s="96"/>
      <c r="M529" s="96"/>
      <c r="N529" s="96"/>
      <c r="O529" s="96"/>
      <c r="P529" s="96"/>
      <c r="Q529" s="96"/>
      <c r="R529" s="96"/>
      <c r="S529" s="96"/>
    </row>
    <row r="530" spans="1:19">
      <c r="A530" s="126"/>
      <c r="B530" s="127"/>
      <c r="C530" s="97"/>
      <c r="D530" s="97"/>
      <c r="E530" s="97"/>
      <c r="F530" s="96"/>
      <c r="G530" s="96"/>
      <c r="H530" s="96"/>
      <c r="I530" s="96"/>
      <c r="J530" s="96"/>
      <c r="K530" s="96"/>
      <c r="L530" s="96"/>
      <c r="M530" s="96"/>
      <c r="N530" s="96"/>
      <c r="O530" s="96"/>
      <c r="P530" s="96"/>
      <c r="Q530" s="96"/>
      <c r="R530" s="96"/>
      <c r="S530" s="96"/>
    </row>
    <row r="531" spans="1:19">
      <c r="A531" s="126"/>
      <c r="B531" s="127"/>
      <c r="C531" s="97"/>
      <c r="D531" s="97"/>
      <c r="E531" s="97"/>
      <c r="F531" s="96"/>
      <c r="G531" s="96"/>
      <c r="H531" s="96"/>
      <c r="I531" s="96"/>
      <c r="J531" s="96"/>
      <c r="K531" s="96"/>
      <c r="L531" s="96"/>
      <c r="M531" s="96"/>
      <c r="N531" s="96"/>
      <c r="O531" s="96"/>
      <c r="P531" s="96"/>
      <c r="Q531" s="96"/>
      <c r="R531" s="96"/>
      <c r="S531" s="96"/>
    </row>
    <row r="532" spans="1:19">
      <c r="A532" s="126"/>
      <c r="B532" s="127"/>
      <c r="C532" s="97"/>
      <c r="D532" s="97"/>
      <c r="E532" s="97"/>
      <c r="F532" s="96"/>
      <c r="G532" s="96"/>
      <c r="H532" s="96"/>
      <c r="I532" s="96"/>
      <c r="J532" s="96"/>
      <c r="K532" s="96"/>
      <c r="L532" s="96"/>
      <c r="M532" s="96"/>
      <c r="N532" s="96"/>
      <c r="O532" s="96"/>
      <c r="P532" s="96"/>
      <c r="Q532" s="96"/>
      <c r="R532" s="96"/>
      <c r="S532" s="96"/>
    </row>
    <row r="533" spans="1:19">
      <c r="A533" s="126"/>
      <c r="B533" s="127"/>
      <c r="C533" s="97"/>
      <c r="D533" s="97"/>
      <c r="E533" s="97"/>
      <c r="F533" s="96"/>
      <c r="G533" s="96"/>
      <c r="H533" s="96"/>
      <c r="I533" s="96"/>
      <c r="J533" s="96"/>
      <c r="K533" s="96"/>
      <c r="L533" s="96"/>
      <c r="M533" s="96"/>
      <c r="N533" s="96"/>
      <c r="O533" s="96"/>
      <c r="P533" s="96"/>
      <c r="Q533" s="96"/>
      <c r="R533" s="96"/>
      <c r="S533" s="96"/>
    </row>
    <row r="534" spans="1:19">
      <c r="A534" s="126"/>
      <c r="B534" s="127"/>
      <c r="C534" s="97"/>
      <c r="D534" s="97"/>
      <c r="E534" s="97"/>
      <c r="F534" s="96"/>
      <c r="G534" s="96"/>
      <c r="H534" s="96"/>
      <c r="I534" s="96"/>
      <c r="J534" s="96"/>
      <c r="K534" s="96"/>
      <c r="L534" s="96"/>
      <c r="M534" s="96"/>
      <c r="N534" s="96"/>
      <c r="O534" s="96"/>
      <c r="P534" s="96"/>
      <c r="Q534" s="96"/>
      <c r="R534" s="96"/>
      <c r="S534" s="96"/>
    </row>
    <row r="535" spans="1:19">
      <c r="A535" s="126"/>
      <c r="B535" s="127"/>
      <c r="C535" s="97"/>
      <c r="D535" s="97"/>
      <c r="E535" s="97"/>
      <c r="F535" s="96"/>
      <c r="G535" s="96"/>
      <c r="H535" s="96"/>
      <c r="I535" s="96"/>
      <c r="J535" s="96"/>
      <c r="K535" s="96"/>
      <c r="L535" s="96"/>
      <c r="M535" s="96"/>
      <c r="N535" s="96"/>
      <c r="O535" s="96"/>
      <c r="P535" s="96"/>
      <c r="Q535" s="96"/>
      <c r="R535" s="96"/>
      <c r="S535" s="96"/>
    </row>
    <row r="536" spans="1:19">
      <c r="A536" s="126"/>
      <c r="B536" s="127"/>
      <c r="C536" s="97"/>
      <c r="D536" s="97"/>
      <c r="E536" s="97"/>
      <c r="F536" s="96"/>
      <c r="G536" s="96"/>
      <c r="H536" s="96"/>
      <c r="I536" s="96"/>
      <c r="J536" s="96"/>
      <c r="K536" s="96"/>
      <c r="L536" s="96"/>
      <c r="M536" s="96"/>
      <c r="N536" s="96"/>
      <c r="O536" s="96"/>
      <c r="P536" s="96"/>
      <c r="Q536" s="96"/>
      <c r="R536" s="96"/>
      <c r="S536" s="96"/>
    </row>
    <row r="537" spans="1:19">
      <c r="A537" s="126"/>
      <c r="B537" s="127"/>
      <c r="C537" s="97"/>
      <c r="D537" s="97"/>
      <c r="E537" s="97"/>
      <c r="F537" s="96"/>
      <c r="G537" s="96"/>
      <c r="H537" s="96"/>
      <c r="I537" s="96"/>
      <c r="J537" s="96"/>
      <c r="K537" s="96"/>
      <c r="L537" s="96"/>
      <c r="M537" s="96"/>
      <c r="N537" s="96"/>
      <c r="O537" s="96"/>
      <c r="P537" s="96"/>
      <c r="Q537" s="96"/>
      <c r="R537" s="96"/>
      <c r="S537" s="96"/>
    </row>
    <row r="538" spans="1:19">
      <c r="A538" s="126"/>
      <c r="B538" s="127"/>
      <c r="C538" s="97"/>
      <c r="D538" s="97"/>
      <c r="E538" s="97"/>
      <c r="F538" s="96"/>
      <c r="G538" s="96"/>
      <c r="H538" s="96"/>
      <c r="I538" s="96"/>
      <c r="J538" s="96"/>
      <c r="K538" s="96"/>
      <c r="L538" s="96"/>
      <c r="M538" s="96"/>
      <c r="N538" s="96"/>
      <c r="O538" s="96"/>
      <c r="P538" s="96"/>
      <c r="Q538" s="96"/>
      <c r="R538" s="96"/>
      <c r="S538" s="96"/>
    </row>
    <row r="539" spans="1:19">
      <c r="A539" s="126"/>
      <c r="B539" s="127"/>
      <c r="C539" s="97"/>
      <c r="D539" s="97"/>
      <c r="E539" s="97"/>
      <c r="F539" s="96"/>
      <c r="G539" s="96"/>
      <c r="H539" s="96"/>
      <c r="I539" s="96"/>
      <c r="J539" s="96"/>
      <c r="K539" s="96"/>
      <c r="L539" s="96"/>
      <c r="M539" s="96"/>
      <c r="N539" s="96"/>
      <c r="O539" s="96"/>
      <c r="P539" s="96"/>
      <c r="Q539" s="96"/>
      <c r="R539" s="96"/>
      <c r="S539" s="96"/>
    </row>
    <row r="540" spans="1:19">
      <c r="A540" s="126"/>
      <c r="B540" s="127"/>
      <c r="C540" s="97"/>
      <c r="D540" s="97"/>
      <c r="E540" s="97"/>
      <c r="F540" s="96"/>
      <c r="G540" s="96"/>
      <c r="H540" s="96"/>
      <c r="I540" s="96"/>
      <c r="J540" s="96"/>
      <c r="K540" s="96"/>
      <c r="L540" s="96"/>
      <c r="M540" s="96"/>
      <c r="N540" s="96"/>
      <c r="O540" s="96"/>
      <c r="P540" s="96"/>
      <c r="Q540" s="96"/>
      <c r="R540" s="96"/>
      <c r="S540" s="96"/>
    </row>
    <row r="541" spans="1:19">
      <c r="A541" s="126"/>
      <c r="B541" s="127"/>
      <c r="C541" s="97"/>
      <c r="D541" s="97"/>
      <c r="E541" s="97"/>
      <c r="F541" s="96"/>
      <c r="G541" s="96"/>
      <c r="H541" s="96"/>
      <c r="I541" s="96"/>
      <c r="J541" s="96"/>
      <c r="K541" s="96"/>
      <c r="L541" s="96"/>
      <c r="M541" s="96"/>
      <c r="N541" s="96"/>
      <c r="O541" s="96"/>
      <c r="P541" s="96"/>
      <c r="Q541" s="96"/>
      <c r="R541" s="96"/>
      <c r="S541" s="96"/>
    </row>
    <row r="542" spans="1:19">
      <c r="A542" s="126"/>
      <c r="B542" s="127"/>
      <c r="C542" s="97"/>
      <c r="D542" s="97"/>
      <c r="E542" s="97"/>
      <c r="F542" s="96"/>
      <c r="G542" s="96"/>
      <c r="H542" s="96"/>
      <c r="I542" s="96"/>
      <c r="J542" s="96"/>
      <c r="K542" s="96"/>
      <c r="L542" s="96"/>
      <c r="M542" s="96"/>
      <c r="N542" s="96"/>
      <c r="O542" s="96"/>
      <c r="P542" s="96"/>
      <c r="Q542" s="96"/>
      <c r="R542" s="96"/>
      <c r="S542" s="96"/>
    </row>
    <row r="543" spans="1:19">
      <c r="A543" s="126"/>
      <c r="B543" s="127"/>
      <c r="C543" s="97"/>
      <c r="D543" s="97"/>
      <c r="E543" s="97"/>
      <c r="F543" s="96"/>
      <c r="G543" s="96"/>
      <c r="H543" s="96"/>
      <c r="I543" s="96"/>
      <c r="J543" s="96"/>
      <c r="K543" s="96"/>
      <c r="L543" s="96"/>
      <c r="M543" s="96"/>
      <c r="N543" s="96"/>
      <c r="O543" s="96"/>
      <c r="P543" s="96"/>
      <c r="Q543" s="96"/>
      <c r="R543" s="96"/>
      <c r="S543" s="96"/>
    </row>
    <row r="544" spans="1:19">
      <c r="A544" s="126"/>
      <c r="B544" s="127"/>
      <c r="C544" s="97"/>
      <c r="D544" s="97"/>
      <c r="E544" s="97"/>
      <c r="F544" s="96"/>
      <c r="G544" s="96"/>
      <c r="H544" s="96"/>
      <c r="I544" s="96"/>
      <c r="J544" s="96"/>
      <c r="K544" s="96"/>
      <c r="L544" s="96"/>
      <c r="M544" s="96"/>
      <c r="N544" s="96"/>
      <c r="O544" s="96"/>
      <c r="P544" s="96"/>
      <c r="Q544" s="96"/>
      <c r="R544" s="96"/>
      <c r="S544" s="96"/>
    </row>
    <row r="545" spans="1:19">
      <c r="A545" s="126"/>
      <c r="B545" s="127"/>
      <c r="C545" s="97"/>
      <c r="D545" s="97"/>
      <c r="E545" s="97"/>
      <c r="F545" s="96"/>
      <c r="G545" s="96"/>
      <c r="H545" s="96"/>
      <c r="I545" s="96"/>
      <c r="J545" s="96"/>
      <c r="K545" s="96"/>
      <c r="L545" s="96"/>
      <c r="M545" s="96"/>
      <c r="N545" s="96"/>
      <c r="O545" s="96"/>
      <c r="P545" s="96"/>
      <c r="Q545" s="96"/>
      <c r="R545" s="96"/>
      <c r="S545" s="96"/>
    </row>
    <row r="546" spans="1:19">
      <c r="A546" s="126"/>
      <c r="B546" s="127"/>
      <c r="C546" s="97"/>
      <c r="D546" s="97"/>
      <c r="E546" s="97"/>
      <c r="F546" s="96"/>
      <c r="G546" s="96"/>
      <c r="H546" s="96"/>
      <c r="I546" s="96"/>
      <c r="J546" s="96"/>
      <c r="K546" s="96"/>
      <c r="L546" s="96"/>
      <c r="M546" s="96"/>
      <c r="N546" s="96"/>
      <c r="O546" s="96"/>
      <c r="P546" s="96"/>
      <c r="Q546" s="96"/>
      <c r="R546" s="96"/>
      <c r="S546" s="96"/>
    </row>
    <row r="547" spans="1:19">
      <c r="A547" s="126"/>
      <c r="B547" s="127"/>
      <c r="C547" s="97"/>
      <c r="D547" s="97"/>
      <c r="E547" s="97"/>
      <c r="F547" s="96"/>
      <c r="G547" s="96"/>
      <c r="H547" s="96"/>
      <c r="I547" s="96"/>
      <c r="J547" s="96"/>
      <c r="K547" s="96"/>
      <c r="L547" s="96"/>
      <c r="M547" s="96"/>
      <c r="N547" s="96"/>
      <c r="O547" s="96"/>
      <c r="P547" s="96"/>
      <c r="Q547" s="96"/>
      <c r="R547" s="96"/>
      <c r="S547" s="96"/>
    </row>
    <row r="548" spans="1:19">
      <c r="A548" s="126"/>
      <c r="B548" s="127"/>
      <c r="C548" s="97"/>
      <c r="D548" s="97"/>
      <c r="E548" s="97"/>
      <c r="F548" s="96"/>
      <c r="G548" s="96"/>
      <c r="H548" s="96"/>
      <c r="I548" s="96"/>
      <c r="J548" s="96"/>
      <c r="K548" s="96"/>
      <c r="L548" s="96"/>
      <c r="M548" s="96"/>
      <c r="N548" s="96"/>
      <c r="O548" s="96"/>
      <c r="P548" s="96"/>
      <c r="Q548" s="96"/>
      <c r="R548" s="96"/>
      <c r="S548" s="96"/>
    </row>
    <row r="549" spans="1:19">
      <c r="A549" s="126"/>
      <c r="B549" s="127"/>
      <c r="C549" s="97"/>
      <c r="D549" s="97"/>
      <c r="E549" s="97"/>
      <c r="F549" s="96"/>
      <c r="G549" s="96"/>
      <c r="H549" s="96"/>
      <c r="I549" s="96"/>
      <c r="J549" s="96"/>
      <c r="K549" s="96"/>
      <c r="L549" s="96"/>
      <c r="M549" s="96"/>
      <c r="N549" s="96"/>
      <c r="O549" s="96"/>
      <c r="P549" s="96"/>
      <c r="Q549" s="96"/>
      <c r="R549" s="96"/>
      <c r="S549" s="96"/>
    </row>
    <row r="550" spans="1:19">
      <c r="A550" s="126"/>
      <c r="B550" s="127"/>
      <c r="C550" s="97"/>
      <c r="D550" s="97"/>
      <c r="E550" s="97"/>
      <c r="F550" s="96"/>
      <c r="G550" s="96"/>
      <c r="H550" s="96"/>
      <c r="I550" s="96"/>
      <c r="J550" s="96"/>
      <c r="K550" s="96"/>
      <c r="L550" s="96"/>
      <c r="M550" s="96"/>
      <c r="N550" s="96"/>
      <c r="O550" s="96"/>
      <c r="P550" s="96"/>
      <c r="Q550" s="96"/>
      <c r="R550" s="96"/>
      <c r="S550" s="96"/>
    </row>
    <row r="551" spans="1:19">
      <c r="A551" s="126"/>
      <c r="B551" s="127"/>
      <c r="C551" s="97"/>
      <c r="D551" s="97"/>
      <c r="E551" s="97"/>
      <c r="F551" s="96"/>
      <c r="G551" s="96"/>
      <c r="H551" s="96"/>
      <c r="I551" s="96"/>
      <c r="J551" s="96"/>
      <c r="K551" s="96"/>
      <c r="L551" s="96"/>
      <c r="M551" s="96"/>
      <c r="N551" s="96"/>
      <c r="O551" s="96"/>
      <c r="P551" s="96"/>
      <c r="Q551" s="96"/>
      <c r="R551" s="96"/>
      <c r="S551" s="96"/>
    </row>
    <row r="552" spans="1:19">
      <c r="A552" s="126"/>
      <c r="B552" s="127"/>
      <c r="C552" s="97"/>
      <c r="D552" s="97"/>
      <c r="E552" s="97"/>
      <c r="F552" s="96"/>
      <c r="G552" s="96"/>
      <c r="H552" s="96"/>
      <c r="I552" s="96"/>
      <c r="J552" s="96"/>
      <c r="K552" s="96"/>
      <c r="L552" s="96"/>
      <c r="M552" s="96"/>
      <c r="N552" s="96"/>
      <c r="O552" s="96"/>
      <c r="P552" s="96"/>
      <c r="Q552" s="96"/>
      <c r="R552" s="96"/>
      <c r="S552" s="96"/>
    </row>
    <row r="553" spans="1:19">
      <c r="A553" s="126"/>
      <c r="B553" s="127"/>
      <c r="C553" s="97"/>
      <c r="D553" s="97"/>
      <c r="E553" s="97"/>
      <c r="F553" s="96"/>
      <c r="G553" s="96"/>
      <c r="H553" s="96"/>
      <c r="I553" s="96"/>
      <c r="J553" s="96"/>
      <c r="K553" s="96"/>
      <c r="L553" s="96"/>
      <c r="M553" s="96"/>
      <c r="N553" s="96"/>
      <c r="O553" s="96"/>
      <c r="P553" s="96"/>
      <c r="Q553" s="96"/>
      <c r="R553" s="96"/>
      <c r="S553" s="96"/>
    </row>
    <row r="554" spans="1:19">
      <c r="A554" s="126"/>
      <c r="B554" s="127"/>
      <c r="C554" s="97"/>
      <c r="D554" s="97"/>
      <c r="E554" s="97"/>
      <c r="F554" s="96"/>
      <c r="G554" s="96"/>
      <c r="H554" s="96"/>
      <c r="I554" s="96"/>
      <c r="J554" s="96"/>
      <c r="K554" s="96"/>
      <c r="L554" s="96"/>
      <c r="M554" s="96"/>
      <c r="N554" s="96"/>
      <c r="O554" s="96"/>
      <c r="P554" s="96"/>
      <c r="Q554" s="96"/>
      <c r="R554" s="96"/>
      <c r="S554" s="96"/>
    </row>
    <row r="555" spans="1:19">
      <c r="A555" s="126"/>
      <c r="B555" s="127"/>
      <c r="C555" s="97"/>
      <c r="D555" s="97"/>
      <c r="E555" s="97"/>
      <c r="F555" s="96"/>
      <c r="G555" s="96"/>
      <c r="H555" s="96"/>
      <c r="I555" s="96"/>
      <c r="J555" s="96"/>
      <c r="K555" s="96"/>
      <c r="L555" s="96"/>
      <c r="M555" s="96"/>
      <c r="N555" s="96"/>
      <c r="O555" s="96"/>
      <c r="P555" s="96"/>
      <c r="Q555" s="96"/>
      <c r="R555" s="96"/>
      <c r="S555" s="96"/>
    </row>
    <row r="556" spans="1:19">
      <c r="A556" s="126"/>
      <c r="B556" s="127"/>
      <c r="C556" s="97"/>
      <c r="D556" s="97"/>
      <c r="E556" s="97"/>
      <c r="F556" s="96"/>
      <c r="G556" s="96"/>
      <c r="H556" s="96"/>
      <c r="I556" s="96"/>
      <c r="J556" s="96"/>
      <c r="K556" s="96"/>
      <c r="L556" s="96"/>
      <c r="M556" s="96"/>
      <c r="N556" s="96"/>
      <c r="O556" s="96"/>
      <c r="P556" s="96"/>
      <c r="Q556" s="96"/>
      <c r="R556" s="96"/>
      <c r="S556" s="96"/>
    </row>
    <row r="557" spans="1:19">
      <c r="A557" s="126"/>
      <c r="B557" s="127"/>
      <c r="C557" s="97"/>
      <c r="D557" s="97"/>
      <c r="E557" s="97"/>
      <c r="F557" s="96"/>
      <c r="G557" s="96"/>
      <c r="H557" s="96"/>
      <c r="I557" s="96"/>
      <c r="J557" s="96"/>
      <c r="K557" s="96"/>
      <c r="L557" s="96"/>
      <c r="M557" s="96"/>
      <c r="N557" s="96"/>
      <c r="O557" s="96"/>
      <c r="P557" s="96"/>
      <c r="Q557" s="96"/>
      <c r="R557" s="96"/>
      <c r="S557" s="96"/>
    </row>
    <row r="558" spans="1:19">
      <c r="A558" s="126"/>
      <c r="B558" s="127"/>
      <c r="C558" s="97"/>
      <c r="D558" s="97"/>
      <c r="E558" s="97"/>
      <c r="F558" s="96"/>
      <c r="G558" s="96"/>
      <c r="H558" s="96"/>
      <c r="I558" s="96"/>
      <c r="J558" s="96"/>
      <c r="K558" s="96"/>
      <c r="L558" s="96"/>
      <c r="M558" s="96"/>
      <c r="N558" s="96"/>
      <c r="O558" s="96"/>
      <c r="P558" s="96"/>
      <c r="Q558" s="96"/>
      <c r="R558" s="96"/>
      <c r="S558" s="96"/>
    </row>
    <row r="559" spans="1:19">
      <c r="A559" s="126"/>
      <c r="B559" s="127"/>
      <c r="C559" s="97"/>
      <c r="D559" s="97"/>
      <c r="E559" s="97"/>
      <c r="F559" s="96"/>
      <c r="G559" s="96"/>
      <c r="H559" s="96"/>
      <c r="I559" s="96"/>
      <c r="J559" s="96"/>
      <c r="K559" s="96"/>
      <c r="L559" s="96"/>
      <c r="M559" s="96"/>
      <c r="N559" s="96"/>
      <c r="O559" s="96"/>
      <c r="P559" s="96"/>
      <c r="Q559" s="96"/>
      <c r="R559" s="96"/>
      <c r="S559" s="96"/>
    </row>
    <row r="560" spans="1:19">
      <c r="A560" s="126"/>
      <c r="B560" s="127"/>
      <c r="C560" s="97"/>
      <c r="D560" s="97"/>
      <c r="E560" s="97"/>
      <c r="F560" s="96"/>
      <c r="G560" s="96"/>
      <c r="H560" s="96"/>
      <c r="I560" s="96"/>
      <c r="J560" s="96"/>
      <c r="K560" s="96"/>
      <c r="L560" s="96"/>
      <c r="M560" s="96"/>
      <c r="N560" s="96"/>
      <c r="O560" s="96"/>
      <c r="P560" s="96"/>
      <c r="Q560" s="96"/>
      <c r="R560" s="96"/>
      <c r="S560" s="96"/>
    </row>
    <row r="561" spans="1:19">
      <c r="A561" s="126"/>
      <c r="B561" s="127"/>
      <c r="C561" s="97"/>
      <c r="D561" s="97"/>
      <c r="E561" s="97"/>
      <c r="F561" s="96"/>
      <c r="G561" s="96"/>
      <c r="H561" s="96"/>
      <c r="I561" s="96"/>
      <c r="J561" s="96"/>
      <c r="K561" s="96"/>
      <c r="L561" s="96"/>
      <c r="M561" s="96"/>
      <c r="N561" s="96"/>
      <c r="O561" s="96"/>
      <c r="P561" s="96"/>
      <c r="Q561" s="96"/>
      <c r="R561" s="96"/>
      <c r="S561" s="96"/>
    </row>
    <row r="562" spans="1:19">
      <c r="A562" s="126"/>
      <c r="B562" s="127"/>
      <c r="C562" s="97"/>
      <c r="D562" s="97"/>
      <c r="E562" s="97"/>
      <c r="F562" s="96"/>
      <c r="G562" s="96"/>
      <c r="H562" s="96"/>
      <c r="I562" s="96"/>
      <c r="J562" s="96"/>
      <c r="K562" s="96"/>
      <c r="L562" s="96"/>
      <c r="M562" s="96"/>
      <c r="N562" s="96"/>
      <c r="O562" s="96"/>
      <c r="P562" s="96"/>
      <c r="Q562" s="96"/>
      <c r="R562" s="96"/>
      <c r="S562" s="96"/>
    </row>
    <row r="563" spans="1:19">
      <c r="A563" s="126"/>
      <c r="B563" s="127"/>
      <c r="C563" s="97"/>
      <c r="D563" s="97"/>
      <c r="E563" s="97"/>
      <c r="F563" s="96"/>
      <c r="G563" s="96"/>
      <c r="H563" s="96"/>
      <c r="I563" s="96"/>
      <c r="J563" s="96"/>
      <c r="K563" s="96"/>
      <c r="L563" s="96"/>
      <c r="M563" s="96"/>
      <c r="N563" s="96"/>
      <c r="O563" s="96"/>
      <c r="P563" s="96"/>
      <c r="Q563" s="96"/>
      <c r="R563" s="96"/>
      <c r="S563" s="96"/>
    </row>
    <row r="564" spans="1:19">
      <c r="A564" s="126"/>
      <c r="B564" s="127"/>
      <c r="C564" s="97"/>
      <c r="D564" s="97"/>
      <c r="E564" s="97"/>
      <c r="F564" s="96"/>
      <c r="G564" s="96"/>
      <c r="H564" s="96"/>
      <c r="I564" s="96"/>
      <c r="J564" s="96"/>
      <c r="K564" s="96"/>
      <c r="L564" s="96"/>
      <c r="M564" s="96"/>
      <c r="N564" s="96"/>
      <c r="O564" s="96"/>
      <c r="P564" s="96"/>
      <c r="Q564" s="96"/>
      <c r="R564" s="96"/>
      <c r="S564" s="96"/>
    </row>
    <row r="565" spans="1:19">
      <c r="A565" s="126"/>
      <c r="B565" s="127"/>
      <c r="C565" s="97"/>
      <c r="D565" s="97"/>
      <c r="E565" s="97"/>
      <c r="F565" s="96"/>
      <c r="G565" s="96"/>
      <c r="H565" s="96"/>
      <c r="I565" s="96"/>
      <c r="J565" s="96"/>
      <c r="K565" s="96"/>
      <c r="L565" s="96"/>
      <c r="M565" s="96"/>
      <c r="N565" s="96"/>
      <c r="O565" s="96"/>
      <c r="P565" s="96"/>
      <c r="Q565" s="96"/>
      <c r="R565" s="96"/>
      <c r="S565" s="96"/>
    </row>
    <row r="566" spans="1:19">
      <c r="A566" s="126"/>
      <c r="B566" s="127"/>
      <c r="C566" s="97"/>
      <c r="D566" s="97"/>
      <c r="E566" s="97"/>
      <c r="F566" s="96"/>
      <c r="G566" s="96"/>
      <c r="H566" s="96"/>
      <c r="I566" s="96"/>
      <c r="J566" s="96"/>
      <c r="K566" s="96"/>
      <c r="L566" s="96"/>
      <c r="M566" s="96"/>
      <c r="N566" s="96"/>
      <c r="O566" s="96"/>
      <c r="P566" s="96"/>
      <c r="Q566" s="96"/>
      <c r="R566" s="96"/>
      <c r="S566" s="96"/>
    </row>
    <row r="567" spans="1:19">
      <c r="A567" s="126"/>
      <c r="B567" s="127"/>
      <c r="C567" s="97"/>
      <c r="D567" s="97"/>
      <c r="E567" s="97"/>
      <c r="F567" s="96"/>
      <c r="G567" s="96"/>
      <c r="H567" s="96"/>
      <c r="I567" s="96"/>
      <c r="J567" s="96"/>
      <c r="K567" s="96"/>
      <c r="L567" s="96"/>
      <c r="M567" s="96"/>
      <c r="N567" s="96"/>
      <c r="O567" s="96"/>
      <c r="P567" s="96"/>
      <c r="Q567" s="96"/>
      <c r="R567" s="96"/>
      <c r="S567" s="96"/>
    </row>
    <row r="568" spans="1:19">
      <c r="A568" s="126"/>
      <c r="B568" s="127"/>
      <c r="C568" s="97"/>
      <c r="D568" s="97"/>
      <c r="E568" s="97"/>
      <c r="F568" s="96"/>
      <c r="G568" s="96"/>
      <c r="H568" s="96"/>
      <c r="I568" s="96"/>
      <c r="J568" s="96"/>
      <c r="K568" s="96"/>
      <c r="L568" s="96"/>
      <c r="M568" s="96"/>
      <c r="N568" s="96"/>
      <c r="O568" s="96"/>
      <c r="P568" s="96"/>
      <c r="Q568" s="96"/>
      <c r="R568" s="96"/>
      <c r="S568" s="96"/>
    </row>
    <row r="569" spans="1:19">
      <c r="A569" s="126"/>
      <c r="B569" s="127"/>
      <c r="C569" s="97"/>
      <c r="D569" s="97"/>
      <c r="E569" s="97"/>
      <c r="F569" s="96"/>
      <c r="G569" s="96"/>
      <c r="H569" s="96"/>
      <c r="I569" s="96"/>
      <c r="J569" s="96"/>
      <c r="K569" s="96"/>
      <c r="L569" s="96"/>
      <c r="M569" s="96"/>
      <c r="N569" s="96"/>
      <c r="O569" s="96"/>
      <c r="P569" s="96"/>
      <c r="Q569" s="96"/>
      <c r="R569" s="96"/>
      <c r="S569" s="96"/>
    </row>
    <row r="570" spans="1:19">
      <c r="A570" s="126"/>
      <c r="B570" s="127"/>
      <c r="C570" s="97"/>
      <c r="D570" s="97"/>
      <c r="E570" s="97"/>
      <c r="F570" s="96"/>
      <c r="G570" s="96"/>
      <c r="H570" s="96"/>
      <c r="I570" s="96"/>
      <c r="J570" s="96"/>
      <c r="K570" s="96"/>
      <c r="L570" s="96"/>
      <c r="M570" s="96"/>
      <c r="N570" s="96"/>
      <c r="O570" s="96"/>
      <c r="P570" s="96"/>
      <c r="Q570" s="96"/>
      <c r="R570" s="96"/>
      <c r="S570" s="96"/>
    </row>
    <row r="571" spans="1:19">
      <c r="A571" s="126"/>
      <c r="B571" s="127"/>
      <c r="C571" s="97"/>
      <c r="D571" s="97"/>
      <c r="E571" s="97"/>
      <c r="F571" s="96"/>
      <c r="G571" s="96"/>
      <c r="H571" s="96"/>
      <c r="I571" s="96"/>
      <c r="J571" s="96"/>
      <c r="K571" s="96"/>
      <c r="L571" s="96"/>
      <c r="M571" s="96"/>
      <c r="N571" s="96"/>
      <c r="O571" s="96"/>
      <c r="P571" s="96"/>
      <c r="Q571" s="96"/>
      <c r="R571" s="96"/>
      <c r="S571" s="96"/>
    </row>
    <row r="572" spans="1:19">
      <c r="A572" s="126"/>
      <c r="B572" s="127"/>
      <c r="C572" s="97"/>
      <c r="D572" s="97"/>
      <c r="E572" s="97"/>
      <c r="F572" s="96"/>
      <c r="G572" s="96"/>
      <c r="H572" s="96"/>
      <c r="I572" s="96"/>
      <c r="J572" s="96"/>
      <c r="K572" s="96"/>
      <c r="L572" s="96"/>
      <c r="M572" s="96"/>
      <c r="N572" s="96"/>
      <c r="O572" s="96"/>
      <c r="P572" s="96"/>
      <c r="Q572" s="96"/>
      <c r="R572" s="96"/>
      <c r="S572" s="96"/>
    </row>
    <row r="573" spans="1:19">
      <c r="A573" s="126"/>
      <c r="B573" s="127"/>
      <c r="C573" s="97"/>
      <c r="D573" s="97"/>
      <c r="E573" s="97"/>
      <c r="F573" s="96"/>
      <c r="G573" s="96"/>
      <c r="H573" s="96"/>
      <c r="I573" s="96"/>
      <c r="J573" s="96"/>
      <c r="K573" s="96"/>
      <c r="L573" s="96"/>
      <c r="M573" s="96"/>
      <c r="N573" s="96"/>
      <c r="O573" s="96"/>
      <c r="P573" s="96"/>
      <c r="Q573" s="96"/>
      <c r="R573" s="96"/>
      <c r="S573" s="96"/>
    </row>
    <row r="574" spans="1:19">
      <c r="A574" s="126"/>
      <c r="B574" s="127"/>
      <c r="C574" s="97"/>
      <c r="D574" s="97"/>
      <c r="E574" s="97"/>
      <c r="F574" s="96"/>
      <c r="G574" s="96"/>
      <c r="H574" s="96"/>
      <c r="I574" s="96"/>
      <c r="J574" s="96"/>
      <c r="K574" s="96"/>
      <c r="L574" s="96"/>
      <c r="M574" s="96"/>
      <c r="N574" s="96"/>
      <c r="O574" s="96"/>
      <c r="P574" s="96"/>
      <c r="Q574" s="96"/>
      <c r="R574" s="96"/>
      <c r="S574" s="96"/>
    </row>
    <row r="575" spans="1:19">
      <c r="A575" s="126"/>
      <c r="B575" s="127"/>
      <c r="C575" s="97"/>
      <c r="D575" s="97"/>
      <c r="E575" s="97"/>
      <c r="F575" s="96"/>
      <c r="G575" s="96"/>
      <c r="H575" s="96"/>
      <c r="I575" s="96"/>
      <c r="J575" s="96"/>
      <c r="K575" s="96"/>
      <c r="L575" s="96"/>
      <c r="M575" s="96"/>
      <c r="N575" s="96"/>
      <c r="O575" s="96"/>
      <c r="P575" s="96"/>
      <c r="Q575" s="96"/>
      <c r="R575" s="96"/>
      <c r="S575" s="96"/>
    </row>
    <row r="576" spans="1:19">
      <c r="A576" s="126"/>
      <c r="B576" s="127"/>
      <c r="C576" s="97"/>
      <c r="D576" s="97"/>
      <c r="E576" s="97"/>
      <c r="F576" s="96"/>
      <c r="G576" s="96"/>
      <c r="H576" s="96"/>
      <c r="I576" s="96"/>
      <c r="J576" s="96"/>
      <c r="K576" s="96"/>
      <c r="L576" s="96"/>
      <c r="M576" s="96"/>
      <c r="N576" s="96"/>
      <c r="O576" s="96"/>
      <c r="P576" s="96"/>
      <c r="Q576" s="96"/>
      <c r="R576" s="96"/>
      <c r="S576" s="96"/>
    </row>
    <row r="577" spans="1:19">
      <c r="A577" s="126"/>
      <c r="B577" s="127"/>
      <c r="C577" s="97"/>
      <c r="D577" s="97"/>
      <c r="E577" s="97"/>
      <c r="F577" s="96"/>
      <c r="G577" s="96"/>
      <c r="H577" s="96"/>
      <c r="I577" s="96"/>
      <c r="J577" s="96"/>
      <c r="K577" s="96"/>
      <c r="L577" s="96"/>
      <c r="M577" s="96"/>
      <c r="N577" s="96"/>
      <c r="O577" s="96"/>
      <c r="P577" s="96"/>
      <c r="Q577" s="96"/>
      <c r="R577" s="96"/>
      <c r="S577" s="96"/>
    </row>
    <row r="578" spans="1:19">
      <c r="A578" s="126"/>
      <c r="B578" s="127"/>
      <c r="C578" s="97"/>
      <c r="D578" s="97"/>
      <c r="E578" s="97"/>
      <c r="F578" s="96"/>
      <c r="G578" s="96"/>
      <c r="H578" s="96"/>
      <c r="I578" s="96"/>
      <c r="J578" s="96"/>
      <c r="K578" s="96"/>
      <c r="L578" s="96"/>
      <c r="M578" s="96"/>
      <c r="N578" s="96"/>
      <c r="O578" s="96"/>
      <c r="P578" s="96"/>
      <c r="Q578" s="96"/>
      <c r="R578" s="96"/>
      <c r="S578" s="96"/>
    </row>
    <row r="579" spans="1:19">
      <c r="A579" s="126"/>
      <c r="B579" s="127"/>
      <c r="C579" s="97"/>
      <c r="D579" s="97"/>
      <c r="E579" s="97"/>
      <c r="F579" s="96"/>
      <c r="G579" s="96"/>
      <c r="H579" s="96"/>
      <c r="I579" s="96"/>
      <c r="J579" s="96"/>
      <c r="K579" s="96"/>
      <c r="L579" s="96"/>
      <c r="M579" s="96"/>
      <c r="N579" s="96"/>
      <c r="O579" s="96"/>
      <c r="P579" s="96"/>
      <c r="Q579" s="96"/>
      <c r="R579" s="96"/>
      <c r="S579" s="96"/>
    </row>
    <row r="580" spans="1:19">
      <c r="A580" s="126"/>
      <c r="B580" s="127"/>
      <c r="C580" s="97"/>
      <c r="D580" s="97"/>
      <c r="E580" s="97"/>
      <c r="F580" s="96"/>
      <c r="G580" s="96"/>
      <c r="H580" s="96"/>
      <c r="I580" s="96"/>
      <c r="J580" s="96"/>
      <c r="K580" s="96"/>
      <c r="L580" s="96"/>
      <c r="M580" s="96"/>
      <c r="N580" s="96"/>
      <c r="O580" s="96"/>
      <c r="P580" s="96"/>
      <c r="Q580" s="96"/>
      <c r="R580" s="96"/>
      <c r="S580" s="96"/>
    </row>
    <row r="581" spans="1:19">
      <c r="A581" s="126"/>
      <c r="B581" s="127"/>
      <c r="C581" s="97"/>
      <c r="D581" s="97"/>
      <c r="E581" s="97"/>
      <c r="F581" s="96"/>
      <c r="G581" s="96"/>
      <c r="H581" s="96"/>
      <c r="I581" s="96"/>
      <c r="J581" s="96"/>
      <c r="K581" s="96"/>
      <c r="L581" s="96"/>
      <c r="M581" s="96"/>
      <c r="N581" s="96"/>
      <c r="O581" s="96"/>
      <c r="P581" s="96"/>
      <c r="Q581" s="96"/>
      <c r="R581" s="96"/>
      <c r="S581" s="96"/>
    </row>
    <row r="582" spans="1:19">
      <c r="A582" s="126"/>
      <c r="B582" s="127"/>
      <c r="C582" s="97"/>
      <c r="D582" s="97"/>
      <c r="E582" s="97"/>
      <c r="F582" s="96"/>
      <c r="G582" s="96"/>
      <c r="H582" s="96"/>
      <c r="I582" s="96"/>
      <c r="J582" s="96"/>
      <c r="K582" s="96"/>
      <c r="L582" s="96"/>
      <c r="M582" s="96"/>
      <c r="N582" s="96"/>
      <c r="O582" s="96"/>
      <c r="P582" s="96"/>
      <c r="Q582" s="96"/>
      <c r="R582" s="96"/>
      <c r="S582" s="96"/>
    </row>
    <row r="583" spans="1:19">
      <c r="A583" s="126"/>
      <c r="B583" s="127"/>
      <c r="C583" s="97"/>
      <c r="D583" s="97"/>
      <c r="E583" s="97"/>
      <c r="F583" s="96"/>
      <c r="G583" s="96"/>
      <c r="H583" s="96"/>
      <c r="I583" s="96"/>
      <c r="J583" s="96"/>
      <c r="K583" s="96"/>
      <c r="L583" s="96"/>
      <c r="M583" s="96"/>
      <c r="N583" s="96"/>
      <c r="O583" s="96"/>
      <c r="P583" s="96"/>
      <c r="Q583" s="96"/>
      <c r="R583" s="96"/>
      <c r="S583" s="96"/>
    </row>
    <row r="584" spans="1:19">
      <c r="A584" s="126"/>
      <c r="B584" s="127"/>
      <c r="C584" s="97"/>
      <c r="D584" s="97"/>
      <c r="E584" s="97"/>
      <c r="F584" s="96"/>
      <c r="G584" s="96"/>
      <c r="H584" s="96"/>
      <c r="I584" s="96"/>
      <c r="J584" s="96"/>
      <c r="K584" s="96"/>
      <c r="L584" s="96"/>
      <c r="M584" s="96"/>
      <c r="N584" s="96"/>
      <c r="O584" s="96"/>
      <c r="P584" s="96"/>
      <c r="Q584" s="96"/>
      <c r="R584" s="96"/>
      <c r="S584" s="96"/>
    </row>
    <row r="585" spans="1:19">
      <c r="A585" s="126"/>
      <c r="B585" s="127"/>
      <c r="C585" s="97"/>
      <c r="D585" s="97"/>
      <c r="E585" s="97"/>
      <c r="F585" s="96"/>
      <c r="G585" s="96"/>
      <c r="H585" s="96"/>
      <c r="I585" s="96"/>
      <c r="J585" s="96"/>
      <c r="K585" s="96"/>
      <c r="L585" s="96"/>
      <c r="M585" s="96"/>
      <c r="N585" s="96"/>
      <c r="O585" s="96"/>
      <c r="P585" s="96"/>
      <c r="Q585" s="96"/>
      <c r="R585" s="96"/>
      <c r="S585" s="96"/>
    </row>
    <row r="586" spans="1:19">
      <c r="A586" s="126"/>
      <c r="B586" s="127"/>
      <c r="C586" s="97"/>
      <c r="D586" s="97"/>
      <c r="E586" s="97"/>
      <c r="F586" s="96"/>
      <c r="G586" s="96"/>
      <c r="H586" s="96"/>
      <c r="I586" s="96"/>
      <c r="J586" s="96"/>
      <c r="K586" s="96"/>
      <c r="L586" s="96"/>
      <c r="M586" s="96"/>
      <c r="N586" s="96"/>
      <c r="O586" s="96"/>
      <c r="P586" s="96"/>
      <c r="Q586" s="96"/>
      <c r="R586" s="96"/>
      <c r="S586" s="96"/>
    </row>
    <row r="587" spans="1:19">
      <c r="A587" s="126"/>
      <c r="B587" s="127"/>
      <c r="C587" s="97"/>
      <c r="D587" s="97"/>
      <c r="E587" s="97"/>
      <c r="F587" s="96"/>
      <c r="G587" s="96"/>
      <c r="H587" s="96"/>
      <c r="I587" s="96"/>
      <c r="J587" s="96"/>
      <c r="K587" s="96"/>
      <c r="L587" s="96"/>
      <c r="M587" s="96"/>
      <c r="N587" s="96"/>
      <c r="O587" s="96"/>
      <c r="P587" s="96"/>
      <c r="Q587" s="96"/>
      <c r="R587" s="96"/>
      <c r="S587" s="96"/>
    </row>
    <row r="588" spans="1:19">
      <c r="A588" s="126"/>
      <c r="B588" s="127"/>
      <c r="C588" s="97"/>
      <c r="D588" s="97"/>
      <c r="E588" s="97"/>
      <c r="F588" s="96"/>
      <c r="G588" s="96"/>
      <c r="H588" s="96"/>
      <c r="I588" s="96"/>
      <c r="J588" s="96"/>
      <c r="K588" s="96"/>
      <c r="L588" s="96"/>
      <c r="M588" s="96"/>
      <c r="N588" s="96"/>
      <c r="O588" s="96"/>
      <c r="P588" s="96"/>
      <c r="Q588" s="96"/>
      <c r="R588" s="96"/>
      <c r="S588" s="96"/>
    </row>
    <row r="589" spans="1:19">
      <c r="A589" s="126"/>
      <c r="B589" s="127"/>
      <c r="C589" s="97"/>
      <c r="D589" s="97"/>
      <c r="E589" s="97"/>
      <c r="F589" s="96"/>
      <c r="G589" s="96"/>
      <c r="H589" s="96"/>
      <c r="I589" s="96"/>
      <c r="J589" s="96"/>
      <c r="K589" s="96"/>
      <c r="L589" s="96"/>
      <c r="M589" s="96"/>
      <c r="N589" s="96"/>
      <c r="O589" s="96"/>
      <c r="P589" s="96"/>
      <c r="Q589" s="96"/>
      <c r="R589" s="96"/>
      <c r="S589" s="96"/>
    </row>
    <row r="590" spans="1:19">
      <c r="A590" s="126"/>
      <c r="B590" s="127"/>
      <c r="C590" s="97"/>
      <c r="D590" s="97"/>
      <c r="E590" s="97"/>
      <c r="F590" s="96"/>
      <c r="G590" s="96"/>
      <c r="H590" s="96"/>
      <c r="I590" s="96"/>
      <c r="J590" s="96"/>
      <c r="K590" s="96"/>
      <c r="L590" s="96"/>
      <c r="M590" s="96"/>
      <c r="N590" s="96"/>
      <c r="O590" s="96"/>
      <c r="P590" s="96"/>
      <c r="Q590" s="96"/>
      <c r="R590" s="96"/>
      <c r="S590" s="96"/>
    </row>
    <row r="591" spans="1:19">
      <c r="A591" s="126"/>
      <c r="B591" s="127"/>
      <c r="C591" s="97"/>
      <c r="D591" s="97"/>
      <c r="E591" s="97"/>
      <c r="F591" s="96"/>
      <c r="G591" s="96"/>
      <c r="H591" s="96"/>
      <c r="I591" s="96"/>
      <c r="J591" s="96"/>
      <c r="K591" s="96"/>
      <c r="L591" s="96"/>
      <c r="M591" s="96"/>
      <c r="N591" s="96"/>
      <c r="O591" s="96"/>
      <c r="P591" s="96"/>
      <c r="Q591" s="96"/>
      <c r="R591" s="96"/>
      <c r="S591" s="96"/>
    </row>
    <row r="592" spans="1:19">
      <c r="A592" s="126"/>
      <c r="B592" s="127"/>
      <c r="C592" s="97"/>
      <c r="D592" s="97"/>
      <c r="E592" s="97"/>
      <c r="F592" s="96"/>
      <c r="G592" s="96"/>
      <c r="H592" s="96"/>
      <c r="I592" s="96"/>
      <c r="J592" s="96"/>
      <c r="K592" s="96"/>
      <c r="L592" s="96"/>
      <c r="M592" s="96"/>
      <c r="N592" s="96"/>
      <c r="O592" s="96"/>
      <c r="P592" s="96"/>
      <c r="Q592" s="96"/>
      <c r="R592" s="96"/>
      <c r="S592" s="96"/>
    </row>
    <row r="593" spans="1:19">
      <c r="A593" s="126"/>
      <c r="B593" s="127"/>
      <c r="C593" s="97"/>
      <c r="D593" s="97"/>
      <c r="E593" s="97"/>
      <c r="F593" s="96"/>
      <c r="G593" s="96"/>
      <c r="H593" s="96"/>
      <c r="I593" s="96"/>
      <c r="J593" s="96"/>
      <c r="K593" s="96"/>
      <c r="L593" s="96"/>
      <c r="M593" s="96"/>
      <c r="N593" s="96"/>
      <c r="O593" s="96"/>
      <c r="P593" s="96"/>
      <c r="Q593" s="96"/>
      <c r="R593" s="96"/>
      <c r="S593" s="96"/>
    </row>
    <row r="594" spans="1:19">
      <c r="A594" s="126"/>
      <c r="B594" s="127"/>
      <c r="C594" s="97"/>
      <c r="D594" s="97"/>
      <c r="E594" s="97"/>
      <c r="F594" s="96"/>
      <c r="G594" s="96"/>
      <c r="H594" s="96"/>
      <c r="I594" s="96"/>
      <c r="J594" s="96"/>
      <c r="K594" s="96"/>
      <c r="L594" s="96"/>
      <c r="M594" s="96"/>
      <c r="N594" s="96"/>
      <c r="O594" s="96"/>
      <c r="P594" s="96"/>
      <c r="Q594" s="96"/>
      <c r="R594" s="96"/>
      <c r="S594" s="96"/>
    </row>
    <row r="595" spans="1:19">
      <c r="A595" s="126"/>
      <c r="B595" s="127"/>
      <c r="C595" s="97"/>
      <c r="D595" s="97"/>
      <c r="E595" s="97"/>
      <c r="F595" s="96"/>
      <c r="G595" s="96"/>
      <c r="H595" s="96"/>
      <c r="I595" s="96"/>
      <c r="J595" s="96"/>
      <c r="K595" s="96"/>
      <c r="L595" s="96"/>
      <c r="M595" s="96"/>
      <c r="N595" s="96"/>
      <c r="O595" s="96"/>
      <c r="P595" s="96"/>
      <c r="Q595" s="96"/>
      <c r="R595" s="96"/>
      <c r="S595" s="96"/>
    </row>
    <row r="596" spans="1:19">
      <c r="A596" s="126"/>
      <c r="B596" s="127"/>
      <c r="C596" s="97"/>
      <c r="D596" s="97"/>
      <c r="E596" s="97"/>
      <c r="F596" s="96"/>
      <c r="G596" s="96"/>
      <c r="H596" s="96"/>
      <c r="I596" s="96"/>
      <c r="J596" s="96"/>
      <c r="K596" s="96"/>
      <c r="L596" s="96"/>
      <c r="M596" s="96"/>
      <c r="N596" s="96"/>
      <c r="O596" s="96"/>
      <c r="P596" s="96"/>
      <c r="Q596" s="96"/>
      <c r="R596" s="96"/>
      <c r="S596" s="96"/>
    </row>
    <row r="597" spans="1:19">
      <c r="A597" s="126"/>
      <c r="B597" s="127"/>
      <c r="C597" s="97"/>
      <c r="D597" s="97"/>
      <c r="E597" s="97"/>
      <c r="F597" s="96"/>
      <c r="G597" s="96"/>
      <c r="H597" s="96"/>
      <c r="I597" s="96"/>
      <c r="J597" s="96"/>
      <c r="K597" s="96"/>
      <c r="L597" s="96"/>
      <c r="M597" s="96"/>
      <c r="N597" s="96"/>
      <c r="O597" s="96"/>
      <c r="P597" s="96"/>
      <c r="Q597" s="96"/>
      <c r="R597" s="96"/>
      <c r="S597" s="96"/>
    </row>
    <row r="598" spans="1:19">
      <c r="A598" s="126"/>
      <c r="B598" s="127"/>
      <c r="C598" s="97"/>
      <c r="D598" s="97"/>
      <c r="E598" s="97"/>
      <c r="F598" s="96"/>
      <c r="G598" s="96"/>
      <c r="H598" s="96"/>
      <c r="I598" s="96"/>
      <c r="J598" s="96"/>
      <c r="K598" s="96"/>
      <c r="L598" s="96"/>
      <c r="M598" s="96"/>
      <c r="N598" s="96"/>
      <c r="O598" s="96"/>
      <c r="P598" s="96"/>
      <c r="Q598" s="96"/>
      <c r="R598" s="96"/>
      <c r="S598" s="96"/>
    </row>
    <row r="599" spans="1:19">
      <c r="A599" s="126"/>
      <c r="B599" s="127"/>
      <c r="C599" s="97"/>
      <c r="D599" s="97"/>
      <c r="E599" s="97"/>
      <c r="F599" s="96"/>
      <c r="G599" s="96"/>
      <c r="H599" s="96"/>
      <c r="I599" s="96"/>
      <c r="J599" s="96"/>
      <c r="K599" s="96"/>
      <c r="L599" s="96"/>
      <c r="M599" s="96"/>
      <c r="N599" s="96"/>
      <c r="O599" s="96"/>
      <c r="P599" s="96"/>
      <c r="Q599" s="96"/>
      <c r="R599" s="96"/>
      <c r="S599" s="96"/>
    </row>
    <row r="600" spans="1:19">
      <c r="A600" s="126"/>
      <c r="B600" s="127"/>
      <c r="C600" s="97"/>
      <c r="D600" s="97"/>
      <c r="E600" s="97"/>
      <c r="F600" s="96"/>
      <c r="G600" s="96"/>
      <c r="H600" s="96"/>
      <c r="I600" s="96"/>
      <c r="J600" s="96"/>
      <c r="K600" s="96"/>
      <c r="L600" s="96"/>
      <c r="M600" s="96"/>
      <c r="N600" s="96"/>
      <c r="O600" s="96"/>
      <c r="P600" s="96"/>
      <c r="Q600" s="96"/>
      <c r="R600" s="96"/>
      <c r="S600" s="96"/>
    </row>
    <row r="601" spans="1:19">
      <c r="A601" s="126"/>
      <c r="B601" s="127"/>
      <c r="C601" s="97"/>
      <c r="D601" s="97"/>
      <c r="E601" s="97"/>
      <c r="F601" s="96"/>
      <c r="G601" s="96"/>
      <c r="H601" s="96"/>
      <c r="I601" s="96"/>
      <c r="J601" s="96"/>
      <c r="K601" s="96"/>
      <c r="L601" s="96"/>
      <c r="M601" s="96"/>
      <c r="N601" s="96"/>
      <c r="O601" s="96"/>
      <c r="P601" s="96"/>
      <c r="Q601" s="96"/>
      <c r="R601" s="96"/>
      <c r="S601" s="96"/>
    </row>
    <row r="602" spans="1:19">
      <c r="A602" s="126"/>
      <c r="B602" s="127"/>
      <c r="C602" s="97"/>
      <c r="D602" s="97"/>
      <c r="E602" s="97"/>
      <c r="F602" s="96"/>
      <c r="G602" s="96"/>
      <c r="H602" s="96"/>
      <c r="I602" s="96"/>
      <c r="J602" s="96"/>
      <c r="K602" s="96"/>
      <c r="L602" s="96"/>
      <c r="M602" s="96"/>
      <c r="N602" s="96"/>
      <c r="O602" s="96"/>
      <c r="P602" s="96"/>
      <c r="Q602" s="96"/>
      <c r="R602" s="96"/>
      <c r="S602" s="96"/>
    </row>
    <row r="603" spans="1:19">
      <c r="A603" s="126"/>
      <c r="B603" s="127"/>
      <c r="C603" s="97"/>
      <c r="D603" s="97"/>
      <c r="E603" s="97"/>
      <c r="F603" s="96"/>
      <c r="G603" s="96"/>
      <c r="H603" s="96"/>
      <c r="I603" s="96"/>
      <c r="J603" s="96"/>
      <c r="K603" s="96"/>
      <c r="L603" s="96"/>
      <c r="M603" s="96"/>
      <c r="N603" s="96"/>
      <c r="O603" s="96"/>
      <c r="P603" s="96"/>
      <c r="Q603" s="96"/>
      <c r="R603" s="96"/>
      <c r="S603" s="96"/>
    </row>
    <row r="604" spans="1:19">
      <c r="A604" s="126"/>
      <c r="B604" s="127"/>
      <c r="C604" s="97"/>
      <c r="D604" s="97"/>
      <c r="E604" s="97"/>
      <c r="F604" s="96"/>
      <c r="G604" s="96"/>
      <c r="H604" s="96"/>
      <c r="I604" s="96"/>
      <c r="J604" s="96"/>
      <c r="K604" s="96"/>
      <c r="L604" s="96"/>
      <c r="M604" s="96"/>
      <c r="N604" s="96"/>
      <c r="O604" s="96"/>
      <c r="P604" s="96"/>
      <c r="Q604" s="96"/>
      <c r="R604" s="96"/>
      <c r="S604" s="96"/>
    </row>
    <row r="605" spans="1:19">
      <c r="A605" s="126"/>
      <c r="B605" s="127"/>
      <c r="C605" s="97"/>
      <c r="D605" s="97"/>
      <c r="E605" s="97"/>
      <c r="F605" s="96"/>
      <c r="G605" s="96"/>
      <c r="H605" s="96"/>
      <c r="I605" s="96"/>
      <c r="J605" s="96"/>
      <c r="K605" s="96"/>
      <c r="L605" s="96"/>
      <c r="M605" s="96"/>
      <c r="N605" s="96"/>
      <c r="O605" s="96"/>
      <c r="P605" s="96"/>
      <c r="Q605" s="96"/>
      <c r="R605" s="96"/>
      <c r="S605" s="96"/>
    </row>
    <row r="606" spans="1:19">
      <c r="A606" s="126"/>
      <c r="B606" s="127"/>
      <c r="C606" s="97"/>
      <c r="D606" s="97"/>
      <c r="E606" s="97"/>
      <c r="F606" s="96"/>
      <c r="G606" s="96"/>
      <c r="H606" s="96"/>
      <c r="I606" s="96"/>
      <c r="J606" s="96"/>
      <c r="K606" s="96"/>
      <c r="L606" s="96"/>
      <c r="M606" s="96"/>
      <c r="N606" s="96"/>
      <c r="O606" s="96"/>
      <c r="P606" s="96"/>
      <c r="Q606" s="96"/>
      <c r="R606" s="96"/>
      <c r="S606" s="96"/>
    </row>
    <row r="607" spans="1:19">
      <c r="A607" s="126"/>
      <c r="B607" s="127"/>
      <c r="C607" s="97"/>
      <c r="D607" s="97"/>
      <c r="E607" s="97"/>
      <c r="F607" s="96"/>
      <c r="G607" s="96"/>
      <c r="H607" s="96"/>
      <c r="I607" s="96"/>
      <c r="J607" s="96"/>
      <c r="K607" s="96"/>
      <c r="L607" s="96"/>
      <c r="M607" s="96"/>
      <c r="N607" s="96"/>
      <c r="O607" s="96"/>
      <c r="P607" s="96"/>
      <c r="Q607" s="96"/>
      <c r="R607" s="96"/>
      <c r="S607" s="96"/>
    </row>
    <row r="608" spans="1:19">
      <c r="A608" s="126"/>
      <c r="B608" s="127"/>
      <c r="C608" s="97"/>
      <c r="D608" s="97"/>
      <c r="E608" s="97"/>
      <c r="F608" s="96"/>
      <c r="G608" s="96"/>
      <c r="H608" s="96"/>
      <c r="I608" s="96"/>
      <c r="J608" s="96"/>
      <c r="K608" s="96"/>
      <c r="L608" s="96"/>
      <c r="M608" s="96"/>
      <c r="N608" s="96"/>
      <c r="O608" s="96"/>
      <c r="P608" s="96"/>
      <c r="Q608" s="96"/>
      <c r="R608" s="96"/>
      <c r="S608" s="96"/>
    </row>
    <row r="609" spans="1:19">
      <c r="A609" s="126"/>
      <c r="B609" s="127"/>
      <c r="C609" s="97"/>
      <c r="D609" s="97"/>
      <c r="E609" s="97"/>
      <c r="F609" s="96"/>
      <c r="G609" s="96"/>
      <c r="H609" s="96"/>
      <c r="I609" s="96"/>
      <c r="J609" s="96"/>
      <c r="K609" s="96"/>
      <c r="L609" s="96"/>
      <c r="M609" s="96"/>
      <c r="N609" s="96"/>
      <c r="O609" s="96"/>
      <c r="P609" s="96"/>
      <c r="Q609" s="96"/>
      <c r="R609" s="96"/>
      <c r="S609" s="96"/>
    </row>
    <row r="610" spans="1:19">
      <c r="A610" s="126"/>
      <c r="B610" s="127"/>
      <c r="C610" s="97"/>
      <c r="D610" s="97"/>
      <c r="E610" s="97"/>
      <c r="F610" s="96"/>
      <c r="G610" s="96"/>
      <c r="H610" s="96"/>
      <c r="I610" s="96"/>
      <c r="J610" s="96"/>
      <c r="K610" s="96"/>
      <c r="L610" s="96"/>
      <c r="M610" s="96"/>
      <c r="N610" s="96"/>
      <c r="O610" s="96"/>
      <c r="P610" s="96"/>
      <c r="Q610" s="96"/>
      <c r="R610" s="96"/>
      <c r="S610" s="96"/>
    </row>
    <row r="611" spans="1:19">
      <c r="A611" s="126"/>
      <c r="B611" s="127"/>
      <c r="C611" s="97"/>
      <c r="D611" s="97"/>
      <c r="E611" s="97"/>
      <c r="F611" s="96"/>
      <c r="G611" s="96"/>
      <c r="H611" s="96"/>
      <c r="I611" s="96"/>
      <c r="J611" s="96"/>
      <c r="K611" s="96"/>
      <c r="L611" s="96"/>
      <c r="M611" s="96"/>
      <c r="N611" s="96"/>
      <c r="O611" s="96"/>
      <c r="P611" s="96"/>
      <c r="Q611" s="96"/>
      <c r="R611" s="96"/>
      <c r="S611" s="96"/>
    </row>
    <row r="612" spans="1:19">
      <c r="A612" s="126"/>
      <c r="B612" s="127"/>
      <c r="C612" s="97"/>
      <c r="D612" s="97"/>
      <c r="E612" s="97"/>
      <c r="F612" s="96"/>
      <c r="G612" s="96"/>
      <c r="H612" s="96"/>
      <c r="I612" s="96"/>
      <c r="J612" s="96"/>
      <c r="K612" s="96"/>
      <c r="L612" s="96"/>
      <c r="M612" s="96"/>
      <c r="N612" s="96"/>
      <c r="O612" s="96"/>
      <c r="P612" s="96"/>
      <c r="Q612" s="96"/>
      <c r="R612" s="96"/>
      <c r="S612" s="96"/>
    </row>
    <row r="613" spans="1:19">
      <c r="A613" s="126"/>
      <c r="B613" s="127"/>
      <c r="C613" s="97"/>
      <c r="D613" s="97"/>
      <c r="E613" s="97"/>
      <c r="F613" s="96"/>
      <c r="G613" s="96"/>
      <c r="H613" s="96"/>
      <c r="I613" s="96"/>
      <c r="J613" s="96"/>
      <c r="K613" s="96"/>
      <c r="L613" s="96"/>
      <c r="M613" s="96"/>
      <c r="N613" s="96"/>
      <c r="O613" s="96"/>
      <c r="P613" s="96"/>
      <c r="Q613" s="96"/>
      <c r="R613" s="96"/>
      <c r="S613" s="96"/>
    </row>
    <row r="614" spans="1:19">
      <c r="A614" s="126"/>
      <c r="B614" s="127"/>
      <c r="C614" s="97"/>
      <c r="D614" s="97"/>
      <c r="E614" s="97"/>
      <c r="F614" s="96"/>
      <c r="G614" s="96"/>
      <c r="H614" s="96"/>
      <c r="I614" s="96"/>
      <c r="J614" s="96"/>
      <c r="K614" s="96"/>
      <c r="L614" s="96"/>
      <c r="M614" s="96"/>
      <c r="N614" s="96"/>
      <c r="O614" s="96"/>
      <c r="P614" s="96"/>
      <c r="Q614" s="96"/>
      <c r="R614" s="96"/>
      <c r="S614" s="96"/>
    </row>
    <row r="615" spans="1:19">
      <c r="A615" s="126"/>
      <c r="B615" s="127"/>
      <c r="C615" s="97"/>
      <c r="D615" s="97"/>
      <c r="E615" s="97"/>
      <c r="F615" s="96"/>
      <c r="G615" s="96"/>
      <c r="H615" s="96"/>
      <c r="I615" s="96"/>
      <c r="J615" s="96"/>
      <c r="K615" s="96"/>
      <c r="L615" s="96"/>
      <c r="M615" s="96"/>
      <c r="N615" s="96"/>
      <c r="O615" s="96"/>
      <c r="P615" s="96"/>
      <c r="Q615" s="96"/>
      <c r="R615" s="96"/>
      <c r="S615" s="96"/>
    </row>
    <row r="616" spans="1:19">
      <c r="A616" s="126"/>
      <c r="B616" s="127"/>
      <c r="C616" s="97"/>
      <c r="D616" s="97"/>
      <c r="E616" s="97"/>
      <c r="F616" s="96"/>
      <c r="G616" s="96"/>
      <c r="H616" s="96"/>
      <c r="I616" s="96"/>
      <c r="J616" s="96"/>
      <c r="K616" s="96"/>
      <c r="L616" s="96"/>
      <c r="M616" s="96"/>
      <c r="N616" s="96"/>
      <c r="O616" s="96"/>
      <c r="P616" s="96"/>
      <c r="Q616" s="96"/>
      <c r="R616" s="96"/>
      <c r="S616" s="96"/>
    </row>
    <row r="617" spans="1:19">
      <c r="A617" s="126"/>
      <c r="B617" s="127"/>
      <c r="C617" s="97"/>
      <c r="D617" s="97"/>
      <c r="E617" s="97"/>
      <c r="F617" s="96"/>
      <c r="G617" s="96"/>
      <c r="H617" s="96"/>
      <c r="I617" s="96"/>
      <c r="J617" s="96"/>
      <c r="K617" s="96"/>
      <c r="L617" s="96"/>
      <c r="M617" s="96"/>
      <c r="N617" s="96"/>
      <c r="O617" s="96"/>
      <c r="P617" s="96"/>
      <c r="Q617" s="96"/>
      <c r="R617" s="96"/>
      <c r="S617" s="96"/>
    </row>
    <row r="618" spans="1:19">
      <c r="A618" s="126"/>
      <c r="B618" s="127"/>
      <c r="C618" s="97"/>
      <c r="D618" s="97"/>
      <c r="E618" s="97"/>
      <c r="F618" s="96"/>
      <c r="G618" s="96"/>
      <c r="H618" s="96"/>
      <c r="I618" s="96"/>
      <c r="J618" s="96"/>
      <c r="K618" s="96"/>
      <c r="L618" s="96"/>
      <c r="M618" s="96"/>
      <c r="N618" s="96"/>
      <c r="O618" s="96"/>
      <c r="P618" s="96"/>
      <c r="Q618" s="96"/>
      <c r="R618" s="96"/>
      <c r="S618" s="96"/>
    </row>
    <row r="619" spans="1:19">
      <c r="A619" s="126"/>
      <c r="B619" s="127"/>
      <c r="C619" s="97"/>
      <c r="D619" s="97"/>
      <c r="E619" s="97"/>
      <c r="F619" s="96"/>
      <c r="G619" s="96"/>
      <c r="H619" s="96"/>
      <c r="I619" s="96"/>
      <c r="J619" s="96"/>
      <c r="K619" s="96"/>
      <c r="L619" s="96"/>
      <c r="M619" s="96"/>
      <c r="N619" s="96"/>
      <c r="O619" s="96"/>
      <c r="P619" s="96"/>
      <c r="Q619" s="96"/>
      <c r="R619" s="96"/>
      <c r="S619" s="96"/>
    </row>
    <row r="620" spans="1:19">
      <c r="A620" s="126"/>
      <c r="B620" s="127"/>
      <c r="C620" s="97"/>
      <c r="D620" s="97"/>
      <c r="E620" s="97"/>
      <c r="F620" s="96"/>
      <c r="G620" s="96"/>
      <c r="H620" s="96"/>
      <c r="I620" s="96"/>
      <c r="J620" s="96"/>
      <c r="K620" s="96"/>
      <c r="L620" s="96"/>
      <c r="M620" s="96"/>
      <c r="N620" s="96"/>
      <c r="O620" s="96"/>
      <c r="P620" s="96"/>
      <c r="Q620" s="96"/>
      <c r="R620" s="96"/>
      <c r="S620" s="96"/>
    </row>
    <row r="621" spans="1:19">
      <c r="A621" s="126"/>
      <c r="B621" s="127"/>
      <c r="C621" s="97"/>
      <c r="D621" s="97"/>
      <c r="E621" s="97"/>
      <c r="F621" s="96"/>
      <c r="G621" s="96"/>
      <c r="H621" s="96"/>
      <c r="I621" s="96"/>
      <c r="J621" s="96"/>
      <c r="K621" s="96"/>
      <c r="L621" s="96"/>
      <c r="M621" s="96"/>
      <c r="N621" s="96"/>
      <c r="O621" s="96"/>
      <c r="P621" s="96"/>
      <c r="Q621" s="96"/>
      <c r="R621" s="96"/>
      <c r="S621" s="96"/>
    </row>
    <row r="622" spans="1:19">
      <c r="A622" s="126"/>
      <c r="B622" s="127"/>
      <c r="C622" s="97"/>
      <c r="D622" s="97"/>
      <c r="E622" s="97"/>
      <c r="F622" s="96"/>
      <c r="G622" s="96"/>
      <c r="H622" s="96"/>
      <c r="I622" s="96"/>
      <c r="J622" s="96"/>
      <c r="K622" s="96"/>
      <c r="L622" s="96"/>
      <c r="M622" s="96"/>
      <c r="N622" s="96"/>
      <c r="O622" s="96"/>
      <c r="P622" s="96"/>
      <c r="Q622" s="96"/>
      <c r="R622" s="96"/>
      <c r="S622" s="96"/>
    </row>
    <row r="623" spans="1:19">
      <c r="A623" s="126"/>
      <c r="B623" s="127"/>
      <c r="C623" s="97"/>
      <c r="D623" s="97"/>
      <c r="E623" s="97"/>
      <c r="F623" s="96"/>
      <c r="G623" s="96"/>
      <c r="H623" s="96"/>
      <c r="I623" s="96"/>
      <c r="J623" s="96"/>
      <c r="K623" s="96"/>
      <c r="L623" s="96"/>
      <c r="M623" s="96"/>
      <c r="N623" s="96"/>
      <c r="O623" s="96"/>
      <c r="P623" s="96"/>
      <c r="Q623" s="96"/>
      <c r="R623" s="96"/>
      <c r="S623" s="96"/>
    </row>
    <row r="624" spans="1:19">
      <c r="A624" s="126"/>
      <c r="B624" s="127"/>
      <c r="C624" s="97"/>
      <c r="D624" s="97"/>
      <c r="E624" s="97"/>
      <c r="F624" s="96"/>
      <c r="G624" s="96"/>
      <c r="H624" s="96"/>
      <c r="I624" s="96"/>
      <c r="J624" s="96"/>
      <c r="K624" s="96"/>
      <c r="L624" s="96"/>
      <c r="M624" s="96"/>
      <c r="N624" s="96"/>
      <c r="O624" s="96"/>
      <c r="P624" s="96"/>
      <c r="Q624" s="96"/>
      <c r="R624" s="96"/>
      <c r="S624" s="96"/>
    </row>
    <row r="625" spans="1:19">
      <c r="A625" s="126"/>
      <c r="B625" s="127"/>
      <c r="C625" s="97"/>
      <c r="D625" s="97"/>
      <c r="E625" s="97"/>
      <c r="F625" s="96"/>
      <c r="G625" s="96"/>
      <c r="H625" s="96"/>
      <c r="I625" s="96"/>
      <c r="J625" s="96"/>
      <c r="K625" s="96"/>
      <c r="L625" s="96"/>
      <c r="M625" s="96"/>
      <c r="N625" s="96"/>
      <c r="O625" s="96"/>
      <c r="P625" s="96"/>
      <c r="Q625" s="96"/>
      <c r="R625" s="96"/>
      <c r="S625" s="96"/>
    </row>
    <row r="626" spans="1:19">
      <c r="A626" s="126"/>
      <c r="B626" s="127"/>
      <c r="C626" s="97"/>
      <c r="D626" s="97"/>
      <c r="E626" s="97"/>
      <c r="F626" s="96"/>
      <c r="G626" s="96"/>
      <c r="H626" s="96"/>
      <c r="I626" s="96"/>
      <c r="J626" s="96"/>
      <c r="K626" s="96"/>
      <c r="L626" s="96"/>
      <c r="M626" s="96"/>
      <c r="N626" s="96"/>
      <c r="O626" s="96"/>
      <c r="P626" s="96"/>
      <c r="Q626" s="96"/>
      <c r="R626" s="96"/>
      <c r="S626" s="96"/>
    </row>
    <row r="627" spans="1:19">
      <c r="A627" s="126"/>
      <c r="B627" s="127"/>
      <c r="C627" s="97"/>
      <c r="D627" s="97"/>
      <c r="E627" s="97"/>
      <c r="F627" s="96"/>
      <c r="G627" s="96"/>
      <c r="H627" s="96"/>
      <c r="I627" s="96"/>
      <c r="J627" s="96"/>
      <c r="K627" s="96"/>
      <c r="L627" s="96"/>
      <c r="M627" s="96"/>
      <c r="N627" s="96"/>
      <c r="O627" s="96"/>
      <c r="P627" s="96"/>
      <c r="Q627" s="96"/>
      <c r="R627" s="96"/>
      <c r="S627" s="96"/>
    </row>
    <row r="628" spans="1:19">
      <c r="A628" s="126"/>
      <c r="B628" s="127"/>
      <c r="C628" s="97"/>
      <c r="D628" s="97"/>
      <c r="E628" s="97"/>
      <c r="F628" s="96"/>
      <c r="G628" s="96"/>
      <c r="H628" s="96"/>
      <c r="I628" s="96"/>
      <c r="J628" s="96"/>
      <c r="K628" s="96"/>
      <c r="L628" s="96"/>
      <c r="M628" s="96"/>
      <c r="N628" s="96"/>
      <c r="O628" s="96"/>
      <c r="P628" s="96"/>
      <c r="Q628" s="96"/>
      <c r="R628" s="96"/>
      <c r="S628" s="96"/>
    </row>
    <row r="629" spans="1:19">
      <c r="A629" s="126"/>
      <c r="B629" s="127"/>
      <c r="C629" s="97"/>
      <c r="D629" s="97"/>
      <c r="E629" s="97"/>
      <c r="F629" s="96"/>
      <c r="G629" s="96"/>
      <c r="H629" s="96"/>
      <c r="I629" s="96"/>
      <c r="J629" s="96"/>
      <c r="K629" s="96"/>
      <c r="L629" s="96"/>
      <c r="M629" s="96"/>
      <c r="N629" s="96"/>
      <c r="O629" s="96"/>
      <c r="P629" s="96"/>
      <c r="Q629" s="96"/>
      <c r="R629" s="96"/>
      <c r="S629" s="96"/>
    </row>
    <row r="630" spans="1:19">
      <c r="A630" s="126"/>
      <c r="B630" s="127"/>
      <c r="C630" s="97"/>
      <c r="D630" s="97"/>
      <c r="E630" s="97"/>
      <c r="F630" s="96"/>
      <c r="G630" s="96"/>
      <c r="H630" s="96"/>
      <c r="I630" s="96"/>
      <c r="J630" s="96"/>
      <c r="K630" s="96"/>
      <c r="L630" s="96"/>
      <c r="M630" s="96"/>
      <c r="N630" s="96"/>
      <c r="O630" s="96"/>
      <c r="P630" s="96"/>
      <c r="Q630" s="96"/>
      <c r="R630" s="96"/>
      <c r="S630" s="96"/>
    </row>
    <row r="631" spans="1:19">
      <c r="A631" s="126"/>
      <c r="B631" s="127"/>
      <c r="C631" s="97"/>
      <c r="D631" s="97"/>
      <c r="E631" s="97"/>
      <c r="F631" s="96"/>
      <c r="G631" s="96"/>
      <c r="H631" s="96"/>
      <c r="I631" s="96"/>
      <c r="J631" s="96"/>
      <c r="K631" s="96"/>
      <c r="L631" s="96"/>
      <c r="M631" s="96"/>
      <c r="N631" s="96"/>
      <c r="O631" s="96"/>
      <c r="P631" s="96"/>
      <c r="Q631" s="96"/>
      <c r="R631" s="96"/>
      <c r="S631" s="96"/>
    </row>
    <row r="632" spans="1:19">
      <c r="A632" s="126"/>
      <c r="B632" s="127"/>
      <c r="C632" s="97"/>
      <c r="D632" s="97"/>
      <c r="E632" s="97"/>
      <c r="F632" s="96"/>
      <c r="G632" s="96"/>
      <c r="H632" s="96"/>
      <c r="I632" s="96"/>
      <c r="J632" s="96"/>
      <c r="K632" s="96"/>
      <c r="L632" s="96"/>
      <c r="M632" s="96"/>
      <c r="N632" s="96"/>
      <c r="O632" s="96"/>
      <c r="P632" s="96"/>
      <c r="Q632" s="96"/>
      <c r="R632" s="96"/>
      <c r="S632" s="96"/>
    </row>
    <row r="633" spans="1:19">
      <c r="A633" s="126"/>
      <c r="B633" s="127"/>
      <c r="C633" s="97"/>
      <c r="D633" s="97"/>
      <c r="E633" s="97"/>
      <c r="F633" s="96"/>
      <c r="G633" s="96"/>
      <c r="H633" s="96"/>
      <c r="I633" s="96"/>
      <c r="J633" s="96"/>
      <c r="K633" s="96"/>
      <c r="L633" s="96"/>
      <c r="M633" s="96"/>
      <c r="N633" s="96"/>
      <c r="O633" s="96"/>
      <c r="P633" s="96"/>
      <c r="Q633" s="96"/>
      <c r="R633" s="96"/>
      <c r="S633" s="96"/>
    </row>
    <row r="634" spans="1:19">
      <c r="A634" s="126"/>
      <c r="B634" s="127"/>
      <c r="C634" s="97"/>
      <c r="D634" s="97"/>
      <c r="E634" s="97"/>
      <c r="F634" s="96"/>
      <c r="G634" s="96"/>
      <c r="H634" s="96"/>
      <c r="I634" s="96"/>
      <c r="J634" s="96"/>
      <c r="K634" s="96"/>
      <c r="L634" s="96"/>
      <c r="M634" s="96"/>
      <c r="N634" s="96"/>
      <c r="O634" s="96"/>
      <c r="P634" s="96"/>
      <c r="Q634" s="96"/>
      <c r="R634" s="96"/>
      <c r="S634" s="96"/>
    </row>
    <row r="635" spans="1:19">
      <c r="A635" s="126"/>
      <c r="B635" s="127"/>
      <c r="C635" s="97"/>
      <c r="D635" s="97"/>
      <c r="E635" s="97"/>
      <c r="F635" s="96"/>
      <c r="G635" s="96"/>
      <c r="H635" s="96"/>
      <c r="I635" s="96"/>
      <c r="J635" s="96"/>
      <c r="K635" s="96"/>
      <c r="L635" s="96"/>
      <c r="M635" s="96"/>
      <c r="N635" s="96"/>
      <c r="O635" s="96"/>
      <c r="P635" s="96"/>
      <c r="Q635" s="96"/>
      <c r="R635" s="96"/>
      <c r="S635" s="96"/>
    </row>
    <row r="636" spans="1:19">
      <c r="A636" s="126"/>
      <c r="B636" s="127"/>
      <c r="C636" s="97"/>
      <c r="D636" s="97"/>
      <c r="E636" s="97"/>
      <c r="F636" s="96"/>
      <c r="G636" s="96"/>
      <c r="H636" s="96"/>
      <c r="I636" s="96"/>
      <c r="J636" s="96"/>
      <c r="K636" s="96"/>
      <c r="L636" s="96"/>
      <c r="M636" s="96"/>
      <c r="N636" s="96"/>
      <c r="O636" s="96"/>
      <c r="P636" s="96"/>
      <c r="Q636" s="96"/>
      <c r="R636" s="96"/>
      <c r="S636" s="96"/>
    </row>
    <row r="637" spans="1:19">
      <c r="A637" s="126"/>
      <c r="B637" s="127"/>
      <c r="C637" s="97"/>
      <c r="D637" s="97"/>
      <c r="E637" s="97"/>
      <c r="F637" s="96"/>
      <c r="G637" s="96"/>
      <c r="H637" s="96"/>
      <c r="I637" s="96"/>
      <c r="J637" s="96"/>
      <c r="K637" s="96"/>
      <c r="L637" s="96"/>
      <c r="M637" s="96"/>
      <c r="N637" s="96"/>
      <c r="O637" s="96"/>
      <c r="P637" s="96"/>
      <c r="Q637" s="96"/>
      <c r="R637" s="96"/>
      <c r="S637" s="96"/>
    </row>
    <row r="638" spans="1:19">
      <c r="A638" s="126"/>
      <c r="B638" s="127"/>
      <c r="C638" s="97"/>
      <c r="D638" s="97"/>
      <c r="E638" s="97"/>
      <c r="F638" s="96"/>
      <c r="G638" s="96"/>
      <c r="H638" s="96"/>
      <c r="I638" s="96"/>
      <c r="J638" s="96"/>
      <c r="K638" s="96"/>
      <c r="L638" s="96"/>
      <c r="M638" s="96"/>
      <c r="N638" s="96"/>
      <c r="O638" s="96"/>
      <c r="P638" s="96"/>
      <c r="Q638" s="96"/>
      <c r="R638" s="96"/>
      <c r="S638" s="96"/>
    </row>
    <row r="639" spans="1:19">
      <c r="A639" s="126"/>
      <c r="B639" s="127"/>
      <c r="C639" s="97"/>
      <c r="D639" s="97"/>
      <c r="E639" s="97"/>
      <c r="F639" s="96"/>
      <c r="G639" s="96"/>
      <c r="H639" s="96"/>
      <c r="I639" s="96"/>
      <c r="J639" s="96"/>
      <c r="K639" s="96"/>
      <c r="L639" s="96"/>
      <c r="M639" s="96"/>
      <c r="N639" s="96"/>
      <c r="O639" s="96"/>
      <c r="P639" s="96"/>
      <c r="Q639" s="96"/>
      <c r="R639" s="96"/>
      <c r="S639" s="96"/>
    </row>
    <row r="640" spans="1:19">
      <c r="A640" s="126"/>
      <c r="B640" s="127"/>
      <c r="C640" s="97"/>
      <c r="D640" s="97"/>
      <c r="E640" s="97"/>
      <c r="F640" s="96"/>
      <c r="G640" s="96"/>
      <c r="H640" s="96"/>
      <c r="I640" s="96"/>
      <c r="J640" s="96"/>
      <c r="K640" s="96"/>
      <c r="L640" s="96"/>
      <c r="M640" s="96"/>
      <c r="N640" s="96"/>
      <c r="O640" s="96"/>
      <c r="P640" s="96"/>
      <c r="Q640" s="96"/>
      <c r="R640" s="96"/>
      <c r="S640" s="96"/>
    </row>
    <row r="641" spans="1:19">
      <c r="A641" s="126"/>
      <c r="B641" s="127"/>
      <c r="C641" s="97"/>
      <c r="D641" s="97"/>
      <c r="E641" s="97"/>
      <c r="F641" s="96"/>
      <c r="G641" s="96"/>
      <c r="H641" s="96"/>
      <c r="I641" s="96"/>
      <c r="J641" s="96"/>
      <c r="K641" s="96"/>
      <c r="L641" s="96"/>
      <c r="M641" s="96"/>
      <c r="N641" s="96"/>
      <c r="O641" s="96"/>
      <c r="P641" s="96"/>
      <c r="Q641" s="96"/>
      <c r="R641" s="96"/>
      <c r="S641" s="96"/>
    </row>
    <row r="642" spans="1:19">
      <c r="A642" s="126"/>
      <c r="B642" s="127"/>
      <c r="C642" s="97"/>
      <c r="D642" s="97"/>
      <c r="E642" s="97"/>
      <c r="F642" s="96"/>
      <c r="G642" s="96"/>
      <c r="H642" s="96"/>
      <c r="I642" s="96"/>
      <c r="J642" s="96"/>
      <c r="K642" s="96"/>
      <c r="L642" s="96"/>
      <c r="M642" s="96"/>
      <c r="N642" s="96"/>
      <c r="O642" s="96"/>
      <c r="P642" s="96"/>
      <c r="Q642" s="96"/>
      <c r="R642" s="96"/>
      <c r="S642" s="96"/>
    </row>
    <row r="643" spans="1:19">
      <c r="A643" s="126"/>
      <c r="B643" s="127"/>
      <c r="C643" s="97"/>
      <c r="D643" s="97"/>
      <c r="E643" s="97"/>
      <c r="F643" s="96"/>
      <c r="G643" s="96"/>
      <c r="H643" s="96"/>
      <c r="I643" s="96"/>
      <c r="J643" s="96"/>
      <c r="K643" s="96"/>
      <c r="L643" s="96"/>
      <c r="M643" s="96"/>
      <c r="N643" s="96"/>
      <c r="O643" s="96"/>
      <c r="P643" s="96"/>
      <c r="Q643" s="96"/>
      <c r="R643" s="96"/>
      <c r="S643" s="96"/>
    </row>
    <row r="644" spans="1:19">
      <c r="A644" s="126"/>
      <c r="B644" s="127"/>
      <c r="C644" s="97"/>
      <c r="D644" s="97"/>
      <c r="E644" s="97"/>
      <c r="F644" s="96"/>
      <c r="G644" s="96"/>
      <c r="H644" s="96"/>
      <c r="I644" s="96"/>
      <c r="J644" s="96"/>
      <c r="K644" s="96"/>
      <c r="L644" s="96"/>
      <c r="M644" s="96"/>
      <c r="N644" s="96"/>
      <c r="O644" s="96"/>
      <c r="P644" s="96"/>
      <c r="Q644" s="96"/>
      <c r="R644" s="96"/>
      <c r="S644" s="96"/>
    </row>
    <row r="645" spans="1:19">
      <c r="A645" s="126"/>
      <c r="B645" s="127"/>
      <c r="C645" s="97"/>
      <c r="D645" s="97"/>
      <c r="E645" s="97"/>
      <c r="F645" s="96"/>
      <c r="G645" s="96"/>
      <c r="H645" s="96"/>
      <c r="I645" s="96"/>
      <c r="J645" s="96"/>
      <c r="K645" s="96"/>
      <c r="L645" s="96"/>
      <c r="M645" s="96"/>
      <c r="N645" s="96"/>
      <c r="O645" s="96"/>
      <c r="P645" s="96"/>
      <c r="Q645" s="96"/>
      <c r="R645" s="96"/>
      <c r="S645" s="96"/>
    </row>
    <row r="646" spans="1:19">
      <c r="A646" s="126"/>
      <c r="B646" s="127"/>
      <c r="C646" s="97"/>
      <c r="D646" s="97"/>
      <c r="E646" s="97"/>
      <c r="F646" s="96"/>
      <c r="G646" s="96"/>
      <c r="H646" s="96"/>
      <c r="I646" s="96"/>
      <c r="J646" s="96"/>
      <c r="K646" s="96"/>
      <c r="L646" s="96"/>
      <c r="M646" s="96"/>
      <c r="N646" s="96"/>
      <c r="O646" s="96"/>
      <c r="P646" s="96"/>
      <c r="Q646" s="96"/>
      <c r="R646" s="96"/>
      <c r="S646" s="96"/>
    </row>
    <row r="647" spans="1:19">
      <c r="A647" s="126"/>
      <c r="B647" s="127"/>
      <c r="C647" s="97"/>
      <c r="D647" s="97"/>
      <c r="E647" s="97"/>
      <c r="F647" s="96"/>
      <c r="G647" s="96"/>
      <c r="H647" s="96"/>
      <c r="I647" s="96"/>
      <c r="J647" s="96"/>
      <c r="K647" s="96"/>
      <c r="L647" s="96"/>
      <c r="M647" s="96"/>
      <c r="N647" s="96"/>
      <c r="O647" s="96"/>
      <c r="P647" s="96"/>
      <c r="Q647" s="96"/>
      <c r="R647" s="96"/>
      <c r="S647" s="96"/>
    </row>
    <row r="648" spans="1:19">
      <c r="A648" s="126"/>
      <c r="B648" s="127"/>
      <c r="C648" s="97"/>
      <c r="D648" s="97"/>
      <c r="E648" s="97"/>
      <c r="F648" s="96"/>
      <c r="G648" s="96"/>
      <c r="H648" s="96"/>
      <c r="I648" s="96"/>
      <c r="J648" s="96"/>
      <c r="K648" s="96"/>
      <c r="L648" s="96"/>
      <c r="M648" s="96"/>
      <c r="N648" s="96"/>
      <c r="O648" s="96"/>
      <c r="P648" s="96"/>
      <c r="Q648" s="96"/>
      <c r="R648" s="96"/>
      <c r="S648" s="96"/>
    </row>
    <row r="649" spans="1:19">
      <c r="A649" s="126"/>
      <c r="B649" s="127"/>
      <c r="C649" s="97"/>
      <c r="D649" s="97"/>
      <c r="E649" s="97"/>
      <c r="F649" s="96"/>
      <c r="G649" s="96"/>
      <c r="H649" s="96"/>
      <c r="I649" s="96"/>
      <c r="J649" s="96"/>
      <c r="K649" s="96"/>
      <c r="L649" s="96"/>
      <c r="M649" s="96"/>
      <c r="N649" s="96"/>
      <c r="O649" s="96"/>
      <c r="P649" s="96"/>
      <c r="Q649" s="96"/>
      <c r="R649" s="96"/>
      <c r="S649" s="96"/>
    </row>
    <row r="650" spans="1:19">
      <c r="A650" s="126"/>
      <c r="B650" s="127"/>
      <c r="C650" s="97"/>
      <c r="D650" s="97"/>
      <c r="E650" s="97"/>
      <c r="F650" s="96"/>
      <c r="G650" s="96"/>
      <c r="H650" s="96"/>
      <c r="I650" s="96"/>
      <c r="J650" s="96"/>
      <c r="K650" s="96"/>
      <c r="L650" s="96"/>
      <c r="M650" s="96"/>
      <c r="N650" s="96"/>
      <c r="O650" s="96"/>
      <c r="P650" s="96"/>
      <c r="Q650" s="96"/>
      <c r="R650" s="96"/>
      <c r="S650" s="96"/>
    </row>
    <row r="651" spans="1:19">
      <c r="A651" s="126"/>
      <c r="B651" s="127"/>
      <c r="C651" s="97"/>
      <c r="D651" s="97"/>
      <c r="E651" s="97"/>
      <c r="F651" s="96"/>
      <c r="G651" s="96"/>
      <c r="H651" s="96"/>
      <c r="I651" s="96"/>
      <c r="J651" s="96"/>
      <c r="K651" s="96"/>
      <c r="L651" s="96"/>
      <c r="M651" s="96"/>
      <c r="N651" s="96"/>
      <c r="O651" s="96"/>
      <c r="P651" s="96"/>
      <c r="Q651" s="96"/>
      <c r="R651" s="96"/>
      <c r="S651" s="96"/>
    </row>
    <row r="652" spans="1:19">
      <c r="A652" s="126"/>
      <c r="B652" s="127"/>
      <c r="C652" s="97"/>
      <c r="D652" s="97"/>
      <c r="E652" s="97"/>
      <c r="F652" s="96"/>
      <c r="G652" s="96"/>
      <c r="H652" s="96"/>
      <c r="I652" s="96"/>
      <c r="J652" s="96"/>
      <c r="K652" s="96"/>
      <c r="L652" s="96"/>
      <c r="M652" s="96"/>
      <c r="N652" s="96"/>
      <c r="O652" s="96"/>
      <c r="P652" s="96"/>
      <c r="Q652" s="96"/>
      <c r="R652" s="96"/>
      <c r="S652" s="96"/>
    </row>
    <row r="653" spans="1:19">
      <c r="A653" s="126"/>
      <c r="B653" s="127"/>
      <c r="C653" s="97"/>
      <c r="D653" s="97"/>
      <c r="E653" s="97"/>
      <c r="F653" s="96"/>
      <c r="G653" s="96"/>
      <c r="H653" s="96"/>
      <c r="I653" s="96"/>
      <c r="J653" s="96"/>
      <c r="K653" s="96"/>
      <c r="L653" s="96"/>
      <c r="M653" s="96"/>
      <c r="N653" s="96"/>
      <c r="O653" s="96"/>
      <c r="P653" s="96"/>
      <c r="Q653" s="96"/>
      <c r="R653" s="96"/>
      <c r="S653" s="96"/>
    </row>
    <row r="654" spans="1:19">
      <c r="A654" s="126"/>
      <c r="B654" s="127"/>
      <c r="C654" s="97"/>
      <c r="D654" s="97"/>
      <c r="E654" s="97"/>
      <c r="F654" s="96"/>
      <c r="G654" s="96"/>
      <c r="H654" s="96"/>
      <c r="I654" s="96"/>
      <c r="J654" s="96"/>
      <c r="K654" s="96"/>
      <c r="L654" s="96"/>
      <c r="M654" s="96"/>
      <c r="N654" s="96"/>
      <c r="O654" s="96"/>
      <c r="P654" s="96"/>
      <c r="Q654" s="96"/>
      <c r="R654" s="96"/>
      <c r="S654" s="96"/>
    </row>
    <row r="655" spans="1:19">
      <c r="A655" s="126"/>
      <c r="B655" s="127"/>
      <c r="C655" s="97"/>
      <c r="D655" s="97"/>
      <c r="E655" s="97"/>
      <c r="F655" s="96"/>
      <c r="G655" s="96"/>
      <c r="H655" s="96"/>
      <c r="I655" s="96"/>
      <c r="J655" s="96"/>
      <c r="K655" s="96"/>
      <c r="L655" s="96"/>
      <c r="M655" s="96"/>
      <c r="N655" s="96"/>
      <c r="O655" s="96"/>
      <c r="P655" s="96"/>
      <c r="Q655" s="96"/>
      <c r="R655" s="96"/>
      <c r="S655" s="96"/>
    </row>
    <row r="656" spans="1:19">
      <c r="A656" s="126"/>
      <c r="B656" s="127"/>
      <c r="C656" s="97"/>
      <c r="D656" s="97"/>
      <c r="E656" s="97"/>
      <c r="F656" s="96"/>
      <c r="G656" s="96"/>
      <c r="H656" s="96"/>
      <c r="I656" s="96"/>
      <c r="J656" s="96"/>
      <c r="K656" s="96"/>
      <c r="L656" s="96"/>
      <c r="M656" s="96"/>
      <c r="N656" s="96"/>
      <c r="O656" s="96"/>
      <c r="P656" s="96"/>
      <c r="Q656" s="96"/>
      <c r="R656" s="96"/>
      <c r="S656" s="96"/>
    </row>
    <row r="657" spans="1:19">
      <c r="A657" s="126"/>
      <c r="B657" s="127"/>
      <c r="C657" s="97"/>
      <c r="D657" s="97"/>
      <c r="E657" s="97"/>
      <c r="F657" s="96"/>
      <c r="G657" s="96"/>
      <c r="H657" s="96"/>
      <c r="I657" s="96"/>
      <c r="J657" s="96"/>
      <c r="K657" s="96"/>
      <c r="L657" s="96"/>
      <c r="M657" s="96"/>
      <c r="N657" s="96"/>
      <c r="O657" s="96"/>
      <c r="P657" s="96"/>
      <c r="Q657" s="96"/>
      <c r="R657" s="96"/>
      <c r="S657" s="96"/>
    </row>
    <row r="658" spans="1:19">
      <c r="A658" s="126"/>
      <c r="B658" s="127"/>
      <c r="C658" s="97"/>
      <c r="D658" s="97"/>
      <c r="E658" s="97"/>
      <c r="F658" s="96"/>
      <c r="G658" s="96"/>
      <c r="H658" s="96"/>
      <c r="I658" s="96"/>
      <c r="J658" s="96"/>
      <c r="K658" s="96"/>
      <c r="L658" s="96"/>
      <c r="M658" s="96"/>
      <c r="N658" s="96"/>
      <c r="O658" s="96"/>
      <c r="P658" s="96"/>
      <c r="Q658" s="96"/>
      <c r="R658" s="96"/>
      <c r="S658" s="96"/>
    </row>
    <row r="659" spans="1:19">
      <c r="A659" s="126"/>
      <c r="B659" s="127"/>
      <c r="C659" s="97"/>
      <c r="D659" s="97"/>
      <c r="E659" s="97"/>
      <c r="F659" s="96"/>
      <c r="G659" s="96"/>
      <c r="H659" s="96"/>
      <c r="I659" s="96"/>
      <c r="J659" s="96"/>
      <c r="K659" s="96"/>
      <c r="L659" s="96"/>
      <c r="M659" s="96"/>
      <c r="N659" s="96"/>
      <c r="O659" s="96"/>
      <c r="P659" s="96"/>
      <c r="Q659" s="96"/>
      <c r="R659" s="96"/>
      <c r="S659" s="96"/>
    </row>
    <row r="660" spans="1:19">
      <c r="A660" s="126"/>
      <c r="B660" s="127"/>
      <c r="C660" s="97"/>
      <c r="D660" s="97"/>
      <c r="E660" s="97"/>
      <c r="F660" s="96"/>
      <c r="G660" s="96"/>
      <c r="H660" s="96"/>
      <c r="I660" s="96"/>
      <c r="J660" s="96"/>
      <c r="K660" s="96"/>
      <c r="L660" s="96"/>
      <c r="M660" s="96"/>
      <c r="N660" s="96"/>
      <c r="O660" s="96"/>
      <c r="P660" s="96"/>
      <c r="Q660" s="96"/>
      <c r="R660" s="96"/>
      <c r="S660" s="96"/>
    </row>
    <row r="661" spans="1:19">
      <c r="A661" s="126"/>
      <c r="B661" s="127"/>
      <c r="C661" s="97"/>
      <c r="D661" s="97"/>
      <c r="E661" s="97"/>
      <c r="F661" s="96"/>
      <c r="G661" s="96"/>
      <c r="H661" s="96"/>
      <c r="I661" s="96"/>
      <c r="J661" s="96"/>
      <c r="K661" s="96"/>
      <c r="L661" s="96"/>
      <c r="M661" s="96"/>
      <c r="N661" s="96"/>
      <c r="O661" s="96"/>
      <c r="P661" s="96"/>
      <c r="Q661" s="96"/>
      <c r="R661" s="96"/>
      <c r="S661" s="96"/>
    </row>
    <row r="662" spans="1:19">
      <c r="A662" s="126"/>
      <c r="B662" s="127"/>
      <c r="C662" s="97"/>
      <c r="D662" s="97"/>
      <c r="E662" s="97"/>
      <c r="F662" s="96"/>
      <c r="G662" s="96"/>
      <c r="H662" s="96"/>
      <c r="I662" s="96"/>
      <c r="J662" s="96"/>
      <c r="K662" s="96"/>
      <c r="L662" s="96"/>
      <c r="M662" s="96"/>
      <c r="N662" s="96"/>
      <c r="O662" s="96"/>
      <c r="P662" s="96"/>
      <c r="Q662" s="96"/>
      <c r="R662" s="96"/>
      <c r="S662" s="96"/>
    </row>
    <row r="663" spans="1:19">
      <c r="A663" s="126"/>
      <c r="B663" s="127"/>
      <c r="C663" s="97"/>
      <c r="D663" s="97"/>
      <c r="E663" s="97"/>
      <c r="F663" s="96"/>
      <c r="G663" s="96"/>
      <c r="H663" s="96"/>
      <c r="I663" s="96"/>
      <c r="J663" s="96"/>
      <c r="K663" s="96"/>
      <c r="L663" s="96"/>
      <c r="M663" s="96"/>
      <c r="N663" s="96"/>
      <c r="O663" s="96"/>
      <c r="P663" s="96"/>
      <c r="Q663" s="96"/>
      <c r="R663" s="96"/>
      <c r="S663" s="96"/>
    </row>
    <row r="664" spans="1:19">
      <c r="A664" s="126"/>
      <c r="B664" s="127"/>
      <c r="C664" s="97"/>
      <c r="D664" s="97"/>
      <c r="E664" s="97"/>
      <c r="F664" s="96"/>
      <c r="G664" s="96"/>
      <c r="H664" s="96"/>
      <c r="I664" s="96"/>
      <c r="J664" s="96"/>
      <c r="K664" s="96"/>
      <c r="L664" s="96"/>
      <c r="M664" s="96"/>
      <c r="N664" s="96"/>
      <c r="O664" s="96"/>
      <c r="P664" s="96"/>
      <c r="Q664" s="96"/>
      <c r="R664" s="96"/>
      <c r="S664" s="96"/>
    </row>
    <row r="665" spans="1:19">
      <c r="A665" s="126"/>
      <c r="B665" s="127"/>
      <c r="C665" s="97"/>
      <c r="D665" s="97"/>
      <c r="E665" s="97"/>
      <c r="F665" s="96"/>
      <c r="G665" s="96"/>
      <c r="H665" s="96"/>
      <c r="I665" s="96"/>
      <c r="J665" s="96"/>
      <c r="K665" s="96"/>
      <c r="L665" s="96"/>
      <c r="M665" s="96"/>
      <c r="N665" s="96"/>
      <c r="O665" s="96"/>
      <c r="P665" s="96"/>
      <c r="Q665" s="96"/>
      <c r="R665" s="96"/>
      <c r="S665" s="96"/>
    </row>
    <row r="666" spans="1:19">
      <c r="A666" s="126"/>
      <c r="B666" s="127"/>
      <c r="C666" s="97"/>
      <c r="D666" s="97"/>
      <c r="E666" s="97"/>
      <c r="F666" s="96"/>
      <c r="G666" s="96"/>
      <c r="H666" s="96"/>
      <c r="I666" s="96"/>
      <c r="J666" s="96"/>
      <c r="K666" s="96"/>
      <c r="L666" s="96"/>
      <c r="M666" s="96"/>
      <c r="N666" s="96"/>
      <c r="O666" s="96"/>
      <c r="P666" s="96"/>
      <c r="Q666" s="96"/>
      <c r="R666" s="96"/>
      <c r="S666" s="96"/>
    </row>
    <row r="667" spans="1:19">
      <c r="A667" s="126"/>
      <c r="B667" s="127"/>
      <c r="C667" s="97"/>
      <c r="D667" s="97"/>
      <c r="E667" s="97"/>
      <c r="F667" s="96"/>
      <c r="G667" s="96"/>
      <c r="H667" s="96"/>
      <c r="I667" s="96"/>
      <c r="J667" s="96"/>
      <c r="K667" s="96"/>
      <c r="L667" s="96"/>
      <c r="M667" s="96"/>
      <c r="N667" s="96"/>
      <c r="O667" s="96"/>
      <c r="P667" s="96"/>
      <c r="Q667" s="96"/>
      <c r="R667" s="96"/>
      <c r="S667" s="96"/>
    </row>
    <row r="668" spans="1:19">
      <c r="A668" s="126"/>
      <c r="B668" s="127"/>
      <c r="C668" s="97"/>
      <c r="D668" s="97"/>
      <c r="E668" s="97"/>
      <c r="F668" s="96"/>
      <c r="G668" s="96"/>
      <c r="H668" s="96"/>
      <c r="I668" s="96"/>
      <c r="J668" s="96"/>
      <c r="K668" s="96"/>
      <c r="L668" s="96"/>
      <c r="M668" s="96"/>
      <c r="N668" s="96"/>
      <c r="O668" s="96"/>
      <c r="P668" s="96"/>
      <c r="Q668" s="96"/>
      <c r="R668" s="96"/>
      <c r="S668" s="96"/>
    </row>
    <row r="669" spans="1:19">
      <c r="A669" s="126"/>
      <c r="B669" s="127"/>
      <c r="C669" s="97"/>
      <c r="D669" s="97"/>
      <c r="E669" s="97"/>
      <c r="F669" s="96"/>
      <c r="G669" s="96"/>
      <c r="H669" s="96"/>
      <c r="I669" s="96"/>
      <c r="J669" s="96"/>
      <c r="K669" s="96"/>
      <c r="L669" s="96"/>
      <c r="M669" s="96"/>
      <c r="N669" s="96"/>
      <c r="O669" s="96"/>
      <c r="P669" s="96"/>
      <c r="Q669" s="96"/>
      <c r="R669" s="96"/>
      <c r="S669" s="96"/>
    </row>
    <row r="670" spans="1:19">
      <c r="A670" s="126"/>
      <c r="B670" s="127"/>
      <c r="C670" s="97"/>
      <c r="D670" s="97"/>
      <c r="E670" s="97"/>
      <c r="F670" s="96"/>
      <c r="G670" s="96"/>
      <c r="H670" s="96"/>
      <c r="I670" s="96"/>
      <c r="J670" s="96"/>
      <c r="K670" s="96"/>
      <c r="L670" s="96"/>
      <c r="M670" s="96"/>
      <c r="N670" s="96"/>
      <c r="O670" s="96"/>
      <c r="P670" s="96"/>
      <c r="Q670" s="96"/>
      <c r="R670" s="96"/>
      <c r="S670" s="96"/>
    </row>
    <row r="671" spans="1:19">
      <c r="A671" s="126"/>
      <c r="B671" s="127"/>
      <c r="C671" s="97"/>
      <c r="D671" s="97"/>
      <c r="E671" s="97"/>
      <c r="F671" s="96"/>
      <c r="G671" s="96"/>
      <c r="H671" s="96"/>
      <c r="I671" s="96"/>
      <c r="J671" s="96"/>
      <c r="K671" s="96"/>
      <c r="L671" s="96"/>
      <c r="M671" s="96"/>
      <c r="N671" s="96"/>
      <c r="O671" s="96"/>
      <c r="P671" s="96"/>
      <c r="Q671" s="96"/>
      <c r="R671" s="96"/>
      <c r="S671" s="96"/>
    </row>
    <row r="672" spans="1:19">
      <c r="A672" s="126"/>
      <c r="B672" s="127"/>
      <c r="C672" s="97"/>
      <c r="D672" s="97"/>
      <c r="E672" s="97"/>
      <c r="F672" s="96"/>
      <c r="G672" s="96"/>
      <c r="H672" s="96"/>
      <c r="I672" s="96"/>
      <c r="J672" s="96"/>
      <c r="K672" s="96"/>
      <c r="L672" s="96"/>
      <c r="M672" s="96"/>
      <c r="N672" s="96"/>
      <c r="O672" s="96"/>
      <c r="P672" s="96"/>
      <c r="Q672" s="96"/>
      <c r="R672" s="96"/>
      <c r="S672" s="96"/>
    </row>
    <row r="673" spans="1:19">
      <c r="A673" s="126"/>
      <c r="B673" s="127"/>
      <c r="C673" s="97"/>
      <c r="D673" s="97"/>
      <c r="E673" s="97"/>
      <c r="F673" s="96"/>
      <c r="G673" s="96"/>
      <c r="H673" s="96"/>
      <c r="I673" s="96"/>
      <c r="J673" s="96"/>
      <c r="K673" s="96"/>
      <c r="L673" s="96"/>
      <c r="M673" s="96"/>
      <c r="N673" s="96"/>
      <c r="O673" s="96"/>
      <c r="P673" s="96"/>
      <c r="Q673" s="96"/>
      <c r="R673" s="96"/>
      <c r="S673" s="96"/>
    </row>
    <row r="674" spans="1:19">
      <c r="A674" s="126"/>
      <c r="B674" s="127"/>
      <c r="C674" s="97"/>
      <c r="D674" s="97"/>
      <c r="E674" s="97"/>
      <c r="F674" s="96"/>
      <c r="G674" s="96"/>
      <c r="H674" s="96"/>
      <c r="I674" s="96"/>
      <c r="J674" s="96"/>
      <c r="K674" s="96"/>
      <c r="L674" s="96"/>
      <c r="M674" s="96"/>
      <c r="N674" s="96"/>
      <c r="O674" s="96"/>
      <c r="P674" s="96"/>
      <c r="Q674" s="96"/>
      <c r="R674" s="96"/>
      <c r="S674" s="96"/>
    </row>
    <row r="675" spans="1:19">
      <c r="A675" s="126"/>
      <c r="B675" s="127"/>
      <c r="C675" s="97"/>
      <c r="D675" s="97"/>
      <c r="E675" s="97"/>
      <c r="F675" s="96"/>
      <c r="G675" s="96"/>
      <c r="H675" s="96"/>
      <c r="I675" s="96"/>
      <c r="J675" s="96"/>
      <c r="K675" s="96"/>
      <c r="L675" s="96"/>
      <c r="M675" s="96"/>
      <c r="N675" s="96"/>
      <c r="O675" s="96"/>
      <c r="P675" s="96"/>
      <c r="Q675" s="96"/>
      <c r="R675" s="96"/>
      <c r="S675" s="96"/>
    </row>
    <row r="676" spans="1:19">
      <c r="A676" s="126"/>
      <c r="B676" s="127"/>
      <c r="C676" s="97"/>
      <c r="D676" s="97"/>
      <c r="E676" s="97"/>
      <c r="F676" s="96"/>
      <c r="G676" s="96"/>
      <c r="H676" s="96"/>
      <c r="I676" s="96"/>
      <c r="J676" s="96"/>
      <c r="K676" s="96"/>
      <c r="L676" s="96"/>
      <c r="M676" s="96"/>
      <c r="N676" s="96"/>
      <c r="O676" s="96"/>
      <c r="P676" s="96"/>
      <c r="Q676" s="96"/>
      <c r="R676" s="96"/>
      <c r="S676" s="96"/>
    </row>
    <row r="677" spans="1:19">
      <c r="A677" s="126"/>
      <c r="B677" s="127"/>
      <c r="C677" s="97"/>
      <c r="D677" s="97"/>
      <c r="E677" s="97"/>
      <c r="F677" s="96"/>
      <c r="G677" s="96"/>
      <c r="H677" s="96"/>
      <c r="I677" s="96"/>
      <c r="J677" s="96"/>
      <c r="K677" s="96"/>
      <c r="L677" s="96"/>
      <c r="M677" s="96"/>
      <c r="N677" s="96"/>
      <c r="O677" s="96"/>
      <c r="P677" s="96"/>
      <c r="Q677" s="96"/>
      <c r="R677" s="96"/>
      <c r="S677" s="96"/>
    </row>
    <row r="678" spans="1:19">
      <c r="A678" s="126"/>
      <c r="B678" s="127"/>
      <c r="C678" s="97"/>
      <c r="D678" s="97"/>
      <c r="E678" s="97"/>
      <c r="F678" s="96"/>
      <c r="G678" s="96"/>
      <c r="H678" s="96"/>
      <c r="I678" s="96"/>
      <c r="J678" s="96"/>
      <c r="K678" s="96"/>
      <c r="L678" s="96"/>
      <c r="M678" s="96"/>
      <c r="N678" s="96"/>
      <c r="O678" s="96"/>
      <c r="P678" s="96"/>
      <c r="Q678" s="96"/>
      <c r="R678" s="96"/>
      <c r="S678" s="96"/>
    </row>
    <row r="679" spans="1:19">
      <c r="A679" s="126"/>
      <c r="B679" s="127"/>
      <c r="C679" s="97"/>
      <c r="D679" s="97"/>
      <c r="E679" s="97"/>
      <c r="F679" s="96"/>
      <c r="G679" s="96"/>
      <c r="H679" s="96"/>
      <c r="I679" s="96"/>
      <c r="J679" s="96"/>
      <c r="K679" s="96"/>
      <c r="L679" s="96"/>
      <c r="M679" s="96"/>
      <c r="N679" s="96"/>
      <c r="O679" s="96"/>
      <c r="P679" s="96"/>
      <c r="Q679" s="96"/>
      <c r="R679" s="96"/>
      <c r="S679" s="96"/>
    </row>
    <row r="680" spans="1:19">
      <c r="A680" s="126"/>
      <c r="B680" s="127"/>
      <c r="C680" s="97"/>
      <c r="D680" s="97"/>
      <c r="E680" s="97"/>
      <c r="F680" s="96"/>
      <c r="G680" s="96"/>
      <c r="H680" s="96"/>
      <c r="I680" s="96"/>
      <c r="J680" s="96"/>
      <c r="K680" s="96"/>
      <c r="L680" s="96"/>
      <c r="M680" s="96"/>
      <c r="N680" s="96"/>
      <c r="O680" s="96"/>
      <c r="P680" s="96"/>
      <c r="Q680" s="96"/>
      <c r="R680" s="96"/>
      <c r="S680" s="96"/>
    </row>
    <row r="681" spans="1:19">
      <c r="A681" s="126"/>
      <c r="B681" s="127"/>
      <c r="C681" s="97"/>
      <c r="D681" s="97"/>
      <c r="E681" s="97"/>
      <c r="F681" s="96"/>
      <c r="G681" s="96"/>
      <c r="H681" s="96"/>
      <c r="I681" s="96"/>
      <c r="J681" s="96"/>
      <c r="K681" s="96"/>
      <c r="L681" s="96"/>
      <c r="M681" s="96"/>
      <c r="N681" s="96"/>
      <c r="O681" s="96"/>
      <c r="P681" s="96"/>
      <c r="Q681" s="96"/>
      <c r="R681" s="96"/>
      <c r="S681" s="96"/>
    </row>
    <row r="682" spans="1:19">
      <c r="A682" s="126"/>
      <c r="B682" s="127"/>
      <c r="C682" s="97"/>
      <c r="D682" s="97"/>
      <c r="E682" s="97"/>
      <c r="F682" s="96"/>
      <c r="G682" s="96"/>
      <c r="H682" s="96"/>
      <c r="I682" s="96"/>
      <c r="J682" s="96"/>
      <c r="K682" s="96"/>
      <c r="L682" s="96"/>
      <c r="M682" s="96"/>
      <c r="N682" s="96"/>
      <c r="O682" s="96"/>
      <c r="P682" s="96"/>
      <c r="Q682" s="96"/>
      <c r="R682" s="96"/>
      <c r="S682" s="96"/>
    </row>
    <row r="683" spans="1:19">
      <c r="A683" s="126"/>
      <c r="B683" s="127"/>
      <c r="C683" s="97"/>
      <c r="D683" s="97"/>
      <c r="E683" s="97"/>
      <c r="F683" s="96"/>
      <c r="G683" s="96"/>
      <c r="H683" s="96"/>
      <c r="I683" s="96"/>
      <c r="J683" s="96"/>
      <c r="K683" s="96"/>
      <c r="L683" s="96"/>
      <c r="M683" s="96"/>
      <c r="N683" s="96"/>
      <c r="O683" s="96"/>
      <c r="P683" s="96"/>
      <c r="Q683" s="96"/>
      <c r="R683" s="96"/>
      <c r="S683" s="96"/>
    </row>
    <row r="684" spans="1:19">
      <c r="A684" s="126"/>
      <c r="B684" s="127"/>
      <c r="C684" s="97"/>
      <c r="D684" s="97"/>
      <c r="E684" s="97"/>
      <c r="F684" s="96"/>
      <c r="G684" s="96"/>
      <c r="H684" s="96"/>
      <c r="I684" s="96"/>
      <c r="J684" s="96"/>
      <c r="K684" s="96"/>
      <c r="L684" s="96"/>
      <c r="M684" s="96"/>
      <c r="N684" s="96"/>
      <c r="O684" s="96"/>
      <c r="P684" s="96"/>
      <c r="Q684" s="96"/>
      <c r="R684" s="96"/>
      <c r="S684" s="96"/>
    </row>
    <row r="685" spans="1:19">
      <c r="A685" s="126"/>
      <c r="B685" s="127"/>
      <c r="C685" s="97"/>
      <c r="D685" s="97"/>
      <c r="E685" s="97"/>
      <c r="F685" s="96"/>
      <c r="G685" s="96"/>
      <c r="H685" s="96"/>
      <c r="I685" s="96"/>
      <c r="J685" s="96"/>
      <c r="K685" s="96"/>
      <c r="L685" s="96"/>
      <c r="M685" s="96"/>
      <c r="N685" s="96"/>
      <c r="O685" s="96"/>
      <c r="P685" s="96"/>
      <c r="Q685" s="96"/>
      <c r="R685" s="96"/>
      <c r="S685" s="96"/>
    </row>
    <row r="686" spans="1:19">
      <c r="A686" s="126"/>
      <c r="B686" s="127"/>
      <c r="C686" s="97"/>
      <c r="D686" s="97"/>
      <c r="E686" s="97"/>
      <c r="F686" s="96"/>
      <c r="G686" s="96"/>
      <c r="H686" s="96"/>
      <c r="I686" s="96"/>
      <c r="J686" s="96"/>
      <c r="K686" s="96"/>
      <c r="L686" s="96"/>
      <c r="M686" s="96"/>
      <c r="N686" s="96"/>
      <c r="O686" s="96"/>
      <c r="P686" s="96"/>
      <c r="Q686" s="96"/>
      <c r="R686" s="96"/>
      <c r="S686" s="96"/>
    </row>
    <row r="687" spans="1:19">
      <c r="A687" s="126"/>
      <c r="B687" s="127"/>
      <c r="C687" s="97"/>
      <c r="D687" s="97"/>
      <c r="E687" s="97"/>
      <c r="F687" s="96"/>
      <c r="G687" s="96"/>
      <c r="H687" s="96"/>
      <c r="I687" s="96"/>
      <c r="J687" s="96"/>
      <c r="K687" s="96"/>
      <c r="L687" s="96"/>
      <c r="M687" s="96"/>
      <c r="N687" s="96"/>
      <c r="O687" s="96"/>
      <c r="P687" s="96"/>
      <c r="Q687" s="96"/>
      <c r="R687" s="96"/>
      <c r="S687" s="96"/>
    </row>
    <row r="688" spans="1:19">
      <c r="A688" s="126"/>
      <c r="B688" s="127"/>
      <c r="C688" s="97"/>
      <c r="D688" s="97"/>
      <c r="E688" s="97"/>
      <c r="F688" s="96"/>
      <c r="G688" s="96"/>
      <c r="H688" s="96"/>
      <c r="I688" s="96"/>
      <c r="J688" s="96"/>
      <c r="K688" s="96"/>
      <c r="L688" s="96"/>
      <c r="M688" s="96"/>
      <c r="N688" s="96"/>
      <c r="O688" s="96"/>
      <c r="P688" s="96"/>
      <c r="Q688" s="96"/>
      <c r="R688" s="96"/>
      <c r="S688" s="96"/>
    </row>
    <row r="689" spans="1:19">
      <c r="A689" s="126"/>
      <c r="B689" s="127"/>
      <c r="C689" s="97"/>
      <c r="D689" s="97"/>
      <c r="E689" s="97"/>
      <c r="F689" s="96"/>
      <c r="G689" s="96"/>
      <c r="H689" s="96"/>
      <c r="I689" s="96"/>
      <c r="J689" s="96"/>
      <c r="K689" s="96"/>
      <c r="L689" s="96"/>
      <c r="M689" s="96"/>
      <c r="N689" s="96"/>
      <c r="O689" s="96"/>
      <c r="P689" s="96"/>
      <c r="Q689" s="96"/>
      <c r="R689" s="96"/>
      <c r="S689" s="96"/>
    </row>
    <row r="690" spans="1:19">
      <c r="A690" s="126"/>
      <c r="B690" s="127"/>
      <c r="C690" s="97"/>
      <c r="D690" s="97"/>
      <c r="E690" s="97"/>
      <c r="F690" s="96"/>
      <c r="G690" s="96"/>
      <c r="H690" s="96"/>
      <c r="I690" s="96"/>
      <c r="J690" s="96"/>
      <c r="K690" s="96"/>
      <c r="L690" s="96"/>
      <c r="M690" s="96"/>
      <c r="N690" s="96"/>
      <c r="O690" s="96"/>
      <c r="P690" s="96"/>
      <c r="Q690" s="96"/>
      <c r="R690" s="96"/>
      <c r="S690" s="96"/>
    </row>
    <row r="691" spans="1:19">
      <c r="A691" s="126"/>
      <c r="B691" s="127"/>
      <c r="C691" s="97"/>
      <c r="D691" s="97"/>
      <c r="E691" s="97"/>
      <c r="F691" s="96"/>
      <c r="G691" s="96"/>
      <c r="H691" s="96"/>
      <c r="I691" s="96"/>
      <c r="J691" s="96"/>
      <c r="K691" s="96"/>
      <c r="L691" s="96"/>
      <c r="M691" s="96"/>
      <c r="N691" s="96"/>
      <c r="O691" s="96"/>
      <c r="P691" s="96"/>
      <c r="Q691" s="96"/>
      <c r="R691" s="96"/>
      <c r="S691" s="96"/>
    </row>
    <row r="692" spans="1:19">
      <c r="A692" s="126"/>
      <c r="B692" s="127"/>
      <c r="C692" s="97"/>
      <c r="D692" s="97"/>
      <c r="E692" s="97"/>
      <c r="F692" s="96"/>
      <c r="G692" s="96"/>
      <c r="H692" s="96"/>
      <c r="I692" s="96"/>
      <c r="J692" s="96"/>
      <c r="K692" s="96"/>
      <c r="L692" s="96"/>
      <c r="M692" s="96"/>
      <c r="N692" s="96"/>
      <c r="O692" s="96"/>
      <c r="P692" s="96"/>
      <c r="Q692" s="96"/>
      <c r="R692" s="96"/>
      <c r="S692" s="96"/>
    </row>
    <row r="693" spans="1:19">
      <c r="A693" s="126"/>
      <c r="B693" s="127"/>
      <c r="C693" s="97"/>
      <c r="D693" s="97"/>
      <c r="E693" s="97"/>
      <c r="F693" s="96"/>
      <c r="G693" s="96"/>
      <c r="H693" s="96"/>
      <c r="I693" s="96"/>
      <c r="J693" s="96"/>
      <c r="K693" s="96"/>
      <c r="L693" s="96"/>
      <c r="M693" s="96"/>
      <c r="N693" s="96"/>
      <c r="O693" s="96"/>
      <c r="P693" s="96"/>
      <c r="Q693" s="96"/>
      <c r="R693" s="96"/>
      <c r="S693" s="96"/>
    </row>
    <row r="694" spans="1:19">
      <c r="A694" s="126"/>
      <c r="B694" s="127"/>
      <c r="C694" s="97"/>
      <c r="D694" s="97"/>
      <c r="E694" s="97"/>
      <c r="F694" s="96"/>
      <c r="G694" s="96"/>
      <c r="H694" s="96"/>
      <c r="I694" s="96"/>
      <c r="J694" s="96"/>
      <c r="K694" s="96"/>
      <c r="L694" s="96"/>
      <c r="M694" s="96"/>
      <c r="N694" s="96"/>
      <c r="O694" s="96"/>
      <c r="P694" s="96"/>
      <c r="Q694" s="96"/>
      <c r="R694" s="96"/>
      <c r="S694" s="96"/>
    </row>
    <row r="695" spans="1:19">
      <c r="A695" s="126"/>
      <c r="B695" s="127"/>
      <c r="C695" s="97"/>
      <c r="D695" s="97"/>
      <c r="E695" s="97"/>
      <c r="F695" s="96"/>
      <c r="G695" s="96"/>
      <c r="H695" s="96"/>
      <c r="I695" s="96"/>
      <c r="J695" s="96"/>
      <c r="K695" s="96"/>
      <c r="L695" s="96"/>
      <c r="M695" s="96"/>
      <c r="N695" s="96"/>
      <c r="O695" s="96"/>
      <c r="P695" s="96"/>
      <c r="Q695" s="96"/>
      <c r="R695" s="96"/>
      <c r="S695" s="96"/>
    </row>
    <row r="696" spans="1:19">
      <c r="A696" s="126"/>
      <c r="B696" s="127"/>
      <c r="C696" s="97"/>
      <c r="D696" s="97"/>
      <c r="E696" s="97"/>
      <c r="F696" s="96"/>
      <c r="G696" s="96"/>
      <c r="H696" s="96"/>
      <c r="I696" s="96"/>
      <c r="J696" s="96"/>
      <c r="K696" s="96"/>
      <c r="L696" s="96"/>
      <c r="M696" s="96"/>
      <c r="N696" s="96"/>
      <c r="O696" s="96"/>
      <c r="P696" s="96"/>
      <c r="Q696" s="96"/>
      <c r="R696" s="96"/>
      <c r="S696" s="96"/>
    </row>
    <row r="697" spans="1:19">
      <c r="A697" s="126"/>
      <c r="B697" s="127"/>
      <c r="C697" s="97"/>
      <c r="D697" s="97"/>
      <c r="E697" s="97"/>
      <c r="F697" s="96"/>
      <c r="G697" s="96"/>
      <c r="H697" s="96"/>
      <c r="I697" s="96"/>
      <c r="J697" s="96"/>
      <c r="K697" s="96"/>
      <c r="L697" s="96"/>
      <c r="M697" s="96"/>
      <c r="N697" s="96"/>
      <c r="O697" s="96"/>
      <c r="P697" s="96"/>
      <c r="Q697" s="96"/>
      <c r="R697" s="96"/>
      <c r="S697" s="96"/>
    </row>
    <row r="698" spans="1:19">
      <c r="A698" s="126"/>
      <c r="B698" s="127"/>
      <c r="C698" s="97"/>
      <c r="D698" s="97"/>
      <c r="E698" s="97"/>
      <c r="F698" s="96"/>
      <c r="G698" s="96"/>
      <c r="H698" s="96"/>
      <c r="I698" s="96"/>
      <c r="J698" s="96"/>
      <c r="K698" s="96"/>
      <c r="L698" s="96"/>
      <c r="M698" s="96"/>
      <c r="N698" s="96"/>
      <c r="O698" s="96"/>
      <c r="P698" s="96"/>
      <c r="Q698" s="96"/>
      <c r="R698" s="96"/>
      <c r="S698" s="96"/>
    </row>
    <row r="699" spans="1:19">
      <c r="A699" s="126"/>
      <c r="B699" s="127"/>
      <c r="C699" s="97"/>
      <c r="D699" s="97"/>
      <c r="E699" s="97"/>
      <c r="F699" s="96"/>
      <c r="G699" s="96"/>
      <c r="H699" s="96"/>
      <c r="I699" s="96"/>
      <c r="J699" s="96"/>
      <c r="K699" s="96"/>
      <c r="L699" s="96"/>
      <c r="M699" s="96"/>
      <c r="N699" s="96"/>
      <c r="O699" s="96"/>
      <c r="P699" s="96"/>
      <c r="Q699" s="96"/>
      <c r="R699" s="96"/>
      <c r="S699" s="96"/>
    </row>
    <row r="700" spans="1:19">
      <c r="A700" s="126"/>
      <c r="B700" s="127"/>
      <c r="C700" s="97"/>
      <c r="D700" s="97"/>
      <c r="E700" s="97"/>
      <c r="F700" s="96"/>
      <c r="G700" s="96"/>
      <c r="H700" s="96"/>
      <c r="I700" s="96"/>
      <c r="J700" s="96"/>
      <c r="K700" s="96"/>
      <c r="L700" s="96"/>
      <c r="M700" s="96"/>
      <c r="N700" s="96"/>
      <c r="O700" s="96"/>
      <c r="P700" s="96"/>
      <c r="Q700" s="96"/>
      <c r="R700" s="96"/>
      <c r="S700" s="96"/>
    </row>
    <row r="701" spans="1:19">
      <c r="A701" s="126"/>
      <c r="B701" s="127"/>
      <c r="C701" s="97"/>
      <c r="D701" s="97"/>
      <c r="E701" s="97"/>
      <c r="F701" s="96"/>
      <c r="G701" s="96"/>
      <c r="H701" s="96"/>
      <c r="I701" s="96"/>
      <c r="J701" s="96"/>
      <c r="K701" s="96"/>
      <c r="L701" s="96"/>
      <c r="M701" s="96"/>
      <c r="N701" s="96"/>
      <c r="O701" s="96"/>
      <c r="P701" s="96"/>
      <c r="Q701" s="96"/>
      <c r="R701" s="96"/>
      <c r="S701" s="96"/>
    </row>
    <row r="702" spans="1:19">
      <c r="A702" s="126"/>
      <c r="B702" s="127"/>
      <c r="C702" s="97"/>
      <c r="D702" s="97"/>
      <c r="E702" s="97"/>
      <c r="F702" s="96"/>
      <c r="G702" s="96"/>
      <c r="H702" s="96"/>
      <c r="I702" s="96"/>
      <c r="J702" s="96"/>
      <c r="K702" s="96"/>
      <c r="L702" s="96"/>
      <c r="M702" s="96"/>
      <c r="N702" s="96"/>
      <c r="O702" s="96"/>
      <c r="P702" s="96"/>
      <c r="Q702" s="96"/>
      <c r="R702" s="96"/>
      <c r="S702" s="96"/>
    </row>
    <row r="703" spans="1:19">
      <c r="A703" s="126"/>
      <c r="B703" s="127"/>
      <c r="C703" s="97"/>
      <c r="D703" s="97"/>
      <c r="E703" s="97"/>
      <c r="F703" s="96"/>
      <c r="G703" s="96"/>
      <c r="H703" s="96"/>
      <c r="I703" s="96"/>
      <c r="J703" s="96"/>
      <c r="K703" s="96"/>
      <c r="L703" s="96"/>
      <c r="M703" s="96"/>
      <c r="N703" s="96"/>
      <c r="O703" s="96"/>
      <c r="P703" s="96"/>
      <c r="Q703" s="96"/>
      <c r="R703" s="96"/>
      <c r="S703" s="96"/>
    </row>
    <row r="704" spans="1:19">
      <c r="A704" s="126"/>
      <c r="B704" s="127"/>
      <c r="C704" s="97"/>
      <c r="D704" s="97"/>
      <c r="E704" s="97"/>
      <c r="F704" s="96"/>
      <c r="G704" s="96"/>
      <c r="H704" s="96"/>
      <c r="I704" s="96"/>
      <c r="J704" s="96"/>
      <c r="K704" s="96"/>
      <c r="L704" s="96"/>
      <c r="M704" s="96"/>
      <c r="N704" s="96"/>
      <c r="O704" s="96"/>
      <c r="P704" s="96"/>
      <c r="Q704" s="96"/>
      <c r="R704" s="96"/>
      <c r="S704" s="96"/>
    </row>
    <row r="705" spans="1:19">
      <c r="A705" s="126"/>
      <c r="B705" s="127"/>
      <c r="C705" s="97"/>
      <c r="D705" s="97"/>
      <c r="E705" s="97"/>
      <c r="F705" s="96"/>
      <c r="G705" s="96"/>
      <c r="H705" s="96"/>
      <c r="I705" s="96"/>
      <c r="J705" s="96"/>
      <c r="K705" s="96"/>
      <c r="L705" s="96"/>
      <c r="M705" s="96"/>
      <c r="N705" s="96"/>
      <c r="O705" s="96"/>
      <c r="P705" s="96"/>
      <c r="Q705" s="96"/>
      <c r="R705" s="96"/>
      <c r="S705" s="96"/>
    </row>
    <row r="706" spans="1:19">
      <c r="A706" s="126"/>
      <c r="B706" s="127"/>
      <c r="C706" s="97"/>
      <c r="D706" s="97"/>
      <c r="E706" s="97"/>
      <c r="F706" s="96"/>
      <c r="G706" s="96"/>
      <c r="H706" s="96"/>
      <c r="I706" s="96"/>
      <c r="J706" s="96"/>
      <c r="K706" s="96"/>
      <c r="L706" s="96"/>
      <c r="M706" s="96"/>
      <c r="N706" s="96"/>
      <c r="O706" s="96"/>
      <c r="P706" s="96"/>
      <c r="Q706" s="96"/>
      <c r="R706" s="96"/>
      <c r="S706" s="96"/>
    </row>
    <row r="707" spans="1:19">
      <c r="A707" s="126"/>
      <c r="B707" s="127"/>
      <c r="C707" s="97"/>
      <c r="D707" s="97"/>
      <c r="E707" s="97"/>
      <c r="F707" s="96"/>
      <c r="G707" s="96"/>
      <c r="H707" s="96"/>
      <c r="I707" s="96"/>
      <c r="J707" s="96"/>
      <c r="K707" s="96"/>
      <c r="L707" s="96"/>
      <c r="M707" s="96"/>
      <c r="N707" s="96"/>
      <c r="O707" s="96"/>
      <c r="P707" s="96"/>
      <c r="Q707" s="96"/>
      <c r="R707" s="96"/>
      <c r="S707" s="96"/>
    </row>
    <row r="708" spans="1:19">
      <c r="A708" s="126"/>
      <c r="B708" s="127"/>
      <c r="C708" s="97"/>
      <c r="D708" s="97"/>
      <c r="E708" s="97"/>
      <c r="F708" s="96"/>
      <c r="G708" s="96"/>
      <c r="H708" s="96"/>
      <c r="I708" s="96"/>
      <c r="J708" s="96"/>
      <c r="K708" s="96"/>
      <c r="L708" s="96"/>
      <c r="M708" s="96"/>
      <c r="N708" s="96"/>
      <c r="O708" s="96"/>
      <c r="P708" s="96"/>
      <c r="Q708" s="96"/>
      <c r="R708" s="96"/>
      <c r="S708" s="96"/>
    </row>
    <row r="709" spans="1:19">
      <c r="A709" s="126"/>
      <c r="B709" s="127"/>
      <c r="C709" s="97"/>
      <c r="D709" s="97"/>
      <c r="E709" s="97"/>
      <c r="F709" s="96"/>
      <c r="G709" s="96"/>
      <c r="H709" s="96"/>
      <c r="I709" s="96"/>
      <c r="J709" s="96"/>
      <c r="K709" s="96"/>
      <c r="L709" s="96"/>
      <c r="M709" s="96"/>
      <c r="N709" s="96"/>
      <c r="O709" s="96"/>
      <c r="P709" s="96"/>
      <c r="Q709" s="96"/>
      <c r="R709" s="96"/>
      <c r="S709" s="96"/>
    </row>
    <row r="710" spans="1:19">
      <c r="A710" s="126"/>
      <c r="B710" s="127"/>
      <c r="C710" s="97"/>
      <c r="D710" s="97"/>
      <c r="E710" s="97"/>
      <c r="F710" s="96"/>
      <c r="G710" s="96"/>
      <c r="H710" s="96"/>
      <c r="I710" s="96"/>
      <c r="J710" s="96"/>
      <c r="K710" s="96"/>
      <c r="L710" s="96"/>
      <c r="M710" s="96"/>
      <c r="N710" s="96"/>
      <c r="O710" s="96"/>
      <c r="P710" s="96"/>
      <c r="Q710" s="96"/>
      <c r="R710" s="96"/>
      <c r="S710" s="96"/>
    </row>
    <row r="711" spans="1:19">
      <c r="A711" s="126"/>
      <c r="B711" s="127"/>
      <c r="C711" s="97"/>
      <c r="D711" s="97"/>
      <c r="E711" s="97"/>
      <c r="F711" s="96"/>
      <c r="G711" s="96"/>
      <c r="H711" s="96"/>
      <c r="I711" s="96"/>
      <c r="J711" s="96"/>
      <c r="K711" s="96"/>
      <c r="L711" s="96"/>
      <c r="M711" s="96"/>
      <c r="N711" s="96"/>
      <c r="O711" s="96"/>
      <c r="P711" s="96"/>
      <c r="Q711" s="96"/>
      <c r="R711" s="96"/>
      <c r="S711" s="96"/>
    </row>
    <row r="712" spans="1:19">
      <c r="A712" s="126"/>
      <c r="B712" s="127"/>
      <c r="C712" s="97"/>
      <c r="D712" s="97"/>
      <c r="E712" s="97"/>
      <c r="F712" s="96"/>
      <c r="G712" s="96"/>
      <c r="H712" s="96"/>
      <c r="I712" s="96"/>
      <c r="J712" s="96"/>
      <c r="K712" s="96"/>
      <c r="L712" s="96"/>
      <c r="M712" s="96"/>
      <c r="N712" s="96"/>
      <c r="O712" s="96"/>
      <c r="P712" s="96"/>
      <c r="Q712" s="96"/>
      <c r="R712" s="96"/>
      <c r="S712" s="96"/>
    </row>
    <row r="713" spans="1:19">
      <c r="A713" s="126"/>
      <c r="B713" s="127"/>
      <c r="C713" s="97"/>
      <c r="D713" s="97"/>
      <c r="E713" s="97"/>
      <c r="F713" s="96"/>
      <c r="G713" s="96"/>
      <c r="H713" s="96"/>
      <c r="I713" s="96"/>
      <c r="J713" s="96"/>
      <c r="K713" s="96"/>
      <c r="L713" s="96"/>
      <c r="M713" s="96"/>
      <c r="N713" s="96"/>
      <c r="O713" s="96"/>
      <c r="P713" s="96"/>
      <c r="Q713" s="96"/>
      <c r="R713" s="96"/>
      <c r="S713" s="96"/>
    </row>
    <row r="714" spans="1:19">
      <c r="A714" s="126"/>
      <c r="B714" s="127"/>
      <c r="C714" s="97"/>
      <c r="D714" s="97"/>
      <c r="E714" s="97"/>
      <c r="F714" s="96"/>
      <c r="G714" s="96"/>
      <c r="H714" s="96"/>
      <c r="I714" s="96"/>
      <c r="J714" s="96"/>
      <c r="K714" s="96"/>
      <c r="L714" s="96"/>
      <c r="M714" s="96"/>
      <c r="N714" s="96"/>
      <c r="O714" s="96"/>
      <c r="P714" s="96"/>
      <c r="Q714" s="96"/>
      <c r="R714" s="96"/>
      <c r="S714" s="96"/>
    </row>
    <row r="715" spans="1:19">
      <c r="A715" s="126"/>
      <c r="B715" s="127"/>
      <c r="C715" s="97"/>
      <c r="D715" s="97"/>
      <c r="E715" s="97"/>
      <c r="F715" s="96"/>
      <c r="G715" s="96"/>
      <c r="H715" s="96"/>
      <c r="I715" s="96"/>
      <c r="J715" s="96"/>
      <c r="K715" s="96"/>
      <c r="L715" s="96"/>
      <c r="M715" s="96"/>
      <c r="N715" s="96"/>
      <c r="O715" s="96"/>
      <c r="P715" s="96"/>
      <c r="Q715" s="96"/>
      <c r="R715" s="96"/>
      <c r="S715" s="96"/>
    </row>
    <row r="716" spans="1:19">
      <c r="A716" s="126"/>
      <c r="B716" s="127"/>
      <c r="C716" s="97"/>
      <c r="D716" s="97"/>
      <c r="E716" s="97"/>
      <c r="F716" s="96"/>
      <c r="G716" s="96"/>
      <c r="H716" s="96"/>
      <c r="I716" s="96"/>
      <c r="J716" s="96"/>
      <c r="K716" s="96"/>
      <c r="L716" s="96"/>
      <c r="M716" s="96"/>
      <c r="N716" s="96"/>
      <c r="O716" s="96"/>
      <c r="P716" s="96"/>
      <c r="Q716" s="96"/>
      <c r="R716" s="96"/>
      <c r="S716" s="96"/>
    </row>
    <row r="717" spans="1:19">
      <c r="A717" s="126"/>
      <c r="B717" s="127"/>
      <c r="C717" s="97"/>
      <c r="D717" s="97"/>
      <c r="E717" s="97"/>
      <c r="F717" s="96"/>
      <c r="G717" s="96"/>
      <c r="H717" s="96"/>
      <c r="I717" s="96"/>
      <c r="J717" s="96"/>
      <c r="K717" s="96"/>
      <c r="L717" s="96"/>
      <c r="M717" s="96"/>
      <c r="N717" s="96"/>
      <c r="O717" s="96"/>
      <c r="P717" s="96"/>
      <c r="Q717" s="96"/>
      <c r="R717" s="96"/>
      <c r="S717" s="96"/>
    </row>
    <row r="718" spans="1:19">
      <c r="A718" s="126"/>
      <c r="B718" s="127"/>
      <c r="C718" s="97"/>
      <c r="D718" s="97"/>
      <c r="E718" s="97"/>
      <c r="F718" s="96"/>
      <c r="G718" s="96"/>
      <c r="H718" s="96"/>
      <c r="I718" s="96"/>
      <c r="J718" s="96"/>
      <c r="K718" s="96"/>
      <c r="L718" s="96"/>
      <c r="M718" s="96"/>
      <c r="N718" s="96"/>
      <c r="O718" s="96"/>
      <c r="P718" s="96"/>
      <c r="Q718" s="96"/>
      <c r="R718" s="96"/>
      <c r="S718" s="96"/>
    </row>
    <row r="719" spans="1:19">
      <c r="A719" s="126"/>
      <c r="B719" s="127"/>
      <c r="C719" s="97"/>
      <c r="D719" s="97"/>
      <c r="E719" s="97"/>
      <c r="F719" s="96"/>
      <c r="G719" s="96"/>
      <c r="H719" s="96"/>
      <c r="I719" s="96"/>
      <c r="J719" s="96"/>
      <c r="K719" s="96"/>
      <c r="L719" s="96"/>
      <c r="M719" s="96"/>
      <c r="N719" s="96"/>
      <c r="O719" s="96"/>
      <c r="P719" s="96"/>
      <c r="Q719" s="96"/>
      <c r="R719" s="96"/>
      <c r="S719" s="96"/>
    </row>
    <row r="720" spans="1:19">
      <c r="A720" s="126"/>
      <c r="B720" s="127"/>
      <c r="C720" s="97"/>
      <c r="D720" s="97"/>
      <c r="E720" s="97"/>
      <c r="F720" s="96"/>
      <c r="G720" s="96"/>
      <c r="H720" s="96"/>
      <c r="I720" s="96"/>
      <c r="J720" s="96"/>
      <c r="K720" s="96"/>
      <c r="L720" s="96"/>
      <c r="M720" s="96"/>
      <c r="N720" s="96"/>
      <c r="O720" s="96"/>
      <c r="P720" s="96"/>
      <c r="Q720" s="96"/>
      <c r="R720" s="96"/>
      <c r="S720" s="96"/>
    </row>
    <row r="721" spans="1:19">
      <c r="A721" s="126"/>
      <c r="B721" s="127"/>
      <c r="C721" s="97"/>
      <c r="D721" s="97"/>
      <c r="E721" s="97"/>
      <c r="F721" s="96"/>
      <c r="G721" s="96"/>
      <c r="H721" s="96"/>
      <c r="I721" s="96"/>
      <c r="J721" s="96"/>
      <c r="K721" s="96"/>
      <c r="L721" s="96"/>
      <c r="M721" s="96"/>
      <c r="N721" s="96"/>
      <c r="O721" s="96"/>
      <c r="P721" s="96"/>
      <c r="Q721" s="96"/>
      <c r="R721" s="96"/>
      <c r="S721" s="96"/>
    </row>
    <row r="722" spans="1:19">
      <c r="A722" s="126"/>
      <c r="B722" s="127"/>
      <c r="C722" s="97"/>
      <c r="D722" s="97"/>
      <c r="E722" s="97"/>
      <c r="F722" s="96"/>
      <c r="G722" s="96"/>
      <c r="H722" s="96"/>
      <c r="I722" s="96"/>
      <c r="J722" s="96"/>
      <c r="K722" s="96"/>
      <c r="L722" s="96"/>
      <c r="M722" s="96"/>
      <c r="N722" s="96"/>
      <c r="O722" s="96"/>
      <c r="P722" s="96"/>
      <c r="Q722" s="96"/>
      <c r="R722" s="96"/>
      <c r="S722" s="96"/>
    </row>
    <row r="723" spans="1:19">
      <c r="A723" s="126"/>
      <c r="B723" s="127"/>
      <c r="C723" s="97"/>
      <c r="D723" s="97"/>
      <c r="E723" s="97"/>
      <c r="F723" s="96"/>
      <c r="G723" s="96"/>
      <c r="H723" s="96"/>
      <c r="I723" s="96"/>
      <c r="J723" s="96"/>
      <c r="K723" s="96"/>
      <c r="L723" s="96"/>
      <c r="M723" s="96"/>
      <c r="N723" s="96"/>
      <c r="O723" s="96"/>
      <c r="P723" s="96"/>
      <c r="Q723" s="96"/>
      <c r="R723" s="96"/>
      <c r="S723" s="96"/>
    </row>
    <row r="724" spans="1:19">
      <c r="A724" s="126"/>
      <c r="B724" s="127"/>
      <c r="C724" s="97"/>
      <c r="D724" s="97"/>
      <c r="E724" s="97"/>
      <c r="F724" s="96"/>
      <c r="G724" s="96"/>
      <c r="H724" s="96"/>
      <c r="I724" s="96"/>
      <c r="J724" s="96"/>
      <c r="K724" s="96"/>
      <c r="L724" s="96"/>
      <c r="M724" s="96"/>
      <c r="N724" s="96"/>
      <c r="O724" s="96"/>
      <c r="P724" s="96"/>
      <c r="Q724" s="96"/>
      <c r="R724" s="96"/>
      <c r="S724" s="96"/>
    </row>
    <row r="725" spans="1:19">
      <c r="A725" s="126"/>
      <c r="B725" s="127"/>
      <c r="C725" s="97"/>
      <c r="D725" s="97"/>
      <c r="E725" s="97"/>
      <c r="F725" s="96"/>
      <c r="G725" s="96"/>
      <c r="H725" s="96"/>
      <c r="I725" s="96"/>
      <c r="J725" s="96"/>
      <c r="K725" s="96"/>
      <c r="L725" s="96"/>
      <c r="M725" s="96"/>
      <c r="N725" s="96"/>
      <c r="O725" s="96"/>
      <c r="P725" s="96"/>
      <c r="Q725" s="96"/>
      <c r="R725" s="96"/>
      <c r="S725" s="96"/>
    </row>
    <row r="726" spans="1:19">
      <c r="A726" s="126"/>
      <c r="B726" s="127"/>
      <c r="C726" s="97"/>
      <c r="D726" s="97"/>
      <c r="E726" s="97"/>
      <c r="F726" s="96"/>
      <c r="G726" s="96"/>
      <c r="H726" s="96"/>
      <c r="I726" s="96"/>
      <c r="J726" s="96"/>
      <c r="K726" s="96"/>
      <c r="L726" s="96"/>
      <c r="M726" s="96"/>
      <c r="N726" s="96"/>
      <c r="O726" s="96"/>
      <c r="P726" s="96"/>
      <c r="Q726" s="96"/>
      <c r="R726" s="96"/>
      <c r="S726" s="96"/>
    </row>
    <row r="727" spans="1:19">
      <c r="A727" s="126"/>
      <c r="B727" s="127"/>
      <c r="C727" s="97"/>
      <c r="D727" s="97"/>
      <c r="E727" s="97"/>
      <c r="F727" s="96"/>
      <c r="G727" s="96"/>
      <c r="H727" s="96"/>
      <c r="I727" s="96"/>
      <c r="J727" s="96"/>
      <c r="K727" s="96"/>
      <c r="L727" s="96"/>
      <c r="M727" s="96"/>
      <c r="N727" s="96"/>
      <c r="O727" s="96"/>
      <c r="P727" s="96"/>
      <c r="Q727" s="96"/>
      <c r="R727" s="96"/>
      <c r="S727" s="96"/>
    </row>
    <row r="728" spans="1:19">
      <c r="A728" s="126"/>
      <c r="B728" s="127"/>
      <c r="C728" s="97"/>
      <c r="D728" s="97"/>
      <c r="E728" s="97"/>
      <c r="F728" s="96"/>
      <c r="G728" s="96"/>
      <c r="H728" s="96"/>
      <c r="I728" s="96"/>
      <c r="J728" s="96"/>
      <c r="K728" s="96"/>
      <c r="L728" s="96"/>
      <c r="M728" s="96"/>
      <c r="N728" s="96"/>
      <c r="O728" s="96"/>
      <c r="P728" s="96"/>
      <c r="Q728" s="96"/>
      <c r="R728" s="96"/>
      <c r="S728" s="96"/>
    </row>
    <row r="729" spans="1:19">
      <c r="A729" s="126"/>
      <c r="B729" s="127"/>
      <c r="C729" s="97"/>
      <c r="D729" s="97"/>
      <c r="E729" s="97"/>
      <c r="F729" s="96"/>
      <c r="G729" s="96"/>
      <c r="H729" s="96"/>
      <c r="I729" s="96"/>
      <c r="J729" s="96"/>
      <c r="K729" s="96"/>
      <c r="L729" s="96"/>
      <c r="M729" s="96"/>
      <c r="N729" s="96"/>
      <c r="O729" s="96"/>
      <c r="P729" s="96"/>
      <c r="Q729" s="96"/>
      <c r="R729" s="96"/>
      <c r="S729" s="96"/>
    </row>
    <row r="730" spans="1:19">
      <c r="A730" s="126"/>
      <c r="B730" s="127"/>
      <c r="C730" s="97"/>
      <c r="D730" s="97"/>
      <c r="E730" s="97"/>
      <c r="F730" s="96"/>
      <c r="G730" s="96"/>
      <c r="H730" s="96"/>
      <c r="I730" s="96"/>
      <c r="J730" s="96"/>
      <c r="K730" s="96"/>
      <c r="L730" s="96"/>
      <c r="M730" s="96"/>
      <c r="N730" s="96"/>
      <c r="O730" s="96"/>
      <c r="P730" s="96"/>
      <c r="Q730" s="96"/>
      <c r="R730" s="96"/>
      <c r="S730" s="96"/>
    </row>
    <row r="731" spans="1:19">
      <c r="A731" s="126"/>
      <c r="B731" s="127"/>
      <c r="C731" s="97"/>
      <c r="D731" s="97"/>
      <c r="E731" s="97"/>
      <c r="F731" s="96"/>
      <c r="G731" s="96"/>
      <c r="H731" s="96"/>
      <c r="I731" s="96"/>
      <c r="J731" s="96"/>
      <c r="K731" s="96"/>
      <c r="L731" s="96"/>
      <c r="M731" s="96"/>
      <c r="N731" s="96"/>
      <c r="O731" s="96"/>
      <c r="P731" s="96"/>
      <c r="Q731" s="96"/>
      <c r="R731" s="96"/>
      <c r="S731" s="96"/>
    </row>
    <row r="732" spans="1:19">
      <c r="A732" s="126"/>
      <c r="B732" s="127"/>
      <c r="C732" s="97"/>
      <c r="D732" s="97"/>
      <c r="E732" s="97"/>
      <c r="F732" s="96"/>
      <c r="G732" s="96"/>
      <c r="H732" s="96"/>
      <c r="I732" s="96"/>
      <c r="J732" s="96"/>
      <c r="K732" s="96"/>
      <c r="L732" s="96"/>
      <c r="M732" s="96"/>
      <c r="N732" s="96"/>
      <c r="O732" s="96"/>
      <c r="P732" s="96"/>
      <c r="Q732" s="96"/>
      <c r="R732" s="96"/>
      <c r="S732" s="96"/>
    </row>
    <row r="733" spans="1:19">
      <c r="A733" s="126"/>
      <c r="B733" s="127"/>
      <c r="C733" s="97"/>
      <c r="D733" s="97"/>
      <c r="E733" s="97"/>
      <c r="F733" s="96"/>
      <c r="G733" s="96"/>
      <c r="H733" s="96"/>
      <c r="I733" s="96"/>
      <c r="J733" s="96"/>
      <c r="K733" s="96"/>
      <c r="L733" s="96"/>
      <c r="M733" s="96"/>
      <c r="N733" s="96"/>
      <c r="O733" s="96"/>
      <c r="P733" s="96"/>
      <c r="Q733" s="96"/>
      <c r="R733" s="96"/>
      <c r="S733" s="96"/>
    </row>
    <row r="734" spans="1:19">
      <c r="A734" s="126"/>
      <c r="B734" s="127"/>
      <c r="C734" s="97"/>
      <c r="D734" s="97"/>
      <c r="E734" s="97"/>
      <c r="F734" s="96"/>
      <c r="G734" s="96"/>
      <c r="H734" s="96"/>
      <c r="I734" s="96"/>
      <c r="J734" s="96"/>
      <c r="K734" s="96"/>
      <c r="L734" s="96"/>
      <c r="M734" s="96"/>
      <c r="N734" s="96"/>
      <c r="O734" s="96"/>
      <c r="P734" s="96"/>
      <c r="Q734" s="96"/>
      <c r="R734" s="96"/>
      <c r="S734" s="96"/>
    </row>
    <row r="735" spans="1:19">
      <c r="A735" s="126"/>
      <c r="B735" s="127"/>
      <c r="C735" s="97"/>
      <c r="D735" s="97"/>
      <c r="E735" s="97"/>
      <c r="F735" s="96"/>
      <c r="G735" s="96"/>
      <c r="H735" s="96"/>
      <c r="I735" s="96"/>
      <c r="J735" s="96"/>
      <c r="K735" s="96"/>
      <c r="L735" s="96"/>
      <c r="M735" s="96"/>
      <c r="N735" s="96"/>
      <c r="O735" s="96"/>
      <c r="P735" s="96"/>
      <c r="Q735" s="96"/>
      <c r="R735" s="96"/>
      <c r="S735" s="96"/>
    </row>
    <row r="736" spans="1:19">
      <c r="A736" s="126"/>
      <c r="B736" s="127"/>
      <c r="C736" s="97"/>
      <c r="D736" s="97"/>
      <c r="E736" s="97"/>
      <c r="F736" s="96"/>
      <c r="G736" s="96"/>
      <c r="H736" s="96"/>
      <c r="I736" s="96"/>
      <c r="J736" s="96"/>
      <c r="K736" s="96"/>
      <c r="L736" s="96"/>
      <c r="M736" s="96"/>
      <c r="N736" s="96"/>
      <c r="O736" s="96"/>
      <c r="P736" s="96"/>
      <c r="Q736" s="96"/>
      <c r="R736" s="96"/>
      <c r="S736" s="96"/>
    </row>
    <row r="737" spans="1:19">
      <c r="A737" s="126"/>
      <c r="B737" s="127"/>
      <c r="C737" s="97"/>
      <c r="D737" s="97"/>
      <c r="E737" s="97"/>
      <c r="F737" s="96"/>
      <c r="G737" s="96"/>
      <c r="H737" s="96"/>
      <c r="I737" s="96"/>
      <c r="J737" s="96"/>
      <c r="K737" s="96"/>
      <c r="L737" s="96"/>
      <c r="M737" s="96"/>
      <c r="N737" s="96"/>
      <c r="O737" s="96"/>
      <c r="P737" s="96"/>
      <c r="Q737" s="96"/>
      <c r="R737" s="96"/>
      <c r="S737" s="96"/>
    </row>
    <row r="738" spans="1:19">
      <c r="A738" s="126"/>
      <c r="B738" s="127"/>
      <c r="C738" s="97"/>
      <c r="D738" s="97"/>
      <c r="E738" s="97"/>
      <c r="F738" s="96"/>
      <c r="G738" s="96"/>
      <c r="H738" s="96"/>
      <c r="I738" s="96"/>
      <c r="J738" s="96"/>
      <c r="K738" s="96"/>
      <c r="L738" s="96"/>
      <c r="M738" s="96"/>
      <c r="N738" s="96"/>
      <c r="O738" s="96"/>
      <c r="P738" s="96"/>
      <c r="Q738" s="96"/>
      <c r="R738" s="96"/>
      <c r="S738" s="96"/>
    </row>
    <row r="739" spans="1:19">
      <c r="A739" s="126"/>
      <c r="B739" s="127"/>
      <c r="C739" s="97"/>
      <c r="D739" s="97"/>
      <c r="E739" s="97"/>
      <c r="F739" s="96"/>
      <c r="G739" s="96"/>
      <c r="H739" s="96"/>
      <c r="I739" s="96"/>
      <c r="J739" s="96"/>
      <c r="K739" s="96"/>
      <c r="L739" s="96"/>
      <c r="M739" s="96"/>
      <c r="N739" s="96"/>
      <c r="O739" s="96"/>
      <c r="P739" s="96"/>
      <c r="Q739" s="96"/>
      <c r="R739" s="96"/>
      <c r="S739" s="96"/>
    </row>
    <row r="740" spans="1:19">
      <c r="A740" s="126"/>
      <c r="B740" s="127"/>
      <c r="C740" s="97"/>
      <c r="D740" s="97"/>
      <c r="E740" s="97"/>
      <c r="F740" s="96"/>
      <c r="G740" s="96"/>
      <c r="H740" s="96"/>
      <c r="I740" s="96"/>
      <c r="J740" s="96"/>
      <c r="K740" s="96"/>
      <c r="L740" s="96"/>
      <c r="M740" s="96"/>
      <c r="N740" s="96"/>
      <c r="O740" s="96"/>
      <c r="P740" s="96"/>
      <c r="Q740" s="96"/>
      <c r="R740" s="96"/>
      <c r="S740" s="96"/>
    </row>
    <row r="741" spans="1:19">
      <c r="A741" s="126"/>
      <c r="B741" s="127"/>
      <c r="C741" s="97"/>
      <c r="D741" s="97"/>
      <c r="E741" s="97"/>
      <c r="F741" s="96"/>
      <c r="G741" s="96"/>
      <c r="H741" s="96"/>
      <c r="I741" s="96"/>
      <c r="J741" s="96"/>
      <c r="K741" s="96"/>
      <c r="L741" s="96"/>
      <c r="M741" s="96"/>
      <c r="N741" s="96"/>
      <c r="O741" s="96"/>
      <c r="P741" s="96"/>
      <c r="Q741" s="96"/>
      <c r="R741" s="96"/>
      <c r="S741" s="96"/>
    </row>
    <row r="742" spans="1:19">
      <c r="A742" s="126"/>
      <c r="B742" s="127"/>
      <c r="C742" s="97"/>
      <c r="D742" s="97"/>
      <c r="E742" s="97"/>
      <c r="F742" s="96"/>
      <c r="G742" s="96"/>
      <c r="H742" s="96"/>
      <c r="I742" s="96"/>
      <c r="J742" s="96"/>
      <c r="K742" s="96"/>
      <c r="L742" s="96"/>
      <c r="M742" s="96"/>
      <c r="N742" s="96"/>
      <c r="O742" s="96"/>
      <c r="P742" s="96"/>
      <c r="Q742" s="96"/>
      <c r="R742" s="96"/>
      <c r="S742" s="96"/>
    </row>
    <row r="743" spans="1:19">
      <c r="A743" s="126"/>
      <c r="B743" s="127"/>
      <c r="C743" s="97"/>
      <c r="D743" s="97"/>
      <c r="E743" s="97"/>
      <c r="F743" s="96"/>
      <c r="G743" s="96"/>
      <c r="H743" s="96"/>
      <c r="I743" s="96"/>
      <c r="J743" s="96"/>
      <c r="K743" s="96"/>
      <c r="L743" s="96"/>
      <c r="M743" s="96"/>
      <c r="N743" s="96"/>
      <c r="O743" s="96"/>
      <c r="P743" s="96"/>
      <c r="Q743" s="96"/>
      <c r="R743" s="96"/>
      <c r="S743" s="96"/>
    </row>
    <row r="744" spans="1:19">
      <c r="A744" s="126"/>
      <c r="B744" s="127"/>
      <c r="C744" s="97"/>
      <c r="D744" s="97"/>
      <c r="E744" s="97"/>
      <c r="F744" s="96"/>
      <c r="G744" s="96"/>
      <c r="H744" s="96"/>
      <c r="I744" s="96"/>
      <c r="J744" s="96"/>
      <c r="K744" s="96"/>
      <c r="L744" s="96"/>
      <c r="M744" s="96"/>
      <c r="N744" s="96"/>
      <c r="O744" s="96"/>
      <c r="P744" s="96"/>
      <c r="Q744" s="96"/>
      <c r="R744" s="96"/>
      <c r="S744" s="96"/>
    </row>
    <row r="745" spans="1:19">
      <c r="A745" s="126"/>
      <c r="B745" s="127"/>
      <c r="C745" s="97"/>
      <c r="D745" s="97"/>
      <c r="E745" s="97"/>
      <c r="F745" s="96"/>
      <c r="G745" s="96"/>
      <c r="H745" s="96"/>
      <c r="I745" s="96"/>
      <c r="J745" s="96"/>
      <c r="K745" s="96"/>
      <c r="L745" s="96"/>
      <c r="M745" s="96"/>
      <c r="N745" s="96"/>
      <c r="O745" s="96"/>
      <c r="P745" s="96"/>
      <c r="Q745" s="96"/>
      <c r="R745" s="96"/>
      <c r="S745" s="96"/>
    </row>
    <row r="746" spans="1:19">
      <c r="A746" s="126"/>
      <c r="B746" s="127"/>
      <c r="C746" s="97"/>
      <c r="D746" s="97"/>
      <c r="E746" s="97"/>
      <c r="F746" s="96"/>
      <c r="G746" s="96"/>
      <c r="H746" s="96"/>
      <c r="I746" s="96"/>
      <c r="J746" s="96"/>
      <c r="K746" s="96"/>
      <c r="L746" s="96"/>
      <c r="M746" s="96"/>
      <c r="N746" s="96"/>
      <c r="O746" s="96"/>
      <c r="P746" s="96"/>
      <c r="Q746" s="96"/>
      <c r="R746" s="96"/>
      <c r="S746" s="96"/>
    </row>
    <row r="747" spans="1:19">
      <c r="A747" s="126"/>
      <c r="B747" s="127"/>
      <c r="C747" s="97"/>
      <c r="D747" s="97"/>
      <c r="E747" s="97"/>
      <c r="F747" s="96"/>
      <c r="G747" s="96"/>
      <c r="H747" s="96"/>
      <c r="I747" s="96"/>
      <c r="J747" s="96"/>
      <c r="K747" s="96"/>
      <c r="L747" s="96"/>
      <c r="M747" s="96"/>
      <c r="N747" s="96"/>
      <c r="O747" s="96"/>
      <c r="P747" s="96"/>
      <c r="Q747" s="96"/>
      <c r="R747" s="96"/>
      <c r="S747" s="96"/>
    </row>
    <row r="748" spans="1:19">
      <c r="A748" s="126"/>
      <c r="B748" s="127"/>
      <c r="C748" s="97"/>
      <c r="D748" s="97"/>
      <c r="E748" s="97"/>
      <c r="F748" s="96"/>
      <c r="G748" s="96"/>
      <c r="H748" s="96"/>
      <c r="I748" s="96"/>
      <c r="J748" s="96"/>
      <c r="K748" s="96"/>
      <c r="L748" s="96"/>
      <c r="M748" s="96"/>
      <c r="N748" s="96"/>
      <c r="O748" s="96"/>
      <c r="P748" s="96"/>
      <c r="Q748" s="96"/>
      <c r="R748" s="96"/>
      <c r="S748" s="96"/>
    </row>
    <row r="749" spans="1:19">
      <c r="A749" s="126"/>
      <c r="B749" s="127"/>
      <c r="C749" s="97"/>
      <c r="D749" s="97"/>
      <c r="E749" s="97"/>
      <c r="F749" s="96"/>
      <c r="G749" s="96"/>
      <c r="H749" s="96"/>
      <c r="I749" s="96"/>
      <c r="J749" s="96"/>
      <c r="K749" s="96"/>
      <c r="L749" s="96"/>
      <c r="M749" s="96"/>
      <c r="N749" s="96"/>
      <c r="O749" s="96"/>
      <c r="P749" s="96"/>
      <c r="Q749" s="96"/>
      <c r="R749" s="96"/>
      <c r="S749" s="96"/>
    </row>
    <row r="750" spans="1:19">
      <c r="A750" s="126"/>
      <c r="B750" s="127"/>
      <c r="C750" s="97"/>
      <c r="D750" s="97"/>
      <c r="E750" s="97"/>
      <c r="F750" s="96"/>
      <c r="G750" s="96"/>
      <c r="H750" s="96"/>
      <c r="I750" s="96"/>
      <c r="J750" s="96"/>
      <c r="K750" s="96"/>
      <c r="L750" s="96"/>
      <c r="M750" s="96"/>
      <c r="N750" s="96"/>
      <c r="O750" s="96"/>
      <c r="P750" s="96"/>
      <c r="Q750" s="96"/>
      <c r="R750" s="96"/>
      <c r="S750" s="96"/>
    </row>
    <row r="751" spans="1:19">
      <c r="A751" s="126"/>
      <c r="B751" s="127"/>
      <c r="C751" s="97"/>
      <c r="D751" s="97"/>
      <c r="E751" s="97"/>
      <c r="F751" s="96"/>
      <c r="G751" s="96"/>
      <c r="H751" s="96"/>
      <c r="I751" s="96"/>
      <c r="J751" s="96"/>
      <c r="K751" s="96"/>
      <c r="L751" s="96"/>
      <c r="M751" s="96"/>
      <c r="N751" s="96"/>
      <c r="O751" s="96"/>
      <c r="P751" s="96"/>
      <c r="Q751" s="96"/>
      <c r="R751" s="96"/>
      <c r="S751" s="96"/>
    </row>
    <row r="752" spans="1:19">
      <c r="A752" s="126"/>
      <c r="B752" s="127"/>
      <c r="C752" s="97"/>
      <c r="D752" s="97"/>
      <c r="E752" s="97"/>
      <c r="F752" s="96"/>
      <c r="G752" s="96"/>
      <c r="H752" s="96"/>
      <c r="I752" s="96"/>
      <c r="J752" s="96"/>
      <c r="K752" s="96"/>
      <c r="L752" s="96"/>
      <c r="M752" s="96"/>
      <c r="N752" s="96"/>
      <c r="O752" s="96"/>
      <c r="P752" s="96"/>
      <c r="Q752" s="96"/>
      <c r="R752" s="96"/>
      <c r="S752" s="96"/>
    </row>
    <row r="753" spans="1:19">
      <c r="A753" s="126"/>
      <c r="B753" s="127"/>
      <c r="C753" s="97"/>
      <c r="D753" s="97"/>
      <c r="E753" s="97"/>
      <c r="F753" s="96"/>
      <c r="G753" s="96"/>
      <c r="H753" s="96"/>
      <c r="I753" s="96"/>
      <c r="J753" s="96"/>
      <c r="K753" s="96"/>
      <c r="L753" s="96"/>
      <c r="M753" s="96"/>
      <c r="N753" s="96"/>
      <c r="O753" s="96"/>
      <c r="P753" s="96"/>
      <c r="Q753" s="96"/>
      <c r="R753" s="96"/>
      <c r="S753" s="96"/>
    </row>
    <row r="754" spans="1:19">
      <c r="A754" s="126"/>
      <c r="B754" s="127"/>
      <c r="C754" s="97"/>
      <c r="D754" s="97"/>
      <c r="E754" s="97"/>
      <c r="F754" s="96"/>
      <c r="G754" s="96"/>
      <c r="H754" s="96"/>
      <c r="I754" s="96"/>
      <c r="J754" s="96"/>
      <c r="K754" s="96"/>
      <c r="L754" s="96"/>
      <c r="M754" s="96"/>
      <c r="N754" s="96"/>
      <c r="O754" s="96"/>
      <c r="P754" s="96"/>
      <c r="Q754" s="96"/>
      <c r="R754" s="96"/>
      <c r="S754" s="96"/>
    </row>
    <row r="755" spans="1:19">
      <c r="A755" s="126"/>
      <c r="B755" s="127"/>
      <c r="C755" s="97"/>
      <c r="D755" s="97"/>
      <c r="E755" s="97"/>
      <c r="F755" s="96"/>
      <c r="G755" s="96"/>
      <c r="H755" s="96"/>
      <c r="I755" s="96"/>
      <c r="J755" s="96"/>
      <c r="K755" s="96"/>
      <c r="L755" s="96"/>
      <c r="M755" s="96"/>
      <c r="N755" s="96"/>
      <c r="O755" s="96"/>
      <c r="P755" s="96"/>
      <c r="Q755" s="96"/>
      <c r="R755" s="96"/>
      <c r="S755" s="96"/>
    </row>
    <row r="756" spans="1:19">
      <c r="A756" s="126"/>
      <c r="B756" s="127"/>
      <c r="C756" s="97"/>
      <c r="D756" s="97"/>
      <c r="E756" s="97"/>
      <c r="F756" s="96"/>
      <c r="G756" s="96"/>
      <c r="H756" s="96"/>
      <c r="I756" s="96"/>
      <c r="J756" s="96"/>
      <c r="K756" s="96"/>
      <c r="L756" s="96"/>
      <c r="M756" s="96"/>
      <c r="N756" s="96"/>
      <c r="O756" s="96"/>
      <c r="P756" s="96"/>
      <c r="Q756" s="96"/>
      <c r="R756" s="96"/>
      <c r="S756" s="96"/>
    </row>
    <row r="757" spans="1:19">
      <c r="A757" s="126"/>
      <c r="B757" s="127"/>
      <c r="C757" s="97"/>
      <c r="D757" s="97"/>
      <c r="E757" s="97"/>
      <c r="F757" s="96"/>
      <c r="G757" s="96"/>
      <c r="H757" s="96"/>
      <c r="I757" s="96"/>
      <c r="J757" s="96"/>
      <c r="K757" s="96"/>
      <c r="L757" s="96"/>
      <c r="M757" s="96"/>
      <c r="N757" s="96"/>
      <c r="O757" s="96"/>
      <c r="P757" s="96"/>
      <c r="Q757" s="96"/>
      <c r="R757" s="96"/>
      <c r="S757" s="96"/>
    </row>
    <row r="758" spans="1:19">
      <c r="A758" s="126"/>
      <c r="B758" s="127"/>
      <c r="C758" s="97"/>
      <c r="D758" s="97"/>
      <c r="E758" s="97"/>
      <c r="F758" s="96"/>
      <c r="G758" s="96"/>
      <c r="H758" s="96"/>
      <c r="I758" s="96"/>
      <c r="J758" s="96"/>
      <c r="K758" s="96"/>
      <c r="L758" s="96"/>
      <c r="M758" s="96"/>
      <c r="N758" s="96"/>
      <c r="O758" s="96"/>
      <c r="P758" s="96"/>
      <c r="Q758" s="96"/>
      <c r="R758" s="96"/>
      <c r="S758" s="96"/>
    </row>
    <row r="759" spans="1:19">
      <c r="A759" s="126"/>
      <c r="B759" s="127"/>
      <c r="C759" s="97"/>
      <c r="D759" s="97"/>
      <c r="E759" s="97"/>
      <c r="F759" s="96"/>
      <c r="G759" s="96"/>
      <c r="H759" s="96"/>
      <c r="I759" s="96"/>
      <c r="J759" s="96"/>
      <c r="K759" s="96"/>
      <c r="L759" s="96"/>
      <c r="M759" s="96"/>
      <c r="N759" s="96"/>
      <c r="O759" s="96"/>
      <c r="P759" s="96"/>
      <c r="Q759" s="96"/>
      <c r="R759" s="96"/>
      <c r="S759" s="96"/>
    </row>
    <row r="760" spans="1:19">
      <c r="A760" s="126"/>
      <c r="B760" s="127"/>
      <c r="C760" s="97"/>
      <c r="D760" s="97"/>
      <c r="E760" s="97"/>
      <c r="F760" s="96"/>
      <c r="G760" s="96"/>
      <c r="H760" s="96"/>
      <c r="I760" s="96"/>
      <c r="J760" s="96"/>
      <c r="K760" s="96"/>
      <c r="L760" s="96"/>
      <c r="M760" s="96"/>
      <c r="N760" s="96"/>
      <c r="O760" s="96"/>
      <c r="P760" s="96"/>
      <c r="Q760" s="96"/>
      <c r="R760" s="96"/>
      <c r="S760" s="96"/>
    </row>
    <row r="761" spans="1:19">
      <c r="A761" s="126"/>
      <c r="B761" s="127"/>
      <c r="C761" s="97"/>
      <c r="D761" s="97"/>
      <c r="E761" s="97"/>
      <c r="F761" s="96"/>
      <c r="G761" s="96"/>
      <c r="H761" s="96"/>
      <c r="I761" s="96"/>
      <c r="J761" s="96"/>
      <c r="K761" s="96"/>
      <c r="L761" s="96"/>
      <c r="M761" s="96"/>
      <c r="N761" s="96"/>
      <c r="O761" s="96"/>
      <c r="P761" s="96"/>
      <c r="Q761" s="96"/>
      <c r="R761" s="96"/>
      <c r="S761" s="96"/>
    </row>
    <row r="762" spans="1:19">
      <c r="A762" s="126"/>
      <c r="B762" s="127"/>
      <c r="C762" s="97"/>
      <c r="D762" s="97"/>
      <c r="E762" s="97"/>
      <c r="F762" s="96"/>
      <c r="G762" s="96"/>
      <c r="H762" s="96"/>
      <c r="I762" s="96"/>
      <c r="J762" s="96"/>
      <c r="K762" s="96"/>
      <c r="L762" s="96"/>
      <c r="M762" s="96"/>
      <c r="N762" s="96"/>
      <c r="O762" s="96"/>
      <c r="P762" s="96"/>
      <c r="Q762" s="96"/>
      <c r="R762" s="96"/>
      <c r="S762" s="96"/>
    </row>
    <row r="763" spans="1:19">
      <c r="A763" s="126"/>
      <c r="B763" s="127"/>
      <c r="C763" s="97"/>
      <c r="D763" s="97"/>
      <c r="E763" s="97"/>
      <c r="F763" s="96"/>
      <c r="G763" s="96"/>
      <c r="H763" s="96"/>
      <c r="I763" s="96"/>
      <c r="J763" s="96"/>
      <c r="K763" s="96"/>
      <c r="L763" s="96"/>
      <c r="M763" s="96"/>
      <c r="N763" s="96"/>
      <c r="O763" s="96"/>
      <c r="P763" s="96"/>
      <c r="Q763" s="96"/>
      <c r="R763" s="96"/>
      <c r="S763" s="96"/>
    </row>
    <row r="764" spans="1:19">
      <c r="A764" s="126"/>
      <c r="B764" s="127"/>
      <c r="C764" s="97"/>
      <c r="D764" s="97"/>
      <c r="E764" s="97"/>
      <c r="F764" s="96"/>
      <c r="G764" s="96"/>
      <c r="H764" s="96"/>
      <c r="I764" s="96"/>
      <c r="J764" s="96"/>
      <c r="K764" s="96"/>
      <c r="L764" s="96"/>
      <c r="M764" s="96"/>
      <c r="N764" s="96"/>
      <c r="O764" s="96"/>
      <c r="P764" s="96"/>
      <c r="Q764" s="96"/>
      <c r="R764" s="96"/>
      <c r="S764" s="96"/>
    </row>
    <row r="765" spans="1:19">
      <c r="A765" s="126"/>
      <c r="B765" s="127"/>
      <c r="C765" s="97"/>
      <c r="D765" s="97"/>
      <c r="E765" s="97"/>
      <c r="F765" s="96"/>
      <c r="G765" s="96"/>
      <c r="H765" s="96"/>
      <c r="I765" s="96"/>
      <c r="J765" s="96"/>
      <c r="K765" s="96"/>
      <c r="L765" s="96"/>
      <c r="M765" s="96"/>
      <c r="N765" s="96"/>
      <c r="O765" s="96"/>
      <c r="P765" s="96"/>
      <c r="Q765" s="96"/>
      <c r="R765" s="96"/>
      <c r="S765" s="96"/>
    </row>
    <row r="766" spans="1:19">
      <c r="A766" s="126"/>
      <c r="B766" s="127"/>
      <c r="C766" s="97"/>
      <c r="D766" s="97"/>
      <c r="E766" s="97"/>
      <c r="F766" s="96"/>
      <c r="G766" s="96"/>
      <c r="H766" s="96"/>
      <c r="I766" s="96"/>
      <c r="J766" s="96"/>
      <c r="K766" s="96"/>
      <c r="L766" s="96"/>
      <c r="M766" s="96"/>
      <c r="N766" s="96"/>
      <c r="O766" s="96"/>
      <c r="P766" s="96"/>
      <c r="Q766" s="96"/>
      <c r="R766" s="96"/>
      <c r="S766" s="96"/>
    </row>
    <row r="767" spans="1:19">
      <c r="A767" s="126"/>
      <c r="B767" s="127"/>
      <c r="C767" s="97"/>
      <c r="D767" s="97"/>
      <c r="E767" s="97"/>
      <c r="F767" s="96"/>
      <c r="G767" s="96"/>
      <c r="H767" s="96"/>
      <c r="I767" s="96"/>
      <c r="J767" s="96"/>
      <c r="K767" s="96"/>
      <c r="L767" s="96"/>
      <c r="M767" s="96"/>
      <c r="N767" s="96"/>
      <c r="O767" s="96"/>
      <c r="P767" s="96"/>
      <c r="Q767" s="96"/>
      <c r="R767" s="96"/>
      <c r="S767" s="96"/>
    </row>
    <row r="768" spans="1:19">
      <c r="A768" s="126"/>
      <c r="B768" s="127"/>
      <c r="C768" s="97"/>
      <c r="D768" s="97"/>
      <c r="E768" s="97"/>
      <c r="F768" s="96"/>
      <c r="G768" s="96"/>
      <c r="H768" s="96"/>
      <c r="I768" s="96"/>
      <c r="J768" s="96"/>
      <c r="K768" s="96"/>
      <c r="L768" s="96"/>
      <c r="M768" s="96"/>
      <c r="N768" s="96"/>
      <c r="O768" s="96"/>
      <c r="P768" s="96"/>
      <c r="Q768" s="96"/>
      <c r="R768" s="96"/>
      <c r="S768" s="96"/>
    </row>
    <row r="769" spans="1:19">
      <c r="A769" s="126"/>
      <c r="B769" s="127"/>
      <c r="C769" s="97"/>
      <c r="D769" s="97"/>
      <c r="E769" s="97"/>
      <c r="F769" s="96"/>
      <c r="G769" s="96"/>
      <c r="H769" s="96"/>
      <c r="I769" s="96"/>
      <c r="J769" s="96"/>
      <c r="K769" s="96"/>
      <c r="L769" s="96"/>
      <c r="M769" s="96"/>
      <c r="N769" s="96"/>
      <c r="O769" s="96"/>
      <c r="P769" s="96"/>
      <c r="Q769" s="96"/>
      <c r="R769" s="96"/>
      <c r="S769" s="96"/>
    </row>
    <row r="770" spans="1:19">
      <c r="A770" s="126"/>
      <c r="B770" s="127"/>
      <c r="C770" s="97"/>
      <c r="D770" s="97"/>
      <c r="E770" s="97"/>
      <c r="F770" s="96"/>
      <c r="G770" s="96"/>
      <c r="H770" s="96"/>
      <c r="I770" s="96"/>
      <c r="J770" s="96"/>
      <c r="K770" s="96"/>
      <c r="L770" s="96"/>
      <c r="M770" s="96"/>
      <c r="N770" s="96"/>
      <c r="O770" s="96"/>
      <c r="P770" s="96"/>
      <c r="Q770" s="96"/>
      <c r="R770" s="96"/>
      <c r="S770" s="96"/>
    </row>
    <row r="771" spans="1:19">
      <c r="A771" s="126"/>
      <c r="B771" s="127"/>
      <c r="C771" s="97"/>
      <c r="D771" s="97"/>
      <c r="E771" s="97"/>
      <c r="F771" s="96"/>
      <c r="G771" s="96"/>
      <c r="H771" s="96"/>
      <c r="I771" s="96"/>
      <c r="J771" s="96"/>
      <c r="K771" s="96"/>
      <c r="L771" s="96"/>
      <c r="M771" s="96"/>
      <c r="N771" s="96"/>
      <c r="O771" s="96"/>
      <c r="P771" s="96"/>
      <c r="Q771" s="96"/>
      <c r="R771" s="96"/>
      <c r="S771" s="96"/>
    </row>
    <row r="772" spans="1:19">
      <c r="A772" s="126"/>
      <c r="B772" s="127"/>
      <c r="C772" s="97"/>
      <c r="D772" s="97"/>
      <c r="E772" s="97"/>
      <c r="F772" s="96"/>
      <c r="G772" s="96"/>
      <c r="H772" s="96"/>
      <c r="I772" s="96"/>
      <c r="J772" s="96"/>
      <c r="K772" s="96"/>
      <c r="L772" s="96"/>
      <c r="M772" s="96"/>
      <c r="N772" s="96"/>
      <c r="O772" s="96"/>
      <c r="P772" s="96"/>
      <c r="Q772" s="96"/>
      <c r="R772" s="96"/>
      <c r="S772" s="96"/>
    </row>
    <row r="773" spans="1:19">
      <c r="A773" s="126"/>
      <c r="B773" s="127"/>
      <c r="C773" s="97"/>
      <c r="D773" s="97"/>
      <c r="E773" s="97"/>
      <c r="F773" s="96"/>
      <c r="G773" s="96"/>
      <c r="H773" s="96"/>
      <c r="I773" s="96"/>
      <c r="J773" s="96"/>
      <c r="K773" s="96"/>
      <c r="L773" s="96"/>
      <c r="M773" s="96"/>
      <c r="N773" s="96"/>
      <c r="O773" s="96"/>
      <c r="P773" s="96"/>
      <c r="Q773" s="96"/>
      <c r="R773" s="96"/>
      <c r="S773" s="96"/>
    </row>
    <row r="774" spans="1:19">
      <c r="A774" s="126"/>
      <c r="B774" s="127"/>
      <c r="C774" s="97"/>
      <c r="D774" s="97"/>
      <c r="E774" s="97"/>
      <c r="F774" s="96"/>
      <c r="G774" s="96"/>
      <c r="H774" s="96"/>
      <c r="I774" s="96"/>
      <c r="J774" s="96"/>
      <c r="K774" s="96"/>
      <c r="L774" s="96"/>
      <c r="M774" s="96"/>
      <c r="N774" s="96"/>
      <c r="O774" s="96"/>
      <c r="P774" s="96"/>
      <c r="Q774" s="96"/>
      <c r="R774" s="96"/>
      <c r="S774" s="96"/>
    </row>
    <row r="775" spans="1:19">
      <c r="A775" s="126"/>
      <c r="B775" s="127"/>
      <c r="C775" s="97"/>
      <c r="D775" s="97"/>
      <c r="E775" s="97"/>
      <c r="F775" s="96"/>
      <c r="G775" s="96"/>
      <c r="H775" s="96"/>
      <c r="I775" s="96"/>
      <c r="J775" s="96"/>
      <c r="K775" s="96"/>
      <c r="L775" s="96"/>
      <c r="M775" s="96"/>
      <c r="N775" s="96"/>
      <c r="O775" s="96"/>
      <c r="P775" s="96"/>
      <c r="Q775" s="96"/>
      <c r="R775" s="96"/>
      <c r="S775" s="96"/>
    </row>
    <row r="776" spans="1:19">
      <c r="A776" s="126"/>
      <c r="B776" s="127"/>
      <c r="C776" s="97"/>
      <c r="D776" s="97"/>
      <c r="E776" s="97"/>
      <c r="F776" s="96"/>
      <c r="G776" s="96"/>
      <c r="H776" s="96"/>
      <c r="I776" s="96"/>
      <c r="J776" s="96"/>
      <c r="K776" s="96"/>
      <c r="L776" s="96"/>
      <c r="M776" s="96"/>
      <c r="N776" s="96"/>
      <c r="O776" s="96"/>
      <c r="P776" s="96"/>
      <c r="Q776" s="96"/>
      <c r="R776" s="96"/>
      <c r="S776" s="96"/>
    </row>
    <row r="777" spans="1:19">
      <c r="A777" s="126"/>
      <c r="B777" s="127"/>
      <c r="C777" s="97"/>
      <c r="D777" s="97"/>
      <c r="E777" s="97"/>
      <c r="F777" s="96"/>
      <c r="G777" s="96"/>
      <c r="H777" s="96"/>
      <c r="I777" s="96"/>
      <c r="J777" s="96"/>
      <c r="K777" s="96"/>
      <c r="L777" s="96"/>
      <c r="M777" s="96"/>
      <c r="N777" s="96"/>
      <c r="O777" s="96"/>
      <c r="P777" s="96"/>
      <c r="Q777" s="96"/>
      <c r="R777" s="96"/>
      <c r="S777" s="96"/>
    </row>
    <row r="778" spans="1:19">
      <c r="A778" s="126"/>
      <c r="B778" s="127"/>
      <c r="C778" s="97"/>
      <c r="D778" s="97"/>
      <c r="E778" s="97"/>
      <c r="F778" s="96"/>
      <c r="G778" s="96"/>
      <c r="H778" s="96"/>
      <c r="I778" s="96"/>
      <c r="J778" s="96"/>
      <c r="K778" s="96"/>
      <c r="L778" s="96"/>
      <c r="M778" s="96"/>
      <c r="N778" s="96"/>
      <c r="O778" s="96"/>
      <c r="P778" s="96"/>
      <c r="Q778" s="96"/>
      <c r="R778" s="96"/>
      <c r="S778" s="96"/>
    </row>
    <row r="779" spans="1:19">
      <c r="A779" s="126"/>
      <c r="B779" s="127"/>
      <c r="C779" s="97"/>
      <c r="D779" s="97"/>
      <c r="E779" s="97"/>
      <c r="F779" s="96"/>
      <c r="G779" s="96"/>
      <c r="H779" s="96"/>
      <c r="I779" s="96"/>
      <c r="J779" s="96"/>
      <c r="K779" s="96"/>
      <c r="L779" s="96"/>
      <c r="M779" s="96"/>
      <c r="N779" s="96"/>
      <c r="O779" s="96"/>
      <c r="P779" s="96"/>
      <c r="Q779" s="96"/>
      <c r="R779" s="96"/>
      <c r="S779" s="96"/>
    </row>
    <row r="780" spans="1:19">
      <c r="A780" s="126"/>
      <c r="B780" s="127"/>
      <c r="C780" s="97"/>
      <c r="D780" s="97"/>
      <c r="E780" s="97"/>
      <c r="F780" s="96"/>
      <c r="G780" s="96"/>
      <c r="H780" s="96"/>
      <c r="I780" s="96"/>
      <c r="J780" s="96"/>
      <c r="K780" s="96"/>
      <c r="L780" s="96"/>
      <c r="M780" s="96"/>
      <c r="N780" s="96"/>
      <c r="O780" s="96"/>
      <c r="P780" s="96"/>
      <c r="Q780" s="96"/>
      <c r="R780" s="96"/>
      <c r="S780" s="96"/>
    </row>
    <row r="781" spans="1:19">
      <c r="A781" s="126"/>
      <c r="B781" s="127"/>
      <c r="C781" s="97"/>
      <c r="D781" s="97"/>
      <c r="E781" s="97"/>
      <c r="F781" s="96"/>
      <c r="G781" s="96"/>
      <c r="H781" s="96"/>
      <c r="I781" s="96"/>
      <c r="J781" s="96"/>
      <c r="K781" s="96"/>
      <c r="L781" s="96"/>
      <c r="M781" s="96"/>
      <c r="N781" s="96"/>
      <c r="O781" s="96"/>
      <c r="P781" s="96"/>
      <c r="Q781" s="96"/>
      <c r="R781" s="96"/>
      <c r="S781" s="96"/>
    </row>
    <row r="782" spans="1:19">
      <c r="A782" s="126"/>
      <c r="B782" s="127"/>
      <c r="C782" s="97"/>
      <c r="D782" s="97"/>
      <c r="E782" s="97"/>
      <c r="F782" s="96"/>
      <c r="G782" s="96"/>
      <c r="H782" s="96"/>
      <c r="I782" s="96"/>
      <c r="J782" s="96"/>
      <c r="K782" s="96"/>
      <c r="L782" s="96"/>
      <c r="M782" s="96"/>
      <c r="N782" s="96"/>
      <c r="O782" s="96"/>
      <c r="P782" s="96"/>
      <c r="Q782" s="96"/>
      <c r="R782" s="96"/>
      <c r="S782" s="96"/>
    </row>
    <row r="783" spans="1:19">
      <c r="A783" s="126"/>
      <c r="B783" s="127"/>
      <c r="C783" s="97"/>
      <c r="D783" s="97"/>
      <c r="E783" s="97"/>
      <c r="F783" s="96"/>
      <c r="G783" s="96"/>
      <c r="H783" s="96"/>
      <c r="I783" s="96"/>
      <c r="J783" s="96"/>
      <c r="K783" s="96"/>
      <c r="L783" s="96"/>
      <c r="M783" s="96"/>
      <c r="N783" s="96"/>
      <c r="O783" s="96"/>
      <c r="P783" s="96"/>
      <c r="Q783" s="96"/>
      <c r="R783" s="96"/>
      <c r="S783" s="96"/>
    </row>
    <row r="784" spans="1:19">
      <c r="A784" s="126"/>
      <c r="B784" s="127"/>
      <c r="C784" s="97"/>
      <c r="D784" s="97"/>
      <c r="E784" s="97"/>
      <c r="F784" s="96"/>
      <c r="G784" s="96"/>
      <c r="H784" s="96"/>
      <c r="I784" s="96"/>
      <c r="J784" s="96"/>
      <c r="K784" s="96"/>
      <c r="L784" s="96"/>
      <c r="M784" s="96"/>
      <c r="N784" s="96"/>
      <c r="O784" s="96"/>
      <c r="P784" s="96"/>
      <c r="Q784" s="96"/>
      <c r="R784" s="96"/>
      <c r="S784" s="96"/>
    </row>
    <row r="785" spans="1:19">
      <c r="A785" s="126"/>
      <c r="B785" s="127"/>
      <c r="C785" s="97"/>
      <c r="D785" s="97"/>
      <c r="E785" s="97"/>
      <c r="F785" s="96"/>
      <c r="G785" s="96"/>
      <c r="H785" s="96"/>
      <c r="I785" s="96"/>
      <c r="J785" s="96"/>
      <c r="K785" s="96"/>
      <c r="L785" s="96"/>
      <c r="M785" s="96"/>
      <c r="N785" s="96"/>
      <c r="O785" s="96"/>
      <c r="P785" s="96"/>
      <c r="Q785" s="96"/>
      <c r="R785" s="96"/>
      <c r="S785" s="96"/>
    </row>
    <row r="786" spans="1:19">
      <c r="A786" s="126"/>
      <c r="B786" s="127"/>
      <c r="C786" s="97"/>
      <c r="D786" s="97"/>
      <c r="E786" s="97"/>
      <c r="F786" s="96"/>
      <c r="G786" s="96"/>
      <c r="H786" s="96"/>
      <c r="I786" s="96"/>
      <c r="J786" s="96"/>
      <c r="K786" s="96"/>
      <c r="L786" s="96"/>
      <c r="M786" s="96"/>
      <c r="N786" s="96"/>
      <c r="O786" s="96"/>
      <c r="P786" s="96"/>
      <c r="Q786" s="96"/>
      <c r="R786" s="96"/>
      <c r="S786" s="96"/>
    </row>
    <row r="787" spans="1:19">
      <c r="A787" s="126"/>
      <c r="B787" s="127"/>
      <c r="C787" s="97"/>
      <c r="D787" s="97"/>
      <c r="E787" s="97"/>
      <c r="F787" s="96"/>
      <c r="G787" s="96"/>
      <c r="H787" s="96"/>
      <c r="I787" s="96"/>
      <c r="J787" s="96"/>
      <c r="K787" s="96"/>
      <c r="L787" s="96"/>
      <c r="M787" s="96"/>
      <c r="N787" s="96"/>
      <c r="O787" s="96"/>
      <c r="P787" s="96"/>
      <c r="Q787" s="96"/>
      <c r="R787" s="96"/>
      <c r="S787" s="96"/>
    </row>
    <row r="788" spans="1:19">
      <c r="A788" s="126"/>
      <c r="B788" s="127"/>
      <c r="C788" s="97"/>
      <c r="D788" s="97"/>
      <c r="E788" s="97"/>
      <c r="F788" s="96"/>
      <c r="G788" s="96"/>
      <c r="H788" s="96"/>
      <c r="I788" s="96"/>
      <c r="J788" s="96"/>
      <c r="K788" s="96"/>
      <c r="L788" s="96"/>
      <c r="M788" s="96"/>
      <c r="N788" s="96"/>
      <c r="O788" s="96"/>
      <c r="P788" s="96"/>
      <c r="Q788" s="96"/>
      <c r="R788" s="96"/>
      <c r="S788" s="96"/>
    </row>
    <row r="789" spans="1:19">
      <c r="A789" s="126"/>
      <c r="B789" s="127"/>
      <c r="C789" s="97"/>
      <c r="D789" s="97"/>
      <c r="E789" s="97"/>
      <c r="F789" s="96"/>
      <c r="G789" s="96"/>
      <c r="H789" s="96"/>
      <c r="I789" s="96"/>
      <c r="J789" s="96"/>
      <c r="K789" s="96"/>
      <c r="L789" s="96"/>
      <c r="M789" s="96"/>
      <c r="N789" s="96"/>
      <c r="O789" s="96"/>
      <c r="P789" s="96"/>
      <c r="Q789" s="96"/>
      <c r="R789" s="96"/>
      <c r="S789" s="96"/>
    </row>
    <row r="790" spans="1:19">
      <c r="A790" s="126"/>
      <c r="B790" s="127"/>
      <c r="C790" s="97"/>
      <c r="D790" s="97"/>
      <c r="E790" s="97"/>
      <c r="F790" s="96"/>
      <c r="G790" s="96"/>
      <c r="H790" s="96"/>
      <c r="I790" s="96"/>
      <c r="J790" s="96"/>
      <c r="K790" s="96"/>
      <c r="L790" s="96"/>
      <c r="M790" s="96"/>
      <c r="N790" s="96"/>
      <c r="O790" s="96"/>
      <c r="P790" s="96"/>
      <c r="Q790" s="96"/>
      <c r="R790" s="96"/>
      <c r="S790" s="96"/>
    </row>
    <row r="791" spans="1:19">
      <c r="A791" s="126"/>
      <c r="B791" s="127"/>
      <c r="C791" s="97"/>
      <c r="D791" s="97"/>
      <c r="E791" s="97"/>
      <c r="F791" s="96"/>
      <c r="G791" s="96"/>
      <c r="H791" s="96"/>
      <c r="I791" s="96"/>
      <c r="J791" s="96"/>
      <c r="K791" s="96"/>
      <c r="L791" s="96"/>
      <c r="M791" s="96"/>
      <c r="N791" s="96"/>
      <c r="O791" s="96"/>
      <c r="P791" s="96"/>
      <c r="Q791" s="96"/>
      <c r="R791" s="96"/>
      <c r="S791" s="96"/>
    </row>
    <row r="792" spans="1:19">
      <c r="A792" s="126"/>
      <c r="B792" s="127"/>
      <c r="C792" s="97"/>
      <c r="D792" s="97"/>
      <c r="E792" s="97"/>
      <c r="F792" s="96"/>
      <c r="G792" s="96"/>
      <c r="H792" s="96"/>
      <c r="I792" s="96"/>
      <c r="J792" s="96"/>
      <c r="K792" s="96"/>
      <c r="L792" s="96"/>
      <c r="M792" s="96"/>
      <c r="N792" s="96"/>
      <c r="O792" s="96"/>
      <c r="P792" s="96"/>
      <c r="Q792" s="96"/>
      <c r="R792" s="96"/>
      <c r="S792" s="96"/>
    </row>
    <row r="793" spans="1:19">
      <c r="A793" s="126"/>
      <c r="B793" s="127"/>
      <c r="C793" s="97"/>
      <c r="D793" s="97"/>
      <c r="E793" s="97"/>
      <c r="F793" s="96"/>
      <c r="G793" s="96"/>
      <c r="H793" s="96"/>
      <c r="I793" s="96"/>
      <c r="J793" s="96"/>
      <c r="K793" s="96"/>
      <c r="L793" s="96"/>
      <c r="M793" s="96"/>
      <c r="N793" s="96"/>
      <c r="O793" s="96"/>
      <c r="P793" s="96"/>
      <c r="Q793" s="96"/>
      <c r="R793" s="96"/>
      <c r="S793" s="96"/>
    </row>
    <row r="794" spans="1:19">
      <c r="A794" s="126"/>
      <c r="B794" s="127"/>
      <c r="C794" s="97"/>
      <c r="D794" s="97"/>
      <c r="E794" s="97"/>
      <c r="F794" s="96"/>
      <c r="G794" s="96"/>
      <c r="H794" s="96"/>
      <c r="I794" s="96"/>
      <c r="J794" s="96"/>
      <c r="K794" s="96"/>
      <c r="L794" s="96"/>
      <c r="M794" s="96"/>
      <c r="N794" s="96"/>
      <c r="O794" s="96"/>
      <c r="P794" s="96"/>
      <c r="Q794" s="96"/>
      <c r="R794" s="96"/>
      <c r="S794" s="96"/>
    </row>
    <row r="795" spans="1:19">
      <c r="A795" s="126"/>
      <c r="B795" s="127"/>
      <c r="C795" s="97"/>
      <c r="D795" s="97"/>
      <c r="E795" s="97"/>
      <c r="F795" s="96"/>
      <c r="G795" s="96"/>
      <c r="H795" s="96"/>
      <c r="I795" s="96"/>
      <c r="J795" s="96"/>
      <c r="K795" s="96"/>
      <c r="L795" s="96"/>
      <c r="M795" s="96"/>
      <c r="N795" s="96"/>
      <c r="O795" s="96"/>
      <c r="P795" s="96"/>
      <c r="Q795" s="96"/>
      <c r="R795" s="96"/>
      <c r="S795" s="96"/>
    </row>
    <row r="796" spans="1:19">
      <c r="A796" s="126"/>
      <c r="B796" s="127"/>
      <c r="C796" s="97"/>
      <c r="D796" s="97"/>
      <c r="E796" s="97"/>
      <c r="F796" s="96"/>
      <c r="G796" s="96"/>
      <c r="H796" s="96"/>
      <c r="I796" s="96"/>
      <c r="J796" s="96"/>
      <c r="K796" s="96"/>
      <c r="L796" s="96"/>
      <c r="M796" s="96"/>
      <c r="N796" s="96"/>
      <c r="O796" s="96"/>
      <c r="P796" s="96"/>
      <c r="Q796" s="96"/>
      <c r="R796" s="96"/>
      <c r="S796" s="96"/>
    </row>
    <row r="797" spans="1:19">
      <c r="A797" s="126"/>
      <c r="B797" s="127"/>
      <c r="C797" s="97"/>
      <c r="D797" s="97"/>
      <c r="E797" s="97"/>
      <c r="F797" s="96"/>
      <c r="G797" s="96"/>
      <c r="H797" s="96"/>
      <c r="I797" s="96"/>
      <c r="J797" s="96"/>
      <c r="K797" s="96"/>
      <c r="L797" s="96"/>
      <c r="M797" s="96"/>
      <c r="N797" s="96"/>
      <c r="O797" s="96"/>
      <c r="P797" s="96"/>
      <c r="Q797" s="96"/>
      <c r="R797" s="96"/>
      <c r="S797" s="96"/>
    </row>
    <row r="798" spans="1:19">
      <c r="A798" s="126"/>
      <c r="B798" s="127"/>
      <c r="C798" s="97"/>
      <c r="D798" s="97"/>
      <c r="E798" s="97"/>
      <c r="F798" s="96"/>
      <c r="G798" s="96"/>
      <c r="H798" s="96"/>
      <c r="I798" s="96"/>
      <c r="J798" s="96"/>
      <c r="K798" s="96"/>
      <c r="L798" s="96"/>
      <c r="M798" s="96"/>
      <c r="N798" s="96"/>
      <c r="O798" s="96"/>
      <c r="P798" s="96"/>
      <c r="Q798" s="96"/>
      <c r="R798" s="96"/>
      <c r="S798" s="96"/>
    </row>
    <row r="799" spans="1:19">
      <c r="A799" s="126"/>
      <c r="B799" s="127"/>
      <c r="C799" s="97"/>
      <c r="D799" s="97"/>
      <c r="E799" s="97"/>
      <c r="F799" s="96"/>
      <c r="G799" s="96"/>
      <c r="H799" s="96"/>
      <c r="I799" s="96"/>
      <c r="J799" s="96"/>
      <c r="K799" s="96"/>
      <c r="L799" s="96"/>
      <c r="M799" s="96"/>
      <c r="N799" s="96"/>
      <c r="O799" s="96"/>
      <c r="P799" s="96"/>
      <c r="Q799" s="96"/>
      <c r="R799" s="96"/>
      <c r="S799" s="96"/>
    </row>
    <row r="800" spans="1:19">
      <c r="A800" s="126"/>
      <c r="B800" s="127"/>
      <c r="C800" s="97"/>
      <c r="D800" s="97"/>
      <c r="E800" s="97"/>
      <c r="F800" s="96"/>
      <c r="G800" s="96"/>
      <c r="H800" s="96"/>
      <c r="I800" s="96"/>
      <c r="J800" s="96"/>
      <c r="K800" s="96"/>
      <c r="L800" s="96"/>
      <c r="M800" s="96"/>
      <c r="N800" s="96"/>
      <c r="O800" s="96"/>
      <c r="P800" s="96"/>
      <c r="Q800" s="96"/>
      <c r="R800" s="96"/>
      <c r="S800" s="96"/>
    </row>
    <row r="801" spans="1:19">
      <c r="A801" s="126"/>
      <c r="B801" s="127"/>
      <c r="C801" s="97"/>
      <c r="D801" s="97"/>
      <c r="E801" s="97"/>
      <c r="F801" s="96"/>
      <c r="G801" s="96"/>
      <c r="H801" s="96"/>
      <c r="I801" s="96"/>
      <c r="J801" s="96"/>
      <c r="K801" s="96"/>
      <c r="L801" s="96"/>
      <c r="M801" s="96"/>
      <c r="N801" s="96"/>
      <c r="O801" s="96"/>
      <c r="P801" s="96"/>
      <c r="Q801" s="96"/>
      <c r="R801" s="96"/>
      <c r="S801" s="96"/>
    </row>
    <row r="802" spans="1:19">
      <c r="A802" s="126"/>
      <c r="B802" s="127"/>
      <c r="C802" s="97"/>
      <c r="D802" s="97"/>
      <c r="E802" s="97"/>
      <c r="F802" s="96"/>
      <c r="G802" s="96"/>
      <c r="H802" s="96"/>
      <c r="I802" s="96"/>
      <c r="J802" s="96"/>
      <c r="K802" s="96"/>
      <c r="L802" s="96"/>
      <c r="M802" s="96"/>
      <c r="N802" s="96"/>
      <c r="O802" s="96"/>
      <c r="P802" s="96"/>
      <c r="Q802" s="96"/>
      <c r="R802" s="96"/>
      <c r="S802" s="96"/>
    </row>
    <row r="803" spans="1:19">
      <c r="A803" s="126"/>
      <c r="B803" s="127"/>
      <c r="C803" s="97"/>
      <c r="D803" s="97"/>
      <c r="E803" s="97"/>
      <c r="F803" s="96"/>
      <c r="G803" s="96"/>
      <c r="H803" s="96"/>
      <c r="I803" s="96"/>
      <c r="J803" s="96"/>
      <c r="K803" s="96"/>
      <c r="L803" s="96"/>
      <c r="M803" s="96"/>
      <c r="N803" s="96"/>
      <c r="O803" s="96"/>
      <c r="P803" s="96"/>
      <c r="Q803" s="96"/>
      <c r="R803" s="96"/>
      <c r="S803" s="96"/>
    </row>
    <row r="804" spans="1:19">
      <c r="A804" s="126"/>
      <c r="B804" s="127"/>
      <c r="C804" s="97"/>
      <c r="D804" s="97"/>
      <c r="E804" s="97"/>
      <c r="F804" s="96"/>
      <c r="G804" s="96"/>
      <c r="H804" s="96"/>
      <c r="I804" s="96"/>
      <c r="J804" s="96"/>
      <c r="K804" s="96"/>
      <c r="L804" s="96"/>
      <c r="M804" s="96"/>
      <c r="N804" s="96"/>
      <c r="O804" s="96"/>
      <c r="P804" s="96"/>
      <c r="Q804" s="96"/>
      <c r="R804" s="96"/>
      <c r="S804" s="96"/>
    </row>
    <row r="805" spans="1:19">
      <c r="A805" s="126"/>
      <c r="B805" s="127"/>
      <c r="C805" s="97"/>
      <c r="D805" s="97"/>
      <c r="E805" s="97"/>
      <c r="F805" s="96"/>
      <c r="G805" s="96"/>
      <c r="H805" s="96"/>
      <c r="I805" s="96"/>
      <c r="J805" s="96"/>
      <c r="K805" s="96"/>
      <c r="L805" s="96"/>
      <c r="M805" s="96"/>
      <c r="N805" s="96"/>
      <c r="O805" s="96"/>
      <c r="P805" s="96"/>
      <c r="Q805" s="96"/>
      <c r="R805" s="96"/>
      <c r="S805" s="96"/>
    </row>
    <row r="806" spans="1:19">
      <c r="A806" s="126"/>
      <c r="B806" s="127"/>
      <c r="C806" s="97"/>
      <c r="D806" s="97"/>
      <c r="E806" s="97"/>
      <c r="F806" s="96"/>
      <c r="G806" s="96"/>
      <c r="H806" s="96"/>
      <c r="I806" s="96"/>
      <c r="J806" s="96"/>
      <c r="K806" s="96"/>
      <c r="L806" s="96"/>
      <c r="M806" s="96"/>
      <c r="N806" s="96"/>
      <c r="O806" s="96"/>
      <c r="P806" s="96"/>
      <c r="Q806" s="96"/>
      <c r="R806" s="96"/>
      <c r="S806" s="96"/>
    </row>
    <row r="807" spans="1:19">
      <c r="A807" s="126"/>
      <c r="B807" s="127"/>
      <c r="C807" s="97"/>
      <c r="D807" s="97"/>
      <c r="E807" s="97"/>
      <c r="F807" s="96"/>
      <c r="G807" s="96"/>
      <c r="H807" s="96"/>
      <c r="I807" s="96"/>
      <c r="J807" s="96"/>
      <c r="K807" s="96"/>
      <c r="L807" s="96"/>
      <c r="M807" s="96"/>
      <c r="N807" s="96"/>
      <c r="O807" s="96"/>
      <c r="P807" s="96"/>
      <c r="Q807" s="96"/>
      <c r="R807" s="96"/>
      <c r="S807" s="96"/>
    </row>
    <row r="808" spans="1:19">
      <c r="A808" s="126"/>
      <c r="B808" s="127"/>
      <c r="C808" s="97"/>
      <c r="D808" s="97"/>
      <c r="E808" s="97"/>
      <c r="F808" s="96"/>
      <c r="G808" s="96"/>
      <c r="H808" s="96"/>
      <c r="I808" s="96"/>
      <c r="J808" s="96"/>
      <c r="K808" s="96"/>
      <c r="L808" s="96"/>
      <c r="M808" s="96"/>
      <c r="N808" s="96"/>
      <c r="O808" s="96"/>
      <c r="P808" s="96"/>
      <c r="Q808" s="96"/>
      <c r="R808" s="96"/>
      <c r="S808" s="96"/>
    </row>
    <row r="809" spans="1:19">
      <c r="A809" s="126"/>
      <c r="B809" s="127"/>
      <c r="C809" s="97"/>
      <c r="D809" s="97"/>
      <c r="E809" s="97"/>
      <c r="F809" s="96"/>
      <c r="G809" s="96"/>
      <c r="H809" s="96"/>
      <c r="I809" s="96"/>
      <c r="J809" s="96"/>
      <c r="K809" s="96"/>
      <c r="L809" s="96"/>
      <c r="M809" s="96"/>
      <c r="N809" s="96"/>
      <c r="O809" s="96"/>
      <c r="P809" s="96"/>
      <c r="Q809" s="96"/>
      <c r="R809" s="96"/>
      <c r="S809" s="96"/>
    </row>
    <row r="810" spans="1:19">
      <c r="A810" s="126"/>
      <c r="B810" s="127"/>
      <c r="C810" s="97"/>
      <c r="D810" s="97"/>
      <c r="E810" s="97"/>
      <c r="F810" s="96"/>
      <c r="G810" s="96"/>
      <c r="H810" s="96"/>
      <c r="I810" s="96"/>
      <c r="J810" s="96"/>
      <c r="K810" s="96"/>
      <c r="L810" s="96"/>
      <c r="M810" s="96"/>
      <c r="N810" s="96"/>
      <c r="O810" s="96"/>
      <c r="P810" s="96"/>
      <c r="Q810" s="96"/>
      <c r="R810" s="96"/>
      <c r="S810" s="96"/>
    </row>
    <row r="811" spans="1:19">
      <c r="A811" s="126"/>
      <c r="B811" s="127"/>
      <c r="C811" s="97"/>
      <c r="D811" s="97"/>
      <c r="E811" s="97"/>
      <c r="F811" s="96"/>
      <c r="G811" s="96"/>
      <c r="H811" s="96"/>
      <c r="I811" s="96"/>
      <c r="J811" s="96"/>
      <c r="K811" s="96"/>
      <c r="L811" s="96"/>
      <c r="M811" s="96"/>
      <c r="N811" s="96"/>
      <c r="O811" s="96"/>
      <c r="P811" s="96"/>
      <c r="Q811" s="96"/>
      <c r="R811" s="96"/>
      <c r="S811" s="96"/>
    </row>
    <row r="812" spans="1:19">
      <c r="A812" s="126"/>
      <c r="B812" s="127"/>
      <c r="C812" s="97"/>
      <c r="D812" s="97"/>
      <c r="E812" s="97"/>
      <c r="F812" s="96"/>
      <c r="G812" s="96"/>
      <c r="H812" s="96"/>
      <c r="I812" s="96"/>
      <c r="J812" s="96"/>
      <c r="K812" s="96"/>
      <c r="L812" s="96"/>
      <c r="M812" s="96"/>
      <c r="N812" s="96"/>
      <c r="O812" s="96"/>
      <c r="P812" s="96"/>
      <c r="Q812" s="96"/>
      <c r="R812" s="96"/>
      <c r="S812" s="96"/>
    </row>
    <row r="813" spans="1:19">
      <c r="A813" s="126"/>
      <c r="B813" s="127"/>
      <c r="C813" s="97"/>
      <c r="D813" s="97"/>
      <c r="E813" s="97"/>
      <c r="F813" s="96"/>
      <c r="G813" s="96"/>
      <c r="H813" s="96"/>
      <c r="I813" s="96"/>
      <c r="J813" s="96"/>
      <c r="K813" s="96"/>
      <c r="L813" s="96"/>
      <c r="M813" s="96"/>
      <c r="N813" s="96"/>
      <c r="O813" s="96"/>
      <c r="P813" s="96"/>
      <c r="Q813" s="96"/>
      <c r="R813" s="96"/>
      <c r="S813" s="96"/>
    </row>
    <row r="814" spans="1:19">
      <c r="A814" s="126"/>
      <c r="B814" s="127"/>
      <c r="C814" s="97"/>
      <c r="D814" s="97"/>
      <c r="E814" s="97"/>
      <c r="F814" s="96"/>
      <c r="G814" s="96"/>
      <c r="H814" s="96"/>
      <c r="I814" s="96"/>
      <c r="J814" s="96"/>
      <c r="K814" s="96"/>
      <c r="L814" s="96"/>
      <c r="M814" s="96"/>
      <c r="N814" s="96"/>
      <c r="O814" s="96"/>
      <c r="P814" s="96"/>
      <c r="Q814" s="96"/>
      <c r="R814" s="96"/>
      <c r="S814" s="96"/>
    </row>
    <row r="815" spans="1:19">
      <c r="A815" s="126"/>
      <c r="B815" s="127"/>
      <c r="C815" s="97"/>
      <c r="D815" s="97"/>
      <c r="E815" s="97"/>
      <c r="F815" s="96"/>
      <c r="G815" s="96"/>
      <c r="H815" s="96"/>
      <c r="I815" s="96"/>
      <c r="J815" s="96"/>
      <c r="K815" s="96"/>
      <c r="L815" s="96"/>
      <c r="M815" s="96"/>
      <c r="N815" s="96"/>
      <c r="O815" s="96"/>
      <c r="P815" s="96"/>
      <c r="Q815" s="96"/>
      <c r="R815" s="96"/>
      <c r="S815" s="96"/>
    </row>
    <row r="816" spans="1:19">
      <c r="A816" s="126"/>
      <c r="B816" s="127"/>
      <c r="C816" s="97"/>
      <c r="D816" s="97"/>
      <c r="E816" s="97"/>
      <c r="F816" s="96"/>
      <c r="G816" s="96"/>
      <c r="H816" s="96"/>
      <c r="I816" s="96"/>
      <c r="J816" s="96"/>
      <c r="K816" s="96"/>
      <c r="L816" s="96"/>
      <c r="M816" s="96"/>
      <c r="N816" s="96"/>
      <c r="O816" s="96"/>
      <c r="P816" s="96"/>
      <c r="Q816" s="96"/>
      <c r="R816" s="96"/>
      <c r="S816" s="96"/>
    </row>
    <row r="817" spans="1:19">
      <c r="A817" s="126"/>
      <c r="B817" s="127"/>
      <c r="C817" s="97"/>
      <c r="D817" s="97"/>
      <c r="E817" s="97"/>
      <c r="F817" s="96"/>
      <c r="G817" s="96"/>
      <c r="H817" s="96"/>
      <c r="I817" s="96"/>
      <c r="J817" s="96"/>
      <c r="K817" s="96"/>
      <c r="L817" s="96"/>
      <c r="M817" s="96"/>
      <c r="N817" s="96"/>
      <c r="O817" s="96"/>
      <c r="P817" s="96"/>
      <c r="Q817" s="96"/>
      <c r="R817" s="96"/>
      <c r="S817" s="96"/>
    </row>
    <row r="818" spans="1:19">
      <c r="A818" s="126"/>
      <c r="B818" s="127"/>
      <c r="C818" s="97"/>
      <c r="D818" s="97"/>
      <c r="E818" s="97"/>
      <c r="F818" s="96"/>
      <c r="G818" s="96"/>
      <c r="H818" s="96"/>
      <c r="I818" s="96"/>
      <c r="J818" s="96"/>
      <c r="K818" s="96"/>
      <c r="L818" s="96"/>
      <c r="M818" s="96"/>
      <c r="N818" s="96"/>
      <c r="O818" s="96"/>
      <c r="P818" s="96"/>
      <c r="Q818" s="96"/>
      <c r="R818" s="96"/>
      <c r="S818" s="96"/>
    </row>
    <row r="819" spans="1:19">
      <c r="A819" s="126"/>
      <c r="B819" s="127"/>
      <c r="C819" s="97"/>
      <c r="D819" s="97"/>
      <c r="E819" s="97"/>
      <c r="F819" s="96"/>
      <c r="G819" s="96"/>
      <c r="H819" s="96"/>
      <c r="I819" s="96"/>
      <c r="J819" s="96"/>
      <c r="K819" s="96"/>
      <c r="L819" s="96"/>
      <c r="M819" s="96"/>
      <c r="N819" s="96"/>
      <c r="O819" s="96"/>
      <c r="P819" s="96"/>
      <c r="Q819" s="96"/>
      <c r="R819" s="96"/>
      <c r="S819" s="96"/>
    </row>
    <row r="820" spans="1:19">
      <c r="A820" s="126"/>
      <c r="B820" s="127"/>
      <c r="C820" s="97"/>
      <c r="D820" s="97"/>
      <c r="E820" s="97"/>
      <c r="F820" s="96"/>
      <c r="G820" s="96"/>
      <c r="H820" s="96"/>
      <c r="I820" s="96"/>
      <c r="J820" s="96"/>
      <c r="K820" s="96"/>
      <c r="L820" s="96"/>
      <c r="M820" s="96"/>
      <c r="N820" s="96"/>
      <c r="O820" s="96"/>
      <c r="P820" s="96"/>
      <c r="Q820" s="96"/>
      <c r="R820" s="96"/>
      <c r="S820" s="96"/>
    </row>
    <row r="821" spans="1:19">
      <c r="A821" s="126"/>
      <c r="B821" s="127"/>
      <c r="C821" s="97"/>
      <c r="D821" s="97"/>
      <c r="E821" s="97"/>
      <c r="F821" s="96"/>
      <c r="G821" s="96"/>
      <c r="H821" s="96"/>
      <c r="I821" s="96"/>
      <c r="J821" s="96"/>
      <c r="K821" s="96"/>
      <c r="L821" s="96"/>
      <c r="M821" s="96"/>
      <c r="N821" s="96"/>
      <c r="O821" s="96"/>
      <c r="P821" s="96"/>
      <c r="Q821" s="96"/>
      <c r="R821" s="96"/>
      <c r="S821" s="96"/>
    </row>
    <row r="822" spans="1:19">
      <c r="A822" s="126"/>
      <c r="B822" s="127"/>
      <c r="C822" s="97"/>
      <c r="D822" s="97"/>
      <c r="E822" s="97"/>
      <c r="F822" s="96"/>
      <c r="G822" s="96"/>
      <c r="H822" s="96"/>
      <c r="I822" s="96"/>
      <c r="J822" s="96"/>
      <c r="K822" s="96"/>
      <c r="L822" s="96"/>
      <c r="M822" s="96"/>
      <c r="N822" s="96"/>
      <c r="O822" s="96"/>
      <c r="P822" s="96"/>
      <c r="Q822" s="96"/>
      <c r="R822" s="96"/>
      <c r="S822" s="96"/>
    </row>
    <row r="823" spans="1:19">
      <c r="A823" s="126"/>
      <c r="B823" s="127"/>
      <c r="C823" s="97"/>
      <c r="D823" s="97"/>
      <c r="E823" s="97"/>
      <c r="F823" s="96"/>
      <c r="G823" s="96"/>
      <c r="H823" s="96"/>
      <c r="I823" s="96"/>
      <c r="J823" s="96"/>
      <c r="K823" s="96"/>
      <c r="L823" s="96"/>
      <c r="M823" s="96"/>
      <c r="N823" s="96"/>
      <c r="O823" s="96"/>
      <c r="P823" s="96"/>
      <c r="Q823" s="96"/>
      <c r="R823" s="96"/>
      <c r="S823" s="96"/>
    </row>
    <row r="824" spans="1:19">
      <c r="A824" s="126"/>
      <c r="B824" s="127"/>
      <c r="C824" s="97"/>
      <c r="D824" s="97"/>
      <c r="E824" s="97"/>
      <c r="F824" s="96"/>
      <c r="G824" s="96"/>
      <c r="H824" s="96"/>
      <c r="I824" s="96"/>
      <c r="J824" s="96"/>
      <c r="K824" s="96"/>
      <c r="L824" s="96"/>
      <c r="M824" s="96"/>
      <c r="N824" s="96"/>
      <c r="O824" s="96"/>
      <c r="P824" s="96"/>
      <c r="Q824" s="96"/>
      <c r="R824" s="96"/>
      <c r="S824" s="96"/>
    </row>
    <row r="825" spans="1:19">
      <c r="A825" s="126"/>
      <c r="B825" s="127"/>
      <c r="C825" s="97"/>
      <c r="D825" s="97"/>
      <c r="E825" s="97"/>
      <c r="F825" s="96"/>
      <c r="G825" s="96"/>
      <c r="H825" s="96"/>
      <c r="I825" s="96"/>
      <c r="J825" s="96"/>
      <c r="K825" s="96"/>
      <c r="L825" s="96"/>
      <c r="M825" s="96"/>
      <c r="N825" s="96"/>
      <c r="O825" s="96"/>
      <c r="P825" s="96"/>
      <c r="Q825" s="96"/>
      <c r="R825" s="96"/>
      <c r="S825" s="96"/>
    </row>
    <row r="826" spans="1:19">
      <c r="A826" s="126"/>
      <c r="B826" s="127"/>
      <c r="C826" s="97"/>
      <c r="D826" s="97"/>
      <c r="E826" s="97"/>
      <c r="F826" s="96"/>
      <c r="G826" s="96"/>
      <c r="H826" s="96"/>
      <c r="I826" s="96"/>
      <c r="J826" s="96"/>
      <c r="K826" s="96"/>
      <c r="L826" s="96"/>
      <c r="M826" s="96"/>
      <c r="N826" s="96"/>
      <c r="O826" s="96"/>
      <c r="P826" s="96"/>
      <c r="Q826" s="96"/>
      <c r="R826" s="96"/>
      <c r="S826" s="96"/>
    </row>
    <row r="827" spans="1:19">
      <c r="A827" s="126"/>
      <c r="B827" s="127"/>
      <c r="C827" s="97"/>
      <c r="D827" s="97"/>
      <c r="E827" s="97"/>
      <c r="F827" s="96"/>
      <c r="G827" s="96"/>
      <c r="H827" s="96"/>
      <c r="I827" s="96"/>
      <c r="J827" s="96"/>
      <c r="K827" s="96"/>
      <c r="L827" s="96"/>
      <c r="M827" s="96"/>
      <c r="N827" s="96"/>
      <c r="O827" s="96"/>
      <c r="P827" s="96"/>
      <c r="Q827" s="96"/>
      <c r="R827" s="96"/>
      <c r="S827" s="96"/>
    </row>
    <row r="828" spans="1:19">
      <c r="A828" s="126"/>
      <c r="B828" s="127"/>
      <c r="C828" s="97"/>
      <c r="D828" s="97"/>
      <c r="E828" s="97"/>
      <c r="F828" s="96"/>
      <c r="G828" s="96"/>
      <c r="H828" s="96"/>
      <c r="I828" s="96"/>
      <c r="J828" s="96"/>
      <c r="K828" s="96"/>
      <c r="L828" s="96"/>
      <c r="M828" s="96"/>
      <c r="N828" s="96"/>
      <c r="O828" s="96"/>
      <c r="P828" s="96"/>
      <c r="Q828" s="96"/>
      <c r="R828" s="96"/>
      <c r="S828" s="96"/>
    </row>
    <row r="829" spans="1:19">
      <c r="A829" s="126"/>
      <c r="B829" s="127"/>
      <c r="C829" s="97"/>
      <c r="D829" s="97"/>
      <c r="E829" s="97"/>
      <c r="F829" s="96"/>
      <c r="G829" s="96"/>
      <c r="H829" s="96"/>
      <c r="I829" s="96"/>
      <c r="J829" s="96"/>
      <c r="K829" s="96"/>
      <c r="L829" s="96"/>
      <c r="M829" s="96"/>
      <c r="N829" s="96"/>
      <c r="O829" s="96"/>
      <c r="P829" s="96"/>
      <c r="Q829" s="96"/>
      <c r="R829" s="96"/>
      <c r="S829" s="96"/>
    </row>
    <row r="830" spans="1:19">
      <c r="A830" s="126"/>
      <c r="B830" s="127"/>
      <c r="C830" s="97"/>
      <c r="D830" s="97"/>
      <c r="E830" s="97"/>
      <c r="F830" s="96"/>
      <c r="G830" s="96"/>
      <c r="H830" s="96"/>
      <c r="I830" s="96"/>
      <c r="J830" s="96"/>
      <c r="K830" s="96"/>
      <c r="L830" s="96"/>
      <c r="M830" s="96"/>
      <c r="N830" s="96"/>
      <c r="O830" s="96"/>
      <c r="P830" s="96"/>
      <c r="Q830" s="96"/>
      <c r="R830" s="96"/>
      <c r="S830" s="96"/>
    </row>
    <row r="831" spans="1:19">
      <c r="A831" s="126"/>
      <c r="B831" s="127"/>
      <c r="C831" s="97"/>
      <c r="D831" s="97"/>
      <c r="E831" s="97"/>
      <c r="F831" s="96"/>
      <c r="G831" s="96"/>
      <c r="H831" s="96"/>
      <c r="I831" s="96"/>
      <c r="J831" s="96"/>
      <c r="K831" s="96"/>
      <c r="L831" s="96"/>
      <c r="M831" s="96"/>
      <c r="N831" s="96"/>
      <c r="O831" s="96"/>
      <c r="P831" s="96"/>
      <c r="Q831" s="96"/>
      <c r="R831" s="96"/>
      <c r="S831" s="96"/>
    </row>
    <row r="832" spans="1:19">
      <c r="A832" s="126"/>
      <c r="B832" s="127"/>
      <c r="C832" s="97"/>
      <c r="D832" s="97"/>
      <c r="E832" s="97"/>
      <c r="F832" s="96"/>
      <c r="G832" s="96"/>
      <c r="H832" s="96"/>
      <c r="I832" s="96"/>
      <c r="J832" s="96"/>
      <c r="K832" s="96"/>
      <c r="L832" s="96"/>
      <c r="M832" s="96"/>
      <c r="N832" s="96"/>
      <c r="O832" s="96"/>
      <c r="P832" s="96"/>
      <c r="Q832" s="96"/>
      <c r="R832" s="96"/>
      <c r="S832" s="96"/>
    </row>
    <row r="833" spans="1:19">
      <c r="A833" s="126"/>
      <c r="B833" s="127"/>
      <c r="C833" s="97"/>
      <c r="D833" s="97"/>
      <c r="E833" s="97"/>
      <c r="F833" s="96"/>
      <c r="G833" s="96"/>
      <c r="H833" s="96"/>
      <c r="I833" s="96"/>
      <c r="J833" s="96"/>
      <c r="K833" s="96"/>
      <c r="L833" s="96"/>
      <c r="M833" s="96"/>
      <c r="N833" s="96"/>
      <c r="O833" s="96"/>
      <c r="P833" s="96"/>
      <c r="Q833" s="96"/>
      <c r="R833" s="96"/>
      <c r="S833" s="96"/>
    </row>
    <row r="834" spans="1:19">
      <c r="A834" s="126"/>
      <c r="B834" s="127"/>
      <c r="C834" s="97"/>
      <c r="D834" s="97"/>
      <c r="E834" s="97"/>
      <c r="F834" s="96"/>
      <c r="G834" s="96"/>
      <c r="H834" s="96"/>
      <c r="I834" s="96"/>
      <c r="J834" s="96"/>
      <c r="K834" s="96"/>
      <c r="L834" s="96"/>
      <c r="M834" s="96"/>
      <c r="N834" s="96"/>
      <c r="O834" s="96"/>
      <c r="P834" s="96"/>
      <c r="Q834" s="96"/>
      <c r="R834" s="96"/>
      <c r="S834" s="96"/>
    </row>
    <row r="835" spans="1:19">
      <c r="A835" s="126"/>
      <c r="B835" s="127"/>
      <c r="C835" s="97"/>
      <c r="D835" s="97"/>
      <c r="E835" s="97"/>
      <c r="F835" s="96"/>
      <c r="G835" s="96"/>
      <c r="H835" s="96"/>
      <c r="I835" s="96"/>
      <c r="J835" s="96"/>
      <c r="K835" s="96"/>
      <c r="L835" s="96"/>
      <c r="M835" s="96"/>
      <c r="N835" s="96"/>
      <c r="O835" s="96"/>
      <c r="P835" s="96"/>
      <c r="Q835" s="96"/>
      <c r="R835" s="96"/>
      <c r="S835" s="96"/>
    </row>
    <row r="836" spans="1:19">
      <c r="A836" s="126"/>
      <c r="B836" s="127"/>
      <c r="C836" s="97"/>
      <c r="D836" s="97"/>
      <c r="E836" s="97"/>
      <c r="F836" s="96"/>
      <c r="G836" s="96"/>
      <c r="H836" s="96"/>
      <c r="I836" s="96"/>
      <c r="J836" s="96"/>
      <c r="K836" s="96"/>
      <c r="L836" s="96"/>
      <c r="M836" s="96"/>
      <c r="N836" s="96"/>
      <c r="O836" s="96"/>
      <c r="P836" s="96"/>
      <c r="Q836" s="96"/>
      <c r="R836" s="96"/>
      <c r="S836" s="96"/>
    </row>
    <row r="837" spans="1:19">
      <c r="A837" s="126"/>
      <c r="B837" s="127"/>
      <c r="C837" s="97"/>
      <c r="D837" s="97"/>
      <c r="E837" s="97"/>
      <c r="F837" s="96"/>
      <c r="G837" s="96"/>
      <c r="H837" s="96"/>
      <c r="I837" s="96"/>
      <c r="J837" s="96"/>
      <c r="K837" s="96"/>
      <c r="L837" s="96"/>
      <c r="M837" s="96"/>
      <c r="N837" s="96"/>
      <c r="O837" s="96"/>
      <c r="P837" s="96"/>
      <c r="Q837" s="96"/>
      <c r="R837" s="96"/>
      <c r="S837" s="96"/>
    </row>
    <row r="838" spans="1:19">
      <c r="A838" s="126"/>
      <c r="B838" s="127"/>
      <c r="C838" s="97"/>
      <c r="D838" s="97"/>
      <c r="E838" s="97"/>
      <c r="F838" s="96"/>
      <c r="G838" s="96"/>
      <c r="H838" s="96"/>
      <c r="I838" s="96"/>
      <c r="J838" s="96"/>
      <c r="K838" s="96"/>
      <c r="L838" s="96"/>
      <c r="M838" s="96"/>
      <c r="N838" s="96"/>
      <c r="O838" s="96"/>
      <c r="P838" s="96"/>
      <c r="Q838" s="96"/>
      <c r="R838" s="96"/>
      <c r="S838" s="96"/>
    </row>
    <row r="839" spans="1:19">
      <c r="A839" s="126"/>
      <c r="B839" s="127"/>
      <c r="C839" s="97"/>
      <c r="D839" s="97"/>
      <c r="E839" s="97"/>
      <c r="F839" s="96"/>
      <c r="G839" s="96"/>
      <c r="H839" s="96"/>
      <c r="I839" s="96"/>
      <c r="J839" s="96"/>
      <c r="K839" s="96"/>
      <c r="L839" s="96"/>
      <c r="M839" s="96"/>
      <c r="N839" s="96"/>
      <c r="O839" s="96"/>
      <c r="P839" s="96"/>
      <c r="Q839" s="96"/>
      <c r="R839" s="96"/>
      <c r="S839" s="96"/>
    </row>
    <row r="840" spans="1:19">
      <c r="A840" s="126"/>
      <c r="B840" s="127"/>
      <c r="C840" s="97"/>
      <c r="D840" s="97"/>
      <c r="E840" s="97"/>
      <c r="F840" s="96"/>
      <c r="G840" s="96"/>
      <c r="H840" s="96"/>
      <c r="I840" s="96"/>
      <c r="J840" s="96"/>
      <c r="K840" s="96"/>
      <c r="L840" s="96"/>
      <c r="M840" s="96"/>
      <c r="N840" s="96"/>
      <c r="O840" s="96"/>
      <c r="P840" s="96"/>
      <c r="Q840" s="96"/>
      <c r="R840" s="96"/>
      <c r="S840" s="96"/>
    </row>
    <row r="841" spans="1:19">
      <c r="A841" s="126"/>
      <c r="B841" s="127"/>
      <c r="C841" s="97"/>
      <c r="D841" s="97"/>
      <c r="E841" s="97"/>
      <c r="F841" s="96"/>
      <c r="G841" s="96"/>
      <c r="H841" s="96"/>
      <c r="I841" s="96"/>
      <c r="J841" s="96"/>
      <c r="K841" s="96"/>
      <c r="L841" s="96"/>
      <c r="M841" s="96"/>
      <c r="N841" s="96"/>
      <c r="O841" s="96"/>
      <c r="P841" s="96"/>
      <c r="Q841" s="96"/>
      <c r="R841" s="96"/>
      <c r="S841" s="96"/>
    </row>
    <row r="842" spans="1:19">
      <c r="A842" s="126"/>
      <c r="B842" s="127"/>
      <c r="C842" s="97"/>
      <c r="D842" s="97"/>
      <c r="E842" s="97"/>
      <c r="F842" s="96"/>
      <c r="G842" s="96"/>
      <c r="H842" s="96"/>
      <c r="I842" s="96"/>
      <c r="J842" s="96"/>
      <c r="K842" s="96"/>
      <c r="L842" s="96"/>
      <c r="M842" s="96"/>
      <c r="N842" s="96"/>
      <c r="O842" s="96"/>
      <c r="P842" s="96"/>
      <c r="Q842" s="96"/>
      <c r="R842" s="96"/>
      <c r="S842" s="96"/>
    </row>
    <row r="843" spans="1:19">
      <c r="A843" s="126"/>
      <c r="B843" s="127"/>
      <c r="C843" s="97"/>
      <c r="D843" s="97"/>
      <c r="E843" s="97"/>
      <c r="F843" s="96"/>
      <c r="G843" s="96"/>
      <c r="H843" s="96"/>
      <c r="I843" s="96"/>
      <c r="J843" s="96"/>
      <c r="K843" s="96"/>
      <c r="L843" s="96"/>
      <c r="M843" s="96"/>
      <c r="N843" s="96"/>
      <c r="O843" s="96"/>
      <c r="P843" s="96"/>
      <c r="Q843" s="96"/>
      <c r="R843" s="96"/>
      <c r="S843" s="96"/>
    </row>
    <row r="844" spans="1:19">
      <c r="A844" s="126"/>
      <c r="B844" s="127"/>
      <c r="C844" s="97"/>
      <c r="D844" s="97"/>
      <c r="E844" s="97"/>
      <c r="F844" s="96"/>
      <c r="G844" s="96"/>
      <c r="H844" s="96"/>
      <c r="I844" s="96"/>
      <c r="J844" s="96"/>
      <c r="K844" s="96"/>
      <c r="L844" s="96"/>
      <c r="M844" s="96"/>
      <c r="N844" s="96"/>
      <c r="O844" s="96"/>
      <c r="P844" s="96"/>
      <c r="Q844" s="96"/>
      <c r="R844" s="96"/>
      <c r="S844" s="96"/>
    </row>
    <row r="845" spans="1:19">
      <c r="A845" s="126"/>
      <c r="B845" s="127"/>
      <c r="C845" s="97"/>
      <c r="D845" s="97"/>
      <c r="E845" s="97"/>
      <c r="F845" s="96"/>
      <c r="G845" s="96"/>
      <c r="H845" s="96"/>
      <c r="I845" s="96"/>
      <c r="J845" s="96"/>
      <c r="K845" s="96"/>
      <c r="L845" s="96"/>
      <c r="M845" s="96"/>
      <c r="N845" s="96"/>
      <c r="O845" s="96"/>
      <c r="P845" s="96"/>
      <c r="Q845" s="96"/>
      <c r="R845" s="96"/>
      <c r="S845" s="96"/>
    </row>
    <row r="846" spans="1:19">
      <c r="A846" s="126"/>
      <c r="B846" s="127"/>
      <c r="C846" s="97"/>
      <c r="D846" s="97"/>
      <c r="E846" s="97"/>
      <c r="F846" s="96"/>
      <c r="G846" s="96"/>
      <c r="H846" s="96"/>
      <c r="I846" s="96"/>
      <c r="J846" s="96"/>
      <c r="K846" s="96"/>
      <c r="L846" s="96"/>
      <c r="M846" s="96"/>
      <c r="N846" s="96"/>
      <c r="O846" s="96"/>
      <c r="P846" s="96"/>
      <c r="Q846" s="96"/>
      <c r="R846" s="96"/>
      <c r="S846" s="96"/>
    </row>
    <row r="847" spans="1:19">
      <c r="A847" s="126"/>
      <c r="B847" s="127"/>
      <c r="C847" s="97"/>
      <c r="D847" s="97"/>
      <c r="E847" s="97"/>
      <c r="F847" s="96"/>
      <c r="G847" s="96"/>
      <c r="H847" s="96"/>
      <c r="I847" s="96"/>
      <c r="J847" s="96"/>
      <c r="K847" s="96"/>
      <c r="L847" s="96"/>
      <c r="M847" s="96"/>
      <c r="N847" s="96"/>
      <c r="O847" s="96"/>
      <c r="P847" s="96"/>
      <c r="Q847" s="96"/>
      <c r="R847" s="96"/>
      <c r="S847" s="96"/>
    </row>
    <row r="848" spans="1:19">
      <c r="A848" s="126"/>
      <c r="B848" s="127"/>
      <c r="C848" s="97"/>
      <c r="D848" s="97"/>
      <c r="E848" s="97"/>
      <c r="F848" s="96"/>
      <c r="G848" s="96"/>
      <c r="H848" s="96"/>
      <c r="I848" s="96"/>
      <c r="J848" s="96"/>
      <c r="K848" s="96"/>
      <c r="L848" s="96"/>
      <c r="M848" s="96"/>
      <c r="N848" s="96"/>
      <c r="O848" s="96"/>
      <c r="P848" s="96"/>
      <c r="Q848" s="96"/>
      <c r="R848" s="96"/>
      <c r="S848" s="96"/>
    </row>
    <row r="849" spans="1:19">
      <c r="A849" s="126"/>
      <c r="B849" s="127"/>
      <c r="C849" s="97"/>
      <c r="D849" s="97"/>
      <c r="E849" s="97"/>
      <c r="F849" s="96"/>
      <c r="G849" s="96"/>
      <c r="H849" s="96"/>
      <c r="I849" s="96"/>
      <c r="J849" s="96"/>
      <c r="K849" s="96"/>
      <c r="L849" s="96"/>
      <c r="M849" s="96"/>
      <c r="N849" s="96"/>
      <c r="O849" s="96"/>
      <c r="P849" s="96"/>
      <c r="Q849" s="96"/>
      <c r="R849" s="96"/>
      <c r="S849" s="96"/>
    </row>
    <row r="850" spans="1:19">
      <c r="A850" s="126"/>
      <c r="B850" s="127"/>
      <c r="C850" s="97"/>
      <c r="D850" s="97"/>
      <c r="E850" s="97"/>
      <c r="F850" s="96"/>
      <c r="G850" s="96"/>
      <c r="H850" s="96"/>
      <c r="I850" s="96"/>
      <c r="J850" s="96"/>
      <c r="K850" s="96"/>
      <c r="L850" s="96"/>
      <c r="M850" s="96"/>
      <c r="N850" s="96"/>
      <c r="O850" s="96"/>
      <c r="P850" s="96"/>
      <c r="Q850" s="96"/>
      <c r="R850" s="96"/>
      <c r="S850" s="96"/>
    </row>
    <row r="851" spans="1:19">
      <c r="A851" s="126"/>
      <c r="B851" s="127"/>
      <c r="C851" s="97"/>
      <c r="D851" s="97"/>
      <c r="E851" s="97"/>
      <c r="F851" s="96"/>
      <c r="G851" s="96"/>
      <c r="H851" s="96"/>
      <c r="I851" s="96"/>
      <c r="J851" s="96"/>
      <c r="K851" s="96"/>
      <c r="L851" s="96"/>
      <c r="M851" s="96"/>
      <c r="N851" s="96"/>
      <c r="O851" s="96"/>
      <c r="P851" s="96"/>
      <c r="Q851" s="96"/>
      <c r="R851" s="96"/>
      <c r="S851" s="96"/>
    </row>
    <row r="852" spans="1:19">
      <c r="A852" s="126"/>
      <c r="B852" s="127"/>
      <c r="C852" s="97"/>
      <c r="D852" s="97"/>
      <c r="E852" s="97"/>
      <c r="F852" s="96"/>
      <c r="G852" s="96"/>
      <c r="H852" s="96"/>
      <c r="I852" s="96"/>
      <c r="J852" s="96"/>
      <c r="K852" s="96"/>
      <c r="L852" s="96"/>
      <c r="M852" s="96"/>
      <c r="N852" s="96"/>
      <c r="O852" s="96"/>
      <c r="P852" s="96"/>
      <c r="Q852" s="96"/>
      <c r="R852" s="96"/>
      <c r="S852" s="96"/>
    </row>
    <row r="853" spans="1:19">
      <c r="A853" s="126"/>
      <c r="B853" s="127"/>
      <c r="C853" s="97"/>
      <c r="D853" s="97"/>
      <c r="E853" s="97"/>
      <c r="F853" s="96"/>
      <c r="G853" s="96"/>
      <c r="H853" s="96"/>
      <c r="I853" s="96"/>
      <c r="J853" s="96"/>
      <c r="K853" s="96"/>
      <c r="L853" s="96"/>
      <c r="M853" s="96"/>
      <c r="N853" s="96"/>
      <c r="O853" s="96"/>
      <c r="P853" s="96"/>
      <c r="Q853" s="96"/>
      <c r="R853" s="96"/>
      <c r="S853" s="96"/>
    </row>
    <row r="854" spans="1:19">
      <c r="A854" s="126"/>
      <c r="B854" s="127"/>
      <c r="C854" s="97"/>
      <c r="D854" s="97"/>
      <c r="E854" s="97"/>
      <c r="F854" s="96"/>
      <c r="G854" s="96"/>
      <c r="H854" s="96"/>
      <c r="I854" s="96"/>
      <c r="J854" s="96"/>
      <c r="K854" s="96"/>
      <c r="L854" s="96"/>
      <c r="M854" s="96"/>
      <c r="N854" s="96"/>
      <c r="O854" s="96"/>
      <c r="P854" s="96"/>
      <c r="Q854" s="96"/>
      <c r="R854" s="96"/>
      <c r="S854" s="96"/>
    </row>
    <row r="855" spans="1:19">
      <c r="A855" s="126"/>
      <c r="B855" s="127"/>
      <c r="C855" s="97"/>
      <c r="D855" s="97"/>
      <c r="E855" s="97"/>
      <c r="F855" s="96"/>
      <c r="G855" s="96"/>
      <c r="H855" s="96"/>
      <c r="I855" s="96"/>
      <c r="J855" s="96"/>
      <c r="K855" s="96"/>
      <c r="L855" s="96"/>
      <c r="M855" s="96"/>
      <c r="N855" s="96"/>
      <c r="O855" s="96"/>
      <c r="P855" s="96"/>
      <c r="Q855" s="96"/>
      <c r="R855" s="96"/>
      <c r="S855" s="96"/>
    </row>
    <row r="856" spans="1:19">
      <c r="A856" s="126"/>
      <c r="B856" s="127"/>
      <c r="C856" s="97"/>
      <c r="D856" s="97"/>
      <c r="E856" s="97"/>
      <c r="F856" s="96"/>
      <c r="G856" s="96"/>
      <c r="H856" s="96"/>
      <c r="I856" s="96"/>
      <c r="J856" s="96"/>
      <c r="K856" s="96"/>
      <c r="L856" s="96"/>
      <c r="M856" s="96"/>
      <c r="N856" s="96"/>
      <c r="O856" s="96"/>
      <c r="P856" s="96"/>
      <c r="Q856" s="96"/>
      <c r="R856" s="96"/>
      <c r="S856" s="96"/>
    </row>
    <row r="857" spans="1:19">
      <c r="A857" s="126"/>
      <c r="B857" s="127"/>
      <c r="C857" s="97"/>
      <c r="D857" s="97"/>
      <c r="E857" s="97"/>
      <c r="F857" s="96"/>
      <c r="G857" s="96"/>
      <c r="H857" s="96"/>
      <c r="I857" s="96"/>
      <c r="J857" s="96"/>
      <c r="K857" s="96"/>
      <c r="L857" s="96"/>
      <c r="M857" s="96"/>
      <c r="N857" s="96"/>
      <c r="O857" s="96"/>
      <c r="P857" s="96"/>
      <c r="Q857" s="96"/>
      <c r="R857" s="96"/>
      <c r="S857" s="96"/>
    </row>
    <row r="858" spans="1:19">
      <c r="A858" s="126"/>
      <c r="B858" s="127"/>
      <c r="C858" s="97"/>
      <c r="D858" s="97"/>
      <c r="E858" s="97"/>
      <c r="F858" s="96"/>
      <c r="G858" s="96"/>
      <c r="H858" s="96"/>
      <c r="I858" s="96"/>
      <c r="J858" s="96"/>
      <c r="K858" s="96"/>
      <c r="L858" s="96"/>
      <c r="M858" s="96"/>
      <c r="N858" s="96"/>
      <c r="O858" s="96"/>
      <c r="P858" s="96"/>
      <c r="Q858" s="96"/>
      <c r="R858" s="96"/>
      <c r="S858" s="96"/>
    </row>
    <row r="859" spans="1:19">
      <c r="A859" s="126"/>
      <c r="B859" s="127"/>
      <c r="C859" s="97"/>
      <c r="D859" s="97"/>
      <c r="E859" s="97"/>
      <c r="F859" s="96"/>
      <c r="G859" s="96"/>
      <c r="H859" s="96"/>
      <c r="I859" s="96"/>
      <c r="J859" s="96"/>
      <c r="K859" s="96"/>
      <c r="L859" s="96"/>
      <c r="M859" s="96"/>
      <c r="N859" s="96"/>
      <c r="O859" s="96"/>
      <c r="P859" s="96"/>
      <c r="Q859" s="96"/>
      <c r="R859" s="96"/>
      <c r="S859" s="96"/>
    </row>
    <row r="860" spans="1:19">
      <c r="A860" s="126"/>
      <c r="B860" s="127"/>
      <c r="C860" s="97"/>
      <c r="D860" s="97"/>
      <c r="E860" s="97"/>
      <c r="F860" s="96"/>
      <c r="G860" s="96"/>
      <c r="H860" s="96"/>
      <c r="I860" s="96"/>
      <c r="J860" s="96"/>
      <c r="K860" s="96"/>
      <c r="L860" s="96"/>
      <c r="M860" s="96"/>
      <c r="N860" s="96"/>
      <c r="O860" s="96"/>
      <c r="P860" s="96"/>
      <c r="Q860" s="96"/>
      <c r="R860" s="96"/>
      <c r="S860" s="96"/>
    </row>
    <row r="861" spans="1:19">
      <c r="A861" s="126"/>
      <c r="B861" s="127"/>
      <c r="C861" s="97"/>
      <c r="D861" s="97"/>
      <c r="E861" s="97"/>
      <c r="F861" s="96"/>
      <c r="G861" s="96"/>
      <c r="H861" s="96"/>
      <c r="I861" s="96"/>
      <c r="J861" s="96"/>
      <c r="K861" s="96"/>
      <c r="L861" s="96"/>
      <c r="M861" s="96"/>
      <c r="N861" s="96"/>
      <c r="O861" s="96"/>
      <c r="P861" s="96"/>
      <c r="Q861" s="96"/>
      <c r="R861" s="96"/>
      <c r="S861" s="96"/>
    </row>
    <row r="862" spans="1:19">
      <c r="A862" s="126"/>
      <c r="B862" s="127"/>
      <c r="C862" s="97"/>
      <c r="D862" s="97"/>
      <c r="E862" s="97"/>
      <c r="F862" s="96"/>
      <c r="G862" s="96"/>
      <c r="H862" s="96"/>
      <c r="I862" s="96"/>
      <c r="J862" s="96"/>
      <c r="K862" s="96"/>
      <c r="L862" s="96"/>
      <c r="M862" s="96"/>
      <c r="N862" s="96"/>
      <c r="O862" s="96"/>
      <c r="P862" s="96"/>
      <c r="Q862" s="96"/>
      <c r="R862" s="96"/>
      <c r="S862" s="96"/>
    </row>
    <row r="863" spans="1:19">
      <c r="A863" s="126"/>
      <c r="B863" s="127"/>
      <c r="C863" s="97"/>
      <c r="D863" s="97"/>
      <c r="E863" s="97"/>
      <c r="F863" s="96"/>
      <c r="G863" s="96"/>
      <c r="H863" s="96"/>
      <c r="I863" s="96"/>
      <c r="J863" s="96"/>
      <c r="K863" s="96"/>
      <c r="L863" s="96"/>
      <c r="M863" s="96"/>
      <c r="N863" s="96"/>
      <c r="O863" s="96"/>
      <c r="P863" s="96"/>
      <c r="Q863" s="96"/>
      <c r="R863" s="96"/>
      <c r="S863" s="96"/>
    </row>
    <row r="864" spans="1:19">
      <c r="A864" s="126"/>
      <c r="B864" s="127"/>
      <c r="C864" s="97"/>
      <c r="D864" s="97"/>
      <c r="E864" s="97"/>
      <c r="F864" s="96"/>
      <c r="G864" s="96"/>
      <c r="H864" s="96"/>
      <c r="I864" s="96"/>
      <c r="J864" s="96"/>
      <c r="K864" s="96"/>
      <c r="L864" s="96"/>
      <c r="M864" s="96"/>
      <c r="N864" s="96"/>
      <c r="O864" s="96"/>
      <c r="P864" s="96"/>
      <c r="Q864" s="96"/>
      <c r="R864" s="96"/>
      <c r="S864" s="96"/>
    </row>
    <row r="865" spans="1:19">
      <c r="A865" s="126"/>
      <c r="B865" s="127"/>
      <c r="C865" s="97"/>
      <c r="D865" s="97"/>
      <c r="E865" s="97"/>
      <c r="F865" s="96"/>
      <c r="G865" s="96"/>
      <c r="H865" s="96"/>
      <c r="I865" s="96"/>
      <c r="J865" s="96"/>
      <c r="K865" s="96"/>
      <c r="L865" s="96"/>
      <c r="M865" s="96"/>
      <c r="N865" s="96"/>
      <c r="O865" s="96"/>
      <c r="P865" s="96"/>
      <c r="Q865" s="96"/>
      <c r="R865" s="96"/>
      <c r="S865" s="96"/>
    </row>
    <row r="866" spans="1:19">
      <c r="A866" s="126"/>
      <c r="B866" s="127"/>
      <c r="C866" s="97"/>
      <c r="D866" s="97"/>
      <c r="E866" s="97"/>
      <c r="F866" s="96"/>
      <c r="G866" s="96"/>
      <c r="H866" s="96"/>
      <c r="I866" s="96"/>
      <c r="J866" s="96"/>
      <c r="K866" s="96"/>
      <c r="L866" s="96"/>
      <c r="M866" s="96"/>
      <c r="N866" s="96"/>
      <c r="O866" s="96"/>
      <c r="P866" s="96"/>
      <c r="Q866" s="96"/>
      <c r="R866" s="96"/>
      <c r="S866" s="96"/>
    </row>
    <row r="867" spans="1:19">
      <c r="A867" s="126"/>
      <c r="B867" s="127"/>
      <c r="C867" s="97"/>
      <c r="D867" s="97"/>
      <c r="E867" s="97"/>
      <c r="F867" s="96"/>
      <c r="G867" s="96"/>
      <c r="H867" s="96"/>
      <c r="I867" s="96"/>
      <c r="J867" s="96"/>
      <c r="K867" s="96"/>
      <c r="L867" s="96"/>
      <c r="M867" s="96"/>
      <c r="N867" s="96"/>
      <c r="O867" s="96"/>
      <c r="P867" s="96"/>
      <c r="Q867" s="96"/>
      <c r="R867" s="96"/>
      <c r="S867" s="96"/>
    </row>
    <row r="868" spans="1:19">
      <c r="A868" s="126"/>
      <c r="B868" s="127"/>
      <c r="C868" s="97"/>
      <c r="D868" s="97"/>
      <c r="E868" s="97"/>
      <c r="F868" s="96"/>
      <c r="G868" s="96"/>
      <c r="H868" s="96"/>
      <c r="I868" s="96"/>
      <c r="J868" s="96"/>
      <c r="K868" s="96"/>
      <c r="L868" s="96"/>
      <c r="M868" s="96"/>
      <c r="N868" s="96"/>
      <c r="O868" s="96"/>
      <c r="P868" s="96"/>
      <c r="Q868" s="96"/>
      <c r="R868" s="96"/>
      <c r="S868" s="96"/>
    </row>
    <row r="869" spans="1:19">
      <c r="A869" s="126"/>
      <c r="B869" s="127"/>
      <c r="C869" s="97"/>
      <c r="D869" s="97"/>
      <c r="E869" s="97"/>
      <c r="F869" s="96"/>
      <c r="G869" s="96"/>
      <c r="H869" s="96"/>
      <c r="I869" s="96"/>
      <c r="J869" s="96"/>
      <c r="K869" s="96"/>
      <c r="L869" s="96"/>
      <c r="M869" s="96"/>
      <c r="N869" s="96"/>
      <c r="O869" s="96"/>
      <c r="P869" s="96"/>
      <c r="Q869" s="96"/>
      <c r="R869" s="96"/>
      <c r="S869" s="96"/>
    </row>
    <row r="870" spans="1:19">
      <c r="A870" s="126"/>
      <c r="B870" s="127"/>
      <c r="C870" s="97"/>
      <c r="D870" s="97"/>
      <c r="E870" s="97"/>
      <c r="F870" s="96"/>
      <c r="G870" s="96"/>
      <c r="H870" s="96"/>
      <c r="I870" s="96"/>
      <c r="J870" s="96"/>
      <c r="K870" s="96"/>
      <c r="L870" s="96"/>
      <c r="M870" s="96"/>
      <c r="N870" s="96"/>
      <c r="O870" s="96"/>
      <c r="P870" s="96"/>
      <c r="Q870" s="96"/>
      <c r="R870" s="96"/>
      <c r="S870" s="96"/>
    </row>
    <row r="871" spans="1:19">
      <c r="A871" s="126"/>
      <c r="B871" s="127"/>
      <c r="C871" s="97"/>
      <c r="D871" s="97"/>
      <c r="E871" s="97"/>
      <c r="F871" s="96"/>
      <c r="G871" s="96"/>
      <c r="H871" s="96"/>
      <c r="I871" s="96"/>
      <c r="J871" s="96"/>
      <c r="K871" s="96"/>
      <c r="L871" s="96"/>
      <c r="M871" s="96"/>
      <c r="N871" s="96"/>
      <c r="O871" s="96"/>
      <c r="P871" s="96"/>
      <c r="Q871" s="96"/>
      <c r="R871" s="96"/>
      <c r="S871" s="96"/>
    </row>
    <row r="872" spans="1:19">
      <c r="A872" s="126"/>
      <c r="B872" s="127"/>
      <c r="C872" s="97"/>
      <c r="D872" s="97"/>
      <c r="E872" s="97"/>
      <c r="F872" s="96"/>
      <c r="G872" s="96"/>
      <c r="H872" s="96"/>
      <c r="I872" s="96"/>
      <c r="J872" s="96"/>
      <c r="K872" s="96"/>
      <c r="L872" s="96"/>
      <c r="M872" s="96"/>
      <c r="N872" s="96"/>
      <c r="O872" s="96"/>
      <c r="P872" s="96"/>
      <c r="Q872" s="96"/>
      <c r="R872" s="96"/>
      <c r="S872" s="96"/>
    </row>
    <row r="873" spans="1:19">
      <c r="A873" s="126"/>
      <c r="B873" s="127"/>
      <c r="C873" s="97"/>
      <c r="D873" s="97"/>
      <c r="E873" s="97"/>
      <c r="F873" s="96"/>
      <c r="G873" s="96"/>
      <c r="H873" s="96"/>
      <c r="I873" s="96"/>
      <c r="J873" s="96"/>
      <c r="K873" s="96"/>
      <c r="L873" s="96"/>
      <c r="M873" s="96"/>
      <c r="N873" s="96"/>
      <c r="O873" s="96"/>
      <c r="P873" s="96"/>
      <c r="Q873" s="96"/>
      <c r="R873" s="96"/>
      <c r="S873" s="96"/>
    </row>
    <row r="874" spans="1:19">
      <c r="A874" s="126"/>
      <c r="B874" s="127"/>
      <c r="C874" s="97"/>
      <c r="D874" s="97"/>
      <c r="E874" s="97"/>
      <c r="F874" s="96"/>
      <c r="G874" s="96"/>
      <c r="H874" s="96"/>
      <c r="I874" s="96"/>
      <c r="J874" s="96"/>
      <c r="K874" s="96"/>
      <c r="L874" s="96"/>
      <c r="M874" s="96"/>
      <c r="N874" s="96"/>
      <c r="O874" s="96"/>
      <c r="P874" s="96"/>
      <c r="Q874" s="96"/>
      <c r="R874" s="96"/>
      <c r="S874" s="96"/>
    </row>
    <row r="875" spans="1:19">
      <c r="A875" s="126"/>
      <c r="B875" s="127"/>
      <c r="C875" s="97"/>
      <c r="D875" s="97"/>
      <c r="E875" s="97"/>
      <c r="F875" s="96"/>
      <c r="G875" s="96"/>
      <c r="H875" s="96"/>
      <c r="I875" s="96"/>
      <c r="J875" s="96"/>
      <c r="K875" s="96"/>
      <c r="L875" s="96"/>
      <c r="M875" s="96"/>
      <c r="N875" s="96"/>
      <c r="O875" s="96"/>
      <c r="P875" s="96"/>
      <c r="Q875" s="96"/>
      <c r="R875" s="96"/>
      <c r="S875" s="96"/>
    </row>
    <row r="876" spans="1:19">
      <c r="A876" s="126"/>
      <c r="B876" s="127"/>
      <c r="C876" s="97"/>
      <c r="D876" s="97"/>
      <c r="E876" s="97"/>
      <c r="F876" s="96"/>
      <c r="G876" s="96"/>
      <c r="H876" s="96"/>
      <c r="I876" s="96"/>
      <c r="J876" s="96"/>
      <c r="K876" s="96"/>
      <c r="L876" s="96"/>
      <c r="M876" s="96"/>
      <c r="N876" s="96"/>
      <c r="O876" s="96"/>
      <c r="P876" s="96"/>
      <c r="Q876" s="96"/>
      <c r="R876" s="96"/>
      <c r="S876" s="96"/>
    </row>
    <row r="877" spans="1:19">
      <c r="A877" s="126"/>
      <c r="B877" s="127"/>
      <c r="C877" s="97"/>
      <c r="D877" s="97"/>
      <c r="E877" s="97"/>
      <c r="F877" s="96"/>
      <c r="G877" s="96"/>
      <c r="H877" s="96"/>
      <c r="I877" s="96"/>
      <c r="J877" s="96"/>
      <c r="K877" s="96"/>
      <c r="L877" s="96"/>
      <c r="M877" s="96"/>
      <c r="N877" s="96"/>
      <c r="O877" s="96"/>
      <c r="P877" s="96"/>
      <c r="Q877" s="96"/>
      <c r="R877" s="96"/>
      <c r="S877" s="96"/>
    </row>
    <row r="878" spans="1:19">
      <c r="A878" s="126"/>
      <c r="B878" s="127"/>
      <c r="C878" s="97"/>
      <c r="D878" s="97"/>
      <c r="E878" s="97"/>
      <c r="F878" s="96"/>
      <c r="G878" s="96"/>
      <c r="H878" s="96"/>
      <c r="I878" s="96"/>
      <c r="J878" s="96"/>
      <c r="K878" s="96"/>
      <c r="L878" s="96"/>
      <c r="M878" s="96"/>
      <c r="N878" s="96"/>
      <c r="O878" s="96"/>
      <c r="P878" s="96"/>
      <c r="Q878" s="96"/>
      <c r="R878" s="96"/>
      <c r="S878" s="96"/>
    </row>
    <row r="879" spans="1:19">
      <c r="A879" s="126"/>
      <c r="B879" s="127"/>
      <c r="C879" s="97"/>
      <c r="D879" s="97"/>
      <c r="E879" s="97"/>
      <c r="F879" s="96"/>
      <c r="G879" s="96"/>
      <c r="H879" s="96"/>
      <c r="I879" s="96"/>
      <c r="J879" s="96"/>
      <c r="K879" s="96"/>
      <c r="L879" s="96"/>
      <c r="M879" s="96"/>
      <c r="N879" s="96"/>
      <c r="O879" s="96"/>
      <c r="P879" s="96"/>
      <c r="Q879" s="96"/>
      <c r="R879" s="96"/>
      <c r="S879" s="96"/>
    </row>
    <row r="880" spans="1:19">
      <c r="A880" s="126"/>
      <c r="B880" s="127"/>
      <c r="C880" s="97"/>
      <c r="D880" s="97"/>
      <c r="E880" s="97"/>
      <c r="F880" s="96"/>
      <c r="G880" s="96"/>
      <c r="H880" s="96"/>
      <c r="I880" s="96"/>
      <c r="J880" s="96"/>
      <c r="K880" s="96"/>
      <c r="L880" s="96"/>
      <c r="M880" s="96"/>
      <c r="N880" s="96"/>
      <c r="O880" s="96"/>
      <c r="P880" s="96"/>
      <c r="Q880" s="96"/>
      <c r="R880" s="96"/>
      <c r="S880" s="96"/>
    </row>
    <row r="881" spans="1:19">
      <c r="A881" s="126"/>
      <c r="B881" s="127"/>
      <c r="C881" s="97"/>
      <c r="D881" s="97"/>
      <c r="E881" s="97"/>
      <c r="F881" s="96"/>
      <c r="G881" s="96"/>
      <c r="H881" s="96"/>
      <c r="I881" s="96"/>
      <c r="J881" s="96"/>
      <c r="K881" s="96"/>
      <c r="L881" s="96"/>
      <c r="M881" s="96"/>
      <c r="N881" s="96"/>
      <c r="O881" s="96"/>
      <c r="P881" s="96"/>
      <c r="Q881" s="96"/>
      <c r="R881" s="96"/>
      <c r="S881" s="96"/>
    </row>
    <row r="882" spans="1:19">
      <c r="A882" s="126"/>
      <c r="B882" s="127"/>
      <c r="C882" s="97"/>
      <c r="D882" s="97"/>
      <c r="E882" s="97"/>
      <c r="F882" s="96"/>
      <c r="G882" s="96"/>
      <c r="H882" s="96"/>
      <c r="I882" s="96"/>
      <c r="J882" s="96"/>
      <c r="K882" s="96"/>
      <c r="L882" s="96"/>
      <c r="M882" s="96"/>
      <c r="N882" s="96"/>
      <c r="O882" s="96"/>
      <c r="P882" s="96"/>
      <c r="Q882" s="96"/>
      <c r="R882" s="96"/>
      <c r="S882" s="96"/>
    </row>
    <row r="883" spans="1:19">
      <c r="A883" s="126"/>
      <c r="B883" s="127"/>
      <c r="C883" s="97"/>
      <c r="D883" s="97"/>
      <c r="E883" s="97"/>
      <c r="F883" s="96"/>
      <c r="G883" s="96"/>
      <c r="H883" s="96"/>
      <c r="I883" s="96"/>
      <c r="J883" s="96"/>
      <c r="K883" s="96"/>
      <c r="L883" s="96"/>
      <c r="M883" s="96"/>
      <c r="N883" s="96"/>
      <c r="O883" s="96"/>
      <c r="P883" s="96"/>
      <c r="Q883" s="96"/>
      <c r="R883" s="96"/>
      <c r="S883" s="96"/>
    </row>
    <row r="884" spans="1:19">
      <c r="A884" s="126"/>
      <c r="B884" s="127"/>
      <c r="C884" s="97"/>
      <c r="D884" s="97"/>
      <c r="E884" s="97"/>
      <c r="F884" s="96"/>
      <c r="G884" s="96"/>
      <c r="H884" s="96"/>
      <c r="I884" s="96"/>
      <c r="J884" s="96"/>
      <c r="K884" s="96"/>
      <c r="L884" s="96"/>
      <c r="M884" s="96"/>
      <c r="N884" s="96"/>
      <c r="O884" s="96"/>
      <c r="P884" s="96"/>
      <c r="Q884" s="96"/>
      <c r="R884" s="96"/>
      <c r="S884" s="96"/>
    </row>
    <row r="885" spans="1:19">
      <c r="A885" s="126"/>
      <c r="B885" s="127"/>
      <c r="C885" s="97"/>
      <c r="D885" s="97"/>
      <c r="E885" s="97"/>
      <c r="F885" s="96"/>
      <c r="G885" s="96"/>
      <c r="H885" s="96"/>
      <c r="I885" s="96"/>
      <c r="J885" s="96"/>
      <c r="K885" s="96"/>
      <c r="L885" s="96"/>
      <c r="M885" s="96"/>
      <c r="N885" s="96"/>
      <c r="O885" s="96"/>
      <c r="P885" s="96"/>
      <c r="Q885" s="96"/>
      <c r="R885" s="96"/>
      <c r="S885" s="96"/>
    </row>
    <row r="886" spans="1:19">
      <c r="A886" s="126"/>
      <c r="B886" s="127"/>
      <c r="C886" s="97"/>
      <c r="D886" s="97"/>
      <c r="E886" s="97"/>
      <c r="F886" s="96"/>
      <c r="G886" s="96"/>
      <c r="H886" s="96"/>
      <c r="I886" s="96"/>
      <c r="J886" s="96"/>
      <c r="K886" s="96"/>
      <c r="L886" s="96"/>
      <c r="M886" s="96"/>
      <c r="N886" s="96"/>
      <c r="O886" s="96"/>
      <c r="P886" s="96"/>
      <c r="Q886" s="96"/>
      <c r="R886" s="96"/>
      <c r="S886" s="96"/>
    </row>
    <row r="887" spans="1:19">
      <c r="A887" s="126"/>
      <c r="B887" s="127"/>
      <c r="C887" s="97"/>
      <c r="D887" s="97"/>
      <c r="E887" s="97"/>
      <c r="F887" s="96"/>
      <c r="G887" s="96"/>
      <c r="H887" s="96"/>
      <c r="I887" s="96"/>
      <c r="J887" s="96"/>
      <c r="K887" s="96"/>
      <c r="L887" s="96"/>
      <c r="M887" s="96"/>
      <c r="N887" s="96"/>
      <c r="O887" s="96"/>
      <c r="P887" s="96"/>
      <c r="Q887" s="96"/>
      <c r="R887" s="96"/>
      <c r="S887" s="96"/>
    </row>
    <row r="888" spans="1:19">
      <c r="A888" s="126"/>
      <c r="B888" s="127"/>
      <c r="C888" s="97"/>
      <c r="D888" s="97"/>
      <c r="E888" s="97"/>
      <c r="F888" s="96"/>
      <c r="G888" s="96"/>
      <c r="H888" s="96"/>
      <c r="I888" s="96"/>
      <c r="J888" s="96"/>
      <c r="K888" s="96"/>
      <c r="L888" s="96"/>
      <c r="M888" s="96"/>
      <c r="N888" s="96"/>
      <c r="O888" s="96"/>
      <c r="P888" s="96"/>
      <c r="Q888" s="96"/>
      <c r="R888" s="96"/>
      <c r="S888" s="96"/>
    </row>
    <row r="889" spans="1:19">
      <c r="A889" s="126"/>
      <c r="B889" s="127"/>
      <c r="C889" s="97"/>
      <c r="D889" s="97"/>
      <c r="E889" s="97"/>
      <c r="F889" s="96"/>
      <c r="G889" s="96"/>
      <c r="H889" s="96"/>
      <c r="I889" s="96"/>
      <c r="J889" s="96"/>
      <c r="K889" s="96"/>
      <c r="L889" s="96"/>
      <c r="M889" s="96"/>
      <c r="N889" s="96"/>
      <c r="O889" s="96"/>
      <c r="P889" s="96"/>
      <c r="Q889" s="96"/>
      <c r="R889" s="96"/>
      <c r="S889" s="96"/>
    </row>
    <row r="890" spans="1:19">
      <c r="A890" s="126"/>
      <c r="B890" s="127"/>
      <c r="C890" s="97"/>
      <c r="D890" s="97"/>
      <c r="E890" s="97"/>
      <c r="F890" s="96"/>
      <c r="G890" s="96"/>
      <c r="H890" s="96"/>
      <c r="I890" s="96"/>
      <c r="J890" s="96"/>
      <c r="K890" s="96"/>
      <c r="L890" s="96"/>
      <c r="M890" s="96"/>
      <c r="N890" s="96"/>
      <c r="O890" s="96"/>
      <c r="P890" s="96"/>
      <c r="Q890" s="96"/>
      <c r="R890" s="96"/>
      <c r="S890" s="96"/>
    </row>
    <row r="891" spans="1:19">
      <c r="A891" s="126"/>
      <c r="B891" s="127"/>
      <c r="C891" s="97"/>
      <c r="D891" s="97"/>
      <c r="E891" s="97"/>
      <c r="F891" s="96"/>
      <c r="G891" s="96"/>
      <c r="H891" s="96"/>
      <c r="I891" s="96"/>
      <c r="J891" s="96"/>
      <c r="K891" s="96"/>
      <c r="L891" s="96"/>
      <c r="M891" s="96"/>
      <c r="N891" s="96"/>
      <c r="O891" s="96"/>
      <c r="P891" s="96"/>
      <c r="Q891" s="96"/>
      <c r="R891" s="96"/>
      <c r="S891" s="96"/>
    </row>
    <row r="892" spans="1:19">
      <c r="A892" s="126"/>
      <c r="B892" s="127"/>
      <c r="C892" s="97"/>
      <c r="D892" s="97"/>
      <c r="E892" s="97"/>
      <c r="F892" s="96"/>
      <c r="G892" s="96"/>
      <c r="H892" s="96"/>
      <c r="I892" s="96"/>
      <c r="J892" s="96"/>
      <c r="K892" s="96"/>
      <c r="L892" s="96"/>
      <c r="M892" s="96"/>
      <c r="N892" s="96"/>
      <c r="O892" s="96"/>
      <c r="P892" s="96"/>
      <c r="Q892" s="96"/>
      <c r="R892" s="96"/>
      <c r="S892" s="96"/>
    </row>
    <row r="893" spans="1:19">
      <c r="A893" s="126"/>
      <c r="B893" s="127"/>
      <c r="C893" s="97"/>
      <c r="D893" s="97"/>
      <c r="E893" s="97"/>
      <c r="F893" s="96"/>
      <c r="G893" s="96"/>
      <c r="H893" s="96"/>
      <c r="I893" s="96"/>
      <c r="J893" s="96"/>
      <c r="K893" s="96"/>
      <c r="L893" s="96"/>
      <c r="M893" s="96"/>
      <c r="N893" s="96"/>
      <c r="O893" s="96"/>
      <c r="P893" s="96"/>
      <c r="Q893" s="96"/>
      <c r="R893" s="96"/>
      <c r="S893" s="96"/>
    </row>
    <row r="894" spans="1:19">
      <c r="A894" s="126"/>
      <c r="B894" s="127"/>
      <c r="C894" s="97"/>
      <c r="D894" s="97"/>
      <c r="E894" s="97"/>
      <c r="F894" s="96"/>
      <c r="G894" s="96"/>
      <c r="H894" s="96"/>
      <c r="I894" s="96"/>
      <c r="J894" s="96"/>
      <c r="K894" s="96"/>
      <c r="L894" s="96"/>
      <c r="M894" s="96"/>
      <c r="N894" s="96"/>
      <c r="O894" s="96"/>
      <c r="P894" s="96"/>
      <c r="Q894" s="96"/>
      <c r="R894" s="96"/>
      <c r="S894" s="96"/>
    </row>
    <row r="895" spans="1:19">
      <c r="A895" s="126"/>
      <c r="B895" s="127"/>
      <c r="C895" s="97"/>
      <c r="D895" s="97"/>
      <c r="E895" s="97"/>
      <c r="F895" s="96"/>
      <c r="G895" s="96"/>
      <c r="H895" s="96"/>
      <c r="I895" s="96"/>
      <c r="J895" s="96"/>
      <c r="K895" s="96"/>
      <c r="L895" s="96"/>
      <c r="M895" s="96"/>
      <c r="N895" s="96"/>
      <c r="O895" s="96"/>
      <c r="P895" s="96"/>
      <c r="Q895" s="96"/>
      <c r="R895" s="96"/>
      <c r="S895" s="96"/>
    </row>
    <row r="896" spans="1:19">
      <c r="A896" s="126"/>
      <c r="B896" s="127"/>
      <c r="C896" s="97"/>
      <c r="D896" s="97"/>
      <c r="E896" s="97"/>
      <c r="F896" s="96"/>
      <c r="G896" s="96"/>
      <c r="H896" s="96"/>
      <c r="I896" s="96"/>
      <c r="J896" s="96"/>
      <c r="K896" s="96"/>
      <c r="L896" s="96"/>
      <c r="M896" s="96"/>
      <c r="N896" s="96"/>
      <c r="O896" s="96"/>
      <c r="P896" s="96"/>
      <c r="Q896" s="96"/>
      <c r="R896" s="96"/>
      <c r="S896" s="96"/>
    </row>
    <row r="897" spans="1:19">
      <c r="A897" s="126"/>
      <c r="B897" s="127"/>
      <c r="C897" s="97"/>
      <c r="D897" s="97"/>
      <c r="E897" s="97"/>
      <c r="F897" s="96"/>
      <c r="G897" s="96"/>
      <c r="H897" s="96"/>
      <c r="I897" s="96"/>
      <c r="J897" s="96"/>
      <c r="K897" s="96"/>
      <c r="L897" s="96"/>
      <c r="M897" s="96"/>
      <c r="N897" s="96"/>
      <c r="O897" s="96"/>
      <c r="P897" s="96"/>
      <c r="Q897" s="96"/>
      <c r="R897" s="96"/>
      <c r="S897" s="96"/>
    </row>
    <row r="898" spans="1:19">
      <c r="A898" s="126"/>
      <c r="B898" s="127"/>
      <c r="C898" s="97"/>
      <c r="D898" s="97"/>
      <c r="E898" s="97"/>
      <c r="F898" s="96"/>
      <c r="G898" s="96"/>
      <c r="H898" s="96"/>
      <c r="I898" s="96"/>
      <c r="J898" s="96"/>
      <c r="K898" s="96"/>
      <c r="L898" s="96"/>
      <c r="M898" s="96"/>
      <c r="N898" s="96"/>
      <c r="O898" s="96"/>
      <c r="P898" s="96"/>
      <c r="Q898" s="96"/>
      <c r="R898" s="96"/>
      <c r="S898" s="96"/>
    </row>
    <row r="899" spans="1:19">
      <c r="A899" s="126"/>
      <c r="B899" s="127"/>
      <c r="C899" s="97"/>
      <c r="D899" s="97"/>
      <c r="E899" s="97"/>
      <c r="F899" s="96"/>
      <c r="G899" s="96"/>
      <c r="H899" s="96"/>
      <c r="I899" s="96"/>
      <c r="J899" s="96"/>
      <c r="K899" s="96"/>
      <c r="L899" s="96"/>
      <c r="M899" s="96"/>
      <c r="N899" s="96"/>
      <c r="O899" s="96"/>
      <c r="P899" s="96"/>
      <c r="Q899" s="96"/>
      <c r="R899" s="96"/>
      <c r="S899" s="96"/>
    </row>
    <row r="900" spans="1:19">
      <c r="A900" s="126"/>
      <c r="B900" s="127"/>
      <c r="C900" s="97"/>
      <c r="D900" s="97"/>
      <c r="E900" s="97"/>
      <c r="F900" s="96"/>
      <c r="G900" s="96"/>
      <c r="H900" s="96"/>
      <c r="I900" s="96"/>
      <c r="J900" s="96"/>
      <c r="K900" s="96"/>
      <c r="L900" s="96"/>
      <c r="M900" s="96"/>
      <c r="N900" s="96"/>
      <c r="O900" s="96"/>
      <c r="P900" s="96"/>
      <c r="Q900" s="96"/>
      <c r="R900" s="96"/>
      <c r="S900" s="96"/>
    </row>
    <row r="901" spans="1:19">
      <c r="A901" s="126"/>
      <c r="B901" s="127"/>
      <c r="C901" s="97"/>
      <c r="D901" s="97"/>
      <c r="E901" s="97"/>
      <c r="F901" s="96"/>
      <c r="G901" s="96"/>
      <c r="H901" s="96"/>
      <c r="I901" s="96"/>
      <c r="J901" s="96"/>
      <c r="K901" s="96"/>
      <c r="L901" s="96"/>
      <c r="M901" s="96"/>
      <c r="N901" s="96"/>
      <c r="O901" s="96"/>
      <c r="P901" s="96"/>
      <c r="Q901" s="96"/>
      <c r="R901" s="96"/>
      <c r="S901" s="96"/>
    </row>
    <row r="902" spans="1:19">
      <c r="A902" s="126"/>
      <c r="B902" s="127"/>
      <c r="C902" s="97"/>
      <c r="D902" s="97"/>
      <c r="E902" s="97"/>
      <c r="F902" s="96"/>
      <c r="G902" s="96"/>
      <c r="H902" s="96"/>
      <c r="I902" s="96"/>
      <c r="J902" s="96"/>
      <c r="K902" s="96"/>
      <c r="L902" s="96"/>
      <c r="M902" s="96"/>
      <c r="N902" s="96"/>
      <c r="O902" s="96"/>
      <c r="P902" s="96"/>
      <c r="Q902" s="96"/>
      <c r="R902" s="96"/>
      <c r="S902" s="96"/>
    </row>
    <row r="903" spans="1:19">
      <c r="A903" s="126"/>
      <c r="B903" s="127"/>
      <c r="C903" s="97"/>
      <c r="D903" s="97"/>
      <c r="E903" s="97"/>
      <c r="F903" s="96"/>
      <c r="G903" s="96"/>
      <c r="H903" s="96"/>
      <c r="I903" s="96"/>
      <c r="J903" s="96"/>
      <c r="K903" s="96"/>
      <c r="L903" s="96"/>
      <c r="M903" s="96"/>
      <c r="N903" s="96"/>
      <c r="O903" s="96"/>
      <c r="P903" s="96"/>
      <c r="Q903" s="96"/>
      <c r="R903" s="96"/>
      <c r="S903" s="96"/>
    </row>
    <row r="904" spans="1:19">
      <c r="A904" s="126"/>
      <c r="B904" s="127"/>
      <c r="C904" s="97"/>
      <c r="D904" s="97"/>
      <c r="E904" s="97"/>
      <c r="F904" s="96"/>
      <c r="G904" s="96"/>
      <c r="H904" s="96"/>
      <c r="I904" s="96"/>
      <c r="J904" s="96"/>
      <c r="K904" s="96"/>
      <c r="L904" s="96"/>
      <c r="M904" s="96"/>
      <c r="N904" s="96"/>
      <c r="O904" s="96"/>
      <c r="P904" s="96"/>
      <c r="Q904" s="96"/>
      <c r="R904" s="96"/>
      <c r="S904" s="96"/>
    </row>
    <row r="905" spans="1:19">
      <c r="A905" s="126"/>
      <c r="B905" s="127"/>
      <c r="C905" s="97"/>
      <c r="D905" s="97"/>
      <c r="E905" s="97"/>
      <c r="F905" s="96"/>
      <c r="G905" s="96"/>
      <c r="H905" s="96"/>
      <c r="I905" s="96"/>
      <c r="J905" s="96"/>
      <c r="K905" s="96"/>
      <c r="L905" s="96"/>
      <c r="M905" s="96"/>
      <c r="N905" s="96"/>
      <c r="O905" s="96"/>
      <c r="P905" s="96"/>
      <c r="Q905" s="96"/>
      <c r="R905" s="96"/>
      <c r="S905" s="96"/>
    </row>
    <row r="906" spans="1:19">
      <c r="A906" s="126"/>
      <c r="B906" s="127"/>
      <c r="C906" s="97"/>
      <c r="D906" s="97"/>
      <c r="E906" s="97"/>
      <c r="F906" s="96"/>
      <c r="G906" s="96"/>
      <c r="H906" s="96"/>
      <c r="I906" s="96"/>
      <c r="J906" s="96"/>
      <c r="K906" s="96"/>
      <c r="L906" s="96"/>
      <c r="M906" s="96"/>
      <c r="N906" s="96"/>
      <c r="O906" s="96"/>
      <c r="P906" s="96"/>
      <c r="Q906" s="96"/>
      <c r="R906" s="96"/>
      <c r="S906" s="96"/>
    </row>
    <row r="907" spans="1:19">
      <c r="A907" s="126"/>
      <c r="B907" s="127"/>
      <c r="C907" s="97"/>
      <c r="D907" s="97"/>
      <c r="E907" s="97"/>
      <c r="F907" s="96"/>
      <c r="G907" s="96"/>
      <c r="H907" s="96"/>
      <c r="I907" s="96"/>
      <c r="J907" s="96"/>
      <c r="K907" s="96"/>
      <c r="L907" s="96"/>
      <c r="M907" s="96"/>
      <c r="N907" s="96"/>
      <c r="O907" s="96"/>
      <c r="P907" s="96"/>
      <c r="Q907" s="96"/>
      <c r="R907" s="96"/>
      <c r="S907" s="96"/>
    </row>
    <row r="908" spans="1:19">
      <c r="A908" s="126"/>
      <c r="B908" s="127"/>
      <c r="C908" s="97"/>
      <c r="D908" s="97"/>
      <c r="E908" s="97"/>
      <c r="F908" s="96"/>
      <c r="G908" s="96"/>
      <c r="H908" s="96"/>
      <c r="I908" s="96"/>
      <c r="J908" s="96"/>
      <c r="K908" s="96"/>
      <c r="L908" s="96"/>
      <c r="M908" s="96"/>
      <c r="N908" s="96"/>
      <c r="O908" s="96"/>
      <c r="P908" s="96"/>
      <c r="Q908" s="96"/>
      <c r="R908" s="96"/>
      <c r="S908" s="96"/>
    </row>
    <row r="909" spans="1:19">
      <c r="A909" s="126"/>
      <c r="B909" s="127"/>
      <c r="C909" s="97"/>
      <c r="D909" s="97"/>
      <c r="E909" s="97"/>
      <c r="F909" s="96"/>
      <c r="G909" s="96"/>
      <c r="H909" s="96"/>
      <c r="I909" s="96"/>
      <c r="J909" s="96"/>
      <c r="K909" s="96"/>
      <c r="L909" s="96"/>
      <c r="M909" s="96"/>
      <c r="N909" s="96"/>
      <c r="O909" s="96"/>
      <c r="P909" s="96"/>
      <c r="Q909" s="96"/>
      <c r="R909" s="96"/>
      <c r="S909" s="96"/>
    </row>
    <row r="910" spans="1:19">
      <c r="A910" s="126"/>
      <c r="B910" s="127"/>
      <c r="C910" s="97"/>
      <c r="D910" s="97"/>
      <c r="E910" s="97"/>
      <c r="F910" s="96"/>
      <c r="G910" s="96"/>
      <c r="H910" s="96"/>
      <c r="I910" s="96"/>
      <c r="J910" s="96"/>
      <c r="K910" s="96"/>
      <c r="L910" s="96"/>
      <c r="M910" s="96"/>
      <c r="N910" s="96"/>
      <c r="O910" s="96"/>
      <c r="P910" s="96"/>
      <c r="Q910" s="96"/>
      <c r="R910" s="96"/>
      <c r="S910" s="96"/>
    </row>
    <row r="911" spans="1:19">
      <c r="A911" s="126"/>
      <c r="B911" s="127"/>
      <c r="C911" s="97"/>
      <c r="D911" s="97"/>
      <c r="E911" s="97"/>
      <c r="F911" s="96"/>
      <c r="G911" s="96"/>
      <c r="H911" s="96"/>
      <c r="I911" s="96"/>
      <c r="J911" s="96"/>
      <c r="K911" s="96"/>
      <c r="L911" s="96"/>
      <c r="M911" s="96"/>
      <c r="N911" s="96"/>
      <c r="O911" s="96"/>
      <c r="P911" s="96"/>
      <c r="Q911" s="96"/>
      <c r="R911" s="96"/>
      <c r="S911" s="96"/>
    </row>
    <row r="912" spans="1:19">
      <c r="A912" s="126"/>
      <c r="B912" s="127"/>
      <c r="C912" s="97"/>
      <c r="D912" s="97"/>
      <c r="E912" s="97"/>
      <c r="F912" s="96"/>
      <c r="G912" s="96"/>
      <c r="H912" s="96"/>
      <c r="I912" s="96"/>
      <c r="J912" s="96"/>
      <c r="K912" s="96"/>
      <c r="L912" s="96"/>
      <c r="M912" s="96"/>
      <c r="N912" s="96"/>
      <c r="O912" s="96"/>
      <c r="P912" s="96"/>
      <c r="Q912" s="96"/>
      <c r="R912" s="96"/>
      <c r="S912" s="96"/>
    </row>
    <row r="913" spans="1:19">
      <c r="A913" s="126"/>
      <c r="B913" s="127"/>
      <c r="C913" s="97"/>
      <c r="D913" s="97"/>
      <c r="E913" s="97"/>
      <c r="F913" s="96"/>
      <c r="G913" s="96"/>
      <c r="H913" s="96"/>
      <c r="I913" s="96"/>
      <c r="J913" s="96"/>
      <c r="K913" s="96"/>
      <c r="L913" s="96"/>
      <c r="M913" s="96"/>
      <c r="N913" s="96"/>
      <c r="O913" s="96"/>
      <c r="P913" s="96"/>
      <c r="Q913" s="96"/>
      <c r="R913" s="96"/>
      <c r="S913" s="96"/>
    </row>
    <row r="914" spans="1:19">
      <c r="A914" s="126"/>
      <c r="B914" s="127"/>
      <c r="C914" s="97"/>
      <c r="D914" s="97"/>
      <c r="E914" s="97"/>
      <c r="F914" s="96"/>
      <c r="G914" s="96"/>
      <c r="H914" s="96"/>
      <c r="I914" s="96"/>
      <c r="J914" s="96"/>
      <c r="K914" s="96"/>
      <c r="L914" s="96"/>
      <c r="M914" s="96"/>
      <c r="N914" s="96"/>
      <c r="O914" s="96"/>
      <c r="P914" s="96"/>
      <c r="Q914" s="96"/>
      <c r="R914" s="96"/>
      <c r="S914" s="96"/>
    </row>
    <row r="915" spans="1:19">
      <c r="A915" s="126"/>
      <c r="B915" s="127"/>
      <c r="C915" s="97"/>
      <c r="D915" s="97"/>
      <c r="E915" s="97"/>
      <c r="F915" s="96"/>
      <c r="G915" s="96"/>
      <c r="H915" s="96"/>
      <c r="I915" s="96"/>
      <c r="J915" s="96"/>
      <c r="K915" s="96"/>
      <c r="L915" s="96"/>
      <c r="M915" s="96"/>
      <c r="N915" s="96"/>
      <c r="O915" s="96"/>
      <c r="P915" s="96"/>
      <c r="Q915" s="96"/>
      <c r="R915" s="96"/>
      <c r="S915" s="96"/>
    </row>
    <row r="916" spans="1:19">
      <c r="A916" s="126"/>
      <c r="B916" s="127"/>
      <c r="C916" s="97"/>
      <c r="D916" s="97"/>
      <c r="E916" s="97"/>
      <c r="F916" s="96"/>
      <c r="G916" s="96"/>
      <c r="H916" s="96"/>
      <c r="I916" s="96"/>
      <c r="J916" s="96"/>
      <c r="K916" s="96"/>
      <c r="L916" s="96"/>
      <c r="M916" s="96"/>
      <c r="N916" s="96"/>
      <c r="O916" s="96"/>
      <c r="P916" s="96"/>
      <c r="Q916" s="96"/>
      <c r="R916" s="96"/>
      <c r="S916" s="96"/>
    </row>
    <row r="917" spans="1:19">
      <c r="A917" s="126"/>
      <c r="B917" s="127"/>
      <c r="C917" s="97"/>
      <c r="D917" s="97"/>
      <c r="E917" s="97"/>
      <c r="F917" s="96"/>
      <c r="G917" s="96"/>
      <c r="H917" s="96"/>
      <c r="I917" s="96"/>
      <c r="J917" s="96"/>
      <c r="K917" s="96"/>
      <c r="L917" s="96"/>
      <c r="M917" s="96"/>
      <c r="N917" s="96"/>
      <c r="O917" s="96"/>
      <c r="P917" s="96"/>
      <c r="Q917" s="96"/>
      <c r="R917" s="96"/>
      <c r="S917" s="96"/>
    </row>
    <row r="918" spans="1:19">
      <c r="A918" s="128"/>
      <c r="B918" s="131"/>
      <c r="C918" s="97"/>
      <c r="D918" s="97"/>
      <c r="E918" s="97"/>
      <c r="F918" s="96"/>
      <c r="G918" s="96"/>
      <c r="H918" s="96"/>
      <c r="I918" s="96"/>
      <c r="J918" s="96"/>
      <c r="K918" s="96"/>
      <c r="L918" s="96"/>
      <c r="M918" s="96"/>
      <c r="N918" s="96"/>
      <c r="O918" s="96"/>
      <c r="P918" s="96"/>
      <c r="Q918" s="96"/>
      <c r="R918" s="96"/>
      <c r="S918" s="96"/>
    </row>
    <row r="919" spans="1:19">
      <c r="A919" s="128"/>
      <c r="B919" s="131"/>
      <c r="C919" s="97"/>
      <c r="D919" s="97"/>
      <c r="E919" s="97"/>
      <c r="F919" s="96"/>
      <c r="G919" s="96"/>
      <c r="H919" s="96"/>
      <c r="I919" s="96"/>
      <c r="J919" s="96"/>
      <c r="K919" s="96"/>
      <c r="L919" s="96"/>
      <c r="M919" s="96"/>
      <c r="N919" s="96"/>
      <c r="O919" s="96"/>
      <c r="P919" s="96"/>
      <c r="Q919" s="96"/>
      <c r="R919" s="96"/>
      <c r="S919" s="96"/>
    </row>
    <row r="920" spans="1:19">
      <c r="A920" s="128"/>
      <c r="B920" s="131"/>
      <c r="C920" s="97"/>
      <c r="D920" s="97"/>
      <c r="E920" s="97"/>
      <c r="F920" s="96"/>
      <c r="G920" s="96"/>
      <c r="H920" s="96"/>
      <c r="I920" s="96"/>
      <c r="J920" s="96"/>
      <c r="K920" s="96"/>
      <c r="L920" s="96"/>
      <c r="M920" s="96"/>
      <c r="N920" s="96"/>
      <c r="O920" s="96"/>
      <c r="P920" s="96"/>
      <c r="Q920" s="96"/>
      <c r="R920" s="96"/>
      <c r="S920" s="96"/>
    </row>
    <row r="921" spans="1:19">
      <c r="A921" s="128"/>
      <c r="B921" s="131"/>
      <c r="C921" s="97"/>
      <c r="D921" s="97"/>
      <c r="E921" s="97"/>
      <c r="F921" s="96"/>
      <c r="G921" s="96"/>
      <c r="H921" s="96"/>
      <c r="I921" s="96"/>
      <c r="J921" s="96"/>
      <c r="K921" s="96"/>
      <c r="L921" s="96"/>
      <c r="M921" s="96"/>
      <c r="N921" s="96"/>
      <c r="O921" s="96"/>
      <c r="P921" s="96"/>
      <c r="Q921" s="96"/>
      <c r="R921" s="96"/>
      <c r="S921" s="96"/>
    </row>
    <row r="922" spans="1:19">
      <c r="A922" s="128"/>
      <c r="B922" s="131"/>
      <c r="C922" s="97"/>
      <c r="D922" s="97"/>
      <c r="E922" s="97"/>
      <c r="F922" s="96"/>
      <c r="G922" s="96"/>
      <c r="H922" s="96"/>
      <c r="I922" s="96"/>
      <c r="J922" s="96"/>
      <c r="K922" s="96"/>
      <c r="L922" s="96"/>
      <c r="M922" s="96"/>
      <c r="N922" s="96"/>
      <c r="O922" s="96"/>
      <c r="P922" s="96"/>
      <c r="Q922" s="96"/>
      <c r="R922" s="96"/>
      <c r="S922" s="96"/>
    </row>
    <row r="923" spans="1:19">
      <c r="A923" s="128"/>
      <c r="B923" s="131"/>
      <c r="C923" s="97"/>
      <c r="D923" s="97"/>
      <c r="E923" s="97"/>
      <c r="F923" s="96"/>
      <c r="G923" s="96"/>
      <c r="H923" s="96"/>
      <c r="I923" s="96"/>
      <c r="J923" s="96"/>
      <c r="K923" s="96"/>
      <c r="L923" s="96"/>
      <c r="M923" s="96"/>
      <c r="N923" s="96"/>
      <c r="O923" s="96"/>
      <c r="P923" s="96"/>
      <c r="Q923" s="96"/>
      <c r="R923" s="96"/>
      <c r="S923" s="96"/>
    </row>
    <row r="924" spans="1:19">
      <c r="A924" s="128"/>
      <c r="B924" s="131"/>
      <c r="C924" s="97"/>
      <c r="D924" s="97"/>
      <c r="E924" s="97"/>
      <c r="F924" s="96"/>
      <c r="G924" s="96"/>
      <c r="H924" s="96"/>
      <c r="I924" s="96"/>
      <c r="J924" s="96"/>
      <c r="K924" s="96"/>
      <c r="L924" s="96"/>
      <c r="M924" s="96"/>
      <c r="N924" s="96"/>
      <c r="O924" s="96"/>
      <c r="P924" s="96"/>
      <c r="Q924" s="96"/>
      <c r="R924" s="96"/>
      <c r="S924" s="96"/>
    </row>
    <row r="925" spans="1:19">
      <c r="A925" s="128"/>
      <c r="B925" s="131"/>
      <c r="C925" s="97"/>
      <c r="D925" s="97"/>
      <c r="E925" s="97"/>
      <c r="F925" s="96"/>
      <c r="G925" s="96"/>
      <c r="H925" s="96"/>
      <c r="I925" s="96"/>
      <c r="J925" s="96"/>
      <c r="K925" s="96"/>
      <c r="L925" s="96"/>
      <c r="M925" s="96"/>
      <c r="N925" s="96"/>
      <c r="O925" s="96"/>
      <c r="P925" s="96"/>
      <c r="Q925" s="96"/>
      <c r="R925" s="96"/>
      <c r="S925" s="96"/>
    </row>
    <row r="926" spans="1:19">
      <c r="A926" s="128"/>
      <c r="B926" s="131"/>
      <c r="C926" s="97"/>
      <c r="D926" s="97"/>
      <c r="E926" s="97"/>
      <c r="F926" s="96"/>
      <c r="G926" s="96"/>
      <c r="H926" s="96"/>
      <c r="I926" s="96"/>
      <c r="J926" s="96"/>
      <c r="K926" s="96"/>
      <c r="L926" s="96"/>
      <c r="M926" s="96"/>
      <c r="N926" s="96"/>
      <c r="O926" s="96"/>
      <c r="P926" s="96"/>
      <c r="Q926" s="96"/>
      <c r="R926" s="96"/>
      <c r="S926" s="96"/>
    </row>
    <row r="927" spans="1:19">
      <c r="A927" s="128"/>
      <c r="B927" s="131"/>
      <c r="C927" s="97"/>
      <c r="D927" s="97"/>
      <c r="E927" s="97"/>
      <c r="F927" s="96"/>
      <c r="G927" s="96"/>
      <c r="H927" s="96"/>
      <c r="I927" s="96"/>
      <c r="J927" s="96"/>
      <c r="K927" s="96"/>
      <c r="L927" s="96"/>
      <c r="M927" s="96"/>
      <c r="N927" s="96"/>
      <c r="O927" s="96"/>
      <c r="P927" s="96"/>
      <c r="Q927" s="96"/>
      <c r="R927" s="96"/>
      <c r="S927" s="96"/>
    </row>
    <row r="928" spans="1:19">
      <c r="A928" s="128"/>
      <c r="B928" s="131"/>
      <c r="C928" s="97"/>
      <c r="D928" s="97"/>
      <c r="E928" s="97"/>
      <c r="F928" s="96"/>
      <c r="G928" s="96"/>
      <c r="H928" s="96"/>
      <c r="I928" s="96"/>
      <c r="J928" s="96"/>
      <c r="K928" s="96"/>
      <c r="L928" s="96"/>
      <c r="M928" s="96"/>
      <c r="N928" s="96"/>
      <c r="O928" s="96"/>
      <c r="P928" s="96"/>
      <c r="Q928" s="96"/>
      <c r="R928" s="96"/>
      <c r="S928" s="96"/>
    </row>
    <row r="929" spans="1:19">
      <c r="A929" s="128"/>
      <c r="B929" s="131"/>
      <c r="C929" s="97"/>
      <c r="D929" s="97"/>
      <c r="E929" s="97"/>
      <c r="F929" s="96"/>
      <c r="G929" s="96"/>
      <c r="H929" s="96"/>
      <c r="I929" s="96"/>
      <c r="J929" s="96"/>
      <c r="K929" s="96"/>
      <c r="L929" s="96"/>
      <c r="M929" s="96"/>
      <c r="N929" s="96"/>
      <c r="O929" s="96"/>
      <c r="P929" s="96"/>
      <c r="Q929" s="96"/>
      <c r="R929" s="96"/>
      <c r="S929" s="96"/>
    </row>
    <row r="930" spans="1:19">
      <c r="A930" s="128"/>
      <c r="B930" s="131"/>
      <c r="C930" s="97"/>
      <c r="D930" s="97"/>
      <c r="E930" s="97"/>
      <c r="F930" s="96"/>
      <c r="G930" s="96"/>
      <c r="H930" s="96"/>
      <c r="I930" s="96"/>
      <c r="J930" s="96"/>
      <c r="K930" s="96"/>
      <c r="L930" s="96"/>
      <c r="M930" s="96"/>
      <c r="N930" s="96"/>
      <c r="O930" s="96"/>
      <c r="P930" s="96"/>
      <c r="Q930" s="96"/>
      <c r="R930" s="96"/>
      <c r="S930" s="96"/>
    </row>
    <row r="931" spans="1:19">
      <c r="A931" s="128"/>
      <c r="B931" s="131"/>
      <c r="C931" s="97"/>
      <c r="D931" s="97"/>
      <c r="E931" s="97"/>
      <c r="F931" s="96"/>
      <c r="G931" s="96"/>
      <c r="H931" s="96"/>
      <c r="I931" s="96"/>
      <c r="J931" s="96"/>
      <c r="K931" s="96"/>
      <c r="L931" s="96"/>
      <c r="M931" s="96"/>
      <c r="N931" s="96"/>
      <c r="O931" s="96"/>
      <c r="P931" s="96"/>
      <c r="Q931" s="96"/>
      <c r="R931" s="96"/>
      <c r="S931" s="96"/>
    </row>
    <row r="932" spans="1:19">
      <c r="A932" s="128"/>
      <c r="B932" s="131"/>
      <c r="C932" s="97"/>
      <c r="D932" s="97"/>
      <c r="E932" s="97"/>
      <c r="F932" s="96"/>
      <c r="G932" s="96"/>
      <c r="H932" s="96"/>
      <c r="I932" s="96"/>
      <c r="J932" s="96"/>
      <c r="K932" s="96"/>
      <c r="L932" s="96"/>
      <c r="M932" s="96"/>
      <c r="N932" s="96"/>
      <c r="O932" s="96"/>
      <c r="P932" s="96"/>
      <c r="Q932" s="96"/>
      <c r="R932" s="96"/>
      <c r="S932" s="96"/>
    </row>
    <row r="933" spans="1:19">
      <c r="A933" s="128"/>
      <c r="B933" s="131"/>
      <c r="C933" s="97"/>
      <c r="D933" s="97"/>
      <c r="E933" s="97"/>
      <c r="F933" s="96"/>
      <c r="G933" s="96"/>
      <c r="H933" s="96"/>
      <c r="I933" s="96"/>
      <c r="J933" s="96"/>
      <c r="K933" s="96"/>
      <c r="L933" s="96"/>
      <c r="M933" s="96"/>
      <c r="N933" s="96"/>
      <c r="O933" s="96"/>
      <c r="P933" s="96"/>
      <c r="Q933" s="96"/>
      <c r="R933" s="96"/>
      <c r="S933" s="96"/>
    </row>
    <row r="934" spans="1:19">
      <c r="A934" s="128"/>
      <c r="B934" s="131"/>
      <c r="C934" s="97"/>
      <c r="D934" s="97"/>
      <c r="E934" s="97"/>
      <c r="F934" s="96"/>
      <c r="G934" s="96"/>
      <c r="H934" s="96"/>
      <c r="I934" s="96"/>
      <c r="J934" s="96"/>
      <c r="K934" s="96"/>
      <c r="L934" s="96"/>
      <c r="M934" s="96"/>
      <c r="N934" s="96"/>
      <c r="O934" s="96"/>
      <c r="P934" s="96"/>
      <c r="Q934" s="96"/>
      <c r="R934" s="96"/>
      <c r="S934" s="96"/>
    </row>
    <row r="935" spans="1:19">
      <c r="A935" s="128"/>
      <c r="B935" s="131"/>
      <c r="C935" s="97"/>
      <c r="D935" s="97"/>
      <c r="E935" s="97"/>
      <c r="F935" s="96"/>
      <c r="G935" s="96"/>
      <c r="H935" s="96"/>
      <c r="I935" s="96"/>
      <c r="J935" s="96"/>
      <c r="K935" s="96"/>
      <c r="L935" s="96"/>
      <c r="M935" s="96"/>
      <c r="N935" s="96"/>
      <c r="O935" s="96"/>
      <c r="P935" s="96"/>
      <c r="Q935" s="96"/>
      <c r="R935" s="96"/>
      <c r="S935" s="96"/>
    </row>
    <row r="936" spans="1:19">
      <c r="A936" s="128"/>
      <c r="B936" s="131"/>
      <c r="C936" s="97"/>
      <c r="D936" s="97"/>
      <c r="E936" s="97"/>
      <c r="F936" s="96"/>
      <c r="G936" s="96"/>
      <c r="H936" s="96"/>
      <c r="I936" s="96"/>
      <c r="J936" s="96"/>
      <c r="K936" s="96"/>
      <c r="L936" s="96"/>
      <c r="M936" s="96"/>
      <c r="N936" s="96"/>
      <c r="O936" s="96"/>
      <c r="P936" s="96"/>
      <c r="Q936" s="96"/>
      <c r="R936" s="96"/>
      <c r="S936" s="96"/>
    </row>
    <row r="937" spans="1:19">
      <c r="A937" s="128"/>
      <c r="B937" s="131"/>
      <c r="C937" s="97"/>
      <c r="D937" s="97"/>
      <c r="E937" s="97"/>
      <c r="F937" s="96"/>
      <c r="G937" s="96"/>
      <c r="H937" s="96"/>
      <c r="I937" s="96"/>
      <c r="J937" s="96"/>
      <c r="K937" s="96"/>
      <c r="L937" s="96"/>
      <c r="M937" s="96"/>
      <c r="N937" s="96"/>
      <c r="O937" s="96"/>
      <c r="P937" s="96"/>
      <c r="Q937" s="96"/>
      <c r="R937" s="96"/>
      <c r="S937" s="96"/>
    </row>
    <row r="938" spans="1:19">
      <c r="A938" s="128"/>
      <c r="B938" s="131"/>
      <c r="C938" s="97"/>
      <c r="D938" s="97"/>
      <c r="E938" s="97"/>
      <c r="F938" s="96"/>
      <c r="G938" s="96"/>
      <c r="H938" s="96"/>
      <c r="I938" s="96"/>
      <c r="J938" s="96"/>
      <c r="K938" s="96"/>
      <c r="L938" s="96"/>
      <c r="M938" s="96"/>
      <c r="N938" s="96"/>
      <c r="O938" s="96"/>
      <c r="P938" s="96"/>
      <c r="Q938" s="96"/>
      <c r="R938" s="96"/>
      <c r="S938" s="96"/>
    </row>
    <row r="939" spans="1:19">
      <c r="A939" s="128"/>
      <c r="B939" s="131"/>
      <c r="C939" s="97"/>
      <c r="D939" s="97"/>
      <c r="E939" s="97"/>
      <c r="F939" s="96"/>
      <c r="G939" s="96"/>
      <c r="H939" s="96"/>
      <c r="I939" s="96"/>
      <c r="J939" s="96"/>
      <c r="K939" s="96"/>
      <c r="L939" s="96"/>
      <c r="M939" s="96"/>
      <c r="N939" s="96"/>
      <c r="O939" s="96"/>
      <c r="P939" s="96"/>
      <c r="Q939" s="96"/>
      <c r="R939" s="96"/>
      <c r="S939" s="96"/>
    </row>
    <row r="940" spans="1:19">
      <c r="A940" s="128"/>
      <c r="B940" s="131"/>
      <c r="C940" s="97"/>
      <c r="D940" s="97"/>
      <c r="E940" s="97"/>
      <c r="F940" s="96"/>
      <c r="G940" s="96"/>
      <c r="H940" s="96"/>
      <c r="I940" s="96"/>
      <c r="J940" s="96"/>
      <c r="K940" s="96"/>
      <c r="L940" s="96"/>
      <c r="M940" s="96"/>
      <c r="N940" s="96"/>
      <c r="O940" s="96"/>
      <c r="P940" s="96"/>
      <c r="Q940" s="96"/>
      <c r="R940" s="96"/>
      <c r="S940" s="96"/>
    </row>
    <row r="941" spans="1:19">
      <c r="A941" s="128"/>
      <c r="B941" s="131"/>
      <c r="C941" s="97"/>
      <c r="D941" s="97"/>
      <c r="E941" s="97"/>
      <c r="F941" s="96"/>
      <c r="G941" s="96"/>
      <c r="H941" s="96"/>
      <c r="I941" s="96"/>
      <c r="J941" s="96"/>
      <c r="K941" s="96"/>
      <c r="L941" s="96"/>
      <c r="M941" s="96"/>
      <c r="N941" s="96"/>
      <c r="O941" s="96"/>
      <c r="P941" s="96"/>
      <c r="Q941" s="96"/>
      <c r="R941" s="96"/>
      <c r="S941" s="96"/>
    </row>
    <row r="942" spans="1:19">
      <c r="A942" s="128"/>
      <c r="B942" s="131"/>
      <c r="C942" s="97"/>
      <c r="D942" s="97"/>
      <c r="E942" s="97"/>
      <c r="F942" s="96"/>
      <c r="G942" s="96"/>
      <c r="H942" s="96"/>
      <c r="I942" s="96"/>
      <c r="J942" s="96"/>
      <c r="K942" s="96"/>
      <c r="L942" s="96"/>
      <c r="M942" s="96"/>
      <c r="N942" s="96"/>
      <c r="O942" s="96"/>
      <c r="P942" s="96"/>
      <c r="Q942" s="96"/>
      <c r="R942" s="96"/>
      <c r="S942" s="96"/>
    </row>
    <row r="943" spans="1:19">
      <c r="A943" s="128"/>
      <c r="B943" s="131"/>
      <c r="C943" s="97"/>
      <c r="D943" s="97"/>
      <c r="E943" s="97"/>
      <c r="F943" s="96"/>
      <c r="G943" s="96"/>
      <c r="H943" s="96"/>
      <c r="I943" s="96"/>
      <c r="J943" s="96"/>
      <c r="K943" s="96"/>
      <c r="L943" s="96"/>
      <c r="M943" s="96"/>
      <c r="N943" s="96"/>
      <c r="O943" s="96"/>
      <c r="P943" s="96"/>
      <c r="Q943" s="96"/>
      <c r="R943" s="96"/>
      <c r="S943" s="96"/>
    </row>
    <row r="944" spans="1:19">
      <c r="A944" s="128"/>
      <c r="B944" s="131"/>
      <c r="C944" s="97"/>
      <c r="D944" s="97"/>
      <c r="E944" s="97"/>
      <c r="F944" s="96"/>
      <c r="G944" s="96"/>
      <c r="H944" s="96"/>
      <c r="I944" s="96"/>
      <c r="J944" s="96"/>
      <c r="K944" s="96"/>
      <c r="L944" s="96"/>
      <c r="M944" s="96"/>
      <c r="N944" s="96"/>
      <c r="O944" s="96"/>
      <c r="P944" s="96"/>
      <c r="Q944" s="96"/>
      <c r="R944" s="96"/>
      <c r="S944" s="96"/>
    </row>
    <row r="945" spans="1:19">
      <c r="A945" s="128"/>
      <c r="B945" s="131"/>
      <c r="C945" s="97"/>
      <c r="D945" s="97"/>
      <c r="E945" s="97"/>
      <c r="F945" s="96"/>
      <c r="G945" s="96"/>
      <c r="H945" s="96"/>
      <c r="I945" s="96"/>
      <c r="J945" s="96"/>
      <c r="K945" s="96"/>
      <c r="L945" s="96"/>
      <c r="M945" s="96"/>
      <c r="N945" s="96"/>
      <c r="O945" s="96"/>
      <c r="P945" s="96"/>
      <c r="Q945" s="96"/>
      <c r="R945" s="96"/>
      <c r="S945" s="96"/>
    </row>
    <row r="946" spans="1:19">
      <c r="A946" s="128"/>
      <c r="B946" s="131"/>
      <c r="C946" s="97"/>
      <c r="D946" s="97"/>
      <c r="E946" s="97"/>
      <c r="F946" s="96"/>
      <c r="G946" s="96"/>
      <c r="H946" s="96"/>
      <c r="I946" s="96"/>
      <c r="J946" s="96"/>
      <c r="K946" s="96"/>
      <c r="L946" s="96"/>
      <c r="M946" s="96"/>
      <c r="N946" s="96"/>
      <c r="O946" s="96"/>
      <c r="P946" s="96"/>
      <c r="Q946" s="96"/>
      <c r="R946" s="96"/>
      <c r="S946" s="96"/>
    </row>
    <row r="947" spans="1:19">
      <c r="A947" s="128"/>
      <c r="B947" s="131"/>
      <c r="C947" s="97"/>
      <c r="D947" s="97"/>
      <c r="E947" s="97"/>
      <c r="F947" s="96"/>
      <c r="G947" s="96"/>
      <c r="H947" s="96"/>
      <c r="I947" s="96"/>
      <c r="J947" s="96"/>
      <c r="K947" s="96"/>
      <c r="L947" s="96"/>
      <c r="M947" s="96"/>
      <c r="N947" s="96"/>
      <c r="O947" s="96"/>
      <c r="P947" s="96"/>
      <c r="Q947" s="96"/>
      <c r="R947" s="96"/>
      <c r="S947" s="96"/>
    </row>
    <row r="948" spans="1:19">
      <c r="A948" s="128"/>
      <c r="B948" s="131"/>
      <c r="C948" s="97"/>
      <c r="D948" s="97"/>
      <c r="E948" s="97"/>
      <c r="F948" s="96"/>
      <c r="G948" s="96"/>
      <c r="H948" s="96"/>
      <c r="I948" s="96"/>
      <c r="J948" s="96"/>
      <c r="K948" s="96"/>
      <c r="L948" s="96"/>
      <c r="M948" s="96"/>
      <c r="N948" s="96"/>
      <c r="O948" s="96"/>
      <c r="P948" s="96"/>
      <c r="Q948" s="96"/>
      <c r="R948" s="96"/>
      <c r="S948" s="96"/>
    </row>
    <row r="949" spans="1:19">
      <c r="A949" s="128"/>
      <c r="B949" s="131"/>
      <c r="C949" s="97"/>
      <c r="D949" s="97"/>
      <c r="E949" s="97"/>
      <c r="F949" s="96"/>
      <c r="G949" s="96"/>
      <c r="H949" s="96"/>
      <c r="I949" s="96"/>
      <c r="J949" s="96"/>
      <c r="K949" s="96"/>
      <c r="L949" s="96"/>
      <c r="M949" s="96"/>
      <c r="N949" s="96"/>
      <c r="O949" s="96"/>
      <c r="P949" s="96"/>
      <c r="Q949" s="96"/>
      <c r="R949" s="96"/>
      <c r="S949" s="96"/>
    </row>
    <row r="950" spans="1:19">
      <c r="A950" s="128"/>
      <c r="B950" s="131"/>
      <c r="C950" s="97"/>
      <c r="D950" s="97"/>
      <c r="E950" s="97"/>
      <c r="F950" s="96"/>
      <c r="G950" s="96"/>
      <c r="H950" s="96"/>
      <c r="I950" s="96"/>
      <c r="J950" s="96"/>
      <c r="K950" s="96"/>
      <c r="L950" s="96"/>
      <c r="M950" s="96"/>
      <c r="N950" s="96"/>
      <c r="O950" s="96"/>
      <c r="P950" s="96"/>
      <c r="Q950" s="96"/>
      <c r="R950" s="96"/>
      <c r="S950" s="96"/>
    </row>
    <row r="951" spans="1:19">
      <c r="A951" s="128"/>
      <c r="B951" s="131"/>
      <c r="C951" s="97"/>
      <c r="D951" s="97"/>
      <c r="E951" s="97"/>
      <c r="F951" s="96"/>
      <c r="G951" s="96"/>
      <c r="H951" s="96"/>
      <c r="I951" s="96"/>
      <c r="J951" s="96"/>
      <c r="K951" s="96"/>
      <c r="L951" s="96"/>
      <c r="M951" s="96"/>
      <c r="N951" s="96"/>
      <c r="O951" s="96"/>
      <c r="P951" s="96"/>
      <c r="Q951" s="96"/>
      <c r="R951" s="96"/>
      <c r="S951" s="96"/>
    </row>
    <row r="952" spans="1:19">
      <c r="A952" s="128"/>
      <c r="B952" s="131"/>
      <c r="C952" s="97"/>
      <c r="D952" s="97"/>
      <c r="E952" s="97"/>
      <c r="F952" s="96"/>
      <c r="G952" s="96"/>
      <c r="H952" s="96"/>
      <c r="I952" s="96"/>
      <c r="J952" s="96"/>
      <c r="K952" s="96"/>
      <c r="L952" s="96"/>
      <c r="M952" s="96"/>
      <c r="N952" s="96"/>
      <c r="O952" s="96"/>
      <c r="P952" s="96"/>
      <c r="Q952" s="96"/>
      <c r="R952" s="96"/>
      <c r="S952" s="96"/>
    </row>
    <row r="953" spans="1:19">
      <c r="A953" s="128"/>
      <c r="B953" s="131"/>
      <c r="C953" s="97"/>
      <c r="D953" s="97"/>
      <c r="E953" s="97"/>
      <c r="F953" s="96"/>
      <c r="G953" s="96"/>
      <c r="H953" s="96"/>
      <c r="I953" s="96"/>
      <c r="J953" s="96"/>
      <c r="K953" s="96"/>
      <c r="L953" s="96"/>
      <c r="M953" s="96"/>
      <c r="N953" s="96"/>
      <c r="O953" s="96"/>
      <c r="P953" s="96"/>
      <c r="Q953" s="96"/>
      <c r="R953" s="96"/>
      <c r="S953" s="96"/>
    </row>
    <row r="954" spans="1:19">
      <c r="A954" s="128"/>
      <c r="B954" s="131"/>
      <c r="C954" s="97"/>
      <c r="D954" s="97"/>
      <c r="E954" s="97"/>
      <c r="F954" s="96"/>
      <c r="G954" s="96"/>
      <c r="H954" s="96"/>
      <c r="I954" s="96"/>
      <c r="J954" s="96"/>
      <c r="K954" s="96"/>
      <c r="L954" s="96"/>
      <c r="M954" s="96"/>
      <c r="N954" s="96"/>
      <c r="O954" s="96"/>
      <c r="P954" s="96"/>
      <c r="Q954" s="96"/>
      <c r="R954" s="96"/>
      <c r="S954" s="96"/>
    </row>
    <row r="955" spans="1:19">
      <c r="A955" s="128"/>
      <c r="B955" s="131"/>
      <c r="C955" s="97"/>
      <c r="D955" s="97"/>
      <c r="E955" s="97"/>
      <c r="F955" s="96"/>
      <c r="G955" s="96"/>
      <c r="H955" s="96"/>
      <c r="I955" s="96"/>
      <c r="J955" s="96"/>
      <c r="K955" s="96"/>
      <c r="L955" s="96"/>
      <c r="M955" s="96"/>
      <c r="N955" s="96"/>
      <c r="O955" s="96"/>
      <c r="P955" s="96"/>
      <c r="Q955" s="96"/>
      <c r="R955" s="96"/>
      <c r="S955" s="96"/>
    </row>
    <row r="956" spans="1:19">
      <c r="A956" s="128"/>
      <c r="B956" s="131"/>
      <c r="C956" s="97"/>
      <c r="D956" s="97"/>
      <c r="E956" s="97"/>
      <c r="F956" s="96"/>
      <c r="G956" s="96"/>
      <c r="H956" s="96"/>
      <c r="I956" s="96"/>
      <c r="J956" s="96"/>
      <c r="K956" s="96"/>
      <c r="L956" s="96"/>
      <c r="M956" s="96"/>
      <c r="N956" s="96"/>
      <c r="O956" s="96"/>
      <c r="P956" s="96"/>
      <c r="Q956" s="96"/>
      <c r="R956" s="96"/>
      <c r="S956" s="96"/>
    </row>
    <row r="957" spans="1:19">
      <c r="A957" s="128"/>
      <c r="B957" s="131"/>
      <c r="C957" s="97"/>
      <c r="D957" s="97"/>
      <c r="E957" s="97"/>
      <c r="F957" s="96"/>
      <c r="G957" s="96"/>
      <c r="H957" s="96"/>
      <c r="I957" s="96"/>
      <c r="J957" s="96"/>
      <c r="K957" s="96"/>
      <c r="L957" s="96"/>
      <c r="M957" s="96"/>
      <c r="N957" s="96"/>
      <c r="O957" s="96"/>
      <c r="P957" s="96"/>
      <c r="Q957" s="96"/>
      <c r="R957" s="96"/>
      <c r="S957" s="96"/>
    </row>
    <row r="958" spans="1:19">
      <c r="A958" s="128"/>
      <c r="B958" s="131"/>
      <c r="C958" s="97"/>
      <c r="D958" s="97"/>
      <c r="E958" s="97"/>
      <c r="F958" s="96"/>
      <c r="G958" s="96"/>
      <c r="H958" s="96"/>
      <c r="I958" s="96"/>
      <c r="J958" s="96"/>
      <c r="K958" s="96"/>
      <c r="L958" s="96"/>
      <c r="M958" s="96"/>
      <c r="N958" s="96"/>
      <c r="O958" s="96"/>
      <c r="P958" s="96"/>
      <c r="Q958" s="96"/>
      <c r="R958" s="96"/>
      <c r="S958" s="96"/>
    </row>
    <row r="959" spans="1:19">
      <c r="A959" s="128"/>
      <c r="B959" s="131"/>
      <c r="C959" s="97"/>
      <c r="D959" s="97"/>
      <c r="E959" s="97"/>
      <c r="F959" s="96"/>
      <c r="G959" s="96"/>
      <c r="H959" s="96"/>
      <c r="I959" s="96"/>
      <c r="J959" s="96"/>
      <c r="K959" s="96"/>
      <c r="L959" s="96"/>
      <c r="M959" s="96"/>
      <c r="N959" s="96"/>
      <c r="O959" s="96"/>
      <c r="P959" s="96"/>
      <c r="Q959" s="96"/>
      <c r="R959" s="96"/>
      <c r="S959" s="96"/>
    </row>
    <row r="960" spans="1:19">
      <c r="A960" s="128"/>
      <c r="B960" s="131"/>
      <c r="C960" s="97"/>
      <c r="D960" s="97"/>
      <c r="E960" s="97"/>
      <c r="F960" s="96"/>
      <c r="G960" s="96"/>
      <c r="H960" s="96"/>
      <c r="I960" s="96"/>
      <c r="J960" s="96"/>
      <c r="K960" s="96"/>
      <c r="L960" s="96"/>
      <c r="M960" s="96"/>
      <c r="N960" s="96"/>
      <c r="O960" s="96"/>
      <c r="P960" s="96"/>
      <c r="Q960" s="96"/>
      <c r="R960" s="96"/>
      <c r="S960" s="96"/>
    </row>
    <row r="961" spans="1:19">
      <c r="A961" s="128"/>
      <c r="B961" s="131"/>
      <c r="C961" s="97"/>
      <c r="D961" s="97"/>
      <c r="E961" s="97"/>
      <c r="F961" s="96"/>
      <c r="G961" s="96"/>
      <c r="H961" s="96"/>
      <c r="I961" s="96"/>
      <c r="J961" s="96"/>
      <c r="K961" s="96"/>
      <c r="L961" s="96"/>
      <c r="M961" s="96"/>
      <c r="N961" s="96"/>
      <c r="O961" s="96"/>
      <c r="P961" s="96"/>
      <c r="Q961" s="96"/>
      <c r="R961" s="96"/>
      <c r="S961" s="96"/>
    </row>
    <row r="962" spans="1:19">
      <c r="A962" s="128"/>
      <c r="B962" s="131"/>
      <c r="C962" s="97"/>
      <c r="D962" s="97"/>
      <c r="E962" s="97"/>
      <c r="F962" s="96"/>
      <c r="G962" s="96"/>
      <c r="H962" s="96"/>
      <c r="I962" s="96"/>
      <c r="J962" s="96"/>
      <c r="K962" s="96"/>
      <c r="L962" s="96"/>
      <c r="M962" s="96"/>
      <c r="N962" s="96"/>
      <c r="O962" s="96"/>
      <c r="P962" s="96"/>
      <c r="Q962" s="96"/>
      <c r="R962" s="96"/>
      <c r="S962" s="96"/>
    </row>
    <row r="963" spans="1:19">
      <c r="A963" s="128"/>
      <c r="B963" s="131"/>
      <c r="C963" s="97"/>
      <c r="D963" s="97"/>
      <c r="E963" s="97"/>
      <c r="F963" s="96"/>
      <c r="G963" s="96"/>
      <c r="H963" s="96"/>
      <c r="I963" s="96"/>
      <c r="J963" s="96"/>
      <c r="K963" s="96"/>
      <c r="L963" s="96"/>
      <c r="M963" s="96"/>
      <c r="N963" s="96"/>
      <c r="O963" s="96"/>
      <c r="P963" s="96"/>
      <c r="Q963" s="96"/>
      <c r="R963" s="96"/>
      <c r="S963" s="96"/>
    </row>
    <row r="964" spans="1:19">
      <c r="A964" s="128"/>
      <c r="B964" s="131"/>
      <c r="C964" s="97"/>
      <c r="D964" s="97"/>
      <c r="E964" s="97"/>
      <c r="F964" s="96"/>
      <c r="G964" s="96"/>
      <c r="H964" s="96"/>
      <c r="I964" s="96"/>
      <c r="J964" s="96"/>
      <c r="K964" s="96"/>
      <c r="L964" s="96"/>
      <c r="M964" s="96"/>
      <c r="N964" s="96"/>
      <c r="O964" s="96"/>
      <c r="P964" s="96"/>
      <c r="Q964" s="96"/>
      <c r="R964" s="96"/>
      <c r="S964" s="96"/>
    </row>
    <row r="965" spans="1:19">
      <c r="A965" s="128"/>
      <c r="B965" s="131"/>
      <c r="C965" s="97"/>
      <c r="D965" s="97"/>
      <c r="E965" s="97"/>
      <c r="F965" s="96"/>
      <c r="G965" s="96"/>
      <c r="H965" s="96"/>
      <c r="I965" s="96"/>
      <c r="J965" s="96"/>
      <c r="K965" s="96"/>
      <c r="L965" s="96"/>
      <c r="M965" s="96"/>
      <c r="N965" s="96"/>
      <c r="O965" s="96"/>
      <c r="P965" s="96"/>
      <c r="Q965" s="96"/>
      <c r="R965" s="96"/>
      <c r="S965" s="96"/>
    </row>
    <row r="966" spans="1:19">
      <c r="A966" s="128"/>
      <c r="B966" s="131"/>
      <c r="C966" s="97"/>
      <c r="D966" s="97"/>
      <c r="E966" s="97"/>
      <c r="F966" s="96"/>
      <c r="G966" s="96"/>
      <c r="H966" s="96"/>
      <c r="I966" s="96"/>
      <c r="J966" s="96"/>
      <c r="K966" s="96"/>
      <c r="L966" s="96"/>
      <c r="M966" s="96"/>
      <c r="N966" s="96"/>
      <c r="O966" s="96"/>
      <c r="P966" s="96"/>
      <c r="Q966" s="96"/>
      <c r="R966" s="96"/>
      <c r="S966" s="96"/>
    </row>
    <row r="967" spans="1:19">
      <c r="A967" s="128"/>
      <c r="B967" s="131"/>
      <c r="C967" s="97"/>
      <c r="D967" s="97"/>
      <c r="E967" s="97"/>
      <c r="F967" s="96"/>
      <c r="G967" s="96"/>
      <c r="H967" s="96"/>
      <c r="I967" s="96"/>
      <c r="J967" s="96"/>
      <c r="K967" s="96"/>
      <c r="L967" s="96"/>
      <c r="M967" s="96"/>
      <c r="N967" s="96"/>
      <c r="O967" s="96"/>
      <c r="P967" s="96"/>
      <c r="Q967" s="96"/>
      <c r="R967" s="96"/>
      <c r="S967" s="96"/>
    </row>
    <row r="968" spans="1:19">
      <c r="A968" s="128"/>
      <c r="B968" s="131"/>
      <c r="C968" s="97"/>
      <c r="D968" s="97"/>
      <c r="E968" s="97"/>
      <c r="F968" s="96"/>
      <c r="G968" s="96"/>
      <c r="H968" s="96"/>
      <c r="I968" s="96"/>
      <c r="J968" s="96"/>
      <c r="K968" s="96"/>
      <c r="L968" s="96"/>
      <c r="M968" s="96"/>
      <c r="N968" s="96"/>
      <c r="O968" s="96"/>
      <c r="P968" s="96"/>
      <c r="Q968" s="96"/>
      <c r="R968" s="96"/>
      <c r="S968" s="96"/>
    </row>
    <row r="969" spans="1:19">
      <c r="A969" s="50"/>
      <c r="B969" s="50"/>
      <c r="C969" s="97"/>
      <c r="D969" s="97"/>
      <c r="E969" s="97"/>
      <c r="F969" s="96"/>
      <c r="G969" s="96"/>
      <c r="H969" s="96"/>
      <c r="I969" s="96"/>
      <c r="J969" s="96"/>
      <c r="K969" s="96"/>
      <c r="L969" s="96"/>
      <c r="M969" s="96"/>
      <c r="N969" s="96"/>
      <c r="O969" s="96"/>
      <c r="P969" s="96"/>
      <c r="Q969" s="96"/>
      <c r="R969" s="96"/>
      <c r="S969" s="96"/>
    </row>
  </sheetData>
  <mergeCells count="6">
    <mergeCell ref="D1:J1"/>
    <mergeCell ref="K1:V1"/>
    <mergeCell ref="W1:AH1"/>
    <mergeCell ref="AI1:AT1"/>
    <mergeCell ref="A1:A2"/>
    <mergeCell ref="B1:B2"/>
  </mergeCells>
  <pageMargins left="0.511811024" right="0.511811024" top="0.78740157499999996" bottom="0.78740157499999996"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D1002"/>
  <sheetViews>
    <sheetView workbookViewId="0"/>
  </sheetViews>
  <sheetFormatPr defaultColWidth="14.42578125" defaultRowHeight="15" customHeight="1"/>
  <cols>
    <col min="1" max="1" width="29.5703125" customWidth="1"/>
    <col min="3" max="3" width="39" customWidth="1"/>
  </cols>
  <sheetData>
    <row r="1" spans="1:4" ht="15" customHeight="1">
      <c r="A1" s="49" t="s">
        <v>143</v>
      </c>
      <c r="B1" s="141">
        <v>4000</v>
      </c>
      <c r="C1" s="49" t="s">
        <v>144</v>
      </c>
      <c r="D1" s="49" t="s">
        <v>145</v>
      </c>
    </row>
    <row r="2" spans="1:4" ht="15" customHeight="1">
      <c r="A2" s="49" t="s">
        <v>143</v>
      </c>
      <c r="B2" s="141">
        <v>2266.67</v>
      </c>
      <c r="C2" s="49"/>
      <c r="D2" s="49" t="s">
        <v>146</v>
      </c>
    </row>
    <row r="3" spans="1:4" ht="15" customHeight="1">
      <c r="A3" s="49" t="s">
        <v>147</v>
      </c>
      <c r="B3" s="142">
        <v>2666.67</v>
      </c>
      <c r="C3" s="49" t="s">
        <v>148</v>
      </c>
    </row>
    <row r="4" spans="1:4" ht="15" customHeight="1">
      <c r="A4" s="49" t="s">
        <v>149</v>
      </c>
      <c r="B4" s="142">
        <v>5000</v>
      </c>
      <c r="C4" s="49" t="s">
        <v>150</v>
      </c>
      <c r="D4" s="49" t="s">
        <v>151</v>
      </c>
    </row>
    <row r="5" spans="1:4" ht="15" customHeight="1">
      <c r="A5" s="49" t="s">
        <v>152</v>
      </c>
      <c r="B5" s="142">
        <v>3500</v>
      </c>
      <c r="C5" s="49" t="s">
        <v>153</v>
      </c>
    </row>
    <row r="6" spans="1:4" ht="15" customHeight="1">
      <c r="A6" s="49" t="s">
        <v>154</v>
      </c>
      <c r="B6" s="142">
        <v>3500</v>
      </c>
      <c r="C6" s="49" t="s">
        <v>155</v>
      </c>
    </row>
    <row r="7" spans="1:4" ht="15" customHeight="1">
      <c r="A7" s="49" t="s">
        <v>156</v>
      </c>
      <c r="B7" s="141">
        <v>2500</v>
      </c>
      <c r="C7" s="49" t="s">
        <v>157</v>
      </c>
      <c r="D7" s="49" t="s">
        <v>158</v>
      </c>
    </row>
    <row r="8" spans="1:4" ht="15" customHeight="1">
      <c r="A8" s="49" t="s">
        <v>159</v>
      </c>
      <c r="B8" s="142">
        <v>2500</v>
      </c>
      <c r="C8" s="49" t="s">
        <v>160</v>
      </c>
    </row>
    <row r="9" spans="1:4" ht="15" customHeight="1">
      <c r="A9" s="49" t="s">
        <v>161</v>
      </c>
      <c r="B9" s="142">
        <v>7500</v>
      </c>
      <c r="C9" s="49" t="s">
        <v>162</v>
      </c>
    </row>
    <row r="10" spans="1:4" ht="15" customHeight="1">
      <c r="A10" s="49" t="s">
        <v>163</v>
      </c>
      <c r="B10" s="142">
        <v>10000</v>
      </c>
      <c r="C10" s="49" t="s">
        <v>164</v>
      </c>
    </row>
    <row r="11" spans="1:4" ht="15" customHeight="1">
      <c r="A11" s="49" t="s">
        <v>165</v>
      </c>
      <c r="B11" s="142">
        <v>5000</v>
      </c>
      <c r="C11" s="49" t="s">
        <v>166</v>
      </c>
    </row>
    <row r="12" spans="1:4" ht="15" customHeight="1">
      <c r="A12" s="49" t="s">
        <v>89</v>
      </c>
      <c r="B12" s="142">
        <v>2000</v>
      </c>
      <c r="C12" s="49" t="s">
        <v>167</v>
      </c>
    </row>
    <row r="13" spans="1:4" ht="15" customHeight="1">
      <c r="B13" s="142"/>
    </row>
    <row r="14" spans="1:4" ht="15" customHeight="1">
      <c r="A14" s="49" t="s">
        <v>168</v>
      </c>
      <c r="B14" s="142">
        <v>8042.81</v>
      </c>
      <c r="C14" s="49" t="s">
        <v>169</v>
      </c>
      <c r="D14" s="49" t="s">
        <v>170</v>
      </c>
    </row>
    <row r="15" spans="1:4" ht="15" customHeight="1">
      <c r="A15" s="49" t="s">
        <v>171</v>
      </c>
      <c r="B15" s="142">
        <v>1733.33</v>
      </c>
      <c r="C15" s="49" t="s">
        <v>172</v>
      </c>
      <c r="D15" s="49" t="s">
        <v>173</v>
      </c>
    </row>
    <row r="16" spans="1:4" ht="15" customHeight="1">
      <c r="A16" s="49"/>
      <c r="B16" s="142"/>
      <c r="C16" s="49"/>
      <c r="D16" s="49"/>
    </row>
    <row r="17" spans="1:4" ht="15" customHeight="1">
      <c r="A17" s="49" t="s">
        <v>174</v>
      </c>
      <c r="B17" s="142"/>
      <c r="C17" s="49"/>
      <c r="D17" s="49" t="s">
        <v>175</v>
      </c>
    </row>
    <row r="18" spans="1:4" ht="15" customHeight="1">
      <c r="B18" s="142"/>
    </row>
    <row r="19" spans="1:4" ht="15" customHeight="1">
      <c r="A19" s="49" t="s">
        <v>176</v>
      </c>
      <c r="B19" s="142">
        <v>20000</v>
      </c>
    </row>
    <row r="20" spans="1:4" ht="15" customHeight="1">
      <c r="A20" s="49" t="s">
        <v>177</v>
      </c>
      <c r="B20" s="142">
        <v>17000</v>
      </c>
    </row>
    <row r="21" spans="1:4" ht="15" customHeight="1">
      <c r="A21" s="49" t="s">
        <v>178</v>
      </c>
      <c r="B21" s="142">
        <f>1000+800+800</f>
        <v>2600</v>
      </c>
    </row>
    <row r="23" spans="1:4" ht="15" customHeight="1">
      <c r="B23" s="142">
        <f>SUM(B1:B21)</f>
        <v>99809.48</v>
      </c>
    </row>
    <row r="24" spans="1:4" ht="15" customHeight="1">
      <c r="B24" s="142"/>
    </row>
    <row r="25" spans="1:4" ht="15" customHeight="1">
      <c r="B25" s="142"/>
    </row>
    <row r="26" spans="1:4" ht="15" customHeight="1">
      <c r="B26" s="142"/>
    </row>
    <row r="27" spans="1:4" ht="15" customHeight="1">
      <c r="B27" s="142"/>
    </row>
    <row r="28" spans="1:4" ht="15" customHeight="1">
      <c r="B28" s="142"/>
    </row>
    <row r="29" spans="1:4" ht="15" customHeight="1">
      <c r="B29" s="142"/>
    </row>
    <row r="30" spans="1:4" ht="15" customHeight="1">
      <c r="B30" s="142"/>
    </row>
    <row r="31" spans="1:4" ht="15" customHeight="1">
      <c r="B31" s="142"/>
    </row>
    <row r="32" spans="1:4" ht="15" customHeight="1">
      <c r="B32" s="142"/>
    </row>
    <row r="33" spans="2:2" ht="15" customHeight="1">
      <c r="B33" s="142"/>
    </row>
    <row r="34" spans="2:2" ht="15" customHeight="1">
      <c r="B34" s="142"/>
    </row>
    <row r="35" spans="2:2" ht="15" customHeight="1">
      <c r="B35" s="142"/>
    </row>
    <row r="36" spans="2:2" ht="15" customHeight="1">
      <c r="B36" s="142"/>
    </row>
    <row r="37" spans="2:2" ht="15" customHeight="1">
      <c r="B37" s="142"/>
    </row>
    <row r="38" spans="2:2">
      <c r="B38" s="142"/>
    </row>
    <row r="39" spans="2:2">
      <c r="B39" s="142"/>
    </row>
    <row r="40" spans="2:2">
      <c r="B40" s="142"/>
    </row>
    <row r="41" spans="2:2">
      <c r="B41" s="142"/>
    </row>
    <row r="42" spans="2:2">
      <c r="B42" s="142"/>
    </row>
    <row r="43" spans="2:2">
      <c r="B43" s="142"/>
    </row>
    <row r="44" spans="2:2">
      <c r="B44" s="142"/>
    </row>
    <row r="45" spans="2:2">
      <c r="B45" s="142"/>
    </row>
    <row r="46" spans="2:2">
      <c r="B46" s="142"/>
    </row>
    <row r="47" spans="2:2">
      <c r="B47" s="142"/>
    </row>
    <row r="48" spans="2:2">
      <c r="B48" s="142"/>
    </row>
    <row r="49" spans="2:2">
      <c r="B49" s="142"/>
    </row>
    <row r="50" spans="2:2">
      <c r="B50" s="142"/>
    </row>
    <row r="51" spans="2:2">
      <c r="B51" s="142"/>
    </row>
    <row r="52" spans="2:2">
      <c r="B52" s="142"/>
    </row>
    <row r="53" spans="2:2">
      <c r="B53" s="142"/>
    </row>
    <row r="54" spans="2:2">
      <c r="B54" s="142"/>
    </row>
    <row r="55" spans="2:2">
      <c r="B55" s="142"/>
    </row>
    <row r="56" spans="2:2">
      <c r="B56" s="142"/>
    </row>
    <row r="57" spans="2:2">
      <c r="B57" s="142"/>
    </row>
    <row r="58" spans="2:2">
      <c r="B58" s="142"/>
    </row>
    <row r="59" spans="2:2">
      <c r="B59" s="142"/>
    </row>
    <row r="60" spans="2:2">
      <c r="B60" s="142"/>
    </row>
    <row r="61" spans="2:2">
      <c r="B61" s="142"/>
    </row>
    <row r="62" spans="2:2">
      <c r="B62" s="142"/>
    </row>
    <row r="63" spans="2:2">
      <c r="B63" s="142"/>
    </row>
    <row r="64" spans="2:2">
      <c r="B64" s="142"/>
    </row>
    <row r="65" spans="2:2">
      <c r="B65" s="142"/>
    </row>
    <row r="66" spans="2:2">
      <c r="B66" s="142"/>
    </row>
    <row r="67" spans="2:2">
      <c r="B67" s="142"/>
    </row>
    <row r="68" spans="2:2">
      <c r="B68" s="142"/>
    </row>
    <row r="69" spans="2:2">
      <c r="B69" s="142"/>
    </row>
    <row r="70" spans="2:2">
      <c r="B70" s="142"/>
    </row>
    <row r="71" spans="2:2">
      <c r="B71" s="142"/>
    </row>
    <row r="72" spans="2:2">
      <c r="B72" s="142"/>
    </row>
    <row r="73" spans="2:2">
      <c r="B73" s="142"/>
    </row>
    <row r="74" spans="2:2">
      <c r="B74" s="142"/>
    </row>
    <row r="75" spans="2:2">
      <c r="B75" s="142"/>
    </row>
    <row r="76" spans="2:2">
      <c r="B76" s="142"/>
    </row>
    <row r="77" spans="2:2">
      <c r="B77" s="142"/>
    </row>
    <row r="78" spans="2:2">
      <c r="B78" s="142"/>
    </row>
    <row r="79" spans="2:2">
      <c r="B79" s="142"/>
    </row>
    <row r="80" spans="2:2">
      <c r="B80" s="142"/>
    </row>
    <row r="81" spans="2:2">
      <c r="B81" s="142"/>
    </row>
    <row r="82" spans="2:2">
      <c r="B82" s="142"/>
    </row>
    <row r="83" spans="2:2">
      <c r="B83" s="142"/>
    </row>
    <row r="84" spans="2:2">
      <c r="B84" s="142"/>
    </row>
    <row r="85" spans="2:2">
      <c r="B85" s="142"/>
    </row>
    <row r="86" spans="2:2">
      <c r="B86" s="142"/>
    </row>
    <row r="87" spans="2:2">
      <c r="B87" s="142"/>
    </row>
    <row r="88" spans="2:2">
      <c r="B88" s="142"/>
    </row>
    <row r="89" spans="2:2">
      <c r="B89" s="142"/>
    </row>
    <row r="90" spans="2:2">
      <c r="B90" s="142"/>
    </row>
    <row r="91" spans="2:2">
      <c r="B91" s="142"/>
    </row>
    <row r="92" spans="2:2">
      <c r="B92" s="142"/>
    </row>
    <row r="93" spans="2:2">
      <c r="B93" s="142"/>
    </row>
    <row r="94" spans="2:2">
      <c r="B94" s="142"/>
    </row>
    <row r="95" spans="2:2">
      <c r="B95" s="142"/>
    </row>
    <row r="96" spans="2:2">
      <c r="B96" s="142"/>
    </row>
    <row r="97" spans="2:2">
      <c r="B97" s="142"/>
    </row>
    <row r="98" spans="2:2">
      <c r="B98" s="142"/>
    </row>
    <row r="99" spans="2:2">
      <c r="B99" s="142"/>
    </row>
    <row r="100" spans="2:2">
      <c r="B100" s="142"/>
    </row>
    <row r="101" spans="2:2">
      <c r="B101" s="142"/>
    </row>
    <row r="102" spans="2:2">
      <c r="B102" s="142"/>
    </row>
    <row r="103" spans="2:2">
      <c r="B103" s="142"/>
    </row>
    <row r="104" spans="2:2">
      <c r="B104" s="142"/>
    </row>
    <row r="105" spans="2:2">
      <c r="B105" s="142"/>
    </row>
    <row r="106" spans="2:2">
      <c r="B106" s="142"/>
    </row>
    <row r="107" spans="2:2">
      <c r="B107" s="142"/>
    </row>
    <row r="108" spans="2:2">
      <c r="B108" s="142"/>
    </row>
    <row r="109" spans="2:2">
      <c r="B109" s="142"/>
    </row>
    <row r="110" spans="2:2">
      <c r="B110" s="142"/>
    </row>
    <row r="111" spans="2:2">
      <c r="B111" s="142"/>
    </row>
    <row r="112" spans="2:2">
      <c r="B112" s="142"/>
    </row>
    <row r="113" spans="2:2">
      <c r="B113" s="142"/>
    </row>
    <row r="114" spans="2:2">
      <c r="B114" s="142"/>
    </row>
    <row r="115" spans="2:2">
      <c r="B115" s="142"/>
    </row>
    <row r="116" spans="2:2">
      <c r="B116" s="142"/>
    </row>
    <row r="117" spans="2:2">
      <c r="B117" s="142"/>
    </row>
    <row r="118" spans="2:2">
      <c r="B118" s="142"/>
    </row>
    <row r="119" spans="2:2">
      <c r="B119" s="142"/>
    </row>
    <row r="120" spans="2:2">
      <c r="B120" s="142"/>
    </row>
    <row r="121" spans="2:2">
      <c r="B121" s="142"/>
    </row>
    <row r="122" spans="2:2">
      <c r="B122" s="142"/>
    </row>
    <row r="123" spans="2:2">
      <c r="B123" s="142"/>
    </row>
    <row r="124" spans="2:2">
      <c r="B124" s="142"/>
    </row>
    <row r="125" spans="2:2">
      <c r="B125" s="142"/>
    </row>
    <row r="126" spans="2:2">
      <c r="B126" s="142"/>
    </row>
    <row r="127" spans="2:2">
      <c r="B127" s="142"/>
    </row>
    <row r="128" spans="2:2">
      <c r="B128" s="142"/>
    </row>
    <row r="129" spans="2:2">
      <c r="B129" s="142"/>
    </row>
    <row r="130" spans="2:2">
      <c r="B130" s="142"/>
    </row>
    <row r="131" spans="2:2">
      <c r="B131" s="142"/>
    </row>
    <row r="132" spans="2:2">
      <c r="B132" s="142"/>
    </row>
    <row r="133" spans="2:2">
      <c r="B133" s="142"/>
    </row>
    <row r="134" spans="2:2">
      <c r="B134" s="142"/>
    </row>
    <row r="135" spans="2:2">
      <c r="B135" s="142"/>
    </row>
    <row r="136" spans="2:2">
      <c r="B136" s="142"/>
    </row>
    <row r="137" spans="2:2">
      <c r="B137" s="142"/>
    </row>
    <row r="138" spans="2:2">
      <c r="B138" s="142"/>
    </row>
    <row r="139" spans="2:2">
      <c r="B139" s="142"/>
    </row>
    <row r="140" spans="2:2">
      <c r="B140" s="142"/>
    </row>
    <row r="141" spans="2:2">
      <c r="B141" s="142"/>
    </row>
    <row r="142" spans="2:2">
      <c r="B142" s="142"/>
    </row>
    <row r="143" spans="2:2">
      <c r="B143" s="142"/>
    </row>
    <row r="144" spans="2:2">
      <c r="B144" s="142"/>
    </row>
    <row r="145" spans="2:2">
      <c r="B145" s="142"/>
    </row>
    <row r="146" spans="2:2">
      <c r="B146" s="142"/>
    </row>
    <row r="147" spans="2:2">
      <c r="B147" s="142"/>
    </row>
    <row r="148" spans="2:2">
      <c r="B148" s="142"/>
    </row>
    <row r="149" spans="2:2">
      <c r="B149" s="142"/>
    </row>
    <row r="150" spans="2:2">
      <c r="B150" s="142"/>
    </row>
    <row r="151" spans="2:2">
      <c r="B151" s="142"/>
    </row>
    <row r="152" spans="2:2">
      <c r="B152" s="142"/>
    </row>
    <row r="153" spans="2:2">
      <c r="B153" s="142"/>
    </row>
    <row r="154" spans="2:2">
      <c r="B154" s="142"/>
    </row>
    <row r="155" spans="2:2">
      <c r="B155" s="142"/>
    </row>
    <row r="156" spans="2:2">
      <c r="B156" s="142"/>
    </row>
    <row r="157" spans="2:2">
      <c r="B157" s="142"/>
    </row>
    <row r="158" spans="2:2">
      <c r="B158" s="142"/>
    </row>
    <row r="159" spans="2:2">
      <c r="B159" s="142"/>
    </row>
    <row r="160" spans="2:2">
      <c r="B160" s="142"/>
    </row>
    <row r="161" spans="2:2">
      <c r="B161" s="142"/>
    </row>
    <row r="162" spans="2:2">
      <c r="B162" s="142"/>
    </row>
    <row r="163" spans="2:2">
      <c r="B163" s="142"/>
    </row>
    <row r="164" spans="2:2">
      <c r="B164" s="142"/>
    </row>
    <row r="165" spans="2:2">
      <c r="B165" s="142"/>
    </row>
    <row r="166" spans="2:2">
      <c r="B166" s="142"/>
    </row>
    <row r="167" spans="2:2">
      <c r="B167" s="142"/>
    </row>
    <row r="168" spans="2:2">
      <c r="B168" s="142"/>
    </row>
    <row r="169" spans="2:2">
      <c r="B169" s="142"/>
    </row>
    <row r="170" spans="2:2">
      <c r="B170" s="142"/>
    </row>
    <row r="171" spans="2:2">
      <c r="B171" s="142"/>
    </row>
    <row r="172" spans="2:2">
      <c r="B172" s="142"/>
    </row>
    <row r="173" spans="2:2">
      <c r="B173" s="142"/>
    </row>
    <row r="174" spans="2:2">
      <c r="B174" s="142"/>
    </row>
    <row r="175" spans="2:2">
      <c r="B175" s="142"/>
    </row>
    <row r="176" spans="2:2">
      <c r="B176" s="142"/>
    </row>
    <row r="177" spans="2:2">
      <c r="B177" s="142"/>
    </row>
    <row r="178" spans="2:2">
      <c r="B178" s="142"/>
    </row>
    <row r="179" spans="2:2">
      <c r="B179" s="142"/>
    </row>
    <row r="180" spans="2:2">
      <c r="B180" s="142"/>
    </row>
    <row r="181" spans="2:2">
      <c r="B181" s="142"/>
    </row>
    <row r="182" spans="2:2">
      <c r="B182" s="142"/>
    </row>
    <row r="183" spans="2:2">
      <c r="B183" s="142"/>
    </row>
    <row r="184" spans="2:2">
      <c r="B184" s="142"/>
    </row>
    <row r="185" spans="2:2">
      <c r="B185" s="142"/>
    </row>
    <row r="186" spans="2:2">
      <c r="B186" s="142"/>
    </row>
    <row r="187" spans="2:2">
      <c r="B187" s="142"/>
    </row>
    <row r="188" spans="2:2">
      <c r="B188" s="142"/>
    </row>
    <row r="189" spans="2:2">
      <c r="B189" s="142"/>
    </row>
    <row r="190" spans="2:2">
      <c r="B190" s="142"/>
    </row>
    <row r="191" spans="2:2">
      <c r="B191" s="142"/>
    </row>
    <row r="192" spans="2:2">
      <c r="B192" s="142"/>
    </row>
    <row r="193" spans="2:2">
      <c r="B193" s="142"/>
    </row>
    <row r="194" spans="2:2">
      <c r="B194" s="142"/>
    </row>
    <row r="195" spans="2:2">
      <c r="B195" s="142"/>
    </row>
    <row r="196" spans="2:2">
      <c r="B196" s="142"/>
    </row>
    <row r="197" spans="2:2">
      <c r="B197" s="142"/>
    </row>
    <row r="198" spans="2:2">
      <c r="B198" s="142"/>
    </row>
    <row r="199" spans="2:2">
      <c r="B199" s="142"/>
    </row>
    <row r="200" spans="2:2">
      <c r="B200" s="142"/>
    </row>
    <row r="201" spans="2:2">
      <c r="B201" s="142"/>
    </row>
    <row r="202" spans="2:2">
      <c r="B202" s="142"/>
    </row>
    <row r="203" spans="2:2">
      <c r="B203" s="142"/>
    </row>
    <row r="204" spans="2:2">
      <c r="B204" s="142"/>
    </row>
    <row r="205" spans="2:2">
      <c r="B205" s="142"/>
    </row>
    <row r="206" spans="2:2">
      <c r="B206" s="142"/>
    </row>
    <row r="207" spans="2:2">
      <c r="B207" s="142"/>
    </row>
    <row r="208" spans="2:2">
      <c r="B208" s="142"/>
    </row>
    <row r="209" spans="2:2">
      <c r="B209" s="142"/>
    </row>
    <row r="210" spans="2:2">
      <c r="B210" s="142"/>
    </row>
    <row r="211" spans="2:2">
      <c r="B211" s="142"/>
    </row>
    <row r="212" spans="2:2">
      <c r="B212" s="142"/>
    </row>
    <row r="213" spans="2:2">
      <c r="B213" s="142"/>
    </row>
    <row r="214" spans="2:2">
      <c r="B214" s="142"/>
    </row>
    <row r="215" spans="2:2">
      <c r="B215" s="142"/>
    </row>
    <row r="216" spans="2:2">
      <c r="B216" s="142"/>
    </row>
    <row r="217" spans="2:2">
      <c r="B217" s="142"/>
    </row>
    <row r="218" spans="2:2">
      <c r="B218" s="142"/>
    </row>
    <row r="219" spans="2:2">
      <c r="B219" s="142"/>
    </row>
    <row r="220" spans="2:2">
      <c r="B220" s="142"/>
    </row>
    <row r="221" spans="2:2">
      <c r="B221" s="142"/>
    </row>
    <row r="222" spans="2:2">
      <c r="B222" s="142"/>
    </row>
    <row r="223" spans="2:2">
      <c r="B223" s="142"/>
    </row>
    <row r="224" spans="2:2">
      <c r="B224" s="142"/>
    </row>
    <row r="225" spans="2:2">
      <c r="B225" s="142"/>
    </row>
    <row r="226" spans="2:2">
      <c r="B226" s="142"/>
    </row>
    <row r="227" spans="2:2">
      <c r="B227" s="142"/>
    </row>
    <row r="228" spans="2:2">
      <c r="B228" s="142"/>
    </row>
    <row r="229" spans="2:2">
      <c r="B229" s="142"/>
    </row>
    <row r="230" spans="2:2">
      <c r="B230" s="142"/>
    </row>
    <row r="231" spans="2:2">
      <c r="B231" s="142"/>
    </row>
    <row r="232" spans="2:2">
      <c r="B232" s="142"/>
    </row>
    <row r="233" spans="2:2">
      <c r="B233" s="142"/>
    </row>
    <row r="234" spans="2:2">
      <c r="B234" s="142"/>
    </row>
    <row r="235" spans="2:2">
      <c r="B235" s="142"/>
    </row>
    <row r="236" spans="2:2">
      <c r="B236" s="142"/>
    </row>
    <row r="237" spans="2:2">
      <c r="B237" s="142"/>
    </row>
    <row r="238" spans="2:2">
      <c r="B238" s="142"/>
    </row>
    <row r="239" spans="2:2">
      <c r="B239" s="142"/>
    </row>
    <row r="240" spans="2:2">
      <c r="B240" s="142"/>
    </row>
    <row r="241" spans="2:2">
      <c r="B241" s="142"/>
    </row>
    <row r="242" spans="2:2">
      <c r="B242" s="142"/>
    </row>
    <row r="243" spans="2:2">
      <c r="B243" s="142"/>
    </row>
    <row r="244" spans="2:2">
      <c r="B244" s="142"/>
    </row>
    <row r="245" spans="2:2">
      <c r="B245" s="142"/>
    </row>
    <row r="246" spans="2:2">
      <c r="B246" s="142"/>
    </row>
    <row r="247" spans="2:2">
      <c r="B247" s="142"/>
    </row>
    <row r="248" spans="2:2">
      <c r="B248" s="142"/>
    </row>
    <row r="249" spans="2:2">
      <c r="B249" s="142"/>
    </row>
    <row r="250" spans="2:2">
      <c r="B250" s="142"/>
    </row>
    <row r="251" spans="2:2">
      <c r="B251" s="142"/>
    </row>
    <row r="252" spans="2:2">
      <c r="B252" s="142"/>
    </row>
    <row r="253" spans="2:2">
      <c r="B253" s="142"/>
    </row>
    <row r="254" spans="2:2">
      <c r="B254" s="142"/>
    </row>
    <row r="255" spans="2:2">
      <c r="B255" s="142"/>
    </row>
    <row r="256" spans="2:2">
      <c r="B256" s="142"/>
    </row>
    <row r="257" spans="2:2">
      <c r="B257" s="142"/>
    </row>
    <row r="258" spans="2:2">
      <c r="B258" s="142"/>
    </row>
    <row r="259" spans="2:2">
      <c r="B259" s="142"/>
    </row>
    <row r="260" spans="2:2">
      <c r="B260" s="142"/>
    </row>
    <row r="261" spans="2:2">
      <c r="B261" s="142"/>
    </row>
    <row r="262" spans="2:2">
      <c r="B262" s="142"/>
    </row>
    <row r="263" spans="2:2">
      <c r="B263" s="142"/>
    </row>
    <row r="264" spans="2:2">
      <c r="B264" s="142"/>
    </row>
    <row r="265" spans="2:2">
      <c r="B265" s="142"/>
    </row>
    <row r="266" spans="2:2">
      <c r="B266" s="142"/>
    </row>
    <row r="267" spans="2:2">
      <c r="B267" s="142"/>
    </row>
    <row r="268" spans="2:2">
      <c r="B268" s="142"/>
    </row>
    <row r="269" spans="2:2">
      <c r="B269" s="142"/>
    </row>
    <row r="270" spans="2:2">
      <c r="B270" s="142"/>
    </row>
    <row r="271" spans="2:2">
      <c r="B271" s="142"/>
    </row>
    <row r="272" spans="2:2">
      <c r="B272" s="142"/>
    </row>
    <row r="273" spans="2:2">
      <c r="B273" s="142"/>
    </row>
    <row r="274" spans="2:2">
      <c r="B274" s="142"/>
    </row>
    <row r="275" spans="2:2">
      <c r="B275" s="142"/>
    </row>
    <row r="276" spans="2:2">
      <c r="B276" s="142"/>
    </row>
    <row r="277" spans="2:2">
      <c r="B277" s="142"/>
    </row>
    <row r="278" spans="2:2">
      <c r="B278" s="142"/>
    </row>
    <row r="279" spans="2:2">
      <c r="B279" s="142"/>
    </row>
    <row r="280" spans="2:2">
      <c r="B280" s="142"/>
    </row>
    <row r="281" spans="2:2">
      <c r="B281" s="142"/>
    </row>
    <row r="282" spans="2:2">
      <c r="B282" s="142"/>
    </row>
    <row r="283" spans="2:2">
      <c r="B283" s="142"/>
    </row>
    <row r="284" spans="2:2">
      <c r="B284" s="142"/>
    </row>
    <row r="285" spans="2:2">
      <c r="B285" s="142"/>
    </row>
    <row r="286" spans="2:2">
      <c r="B286" s="142"/>
    </row>
    <row r="287" spans="2:2">
      <c r="B287" s="142"/>
    </row>
    <row r="288" spans="2:2">
      <c r="B288" s="142"/>
    </row>
    <row r="289" spans="2:2">
      <c r="B289" s="142"/>
    </row>
    <row r="290" spans="2:2">
      <c r="B290" s="142"/>
    </row>
    <row r="291" spans="2:2">
      <c r="B291" s="142"/>
    </row>
    <row r="292" spans="2:2">
      <c r="B292" s="142"/>
    </row>
    <row r="293" spans="2:2">
      <c r="B293" s="142"/>
    </row>
    <row r="294" spans="2:2">
      <c r="B294" s="142"/>
    </row>
    <row r="295" spans="2:2">
      <c r="B295" s="142"/>
    </row>
    <row r="296" spans="2:2">
      <c r="B296" s="142"/>
    </row>
    <row r="297" spans="2:2">
      <c r="B297" s="142"/>
    </row>
    <row r="298" spans="2:2">
      <c r="B298" s="142"/>
    </row>
    <row r="299" spans="2:2">
      <c r="B299" s="142"/>
    </row>
    <row r="300" spans="2:2">
      <c r="B300" s="142"/>
    </row>
    <row r="301" spans="2:2">
      <c r="B301" s="142"/>
    </row>
    <row r="302" spans="2:2">
      <c r="B302" s="142"/>
    </row>
    <row r="303" spans="2:2">
      <c r="B303" s="142"/>
    </row>
    <row r="304" spans="2:2">
      <c r="B304" s="142"/>
    </row>
    <row r="305" spans="2:2">
      <c r="B305" s="142"/>
    </row>
    <row r="306" spans="2:2">
      <c r="B306" s="142"/>
    </row>
    <row r="307" spans="2:2">
      <c r="B307" s="142"/>
    </row>
    <row r="308" spans="2:2">
      <c r="B308" s="142"/>
    </row>
    <row r="309" spans="2:2">
      <c r="B309" s="142"/>
    </row>
    <row r="310" spans="2:2">
      <c r="B310" s="142"/>
    </row>
    <row r="311" spans="2:2">
      <c r="B311" s="142"/>
    </row>
    <row r="312" spans="2:2">
      <c r="B312" s="142"/>
    </row>
    <row r="313" spans="2:2">
      <c r="B313" s="142"/>
    </row>
    <row r="314" spans="2:2">
      <c r="B314" s="142"/>
    </row>
    <row r="315" spans="2:2">
      <c r="B315" s="142"/>
    </row>
    <row r="316" spans="2:2">
      <c r="B316" s="142"/>
    </row>
    <row r="317" spans="2:2">
      <c r="B317" s="142"/>
    </row>
    <row r="318" spans="2:2">
      <c r="B318" s="142"/>
    </row>
    <row r="319" spans="2:2">
      <c r="B319" s="142"/>
    </row>
    <row r="320" spans="2:2">
      <c r="B320" s="142"/>
    </row>
    <row r="321" spans="2:2">
      <c r="B321" s="142"/>
    </row>
    <row r="322" spans="2:2">
      <c r="B322" s="142"/>
    </row>
    <row r="323" spans="2:2">
      <c r="B323" s="142"/>
    </row>
    <row r="324" spans="2:2">
      <c r="B324" s="142"/>
    </row>
    <row r="325" spans="2:2">
      <c r="B325" s="142"/>
    </row>
    <row r="326" spans="2:2">
      <c r="B326" s="142"/>
    </row>
    <row r="327" spans="2:2">
      <c r="B327" s="142"/>
    </row>
    <row r="328" spans="2:2">
      <c r="B328" s="142"/>
    </row>
    <row r="329" spans="2:2">
      <c r="B329" s="142"/>
    </row>
    <row r="330" spans="2:2">
      <c r="B330" s="142"/>
    </row>
    <row r="331" spans="2:2">
      <c r="B331" s="142"/>
    </row>
    <row r="332" spans="2:2">
      <c r="B332" s="142"/>
    </row>
    <row r="333" spans="2:2">
      <c r="B333" s="142"/>
    </row>
    <row r="334" spans="2:2">
      <c r="B334" s="142"/>
    </row>
    <row r="335" spans="2:2">
      <c r="B335" s="142"/>
    </row>
    <row r="336" spans="2:2">
      <c r="B336" s="142"/>
    </row>
    <row r="337" spans="2:2">
      <c r="B337" s="142"/>
    </row>
    <row r="338" spans="2:2">
      <c r="B338" s="142"/>
    </row>
    <row r="339" spans="2:2">
      <c r="B339" s="142"/>
    </row>
    <row r="340" spans="2:2">
      <c r="B340" s="142"/>
    </row>
    <row r="341" spans="2:2">
      <c r="B341" s="142"/>
    </row>
    <row r="342" spans="2:2">
      <c r="B342" s="142"/>
    </row>
    <row r="343" spans="2:2">
      <c r="B343" s="142"/>
    </row>
    <row r="344" spans="2:2">
      <c r="B344" s="142"/>
    </row>
    <row r="345" spans="2:2">
      <c r="B345" s="142"/>
    </row>
    <row r="346" spans="2:2">
      <c r="B346" s="142"/>
    </row>
    <row r="347" spans="2:2">
      <c r="B347" s="142"/>
    </row>
    <row r="348" spans="2:2">
      <c r="B348" s="142"/>
    </row>
    <row r="349" spans="2:2">
      <c r="B349" s="142"/>
    </row>
    <row r="350" spans="2:2">
      <c r="B350" s="142"/>
    </row>
    <row r="351" spans="2:2">
      <c r="B351" s="142"/>
    </row>
    <row r="352" spans="2:2">
      <c r="B352" s="142"/>
    </row>
    <row r="353" spans="2:2">
      <c r="B353" s="142"/>
    </row>
    <row r="354" spans="2:2">
      <c r="B354" s="142"/>
    </row>
    <row r="355" spans="2:2">
      <c r="B355" s="142"/>
    </row>
    <row r="356" spans="2:2">
      <c r="B356" s="142"/>
    </row>
    <row r="357" spans="2:2">
      <c r="B357" s="142"/>
    </row>
    <row r="358" spans="2:2">
      <c r="B358" s="142"/>
    </row>
    <row r="359" spans="2:2">
      <c r="B359" s="142"/>
    </row>
    <row r="360" spans="2:2">
      <c r="B360" s="142"/>
    </row>
    <row r="361" spans="2:2">
      <c r="B361" s="142"/>
    </row>
    <row r="362" spans="2:2">
      <c r="B362" s="142"/>
    </row>
    <row r="363" spans="2:2">
      <c r="B363" s="142"/>
    </row>
    <row r="364" spans="2:2">
      <c r="B364" s="142"/>
    </row>
    <row r="365" spans="2:2">
      <c r="B365" s="142"/>
    </row>
    <row r="366" spans="2:2">
      <c r="B366" s="142"/>
    </row>
    <row r="367" spans="2:2">
      <c r="B367" s="142"/>
    </row>
    <row r="368" spans="2:2">
      <c r="B368" s="142"/>
    </row>
    <row r="369" spans="2:2">
      <c r="B369" s="142"/>
    </row>
    <row r="370" spans="2:2">
      <c r="B370" s="142"/>
    </row>
    <row r="371" spans="2:2">
      <c r="B371" s="142"/>
    </row>
    <row r="372" spans="2:2">
      <c r="B372" s="142"/>
    </row>
    <row r="373" spans="2:2">
      <c r="B373" s="142"/>
    </row>
    <row r="374" spans="2:2">
      <c r="B374" s="142"/>
    </row>
    <row r="375" spans="2:2">
      <c r="B375" s="142"/>
    </row>
    <row r="376" spans="2:2">
      <c r="B376" s="142"/>
    </row>
    <row r="377" spans="2:2">
      <c r="B377" s="142"/>
    </row>
    <row r="378" spans="2:2">
      <c r="B378" s="142"/>
    </row>
    <row r="379" spans="2:2">
      <c r="B379" s="142"/>
    </row>
    <row r="380" spans="2:2">
      <c r="B380" s="142"/>
    </row>
    <row r="381" spans="2:2">
      <c r="B381" s="142"/>
    </row>
    <row r="382" spans="2:2">
      <c r="B382" s="142"/>
    </row>
    <row r="383" spans="2:2">
      <c r="B383" s="142"/>
    </row>
    <row r="384" spans="2:2">
      <c r="B384" s="142"/>
    </row>
    <row r="385" spans="2:2">
      <c r="B385" s="142"/>
    </row>
    <row r="386" spans="2:2">
      <c r="B386" s="142"/>
    </row>
    <row r="387" spans="2:2">
      <c r="B387" s="142"/>
    </row>
    <row r="388" spans="2:2">
      <c r="B388" s="142"/>
    </row>
    <row r="389" spans="2:2">
      <c r="B389" s="142"/>
    </row>
    <row r="390" spans="2:2">
      <c r="B390" s="142"/>
    </row>
    <row r="391" spans="2:2">
      <c r="B391" s="142"/>
    </row>
    <row r="392" spans="2:2">
      <c r="B392" s="142"/>
    </row>
    <row r="393" spans="2:2">
      <c r="B393" s="142"/>
    </row>
    <row r="394" spans="2:2">
      <c r="B394" s="142"/>
    </row>
    <row r="395" spans="2:2">
      <c r="B395" s="142"/>
    </row>
    <row r="396" spans="2:2">
      <c r="B396" s="142"/>
    </row>
    <row r="397" spans="2:2">
      <c r="B397" s="142"/>
    </row>
    <row r="398" spans="2:2">
      <c r="B398" s="142"/>
    </row>
    <row r="399" spans="2:2">
      <c r="B399" s="142"/>
    </row>
    <row r="400" spans="2:2">
      <c r="B400" s="142"/>
    </row>
    <row r="401" spans="2:2">
      <c r="B401" s="142"/>
    </row>
    <row r="402" spans="2:2">
      <c r="B402" s="142"/>
    </row>
    <row r="403" spans="2:2">
      <c r="B403" s="142"/>
    </row>
    <row r="404" spans="2:2">
      <c r="B404" s="142"/>
    </row>
    <row r="405" spans="2:2">
      <c r="B405" s="142"/>
    </row>
    <row r="406" spans="2:2">
      <c r="B406" s="142"/>
    </row>
    <row r="407" spans="2:2">
      <c r="B407" s="142"/>
    </row>
    <row r="408" spans="2:2">
      <c r="B408" s="142"/>
    </row>
    <row r="409" spans="2:2">
      <c r="B409" s="142"/>
    </row>
    <row r="410" spans="2:2">
      <c r="B410" s="142"/>
    </row>
    <row r="411" spans="2:2">
      <c r="B411" s="142"/>
    </row>
    <row r="412" spans="2:2">
      <c r="B412" s="142"/>
    </row>
    <row r="413" spans="2:2">
      <c r="B413" s="142"/>
    </row>
    <row r="414" spans="2:2">
      <c r="B414" s="142"/>
    </row>
    <row r="415" spans="2:2">
      <c r="B415" s="142"/>
    </row>
    <row r="416" spans="2:2">
      <c r="B416" s="142"/>
    </row>
    <row r="417" spans="2:2">
      <c r="B417" s="142"/>
    </row>
    <row r="418" spans="2:2">
      <c r="B418" s="142"/>
    </row>
    <row r="419" spans="2:2">
      <c r="B419" s="142"/>
    </row>
    <row r="420" spans="2:2">
      <c r="B420" s="142"/>
    </row>
    <row r="421" spans="2:2">
      <c r="B421" s="142"/>
    </row>
    <row r="422" spans="2:2">
      <c r="B422" s="142"/>
    </row>
    <row r="423" spans="2:2">
      <c r="B423" s="142"/>
    </row>
    <row r="424" spans="2:2">
      <c r="B424" s="142"/>
    </row>
    <row r="425" spans="2:2">
      <c r="B425" s="142"/>
    </row>
    <row r="426" spans="2:2">
      <c r="B426" s="142"/>
    </row>
    <row r="427" spans="2:2">
      <c r="B427" s="142"/>
    </row>
    <row r="428" spans="2:2">
      <c r="B428" s="142"/>
    </row>
    <row r="429" spans="2:2">
      <c r="B429" s="142"/>
    </row>
    <row r="430" spans="2:2">
      <c r="B430" s="142"/>
    </row>
    <row r="431" spans="2:2">
      <c r="B431" s="142"/>
    </row>
    <row r="432" spans="2:2">
      <c r="B432" s="142"/>
    </row>
    <row r="433" spans="2:2">
      <c r="B433" s="142"/>
    </row>
    <row r="434" spans="2:2">
      <c r="B434" s="142"/>
    </row>
    <row r="435" spans="2:2">
      <c r="B435" s="142"/>
    </row>
    <row r="436" spans="2:2">
      <c r="B436" s="142"/>
    </row>
    <row r="437" spans="2:2">
      <c r="B437" s="142"/>
    </row>
    <row r="438" spans="2:2">
      <c r="B438" s="142"/>
    </row>
    <row r="439" spans="2:2">
      <c r="B439" s="142"/>
    </row>
    <row r="440" spans="2:2">
      <c r="B440" s="142"/>
    </row>
    <row r="441" spans="2:2">
      <c r="B441" s="142"/>
    </row>
    <row r="442" spans="2:2">
      <c r="B442" s="142"/>
    </row>
    <row r="443" spans="2:2">
      <c r="B443" s="142"/>
    </row>
    <row r="444" spans="2:2">
      <c r="B444" s="142"/>
    </row>
    <row r="445" spans="2:2">
      <c r="B445" s="142"/>
    </row>
    <row r="446" spans="2:2">
      <c r="B446" s="142"/>
    </row>
    <row r="447" spans="2:2">
      <c r="B447" s="142"/>
    </row>
    <row r="448" spans="2:2">
      <c r="B448" s="142"/>
    </row>
    <row r="449" spans="2:2">
      <c r="B449" s="142"/>
    </row>
    <row r="450" spans="2:2">
      <c r="B450" s="142"/>
    </row>
    <row r="451" spans="2:2">
      <c r="B451" s="142"/>
    </row>
    <row r="452" spans="2:2">
      <c r="B452" s="142"/>
    </row>
    <row r="453" spans="2:2">
      <c r="B453" s="142"/>
    </row>
    <row r="454" spans="2:2">
      <c r="B454" s="142"/>
    </row>
    <row r="455" spans="2:2">
      <c r="B455" s="142"/>
    </row>
    <row r="456" spans="2:2">
      <c r="B456" s="142"/>
    </row>
    <row r="457" spans="2:2">
      <c r="B457" s="142"/>
    </row>
    <row r="458" spans="2:2">
      <c r="B458" s="142"/>
    </row>
    <row r="459" spans="2:2">
      <c r="B459" s="142"/>
    </row>
    <row r="460" spans="2:2">
      <c r="B460" s="142"/>
    </row>
    <row r="461" spans="2:2">
      <c r="B461" s="142"/>
    </row>
    <row r="462" spans="2:2">
      <c r="B462" s="142"/>
    </row>
    <row r="463" spans="2:2">
      <c r="B463" s="142"/>
    </row>
    <row r="464" spans="2:2">
      <c r="B464" s="142"/>
    </row>
    <row r="465" spans="2:2">
      <c r="B465" s="142"/>
    </row>
    <row r="466" spans="2:2">
      <c r="B466" s="142"/>
    </row>
    <row r="467" spans="2:2">
      <c r="B467" s="142"/>
    </row>
    <row r="468" spans="2:2">
      <c r="B468" s="142"/>
    </row>
    <row r="469" spans="2:2">
      <c r="B469" s="142"/>
    </row>
    <row r="470" spans="2:2">
      <c r="B470" s="142"/>
    </row>
    <row r="471" spans="2:2">
      <c r="B471" s="142"/>
    </row>
    <row r="472" spans="2:2">
      <c r="B472" s="142"/>
    </row>
    <row r="473" spans="2:2">
      <c r="B473" s="142"/>
    </row>
    <row r="474" spans="2:2">
      <c r="B474" s="142"/>
    </row>
    <row r="475" spans="2:2">
      <c r="B475" s="142"/>
    </row>
    <row r="476" spans="2:2">
      <c r="B476" s="142"/>
    </row>
    <row r="477" spans="2:2">
      <c r="B477" s="142"/>
    </row>
    <row r="478" spans="2:2">
      <c r="B478" s="142"/>
    </row>
    <row r="479" spans="2:2">
      <c r="B479" s="142"/>
    </row>
    <row r="480" spans="2:2">
      <c r="B480" s="142"/>
    </row>
    <row r="481" spans="2:2">
      <c r="B481" s="142"/>
    </row>
    <row r="482" spans="2:2">
      <c r="B482" s="142"/>
    </row>
    <row r="483" spans="2:2">
      <c r="B483" s="142"/>
    </row>
    <row r="484" spans="2:2">
      <c r="B484" s="142"/>
    </row>
    <row r="485" spans="2:2">
      <c r="B485" s="142"/>
    </row>
    <row r="486" spans="2:2">
      <c r="B486" s="142"/>
    </row>
    <row r="487" spans="2:2">
      <c r="B487" s="142"/>
    </row>
    <row r="488" spans="2:2">
      <c r="B488" s="142"/>
    </row>
    <row r="489" spans="2:2">
      <c r="B489" s="142"/>
    </row>
    <row r="490" spans="2:2">
      <c r="B490" s="142"/>
    </row>
    <row r="491" spans="2:2">
      <c r="B491" s="142"/>
    </row>
    <row r="492" spans="2:2">
      <c r="B492" s="142"/>
    </row>
    <row r="493" spans="2:2">
      <c r="B493" s="142"/>
    </row>
    <row r="494" spans="2:2">
      <c r="B494" s="142"/>
    </row>
    <row r="495" spans="2:2">
      <c r="B495" s="142"/>
    </row>
    <row r="496" spans="2:2">
      <c r="B496" s="142"/>
    </row>
    <row r="497" spans="2:2">
      <c r="B497" s="142"/>
    </row>
    <row r="498" spans="2:2">
      <c r="B498" s="142"/>
    </row>
    <row r="499" spans="2:2">
      <c r="B499" s="142"/>
    </row>
    <row r="500" spans="2:2">
      <c r="B500" s="142"/>
    </row>
    <row r="501" spans="2:2">
      <c r="B501" s="142"/>
    </row>
    <row r="502" spans="2:2">
      <c r="B502" s="142"/>
    </row>
    <row r="503" spans="2:2">
      <c r="B503" s="142"/>
    </row>
    <row r="504" spans="2:2">
      <c r="B504" s="142"/>
    </row>
    <row r="505" spans="2:2">
      <c r="B505" s="142"/>
    </row>
    <row r="506" spans="2:2">
      <c r="B506" s="142"/>
    </row>
    <row r="507" spans="2:2">
      <c r="B507" s="142"/>
    </row>
    <row r="508" spans="2:2">
      <c r="B508" s="142"/>
    </row>
    <row r="509" spans="2:2">
      <c r="B509" s="142"/>
    </row>
    <row r="510" spans="2:2">
      <c r="B510" s="142"/>
    </row>
    <row r="511" spans="2:2">
      <c r="B511" s="142"/>
    </row>
    <row r="512" spans="2:2">
      <c r="B512" s="142"/>
    </row>
    <row r="513" spans="2:2">
      <c r="B513" s="142"/>
    </row>
    <row r="514" spans="2:2">
      <c r="B514" s="142"/>
    </row>
    <row r="515" spans="2:2">
      <c r="B515" s="142"/>
    </row>
    <row r="516" spans="2:2">
      <c r="B516" s="142"/>
    </row>
    <row r="517" spans="2:2">
      <c r="B517" s="142"/>
    </row>
    <row r="518" spans="2:2">
      <c r="B518" s="142"/>
    </row>
    <row r="519" spans="2:2">
      <c r="B519" s="142"/>
    </row>
    <row r="520" spans="2:2">
      <c r="B520" s="142"/>
    </row>
    <row r="521" spans="2:2">
      <c r="B521" s="142"/>
    </row>
    <row r="522" spans="2:2">
      <c r="B522" s="142"/>
    </row>
    <row r="523" spans="2:2">
      <c r="B523" s="142"/>
    </row>
    <row r="524" spans="2:2">
      <c r="B524" s="142"/>
    </row>
    <row r="525" spans="2:2">
      <c r="B525" s="142"/>
    </row>
    <row r="526" spans="2:2">
      <c r="B526" s="142"/>
    </row>
    <row r="527" spans="2:2">
      <c r="B527" s="142"/>
    </row>
    <row r="528" spans="2:2">
      <c r="B528" s="142"/>
    </row>
    <row r="529" spans="2:2">
      <c r="B529" s="142"/>
    </row>
    <row r="530" spans="2:2">
      <c r="B530" s="142"/>
    </row>
    <row r="531" spans="2:2">
      <c r="B531" s="142"/>
    </row>
    <row r="532" spans="2:2">
      <c r="B532" s="142"/>
    </row>
    <row r="533" spans="2:2">
      <c r="B533" s="142"/>
    </row>
    <row r="534" spans="2:2">
      <c r="B534" s="142"/>
    </row>
    <row r="535" spans="2:2">
      <c r="B535" s="142"/>
    </row>
    <row r="536" spans="2:2">
      <c r="B536" s="142"/>
    </row>
    <row r="537" spans="2:2">
      <c r="B537" s="142"/>
    </row>
    <row r="538" spans="2:2">
      <c r="B538" s="142"/>
    </row>
    <row r="539" spans="2:2">
      <c r="B539" s="142"/>
    </row>
    <row r="540" spans="2:2">
      <c r="B540" s="142"/>
    </row>
    <row r="541" spans="2:2">
      <c r="B541" s="142"/>
    </row>
    <row r="542" spans="2:2">
      <c r="B542" s="142"/>
    </row>
    <row r="543" spans="2:2">
      <c r="B543" s="142"/>
    </row>
    <row r="544" spans="2:2">
      <c r="B544" s="142"/>
    </row>
    <row r="545" spans="2:2">
      <c r="B545" s="142"/>
    </row>
    <row r="546" spans="2:2">
      <c r="B546" s="142"/>
    </row>
    <row r="547" spans="2:2">
      <c r="B547" s="142"/>
    </row>
    <row r="548" spans="2:2">
      <c r="B548" s="142"/>
    </row>
    <row r="549" spans="2:2">
      <c r="B549" s="142"/>
    </row>
    <row r="550" spans="2:2">
      <c r="B550" s="142"/>
    </row>
    <row r="551" spans="2:2">
      <c r="B551" s="142"/>
    </row>
    <row r="552" spans="2:2">
      <c r="B552" s="142"/>
    </row>
    <row r="553" spans="2:2">
      <c r="B553" s="142"/>
    </row>
    <row r="554" spans="2:2">
      <c r="B554" s="142"/>
    </row>
    <row r="555" spans="2:2">
      <c r="B555" s="142"/>
    </row>
    <row r="556" spans="2:2">
      <c r="B556" s="142"/>
    </row>
    <row r="557" spans="2:2">
      <c r="B557" s="142"/>
    </row>
    <row r="558" spans="2:2">
      <c r="B558" s="142"/>
    </row>
    <row r="559" spans="2:2">
      <c r="B559" s="142"/>
    </row>
    <row r="560" spans="2:2">
      <c r="B560" s="142"/>
    </row>
    <row r="561" spans="2:2">
      <c r="B561" s="142"/>
    </row>
    <row r="562" spans="2:2">
      <c r="B562" s="142"/>
    </row>
    <row r="563" spans="2:2">
      <c r="B563" s="142"/>
    </row>
    <row r="564" spans="2:2">
      <c r="B564" s="142"/>
    </row>
    <row r="565" spans="2:2">
      <c r="B565" s="142"/>
    </row>
    <row r="566" spans="2:2">
      <c r="B566" s="142"/>
    </row>
    <row r="567" spans="2:2">
      <c r="B567" s="142"/>
    </row>
    <row r="568" spans="2:2">
      <c r="B568" s="142"/>
    </row>
    <row r="569" spans="2:2">
      <c r="B569" s="142"/>
    </row>
    <row r="570" spans="2:2">
      <c r="B570" s="142"/>
    </row>
    <row r="571" spans="2:2">
      <c r="B571" s="142"/>
    </row>
    <row r="572" spans="2:2">
      <c r="B572" s="142"/>
    </row>
    <row r="573" spans="2:2">
      <c r="B573" s="142"/>
    </row>
    <row r="574" spans="2:2">
      <c r="B574" s="142"/>
    </row>
    <row r="575" spans="2:2">
      <c r="B575" s="142"/>
    </row>
    <row r="576" spans="2:2">
      <c r="B576" s="142"/>
    </row>
    <row r="577" spans="2:2">
      <c r="B577" s="142"/>
    </row>
    <row r="578" spans="2:2">
      <c r="B578" s="142"/>
    </row>
    <row r="579" spans="2:2">
      <c r="B579" s="142"/>
    </row>
    <row r="580" spans="2:2">
      <c r="B580" s="142"/>
    </row>
    <row r="581" spans="2:2">
      <c r="B581" s="142"/>
    </row>
    <row r="582" spans="2:2">
      <c r="B582" s="142"/>
    </row>
    <row r="583" spans="2:2">
      <c r="B583" s="142"/>
    </row>
    <row r="584" spans="2:2">
      <c r="B584" s="142"/>
    </row>
    <row r="585" spans="2:2">
      <c r="B585" s="142"/>
    </row>
    <row r="586" spans="2:2">
      <c r="B586" s="142"/>
    </row>
    <row r="587" spans="2:2">
      <c r="B587" s="142"/>
    </row>
    <row r="588" spans="2:2">
      <c r="B588" s="142"/>
    </row>
    <row r="589" spans="2:2">
      <c r="B589" s="142"/>
    </row>
    <row r="590" spans="2:2">
      <c r="B590" s="142"/>
    </row>
    <row r="591" spans="2:2">
      <c r="B591" s="142"/>
    </row>
    <row r="592" spans="2:2">
      <c r="B592" s="142"/>
    </row>
    <row r="593" spans="2:2">
      <c r="B593" s="142"/>
    </row>
    <row r="594" spans="2:2">
      <c r="B594" s="142"/>
    </row>
    <row r="595" spans="2:2">
      <c r="B595" s="142"/>
    </row>
    <row r="596" spans="2:2">
      <c r="B596" s="142"/>
    </row>
    <row r="597" spans="2:2">
      <c r="B597" s="142"/>
    </row>
    <row r="598" spans="2:2">
      <c r="B598" s="142"/>
    </row>
    <row r="599" spans="2:2">
      <c r="B599" s="142"/>
    </row>
    <row r="600" spans="2:2">
      <c r="B600" s="142"/>
    </row>
    <row r="601" spans="2:2">
      <c r="B601" s="142"/>
    </row>
    <row r="602" spans="2:2">
      <c r="B602" s="142"/>
    </row>
    <row r="603" spans="2:2">
      <c r="B603" s="142"/>
    </row>
    <row r="604" spans="2:2">
      <c r="B604" s="142"/>
    </row>
    <row r="605" spans="2:2">
      <c r="B605" s="142"/>
    </row>
    <row r="606" spans="2:2">
      <c r="B606" s="142"/>
    </row>
    <row r="607" spans="2:2">
      <c r="B607" s="142"/>
    </row>
    <row r="608" spans="2:2">
      <c r="B608" s="142"/>
    </row>
    <row r="609" spans="2:2">
      <c r="B609" s="142"/>
    </row>
    <row r="610" spans="2:2">
      <c r="B610" s="142"/>
    </row>
    <row r="611" spans="2:2">
      <c r="B611" s="142"/>
    </row>
    <row r="612" spans="2:2">
      <c r="B612" s="142"/>
    </row>
    <row r="613" spans="2:2">
      <c r="B613" s="142"/>
    </row>
    <row r="614" spans="2:2">
      <c r="B614" s="142"/>
    </row>
    <row r="615" spans="2:2">
      <c r="B615" s="142"/>
    </row>
    <row r="616" spans="2:2">
      <c r="B616" s="142"/>
    </row>
    <row r="617" spans="2:2">
      <c r="B617" s="142"/>
    </row>
    <row r="618" spans="2:2">
      <c r="B618" s="142"/>
    </row>
    <row r="619" spans="2:2">
      <c r="B619" s="142"/>
    </row>
    <row r="620" spans="2:2">
      <c r="B620" s="142"/>
    </row>
    <row r="621" spans="2:2">
      <c r="B621" s="142"/>
    </row>
    <row r="622" spans="2:2">
      <c r="B622" s="142"/>
    </row>
    <row r="623" spans="2:2">
      <c r="B623" s="142"/>
    </row>
    <row r="624" spans="2:2">
      <c r="B624" s="142"/>
    </row>
    <row r="625" spans="2:2">
      <c r="B625" s="142"/>
    </row>
    <row r="626" spans="2:2">
      <c r="B626" s="142"/>
    </row>
    <row r="627" spans="2:2">
      <c r="B627" s="142"/>
    </row>
    <row r="628" spans="2:2">
      <c r="B628" s="142"/>
    </row>
    <row r="629" spans="2:2">
      <c r="B629" s="142"/>
    </row>
    <row r="630" spans="2:2">
      <c r="B630" s="142"/>
    </row>
    <row r="631" spans="2:2">
      <c r="B631" s="142"/>
    </row>
    <row r="632" spans="2:2">
      <c r="B632" s="142"/>
    </row>
    <row r="633" spans="2:2">
      <c r="B633" s="142"/>
    </row>
    <row r="634" spans="2:2">
      <c r="B634" s="142"/>
    </row>
    <row r="635" spans="2:2">
      <c r="B635" s="142"/>
    </row>
    <row r="636" spans="2:2">
      <c r="B636" s="142"/>
    </row>
    <row r="637" spans="2:2">
      <c r="B637" s="142"/>
    </row>
    <row r="638" spans="2:2">
      <c r="B638" s="142"/>
    </row>
    <row r="639" spans="2:2">
      <c r="B639" s="142"/>
    </row>
    <row r="640" spans="2:2">
      <c r="B640" s="142"/>
    </row>
    <row r="641" spans="2:2">
      <c r="B641" s="142"/>
    </row>
    <row r="642" spans="2:2">
      <c r="B642" s="142"/>
    </row>
    <row r="643" spans="2:2">
      <c r="B643" s="142"/>
    </row>
    <row r="644" spans="2:2">
      <c r="B644" s="142"/>
    </row>
    <row r="645" spans="2:2">
      <c r="B645" s="142"/>
    </row>
    <row r="646" spans="2:2">
      <c r="B646" s="142"/>
    </row>
    <row r="647" spans="2:2">
      <c r="B647" s="142"/>
    </row>
    <row r="648" spans="2:2">
      <c r="B648" s="142"/>
    </row>
    <row r="649" spans="2:2">
      <c r="B649" s="142"/>
    </row>
    <row r="650" spans="2:2">
      <c r="B650" s="142"/>
    </row>
    <row r="651" spans="2:2">
      <c r="B651" s="142"/>
    </row>
    <row r="652" spans="2:2">
      <c r="B652" s="142"/>
    </row>
    <row r="653" spans="2:2">
      <c r="B653" s="142"/>
    </row>
    <row r="654" spans="2:2">
      <c r="B654" s="142"/>
    </row>
    <row r="655" spans="2:2">
      <c r="B655" s="142"/>
    </row>
    <row r="656" spans="2:2">
      <c r="B656" s="142"/>
    </row>
    <row r="657" spans="2:2">
      <c r="B657" s="142"/>
    </row>
    <row r="658" spans="2:2">
      <c r="B658" s="142"/>
    </row>
    <row r="659" spans="2:2">
      <c r="B659" s="142"/>
    </row>
    <row r="660" spans="2:2">
      <c r="B660" s="142"/>
    </row>
    <row r="661" spans="2:2">
      <c r="B661" s="142"/>
    </row>
    <row r="662" spans="2:2">
      <c r="B662" s="142"/>
    </row>
    <row r="663" spans="2:2">
      <c r="B663" s="142"/>
    </row>
    <row r="664" spans="2:2">
      <c r="B664" s="142"/>
    </row>
    <row r="665" spans="2:2">
      <c r="B665" s="142"/>
    </row>
    <row r="666" spans="2:2">
      <c r="B666" s="142"/>
    </row>
    <row r="667" spans="2:2">
      <c r="B667" s="142"/>
    </row>
    <row r="668" spans="2:2">
      <c r="B668" s="142"/>
    </row>
    <row r="669" spans="2:2">
      <c r="B669" s="142"/>
    </row>
    <row r="670" spans="2:2">
      <c r="B670" s="142"/>
    </row>
    <row r="671" spans="2:2">
      <c r="B671" s="142"/>
    </row>
    <row r="672" spans="2:2">
      <c r="B672" s="142"/>
    </row>
    <row r="673" spans="2:2">
      <c r="B673" s="142"/>
    </row>
    <row r="674" spans="2:2">
      <c r="B674" s="142"/>
    </row>
    <row r="675" spans="2:2">
      <c r="B675" s="142"/>
    </row>
    <row r="676" spans="2:2">
      <c r="B676" s="142"/>
    </row>
    <row r="677" spans="2:2">
      <c r="B677" s="142"/>
    </row>
    <row r="678" spans="2:2">
      <c r="B678" s="142"/>
    </row>
    <row r="679" spans="2:2">
      <c r="B679" s="142"/>
    </row>
    <row r="680" spans="2:2">
      <c r="B680" s="142"/>
    </row>
    <row r="681" spans="2:2">
      <c r="B681" s="142"/>
    </row>
    <row r="682" spans="2:2">
      <c r="B682" s="142"/>
    </row>
    <row r="683" spans="2:2">
      <c r="B683" s="142"/>
    </row>
    <row r="684" spans="2:2">
      <c r="B684" s="142"/>
    </row>
    <row r="685" spans="2:2">
      <c r="B685" s="142"/>
    </row>
    <row r="686" spans="2:2">
      <c r="B686" s="142"/>
    </row>
    <row r="687" spans="2:2">
      <c r="B687" s="142"/>
    </row>
    <row r="688" spans="2:2">
      <c r="B688" s="142"/>
    </row>
    <row r="689" spans="2:2">
      <c r="B689" s="142"/>
    </row>
    <row r="690" spans="2:2">
      <c r="B690" s="142"/>
    </row>
    <row r="691" spans="2:2">
      <c r="B691" s="142"/>
    </row>
    <row r="692" spans="2:2">
      <c r="B692" s="142"/>
    </row>
    <row r="693" spans="2:2">
      <c r="B693" s="142"/>
    </row>
    <row r="694" spans="2:2">
      <c r="B694" s="142"/>
    </row>
    <row r="695" spans="2:2">
      <c r="B695" s="142"/>
    </row>
    <row r="696" spans="2:2">
      <c r="B696" s="142"/>
    </row>
    <row r="697" spans="2:2">
      <c r="B697" s="142"/>
    </row>
    <row r="698" spans="2:2">
      <c r="B698" s="142"/>
    </row>
    <row r="699" spans="2:2">
      <c r="B699" s="142"/>
    </row>
    <row r="700" spans="2:2">
      <c r="B700" s="142"/>
    </row>
    <row r="701" spans="2:2">
      <c r="B701" s="142"/>
    </row>
    <row r="702" spans="2:2">
      <c r="B702" s="142"/>
    </row>
    <row r="703" spans="2:2">
      <c r="B703" s="142"/>
    </row>
    <row r="704" spans="2:2">
      <c r="B704" s="142"/>
    </row>
    <row r="705" spans="2:2">
      <c r="B705" s="142"/>
    </row>
    <row r="706" spans="2:2">
      <c r="B706" s="142"/>
    </row>
    <row r="707" spans="2:2">
      <c r="B707" s="142"/>
    </row>
    <row r="708" spans="2:2">
      <c r="B708" s="142"/>
    </row>
    <row r="709" spans="2:2">
      <c r="B709" s="142"/>
    </row>
    <row r="710" spans="2:2">
      <c r="B710" s="142"/>
    </row>
    <row r="711" spans="2:2">
      <c r="B711" s="142"/>
    </row>
    <row r="712" spans="2:2">
      <c r="B712" s="142"/>
    </row>
    <row r="713" spans="2:2">
      <c r="B713" s="142"/>
    </row>
    <row r="714" spans="2:2">
      <c r="B714" s="142"/>
    </row>
    <row r="715" spans="2:2">
      <c r="B715" s="142"/>
    </row>
    <row r="716" spans="2:2">
      <c r="B716" s="142"/>
    </row>
    <row r="717" spans="2:2">
      <c r="B717" s="142"/>
    </row>
    <row r="718" spans="2:2">
      <c r="B718" s="142"/>
    </row>
    <row r="719" spans="2:2">
      <c r="B719" s="142"/>
    </row>
    <row r="720" spans="2:2">
      <c r="B720" s="142"/>
    </row>
    <row r="721" spans="2:2">
      <c r="B721" s="142"/>
    </row>
    <row r="722" spans="2:2">
      <c r="B722" s="142"/>
    </row>
    <row r="723" spans="2:2">
      <c r="B723" s="142"/>
    </row>
    <row r="724" spans="2:2">
      <c r="B724" s="142"/>
    </row>
    <row r="725" spans="2:2">
      <c r="B725" s="142"/>
    </row>
    <row r="726" spans="2:2">
      <c r="B726" s="142"/>
    </row>
    <row r="727" spans="2:2">
      <c r="B727" s="142"/>
    </row>
    <row r="728" spans="2:2">
      <c r="B728" s="142"/>
    </row>
    <row r="729" spans="2:2">
      <c r="B729" s="142"/>
    </row>
    <row r="730" spans="2:2">
      <c r="B730" s="142"/>
    </row>
    <row r="731" spans="2:2">
      <c r="B731" s="142"/>
    </row>
    <row r="732" spans="2:2">
      <c r="B732" s="142"/>
    </row>
    <row r="733" spans="2:2">
      <c r="B733" s="142"/>
    </row>
    <row r="734" spans="2:2">
      <c r="B734" s="142"/>
    </row>
    <row r="735" spans="2:2">
      <c r="B735" s="142"/>
    </row>
    <row r="736" spans="2:2">
      <c r="B736" s="142"/>
    </row>
    <row r="737" spans="2:2">
      <c r="B737" s="142"/>
    </row>
    <row r="738" spans="2:2">
      <c r="B738" s="142"/>
    </row>
    <row r="739" spans="2:2">
      <c r="B739" s="142"/>
    </row>
    <row r="740" spans="2:2">
      <c r="B740" s="142"/>
    </row>
    <row r="741" spans="2:2">
      <c r="B741" s="142"/>
    </row>
    <row r="742" spans="2:2">
      <c r="B742" s="142"/>
    </row>
    <row r="743" spans="2:2">
      <c r="B743" s="142"/>
    </row>
    <row r="744" spans="2:2">
      <c r="B744" s="142"/>
    </row>
    <row r="745" spans="2:2">
      <c r="B745" s="142"/>
    </row>
    <row r="746" spans="2:2">
      <c r="B746" s="142"/>
    </row>
    <row r="747" spans="2:2">
      <c r="B747" s="142"/>
    </row>
    <row r="748" spans="2:2">
      <c r="B748" s="142"/>
    </row>
    <row r="749" spans="2:2">
      <c r="B749" s="142"/>
    </row>
    <row r="750" spans="2:2">
      <c r="B750" s="142"/>
    </row>
    <row r="751" spans="2:2">
      <c r="B751" s="142"/>
    </row>
    <row r="752" spans="2:2">
      <c r="B752" s="142"/>
    </row>
    <row r="753" spans="2:2">
      <c r="B753" s="142"/>
    </row>
    <row r="754" spans="2:2">
      <c r="B754" s="142"/>
    </row>
    <row r="755" spans="2:2">
      <c r="B755" s="142"/>
    </row>
    <row r="756" spans="2:2">
      <c r="B756" s="142"/>
    </row>
    <row r="757" spans="2:2">
      <c r="B757" s="142"/>
    </row>
    <row r="758" spans="2:2">
      <c r="B758" s="142"/>
    </row>
    <row r="759" spans="2:2">
      <c r="B759" s="142"/>
    </row>
    <row r="760" spans="2:2">
      <c r="B760" s="142"/>
    </row>
    <row r="761" spans="2:2">
      <c r="B761" s="142"/>
    </row>
    <row r="762" spans="2:2">
      <c r="B762" s="142"/>
    </row>
    <row r="763" spans="2:2">
      <c r="B763" s="142"/>
    </row>
    <row r="764" spans="2:2">
      <c r="B764" s="142"/>
    </row>
    <row r="765" spans="2:2">
      <c r="B765" s="142"/>
    </row>
    <row r="766" spans="2:2">
      <c r="B766" s="142"/>
    </row>
    <row r="767" spans="2:2">
      <c r="B767" s="142"/>
    </row>
    <row r="768" spans="2:2">
      <c r="B768" s="142"/>
    </row>
    <row r="769" spans="2:2">
      <c r="B769" s="142"/>
    </row>
    <row r="770" spans="2:2">
      <c r="B770" s="142"/>
    </row>
    <row r="771" spans="2:2">
      <c r="B771" s="142"/>
    </row>
    <row r="772" spans="2:2">
      <c r="B772" s="142"/>
    </row>
    <row r="773" spans="2:2">
      <c r="B773" s="142"/>
    </row>
    <row r="774" spans="2:2">
      <c r="B774" s="142"/>
    </row>
    <row r="775" spans="2:2">
      <c r="B775" s="142"/>
    </row>
    <row r="776" spans="2:2">
      <c r="B776" s="142"/>
    </row>
    <row r="777" spans="2:2">
      <c r="B777" s="142"/>
    </row>
    <row r="778" spans="2:2">
      <c r="B778" s="142"/>
    </row>
    <row r="779" spans="2:2">
      <c r="B779" s="142"/>
    </row>
    <row r="780" spans="2:2">
      <c r="B780" s="142"/>
    </row>
    <row r="781" spans="2:2">
      <c r="B781" s="142"/>
    </row>
    <row r="782" spans="2:2">
      <c r="B782" s="142"/>
    </row>
    <row r="783" spans="2:2">
      <c r="B783" s="142"/>
    </row>
    <row r="784" spans="2:2">
      <c r="B784" s="142"/>
    </row>
    <row r="785" spans="2:2">
      <c r="B785" s="142"/>
    </row>
    <row r="786" spans="2:2">
      <c r="B786" s="142"/>
    </row>
    <row r="787" spans="2:2">
      <c r="B787" s="142"/>
    </row>
    <row r="788" spans="2:2">
      <c r="B788" s="142"/>
    </row>
    <row r="789" spans="2:2">
      <c r="B789" s="142"/>
    </row>
    <row r="790" spans="2:2">
      <c r="B790" s="142"/>
    </row>
    <row r="791" spans="2:2">
      <c r="B791" s="142"/>
    </row>
    <row r="792" spans="2:2">
      <c r="B792" s="142"/>
    </row>
    <row r="793" spans="2:2">
      <c r="B793" s="142"/>
    </row>
    <row r="794" spans="2:2">
      <c r="B794" s="142"/>
    </row>
    <row r="795" spans="2:2">
      <c r="B795" s="142"/>
    </row>
    <row r="796" spans="2:2">
      <c r="B796" s="142"/>
    </row>
    <row r="797" spans="2:2">
      <c r="B797" s="142"/>
    </row>
    <row r="798" spans="2:2">
      <c r="B798" s="142"/>
    </row>
    <row r="799" spans="2:2">
      <c r="B799" s="142"/>
    </row>
    <row r="800" spans="2:2">
      <c r="B800" s="142"/>
    </row>
    <row r="801" spans="2:2">
      <c r="B801" s="142"/>
    </row>
    <row r="802" spans="2:2">
      <c r="B802" s="142"/>
    </row>
    <row r="803" spans="2:2">
      <c r="B803" s="142"/>
    </row>
    <row r="804" spans="2:2">
      <c r="B804" s="142"/>
    </row>
    <row r="805" spans="2:2">
      <c r="B805" s="142"/>
    </row>
    <row r="806" spans="2:2">
      <c r="B806" s="142"/>
    </row>
    <row r="807" spans="2:2">
      <c r="B807" s="142"/>
    </row>
    <row r="808" spans="2:2">
      <c r="B808" s="142"/>
    </row>
    <row r="809" spans="2:2">
      <c r="B809" s="142"/>
    </row>
    <row r="810" spans="2:2">
      <c r="B810" s="142"/>
    </row>
    <row r="811" spans="2:2">
      <c r="B811" s="142"/>
    </row>
    <row r="812" spans="2:2">
      <c r="B812" s="142"/>
    </row>
    <row r="813" spans="2:2">
      <c r="B813" s="142"/>
    </row>
    <row r="814" spans="2:2">
      <c r="B814" s="142"/>
    </row>
    <row r="815" spans="2:2">
      <c r="B815" s="142"/>
    </row>
    <row r="816" spans="2:2">
      <c r="B816" s="142"/>
    </row>
    <row r="817" spans="2:2">
      <c r="B817" s="142"/>
    </row>
    <row r="818" spans="2:2">
      <c r="B818" s="142"/>
    </row>
    <row r="819" spans="2:2">
      <c r="B819" s="142"/>
    </row>
    <row r="820" spans="2:2">
      <c r="B820" s="142"/>
    </row>
    <row r="821" spans="2:2">
      <c r="B821" s="142"/>
    </row>
    <row r="822" spans="2:2">
      <c r="B822" s="142"/>
    </row>
    <row r="823" spans="2:2">
      <c r="B823" s="142"/>
    </row>
    <row r="824" spans="2:2">
      <c r="B824" s="142"/>
    </row>
    <row r="825" spans="2:2">
      <c r="B825" s="142"/>
    </row>
    <row r="826" spans="2:2">
      <c r="B826" s="142"/>
    </row>
    <row r="827" spans="2:2">
      <c r="B827" s="142"/>
    </row>
    <row r="828" spans="2:2">
      <c r="B828" s="142"/>
    </row>
    <row r="829" spans="2:2">
      <c r="B829" s="142"/>
    </row>
    <row r="830" spans="2:2">
      <c r="B830" s="142"/>
    </row>
    <row r="831" spans="2:2">
      <c r="B831" s="142"/>
    </row>
    <row r="832" spans="2:2">
      <c r="B832" s="142"/>
    </row>
    <row r="833" spans="2:2">
      <c r="B833" s="142"/>
    </row>
    <row r="834" spans="2:2">
      <c r="B834" s="142"/>
    </row>
    <row r="835" spans="2:2">
      <c r="B835" s="142"/>
    </row>
    <row r="836" spans="2:2">
      <c r="B836" s="142"/>
    </row>
    <row r="837" spans="2:2">
      <c r="B837" s="142"/>
    </row>
    <row r="838" spans="2:2">
      <c r="B838" s="142"/>
    </row>
    <row r="839" spans="2:2">
      <c r="B839" s="142"/>
    </row>
    <row r="840" spans="2:2">
      <c r="B840" s="142"/>
    </row>
    <row r="841" spans="2:2">
      <c r="B841" s="142"/>
    </row>
    <row r="842" spans="2:2">
      <c r="B842" s="142"/>
    </row>
    <row r="843" spans="2:2">
      <c r="B843" s="142"/>
    </row>
    <row r="844" spans="2:2">
      <c r="B844" s="142"/>
    </row>
    <row r="845" spans="2:2">
      <c r="B845" s="142"/>
    </row>
    <row r="846" spans="2:2">
      <c r="B846" s="142"/>
    </row>
    <row r="847" spans="2:2">
      <c r="B847" s="142"/>
    </row>
    <row r="848" spans="2:2">
      <c r="B848" s="142"/>
    </row>
    <row r="849" spans="2:2">
      <c r="B849" s="142"/>
    </row>
    <row r="850" spans="2:2">
      <c r="B850" s="142"/>
    </row>
    <row r="851" spans="2:2">
      <c r="B851" s="142"/>
    </row>
    <row r="852" spans="2:2">
      <c r="B852" s="142"/>
    </row>
    <row r="853" spans="2:2">
      <c r="B853" s="142"/>
    </row>
    <row r="854" spans="2:2">
      <c r="B854" s="142"/>
    </row>
    <row r="855" spans="2:2">
      <c r="B855" s="142"/>
    </row>
    <row r="856" spans="2:2">
      <c r="B856" s="142"/>
    </row>
    <row r="857" spans="2:2">
      <c r="B857" s="142"/>
    </row>
    <row r="858" spans="2:2">
      <c r="B858" s="142"/>
    </row>
    <row r="859" spans="2:2">
      <c r="B859" s="142"/>
    </row>
    <row r="860" spans="2:2">
      <c r="B860" s="142"/>
    </row>
    <row r="861" spans="2:2">
      <c r="B861" s="142"/>
    </row>
    <row r="862" spans="2:2">
      <c r="B862" s="142"/>
    </row>
    <row r="863" spans="2:2">
      <c r="B863" s="142"/>
    </row>
    <row r="864" spans="2:2">
      <c r="B864" s="142"/>
    </row>
    <row r="865" spans="2:2">
      <c r="B865" s="142"/>
    </row>
    <row r="866" spans="2:2">
      <c r="B866" s="142"/>
    </row>
    <row r="867" spans="2:2">
      <c r="B867" s="142"/>
    </row>
    <row r="868" spans="2:2">
      <c r="B868" s="142"/>
    </row>
    <row r="869" spans="2:2">
      <c r="B869" s="142"/>
    </row>
    <row r="870" spans="2:2">
      <c r="B870" s="142"/>
    </row>
    <row r="871" spans="2:2">
      <c r="B871" s="142"/>
    </row>
    <row r="872" spans="2:2">
      <c r="B872" s="142"/>
    </row>
    <row r="873" spans="2:2">
      <c r="B873" s="142"/>
    </row>
    <row r="874" spans="2:2">
      <c r="B874" s="142"/>
    </row>
    <row r="875" spans="2:2">
      <c r="B875" s="142"/>
    </row>
    <row r="876" spans="2:2">
      <c r="B876" s="142"/>
    </row>
    <row r="877" spans="2:2">
      <c r="B877" s="142"/>
    </row>
    <row r="878" spans="2:2">
      <c r="B878" s="142"/>
    </row>
    <row r="879" spans="2:2">
      <c r="B879" s="142"/>
    </row>
    <row r="880" spans="2:2">
      <c r="B880" s="142"/>
    </row>
    <row r="881" spans="2:2">
      <c r="B881" s="142"/>
    </row>
    <row r="882" spans="2:2">
      <c r="B882" s="142"/>
    </row>
    <row r="883" spans="2:2">
      <c r="B883" s="142"/>
    </row>
    <row r="884" spans="2:2">
      <c r="B884" s="142"/>
    </row>
    <row r="885" spans="2:2">
      <c r="B885" s="142"/>
    </row>
    <row r="886" spans="2:2">
      <c r="B886" s="142"/>
    </row>
    <row r="887" spans="2:2">
      <c r="B887" s="142"/>
    </row>
    <row r="888" spans="2:2">
      <c r="B888" s="142"/>
    </row>
    <row r="889" spans="2:2">
      <c r="B889" s="142"/>
    </row>
    <row r="890" spans="2:2">
      <c r="B890" s="142"/>
    </row>
    <row r="891" spans="2:2">
      <c r="B891" s="142"/>
    </row>
    <row r="892" spans="2:2">
      <c r="B892" s="142"/>
    </row>
    <row r="893" spans="2:2">
      <c r="B893" s="142"/>
    </row>
    <row r="894" spans="2:2">
      <c r="B894" s="142"/>
    </row>
    <row r="895" spans="2:2">
      <c r="B895" s="142"/>
    </row>
    <row r="896" spans="2:2">
      <c r="B896" s="142"/>
    </row>
    <row r="897" spans="2:2">
      <c r="B897" s="142"/>
    </row>
    <row r="898" spans="2:2">
      <c r="B898" s="142"/>
    </row>
    <row r="899" spans="2:2">
      <c r="B899" s="142"/>
    </row>
    <row r="900" spans="2:2">
      <c r="B900" s="142"/>
    </row>
    <row r="901" spans="2:2">
      <c r="B901" s="142"/>
    </row>
    <row r="902" spans="2:2">
      <c r="B902" s="142"/>
    </row>
    <row r="903" spans="2:2">
      <c r="B903" s="142"/>
    </row>
    <row r="904" spans="2:2">
      <c r="B904" s="142"/>
    </row>
    <row r="905" spans="2:2">
      <c r="B905" s="142"/>
    </row>
    <row r="906" spans="2:2">
      <c r="B906" s="142"/>
    </row>
    <row r="907" spans="2:2">
      <c r="B907" s="142"/>
    </row>
    <row r="908" spans="2:2">
      <c r="B908" s="142"/>
    </row>
    <row r="909" spans="2:2">
      <c r="B909" s="142"/>
    </row>
    <row r="910" spans="2:2">
      <c r="B910" s="142"/>
    </row>
    <row r="911" spans="2:2">
      <c r="B911" s="142"/>
    </row>
    <row r="912" spans="2:2">
      <c r="B912" s="142"/>
    </row>
    <row r="913" spans="2:2">
      <c r="B913" s="142"/>
    </row>
    <row r="914" spans="2:2">
      <c r="B914" s="142"/>
    </row>
    <row r="915" spans="2:2">
      <c r="B915" s="142"/>
    </row>
    <row r="916" spans="2:2">
      <c r="B916" s="142"/>
    </row>
    <row r="917" spans="2:2">
      <c r="B917" s="142"/>
    </row>
    <row r="918" spans="2:2">
      <c r="B918" s="142"/>
    </row>
    <row r="919" spans="2:2">
      <c r="B919" s="142"/>
    </row>
    <row r="920" spans="2:2">
      <c r="B920" s="142"/>
    </row>
    <row r="921" spans="2:2">
      <c r="B921" s="142"/>
    </row>
    <row r="922" spans="2:2">
      <c r="B922" s="142"/>
    </row>
    <row r="923" spans="2:2">
      <c r="B923" s="142"/>
    </row>
    <row r="924" spans="2:2">
      <c r="B924" s="142"/>
    </row>
    <row r="925" spans="2:2">
      <c r="B925" s="142"/>
    </row>
    <row r="926" spans="2:2">
      <c r="B926" s="142"/>
    </row>
    <row r="927" spans="2:2">
      <c r="B927" s="142"/>
    </row>
    <row r="928" spans="2:2">
      <c r="B928" s="142"/>
    </row>
    <row r="929" spans="2:2">
      <c r="B929" s="142"/>
    </row>
    <row r="930" spans="2:2">
      <c r="B930" s="142"/>
    </row>
    <row r="931" spans="2:2">
      <c r="B931" s="142"/>
    </row>
    <row r="932" spans="2:2">
      <c r="B932" s="142"/>
    </row>
    <row r="933" spans="2:2">
      <c r="B933" s="142"/>
    </row>
    <row r="934" spans="2:2">
      <c r="B934" s="142"/>
    </row>
    <row r="935" spans="2:2">
      <c r="B935" s="142"/>
    </row>
    <row r="936" spans="2:2">
      <c r="B936" s="142"/>
    </row>
    <row r="937" spans="2:2">
      <c r="B937" s="142"/>
    </row>
    <row r="938" spans="2:2">
      <c r="B938" s="142"/>
    </row>
    <row r="939" spans="2:2">
      <c r="B939" s="142"/>
    </row>
    <row r="940" spans="2:2">
      <c r="B940" s="142"/>
    </row>
    <row r="941" spans="2:2">
      <c r="B941" s="142"/>
    </row>
    <row r="942" spans="2:2">
      <c r="B942" s="142"/>
    </row>
    <row r="943" spans="2:2">
      <c r="B943" s="142"/>
    </row>
    <row r="944" spans="2:2">
      <c r="B944" s="142"/>
    </row>
    <row r="945" spans="2:2">
      <c r="B945" s="142"/>
    </row>
    <row r="946" spans="2:2">
      <c r="B946" s="142"/>
    </row>
    <row r="947" spans="2:2">
      <c r="B947" s="142"/>
    </row>
    <row r="948" spans="2:2">
      <c r="B948" s="142"/>
    </row>
    <row r="949" spans="2:2">
      <c r="B949" s="142"/>
    </row>
    <row r="950" spans="2:2">
      <c r="B950" s="142"/>
    </row>
    <row r="951" spans="2:2">
      <c r="B951" s="142"/>
    </row>
    <row r="952" spans="2:2">
      <c r="B952" s="142"/>
    </row>
    <row r="953" spans="2:2">
      <c r="B953" s="142"/>
    </row>
    <row r="954" spans="2:2">
      <c r="B954" s="142"/>
    </row>
    <row r="955" spans="2:2">
      <c r="B955" s="142"/>
    </row>
    <row r="956" spans="2:2">
      <c r="B956" s="142"/>
    </row>
    <row r="957" spans="2:2">
      <c r="B957" s="142"/>
    </row>
    <row r="958" spans="2:2">
      <c r="B958" s="142"/>
    </row>
    <row r="959" spans="2:2">
      <c r="B959" s="142"/>
    </row>
    <row r="960" spans="2:2">
      <c r="B960" s="142"/>
    </row>
    <row r="961" spans="2:2">
      <c r="B961" s="142"/>
    </row>
    <row r="962" spans="2:2">
      <c r="B962" s="142"/>
    </row>
    <row r="963" spans="2:2">
      <c r="B963" s="142"/>
    </row>
    <row r="964" spans="2:2">
      <c r="B964" s="142"/>
    </row>
    <row r="965" spans="2:2">
      <c r="B965" s="142"/>
    </row>
    <row r="966" spans="2:2">
      <c r="B966" s="142"/>
    </row>
    <row r="967" spans="2:2">
      <c r="B967" s="142"/>
    </row>
    <row r="968" spans="2:2">
      <c r="B968" s="142"/>
    </row>
    <row r="969" spans="2:2">
      <c r="B969" s="142"/>
    </row>
    <row r="970" spans="2:2">
      <c r="B970" s="142"/>
    </row>
    <row r="971" spans="2:2">
      <c r="B971" s="142"/>
    </row>
    <row r="972" spans="2:2">
      <c r="B972" s="142"/>
    </row>
    <row r="973" spans="2:2">
      <c r="B973" s="142"/>
    </row>
    <row r="974" spans="2:2">
      <c r="B974" s="142"/>
    </row>
    <row r="975" spans="2:2">
      <c r="B975" s="142"/>
    </row>
    <row r="976" spans="2:2">
      <c r="B976" s="142"/>
    </row>
    <row r="977" spans="2:2">
      <c r="B977" s="142"/>
    </row>
    <row r="978" spans="2:2">
      <c r="B978" s="142"/>
    </row>
    <row r="979" spans="2:2">
      <c r="B979" s="142"/>
    </row>
    <row r="980" spans="2:2">
      <c r="B980" s="142"/>
    </row>
    <row r="981" spans="2:2">
      <c r="B981" s="142"/>
    </row>
    <row r="982" spans="2:2">
      <c r="B982" s="142"/>
    </row>
    <row r="983" spans="2:2">
      <c r="B983" s="142"/>
    </row>
    <row r="984" spans="2:2">
      <c r="B984" s="142"/>
    </row>
    <row r="985" spans="2:2">
      <c r="B985" s="142"/>
    </row>
    <row r="986" spans="2:2">
      <c r="B986" s="142"/>
    </row>
    <row r="987" spans="2:2">
      <c r="B987" s="142"/>
    </row>
    <row r="988" spans="2:2">
      <c r="B988" s="142"/>
    </row>
    <row r="989" spans="2:2">
      <c r="B989" s="142"/>
    </row>
    <row r="990" spans="2:2">
      <c r="B990" s="142"/>
    </row>
    <row r="991" spans="2:2">
      <c r="B991" s="142"/>
    </row>
    <row r="992" spans="2:2">
      <c r="B992" s="142"/>
    </row>
    <row r="993" spans="2:2">
      <c r="B993" s="142"/>
    </row>
    <row r="994" spans="2:2">
      <c r="B994" s="142"/>
    </row>
    <row r="995" spans="2:2">
      <c r="B995" s="142"/>
    </row>
    <row r="996" spans="2:2">
      <c r="B996" s="142"/>
    </row>
    <row r="997" spans="2:2">
      <c r="B997" s="142"/>
    </row>
    <row r="998" spans="2:2">
      <c r="B998" s="142"/>
    </row>
    <row r="999" spans="2:2">
      <c r="B999" s="142"/>
    </row>
    <row r="1000" spans="2:2">
      <c r="B1000" s="142"/>
    </row>
    <row r="1001" spans="2:2">
      <c r="B1001" s="142"/>
    </row>
    <row r="1002" spans="2:2">
      <c r="B1002" s="142"/>
    </row>
  </sheetData>
  <pageMargins left="0.511811024" right="0.511811024" top="0.78740157499999996" bottom="0.78740157499999996"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36</vt:i4>
      </vt:variant>
    </vt:vector>
  </HeadingPairs>
  <TitlesOfParts>
    <vt:vector size="36" baseType="lpstr">
      <vt:lpstr>Projeção Completa</vt:lpstr>
      <vt:lpstr>2.0 - Total Revenue</vt:lpstr>
      <vt:lpstr>3.1 - Cap Table</vt:lpstr>
      <vt:lpstr>1.0 - Comercial</vt:lpstr>
      <vt:lpstr>1.1 - Farmer</vt:lpstr>
      <vt:lpstr>1.4 - Salários por Área</vt:lpstr>
      <vt:lpstr>1.2 - Marketing</vt:lpstr>
      <vt:lpstr>1.3 - Fornecedores</vt:lpstr>
      <vt:lpstr>PJs</vt:lpstr>
      <vt:lpstr>Pagamentos prioritários</vt:lpstr>
      <vt:lpstr>Cópia de BD_Omie</vt:lpstr>
      <vt:lpstr>Consolidação</vt:lpstr>
      <vt:lpstr>Fluxo de Caixa</vt:lpstr>
      <vt:lpstr>Eventos</vt:lpstr>
      <vt:lpstr>Tabela dinâmica 9</vt:lpstr>
      <vt:lpstr>Outras observações</vt:lpstr>
      <vt:lpstr>Franchise</vt:lpstr>
      <vt:lpstr>De-para</vt:lpstr>
      <vt:lpstr>Meta_old</vt:lpstr>
      <vt:lpstr>META - PRÓXIMO PASSO</vt:lpstr>
      <vt:lpstr>Página21</vt:lpstr>
      <vt:lpstr>Tabela dinâmica 8</vt:lpstr>
      <vt:lpstr>Composição</vt:lpstr>
      <vt:lpstr>Alterações</vt:lpstr>
      <vt:lpstr>Pgtos Marcus</vt:lpstr>
      <vt:lpstr>Cópia de Pgtos Marcus</vt:lpstr>
      <vt:lpstr>Página11</vt:lpstr>
      <vt:lpstr>Contabilidade</vt:lpstr>
      <vt:lpstr>Daily</vt:lpstr>
      <vt:lpstr>Página8</vt:lpstr>
      <vt:lpstr>Unibee e LB</vt:lpstr>
      <vt:lpstr>Tabela dinâmica 7</vt:lpstr>
      <vt:lpstr>Página7</vt:lpstr>
      <vt:lpstr>Página6</vt:lpstr>
      <vt:lpstr>Tabela dinâmica 1</vt:lpstr>
      <vt:lpstr>Cenários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Omie</dc:creator>
  <cp:lastModifiedBy>Marcus Calixto</cp:lastModifiedBy>
  <dcterms:created xsi:type="dcterms:W3CDTF">2024-10-15T15:10:06Z</dcterms:created>
  <dcterms:modified xsi:type="dcterms:W3CDTF">2026-04-22T16:25:53Z</dcterms:modified>
</cp:coreProperties>
</file>